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charts/chart25.xml" ContentType="application/vnd.openxmlformats-officedocument.drawingml.chart+xml"/>
  <Override PartName="/xl/charts/style25.xml" ContentType="application/vnd.ms-office.chartstyle+xml"/>
  <Override PartName="/xl/charts/colors25.xml" ContentType="application/vnd.ms-office.chartcolorstyle+xml"/>
  <Override PartName="/xl/charts/chart26.xml" ContentType="application/vnd.openxmlformats-officedocument.drawingml.chart+xml"/>
  <Override PartName="/xl/charts/style26.xml" ContentType="application/vnd.ms-office.chartstyle+xml"/>
  <Override PartName="/xl/charts/colors26.xml" ContentType="application/vnd.ms-office.chartcolorstyle+xml"/>
  <Override PartName="/xl/charts/chart27.xml" ContentType="application/vnd.openxmlformats-officedocument.drawingml.chart+xml"/>
  <Override PartName="/xl/charts/style27.xml" ContentType="application/vnd.ms-office.chartstyle+xml"/>
  <Override PartName="/xl/charts/colors27.xml" ContentType="application/vnd.ms-office.chartcolorstyle+xml"/>
  <Override PartName="/xl/charts/chart28.xml" ContentType="application/vnd.openxmlformats-officedocument.drawingml.chart+xml"/>
  <Override PartName="/xl/charts/style28.xml" ContentType="application/vnd.ms-office.chartstyle+xml"/>
  <Override PartName="/xl/charts/colors28.xml" ContentType="application/vnd.ms-office.chartcolorstyle+xml"/>
  <Override PartName="/xl/charts/chart29.xml" ContentType="application/vnd.openxmlformats-officedocument.drawingml.chart+xml"/>
  <Override PartName="/xl/charts/style29.xml" ContentType="application/vnd.ms-office.chartstyle+xml"/>
  <Override PartName="/xl/charts/colors29.xml" ContentType="application/vnd.ms-office.chartcolorstyle+xml"/>
  <Override PartName="/xl/comments2.xml" ContentType="application/vnd.openxmlformats-officedocument.spreadsheetml.comments+xml"/>
  <Override PartName="/xl/threadedComments/threadedComment2.xml" ContentType="application/vnd.ms-excel.threadedcomments+xml"/>
  <Override PartName="/xl/drawings/drawing3.xml" ContentType="application/vnd.openxmlformats-officedocument.drawing+xml"/>
  <Override PartName="/xl/charts/chart30.xml" ContentType="application/vnd.openxmlformats-officedocument.drawingml.chart+xml"/>
  <Override PartName="/xl/charts/style30.xml" ContentType="application/vnd.ms-office.chartstyle+xml"/>
  <Override PartName="/xl/charts/colors30.xml" ContentType="application/vnd.ms-office.chartcolorstyle+xml"/>
  <Override PartName="/xl/charts/chart31.xml" ContentType="application/vnd.openxmlformats-officedocument.drawingml.chart+xml"/>
  <Override PartName="/xl/charts/style31.xml" ContentType="application/vnd.ms-office.chartstyle+xml"/>
  <Override PartName="/xl/charts/colors31.xml" ContentType="application/vnd.ms-office.chartcolorstyle+xml"/>
  <Override PartName="/xl/comments3.xml" ContentType="application/vnd.openxmlformats-officedocument.spreadsheetml.comments+xml"/>
  <Override PartName="/xl/threadedComments/threadedComment3.xml" ContentType="application/vnd.ms-excel.threadedcomments+xml"/>
  <Override PartName="/xl/comments4.xml" ContentType="application/vnd.openxmlformats-officedocument.spreadsheetml.comments+xml"/>
  <Override PartName="/xl/threadedComments/threadedComment4.xml" ContentType="application/vnd.ms-excel.threadedcomments+xml"/>
  <Override PartName="/xl/comments5.xml" ContentType="application/vnd.openxmlformats-officedocument.spreadsheetml.comments+xml"/>
  <Override PartName="/xl/threadedComments/threadedComment5.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codeName="ThisWorkbook" hidePivotFieldList="1" defaultThemeVersion="166925"/>
  <mc:AlternateContent xmlns:mc="http://schemas.openxmlformats.org/markup-compatibility/2006">
    <mc:Choice Requires="x15">
      <x15ac:absPath xmlns:x15ac="http://schemas.microsoft.com/office/spreadsheetml/2010/11/ac" url="C:\Users\Zixuan\Dropbox\CCG\MinFin\"/>
    </mc:Choice>
  </mc:AlternateContent>
  <xr:revisionPtr revIDLastSave="0" documentId="8_{D7D3C625-4571-4DDD-8E73-B3A40402DDA0}" xr6:coauthVersionLast="47" xr6:coauthVersionMax="47" xr10:uidLastSave="{00000000-0000-0000-0000-000000000000}"/>
  <bookViews>
    <workbookView xWindow="-98" yWindow="-98" windowWidth="28996" windowHeight="15675" xr2:uid="{123179B6-6E67-4597-A86D-DAA4976E082C}"/>
  </bookViews>
  <sheets>
    <sheet name="Definitions" sheetId="25" r:id="rId1"/>
    <sheet name="Visualisation Dashboard" sheetId="22" r:id="rId2"/>
    <sheet name="Financial Instruments" sheetId="23" r:id="rId3"/>
    <sheet name="High Level Dashboard" sheetId="24" r:id="rId4"/>
    <sheet name="Financing Baseline" sheetId="16" r:id="rId5"/>
    <sheet name="Funding Baseline" sheetId="14" r:id="rId6"/>
    <sheet name="Investment Needs" sheetId="9" r:id="rId7"/>
    <sheet name="OSeMOSYS (Input)" sheetId="8" r:id="rId8"/>
    <sheet name="FFRM (Input)" sheetId="20" r:id="rId9"/>
  </sheets>
  <externalReferences>
    <externalReference r:id="rId10"/>
  </externalReferences>
  <definedNames>
    <definedName name="_xlnm._FilterDatabase" localSheetId="4" hidden="1">'Financing Baseline'!$A$48:$CI$516</definedName>
    <definedName name="POWER_USER_LINK_1C8468DF_3981_452A_988B_B237ACC8F15D" comment="{&quot;Id&quot;:&quot;POWER_USER_LINK_1C8468DF_3981_452A_988B_B237ACC8F15D&quot;,&quot;SourceFullName&quot;:&quot;https://unioxfordnexus-my.sharepoint.com/personal/spet5907_ox_ac_uk/Documents/CCG/Work/MinFin/MinFin Development/Team Folder/MinFin Model/Case Studies/Ghana/Ghana Master NCQG 2">'[1]Financing Baseline'!$C$128:$P$134</definedName>
    <definedName name="POWER_USER_LINK_1E1BD091_4625_4444_97D5_A6FF49E7A790" comment="{&quot;Id&quot;:&quot;POWER_USER_LINK_1E1BD091_4625_4444_97D5_A6FF49E7A790&quot;,&quot;SourceFullName&quot;:&quot;https://unioxfordnexus-my.sharepoint.com/personal/spet5907_ox_ac_uk/Documents/CCG/Work/MinFin/MinFin Development/Team Folder/MinFin Model/Case Studies/Ghana/Ghana Master NCQG 2">'[1]Financing Baseline'!$D$109:$P$115</definedName>
    <definedName name="POWER_USER_LINK_5C354A30_39B7_4BC2_A1BC_772102FD5A07" comment="{&quot;Id&quot;:&quot;POWER_USER_LINK_5C354A30_39B7_4BC2_A1BC_772102FD5A07&quot;,&quot;SourceFullName&quot;:&quot;https://unioxfordnexus-my.sharepoint.com/personal/spet5907_ox_ac_uk/Documents/CCG/Work/MinFin/MinFin Development/Team Folder/MinFin Model/Case Studies/Ghana/Ghana Master NCQG 2">'[1]Financing Baseline'!$D$109:$P$115</definedName>
    <definedName name="POWER_USER_LINK_660DD32F_20D2_4943_85B4_C2277CFD14E1" comment="{&quot;Id&quot;:&quot;POWER_USER_LINK_660DD32F_20D2_4943_85B4_C2277CFD14E1&quot;,&quot;SourceFullName&quot;:&quot;https://unioxfordnexus-my.sharepoint.com/personal/spet5907_ox_ac_uk/Documents/CCG/Work/MinFin/MinFin Development/Team Folder/MinFin Model/Case Studies/Ghana/Ghana Master NCQG 2">'[1]Financing Baseline'!$D$109:$P$115</definedName>
    <definedName name="POWER_USER_LINK_82AA7F52_0AA6_445C_99A0_BCDBE6072606" comment="{&quot;Id&quot;:&quot;POWER_USER_LINK_82AA7F52_0AA6_445C_99A0_BCDBE6072606&quot;,&quot;SourceFullName&quot;:&quot;https://unioxfordnexus-my.sharepoint.com/personal/spet5907_ox_ac_uk/Documents/CCG/Work/MinFin/MinFin Development/Team Folder/MinFin Model/Case Studies/Ghana/Ghana Master NCQG 2">'[1]Financing Baseline'!$C$128:$P$134</definedName>
    <definedName name="POWER_USER_LINK_8811B919_6076_4DE1_8A8A_1591D1C3F1D3" comment="{&quot;Id&quot;:&quot;POWER_USER_LINK_8811B919_6076_4DE1_8A8A_1591D1C3F1D3&quot;,&quot;SourceFullName&quot;:&quot;https://unioxfordnexus-my.sharepoint.com/personal/spet5907_ox_ac_uk/Documents/CCG/Work/MinFin/MinFin Development/Team Folder/MinFin Model/Case Studies/Ghana/Ghana Master NCQG 2">'[1]Financing Baseline'!$D$109:$P$115</definedName>
    <definedName name="POWER_USER_LINK_88A461FD_7EA7_42BC_9FB8_413E38E7215B" comment="{&quot;Id&quot;:&quot;POWER_USER_LINK_88A461FD_7EA7_42BC_9FB8_413E38E7215B&quot;,&quot;SourceFullName&quot;:&quot;https://unioxfordnexus-my.sharepoint.com/personal/spet5907_ox_ac_uk/Documents/CCG/Work/MinFin/MinFin Development/Team Folder/MinFin Model/Case Studies/Ghana/Ghana Master NCQG 2">'[1]Financing Baseline'!$D$101:$P$107</definedName>
    <definedName name="POWER_USER_LINK_8BD0C2AE_99B7_4293_8693_DF676F2E4705" comment="{&quot;Id&quot;:&quot;POWER_USER_LINK_8BD0C2AE_99B7_4293_8693_DF676F2E4705&quot;,&quot;SourceFullName&quot;:&quot;https://unioxfordnexus-my.sharepoint.com/personal/spet5907_ox_ac_uk/Documents/CCG/Work/MinFin/MinFin Development/Team Folder/MinFin Model/Case Studies/Ghana/Ghana Master NCQG 2">'[1]Financing Baseline'!$D$93:$P$99</definedName>
    <definedName name="POWER_USER_LINK_9E537006_98B2_46EC_8819_DD41353322F7" comment="{&quot;Id&quot;:&quot;POWER_USER_LINK_9E537006_98B2_46EC_8819_DD41353322F7&quot;,&quot;SourceFullName&quot;:&quot;https://unioxfordnexus-my.sharepoint.com/personal/spet5907_ox_ac_uk/Documents/CCG/Work/MinFin/MinFin Development/Team Folder/MinFin Model/Case Studies/Ghana/Ghana Master NCQG 2">'[1]Financing Baseline'!$C$128:$P$134</definedName>
    <definedName name="POWER_USER_LINK_A4EC7F36_8FF3_4488_B633_885239D87E7F" comment="{&quot;Id&quot;:&quot;POWER_USER_LINK_A4EC7F36_8FF3_4488_B633_885239D87E7F&quot;,&quot;SourceFullName&quot;:&quot;https://unioxfordnexus-my.sharepoint.com/personal/spet5907_ox_ac_uk/Documents/CCG/Work/MinFin/MinFin Development/Team Folder/MinFin Model/Case Studies/Ghana/Ghana Master NCQG 2">'[1]Financing Baseline'!$D$93:$P$99</definedName>
    <definedName name="POWER_USER_LINK_C0E51312_0DE1_43B3_B0BB_32513878B4D0" comment="{&quot;Id&quot;:&quot;POWER_USER_LINK_C0E51312_0DE1_43B3_B0BB_32513878B4D0&quot;,&quot;SourceFullName&quot;:&quot;https://unioxfordnexus-my.sharepoint.com/personal/spet5907_ox_ac_uk/Documents/CCG/Work/MinFin/MinFin Development/Team Folder/MinFin Model/Case Studies/Ghana/Ghana Master NCQG 2">'[1]Financing Baseline'!$C$128:$P$134</definedName>
    <definedName name="POWER_USER_LINK_C40E531F_E888_434D_B256_633316EE9B99" comment="{&quot;Id&quot;:&quot;POWER_USER_LINK_C40E531F_E888_434D_B256_633316EE9B99&quot;,&quot;SourceFullName&quot;:&quot;https://unioxfordnexus-my.sharepoint.com/personal/spet5907_ox_ac_uk/Documents/CCG/Work/MinFin/MinFin Development/Team Folder/MinFin Model/Case Studies/Ghana/Ghana Master NCQG 2">'[1]Financing Baseline'!$D$109:$P$115</definedName>
    <definedName name="POWER_USER_LINK_C670BFA9_1E80_4883_8B1D_2D7BF8BEB301" comment="{&quot;Id&quot;:&quot;POWER_USER_LINK_C670BFA9_1E80_4883_8B1D_2D7BF8BEB301&quot;,&quot;SourceFullName&quot;:&quot;https://unioxfordnexus-my.sharepoint.com/personal/spet5907_ox_ac_uk/Documents/CCG/Work/MinFin/MinFin Development/Team Folder/MinFin Model/Case Studies/Ghana/Ghana Master NCQG 2">'[1]Financing Baseline'!$C$128:$P$134</definedName>
    <definedName name="POWER_USER_LINK_C8E7FDEE_D21E_4649_A767_4F5C55FA2FC8" comment="{&quot;Id&quot;:&quot;POWER_USER_LINK_C8E7FDEE_D21E_4649_A767_4F5C55FA2FC8&quot;,&quot;SourceFullName&quot;:&quot;https://unioxfordnexus-my.sharepoint.com/personal/spet5907_ox_ac_uk/Documents/CCG/Work/MinFin/MinFin Development/Team Folder/MinFin Model/Case Studies/Ghana/Ghana Master NCQG 2">'[1]Financing Baseline'!$D$101:$P$107</definedName>
    <definedName name="POWER_USER_LINK_C904F0C4_2D79_4048_B89A_3A3D35880395" comment="{&quot;Id&quot;:&quot;POWER_USER_LINK_C904F0C4_2D79_4048_B89A_3A3D35880395&quot;,&quot;SourceFullName&quot;:&quot;https://unioxfordnexus-my.sharepoint.com/personal/spet5907_ox_ac_uk/Documents/CCG/Work/MinFin/MinFin Development/Team Folder/MinFin Model/Case Studies/Ghana/Ghana Master NCQG 2">'[1]Financing Baseline'!$D$101:$P$107</definedName>
    <definedName name="POWER_USER_LINK_CB729846_7F59_4903_A12A_D4277681E321" comment="{&quot;Id&quot;:&quot;POWER_USER_LINK_CB729846_7F59_4903_A12A_D4277681E321&quot;,&quot;SourceFullName&quot;:&quot;https://unioxfordnexus-my.sharepoint.com/personal/spet5907_ox_ac_uk/Documents/CCG/Work/MinFin/MinFin Development/Team Folder/MinFin Model/Case Studies/Ghana/Ghana Master NCQG 2">'[1]Financing Baseline'!$D$93:$J$99</definedName>
    <definedName name="POWER_USER_LINK_E7C2DD64_3477_4661_87F3_FF98A191BC47" comment="{&quot;Id&quot;:&quot;POWER_USER_LINK_E7C2DD64_3477_4661_87F3_FF98A191BC47&quot;,&quot;SourceFullName&quot;:&quot;https://unioxfordnexus-my.sharepoint.com/personal/spet5907_ox_ac_uk/Documents/CCG/Work/MinFin/MinFin Development/Team Folder/MinFin Model/Case Studies/Ghana/Ghana Master NCQG 2">'[1]Financing Baseline'!$D$101:$P$107</definedName>
    <definedName name="POWER_USER_LINK_ECA9A96E_360E_419C_ABD3_88BEB06ADB97" comment="{&quot;Id&quot;:&quot;POWER_USER_LINK_ECA9A96E_360E_419C_ABD3_88BEB06ADB97&quot;,&quot;SourceFullName&quot;:&quot;https://unioxfordnexus-my.sharepoint.com/personal/spet5907_ox_ac_uk/Documents/CCG/Work/MinFin/MinFin Development/Team Folder/MinFin Model/Case Studies/Ghana/Ghana Master NCQG 2">'[1]Financing Baseline'!$D$101:$P$107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I150" i="22" l="1"/>
  <c r="AI151" i="22"/>
  <c r="AI152" i="22"/>
  <c r="AI153" i="22"/>
  <c r="AI154" i="22"/>
  <c r="AI155" i="22"/>
  <c r="AI156" i="22"/>
  <c r="AI157" i="22"/>
  <c r="AI158" i="22"/>
  <c r="AI159" i="22"/>
  <c r="AJ151" i="22"/>
  <c r="AJ150" i="22"/>
  <c r="G181" i="22"/>
  <c r="F181" i="22"/>
  <c r="E181" i="22"/>
  <c r="D181" i="22"/>
  <c r="AH175" i="22"/>
  <c r="AI175" i="22"/>
  <c r="AH176" i="22"/>
  <c r="AI176" i="22"/>
  <c r="AH177" i="22"/>
  <c r="AI177" i="22"/>
  <c r="AH178" i="22"/>
  <c r="AI178" i="22"/>
  <c r="AH179" i="22"/>
  <c r="AI179" i="22"/>
  <c r="AH180" i="22"/>
  <c r="AI180" i="22"/>
  <c r="AH181" i="22"/>
  <c r="AI181" i="22"/>
  <c r="AH182" i="22"/>
  <c r="AI182" i="22"/>
  <c r="AH183" i="22"/>
  <c r="AI183" i="22"/>
  <c r="AI174" i="22"/>
  <c r="AH174" i="22"/>
  <c r="X176" i="22"/>
  <c r="X177" i="22"/>
  <c r="X178" i="22"/>
  <c r="V176" i="22"/>
  <c r="W176" i="22"/>
  <c r="V177" i="22"/>
  <c r="W177" i="22"/>
  <c r="V178" i="22"/>
  <c r="W178" i="22"/>
  <c r="W175" i="22"/>
  <c r="V175" i="22"/>
  <c r="N176" i="22"/>
  <c r="O176" i="22"/>
  <c r="N177" i="22"/>
  <c r="O177" i="22"/>
  <c r="N178" i="22"/>
  <c r="O178" i="22"/>
  <c r="N179" i="22"/>
  <c r="O179" i="22"/>
  <c r="N180" i="22"/>
  <c r="O180" i="22"/>
  <c r="N181" i="22"/>
  <c r="O181" i="22"/>
  <c r="O175" i="22"/>
  <c r="N175" i="22"/>
  <c r="W154" i="22"/>
  <c r="W155" i="22"/>
  <c r="W156" i="22"/>
  <c r="W153" i="22"/>
  <c r="P154" i="22"/>
  <c r="P155" i="22"/>
  <c r="P156" i="22"/>
  <c r="P157" i="22"/>
  <c r="P158" i="22"/>
  <c r="P159" i="22"/>
  <c r="P153" i="22"/>
  <c r="O154" i="22"/>
  <c r="O155" i="22"/>
  <c r="O156" i="22"/>
  <c r="O157" i="22"/>
  <c r="O158" i="22"/>
  <c r="O159" i="22"/>
  <c r="O153" i="22"/>
  <c r="F180" i="22"/>
  <c r="E180" i="22"/>
  <c r="G180" i="22"/>
  <c r="D180" i="22"/>
  <c r="AG174" i="22" a="1"/>
  <c r="AG174" i="22" s="1"/>
  <c r="U175" i="22" a="1"/>
  <c r="U175" i="22" s="1"/>
  <c r="M175" i="22" a="1"/>
  <c r="M175" i="22" s="1"/>
  <c r="X154" i="22"/>
  <c r="X155" i="22"/>
  <c r="X156" i="22"/>
  <c r="X153" i="22"/>
  <c r="V154" i="22"/>
  <c r="V155" i="22"/>
  <c r="V156" i="22"/>
  <c r="V153" i="22"/>
  <c r="U154" i="22"/>
  <c r="U155" i="22"/>
  <c r="U156" i="22"/>
  <c r="U153" i="22"/>
  <c r="T153" i="22" a="1"/>
  <c r="T153" i="22" s="1"/>
  <c r="M153" i="22" a="1"/>
  <c r="M153" i="22" s="1"/>
  <c r="A134" i="9"/>
  <c r="A151" i="9"/>
  <c r="C161" i="9" a="1"/>
  <c r="C161" i="9" s="1"/>
  <c r="C160" i="9" a="1"/>
  <c r="C160" i="9" s="1"/>
  <c r="C159" i="9" a="1"/>
  <c r="C159" i="9" s="1"/>
  <c r="C157" i="9" a="1"/>
  <c r="C157" i="9" s="1"/>
  <c r="C149" i="9" a="1"/>
  <c r="C149" i="9" s="1"/>
  <c r="C146" i="9" a="1"/>
  <c r="C146" i="9" s="1"/>
  <c r="C143" i="9" a="1"/>
  <c r="C143" i="9" s="1"/>
  <c r="C136" i="9" a="1"/>
  <c r="C136" i="9" s="1"/>
  <c r="C29" i="9" a="1"/>
  <c r="C29" i="9" s="1"/>
  <c r="A135" i="9"/>
  <c r="B135" i="9"/>
  <c r="A136" i="9"/>
  <c r="B136" i="9"/>
  <c r="A137" i="9"/>
  <c r="B137" i="9"/>
  <c r="A138" i="9"/>
  <c r="B138" i="9"/>
  <c r="C138" i="9" s="1" a="1"/>
  <c r="C138" i="9" s="1"/>
  <c r="A139" i="9"/>
  <c r="B139" i="9"/>
  <c r="C139" i="9" s="1" a="1"/>
  <c r="C139" i="9" s="1"/>
  <c r="A140" i="9"/>
  <c r="B140" i="9"/>
  <c r="A141" i="9"/>
  <c r="B141" i="9"/>
  <c r="C141" i="9" s="1" a="1"/>
  <c r="C141" i="9" s="1"/>
  <c r="A142" i="9"/>
  <c r="B142" i="9"/>
  <c r="C142" i="9" s="1" a="1"/>
  <c r="C142" i="9" s="1"/>
  <c r="A143" i="9"/>
  <c r="B143" i="9"/>
  <c r="A144" i="9"/>
  <c r="B144" i="9"/>
  <c r="A145" i="9"/>
  <c r="B145" i="9"/>
  <c r="C145" i="9" s="1" a="1"/>
  <c r="C145" i="9" s="1"/>
  <c r="A146" i="9"/>
  <c r="B146" i="9"/>
  <c r="A147" i="9"/>
  <c r="B147" i="9"/>
  <c r="A148" i="9"/>
  <c r="B148" i="9"/>
  <c r="C148" i="9" s="1" a="1"/>
  <c r="C148" i="9" s="1"/>
  <c r="A149" i="9"/>
  <c r="B149" i="9"/>
  <c r="A150" i="9"/>
  <c r="B150" i="9"/>
  <c r="B151" i="9"/>
  <c r="C151" i="9" s="1" a="1"/>
  <c r="C151" i="9" s="1"/>
  <c r="A152" i="9"/>
  <c r="B152" i="9"/>
  <c r="C152" i="9" s="1" a="1"/>
  <c r="C152" i="9" s="1"/>
  <c r="A153" i="9"/>
  <c r="B153" i="9"/>
  <c r="C153" i="9" s="1" a="1"/>
  <c r="C153" i="9" s="1"/>
  <c r="A154" i="9"/>
  <c r="B154" i="9"/>
  <c r="A155" i="9"/>
  <c r="B155" i="9"/>
  <c r="C155" i="9" s="1" a="1"/>
  <c r="C155" i="9" s="1"/>
  <c r="A156" i="9"/>
  <c r="B156" i="9"/>
  <c r="A157" i="9"/>
  <c r="B157" i="9"/>
  <c r="A158" i="9"/>
  <c r="B158" i="9"/>
  <c r="C158" i="9" s="1" a="1"/>
  <c r="C158" i="9" s="1"/>
  <c r="A159" i="9"/>
  <c r="B159" i="9"/>
  <c r="A160" i="9"/>
  <c r="B160" i="9"/>
  <c r="A161" i="9"/>
  <c r="B161" i="9"/>
  <c r="A162" i="9"/>
  <c r="B162" i="9"/>
  <c r="C162" i="9" s="1" a="1"/>
  <c r="C162" i="9" s="1"/>
  <c r="A163" i="9"/>
  <c r="B163" i="9"/>
  <c r="C163" i="9" s="1" a="1"/>
  <c r="C163" i="9" s="1"/>
  <c r="A164" i="9"/>
  <c r="B164" i="9"/>
  <c r="C164" i="9" s="1" a="1"/>
  <c r="C164" i="9" s="1"/>
  <c r="A165" i="9"/>
  <c r="B165" i="9"/>
  <c r="C165" i="9" s="1" a="1"/>
  <c r="C165" i="9" s="1"/>
  <c r="A166" i="9"/>
  <c r="B166" i="9"/>
  <c r="C166" i="9" s="1" a="1"/>
  <c r="C166" i="9" s="1"/>
  <c r="B134" i="9"/>
  <c r="B82" i="9"/>
  <c r="C82" i="9" s="1" a="1"/>
  <c r="C82" i="9" s="1"/>
  <c r="A82" i="9"/>
  <c r="A83" i="9"/>
  <c r="B83" i="9"/>
  <c r="A84" i="9"/>
  <c r="B84" i="9"/>
  <c r="A85" i="9"/>
  <c r="B85" i="9"/>
  <c r="A86" i="9"/>
  <c r="B86" i="9"/>
  <c r="A87" i="9"/>
  <c r="B87" i="9"/>
  <c r="A88" i="9"/>
  <c r="B88" i="9"/>
  <c r="A89" i="9"/>
  <c r="B89" i="9"/>
  <c r="A90" i="9"/>
  <c r="B90" i="9"/>
  <c r="A91" i="9"/>
  <c r="B91" i="9"/>
  <c r="A92" i="9"/>
  <c r="B92" i="9"/>
  <c r="A93" i="9"/>
  <c r="B93" i="9"/>
  <c r="A94" i="9"/>
  <c r="B94" i="9"/>
  <c r="A95" i="9"/>
  <c r="B95" i="9"/>
  <c r="A96" i="9"/>
  <c r="B96" i="9"/>
  <c r="A97" i="9"/>
  <c r="B97" i="9"/>
  <c r="A98" i="9"/>
  <c r="B98" i="9"/>
  <c r="A99" i="9"/>
  <c r="B99" i="9"/>
  <c r="A100" i="9"/>
  <c r="B100" i="9"/>
  <c r="A101" i="9"/>
  <c r="B101" i="9"/>
  <c r="A102" i="9"/>
  <c r="B102" i="9"/>
  <c r="A103" i="9"/>
  <c r="B103" i="9"/>
  <c r="A104" i="9"/>
  <c r="B104" i="9"/>
  <c r="A105" i="9"/>
  <c r="B105" i="9"/>
  <c r="A106" i="9"/>
  <c r="B106" i="9"/>
  <c r="C106" i="9" s="1" a="1"/>
  <c r="C106" i="9" s="1"/>
  <c r="A107" i="9"/>
  <c r="B107" i="9"/>
  <c r="C107" i="9" s="1" a="1"/>
  <c r="C107" i="9" s="1"/>
  <c r="A108" i="9"/>
  <c r="B108" i="9"/>
  <c r="C108" i="9" s="1" a="1"/>
  <c r="C108" i="9" s="1"/>
  <c r="A109" i="9"/>
  <c r="B109" i="9"/>
  <c r="C109" i="9" s="1" a="1"/>
  <c r="C109" i="9" s="1"/>
  <c r="A110" i="9"/>
  <c r="B110" i="9"/>
  <c r="C110" i="9" s="1" a="1"/>
  <c r="C110" i="9" s="1"/>
  <c r="A111" i="9"/>
  <c r="B111" i="9"/>
  <c r="C111" i="9" s="1" a="1"/>
  <c r="C111" i="9" s="1"/>
  <c r="A112" i="9"/>
  <c r="B112" i="9"/>
  <c r="C112" i="9" s="1" a="1"/>
  <c r="C112" i="9" s="1"/>
  <c r="A113" i="9"/>
  <c r="B113" i="9"/>
  <c r="C113" i="9" s="1" a="1"/>
  <c r="C113" i="9" s="1"/>
  <c r="A114" i="9"/>
  <c r="B114" i="9"/>
  <c r="C114" i="9" s="1" a="1"/>
  <c r="C114" i="9" s="1"/>
  <c r="B29" i="9"/>
  <c r="A29" i="9"/>
  <c r="A116" i="9"/>
  <c r="A117" i="9"/>
  <c r="A30" i="9"/>
  <c r="B30" i="9"/>
  <c r="C30" i="9" s="1" a="1"/>
  <c r="C30" i="9" s="1"/>
  <c r="A31" i="9"/>
  <c r="B31" i="9"/>
  <c r="C31" i="9" s="1" a="1"/>
  <c r="C31" i="9" s="1"/>
  <c r="A32" i="9"/>
  <c r="B32" i="9"/>
  <c r="A33" i="9"/>
  <c r="B33" i="9"/>
  <c r="C33" i="9" s="1" a="1"/>
  <c r="C33" i="9" s="1"/>
  <c r="A34" i="9"/>
  <c r="B34" i="9"/>
  <c r="C34" i="9" s="1" a="1"/>
  <c r="C34" i="9" s="1"/>
  <c r="A35" i="9"/>
  <c r="B35" i="9"/>
  <c r="C35" i="9" s="1" a="1"/>
  <c r="C35" i="9" s="1"/>
  <c r="A36" i="9"/>
  <c r="B36" i="9"/>
  <c r="C36" i="9" s="1" a="1"/>
  <c r="C36" i="9" s="1"/>
  <c r="A37" i="9"/>
  <c r="B37" i="9"/>
  <c r="C37" i="9" s="1" a="1"/>
  <c r="C37" i="9" s="1"/>
  <c r="A38" i="9"/>
  <c r="B38" i="9"/>
  <c r="C38" i="9" s="1" a="1"/>
  <c r="C38" i="9" s="1"/>
  <c r="A39" i="9"/>
  <c r="B39" i="9"/>
  <c r="C39" i="9" s="1" a="1"/>
  <c r="C39" i="9" s="1"/>
  <c r="A40" i="9"/>
  <c r="B40" i="9"/>
  <c r="C40" i="9" s="1" a="1"/>
  <c r="C40" i="9" s="1"/>
  <c r="A41" i="9"/>
  <c r="B41" i="9"/>
  <c r="C41" i="9" s="1" a="1"/>
  <c r="C41" i="9" s="1"/>
  <c r="A42" i="9"/>
  <c r="B42" i="9"/>
  <c r="A43" i="9"/>
  <c r="B43" i="9"/>
  <c r="C43" i="9" s="1" a="1"/>
  <c r="C43" i="9" s="1"/>
  <c r="A44" i="9"/>
  <c r="B44" i="9"/>
  <c r="C44" i="9" s="1" a="1"/>
  <c r="C44" i="9" s="1"/>
  <c r="A45" i="9"/>
  <c r="B45" i="9"/>
  <c r="C45" i="9" s="1" a="1"/>
  <c r="C45" i="9" s="1"/>
  <c r="A46" i="9"/>
  <c r="B46" i="9"/>
  <c r="C46" i="9" s="1" a="1"/>
  <c r="C46" i="9" s="1"/>
  <c r="A47" i="9"/>
  <c r="B47" i="9"/>
  <c r="C47" i="9" s="1" a="1"/>
  <c r="C47" i="9" s="1"/>
  <c r="A48" i="9"/>
  <c r="B48" i="9"/>
  <c r="C48" i="9" s="1" a="1"/>
  <c r="C48" i="9" s="1"/>
  <c r="A49" i="9"/>
  <c r="B49" i="9"/>
  <c r="C49" i="9" s="1" a="1"/>
  <c r="C49" i="9" s="1"/>
  <c r="A50" i="9"/>
  <c r="B50" i="9"/>
  <c r="C50" i="9" s="1" a="1"/>
  <c r="C50" i="9" s="1"/>
  <c r="A51" i="9"/>
  <c r="B51" i="9"/>
  <c r="C51" i="9" s="1" a="1"/>
  <c r="C51" i="9" s="1"/>
  <c r="A52" i="9"/>
  <c r="B52" i="9"/>
  <c r="C52" i="9" s="1" a="1"/>
  <c r="C52" i="9" s="1"/>
  <c r="A53" i="9"/>
  <c r="B53" i="9"/>
  <c r="C53" i="9" s="1" a="1"/>
  <c r="C53" i="9" s="1"/>
  <c r="A54" i="9"/>
  <c r="B54" i="9"/>
  <c r="C54" i="9" s="1" a="1"/>
  <c r="C54" i="9" s="1"/>
  <c r="A55" i="9"/>
  <c r="B55" i="9"/>
  <c r="C55" i="9" s="1" a="1"/>
  <c r="C55" i="9" s="1"/>
  <c r="A56" i="9"/>
  <c r="B56" i="9"/>
  <c r="C56" i="9" s="1" a="1"/>
  <c r="C56" i="9" s="1"/>
  <c r="A57" i="9"/>
  <c r="B57" i="9"/>
  <c r="C57" i="9" s="1" a="1"/>
  <c r="C57" i="9" s="1"/>
  <c r="A58" i="9"/>
  <c r="B58" i="9"/>
  <c r="C58" i="9" s="1" a="1"/>
  <c r="C58" i="9" s="1"/>
  <c r="A59" i="9"/>
  <c r="B59" i="9"/>
  <c r="C59" i="9" s="1" a="1"/>
  <c r="C59" i="9" s="1"/>
  <c r="A60" i="9"/>
  <c r="B60" i="9"/>
  <c r="C60" i="9" s="1" a="1"/>
  <c r="C60" i="9" s="1"/>
  <c r="A61" i="9"/>
  <c r="B61" i="9"/>
  <c r="C61" i="9" s="1" a="1"/>
  <c r="C61" i="9" s="1"/>
  <c r="B10" i="8"/>
  <c r="B74" i="8" s="1"/>
  <c r="X143" i="8" a="1"/>
  <c r="X143" i="8" s="1"/>
  <c r="T140" i="8"/>
  <c r="C140" i="8"/>
  <c r="C141" i="8"/>
  <c r="C142" i="8"/>
  <c r="C143" i="8"/>
  <c r="C144" i="8"/>
  <c r="C145" i="8"/>
  <c r="C146" i="8"/>
  <c r="C147" i="8"/>
  <c r="C148" i="8"/>
  <c r="C149" i="8"/>
  <c r="C150" i="8"/>
  <c r="C151" i="8"/>
  <c r="C152" i="8"/>
  <c r="C153" i="8"/>
  <c r="C154" i="8"/>
  <c r="C155" i="8"/>
  <c r="C156" i="8"/>
  <c r="C157" i="8"/>
  <c r="C158" i="8"/>
  <c r="C159" i="8"/>
  <c r="C160" i="8"/>
  <c r="C161" i="8"/>
  <c r="C162" i="8"/>
  <c r="C163" i="8"/>
  <c r="C164" i="8"/>
  <c r="C165" i="8"/>
  <c r="C166" i="8"/>
  <c r="C167" i="8"/>
  <c r="C168" i="8"/>
  <c r="C169" i="8"/>
  <c r="C170" i="8"/>
  <c r="C171" i="8"/>
  <c r="C172" i="8"/>
  <c r="C173" i="8"/>
  <c r="C174" i="8"/>
  <c r="C175" i="8"/>
  <c r="C176" i="8"/>
  <c r="C177" i="8"/>
  <c r="C178" i="8"/>
  <c r="C179" i="8"/>
  <c r="C180" i="8"/>
  <c r="C181" i="8"/>
  <c r="C182" i="8"/>
  <c r="C183" i="8"/>
  <c r="C184" i="8"/>
  <c r="C139" i="8"/>
  <c r="B140" i="8"/>
  <c r="B141" i="8"/>
  <c r="B142" i="8"/>
  <c r="B143" i="8"/>
  <c r="B144" i="8"/>
  <c r="B145" i="8"/>
  <c r="B146" i="8"/>
  <c r="B147" i="8"/>
  <c r="B148" i="8"/>
  <c r="B149" i="8"/>
  <c r="B150" i="8"/>
  <c r="B151" i="8"/>
  <c r="B152" i="8"/>
  <c r="B153" i="8"/>
  <c r="B154" i="8"/>
  <c r="B155" i="8"/>
  <c r="B156" i="8"/>
  <c r="B157" i="8"/>
  <c r="B158" i="8"/>
  <c r="B159" i="8"/>
  <c r="B160" i="8"/>
  <c r="B161" i="8"/>
  <c r="B162" i="8"/>
  <c r="B163" i="8"/>
  <c r="B164" i="8"/>
  <c r="B165" i="8"/>
  <c r="B166" i="8"/>
  <c r="B167" i="8"/>
  <c r="B168" i="8"/>
  <c r="B169" i="8"/>
  <c r="B170" i="8"/>
  <c r="B171" i="8"/>
  <c r="B172" i="8"/>
  <c r="B173" i="8"/>
  <c r="B174" i="8"/>
  <c r="B175" i="8"/>
  <c r="B176" i="8"/>
  <c r="B177" i="8"/>
  <c r="B178" i="8"/>
  <c r="B179" i="8"/>
  <c r="B180" i="8"/>
  <c r="B181" i="8"/>
  <c r="B182" i="8"/>
  <c r="B183" i="8"/>
  <c r="B184" i="8"/>
  <c r="B139" i="8"/>
  <c r="H139" i="8" s="1"/>
  <c r="AB131" i="8"/>
  <c r="AC131" i="8"/>
  <c r="AD131" i="8"/>
  <c r="AE131" i="8"/>
  <c r="AF131" i="8"/>
  <c r="AG131" i="8"/>
  <c r="AH131" i="8"/>
  <c r="AH67" i="8"/>
  <c r="AB67" i="8"/>
  <c r="AC67" i="8"/>
  <c r="AD67" i="8"/>
  <c r="AE67" i="8"/>
  <c r="AF67" i="8"/>
  <c r="AG67" i="8"/>
  <c r="C74" i="8"/>
  <c r="D74" i="8"/>
  <c r="E74" i="8"/>
  <c r="F74" i="8"/>
  <c r="G74" i="8"/>
  <c r="H74" i="8"/>
  <c r="I74" i="8"/>
  <c r="J74" i="8"/>
  <c r="K74" i="8"/>
  <c r="L74" i="8"/>
  <c r="M74" i="8"/>
  <c r="N74" i="8"/>
  <c r="O74" i="8"/>
  <c r="P74" i="8"/>
  <c r="Q74" i="8"/>
  <c r="R74" i="8"/>
  <c r="S74" i="8"/>
  <c r="T74" i="8"/>
  <c r="U74" i="8"/>
  <c r="V74" i="8"/>
  <c r="W74" i="8"/>
  <c r="X74" i="8"/>
  <c r="Y74" i="8"/>
  <c r="Z74" i="8"/>
  <c r="AA74" i="8"/>
  <c r="AB74" i="8"/>
  <c r="AC74" i="8"/>
  <c r="AD74" i="8"/>
  <c r="AE74" i="8"/>
  <c r="AF74" i="8"/>
  <c r="AG74" i="8"/>
  <c r="AH74" i="8"/>
  <c r="X10" i="8"/>
  <c r="W10" i="8"/>
  <c r="V10" i="8"/>
  <c r="U10" i="8"/>
  <c r="T10" i="8"/>
  <c r="S10" i="8"/>
  <c r="R10" i="8"/>
  <c r="Q10" i="8"/>
  <c r="P10" i="8"/>
  <c r="O10" i="8"/>
  <c r="N10" i="8"/>
  <c r="M10" i="8"/>
  <c r="L10" i="8"/>
  <c r="K10" i="8"/>
  <c r="J10" i="8"/>
  <c r="I10" i="8"/>
  <c r="H10" i="8"/>
  <c r="G10" i="8"/>
  <c r="F10" i="8"/>
  <c r="E10" i="8"/>
  <c r="D10" i="8"/>
  <c r="C10" i="8"/>
  <c r="Y10" i="8"/>
  <c r="AH10" i="8"/>
  <c r="AG10" i="8"/>
  <c r="AF10" i="8"/>
  <c r="AE10" i="8"/>
  <c r="AD10" i="8"/>
  <c r="AC10" i="8"/>
  <c r="AB10" i="8"/>
  <c r="AA10" i="8"/>
  <c r="Z10" i="8"/>
  <c r="H181" i="22" l="1"/>
  <c r="L175" i="22"/>
  <c r="R178" i="22" s="1"/>
  <c r="P178" i="22"/>
  <c r="Q155" i="22"/>
  <c r="H177" i="22"/>
  <c r="AF182" i="22"/>
  <c r="AF178" i="22"/>
  <c r="AF176" i="22"/>
  <c r="AF175" i="22"/>
  <c r="AF180" i="22"/>
  <c r="AF179" i="22"/>
  <c r="AF181" i="22"/>
  <c r="AF177" i="22"/>
  <c r="AF174" i="22"/>
  <c r="AF183" i="22"/>
  <c r="T175" i="22"/>
  <c r="T176" i="22"/>
  <c r="T178" i="22"/>
  <c r="T177" i="22"/>
  <c r="L180" i="22"/>
  <c r="L178" i="22"/>
  <c r="L176" i="22"/>
  <c r="P179" i="22" s="1"/>
  <c r="L181" i="22"/>
  <c r="L179" i="22"/>
  <c r="L177" i="22"/>
  <c r="C42" i="9" a="1"/>
  <c r="C42" i="9" s="1"/>
  <c r="C147" i="9" a="1"/>
  <c r="C147" i="9" s="1"/>
  <c r="C32" i="9" a="1"/>
  <c r="C137" i="9" a="1"/>
  <c r="C137" i="9" s="1"/>
  <c r="C140" i="9" a="1"/>
  <c r="C140" i="9" s="1"/>
  <c r="C135" i="9" a="1"/>
  <c r="C135" i="9" s="1"/>
  <c r="C150" i="9" a="1"/>
  <c r="C150" i="9" s="1"/>
  <c r="C154" i="9" a="1"/>
  <c r="C154" i="9" s="1"/>
  <c r="C144" i="9" a="1"/>
  <c r="C144" i="9" s="1"/>
  <c r="C156" i="9" a="1"/>
  <c r="C156" i="9" s="1"/>
  <c r="C134" i="9" a="1"/>
  <c r="C86" i="9" a="1"/>
  <c r="C86" i="9" s="1"/>
  <c r="C105" i="9" a="1"/>
  <c r="C105" i="9" s="1"/>
  <c r="C101" i="9" a="1"/>
  <c r="C101" i="9" s="1"/>
  <c r="C97" i="9" a="1"/>
  <c r="C97" i="9" s="1"/>
  <c r="C93" i="9" a="1"/>
  <c r="C93" i="9" s="1"/>
  <c r="C89" i="9" a="1"/>
  <c r="C89" i="9" s="1"/>
  <c r="C85" i="9" a="1"/>
  <c r="C85" i="9" s="1"/>
  <c r="C84" i="9" a="1"/>
  <c r="C84" i="9" s="1"/>
  <c r="C104" i="9" a="1"/>
  <c r="C104" i="9" s="1"/>
  <c r="C100" i="9" a="1"/>
  <c r="C100" i="9" s="1"/>
  <c r="C96" i="9" a="1"/>
  <c r="C96" i="9" s="1"/>
  <c r="C92" i="9" a="1"/>
  <c r="C92" i="9" s="1"/>
  <c r="C88" i="9" a="1"/>
  <c r="C88" i="9" s="1"/>
  <c r="C83" i="9" a="1"/>
  <c r="C83" i="9" s="1"/>
  <c r="C99" i="9" a="1"/>
  <c r="C99" i="9" s="1"/>
  <c r="C91" i="9" a="1"/>
  <c r="C91" i="9" s="1"/>
  <c r="C98" i="9" a="1"/>
  <c r="C98" i="9" s="1"/>
  <c r="C90" i="9" a="1"/>
  <c r="C90" i="9" s="1"/>
  <c r="C103" i="9" a="1"/>
  <c r="C103" i="9" s="1"/>
  <c r="C95" i="9" a="1"/>
  <c r="C95" i="9" s="1"/>
  <c r="C87" i="9" a="1"/>
  <c r="C87" i="9" s="1"/>
  <c r="C102" i="9" a="1"/>
  <c r="C102" i="9" s="1"/>
  <c r="C94" i="9" a="1"/>
  <c r="C94" i="9" s="1"/>
  <c r="AI14" i="9" a="1"/>
  <c r="AI14" i="9" s="1"/>
  <c r="AQ14" i="9" a="1"/>
  <c r="AQ14" i="9" s="1"/>
  <c r="AH14" i="9" a="1"/>
  <c r="AH14" i="9" s="1"/>
  <c r="AQ19" i="9" a="1"/>
  <c r="AQ19" i="9" s="1"/>
  <c r="AD22" i="9" a="1"/>
  <c r="AD22" i="9" s="1"/>
  <c r="AJ14" i="9" a="1"/>
  <c r="AJ14" i="9" s="1"/>
  <c r="L27" i="9" a="1"/>
  <c r="L27" i="9" s="1"/>
  <c r="S27" i="9" a="1"/>
  <c r="S27" i="9" s="1"/>
  <c r="AN26" i="9" a="1"/>
  <c r="AN26" i="9" s="1"/>
  <c r="AC14" i="9" a="1"/>
  <c r="AC14" i="9" s="1"/>
  <c r="AI16" i="9" a="1"/>
  <c r="AI16" i="9" s="1"/>
  <c r="V16" i="9" a="1"/>
  <c r="V16" i="9" s="1"/>
  <c r="AV19" i="9" a="1"/>
  <c r="AV19" i="9" s="1"/>
  <c r="R22" i="9" a="1"/>
  <c r="R22" i="9" s="1"/>
  <c r="J22" i="9" a="1"/>
  <c r="J22" i="9" s="1"/>
  <c r="AS14" i="9" a="1"/>
  <c r="AS14" i="9" s="1"/>
  <c r="AQ16" i="9" a="1"/>
  <c r="AQ16" i="9" s="1"/>
  <c r="AE16" i="9" a="1"/>
  <c r="AE16" i="9" s="1"/>
  <c r="P16" i="9" a="1"/>
  <c r="P16" i="9" s="1"/>
  <c r="AV20" i="9" a="1"/>
  <c r="AV20" i="9" s="1"/>
  <c r="P22" i="9" a="1"/>
  <c r="P22" i="9" s="1"/>
  <c r="H22" i="9" a="1"/>
  <c r="H22" i="9" s="1"/>
  <c r="C194" i="9" a="1"/>
  <c r="C194" i="9" s="1"/>
  <c r="B128" i="24" a="1"/>
  <c r="B128" i="24" s="1"/>
  <c r="B127" i="24" a="1"/>
  <c r="B127" i="24" s="1"/>
  <c r="C5" i="8"/>
  <c r="I6" i="20" s="1"/>
  <c r="C4" i="8"/>
  <c r="A179" i="9" s="1"/>
  <c r="C191" i="9" a="1"/>
  <c r="C191" i="9" s="1"/>
  <c r="C189" i="9" a="1"/>
  <c r="C189" i="9" s="1"/>
  <c r="C187" i="9" a="1"/>
  <c r="C187" i="9" s="1"/>
  <c r="C185" i="9" a="1"/>
  <c r="C185" i="9" s="1"/>
  <c r="C180" i="9" a="1"/>
  <c r="C180" i="9" s="1"/>
  <c r="C179" i="9" a="1"/>
  <c r="C179" i="9" s="1"/>
  <c r="C177" i="9" a="1"/>
  <c r="C177" i="9" s="1"/>
  <c r="C176" i="9" a="1"/>
  <c r="C176" i="9" s="1"/>
  <c r="C174" i="9" a="1"/>
  <c r="C174" i="9" s="1"/>
  <c r="C173" i="9" a="1"/>
  <c r="C173" i="9" s="1"/>
  <c r="G302" i="14"/>
  <c r="G301" i="14"/>
  <c r="G300" i="14"/>
  <c r="G299" i="14"/>
  <c r="G298" i="14"/>
  <c r="G297" i="14"/>
  <c r="G296" i="14"/>
  <c r="G295" i="14"/>
  <c r="G294" i="14"/>
  <c r="G293" i="14"/>
  <c r="G292" i="14"/>
  <c r="G291" i="14"/>
  <c r="G290" i="14"/>
  <c r="G289" i="14"/>
  <c r="G288" i="14"/>
  <c r="G287" i="14"/>
  <c r="G286" i="14"/>
  <c r="G285" i="14"/>
  <c r="G284" i="14"/>
  <c r="G283" i="14"/>
  <c r="G282" i="14"/>
  <c r="G281" i="14"/>
  <c r="G280" i="14"/>
  <c r="G279" i="14"/>
  <c r="G278" i="14"/>
  <c r="G277" i="14"/>
  <c r="G276" i="14"/>
  <c r="G275" i="14"/>
  <c r="G274" i="14"/>
  <c r="G273" i="14"/>
  <c r="G272" i="14"/>
  <c r="G271" i="14"/>
  <c r="G270" i="14"/>
  <c r="G269" i="14"/>
  <c r="G268" i="14"/>
  <c r="G267" i="14"/>
  <c r="G266" i="14"/>
  <c r="G265" i="14"/>
  <c r="G264" i="14"/>
  <c r="G263" i="14"/>
  <c r="G262" i="14"/>
  <c r="G261" i="14"/>
  <c r="G260" i="14"/>
  <c r="G259" i="14"/>
  <c r="G258" i="14"/>
  <c r="G257" i="14"/>
  <c r="G256" i="14"/>
  <c r="G255" i="14"/>
  <c r="G254" i="14"/>
  <c r="G253" i="14"/>
  <c r="G252" i="14"/>
  <c r="G251" i="14"/>
  <c r="G250" i="14"/>
  <c r="G249" i="14"/>
  <c r="G248" i="14"/>
  <c r="G247" i="14"/>
  <c r="G246" i="14"/>
  <c r="G245" i="14"/>
  <c r="G244" i="14"/>
  <c r="G243" i="14"/>
  <c r="G242" i="14"/>
  <c r="G241" i="14"/>
  <c r="G240" i="14"/>
  <c r="G239" i="14"/>
  <c r="G238" i="14"/>
  <c r="G237" i="14"/>
  <c r="G236" i="14"/>
  <c r="G235" i="14"/>
  <c r="G234" i="14"/>
  <c r="G233" i="14"/>
  <c r="G232" i="14"/>
  <c r="G231" i="14"/>
  <c r="G230" i="14"/>
  <c r="G229" i="14"/>
  <c r="G228" i="14"/>
  <c r="G227" i="14"/>
  <c r="G226" i="14"/>
  <c r="G225" i="14"/>
  <c r="G224" i="14"/>
  <c r="G223" i="14"/>
  <c r="G222" i="14"/>
  <c r="G221" i="14"/>
  <c r="G220" i="14"/>
  <c r="G219" i="14"/>
  <c r="G218" i="14"/>
  <c r="G217" i="14"/>
  <c r="G216" i="14"/>
  <c r="G215" i="14"/>
  <c r="G214" i="14"/>
  <c r="G213" i="14"/>
  <c r="G212" i="14"/>
  <c r="G211" i="14"/>
  <c r="G210" i="14"/>
  <c r="G209" i="14"/>
  <c r="G208" i="14"/>
  <c r="G207" i="14"/>
  <c r="G206" i="14"/>
  <c r="G205" i="14"/>
  <c r="G204" i="14"/>
  <c r="G203" i="14"/>
  <c r="G202" i="14"/>
  <c r="G201" i="14"/>
  <c r="G200" i="14"/>
  <c r="G199" i="14"/>
  <c r="G198" i="14"/>
  <c r="G197" i="14"/>
  <c r="G196" i="14"/>
  <c r="G195" i="14"/>
  <c r="G194" i="14"/>
  <c r="G193" i="14"/>
  <c r="G192" i="14"/>
  <c r="G191" i="14"/>
  <c r="G190" i="14"/>
  <c r="G189" i="14"/>
  <c r="G188" i="14"/>
  <c r="G187" i="14"/>
  <c r="G186" i="14"/>
  <c r="G185" i="14"/>
  <c r="G184" i="14"/>
  <c r="G183" i="14"/>
  <c r="G182" i="14"/>
  <c r="G181" i="14"/>
  <c r="G180" i="14"/>
  <c r="G179" i="14"/>
  <c r="G178" i="14"/>
  <c r="G177" i="14"/>
  <c r="G176" i="14"/>
  <c r="G175" i="14"/>
  <c r="G174" i="14"/>
  <c r="G173" i="14"/>
  <c r="G172" i="14"/>
  <c r="G171" i="14"/>
  <c r="G170" i="14"/>
  <c r="G169" i="14"/>
  <c r="G168" i="14"/>
  <c r="G167" i="14"/>
  <c r="G166" i="14"/>
  <c r="G165" i="14"/>
  <c r="G164" i="14"/>
  <c r="G163" i="14"/>
  <c r="G162" i="14"/>
  <c r="G161" i="14"/>
  <c r="G160" i="14"/>
  <c r="G159" i="14"/>
  <c r="G158" i="14"/>
  <c r="G157" i="14"/>
  <c r="G156" i="14"/>
  <c r="G155" i="14"/>
  <c r="G154" i="14"/>
  <c r="G153" i="14"/>
  <c r="G152" i="14"/>
  <c r="G151" i="14"/>
  <c r="G150" i="14"/>
  <c r="G149" i="14"/>
  <c r="G148" i="14"/>
  <c r="G147" i="14"/>
  <c r="G146" i="14"/>
  <c r="G145" i="14"/>
  <c r="G144" i="14"/>
  <c r="G143" i="14"/>
  <c r="G142" i="14"/>
  <c r="G141" i="14"/>
  <c r="G140" i="14"/>
  <c r="G139" i="14"/>
  <c r="G138" i="14"/>
  <c r="G137" i="14"/>
  <c r="G136" i="14"/>
  <c r="G135" i="14"/>
  <c r="G134" i="14"/>
  <c r="G133" i="14"/>
  <c r="G132" i="14"/>
  <c r="G131" i="14"/>
  <c r="G130" i="14"/>
  <c r="G129" i="14"/>
  <c r="G128" i="14"/>
  <c r="G127" i="14"/>
  <c r="G126" i="14"/>
  <c r="G125" i="14"/>
  <c r="G124" i="14"/>
  <c r="G123" i="14"/>
  <c r="G122" i="14"/>
  <c r="G121" i="14"/>
  <c r="G120" i="14"/>
  <c r="G119" i="14"/>
  <c r="G118" i="14"/>
  <c r="G117" i="14"/>
  <c r="G116" i="14"/>
  <c r="G115" i="14"/>
  <c r="G114" i="14"/>
  <c r="G113" i="14"/>
  <c r="G112" i="14"/>
  <c r="G111" i="14"/>
  <c r="G110" i="14"/>
  <c r="G109" i="14"/>
  <c r="G108" i="14"/>
  <c r="G107" i="14"/>
  <c r="G106" i="14"/>
  <c r="G105" i="14"/>
  <c r="G104" i="14"/>
  <c r="G103" i="14"/>
  <c r="G102" i="14"/>
  <c r="G101" i="14"/>
  <c r="G100" i="14"/>
  <c r="G99" i="14"/>
  <c r="G98" i="14"/>
  <c r="G97" i="14"/>
  <c r="G96" i="14"/>
  <c r="G95" i="14"/>
  <c r="G94" i="14"/>
  <c r="G93" i="14"/>
  <c r="G92" i="14"/>
  <c r="G91" i="14"/>
  <c r="G90" i="14"/>
  <c r="G89" i="14"/>
  <c r="G88" i="14"/>
  <c r="G87" i="14"/>
  <c r="G86" i="14"/>
  <c r="G85" i="14"/>
  <c r="G84" i="14"/>
  <c r="G83" i="14"/>
  <c r="G82" i="14"/>
  <c r="G81" i="14"/>
  <c r="G80" i="14"/>
  <c r="G79" i="14"/>
  <c r="G78" i="14"/>
  <c r="G77" i="14"/>
  <c r="G76" i="14"/>
  <c r="G75" i="14"/>
  <c r="G74" i="14"/>
  <c r="G73" i="14"/>
  <c r="G72" i="14"/>
  <c r="G71" i="14"/>
  <c r="G70" i="14"/>
  <c r="G69" i="14"/>
  <c r="G68" i="14"/>
  <c r="G67" i="14"/>
  <c r="G66" i="14"/>
  <c r="G65" i="14"/>
  <c r="G64" i="14"/>
  <c r="G63" i="14"/>
  <c r="G62" i="14"/>
  <c r="G61" i="14"/>
  <c r="G60" i="14"/>
  <c r="G59" i="14"/>
  <c r="G58" i="14"/>
  <c r="G57" i="14"/>
  <c r="G56" i="14"/>
  <c r="G55" i="14"/>
  <c r="G54" i="14"/>
  <c r="G53" i="14"/>
  <c r="G52" i="14"/>
  <c r="G51" i="14"/>
  <c r="G50" i="14"/>
  <c r="G49" i="14"/>
  <c r="G48" i="14"/>
  <c r="G47" i="14"/>
  <c r="G46" i="14"/>
  <c r="G45" i="14"/>
  <c r="G44" i="14"/>
  <c r="G43" i="14"/>
  <c r="G42" i="14"/>
  <c r="G41" i="14"/>
  <c r="G40" i="14"/>
  <c r="G39" i="14"/>
  <c r="G38" i="14"/>
  <c r="G37" i="14"/>
  <c r="G36" i="14"/>
  <c r="G35" i="14"/>
  <c r="G34" i="14"/>
  <c r="G33" i="14"/>
  <c r="G32" i="14"/>
  <c r="G31" i="14"/>
  <c r="G30" i="14"/>
  <c r="G29" i="14"/>
  <c r="G28" i="14"/>
  <c r="G27" i="14"/>
  <c r="G26" i="14"/>
  <c r="G25" i="14"/>
  <c r="G24" i="14"/>
  <c r="G23" i="14"/>
  <c r="G22" i="14"/>
  <c r="G21" i="14"/>
  <c r="G20" i="14"/>
  <c r="G19" i="14"/>
  <c r="G18" i="14"/>
  <c r="G17" i="14"/>
  <c r="G16" i="14"/>
  <c r="G15" i="14"/>
  <c r="G14" i="14"/>
  <c r="G13" i="14"/>
  <c r="G12" i="14"/>
  <c r="G11" i="14"/>
  <c r="B5" i="16"/>
  <c r="J7" i="20"/>
  <c r="J8" i="20"/>
  <c r="J9" i="20"/>
  <c r="J10" i="20"/>
  <c r="J11" i="20"/>
  <c r="J12" i="20"/>
  <c r="J13" i="20"/>
  <c r="J14" i="20"/>
  <c r="J15" i="20"/>
  <c r="J16" i="20"/>
  <c r="J17" i="20"/>
  <c r="J18" i="20"/>
  <c r="J19" i="20"/>
  <c r="J20" i="20"/>
  <c r="J21" i="20"/>
  <c r="J22" i="20"/>
  <c r="J23" i="20"/>
  <c r="J24" i="20"/>
  <c r="J25" i="20"/>
  <c r="J26" i="20"/>
  <c r="J27" i="20"/>
  <c r="J28" i="20"/>
  <c r="J29" i="20"/>
  <c r="J30" i="20"/>
  <c r="J31" i="20"/>
  <c r="J32" i="20"/>
  <c r="J33" i="20"/>
  <c r="J34" i="20"/>
  <c r="J35" i="20"/>
  <c r="J36" i="20"/>
  <c r="J37" i="20"/>
  <c r="J38" i="20"/>
  <c r="J39" i="20"/>
  <c r="J40" i="20"/>
  <c r="J41" i="20"/>
  <c r="J42" i="20"/>
  <c r="J43" i="20"/>
  <c r="J44" i="20"/>
  <c r="J45" i="20"/>
  <c r="J46" i="20"/>
  <c r="J47" i="20"/>
  <c r="J48" i="20"/>
  <c r="J49" i="20"/>
  <c r="J50" i="20"/>
  <c r="J51" i="20"/>
  <c r="J52" i="20"/>
  <c r="J53" i="20"/>
  <c r="J54" i="20"/>
  <c r="D7" i="20"/>
  <c r="G8" i="20"/>
  <c r="G9" i="20"/>
  <c r="G10" i="20"/>
  <c r="G11" i="20"/>
  <c r="G12" i="20"/>
  <c r="G13" i="20"/>
  <c r="G14" i="20"/>
  <c r="G15" i="20"/>
  <c r="G16" i="20"/>
  <c r="G17" i="20"/>
  <c r="G18" i="20"/>
  <c r="G19" i="20"/>
  <c r="G20" i="20"/>
  <c r="G21" i="20"/>
  <c r="G22" i="20"/>
  <c r="G23" i="20"/>
  <c r="G24" i="20"/>
  <c r="G25" i="20"/>
  <c r="G26" i="20"/>
  <c r="G27" i="20"/>
  <c r="G28" i="20"/>
  <c r="G29" i="20"/>
  <c r="G30" i="20"/>
  <c r="G31" i="20"/>
  <c r="G32" i="20"/>
  <c r="G33" i="20"/>
  <c r="G34" i="20"/>
  <c r="G35" i="20"/>
  <c r="G36" i="20"/>
  <c r="G37" i="20"/>
  <c r="G38" i="20"/>
  <c r="G39" i="20"/>
  <c r="G40" i="20"/>
  <c r="G41" i="20"/>
  <c r="G42" i="20"/>
  <c r="G43" i="20"/>
  <c r="G44" i="20"/>
  <c r="G45" i="20"/>
  <c r="G46" i="20"/>
  <c r="G47" i="20"/>
  <c r="G48" i="20"/>
  <c r="G49" i="20"/>
  <c r="G50" i="20"/>
  <c r="G51" i="20"/>
  <c r="G52" i="20"/>
  <c r="G53" i="20"/>
  <c r="G54" i="20"/>
  <c r="G7" i="20"/>
  <c r="D8" i="20"/>
  <c r="D9" i="20"/>
  <c r="D10" i="20"/>
  <c r="D11" i="20"/>
  <c r="D12" i="20"/>
  <c r="D13" i="20"/>
  <c r="D14" i="20"/>
  <c r="D15" i="20"/>
  <c r="D16" i="20"/>
  <c r="D17" i="20"/>
  <c r="D18" i="20"/>
  <c r="D19" i="20"/>
  <c r="D20" i="20"/>
  <c r="D21" i="20"/>
  <c r="D22" i="20"/>
  <c r="D23" i="20"/>
  <c r="D24" i="20"/>
  <c r="D25" i="20"/>
  <c r="D26" i="20"/>
  <c r="D27" i="20"/>
  <c r="D28" i="20"/>
  <c r="D29" i="20"/>
  <c r="D30" i="20"/>
  <c r="D31" i="20"/>
  <c r="D32" i="20"/>
  <c r="D33" i="20"/>
  <c r="D34" i="20"/>
  <c r="D35" i="20"/>
  <c r="D36" i="20"/>
  <c r="D37" i="20"/>
  <c r="D38" i="20"/>
  <c r="D39" i="20"/>
  <c r="D40" i="20"/>
  <c r="D41" i="20"/>
  <c r="D42" i="20"/>
  <c r="D43" i="20"/>
  <c r="D44" i="20"/>
  <c r="D45" i="20"/>
  <c r="D46" i="20"/>
  <c r="D47" i="20"/>
  <c r="D48" i="20"/>
  <c r="D49" i="20"/>
  <c r="D50" i="20"/>
  <c r="D51" i="20"/>
  <c r="D52" i="20"/>
  <c r="D53" i="20"/>
  <c r="D54" i="20"/>
  <c r="C31" i="23" a="1"/>
  <c r="C31" i="23" s="1"/>
  <c r="C21" i="23" a="1"/>
  <c r="C21" i="23" s="1"/>
  <c r="B78" i="24" a="1"/>
  <c r="B78" i="24" s="1"/>
  <c r="AJ181" i="22" l="1"/>
  <c r="AJ176" i="22"/>
  <c r="AJ183" i="22"/>
  <c r="AJ174" i="22"/>
  <c r="AJ178" i="22"/>
  <c r="AJ179" i="22"/>
  <c r="AJ175" i="22"/>
  <c r="AJ182" i="22"/>
  <c r="AJ177" i="22"/>
  <c r="AJ180" i="22"/>
  <c r="X175" i="22"/>
  <c r="P177" i="22"/>
  <c r="P175" i="22"/>
  <c r="P181" i="22"/>
  <c r="P176" i="22"/>
  <c r="P180" i="22"/>
  <c r="AL183" i="22"/>
  <c r="AL174" i="22"/>
  <c r="AK174" i="22"/>
  <c r="AK175" i="22"/>
  <c r="AK182" i="22"/>
  <c r="AL182" i="22"/>
  <c r="AK183" i="22"/>
  <c r="AL175" i="22"/>
  <c r="AL177" i="22"/>
  <c r="AL180" i="22"/>
  <c r="AK176" i="22"/>
  <c r="AK177" i="22"/>
  <c r="AL181" i="22"/>
  <c r="AL176" i="22"/>
  <c r="AK178" i="22"/>
  <c r="AL178" i="22"/>
  <c r="AK179" i="22"/>
  <c r="AL179" i="22"/>
  <c r="AK180" i="22"/>
  <c r="AK181" i="22"/>
  <c r="Y175" i="22"/>
  <c r="R175" i="22"/>
  <c r="Q178" i="22"/>
  <c r="R181" i="22"/>
  <c r="Q175" i="22"/>
  <c r="Z175" i="22"/>
  <c r="Z176" i="22"/>
  <c r="Z177" i="22"/>
  <c r="Z178" i="22"/>
  <c r="Y176" i="22"/>
  <c r="Y177" i="22"/>
  <c r="Y178" i="22"/>
  <c r="Q181" i="22"/>
  <c r="Q180" i="22"/>
  <c r="Q176" i="22"/>
  <c r="Q179" i="22"/>
  <c r="Q177" i="22"/>
  <c r="R179" i="22"/>
  <c r="R180" i="22"/>
  <c r="R177" i="22"/>
  <c r="R176" i="22"/>
  <c r="D15" i="9" a="1"/>
  <c r="D15" i="9" s="1"/>
  <c r="D17" i="9" a="1"/>
  <c r="D17" i="9" s="1"/>
  <c r="AL19" i="9" a="1"/>
  <c r="AL19" i="9" s="1"/>
  <c r="Z15" i="9" a="1"/>
  <c r="Z15" i="9" s="1"/>
  <c r="K22" i="9" a="1"/>
  <c r="K22" i="9" s="1"/>
  <c r="Y20" i="9" a="1"/>
  <c r="Y20" i="9" s="1"/>
  <c r="AJ20" i="9" a="1"/>
  <c r="AJ20" i="9" s="1"/>
  <c r="R24" i="9" a="1"/>
  <c r="R24" i="9" s="1"/>
  <c r="AV27" i="9" a="1"/>
  <c r="AV27" i="9" s="1"/>
  <c r="AJ27" i="9" a="1"/>
  <c r="AJ27" i="9" s="1"/>
  <c r="AQ20" i="9" a="1"/>
  <c r="AQ20" i="9" s="1"/>
  <c r="AR27" i="9" a="1"/>
  <c r="AR27" i="9" s="1"/>
  <c r="AB20" i="9" a="1"/>
  <c r="AB20" i="9" s="1"/>
  <c r="R15" i="9" a="1"/>
  <c r="R15" i="9" s="1"/>
  <c r="M14" i="9" a="1"/>
  <c r="M14" i="9" s="1"/>
  <c r="AI24" i="9" a="1"/>
  <c r="AI24" i="9" s="1"/>
  <c r="Y27" i="9" a="1"/>
  <c r="Y27" i="9" s="1"/>
  <c r="F18" i="9" a="1"/>
  <c r="F18" i="9" s="1"/>
  <c r="N28" i="9" a="1"/>
  <c r="N28" i="9" s="1"/>
  <c r="AR28" i="9" a="1"/>
  <c r="AR28" i="9" s="1"/>
  <c r="W16" i="9" a="1"/>
  <c r="W16" i="9" s="1"/>
  <c r="F17" i="9" a="1"/>
  <c r="F17" i="9" s="1"/>
  <c r="H28" i="9" a="1"/>
  <c r="H28" i="9" s="1"/>
  <c r="K19" i="9" a="1"/>
  <c r="K19" i="9" s="1"/>
  <c r="AN133" i="9" a="1"/>
  <c r="AN133" i="9" s="1"/>
  <c r="AE27" i="9" a="1"/>
  <c r="AE27" i="9" s="1"/>
  <c r="AH20" i="9" a="1"/>
  <c r="AH20" i="9" s="1"/>
  <c r="N17" i="9" a="1"/>
  <c r="N17" i="9" s="1"/>
  <c r="AP28" i="9" a="1"/>
  <c r="AP28" i="9" s="1"/>
  <c r="I22" i="9" a="1"/>
  <c r="I22" i="9" s="1"/>
  <c r="AD19" i="9" a="1"/>
  <c r="AD19" i="9" s="1"/>
  <c r="R19" i="9" a="1"/>
  <c r="R19" i="9" s="1"/>
  <c r="AE22" i="9" a="1"/>
  <c r="AE22" i="9" s="1"/>
  <c r="AU24" i="9" a="1"/>
  <c r="AU24" i="9" s="1"/>
  <c r="M16" i="9" a="1"/>
  <c r="M16" i="9" s="1"/>
  <c r="AD15" i="9" a="1"/>
  <c r="AD15" i="9" s="1"/>
  <c r="Q23" i="9" a="1"/>
  <c r="Q23" i="9" s="1"/>
  <c r="AP24" i="9" a="1"/>
  <c r="AP24" i="9" s="1"/>
  <c r="K17" i="9" a="1"/>
  <c r="K17" i="9" s="1"/>
  <c r="Z20" i="9" a="1"/>
  <c r="Z20" i="9" s="1"/>
  <c r="AM17" i="9" a="1"/>
  <c r="AM17" i="9" s="1"/>
  <c r="R23" i="9" a="1"/>
  <c r="R23" i="9" s="1"/>
  <c r="AQ28" i="9" a="1"/>
  <c r="AQ28" i="9" s="1"/>
  <c r="AE131" i="9" a="1"/>
  <c r="AE131" i="9" s="1"/>
  <c r="J23" i="9" a="1"/>
  <c r="J23" i="9" s="1"/>
  <c r="AG28" i="9" a="1"/>
  <c r="AG28" i="9" s="1"/>
  <c r="X16" i="9" a="1"/>
  <c r="X16" i="9" s="1"/>
  <c r="AT16" i="9" a="1"/>
  <c r="AT16" i="9" s="1"/>
  <c r="D14" i="9" a="1"/>
  <c r="D14" i="9" s="1"/>
  <c r="AP19" i="9" a="1"/>
  <c r="AP19" i="9" s="1"/>
  <c r="AA132" i="9" a="1"/>
  <c r="AA132" i="9" s="1"/>
  <c r="AM125" i="9" a="1"/>
  <c r="AM125" i="9" s="1"/>
  <c r="X27" i="9" a="1"/>
  <c r="X27" i="9" s="1"/>
  <c r="N16" i="9" a="1"/>
  <c r="N16" i="9" s="1"/>
  <c r="V17" i="9" a="1"/>
  <c r="V17" i="9" s="1"/>
  <c r="J19" i="9" a="1"/>
  <c r="J19" i="9" s="1"/>
  <c r="AI20" i="9" a="1"/>
  <c r="AI20" i="9" s="1"/>
  <c r="AI22" i="9" a="1"/>
  <c r="AI22" i="9" s="1"/>
  <c r="AU14" i="9" a="1"/>
  <c r="AU14" i="9" s="1"/>
  <c r="R17" i="9" a="1"/>
  <c r="R17" i="9" s="1"/>
  <c r="AQ22" i="9" a="1"/>
  <c r="AQ22" i="9" s="1"/>
  <c r="AM20" i="9" a="1"/>
  <c r="AM20" i="9" s="1"/>
  <c r="M123" i="9" a="1"/>
  <c r="M123" i="9" s="1"/>
  <c r="AA27" i="9" a="1"/>
  <c r="AA27" i="9" s="1"/>
  <c r="I23" i="9" a="1"/>
  <c r="I23" i="9" s="1"/>
  <c r="M124" i="9" a="1"/>
  <c r="M124" i="9" s="1"/>
  <c r="AD123" i="9" a="1"/>
  <c r="AD123" i="9" s="1"/>
  <c r="AH127" i="9" a="1"/>
  <c r="AH127" i="9" s="1"/>
  <c r="AV18" i="9" a="1"/>
  <c r="AV18" i="9" s="1"/>
  <c r="S19" i="9" a="1"/>
  <c r="S19" i="9" s="1"/>
  <c r="AU133" i="9" a="1"/>
  <c r="AU133" i="9" s="1"/>
  <c r="AC133" i="9" a="1"/>
  <c r="AC133" i="9" s="1"/>
  <c r="O17" i="9" a="1"/>
  <c r="O17" i="9" s="1"/>
  <c r="AE15" i="9" a="1"/>
  <c r="AE15" i="9" s="1"/>
  <c r="AR16" i="9" a="1"/>
  <c r="AR16" i="9" s="1"/>
  <c r="AJ131" i="9" a="1"/>
  <c r="AJ131" i="9" s="1"/>
  <c r="AI121" i="9" a="1"/>
  <c r="AI121" i="9" s="1"/>
  <c r="AA133" i="9" a="1"/>
  <c r="AA133" i="9" s="1"/>
  <c r="E124" i="9" a="1"/>
  <c r="E124" i="9" s="1"/>
  <c r="AK133" i="9" a="1"/>
  <c r="AK133" i="9" s="1"/>
  <c r="T124" i="9" a="1"/>
  <c r="T124" i="9" s="1"/>
  <c r="X128" i="9" a="1"/>
  <c r="X128" i="9" s="1"/>
  <c r="AM132" i="9" a="1"/>
  <c r="AM132" i="9" s="1"/>
  <c r="AB127" i="9" a="1"/>
  <c r="AB127" i="9" s="1"/>
  <c r="AA123" i="9" a="1"/>
  <c r="AA123" i="9" s="1"/>
  <c r="W125" i="9" a="1"/>
  <c r="W125" i="9" s="1"/>
  <c r="AR119" i="9" a="1"/>
  <c r="AR119" i="9" s="1"/>
  <c r="AE120" i="9" a="1"/>
  <c r="AE120" i="9" s="1"/>
  <c r="AG125" i="9" a="1"/>
  <c r="AG125" i="9" s="1"/>
  <c r="I121" i="9" a="1"/>
  <c r="I121" i="9" s="1"/>
  <c r="AD121" i="9" a="1"/>
  <c r="AD121" i="9" s="1"/>
  <c r="U121" i="9" a="1"/>
  <c r="U121" i="9" s="1"/>
  <c r="X125" i="9" a="1"/>
  <c r="X125" i="9" s="1"/>
  <c r="R127" i="9" a="1"/>
  <c r="R127" i="9" s="1"/>
  <c r="AR133" i="9" a="1"/>
  <c r="AR133" i="9" s="1"/>
  <c r="AH125" i="9" a="1"/>
  <c r="AH125" i="9" s="1"/>
  <c r="E131" i="9" a="1"/>
  <c r="E131" i="9" s="1"/>
  <c r="AR125" i="9" a="1"/>
  <c r="AR125" i="9" s="1"/>
  <c r="AJ119" i="9" a="1"/>
  <c r="AJ119" i="9" s="1"/>
  <c r="G127" i="9" a="1"/>
  <c r="G127" i="9" s="1"/>
  <c r="F131" i="9" a="1"/>
  <c r="F131" i="9" s="1"/>
  <c r="Q132" i="9" a="1"/>
  <c r="Q132" i="9" s="1"/>
  <c r="T122" i="9" a="1"/>
  <c r="T122" i="9" s="1"/>
  <c r="I120" i="9" a="1"/>
  <c r="I120" i="9" s="1"/>
  <c r="V125" i="9" a="1"/>
  <c r="V125" i="9" s="1"/>
  <c r="R128" i="9" a="1"/>
  <c r="R128" i="9" s="1"/>
  <c r="H124" i="9" a="1"/>
  <c r="H124" i="9" s="1"/>
  <c r="J132" i="9" a="1"/>
  <c r="J132" i="9" s="1"/>
  <c r="AS123" i="9" a="1"/>
  <c r="AS123" i="9" s="1"/>
  <c r="U120" i="9" a="1"/>
  <c r="U120" i="9" s="1"/>
  <c r="AT123" i="9" a="1"/>
  <c r="AT123" i="9" s="1"/>
  <c r="AS121" i="9" a="1"/>
  <c r="AS121" i="9" s="1"/>
  <c r="AM133" i="9" a="1"/>
  <c r="AM133" i="9" s="1"/>
  <c r="AR127" i="9" a="1"/>
  <c r="AR127" i="9" s="1"/>
  <c r="X124" i="9" a="1"/>
  <c r="X124" i="9" s="1"/>
  <c r="C134" i="9"/>
  <c r="C133" i="9" s="1" a="1"/>
  <c r="C133" i="9" s="1"/>
  <c r="AB121" i="9" a="1"/>
  <c r="AB121" i="9" s="1"/>
  <c r="AN120" i="9" a="1"/>
  <c r="AN120" i="9" s="1"/>
  <c r="AS119" i="9" a="1"/>
  <c r="AS119" i="9" s="1"/>
  <c r="AF127" i="9" a="1"/>
  <c r="AF127" i="9" s="1"/>
  <c r="M119" i="9" a="1"/>
  <c r="M119" i="9" s="1"/>
  <c r="M129" i="9" a="1"/>
  <c r="M129" i="9" s="1"/>
  <c r="L119" i="9" a="1"/>
  <c r="L119" i="9" s="1"/>
  <c r="AG133" i="9" a="1"/>
  <c r="AG133" i="9" s="1"/>
  <c r="AU131" i="9" a="1"/>
  <c r="AU131" i="9" s="1"/>
  <c r="AQ131" i="9" a="1"/>
  <c r="AQ131" i="9" s="1"/>
  <c r="AE127" i="9" a="1"/>
  <c r="AE127" i="9" s="1"/>
  <c r="AF125" i="9" a="1"/>
  <c r="AF125" i="9" s="1"/>
  <c r="AE125" i="9" a="1"/>
  <c r="AE125" i="9" s="1"/>
  <c r="AD124" i="9" a="1"/>
  <c r="AD124" i="9" s="1"/>
  <c r="Y122" i="9" a="1"/>
  <c r="Y122" i="9" s="1"/>
  <c r="Q123" i="9" a="1"/>
  <c r="Q123" i="9" s="1"/>
  <c r="AM131" i="9" a="1"/>
  <c r="AM131" i="9" s="1"/>
  <c r="AH129" i="9" a="1"/>
  <c r="AH129" i="9" s="1"/>
  <c r="AH128" i="9" a="1"/>
  <c r="AH128" i="9" s="1"/>
  <c r="AG124" i="9" a="1"/>
  <c r="AG124" i="9" s="1"/>
  <c r="AV125" i="9" a="1"/>
  <c r="AV125" i="9" s="1"/>
  <c r="W132" i="9" a="1"/>
  <c r="W132" i="9" s="1"/>
  <c r="AT131" i="9" a="1"/>
  <c r="AT131" i="9" s="1"/>
  <c r="Q119" i="9" a="1"/>
  <c r="Q119" i="9" s="1"/>
  <c r="AN119" i="9" a="1"/>
  <c r="AN119" i="9" s="1"/>
  <c r="AP132" i="9" a="1"/>
  <c r="AP132" i="9" s="1"/>
  <c r="AF123" i="9" a="1"/>
  <c r="AF123" i="9" s="1"/>
  <c r="AT133" i="9" a="1"/>
  <c r="AT133" i="9" s="1"/>
  <c r="AE123" i="9" a="1"/>
  <c r="AE123" i="9" s="1"/>
  <c r="G119" i="9" a="1"/>
  <c r="G119" i="9" s="1"/>
  <c r="T125" i="9" a="1"/>
  <c r="T125" i="9" s="1"/>
  <c r="AH120" i="9" a="1"/>
  <c r="AH120" i="9" s="1"/>
  <c r="AG122" i="9" a="1"/>
  <c r="AG122" i="9" s="1"/>
  <c r="W121" i="9" a="1"/>
  <c r="W121" i="9" s="1"/>
  <c r="Q125" i="9" a="1"/>
  <c r="Q125" i="9" s="1"/>
  <c r="V123" i="9" a="1"/>
  <c r="V123" i="9" s="1"/>
  <c r="AU119" i="9" a="1"/>
  <c r="AU119" i="9" s="1"/>
  <c r="AA121" i="9" a="1"/>
  <c r="AA121" i="9" s="1"/>
  <c r="U129" i="9" a="1"/>
  <c r="U129" i="9" s="1"/>
  <c r="L131" i="9" a="1"/>
  <c r="L131" i="9" s="1"/>
  <c r="AM124" i="9" a="1"/>
  <c r="AM124" i="9" s="1"/>
  <c r="AT129" i="9" a="1"/>
  <c r="AT129" i="9" s="1"/>
  <c r="J133" i="9" a="1"/>
  <c r="J133" i="9" s="1"/>
  <c r="P119" i="9" a="1"/>
  <c r="P119" i="9" s="1"/>
  <c r="E128" i="9" a="1"/>
  <c r="E128" i="9" s="1"/>
  <c r="AB124" i="9" a="1"/>
  <c r="AB124" i="9" s="1"/>
  <c r="I131" i="9" a="1"/>
  <c r="I131" i="9" s="1"/>
  <c r="Z129" i="9" a="1"/>
  <c r="Z129" i="9" s="1"/>
  <c r="F120" i="9" a="1"/>
  <c r="F120" i="9" s="1"/>
  <c r="I124" i="9" a="1"/>
  <c r="I124" i="9" s="1"/>
  <c r="AA131" i="9" a="1"/>
  <c r="AA131" i="9" s="1"/>
  <c r="AA122" i="9" a="1"/>
  <c r="AA122" i="9" s="1"/>
  <c r="M120" i="9" a="1"/>
  <c r="M120" i="9" s="1"/>
  <c r="N122" i="9" a="1"/>
  <c r="N122" i="9" s="1"/>
  <c r="AC128" i="9" a="1"/>
  <c r="AC128" i="9" s="1"/>
  <c r="AI119" i="9" a="1"/>
  <c r="AI119" i="9" s="1"/>
  <c r="N133" i="9" a="1"/>
  <c r="N133" i="9" s="1"/>
  <c r="T120" i="9" a="1"/>
  <c r="T120" i="9" s="1"/>
  <c r="O132" i="9" a="1"/>
  <c r="O132" i="9" s="1"/>
  <c r="AO119" i="9" a="1"/>
  <c r="AO119" i="9" s="1"/>
  <c r="AD132" i="9" a="1"/>
  <c r="AD132" i="9" s="1"/>
  <c r="AE133" i="9" a="1"/>
  <c r="AE133" i="9" s="1"/>
  <c r="K121" i="9" a="1"/>
  <c r="K121" i="9" s="1"/>
  <c r="U127" i="9" a="1"/>
  <c r="U127" i="9" s="1"/>
  <c r="AS124" i="9" a="1"/>
  <c r="AS124" i="9" s="1"/>
  <c r="E123" i="9" a="1"/>
  <c r="E123" i="9" s="1"/>
  <c r="O120" i="9" a="1"/>
  <c r="O120" i="9" s="1"/>
  <c r="J131" i="9" a="1"/>
  <c r="J131" i="9" s="1"/>
  <c r="AP121" i="9" a="1"/>
  <c r="AP121" i="9" s="1"/>
  <c r="AP125" i="9" a="1"/>
  <c r="AP125" i="9" s="1"/>
  <c r="Q120" i="9" a="1"/>
  <c r="Q120" i="9" s="1"/>
  <c r="M132" i="9" a="1"/>
  <c r="M132" i="9" s="1"/>
  <c r="AG132" i="9" a="1"/>
  <c r="AG132" i="9" s="1"/>
  <c r="AO122" i="9" a="1"/>
  <c r="AO122" i="9" s="1"/>
  <c r="AA125" i="9" a="1"/>
  <c r="AA125" i="9" s="1"/>
  <c r="AK121" i="9" a="1"/>
  <c r="AK121" i="9" s="1"/>
  <c r="AI131" i="9" a="1"/>
  <c r="AI131" i="9" s="1"/>
  <c r="AI129" i="9" a="1"/>
  <c r="AI129" i="9" s="1"/>
  <c r="AJ123" i="9" a="1"/>
  <c r="AJ123" i="9" s="1"/>
  <c r="L125" i="9" a="1"/>
  <c r="L125" i="9" s="1"/>
  <c r="X119" i="9" a="1"/>
  <c r="X119" i="9" s="1"/>
  <c r="G131" i="9" a="1"/>
  <c r="G131" i="9" s="1"/>
  <c r="AQ122" i="9" a="1"/>
  <c r="AQ122" i="9" s="1"/>
  <c r="Y129" i="9" a="1"/>
  <c r="Y129" i="9" s="1"/>
  <c r="AP129" i="9" a="1"/>
  <c r="AP129" i="9" s="1"/>
  <c r="N124" i="9" a="1"/>
  <c r="N124" i="9" s="1"/>
  <c r="AH131" i="9" a="1"/>
  <c r="AH131" i="9" s="1"/>
  <c r="AU128" i="9" a="1"/>
  <c r="AU128" i="9" s="1"/>
  <c r="Z120" i="9" a="1"/>
  <c r="Z120" i="9" s="1"/>
  <c r="O129" i="9" a="1"/>
  <c r="O129" i="9" s="1"/>
  <c r="X132" i="9" a="1"/>
  <c r="X132" i="9" s="1"/>
  <c r="AJ122" i="9" a="1"/>
  <c r="AJ122" i="9" s="1"/>
  <c r="D122" i="9" a="1"/>
  <c r="D122" i="9" s="1"/>
  <c r="AS127" i="9" a="1"/>
  <c r="AS127" i="9" s="1"/>
  <c r="AO121" i="9" a="1"/>
  <c r="AO121" i="9" s="1"/>
  <c r="G133" i="9" a="1"/>
  <c r="G133" i="9" s="1"/>
  <c r="AT120" i="9" a="1"/>
  <c r="AT120" i="9" s="1"/>
  <c r="AG123" i="9" a="1"/>
  <c r="AG123" i="9" s="1"/>
  <c r="M128" i="9" a="1"/>
  <c r="M128" i="9" s="1"/>
  <c r="AC131" i="9" a="1"/>
  <c r="AC131" i="9" s="1"/>
  <c r="D127" i="9" a="1"/>
  <c r="D127" i="9" s="1"/>
  <c r="AT122" i="9" a="1"/>
  <c r="AT122" i="9" s="1"/>
  <c r="AK131" i="9" a="1"/>
  <c r="AK131" i="9" s="1"/>
  <c r="X122" i="9" a="1"/>
  <c r="X122" i="9" s="1"/>
  <c r="AR128" i="9" a="1"/>
  <c r="AR128" i="9" s="1"/>
  <c r="J123" i="9" a="1"/>
  <c r="J123" i="9" s="1"/>
  <c r="AG131" i="9" a="1"/>
  <c r="AG131" i="9" s="1"/>
  <c r="D124" i="9" a="1"/>
  <c r="D124" i="9" s="1"/>
  <c r="AL132" i="9" a="1"/>
  <c r="AL132" i="9" s="1"/>
  <c r="P133" i="9" a="1"/>
  <c r="P133" i="9" s="1"/>
  <c r="F121" i="9" a="1"/>
  <c r="F121" i="9" s="1"/>
  <c r="AQ124" i="9" a="1"/>
  <c r="AQ124" i="9" s="1"/>
  <c r="D121" i="9" a="1"/>
  <c r="D121" i="9" s="1"/>
  <c r="AJ133" i="9" a="1"/>
  <c r="AJ133" i="9" s="1"/>
  <c r="O122" i="9" a="1"/>
  <c r="O122" i="9" s="1"/>
  <c r="AM129" i="9" a="1"/>
  <c r="AM129" i="9" s="1"/>
  <c r="AU129" i="9" a="1"/>
  <c r="AU129" i="9" s="1"/>
  <c r="AC124" i="9" a="1"/>
  <c r="AC124" i="9" s="1"/>
  <c r="AJ129" i="9" a="1"/>
  <c r="AJ129" i="9" s="1"/>
  <c r="AS132" i="9" a="1"/>
  <c r="AS132" i="9" s="1"/>
  <c r="AM119" i="9" a="1"/>
  <c r="AM119" i="9" s="1"/>
  <c r="T128" i="9" a="1"/>
  <c r="T128" i="9" s="1"/>
  <c r="AP124" i="9" a="1"/>
  <c r="AP124" i="9" s="1"/>
  <c r="AK129" i="9" a="1"/>
  <c r="AK129" i="9" s="1"/>
  <c r="AI132" i="9" a="1"/>
  <c r="AI132" i="9" s="1"/>
  <c r="V129" i="9" a="1"/>
  <c r="V129" i="9" s="1"/>
  <c r="P129" i="9" a="1"/>
  <c r="P129" i="9" s="1"/>
  <c r="AO125" i="9" a="1"/>
  <c r="AO125" i="9" s="1"/>
  <c r="S121" i="9" a="1"/>
  <c r="S121" i="9" s="1"/>
  <c r="K120" i="9" a="1"/>
  <c r="K120" i="9" s="1"/>
  <c r="G122" i="9" a="1"/>
  <c r="G122" i="9" s="1"/>
  <c r="O133" i="9" a="1"/>
  <c r="O133" i="9" s="1"/>
  <c r="AR129" i="9" a="1"/>
  <c r="AR129" i="9" s="1"/>
  <c r="AR123" i="9" a="1"/>
  <c r="AR123" i="9" s="1"/>
  <c r="F129" i="9" a="1"/>
  <c r="F129" i="9" s="1"/>
  <c r="E127" i="9" a="1"/>
  <c r="E127" i="9" s="1"/>
  <c r="AV119" i="9" a="1"/>
  <c r="AV119" i="9" s="1"/>
  <c r="H127" i="9" a="1"/>
  <c r="H127" i="9" s="1"/>
  <c r="K128" i="9" a="1"/>
  <c r="K128" i="9" s="1"/>
  <c r="AE119" i="9" a="1"/>
  <c r="AE119" i="9" s="1"/>
  <c r="AB133" i="9" a="1"/>
  <c r="AB133" i="9" s="1"/>
  <c r="AE122" i="9" a="1"/>
  <c r="AE122" i="9" s="1"/>
  <c r="AG120" i="9" a="1"/>
  <c r="AG120" i="9" s="1"/>
  <c r="AH122" i="9" a="1"/>
  <c r="AH122" i="9" s="1"/>
  <c r="AR132" i="9" a="1"/>
  <c r="AR132" i="9" s="1"/>
  <c r="AL120" i="9" a="1"/>
  <c r="AL120" i="9" s="1"/>
  <c r="S129" i="9" a="1"/>
  <c r="S129" i="9" s="1"/>
  <c r="AJ127" i="9" a="1"/>
  <c r="AJ127" i="9" s="1"/>
  <c r="AS122" i="9" a="1"/>
  <c r="AS122" i="9" s="1"/>
  <c r="U132" i="9" a="1"/>
  <c r="U132" i="9" s="1"/>
  <c r="H131" i="9" a="1"/>
  <c r="H131" i="9" s="1"/>
  <c r="M125" i="9" a="1"/>
  <c r="M125" i="9" s="1"/>
  <c r="Z127" i="9" a="1"/>
  <c r="Z127" i="9" s="1"/>
  <c r="AQ119" i="9" a="1"/>
  <c r="AQ119" i="9" s="1"/>
  <c r="AG129" i="9" a="1"/>
  <c r="AG129" i="9" s="1"/>
  <c r="AH119" i="9" a="1"/>
  <c r="AH119" i="9" s="1"/>
  <c r="H119" i="9" a="1"/>
  <c r="H119" i="9" s="1"/>
  <c r="P127" i="9" a="1"/>
  <c r="P127" i="9" s="1"/>
  <c r="AF119" i="9" a="1"/>
  <c r="AF119" i="9" s="1"/>
  <c r="AN124" i="9" a="1"/>
  <c r="AN124" i="9" s="1"/>
  <c r="AQ132" i="9" a="1"/>
  <c r="AQ132" i="9" s="1"/>
  <c r="V127" i="9" a="1"/>
  <c r="V127" i="9" s="1"/>
  <c r="Q127" i="9" a="1"/>
  <c r="Q127" i="9" s="1"/>
  <c r="AQ133" i="9" a="1"/>
  <c r="AQ133" i="9" s="1"/>
  <c r="AA120" i="9" a="1"/>
  <c r="AA120" i="9" s="1"/>
  <c r="AO123" i="9" a="1"/>
  <c r="AO123" i="9" s="1"/>
  <c r="S122" i="9" a="1"/>
  <c r="S122" i="9" s="1"/>
  <c r="AL129" i="9" a="1"/>
  <c r="AL129" i="9" s="1"/>
  <c r="AE124" i="9" a="1"/>
  <c r="AE124" i="9" s="1"/>
  <c r="O119" i="9" a="1"/>
  <c r="O119" i="9" s="1"/>
  <c r="N120" i="9" a="1"/>
  <c r="N120" i="9" s="1"/>
  <c r="N131" i="9" a="1"/>
  <c r="N131" i="9" s="1"/>
  <c r="Z125" i="9" a="1"/>
  <c r="Z125" i="9" s="1"/>
  <c r="J122" i="9" a="1"/>
  <c r="J122" i="9" s="1"/>
  <c r="AF129" i="9" a="1"/>
  <c r="AF129" i="9" s="1"/>
  <c r="Y121" i="9" a="1"/>
  <c r="Y121" i="9" s="1"/>
  <c r="AK124" i="9" a="1"/>
  <c r="AK124" i="9" s="1"/>
  <c r="AN122" i="9" a="1"/>
  <c r="AN122" i="9" s="1"/>
  <c r="AO127" i="9" a="1"/>
  <c r="AO127" i="9" s="1"/>
  <c r="I123" i="9" a="1"/>
  <c r="I123" i="9" s="1"/>
  <c r="AJ125" i="9" a="1"/>
  <c r="AJ125" i="9" s="1"/>
  <c r="AK125" i="9" a="1"/>
  <c r="AK125" i="9" s="1"/>
  <c r="K132" i="9" a="1"/>
  <c r="K132" i="9" s="1"/>
  <c r="U124" i="9" a="1"/>
  <c r="U124" i="9" s="1"/>
  <c r="I132" i="9" a="1"/>
  <c r="I132" i="9" s="1"/>
  <c r="M133" i="9" a="1"/>
  <c r="M133" i="9" s="1"/>
  <c r="N123" i="9" a="1"/>
  <c r="N123" i="9" s="1"/>
  <c r="S124" i="9" a="1"/>
  <c r="S124" i="9" s="1"/>
  <c r="K125" i="9" a="1"/>
  <c r="K125" i="9" s="1"/>
  <c r="AD120" i="9" a="1"/>
  <c r="AD120" i="9" s="1"/>
  <c r="E125" i="9" a="1"/>
  <c r="E125" i="9" s="1"/>
  <c r="AV122" i="9" a="1"/>
  <c r="AV122" i="9" s="1"/>
  <c r="AL121" i="9" a="1"/>
  <c r="AL121" i="9" s="1"/>
  <c r="Y123" i="9" a="1"/>
  <c r="Y123" i="9" s="1"/>
  <c r="Q129" i="9" a="1"/>
  <c r="Q129" i="9" s="1"/>
  <c r="AF132" i="9" a="1"/>
  <c r="AF132" i="9" s="1"/>
  <c r="S119" i="9" a="1"/>
  <c r="S119" i="9" s="1"/>
  <c r="V128" i="9" a="1"/>
  <c r="V128" i="9" s="1"/>
  <c r="S123" i="9" a="1"/>
  <c r="S123" i="9" s="1"/>
  <c r="Y133" i="9" a="1"/>
  <c r="Y133" i="9" s="1"/>
  <c r="U133" i="9" a="1"/>
  <c r="U133" i="9" s="1"/>
  <c r="AB122" i="9" a="1"/>
  <c r="AB122" i="9" s="1"/>
  <c r="AO132" i="9" a="1"/>
  <c r="AO132" i="9" s="1"/>
  <c r="AU127" i="9" a="1"/>
  <c r="AU127" i="9" s="1"/>
  <c r="S133" i="9" a="1"/>
  <c r="S133" i="9" s="1"/>
  <c r="AU121" i="9" a="1"/>
  <c r="AU121" i="9" s="1"/>
  <c r="P131" i="9" a="1"/>
  <c r="P131" i="9" s="1"/>
  <c r="AC120" i="9" a="1"/>
  <c r="AC120" i="9" s="1"/>
  <c r="AQ127" i="9" a="1"/>
  <c r="AQ127" i="9" s="1"/>
  <c r="AU132" i="9" a="1"/>
  <c r="AU132" i="9" s="1"/>
  <c r="R119" i="9" a="1"/>
  <c r="R119" i="9" s="1"/>
  <c r="AV128" i="9" a="1"/>
  <c r="AV128" i="9" s="1"/>
  <c r="Z132" i="9" a="1"/>
  <c r="Z132" i="9" s="1"/>
  <c r="Z128" i="9" a="1"/>
  <c r="Z128" i="9" s="1"/>
  <c r="AQ120" i="9" a="1"/>
  <c r="AQ120" i="9" s="1"/>
  <c r="AM121" i="9" a="1"/>
  <c r="AM121" i="9" s="1"/>
  <c r="V132" i="9" a="1"/>
  <c r="V132" i="9" s="1"/>
  <c r="AQ129" i="9" a="1"/>
  <c r="AQ129" i="9" s="1"/>
  <c r="AO129" i="9" a="1"/>
  <c r="AO129" i="9" s="1"/>
  <c r="AC123" i="9" a="1"/>
  <c r="AC123" i="9" s="1"/>
  <c r="AE121" i="9" a="1"/>
  <c r="AE121" i="9" s="1"/>
  <c r="AS128" i="9" a="1"/>
  <c r="AS128" i="9" s="1"/>
  <c r="Y120" i="9" a="1"/>
  <c r="Y120" i="9" s="1"/>
  <c r="R122" i="9" a="1"/>
  <c r="R122" i="9" s="1"/>
  <c r="H122" i="9" a="1"/>
  <c r="H122" i="9" s="1"/>
  <c r="AF122" i="9" a="1"/>
  <c r="AF122" i="9" s="1"/>
  <c r="U122" i="9" a="1"/>
  <c r="U122" i="9" s="1"/>
  <c r="U123" i="9" a="1"/>
  <c r="U123" i="9" s="1"/>
  <c r="AI120" i="9" a="1"/>
  <c r="AI120" i="9" s="1"/>
  <c r="G123" i="9" a="1"/>
  <c r="G123" i="9" s="1"/>
  <c r="AU123" i="9" a="1"/>
  <c r="AU123" i="9" s="1"/>
  <c r="R124" i="9" a="1"/>
  <c r="R124" i="9" s="1"/>
  <c r="X131" i="9" a="1"/>
  <c r="X131" i="9" s="1"/>
  <c r="L129" i="9" a="1"/>
  <c r="L129" i="9" s="1"/>
  <c r="Z131" i="9" a="1"/>
  <c r="Z131" i="9" s="1"/>
  <c r="AA129" i="9" a="1"/>
  <c r="AA129" i="9" s="1"/>
  <c r="Y132" i="9" a="1"/>
  <c r="Y132" i="9" s="1"/>
  <c r="AC122" i="9" a="1"/>
  <c r="AC122" i="9" s="1"/>
  <c r="X129" i="9" a="1"/>
  <c r="X129" i="9" s="1"/>
  <c r="O127" i="9" a="1"/>
  <c r="O127" i="9" s="1"/>
  <c r="P125" i="9" a="1"/>
  <c r="P125" i="9" s="1"/>
  <c r="AR131" i="9" a="1"/>
  <c r="AR131" i="9" s="1"/>
  <c r="H121" i="9" a="1"/>
  <c r="H121" i="9" s="1"/>
  <c r="AN127" i="9" a="1"/>
  <c r="AN127" i="9" s="1"/>
  <c r="T131" i="9" a="1"/>
  <c r="T131" i="9" s="1"/>
  <c r="G124" i="9" a="1"/>
  <c r="G124" i="9" s="1"/>
  <c r="AM122" i="9" a="1"/>
  <c r="AM122" i="9" s="1"/>
  <c r="L128" i="9" a="1"/>
  <c r="L128" i="9" s="1"/>
  <c r="AB120" i="9" a="1"/>
  <c r="AB120" i="9" s="1"/>
  <c r="Z123" i="9" a="1"/>
  <c r="Z123" i="9" s="1"/>
  <c r="AD119" i="9" a="1"/>
  <c r="AD119" i="9" s="1"/>
  <c r="AG119" i="9" a="1"/>
  <c r="AG119" i="9" s="1"/>
  <c r="Q133" i="9" a="1"/>
  <c r="Q133" i="9" s="1"/>
  <c r="AT132" i="9" a="1"/>
  <c r="AT132" i="9" s="1"/>
  <c r="J128" i="9" a="1"/>
  <c r="J128" i="9" s="1"/>
  <c r="AD129" i="9" a="1"/>
  <c r="AD129" i="9" s="1"/>
  <c r="AA127" i="9" a="1"/>
  <c r="AA127" i="9" s="1"/>
  <c r="Z121" i="9" a="1"/>
  <c r="Z121" i="9" s="1"/>
  <c r="AK119" i="9" a="1"/>
  <c r="AK119" i="9" s="1"/>
  <c r="AK132" i="9" a="1"/>
  <c r="AK132" i="9" s="1"/>
  <c r="L123" i="9" a="1"/>
  <c r="L123" i="9" s="1"/>
  <c r="AP127" i="9" a="1"/>
  <c r="AP127" i="9" s="1"/>
  <c r="AI133" i="9" a="1"/>
  <c r="AI133" i="9" s="1"/>
  <c r="AQ121" i="9" a="1"/>
  <c r="AQ121" i="9" s="1"/>
  <c r="AD122" i="9" a="1"/>
  <c r="AD122" i="9" s="1"/>
  <c r="AC119" i="9" a="1"/>
  <c r="AC119" i="9" s="1"/>
  <c r="N128" i="9" a="1"/>
  <c r="N128" i="9" s="1"/>
  <c r="O124" i="9" a="1"/>
  <c r="O124" i="9" s="1"/>
  <c r="I129" i="9" a="1"/>
  <c r="I129" i="9" s="1"/>
  <c r="K122" i="9" a="1"/>
  <c r="K122" i="9" s="1"/>
  <c r="AO120" i="9" a="1"/>
  <c r="AO120" i="9" s="1"/>
  <c r="AC127" i="9" a="1"/>
  <c r="AC127" i="9" s="1"/>
  <c r="AP119" i="9" a="1"/>
  <c r="AP119" i="9" s="1"/>
  <c r="AN123" i="9" a="1"/>
  <c r="AN123" i="9" s="1"/>
  <c r="J121" i="9" a="1"/>
  <c r="J121" i="9" s="1"/>
  <c r="T129" i="9" a="1"/>
  <c r="T129" i="9" s="1"/>
  <c r="X121" i="9" a="1"/>
  <c r="X121" i="9" s="1"/>
  <c r="AQ128" i="9" a="1"/>
  <c r="AQ128" i="9" s="1"/>
  <c r="AJ124" i="9" a="1"/>
  <c r="AJ124" i="9" s="1"/>
  <c r="D120" i="9" a="1"/>
  <c r="D120" i="9" s="1"/>
  <c r="AK122" i="9" a="1"/>
  <c r="AK122" i="9" s="1"/>
  <c r="Y131" i="9" a="1"/>
  <c r="Y131" i="9" s="1"/>
  <c r="AN128" i="9" a="1"/>
  <c r="AN128" i="9" s="1"/>
  <c r="N132" i="9" a="1"/>
  <c r="N132" i="9" s="1"/>
  <c r="G129" i="9" a="1"/>
  <c r="G129" i="9" s="1"/>
  <c r="AH123" i="9" a="1"/>
  <c r="AH123" i="9" s="1"/>
  <c r="AO128" i="9" a="1"/>
  <c r="AO128" i="9" s="1"/>
  <c r="E132" i="9" a="1"/>
  <c r="E132" i="9" s="1"/>
  <c r="T121" i="9" a="1"/>
  <c r="T121" i="9" s="1"/>
  <c r="AN129" i="9" a="1"/>
  <c r="AN129" i="9" s="1"/>
  <c r="F128" i="9" a="1"/>
  <c r="F128" i="9" s="1"/>
  <c r="AV124" i="9" a="1"/>
  <c r="AV124" i="9" s="1"/>
  <c r="M121" i="9" a="1"/>
  <c r="M121" i="9" s="1"/>
  <c r="AT121" i="9" a="1"/>
  <c r="AT121" i="9" s="1"/>
  <c r="G128" i="9" a="1"/>
  <c r="G128" i="9" s="1"/>
  <c r="AA119" i="9" a="1"/>
  <c r="AA119" i="9" s="1"/>
  <c r="Y119" i="9" a="1"/>
  <c r="Y119" i="9" s="1"/>
  <c r="X120" i="9" a="1"/>
  <c r="X120" i="9" s="1"/>
  <c r="J119" i="9" a="1"/>
  <c r="J119" i="9" s="1"/>
  <c r="AS133" i="9" a="1"/>
  <c r="AS133" i="9" s="1"/>
  <c r="AJ121" i="9" a="1"/>
  <c r="AJ121" i="9" s="1"/>
  <c r="AM127" i="9" a="1"/>
  <c r="AM127" i="9" s="1"/>
  <c r="D133" i="9" a="1"/>
  <c r="D133" i="9" s="1"/>
  <c r="AO133" i="9" a="1"/>
  <c r="AO133" i="9" s="1"/>
  <c r="AD131" i="9" a="1"/>
  <c r="AD131" i="9" s="1"/>
  <c r="AB131" i="9" a="1"/>
  <c r="AB131" i="9" s="1"/>
  <c r="F125" i="9" a="1"/>
  <c r="F125" i="9" s="1"/>
  <c r="I122" i="9" a="1"/>
  <c r="I122" i="9" s="1"/>
  <c r="AV131" i="9" a="1"/>
  <c r="AV131" i="9" s="1"/>
  <c r="D119" i="9" a="1"/>
  <c r="D119" i="9" s="1"/>
  <c r="AL119" i="9" a="1"/>
  <c r="AL119" i="9" s="1"/>
  <c r="V124" i="9" a="1"/>
  <c r="V124" i="9" s="1"/>
  <c r="V121" i="9" a="1"/>
  <c r="V121" i="9" s="1"/>
  <c r="AP133" i="9" a="1"/>
  <c r="AP133" i="9" s="1"/>
  <c r="AS131" i="9" a="1"/>
  <c r="AS131" i="9" s="1"/>
  <c r="Q131" i="9" a="1"/>
  <c r="Q131" i="9" s="1"/>
  <c r="AB119" i="9" a="1"/>
  <c r="AB119" i="9" s="1"/>
  <c r="J120" i="9" a="1"/>
  <c r="J120" i="9" s="1"/>
  <c r="AJ120" i="9" a="1"/>
  <c r="AJ120" i="9" s="1"/>
  <c r="AF133" i="9" a="1"/>
  <c r="AF133" i="9" s="1"/>
  <c r="R132" i="9" a="1"/>
  <c r="R132" i="9" s="1"/>
  <c r="AG128" i="9" a="1"/>
  <c r="AG128" i="9" s="1"/>
  <c r="E119" i="9" a="1"/>
  <c r="E119" i="9" s="1"/>
  <c r="F122" i="9" a="1"/>
  <c r="F122" i="9" s="1"/>
  <c r="AH124" i="9" a="1"/>
  <c r="AH124" i="9" s="1"/>
  <c r="V133" i="9" a="1"/>
  <c r="V133" i="9" s="1"/>
  <c r="AS129" i="9" a="1"/>
  <c r="AS129" i="9" s="1"/>
  <c r="J127" i="9" a="1"/>
  <c r="J127" i="9" s="1"/>
  <c r="K124" i="9" a="1"/>
  <c r="K124" i="9" s="1"/>
  <c r="L127" i="9" a="1"/>
  <c r="L127" i="9" s="1"/>
  <c r="R133" i="9" a="1"/>
  <c r="R133" i="9" s="1"/>
  <c r="L133" i="9" a="1"/>
  <c r="L133" i="9" s="1"/>
  <c r="O123" i="9" a="1"/>
  <c r="O123" i="9" s="1"/>
  <c r="AV132" i="9" a="1"/>
  <c r="AV132" i="9" s="1"/>
  <c r="AL125" i="9" a="1"/>
  <c r="AL125" i="9" s="1"/>
  <c r="AK120" i="9" a="1"/>
  <c r="AK120" i="9" s="1"/>
  <c r="AN132" i="9" a="1"/>
  <c r="AN132" i="9" s="1"/>
  <c r="AB123" i="9" a="1"/>
  <c r="AB123" i="9" s="1"/>
  <c r="S131" i="9" a="1"/>
  <c r="S131" i="9" s="1"/>
  <c r="H129" i="9" a="1"/>
  <c r="H129" i="9" s="1"/>
  <c r="AL131" i="9" a="1"/>
  <c r="AL131" i="9" s="1"/>
  <c r="AL130" i="9" s="1"/>
  <c r="L132" i="9" a="1"/>
  <c r="L132" i="9" s="1"/>
  <c r="I125" i="9" a="1"/>
  <c r="I125" i="9" s="1"/>
  <c r="AQ123" i="9" a="1"/>
  <c r="AQ123" i="9" s="1"/>
  <c r="K123" i="9" a="1"/>
  <c r="K123" i="9" s="1"/>
  <c r="AJ128" i="9" a="1"/>
  <c r="AJ128" i="9" s="1"/>
  <c r="O131" i="9" a="1"/>
  <c r="O131" i="9" s="1"/>
  <c r="AI123" i="9" a="1"/>
  <c r="AI123" i="9" s="1"/>
  <c r="AB132" i="9" a="1"/>
  <c r="AB132" i="9" s="1"/>
  <c r="L121" i="9" a="1"/>
  <c r="L121" i="9" s="1"/>
  <c r="AD128" i="9" a="1"/>
  <c r="AD128" i="9" s="1"/>
  <c r="AP122" i="9" a="1"/>
  <c r="AP122" i="9" s="1"/>
  <c r="AD127" i="9" a="1"/>
  <c r="AD127" i="9" s="1"/>
  <c r="AL128" i="9" a="1"/>
  <c r="AL128" i="9" s="1"/>
  <c r="AG121" i="9" a="1"/>
  <c r="AG121" i="9" s="1"/>
  <c r="R120" i="9" a="1"/>
  <c r="R120" i="9" s="1"/>
  <c r="M127" i="9" a="1"/>
  <c r="M127" i="9" s="1"/>
  <c r="K119" i="9" a="1"/>
  <c r="K119" i="9" s="1"/>
  <c r="Q121" i="9" a="1"/>
  <c r="Q121" i="9" s="1"/>
  <c r="AM120" i="9" a="1"/>
  <c r="AM120" i="9" s="1"/>
  <c r="O125" i="9" a="1"/>
  <c r="O125" i="9" s="1"/>
  <c r="G121" i="9" a="1"/>
  <c r="G121" i="9" s="1"/>
  <c r="AM123" i="9" a="1"/>
  <c r="AM123" i="9" s="1"/>
  <c r="T119" i="9" a="1"/>
  <c r="T119" i="9" s="1"/>
  <c r="AV121" i="9" a="1"/>
  <c r="AV121" i="9" s="1"/>
  <c r="E122" i="9" a="1"/>
  <c r="E122" i="9" s="1"/>
  <c r="N127" i="9" a="1"/>
  <c r="N127" i="9" s="1"/>
  <c r="O128" i="9" a="1"/>
  <c r="O128" i="9" s="1"/>
  <c r="AE132" i="9" a="1"/>
  <c r="AE132" i="9" s="1"/>
  <c r="AP128" i="9" a="1"/>
  <c r="AP128" i="9" s="1"/>
  <c r="X123" i="9" a="1"/>
  <c r="X123" i="9" s="1"/>
  <c r="AE128" i="9" a="1"/>
  <c r="AE128" i="9" s="1"/>
  <c r="AN131" i="9" a="1"/>
  <c r="AN131" i="9" s="1"/>
  <c r="AF121" i="9" a="1"/>
  <c r="AF121" i="9" s="1"/>
  <c r="M131" i="9" a="1"/>
  <c r="M131" i="9" s="1"/>
  <c r="W128" i="9" a="1"/>
  <c r="W128" i="9" s="1"/>
  <c r="AK123" i="9" a="1"/>
  <c r="AK123" i="9" s="1"/>
  <c r="I127" i="9" a="1"/>
  <c r="I127" i="9" s="1"/>
  <c r="AT119" i="9" a="1"/>
  <c r="AT119" i="9" s="1"/>
  <c r="S120" i="9" a="1"/>
  <c r="S120" i="9" s="1"/>
  <c r="AI125" i="9" a="1"/>
  <c r="AI125" i="9" s="1"/>
  <c r="F119" i="9" a="1"/>
  <c r="F119" i="9" s="1"/>
  <c r="Q122" i="9" a="1"/>
  <c r="Q122" i="9" s="1"/>
  <c r="P122" i="9" a="1"/>
  <c r="P122" i="9" s="1"/>
  <c r="Q128" i="9" a="1"/>
  <c r="Q128" i="9" s="1"/>
  <c r="AV120" i="9" a="1"/>
  <c r="AV120" i="9" s="1"/>
  <c r="AF128" i="9" a="1"/>
  <c r="AF128" i="9" s="1"/>
  <c r="U128" i="9" a="1"/>
  <c r="U128" i="9" s="1"/>
  <c r="AR121" i="9" a="1"/>
  <c r="AR121" i="9" s="1"/>
  <c r="AK128" i="9" a="1"/>
  <c r="AK128" i="9" s="1"/>
  <c r="Z119" i="9" a="1"/>
  <c r="Z119" i="9" s="1"/>
  <c r="AC132" i="9" a="1"/>
  <c r="AC132" i="9" s="1"/>
  <c r="F124" i="9" a="1"/>
  <c r="F124" i="9" s="1"/>
  <c r="AL127" i="9" a="1"/>
  <c r="AL127" i="9" s="1"/>
  <c r="G120" i="9" a="1"/>
  <c r="G120" i="9" s="1"/>
  <c r="R125" i="9" a="1"/>
  <c r="R125" i="9" s="1"/>
  <c r="P128" i="9" a="1"/>
  <c r="P128" i="9" s="1"/>
  <c r="AH121" i="9" a="1"/>
  <c r="AH121" i="9" s="1"/>
  <c r="V122" i="9" a="1"/>
  <c r="V122" i="9" s="1"/>
  <c r="N121" i="9" a="1"/>
  <c r="N121" i="9" s="1"/>
  <c r="AL133" i="9" a="1"/>
  <c r="AL133" i="9" s="1"/>
  <c r="AV129" i="9" a="1"/>
  <c r="AV129" i="9" s="1"/>
  <c r="H132" i="9" a="1"/>
  <c r="H132" i="9" s="1"/>
  <c r="AT127" i="9" a="1"/>
  <c r="AT127" i="9" s="1"/>
  <c r="R131" i="9" a="1"/>
  <c r="R131" i="9" s="1"/>
  <c r="D128" i="9" a="1"/>
  <c r="D128" i="9" s="1"/>
  <c r="Q124" i="9" a="1"/>
  <c r="Q124" i="9" s="1"/>
  <c r="V120" i="9" a="1"/>
  <c r="V120" i="9" s="1"/>
  <c r="K133" i="9" a="1"/>
  <c r="K133" i="9" s="1"/>
  <c r="AU122" i="9" a="1"/>
  <c r="AU122" i="9" s="1"/>
  <c r="G125" i="9" a="1"/>
  <c r="G125" i="9" s="1"/>
  <c r="AG127" i="9" a="1"/>
  <c r="AG127" i="9" s="1"/>
  <c r="I119" i="9" a="1"/>
  <c r="I119" i="9" s="1"/>
  <c r="W119" i="9" a="1"/>
  <c r="W119" i="9" s="1"/>
  <c r="AK127" i="9" a="1"/>
  <c r="AK127" i="9" s="1"/>
  <c r="E133" i="9" a="1"/>
  <c r="E133" i="9" s="1"/>
  <c r="K127" i="9" a="1"/>
  <c r="K127" i="9" s="1"/>
  <c r="W129" i="9" a="1"/>
  <c r="W129" i="9" s="1"/>
  <c r="Z133" i="9" a="1"/>
  <c r="Z133" i="9" s="1"/>
  <c r="AI124" i="9" a="1"/>
  <c r="AI124" i="9" s="1"/>
  <c r="AJ132" i="9" a="1"/>
  <c r="AJ132" i="9" s="1"/>
  <c r="W133" i="9" a="1"/>
  <c r="W133" i="9" s="1"/>
  <c r="M122" i="9" a="1"/>
  <c r="M122" i="9" s="1"/>
  <c r="J129" i="9" a="1"/>
  <c r="J129" i="9" s="1"/>
  <c r="E121" i="9" a="1"/>
  <c r="E121" i="9" s="1"/>
  <c r="P124" i="9" a="1"/>
  <c r="P124" i="9" s="1"/>
  <c r="F127" i="9" a="1"/>
  <c r="F127" i="9" s="1"/>
  <c r="H133" i="9" a="1"/>
  <c r="H133" i="9" s="1"/>
  <c r="H128" i="9" a="1"/>
  <c r="H128" i="9" s="1"/>
  <c r="T132" i="9" a="1"/>
  <c r="T132" i="9" s="1"/>
  <c r="AF120" i="9" a="1"/>
  <c r="AF120" i="9" s="1"/>
  <c r="Y127" i="9" a="1"/>
  <c r="Y127" i="9" s="1"/>
  <c r="AH132" i="9" a="1"/>
  <c r="AH132" i="9" s="1"/>
  <c r="T133" i="9" a="1"/>
  <c r="T133" i="9" s="1"/>
  <c r="AP131" i="9" a="1"/>
  <c r="AP131" i="9" s="1"/>
  <c r="K129" i="9" a="1"/>
  <c r="K129" i="9" s="1"/>
  <c r="AT128" i="9" a="1"/>
  <c r="AT128" i="9" s="1"/>
  <c r="AV127" i="9" a="1"/>
  <c r="AV127" i="9" s="1"/>
  <c r="U125" i="9" a="1"/>
  <c r="U125" i="9" s="1"/>
  <c r="F133" i="9" a="1"/>
  <c r="F133" i="9" s="1"/>
  <c r="AC121" i="9" a="1"/>
  <c r="AC121" i="9" s="1"/>
  <c r="W127" i="9" a="1"/>
  <c r="W127" i="9" s="1"/>
  <c r="V119" i="9" a="1"/>
  <c r="V119" i="9" s="1"/>
  <c r="AS120" i="9" a="1"/>
  <c r="AS120" i="9" s="1"/>
  <c r="V131" i="9" a="1"/>
  <c r="V131" i="9" s="1"/>
  <c r="AT125" i="9" a="1"/>
  <c r="AT125" i="9" s="1"/>
  <c r="S132" i="9" a="1"/>
  <c r="S132" i="9" s="1"/>
  <c r="D132" i="9" a="1"/>
  <c r="D132" i="9" s="1"/>
  <c r="AF131" i="9" a="1"/>
  <c r="AF131" i="9" s="1"/>
  <c r="Y128" i="9" a="1"/>
  <c r="Y128" i="9" s="1"/>
  <c r="AU124" i="9" a="1"/>
  <c r="AU124" i="9" s="1"/>
  <c r="AR120" i="9" a="1"/>
  <c r="AR120" i="9" s="1"/>
  <c r="AD133" i="9" a="1"/>
  <c r="AD133" i="9" s="1"/>
  <c r="G132" i="9" a="1"/>
  <c r="G132" i="9" s="1"/>
  <c r="AD125" i="9" a="1"/>
  <c r="AD125" i="9" s="1"/>
  <c r="AC129" i="9" a="1"/>
  <c r="AC129" i="9" s="1"/>
  <c r="AA128" i="9" a="1"/>
  <c r="AA128" i="9" s="1"/>
  <c r="AU125" i="9" a="1"/>
  <c r="AU125" i="9" s="1"/>
  <c r="X133" i="9" a="1"/>
  <c r="X133" i="9" s="1"/>
  <c r="R123" i="9" a="1"/>
  <c r="R123" i="9" s="1"/>
  <c r="AL124" i="9" a="1"/>
  <c r="AL124" i="9" s="1"/>
  <c r="AN121" i="9" a="1"/>
  <c r="AN121" i="9" s="1"/>
  <c r="P123" i="9" a="1"/>
  <c r="P123" i="9" s="1"/>
  <c r="AI128" i="9" a="1"/>
  <c r="AI128" i="9" s="1"/>
  <c r="H123" i="9" a="1"/>
  <c r="H123" i="9" s="1"/>
  <c r="AB129" i="9" a="1"/>
  <c r="AB129" i="9" s="1"/>
  <c r="H125" i="9" a="1"/>
  <c r="H125" i="9" s="1"/>
  <c r="I128" i="9" a="1"/>
  <c r="I128" i="9" s="1"/>
  <c r="L122" i="9" a="1"/>
  <c r="L122" i="9" s="1"/>
  <c r="D123" i="9" a="1"/>
  <c r="D123" i="9" s="1"/>
  <c r="K131" i="9" a="1"/>
  <c r="K131" i="9" s="1"/>
  <c r="S128" i="9" a="1"/>
  <c r="S128" i="9" s="1"/>
  <c r="AU120" i="9" a="1"/>
  <c r="AU120" i="9" s="1"/>
  <c r="AR124" i="9" a="1"/>
  <c r="AR124" i="9" s="1"/>
  <c r="AV133" i="9" a="1"/>
  <c r="AV133" i="9" s="1"/>
  <c r="D129" i="9" a="1"/>
  <c r="D129" i="9" s="1"/>
  <c r="AH133" i="9" a="1"/>
  <c r="AH133" i="9" s="1"/>
  <c r="O121" i="9" a="1"/>
  <c r="O121" i="9" s="1"/>
  <c r="E129" i="9" a="1"/>
  <c r="E129" i="9" s="1"/>
  <c r="AL122" i="9" a="1"/>
  <c r="AL122" i="9" s="1"/>
  <c r="Y124" i="9" a="1"/>
  <c r="Y124" i="9" s="1"/>
  <c r="AR122" i="9" a="1"/>
  <c r="AR122" i="9" s="1"/>
  <c r="AQ125" i="9" a="1"/>
  <c r="AQ125" i="9" s="1"/>
  <c r="P120" i="9" a="1"/>
  <c r="P120" i="9" s="1"/>
  <c r="W122" i="9" a="1"/>
  <c r="W122" i="9" s="1"/>
  <c r="U131" i="9" a="1"/>
  <c r="U131" i="9" s="1"/>
  <c r="S127" i="9" a="1"/>
  <c r="S127" i="9" s="1"/>
  <c r="P121" i="9" a="1"/>
  <c r="P121" i="9" s="1"/>
  <c r="AS125" i="9" a="1"/>
  <c r="AS125" i="9" s="1"/>
  <c r="E120" i="9" a="1"/>
  <c r="E120" i="9" s="1"/>
  <c r="AP123" i="9" a="1"/>
  <c r="AP123" i="9" s="1"/>
  <c r="I133" i="9" a="1"/>
  <c r="I133" i="9" s="1"/>
  <c r="AP120" i="9" a="1"/>
  <c r="AP120" i="9" s="1"/>
  <c r="AC125" i="9" a="1"/>
  <c r="AC125" i="9" s="1"/>
  <c r="AN125" i="9" a="1"/>
  <c r="AN125" i="9" s="1"/>
  <c r="AO131" i="9" a="1"/>
  <c r="AO131" i="9" s="1"/>
  <c r="Y125" i="9" a="1"/>
  <c r="Y125" i="9" s="1"/>
  <c r="T123" i="9" a="1"/>
  <c r="T123" i="9" s="1"/>
  <c r="W120" i="9" a="1"/>
  <c r="W120" i="9" s="1"/>
  <c r="W124" i="9" a="1"/>
  <c r="W124" i="9" s="1"/>
  <c r="AI122" i="9" a="1"/>
  <c r="AI122" i="9" s="1"/>
  <c r="N129" i="9" a="1"/>
  <c r="N129" i="9" s="1"/>
  <c r="L120" i="9" a="1"/>
  <c r="L120" i="9" s="1"/>
  <c r="J125" i="9" a="1"/>
  <c r="J125" i="9" s="1"/>
  <c r="F132" i="9" a="1"/>
  <c r="F132" i="9" s="1"/>
  <c r="F130" i="9" s="1"/>
  <c r="AL123" i="9" a="1"/>
  <c r="AL123" i="9" s="1"/>
  <c r="AV123" i="9" a="1"/>
  <c r="AV123" i="9" s="1"/>
  <c r="AT124" i="9" a="1"/>
  <c r="AT124" i="9" s="1"/>
  <c r="AA124" i="9" a="1"/>
  <c r="AA124" i="9" s="1"/>
  <c r="W131" i="9" a="1"/>
  <c r="W131" i="9" s="1"/>
  <c r="AF124" i="9" a="1"/>
  <c r="AF124" i="9" s="1"/>
  <c r="AO124" i="9" a="1"/>
  <c r="AO124" i="9" s="1"/>
  <c r="P132" i="9" a="1"/>
  <c r="P132" i="9" s="1"/>
  <c r="D131" i="9" a="1"/>
  <c r="D131" i="9" s="1"/>
  <c r="S125" i="9" a="1"/>
  <c r="S125" i="9" s="1"/>
  <c r="AB128" i="9" a="1"/>
  <c r="AB128" i="9" s="1"/>
  <c r="T127" i="9" a="1"/>
  <c r="T127" i="9" s="1"/>
  <c r="AM128" i="9" a="1"/>
  <c r="AM128" i="9" s="1"/>
  <c r="R129" i="9" a="1"/>
  <c r="R129" i="9" s="1"/>
  <c r="D125" i="9" a="1"/>
  <c r="D125" i="9" s="1"/>
  <c r="U119" i="9" a="1"/>
  <c r="U119" i="9" s="1"/>
  <c r="X127" i="9" a="1"/>
  <c r="X127" i="9" s="1"/>
  <c r="AE129" i="9" a="1"/>
  <c r="AE129" i="9" s="1"/>
  <c r="AI127" i="9" a="1"/>
  <c r="AI127" i="9" s="1"/>
  <c r="AB125" i="9" a="1"/>
  <c r="AB125" i="9" s="1"/>
  <c r="N119" i="9" a="1"/>
  <c r="N119" i="9" s="1"/>
  <c r="Z124" i="9" a="1"/>
  <c r="Z124" i="9" s="1"/>
  <c r="L124" i="9" a="1"/>
  <c r="L124" i="9" s="1"/>
  <c r="N125" i="9" a="1"/>
  <c r="N125" i="9" s="1"/>
  <c r="W123" i="9" a="1"/>
  <c r="W123" i="9" s="1"/>
  <c r="F123" i="9" a="1"/>
  <c r="F123" i="9" s="1"/>
  <c r="R121" i="9" a="1"/>
  <c r="R121" i="9" s="1"/>
  <c r="H120" i="9" a="1"/>
  <c r="H120" i="9" s="1"/>
  <c r="J124" i="9" a="1"/>
  <c r="J124" i="9" s="1"/>
  <c r="Z122" i="9" a="1"/>
  <c r="Z122" i="9" s="1"/>
  <c r="C75" i="9" a="1"/>
  <c r="C75" i="9" s="1"/>
  <c r="AM27" i="9" a="1"/>
  <c r="AM27" i="9" s="1"/>
  <c r="AN16" i="9" a="1"/>
  <c r="AN16" i="9" s="1"/>
  <c r="AU20" i="9" a="1"/>
  <c r="AU20" i="9" s="1"/>
  <c r="S16" i="9" a="1"/>
  <c r="S16" i="9" s="1"/>
  <c r="AV15" i="9" a="1"/>
  <c r="AV15" i="9" s="1"/>
  <c r="K16" i="9" a="1"/>
  <c r="K16" i="9" s="1"/>
  <c r="Q20" i="9" a="1"/>
  <c r="Q20" i="9" s="1"/>
  <c r="AV26" i="9" a="1"/>
  <c r="AV26" i="9" s="1"/>
  <c r="AE17" i="9" a="1"/>
  <c r="AE17" i="9" s="1"/>
  <c r="T27" i="9" a="1"/>
  <c r="T27" i="9" s="1"/>
  <c r="AK14" i="9" a="1"/>
  <c r="AK14" i="9" s="1"/>
  <c r="AL22" i="9" a="1"/>
  <c r="AL22" i="9" s="1"/>
  <c r="AI19" i="9" a="1"/>
  <c r="AI19" i="9" s="1"/>
  <c r="AR14" i="9" a="1"/>
  <c r="AR14" i="9" s="1"/>
  <c r="AM22" i="9" a="1"/>
  <c r="AM22" i="9" s="1"/>
  <c r="AH19" i="9" a="1"/>
  <c r="AH19" i="9" s="1"/>
  <c r="V15" i="9" a="1"/>
  <c r="V15" i="9" s="1"/>
  <c r="X28" i="9" a="1"/>
  <c r="X28" i="9" s="1"/>
  <c r="M28" i="9" a="1"/>
  <c r="M28" i="9" s="1"/>
  <c r="AV16" i="9" a="1"/>
  <c r="AV16" i="9" s="1"/>
  <c r="AF27" i="9" a="1"/>
  <c r="AF27" i="9" s="1"/>
  <c r="J17" i="9" a="1"/>
  <c r="J17" i="9" s="1"/>
  <c r="AG27" i="9" a="1"/>
  <c r="AG27" i="9" s="1"/>
  <c r="AL16" i="9" a="1"/>
  <c r="AL16" i="9" s="1"/>
  <c r="S22" i="9" a="1"/>
  <c r="S22" i="9" s="1"/>
  <c r="AP15" i="9" a="1"/>
  <c r="AP15" i="9" s="1"/>
  <c r="Z24" i="9" a="1"/>
  <c r="Z24" i="9" s="1"/>
  <c r="H19" i="9" a="1"/>
  <c r="H19" i="9" s="1"/>
  <c r="AQ24" i="9" a="1"/>
  <c r="AQ24" i="9" s="1"/>
  <c r="AU27" i="9" a="1"/>
  <c r="AU27" i="9" s="1"/>
  <c r="AR20" i="9" a="1"/>
  <c r="AR20" i="9" s="1"/>
  <c r="AF16" i="9" a="1"/>
  <c r="AF16" i="9" s="1"/>
  <c r="AN27" i="9" a="1"/>
  <c r="AN27" i="9" s="1"/>
  <c r="AU16" i="9" a="1"/>
  <c r="AU16" i="9" s="1"/>
  <c r="AM16" i="9" a="1"/>
  <c r="AM16" i="9" s="1"/>
  <c r="AF15" i="9" a="1"/>
  <c r="AF15" i="9" s="1"/>
  <c r="AO27" i="9" a="1"/>
  <c r="AO27" i="9" s="1"/>
  <c r="AP20" i="9" a="1"/>
  <c r="AP20" i="9" s="1"/>
  <c r="AD16" i="9" a="1"/>
  <c r="AD16" i="9" s="1"/>
  <c r="X15" i="9" a="1"/>
  <c r="X15" i="9" s="1"/>
  <c r="AA22" i="9" a="1"/>
  <c r="AA22" i="9" s="1"/>
  <c r="AT19" i="9" a="1"/>
  <c r="AT19" i="9" s="1"/>
  <c r="AH15" i="9" a="1"/>
  <c r="AH15" i="9" s="1"/>
  <c r="K27" i="9" a="1"/>
  <c r="K27" i="9" s="1"/>
  <c r="AH24" i="9" a="1"/>
  <c r="AH24" i="9" s="1"/>
  <c r="W17" i="9" a="1"/>
  <c r="W17" i="9" s="1"/>
  <c r="G18" i="9" a="1"/>
  <c r="G18" i="9" s="1"/>
  <c r="AB27" i="9" a="1"/>
  <c r="AB27" i="9" s="1"/>
  <c r="AU18" i="9" a="1"/>
  <c r="AU18" i="9" s="1"/>
  <c r="E16" i="9" a="1"/>
  <c r="E16" i="9" s="1"/>
  <c r="AT22" i="9" a="1"/>
  <c r="AT22" i="9" s="1"/>
  <c r="AA19" i="9" a="1"/>
  <c r="AA19" i="9" s="1"/>
  <c r="D16" i="9" a="1"/>
  <c r="D16" i="9" s="1"/>
  <c r="AU22" i="9" a="1"/>
  <c r="AU22" i="9" s="1"/>
  <c r="Z19" i="9" a="1"/>
  <c r="Z19" i="9" s="1"/>
  <c r="N15" i="9" a="1"/>
  <c r="N15" i="9" s="1"/>
  <c r="AH28" i="9" a="1"/>
  <c r="AH28" i="9" s="1"/>
  <c r="W28" i="9" a="1"/>
  <c r="W28" i="9" s="1"/>
  <c r="AQ15" i="9" a="1"/>
  <c r="AQ15" i="9" s="1"/>
  <c r="AE20" i="9" a="1"/>
  <c r="AE20" i="9" s="1"/>
  <c r="N23" i="9" a="1"/>
  <c r="N23" i="9" s="1"/>
  <c r="AE18" i="9" a="1"/>
  <c r="AE18" i="9" s="1"/>
  <c r="L14" i="9" a="1"/>
  <c r="L14" i="9" s="1"/>
  <c r="U22" i="9" a="1"/>
  <c r="U22" i="9" s="1"/>
  <c r="J14" i="9" a="1"/>
  <c r="J14" i="9" s="1"/>
  <c r="D24" i="9" a="1"/>
  <c r="D24" i="9" s="1"/>
  <c r="E19" i="9" a="1"/>
  <c r="E19" i="9" s="1"/>
  <c r="M23" i="9" a="1"/>
  <c r="M23" i="9" s="1"/>
  <c r="W19" i="9" a="1"/>
  <c r="W19" i="9" s="1"/>
  <c r="K15" i="9" a="1"/>
  <c r="K15" i="9" s="1"/>
  <c r="G26" i="9" a="1"/>
  <c r="G26" i="9" s="1"/>
  <c r="AL23" i="9" a="1"/>
  <c r="AL23" i="9" s="1"/>
  <c r="AA18" i="9" a="1"/>
  <c r="AA18" i="9" s="1"/>
  <c r="O14" i="9" a="1"/>
  <c r="O14" i="9" s="1"/>
  <c r="T22" i="9" a="1"/>
  <c r="T22" i="9" s="1"/>
  <c r="P20" i="9" a="1"/>
  <c r="P20" i="9" s="1"/>
  <c r="AO15" i="9" a="1"/>
  <c r="AO15" i="9" s="1"/>
  <c r="I20" i="9" a="1"/>
  <c r="I20" i="9" s="1"/>
  <c r="AK22" i="9" a="1"/>
  <c r="AK22" i="9" s="1"/>
  <c r="AJ19" i="9" a="1"/>
  <c r="AJ19" i="9" s="1"/>
  <c r="AH26" i="9" a="1"/>
  <c r="AH26" i="9" s="1"/>
  <c r="L24" i="9" a="1"/>
  <c r="L24" i="9" s="1"/>
  <c r="AS17" i="9" a="1"/>
  <c r="AS17" i="9" s="1"/>
  <c r="AI26" i="9" a="1"/>
  <c r="AI26" i="9" s="1"/>
  <c r="M24" i="9" a="1"/>
  <c r="M24" i="9" s="1"/>
  <c r="AR17" i="9" a="1"/>
  <c r="AR17" i="9" s="1"/>
  <c r="G20" i="9" a="1"/>
  <c r="G20" i="9" s="1"/>
  <c r="J28" i="9" a="1"/>
  <c r="J28" i="9" s="1"/>
  <c r="C67" i="9" a="1"/>
  <c r="C67" i="9" s="1"/>
  <c r="O16" i="9" a="1"/>
  <c r="O16" i="9" s="1"/>
  <c r="W15" i="9" a="1"/>
  <c r="W15" i="9" s="1"/>
  <c r="AV14" i="9" a="1"/>
  <c r="AV14" i="9" s="1"/>
  <c r="Y23" i="9" a="1"/>
  <c r="Y23" i="9" s="1"/>
  <c r="L20" i="9" a="1"/>
  <c r="L20" i="9" s="1"/>
  <c r="J20" i="9" a="1"/>
  <c r="J20" i="9" s="1"/>
  <c r="AN20" i="9" a="1"/>
  <c r="AN20" i="9" s="1"/>
  <c r="AF18" i="9" a="1"/>
  <c r="AF18" i="9" s="1"/>
  <c r="AB28" i="9" a="1"/>
  <c r="AB28" i="9" s="1"/>
  <c r="AJ15" i="9" a="1"/>
  <c r="AJ15" i="9" s="1"/>
  <c r="V23" i="9" a="1"/>
  <c r="V23" i="9" s="1"/>
  <c r="R26" i="9" a="1"/>
  <c r="R26" i="9" s="1"/>
  <c r="AV22" i="9" a="1"/>
  <c r="AV22" i="9" s="1"/>
  <c r="E23" i="9" a="1"/>
  <c r="E23" i="9" s="1"/>
  <c r="W14" i="9" a="1"/>
  <c r="W14" i="9" s="1"/>
  <c r="AR19" i="9" a="1"/>
  <c r="AR19" i="9" s="1"/>
  <c r="K23" i="9" a="1"/>
  <c r="K23" i="9" s="1"/>
  <c r="S23" i="9" a="1"/>
  <c r="S23" i="9" s="1"/>
  <c r="L15" i="9" a="1"/>
  <c r="L15" i="9" s="1"/>
  <c r="S18" i="9" a="1"/>
  <c r="S18" i="9" s="1"/>
  <c r="AB19" i="9" a="1"/>
  <c r="AB19" i="9" s="1"/>
  <c r="AJ17" i="9" a="1"/>
  <c r="AJ17" i="9" s="1"/>
  <c r="C77" i="9" a="1"/>
  <c r="C77" i="9" s="1"/>
  <c r="AA23" i="9" a="1"/>
  <c r="AA23" i="9" s="1"/>
  <c r="F20" i="9" a="1"/>
  <c r="F20" i="9" s="1"/>
  <c r="P19" i="9" a="1"/>
  <c r="P19" i="9" s="1"/>
  <c r="AO14" i="9" a="1"/>
  <c r="AO14" i="9" s="1"/>
  <c r="AC23" i="9" a="1"/>
  <c r="AC23" i="9" s="1"/>
  <c r="AF14" i="9" a="1"/>
  <c r="AF14" i="9" s="1"/>
  <c r="I24" i="9" a="1"/>
  <c r="I24" i="9" s="1"/>
  <c r="AJ22" i="9" a="1"/>
  <c r="AJ22" i="9" s="1"/>
  <c r="Y15" i="9" a="1"/>
  <c r="Y15" i="9" s="1"/>
  <c r="H23" i="9" a="1"/>
  <c r="H23" i="9" s="1"/>
  <c r="T19" i="9" a="1"/>
  <c r="T19" i="9" s="1"/>
  <c r="AB24" i="9" a="1"/>
  <c r="AB24" i="9" s="1"/>
  <c r="F27" i="9" a="1"/>
  <c r="F27" i="9" s="1"/>
  <c r="AB17" i="9" a="1"/>
  <c r="AB17" i="9" s="1"/>
  <c r="O28" i="9" a="1"/>
  <c r="O28" i="9" s="1"/>
  <c r="AD28" i="9" a="1"/>
  <c r="AD28" i="9" s="1"/>
  <c r="C68" i="9" a="1"/>
  <c r="C68" i="9" s="1"/>
  <c r="X22" i="9" a="1"/>
  <c r="X22" i="9" s="1"/>
  <c r="G19" i="9" a="1"/>
  <c r="G19" i="9" s="1"/>
  <c r="V19" i="9" a="1"/>
  <c r="V19" i="9" s="1"/>
  <c r="E22" i="9" a="1"/>
  <c r="E22" i="9" s="1"/>
  <c r="Z23" i="9" a="1"/>
  <c r="Z23" i="9" s="1"/>
  <c r="S20" i="9" a="1"/>
  <c r="S20" i="9" s="1"/>
  <c r="AM14" i="9" a="1"/>
  <c r="AM14" i="9" s="1"/>
  <c r="W20" i="9" a="1"/>
  <c r="W20" i="9" s="1"/>
  <c r="S14" i="9" a="1"/>
  <c r="S14" i="9" s="1"/>
  <c r="AC15" i="9" a="1"/>
  <c r="AC15" i="9" s="1"/>
  <c r="AA15" i="9" a="1"/>
  <c r="AA15" i="9" s="1"/>
  <c r="T16" i="9" a="1"/>
  <c r="T16" i="9" s="1"/>
  <c r="S26" i="9" a="1"/>
  <c r="S26" i="9" s="1"/>
  <c r="U15" i="9" a="1"/>
  <c r="U15" i="9" s="1"/>
  <c r="S15" i="9" a="1"/>
  <c r="S15" i="9" s="1"/>
  <c r="X20" i="9" a="1"/>
  <c r="X20" i="9" s="1"/>
  <c r="P18" i="9" a="1"/>
  <c r="P18" i="9" s="1"/>
  <c r="T15" i="9" a="1"/>
  <c r="T15" i="9" s="1"/>
  <c r="L23" i="9" a="1"/>
  <c r="L23" i="9" s="1"/>
  <c r="AN14" i="9" a="1"/>
  <c r="AN14" i="9" s="1"/>
  <c r="AG15" i="9" a="1"/>
  <c r="AG15" i="9" s="1"/>
  <c r="T24" i="9" a="1"/>
  <c r="T24" i="9" s="1"/>
  <c r="P28" i="9" a="1"/>
  <c r="P28" i="9" s="1"/>
  <c r="T28" i="9" a="1"/>
  <c r="T28" i="9" s="1"/>
  <c r="D26" i="9" a="1"/>
  <c r="D26" i="9" s="1"/>
  <c r="AT18" i="9" a="1"/>
  <c r="AT18" i="9" s="1"/>
  <c r="T23" i="9" a="1"/>
  <c r="T23" i="9" s="1"/>
  <c r="I15" i="9" a="1"/>
  <c r="I15" i="9" s="1"/>
  <c r="AR18" i="9" a="1"/>
  <c r="AR18" i="9" s="1"/>
  <c r="W26" i="9" a="1"/>
  <c r="W26" i="9" s="1"/>
  <c r="K18" i="9" a="1"/>
  <c r="K18" i="9" s="1"/>
  <c r="F15" i="9" a="1"/>
  <c r="F15" i="9" s="1"/>
  <c r="AK19" i="9" a="1"/>
  <c r="AK19" i="9" s="1"/>
  <c r="AB14" i="9" a="1"/>
  <c r="AB14" i="9" s="1"/>
  <c r="E27" i="9" a="1"/>
  <c r="E27" i="9" s="1"/>
  <c r="AC17" i="9" a="1"/>
  <c r="AC17" i="9" s="1"/>
  <c r="AC24" i="9" a="1"/>
  <c r="AC24" i="9" s="1"/>
  <c r="L26" i="9" a="1"/>
  <c r="L26" i="9" s="1"/>
  <c r="AI23" i="9" a="1"/>
  <c r="AI23" i="9" s="1"/>
  <c r="AL18" i="9" a="1"/>
  <c r="AL18" i="9" s="1"/>
  <c r="E26" i="9" a="1"/>
  <c r="E26" i="9" s="1"/>
  <c r="AB23" i="9" a="1"/>
  <c r="AB23" i="9" s="1"/>
  <c r="AS18" i="9" a="1"/>
  <c r="AS18" i="9" s="1"/>
  <c r="AG14" i="9" a="1"/>
  <c r="AG14" i="9" s="1"/>
  <c r="F26" i="9" a="1"/>
  <c r="F26" i="9" s="1"/>
  <c r="AK23" i="9" a="1"/>
  <c r="AK23" i="9" s="1"/>
  <c r="AJ18" i="9" a="1"/>
  <c r="AJ18" i="9" s="1"/>
  <c r="X14" i="9" a="1"/>
  <c r="X14" i="9" s="1"/>
  <c r="AE26" i="9" a="1"/>
  <c r="AE26" i="9" s="1"/>
  <c r="Q24" i="9" a="1"/>
  <c r="Q24" i="9" s="1"/>
  <c r="AN17" i="9" a="1"/>
  <c r="AN17" i="9" s="1"/>
  <c r="E14" i="9" a="1"/>
  <c r="E14" i="9" s="1"/>
  <c r="AR22" i="9" a="1"/>
  <c r="AR22" i="9" s="1"/>
  <c r="AC19" i="9" a="1"/>
  <c r="AC19" i="9" s="1"/>
  <c r="Q15" i="9" a="1"/>
  <c r="Q15" i="9" s="1"/>
  <c r="H20" i="9" a="1"/>
  <c r="H20" i="9" s="1"/>
  <c r="P23" i="9" a="1"/>
  <c r="P23" i="9" s="1"/>
  <c r="L19" i="9" a="1"/>
  <c r="L19" i="9" s="1"/>
  <c r="M27" i="9" a="1"/>
  <c r="M27" i="9" s="1"/>
  <c r="AJ24" i="9" a="1"/>
  <c r="AJ24" i="9" s="1"/>
  <c r="U17" i="9" a="1"/>
  <c r="U17" i="9" s="1"/>
  <c r="N27" i="9" a="1"/>
  <c r="N27" i="9" s="1"/>
  <c r="AK24" i="9" a="1"/>
  <c r="AK24" i="9" s="1"/>
  <c r="T17" i="9" a="1"/>
  <c r="T17" i="9" s="1"/>
  <c r="AJ28" i="9" a="1"/>
  <c r="AJ28" i="9" s="1"/>
  <c r="AN28" i="9" a="1"/>
  <c r="AN28" i="9" s="1"/>
  <c r="C32" i="9"/>
  <c r="I28" i="9" a="1"/>
  <c r="I28" i="9" s="1"/>
  <c r="G28" i="9" a="1"/>
  <c r="G28" i="9" s="1"/>
  <c r="AM28" i="9" a="1"/>
  <c r="AM28" i="9" s="1"/>
  <c r="AK28" i="9" a="1"/>
  <c r="AK28" i="9" s="1"/>
  <c r="AI28" i="9" a="1"/>
  <c r="AI28" i="9" s="1"/>
  <c r="F28" i="9" a="1"/>
  <c r="F28" i="9" s="1"/>
  <c r="C69" i="9" a="1"/>
  <c r="C69" i="9" s="1"/>
  <c r="H14" i="9" a="1"/>
  <c r="H14" i="9" s="1"/>
  <c r="AK15" i="9" a="1"/>
  <c r="AK15" i="9" s="1"/>
  <c r="AI15" i="9" a="1"/>
  <c r="AI15" i="9" s="1"/>
  <c r="AN15" i="9" a="1"/>
  <c r="AN15" i="9" s="1"/>
  <c r="AH23" i="9" a="1"/>
  <c r="AH23" i="9" s="1"/>
  <c r="AO19" i="9" a="1"/>
  <c r="AO19" i="9" s="1"/>
  <c r="AM19" i="9" a="1"/>
  <c r="AM19" i="9" s="1"/>
  <c r="AF20" i="9" a="1"/>
  <c r="AF20" i="9" s="1"/>
  <c r="X18" i="9" a="1"/>
  <c r="X18" i="9" s="1"/>
  <c r="AL28" i="9" a="1"/>
  <c r="AL28" i="9" s="1"/>
  <c r="AB15" i="9" a="1"/>
  <c r="AB15" i="9" s="1"/>
  <c r="AD23" i="9" a="1"/>
  <c r="AD23" i="9" s="1"/>
  <c r="U14" i="9" a="1"/>
  <c r="U14" i="9" s="1"/>
  <c r="AA26" i="9" a="1"/>
  <c r="AA26" i="9" s="1"/>
  <c r="AV28" i="9" a="1"/>
  <c r="AV28" i="9" s="1"/>
  <c r="M15" i="9" a="1"/>
  <c r="M15" i="9" s="1"/>
  <c r="R14" i="9" a="1"/>
  <c r="R14" i="9" s="1"/>
  <c r="U23" i="9" a="1"/>
  <c r="U23" i="9" s="1"/>
  <c r="AT23" i="9" a="1"/>
  <c r="AT23" i="9" s="1"/>
  <c r="AS22" i="9" a="1"/>
  <c r="AS22" i="9" s="1"/>
  <c r="U24" i="9" a="1"/>
  <c r="U24" i="9" s="1"/>
  <c r="AJ23" i="9" a="1"/>
  <c r="AJ23" i="9" s="1"/>
  <c r="Y14" i="9" a="1"/>
  <c r="Y14" i="9" s="1"/>
  <c r="AS23" i="9" a="1"/>
  <c r="AS23" i="9" s="1"/>
  <c r="P14" i="9" a="1"/>
  <c r="P14" i="9" s="1"/>
  <c r="Y24" i="9" a="1"/>
  <c r="Y24" i="9" s="1"/>
  <c r="I19" i="9" a="1"/>
  <c r="I19" i="9" s="1"/>
  <c r="U19" i="9" a="1"/>
  <c r="U19" i="9" s="1"/>
  <c r="AP14" i="9" a="1"/>
  <c r="AP14" i="9" s="1"/>
  <c r="AO18" i="9" a="1"/>
  <c r="AO18" i="9" s="1"/>
  <c r="AR24" i="9" a="1"/>
  <c r="AR24" i="9" s="1"/>
  <c r="V27" i="9" a="1"/>
  <c r="V27" i="9" s="1"/>
  <c r="L17" i="9" a="1"/>
  <c r="L17" i="9" s="1"/>
  <c r="AS28" i="9" a="1"/>
  <c r="AS28" i="9" s="1"/>
  <c r="C79" i="9" a="1"/>
  <c r="C79" i="9" s="1"/>
  <c r="AB26" i="9" a="1"/>
  <c r="AB26" i="9" s="1"/>
  <c r="F24" i="9" a="1"/>
  <c r="F24" i="9" s="1"/>
  <c r="V18" i="9" a="1"/>
  <c r="V18" i="9" s="1"/>
  <c r="U26" i="9" a="1"/>
  <c r="U26" i="9" s="1"/>
  <c r="AR23" i="9" a="1"/>
  <c r="AR23" i="9" s="1"/>
  <c r="AC18" i="9" a="1"/>
  <c r="AC18" i="9" s="1"/>
  <c r="Q14" i="9" a="1"/>
  <c r="Q14" i="9" s="1"/>
  <c r="V26" i="9" a="1"/>
  <c r="V26" i="9" s="1"/>
  <c r="H24" i="9" a="1"/>
  <c r="H24" i="9" s="1"/>
  <c r="T18" i="9" a="1"/>
  <c r="T18" i="9" s="1"/>
  <c r="H16" i="9" a="1"/>
  <c r="H16" i="9" s="1"/>
  <c r="AU26" i="9" a="1"/>
  <c r="AU26" i="9" s="1"/>
  <c r="AG24" i="9" a="1"/>
  <c r="AG24" i="9" s="1"/>
  <c r="X17" i="9" a="1"/>
  <c r="X17" i="9" s="1"/>
  <c r="H18" i="9" a="1"/>
  <c r="H18" i="9" s="1"/>
  <c r="O23" i="9" a="1"/>
  <c r="O23" i="9" s="1"/>
  <c r="M19" i="9" a="1"/>
  <c r="M19" i="9" s="1"/>
  <c r="AL14" i="9" a="1"/>
  <c r="AL14" i="9" s="1"/>
  <c r="I26" i="9" a="1"/>
  <c r="I26" i="9" s="1"/>
  <c r="AF23" i="9" a="1"/>
  <c r="AF23" i="9" s="1"/>
  <c r="AG18" i="9" a="1"/>
  <c r="AG18" i="9" s="1"/>
  <c r="AC27" i="9" a="1"/>
  <c r="AC27" i="9" s="1"/>
  <c r="AV17" i="9" a="1"/>
  <c r="AV17" i="9" s="1"/>
  <c r="AP16" i="9" a="1"/>
  <c r="AP16" i="9" s="1"/>
  <c r="AD27" i="9" a="1"/>
  <c r="AD27" i="9" s="1"/>
  <c r="AU17" i="9" a="1"/>
  <c r="AU17" i="9" s="1"/>
  <c r="AO16" i="9" a="1"/>
  <c r="AO16" i="9" s="1"/>
  <c r="D28" i="9" a="1"/>
  <c r="D28" i="9" s="1"/>
  <c r="U28" i="9" a="1"/>
  <c r="U28" i="9" s="1"/>
  <c r="C80" i="9" a="1"/>
  <c r="C80" i="9" s="1"/>
  <c r="Q22" i="9" a="1"/>
  <c r="Q22" i="9" s="1"/>
  <c r="F23" i="9" a="1"/>
  <c r="F23" i="9" s="1"/>
  <c r="AA16" i="9" a="1"/>
  <c r="AA16" i="9" s="1"/>
  <c r="AR15" i="9" a="1"/>
  <c r="AR15" i="9" s="1"/>
  <c r="N19" i="9" a="1"/>
  <c r="N19" i="9" s="1"/>
  <c r="J26" i="9" a="1"/>
  <c r="J26" i="9" s="1"/>
  <c r="AG22" i="9" a="1"/>
  <c r="AG22" i="9" s="1"/>
  <c r="F19" i="9" a="1"/>
  <c r="F19" i="9" s="1"/>
  <c r="O20" i="9" a="1"/>
  <c r="O20" i="9" s="1"/>
  <c r="K14" i="9" a="1"/>
  <c r="K14" i="9" s="1"/>
  <c r="AN19" i="9" a="1"/>
  <c r="AN19" i="9" s="1"/>
  <c r="AS19" i="9" a="1"/>
  <c r="AS19" i="9" s="1"/>
  <c r="AK17" i="9" a="1"/>
  <c r="AK17" i="9" s="1"/>
  <c r="AQ23" i="9" a="1"/>
  <c r="AQ23" i="9" s="1"/>
  <c r="AK18" i="9" a="1"/>
  <c r="AK18" i="9" s="1"/>
  <c r="N26" i="9" a="1"/>
  <c r="N26" i="9" s="1"/>
  <c r="AB18" i="9" a="1"/>
  <c r="AB18" i="9" s="1"/>
  <c r="AM26" i="9" a="1"/>
  <c r="AM26" i="9" s="1"/>
  <c r="AF17" i="9" a="1"/>
  <c r="AF17" i="9" s="1"/>
  <c r="G23" i="9" a="1"/>
  <c r="G23" i="9" s="1"/>
  <c r="AT14" i="9" a="1"/>
  <c r="AT14" i="9" s="1"/>
  <c r="X23" i="9" a="1"/>
  <c r="X23" i="9" s="1"/>
  <c r="U27" i="9" a="1"/>
  <c r="U27" i="9" s="1"/>
  <c r="M17" i="9" a="1"/>
  <c r="M17" i="9" s="1"/>
  <c r="AS24" i="9" a="1"/>
  <c r="AS24" i="9" s="1"/>
  <c r="K28" i="9" a="1"/>
  <c r="K28" i="9" s="1"/>
  <c r="AJ26" i="9" a="1"/>
  <c r="AJ26" i="9" s="1"/>
  <c r="N24" i="9" a="1"/>
  <c r="N24" i="9" s="1"/>
  <c r="N18" i="9" a="1"/>
  <c r="N18" i="9" s="1"/>
  <c r="AC26" i="9" a="1"/>
  <c r="AC26" i="9" s="1"/>
  <c r="G24" i="9" a="1"/>
  <c r="G24" i="9" s="1"/>
  <c r="U18" i="9" a="1"/>
  <c r="U18" i="9" s="1"/>
  <c r="I16" i="9" a="1"/>
  <c r="I16" i="9" s="1"/>
  <c r="AD26" i="9" a="1"/>
  <c r="AD26" i="9" s="1"/>
  <c r="P24" i="9" a="1"/>
  <c r="P24" i="9" s="1"/>
  <c r="L18" i="9" a="1"/>
  <c r="L18" i="9" s="1"/>
  <c r="G15" i="9" a="1"/>
  <c r="G15" i="9" s="1"/>
  <c r="J27" i="9" a="1"/>
  <c r="J27" i="9" s="1"/>
  <c r="AO24" i="9" a="1"/>
  <c r="AO24" i="9" s="1"/>
  <c r="P17" i="9" a="1"/>
  <c r="P17" i="9" s="1"/>
  <c r="G17" i="9" a="1"/>
  <c r="G17" i="9" s="1"/>
  <c r="W23" i="9" a="1"/>
  <c r="W23" i="9" s="1"/>
  <c r="AP18" i="9" a="1"/>
  <c r="AP18" i="9" s="1"/>
  <c r="AD14" i="9" a="1"/>
  <c r="AD14" i="9" s="1"/>
  <c r="Q26" i="9" a="1"/>
  <c r="Q26" i="9" s="1"/>
  <c r="AN23" i="9" a="1"/>
  <c r="AN23" i="9" s="1"/>
  <c r="Y18" i="9" a="1"/>
  <c r="Y18" i="9" s="1"/>
  <c r="AK27" i="9" a="1"/>
  <c r="AK27" i="9" s="1"/>
  <c r="AT20" i="9" a="1"/>
  <c r="AT20" i="9" s="1"/>
  <c r="AH16" i="9" a="1"/>
  <c r="AH16" i="9" s="1"/>
  <c r="AL27" i="9" a="1"/>
  <c r="AL27" i="9" s="1"/>
  <c r="AS20" i="9" a="1"/>
  <c r="AS20" i="9" s="1"/>
  <c r="AG16" i="9" a="1"/>
  <c r="AG16" i="9" s="1"/>
  <c r="Y28" i="9" a="1"/>
  <c r="Y28" i="9" s="1"/>
  <c r="AE28" i="9" a="1"/>
  <c r="AE28" i="9" s="1"/>
  <c r="C70" i="9" a="1"/>
  <c r="C70" i="9" s="1"/>
  <c r="T20" i="9" a="1"/>
  <c r="T20" i="9" s="1"/>
  <c r="AJ16" i="9" a="1"/>
  <c r="AJ16" i="9" s="1"/>
  <c r="AM18" i="9" a="1"/>
  <c r="AM18" i="9" s="1"/>
  <c r="R28" i="9" a="1"/>
  <c r="R28" i="9" s="1"/>
  <c r="Y22" i="9" a="1"/>
  <c r="Y22" i="9" s="1"/>
  <c r="AB16" i="9" a="1"/>
  <c r="AB16" i="9" s="1"/>
  <c r="AQ18" i="9" a="1"/>
  <c r="AQ18" i="9" s="1"/>
  <c r="AP23" i="9" a="1"/>
  <c r="AP23" i="9" s="1"/>
  <c r="E18" i="9" a="1"/>
  <c r="E18" i="9" s="1"/>
  <c r="AC22" i="9" a="1"/>
  <c r="AC22" i="9" s="1"/>
  <c r="D23" i="9" a="1"/>
  <c r="D23" i="9" s="1"/>
  <c r="Z14" i="9" a="1"/>
  <c r="Z14" i="9" s="1"/>
  <c r="E17" i="9" a="1"/>
  <c r="E17" i="9" s="1"/>
  <c r="O24" i="9" a="1"/>
  <c r="O24" i="9" s="1"/>
  <c r="AO17" i="9" a="1"/>
  <c r="AO17" i="9" s="1"/>
  <c r="AU19" i="9" a="1"/>
  <c r="AU19" i="9" s="1"/>
  <c r="AS16" i="9" a="1"/>
  <c r="AS16" i="9" s="1"/>
  <c r="H26" i="9" a="1"/>
  <c r="H26" i="9" s="1"/>
  <c r="AE23" i="9" a="1"/>
  <c r="AE23" i="9" s="1"/>
  <c r="AH18" i="9" a="1"/>
  <c r="AH18" i="9" s="1"/>
  <c r="V14" i="9" a="1"/>
  <c r="V14" i="9" s="1"/>
  <c r="Y26" i="9" a="1"/>
  <c r="Y26" i="9" s="1"/>
  <c r="AV23" i="9" a="1"/>
  <c r="AV23" i="9" s="1"/>
  <c r="Q18" i="9" a="1"/>
  <c r="Q18" i="9" s="1"/>
  <c r="AS27" i="9" a="1"/>
  <c r="AS27" i="9" s="1"/>
  <c r="AL20" i="9" a="1"/>
  <c r="AL20" i="9" s="1"/>
  <c r="Z16" i="9" a="1"/>
  <c r="Z16" i="9" s="1"/>
  <c r="AT27" i="9" a="1"/>
  <c r="AT27" i="9" s="1"/>
  <c r="AK20" i="9" a="1"/>
  <c r="AK20" i="9" s="1"/>
  <c r="Y16" i="9" a="1"/>
  <c r="Y16" i="9" s="1"/>
  <c r="AT28" i="9" a="1"/>
  <c r="AT28" i="9" s="1"/>
  <c r="AO28" i="9" a="1"/>
  <c r="AO28" i="9" s="1"/>
  <c r="C81" i="9" a="1"/>
  <c r="C81" i="9" s="1"/>
  <c r="Z22" i="9" a="1"/>
  <c r="Z22" i="9" s="1"/>
  <c r="AN18" i="9" a="1"/>
  <c r="AN18" i="9" s="1"/>
  <c r="T14" i="9" a="1"/>
  <c r="T14" i="9" s="1"/>
  <c r="K26" i="9" a="1"/>
  <c r="K26" i="9" s="1"/>
  <c r="S28" i="9" a="1"/>
  <c r="S28" i="9" s="1"/>
  <c r="K20" i="9" a="1"/>
  <c r="K20" i="9" s="1"/>
  <c r="P15" i="9" a="1"/>
  <c r="P15" i="9" s="1"/>
  <c r="C71" i="9" a="1"/>
  <c r="C71" i="9" s="1"/>
  <c r="AI18" i="9" a="1"/>
  <c r="AI18" i="9" s="1"/>
  <c r="E24" i="9" a="1"/>
  <c r="E24" i="9" s="1"/>
  <c r="C76" i="9" a="1"/>
  <c r="C76" i="9" s="1"/>
  <c r="X19" i="9" a="1"/>
  <c r="X19" i="9" s="1"/>
  <c r="AB22" i="9" a="1"/>
  <c r="AB22" i="9" s="1"/>
  <c r="AD18" i="9" a="1"/>
  <c r="AD18" i="9" s="1"/>
  <c r="AQ17" i="9" a="1"/>
  <c r="AQ17" i="9" s="1"/>
  <c r="AL26" i="9" a="1"/>
  <c r="AL26" i="9" s="1"/>
  <c r="G27" i="9" a="1"/>
  <c r="G27" i="9" s="1"/>
  <c r="W24" i="9" a="1"/>
  <c r="W24" i="9" s="1"/>
  <c r="AF24" i="9" a="1"/>
  <c r="AF24" i="9" s="1"/>
  <c r="AU15" i="9" a="1"/>
  <c r="AU15" i="9" s="1"/>
  <c r="Z18" i="9" a="1"/>
  <c r="Z18" i="9" s="1"/>
  <c r="AG26" i="9" a="1"/>
  <c r="AG26" i="9" s="1"/>
  <c r="K24" i="9" a="1"/>
  <c r="K24" i="9" s="1"/>
  <c r="AT17" i="9" a="1"/>
  <c r="AT17" i="9" s="1"/>
  <c r="F22" i="9" a="1"/>
  <c r="F22" i="9" s="1"/>
  <c r="AD20" i="9" a="1"/>
  <c r="AD20" i="9" s="1"/>
  <c r="R16" i="9" a="1"/>
  <c r="R16" i="9" s="1"/>
  <c r="G22" i="9" a="1"/>
  <c r="G22" i="9" s="1"/>
  <c r="AC20" i="9" a="1"/>
  <c r="AC20" i="9" s="1"/>
  <c r="Q16" i="9" a="1"/>
  <c r="Q16" i="9" s="1"/>
  <c r="E28" i="9" a="1"/>
  <c r="E28" i="9" s="1"/>
  <c r="L28" i="9" a="1"/>
  <c r="L28" i="9" s="1"/>
  <c r="C72" i="9" a="1"/>
  <c r="C72" i="9" s="1"/>
  <c r="AA20" i="9" a="1"/>
  <c r="AA20" i="9" s="1"/>
  <c r="J15" i="9" a="1"/>
  <c r="J15" i="9" s="1"/>
  <c r="AC28" i="9" a="1"/>
  <c r="AC28" i="9" s="1"/>
  <c r="AH22" i="9" a="1"/>
  <c r="AH22" i="9" s="1"/>
  <c r="M22" i="9" a="1"/>
  <c r="M22" i="9" s="1"/>
  <c r="AN22" i="9" a="1"/>
  <c r="AN22" i="9" s="1"/>
  <c r="AE14" i="9" a="1"/>
  <c r="AE14" i="9" s="1"/>
  <c r="W18" i="9" a="1"/>
  <c r="W18" i="9" s="1"/>
  <c r="AO22" i="9" a="1"/>
  <c r="AO22" i="9" s="1"/>
  <c r="L16" i="9" a="1"/>
  <c r="L16" i="9" s="1"/>
  <c r="I14" i="9" a="1"/>
  <c r="I14" i="9" s="1"/>
  <c r="Q28" i="9" a="1"/>
  <c r="Q28" i="9" s="1"/>
  <c r="AF19" i="9" a="1"/>
  <c r="AF19" i="9" s="1"/>
  <c r="O26" i="9" a="1"/>
  <c r="O26" i="9" s="1"/>
  <c r="AQ26" i="9" a="1"/>
  <c r="AQ26" i="9" s="1"/>
  <c r="T26" i="9" a="1"/>
  <c r="T26" i="9" s="1"/>
  <c r="AR26" i="9" a="1"/>
  <c r="AR26" i="9" s="1"/>
  <c r="M18" i="9" a="1"/>
  <c r="M18" i="9" s="1"/>
  <c r="F14" i="9" a="1"/>
  <c r="F14" i="9" s="1"/>
  <c r="AI17" i="9" a="1"/>
  <c r="AI17" i="9" s="1"/>
  <c r="G14" i="9" a="1"/>
  <c r="G14" i="9" s="1"/>
  <c r="D20" i="9" a="1"/>
  <c r="D20" i="9" s="1"/>
  <c r="P26" i="9" a="1"/>
  <c r="P26" i="9" s="1"/>
  <c r="H27" i="9" a="1"/>
  <c r="H27" i="9" s="1"/>
  <c r="AH17" i="9" a="1"/>
  <c r="AH17" i="9" s="1"/>
  <c r="AN24" i="9" a="1"/>
  <c r="AN24" i="9" s="1"/>
  <c r="AH27" i="9" a="1"/>
  <c r="AH27" i="9" s="1"/>
  <c r="AC16" i="9" a="1"/>
  <c r="AC16" i="9" s="1"/>
  <c r="R18" i="9" a="1"/>
  <c r="R18" i="9" s="1"/>
  <c r="S24" i="9" a="1"/>
  <c r="S24" i="9" s="1"/>
  <c r="V20" i="9" a="1"/>
  <c r="V20" i="9" s="1"/>
  <c r="U20" i="9" a="1"/>
  <c r="U20" i="9" s="1"/>
  <c r="Z28" i="9" a="1"/>
  <c r="Z28" i="9" s="1"/>
  <c r="V28" i="9" a="1"/>
  <c r="V28" i="9" s="1"/>
  <c r="C73" i="9" a="1"/>
  <c r="C73" i="9" s="1"/>
  <c r="AS15" i="9" a="1"/>
  <c r="AS15" i="9" s="1"/>
  <c r="R20" i="9" a="1"/>
  <c r="R20" i="9" s="1"/>
  <c r="AI27" i="9" a="1"/>
  <c r="AI27" i="9" s="1"/>
  <c r="D18" i="9" a="1"/>
  <c r="D18" i="9" s="1"/>
  <c r="AA14" i="9" a="1"/>
  <c r="AA14" i="9" s="1"/>
  <c r="AF22" i="9" a="1"/>
  <c r="AF22" i="9" s="1"/>
  <c r="O15" i="9" a="1"/>
  <c r="O15" i="9" s="1"/>
  <c r="AQ27" i="9" a="1"/>
  <c r="AQ27" i="9" s="1"/>
  <c r="AG23" i="9" a="1"/>
  <c r="AG23" i="9" s="1"/>
  <c r="AP22" i="9" a="1"/>
  <c r="AP22" i="9" s="1"/>
  <c r="D22" i="9" a="1"/>
  <c r="D22" i="9" s="1"/>
  <c r="AO23" i="9" a="1"/>
  <c r="AO23" i="9" s="1"/>
  <c r="AA28" i="9" a="1"/>
  <c r="AA28" i="9" s="1"/>
  <c r="AG19" i="9" a="1"/>
  <c r="AG19" i="9" s="1"/>
  <c r="AE19" i="9" a="1"/>
  <c r="AE19" i="9" s="1"/>
  <c r="L22" i="9" a="1"/>
  <c r="L22" i="9" s="1"/>
  <c r="Z26" i="9" a="1"/>
  <c r="Z26" i="9" s="1"/>
  <c r="O18" i="9" a="1"/>
  <c r="O18" i="9" s="1"/>
  <c r="Y19" i="9" a="1"/>
  <c r="Y19" i="9" s="1"/>
  <c r="Q19" i="9" a="1"/>
  <c r="Q19" i="9" s="1"/>
  <c r="O19" i="9" a="1"/>
  <c r="O19" i="9" s="1"/>
  <c r="G16" i="9" a="1"/>
  <c r="G16" i="9" s="1"/>
  <c r="AP26" i="9" a="1"/>
  <c r="AP26" i="9" s="1"/>
  <c r="D19" i="9" a="1"/>
  <c r="D19" i="9" s="1"/>
  <c r="M26" i="9" a="1"/>
  <c r="M26" i="9" s="1"/>
  <c r="V24" i="9" a="1"/>
  <c r="V24" i="9" s="1"/>
  <c r="AK26" i="9" a="1"/>
  <c r="AK26" i="9" s="1"/>
  <c r="H15" i="9" a="1"/>
  <c r="H15" i="9" s="1"/>
  <c r="X24" i="9" a="1"/>
  <c r="X24" i="9" s="1"/>
  <c r="R27" i="9" a="1"/>
  <c r="R27" i="9" s="1"/>
  <c r="AD24" i="9" a="1"/>
  <c r="AD24" i="9" s="1"/>
  <c r="AS26" i="9" a="1"/>
  <c r="AS26" i="9" s="1"/>
  <c r="AP17" i="9" a="1"/>
  <c r="AP17" i="9" s="1"/>
  <c r="AT26" i="9" a="1"/>
  <c r="AT26" i="9" s="1"/>
  <c r="AG17" i="9" a="1"/>
  <c r="AG17" i="9" s="1"/>
  <c r="Z27" i="9" a="1"/>
  <c r="Z27" i="9" s="1"/>
  <c r="AK16" i="9" a="1"/>
  <c r="AK16" i="9" s="1"/>
  <c r="AM23" i="9" a="1"/>
  <c r="AM23" i="9" s="1"/>
  <c r="N14" i="9" a="1"/>
  <c r="N14" i="9" s="1"/>
  <c r="O27" i="9" a="1"/>
  <c r="O27" i="9" s="1"/>
  <c r="AL24" i="9" a="1"/>
  <c r="AL24" i="9" s="1"/>
  <c r="AA17" i="9" a="1"/>
  <c r="AA17" i="9" s="1"/>
  <c r="AE24" i="9" a="1"/>
  <c r="AE24" i="9" s="1"/>
  <c r="E20" i="9" a="1"/>
  <c r="E20" i="9" s="1"/>
  <c r="I27" i="9" a="1"/>
  <c r="I27" i="9" s="1"/>
  <c r="Y17" i="9" a="1"/>
  <c r="Y17" i="9" s="1"/>
  <c r="I18" i="9" a="1"/>
  <c r="I18" i="9" s="1"/>
  <c r="AO20" i="9" a="1"/>
  <c r="AO20" i="9" s="1"/>
  <c r="X26" i="9" a="1"/>
  <c r="X26" i="9" s="1"/>
  <c r="AU23" i="9" a="1"/>
  <c r="AU23" i="9" s="1"/>
  <c r="F16" i="9" a="1"/>
  <c r="F16" i="9" s="1"/>
  <c r="AO26" i="9" a="1"/>
  <c r="AO26" i="9" s="1"/>
  <c r="AL17" i="9" a="1"/>
  <c r="AL17" i="9" s="1"/>
  <c r="N22" i="9" a="1"/>
  <c r="N22" i="9" s="1"/>
  <c r="J16" i="9" a="1"/>
  <c r="J16" i="9" s="1"/>
  <c r="O22" i="9" a="1"/>
  <c r="O22" i="9" s="1"/>
  <c r="AT15" i="9" a="1"/>
  <c r="AT15" i="9" s="1"/>
  <c r="W27" i="9" a="1"/>
  <c r="W27" i="9" s="1"/>
  <c r="AT24" i="9" a="1"/>
  <c r="AT24" i="9" s="1"/>
  <c r="S17" i="9" a="1"/>
  <c r="S17" i="9" s="1"/>
  <c r="P27" i="9" a="1"/>
  <c r="P27" i="9" s="1"/>
  <c r="AM24" i="9" a="1"/>
  <c r="AM24" i="9" s="1"/>
  <c r="Z17" i="9" a="1"/>
  <c r="Z17" i="9" s="1"/>
  <c r="I17" i="9" a="1"/>
  <c r="I17" i="9" s="1"/>
  <c r="Q27" i="9" a="1"/>
  <c r="Q27" i="9" s="1"/>
  <c r="AV24" i="9" a="1"/>
  <c r="AV24" i="9" s="1"/>
  <c r="Q17" i="9" a="1"/>
  <c r="Q17" i="9" s="1"/>
  <c r="H17" i="9" a="1"/>
  <c r="H17" i="9" s="1"/>
  <c r="AP27" i="9" a="1"/>
  <c r="AP27" i="9" s="1"/>
  <c r="AG20" i="9" a="1"/>
  <c r="AG20" i="9" s="1"/>
  <c r="U16" i="9" a="1"/>
  <c r="U16" i="9" s="1"/>
  <c r="AF26" i="9" a="1"/>
  <c r="AF26" i="9" s="1"/>
  <c r="J24" i="9" a="1"/>
  <c r="J24" i="9" s="1"/>
  <c r="J18" i="9" a="1"/>
  <c r="J18" i="9" s="1"/>
  <c r="E15" i="9" a="1"/>
  <c r="E15" i="9" s="1"/>
  <c r="D27" i="9" a="1"/>
  <c r="D27" i="9" s="1"/>
  <c r="AA24" i="9" a="1"/>
  <c r="AA24" i="9" s="1"/>
  <c r="AD17" i="9" a="1"/>
  <c r="AD17" i="9" s="1"/>
  <c r="V22" i="9" a="1"/>
  <c r="V22" i="9" s="1"/>
  <c r="N20" i="9" a="1"/>
  <c r="N20" i="9" s="1"/>
  <c r="AM15" i="9" a="1"/>
  <c r="AM15" i="9" s="1"/>
  <c r="W22" i="9" a="1"/>
  <c r="W22" i="9" s="1"/>
  <c r="M20" i="9" a="1"/>
  <c r="M20" i="9" s="1"/>
  <c r="AL15" i="9" a="1"/>
  <c r="AL15" i="9" s="1"/>
  <c r="AU28" i="9" a="1"/>
  <c r="AU28" i="9" s="1"/>
  <c r="AF28" i="9" a="1"/>
  <c r="AF28" i="9" s="1"/>
  <c r="R69" i="9" a="1"/>
  <c r="R69" i="9" s="1"/>
  <c r="Z69" i="9" a="1"/>
  <c r="Z69" i="9" s="1"/>
  <c r="AH69" i="9" a="1"/>
  <c r="AH69" i="9" s="1"/>
  <c r="AP69" i="9" a="1"/>
  <c r="AP69" i="9" s="1"/>
  <c r="E70" i="9" a="1"/>
  <c r="E70" i="9" s="1"/>
  <c r="M70" i="9" a="1"/>
  <c r="M70" i="9" s="1"/>
  <c r="U70" i="9" a="1"/>
  <c r="U70" i="9" s="1"/>
  <c r="AK70" i="9" a="1"/>
  <c r="AK70" i="9" s="1"/>
  <c r="H71" i="9" a="1"/>
  <c r="H71" i="9" s="1"/>
  <c r="AF71" i="9" a="1"/>
  <c r="AF71" i="9" s="1"/>
  <c r="AJ79" i="9" a="1"/>
  <c r="AJ79" i="9" s="1"/>
  <c r="D80" i="9" a="1"/>
  <c r="D80" i="9" s="1"/>
  <c r="W80" i="9" a="1"/>
  <c r="W80" i="9" s="1"/>
  <c r="AD80" i="9" a="1"/>
  <c r="AD80" i="9" s="1"/>
  <c r="D81" i="9" a="1"/>
  <c r="D81" i="9" s="1"/>
  <c r="T81" i="9" a="1"/>
  <c r="T81" i="9" s="1"/>
  <c r="AG77" i="9" a="1"/>
  <c r="AG77" i="9" s="1"/>
  <c r="AO77" i="9" a="1"/>
  <c r="AO77" i="9" s="1"/>
  <c r="D79" i="9" a="1"/>
  <c r="D79" i="9" s="1"/>
  <c r="K79" i="9" a="1"/>
  <c r="K79" i="9" s="1"/>
  <c r="Q79" i="9" a="1"/>
  <c r="Q79" i="9" s="1"/>
  <c r="AD79" i="9" a="1"/>
  <c r="AD79" i="9" s="1"/>
  <c r="AQ79" i="9" a="1"/>
  <c r="AQ79" i="9" s="1"/>
  <c r="Q80" i="9" a="1"/>
  <c r="Q80" i="9" s="1"/>
  <c r="AJ80" i="9" a="1"/>
  <c r="AJ80" i="9" s="1"/>
  <c r="L81" i="9" a="1"/>
  <c r="L81" i="9" s="1"/>
  <c r="M75" i="9" a="1"/>
  <c r="M75" i="9" s="1"/>
  <c r="AK75" i="9" a="1"/>
  <c r="AK75" i="9" s="1"/>
  <c r="H76" i="9" a="1"/>
  <c r="H76" i="9" s="1"/>
  <c r="X76" i="9" a="1"/>
  <c r="X76" i="9" s="1"/>
  <c r="AN76" i="9" a="1"/>
  <c r="AN76" i="9" s="1"/>
  <c r="K77" i="9" a="1"/>
  <c r="K77" i="9" s="1"/>
  <c r="AA77" i="9" a="1"/>
  <c r="AA77" i="9" s="1"/>
  <c r="AM72" i="9" a="1"/>
  <c r="AM72" i="9" s="1"/>
  <c r="AU72" i="9" a="1"/>
  <c r="AU72" i="9" s="1"/>
  <c r="J73" i="9" a="1"/>
  <c r="J73" i="9" s="1"/>
  <c r="R73" i="9" a="1"/>
  <c r="R73" i="9" s="1"/>
  <c r="Z73" i="9" a="1"/>
  <c r="Z73" i="9" s="1"/>
  <c r="AH73" i="9" a="1"/>
  <c r="AH73" i="9" s="1"/>
  <c r="AP73" i="9" a="1"/>
  <c r="AP73" i="9" s="1"/>
  <c r="E75" i="9" a="1"/>
  <c r="E75" i="9" s="1"/>
  <c r="U75" i="9" a="1"/>
  <c r="U75" i="9" s="1"/>
  <c r="AC75" i="9" a="1"/>
  <c r="AC75" i="9" s="1"/>
  <c r="AS75" i="9" a="1"/>
  <c r="AS75" i="9" s="1"/>
  <c r="P76" i="9" a="1"/>
  <c r="P76" i="9" s="1"/>
  <c r="AF76" i="9" a="1"/>
  <c r="AF76" i="9" s="1"/>
  <c r="AV76" i="9" a="1"/>
  <c r="AV76" i="9" s="1"/>
  <c r="S77" i="9" a="1"/>
  <c r="S77" i="9" s="1"/>
  <c r="AI77" i="9" a="1"/>
  <c r="AI77" i="9" s="1"/>
  <c r="AM69" i="9" a="1"/>
  <c r="AM69" i="9" s="1"/>
  <c r="AU69" i="9" a="1"/>
  <c r="AU69" i="9" s="1"/>
  <c r="J70" i="9" a="1"/>
  <c r="J70" i="9" s="1"/>
  <c r="R70" i="9" a="1"/>
  <c r="R70" i="9" s="1"/>
  <c r="Z70" i="9" a="1"/>
  <c r="Z70" i="9" s="1"/>
  <c r="AH70" i="9" a="1"/>
  <c r="AH70" i="9" s="1"/>
  <c r="AP70" i="9" a="1"/>
  <c r="AP70" i="9" s="1"/>
  <c r="E71" i="9" a="1"/>
  <c r="E71" i="9" s="1"/>
  <c r="M71" i="9" a="1"/>
  <c r="M71" i="9" s="1"/>
  <c r="U71" i="9" a="1"/>
  <c r="U71" i="9" s="1"/>
  <c r="AN69" i="9" a="1"/>
  <c r="AN69" i="9" s="1"/>
  <c r="AV69" i="9" a="1"/>
  <c r="AV69" i="9" s="1"/>
  <c r="K70" i="9" a="1"/>
  <c r="K70" i="9" s="1"/>
  <c r="S70" i="9" a="1"/>
  <c r="S70" i="9" s="1"/>
  <c r="AA70" i="9" a="1"/>
  <c r="AA70" i="9" s="1"/>
  <c r="AI70" i="9" a="1"/>
  <c r="AI70" i="9" s="1"/>
  <c r="AQ70" i="9" a="1"/>
  <c r="AQ70" i="9" s="1"/>
  <c r="F71" i="9" a="1"/>
  <c r="F71" i="9" s="1"/>
  <c r="N71" i="9" a="1"/>
  <c r="N71" i="9" s="1"/>
  <c r="V71" i="9" a="1"/>
  <c r="V71" i="9" s="1"/>
  <c r="AC70" i="9" a="1"/>
  <c r="AC70" i="9" s="1"/>
  <c r="AS70" i="9" a="1"/>
  <c r="AS70" i="9" s="1"/>
  <c r="P71" i="9" a="1"/>
  <c r="P71" i="9" s="1"/>
  <c r="X71" i="9" a="1"/>
  <c r="X71" i="9" s="1"/>
  <c r="AN71" i="9" a="1"/>
  <c r="AN71" i="9" s="1"/>
  <c r="AC71" i="9" a="1"/>
  <c r="AC71" i="9" s="1"/>
  <c r="I72" i="9" a="1"/>
  <c r="I72" i="9" s="1"/>
  <c r="AF72" i="9" a="1"/>
  <c r="AF72" i="9" s="1"/>
  <c r="F73" i="9" a="1"/>
  <c r="F73" i="9" s="1"/>
  <c r="AB73" i="9" a="1"/>
  <c r="AB73" i="9" s="1"/>
  <c r="F75" i="9" a="1"/>
  <c r="F75" i="9" s="1"/>
  <c r="Y75" i="9" a="1"/>
  <c r="Y75" i="9" s="1"/>
  <c r="AU75" i="9" a="1"/>
  <c r="AU75" i="9" s="1"/>
  <c r="Y76" i="9" a="1"/>
  <c r="Y76" i="9" s="1"/>
  <c r="AR76" i="9" a="1"/>
  <c r="AR76" i="9" s="1"/>
  <c r="U77" i="9" a="1"/>
  <c r="U77" i="9" s="1"/>
  <c r="AQ77" i="9" a="1"/>
  <c r="AQ77" i="9" s="1"/>
  <c r="L79" i="9" a="1"/>
  <c r="L79" i="9" s="1"/>
  <c r="Y79" i="9" a="1"/>
  <c r="Y79" i="9" s="1"/>
  <c r="AL79" i="9" a="1"/>
  <c r="AL79" i="9" s="1"/>
  <c r="F80" i="9" a="1"/>
  <c r="F80" i="9" s="1"/>
  <c r="AE80" i="9" a="1"/>
  <c r="AE80" i="9" s="1"/>
  <c r="AR80" i="9" a="1"/>
  <c r="AR80" i="9" s="1"/>
  <c r="N81" i="9" a="1"/>
  <c r="N81" i="9" s="1"/>
  <c r="AB81" i="9" a="1"/>
  <c r="AB81" i="9" s="1"/>
  <c r="AN81" i="9" a="1"/>
  <c r="AN81" i="9" s="1"/>
  <c r="V80" i="9" a="1"/>
  <c r="V80" i="9" s="1"/>
  <c r="AF81" i="9" a="1"/>
  <c r="AF81" i="9" s="1"/>
  <c r="F81" i="9" a="1"/>
  <c r="F81" i="9" s="1"/>
  <c r="G81" i="9" a="1"/>
  <c r="G81" i="9" s="1"/>
  <c r="AL81" i="9" a="1"/>
  <c r="AL81" i="9" s="1"/>
  <c r="AD71" i="9" a="1"/>
  <c r="AD71" i="9" s="1"/>
  <c r="K72" i="9" a="1"/>
  <c r="K72" i="9" s="1"/>
  <c r="AG72" i="9" a="1"/>
  <c r="AG72" i="9" s="1"/>
  <c r="K73" i="9" a="1"/>
  <c r="K73" i="9" s="1"/>
  <c r="AD73" i="9" a="1"/>
  <c r="AD73" i="9" s="1"/>
  <c r="G75" i="9" a="1"/>
  <c r="G75" i="9" s="1"/>
  <c r="AD75" i="9" a="1"/>
  <c r="AD75" i="9" s="1"/>
  <c r="D76" i="9" a="1"/>
  <c r="D76" i="9" s="1"/>
  <c r="Z76" i="9" a="1"/>
  <c r="Z76" i="9" s="1"/>
  <c r="D77" i="9" a="1"/>
  <c r="D77" i="9" s="1"/>
  <c r="W77" i="9" a="1"/>
  <c r="W77" i="9" s="1"/>
  <c r="AR77" i="9" a="1"/>
  <c r="AR77" i="9" s="1"/>
  <c r="M79" i="9" a="1"/>
  <c r="M79" i="9" s="1"/>
  <c r="Z79" i="9" a="1"/>
  <c r="Z79" i="9" s="1"/>
  <c r="AM79" i="9" a="1"/>
  <c r="AM79" i="9" s="1"/>
  <c r="S80" i="9" a="1"/>
  <c r="S80" i="9" s="1"/>
  <c r="AF80" i="9" a="1"/>
  <c r="AF80" i="9" s="1"/>
  <c r="AS80" i="9" a="1"/>
  <c r="AS80" i="9" s="1"/>
  <c r="O81" i="9" a="1"/>
  <c r="O81" i="9" s="1"/>
  <c r="AD81" i="9" a="1"/>
  <c r="AD81" i="9" s="1"/>
  <c r="AP81" i="9" a="1"/>
  <c r="AP81" i="9" s="1"/>
  <c r="AV80" i="9" a="1"/>
  <c r="AV80" i="9" s="1"/>
  <c r="AT81" i="9" a="1"/>
  <c r="AT81" i="9" s="1"/>
  <c r="V81" i="9" a="1"/>
  <c r="V81" i="9" s="1"/>
  <c r="W81" i="9" a="1"/>
  <c r="W81" i="9" s="1"/>
  <c r="X81" i="9" a="1"/>
  <c r="X81" i="9" s="1"/>
  <c r="AK71" i="9" a="1"/>
  <c r="AK71" i="9" s="1"/>
  <c r="P72" i="9" a="1"/>
  <c r="P72" i="9" s="1"/>
  <c r="AI72" i="9" a="1"/>
  <c r="AI72" i="9" s="1"/>
  <c r="L73" i="9" a="1"/>
  <c r="L73" i="9" s="1"/>
  <c r="AI73" i="9" a="1"/>
  <c r="AI73" i="9" s="1"/>
  <c r="I75" i="9" a="1"/>
  <c r="I75" i="9" s="1"/>
  <c r="AE75" i="9" a="1"/>
  <c r="AE75" i="9" s="1"/>
  <c r="I76" i="9" a="1"/>
  <c r="I76" i="9" s="1"/>
  <c r="AB76" i="9" a="1"/>
  <c r="AB76" i="9" s="1"/>
  <c r="E77" i="9" a="1"/>
  <c r="E77" i="9" s="1"/>
  <c r="AB77" i="9" a="1"/>
  <c r="AB77" i="9" s="1"/>
  <c r="AS77" i="9" a="1"/>
  <c r="AS77" i="9" s="1"/>
  <c r="N79" i="9" a="1"/>
  <c r="N79" i="9" s="1"/>
  <c r="AA79" i="9" a="1"/>
  <c r="AA79" i="9" s="1"/>
  <c r="G80" i="9" a="1"/>
  <c r="G80" i="9" s="1"/>
  <c r="T80" i="9" a="1"/>
  <c r="T80" i="9" s="1"/>
  <c r="AG80" i="9" a="1"/>
  <c r="AG80" i="9" s="1"/>
  <c r="AT80" i="9" a="1"/>
  <c r="AT80" i="9" s="1"/>
  <c r="P81" i="9" a="1"/>
  <c r="P81" i="9" s="1"/>
  <c r="AE81" i="9" a="1"/>
  <c r="AE81" i="9" s="1"/>
  <c r="AR81" i="9" a="1"/>
  <c r="AR81" i="9" s="1"/>
  <c r="R81" i="9" a="1"/>
  <c r="R81" i="9" s="1"/>
  <c r="Y80" i="9" a="1"/>
  <c r="Y80" i="9" s="1"/>
  <c r="AU81" i="9" a="1"/>
  <c r="AU81" i="9" s="1"/>
  <c r="AL71" i="9" a="1"/>
  <c r="AL71" i="9" s="1"/>
  <c r="Q72" i="9" a="1"/>
  <c r="Q72" i="9" s="1"/>
  <c r="AN72" i="9" a="1"/>
  <c r="AN72" i="9" s="1"/>
  <c r="N73" i="9" a="1"/>
  <c r="N73" i="9" s="1"/>
  <c r="AJ73" i="9" a="1"/>
  <c r="AJ73" i="9" s="1"/>
  <c r="N75" i="9" a="1"/>
  <c r="N75" i="9" s="1"/>
  <c r="AG75" i="9" a="1"/>
  <c r="AG75" i="9" s="1"/>
  <c r="J76" i="9" a="1"/>
  <c r="J76" i="9" s="1"/>
  <c r="AG76" i="9" a="1"/>
  <c r="AG76" i="9" s="1"/>
  <c r="G77" i="9" a="1"/>
  <c r="G77" i="9" s="1"/>
  <c r="AC77" i="9" a="1"/>
  <c r="AC77" i="9" s="1"/>
  <c r="AU77" i="9" a="1"/>
  <c r="AU77" i="9" s="1"/>
  <c r="AB79" i="9" a="1"/>
  <c r="AB79" i="9" s="1"/>
  <c r="AO79" i="9" a="1"/>
  <c r="AO79" i="9" s="1"/>
  <c r="AL80" i="9" a="1"/>
  <c r="AL80" i="9" s="1"/>
  <c r="AS71" i="9" a="1"/>
  <c r="AS71" i="9" s="1"/>
  <c r="S72" i="9" a="1"/>
  <c r="S72" i="9" s="1"/>
  <c r="AO72" i="9" a="1"/>
  <c r="AO72" i="9" s="1"/>
  <c r="S73" i="9" a="1"/>
  <c r="S73" i="9" s="1"/>
  <c r="AL73" i="9" a="1"/>
  <c r="AL73" i="9" s="1"/>
  <c r="O75" i="9" a="1"/>
  <c r="O75" i="9" s="1"/>
  <c r="AL75" i="9" a="1"/>
  <c r="AL75" i="9" s="1"/>
  <c r="L76" i="9" a="1"/>
  <c r="L76" i="9" s="1"/>
  <c r="AH76" i="9" a="1"/>
  <c r="AH76" i="9" s="1"/>
  <c r="L77" i="9" a="1"/>
  <c r="L77" i="9" s="1"/>
  <c r="AE77" i="9" a="1"/>
  <c r="AE77" i="9" s="1"/>
  <c r="F79" i="9" a="1"/>
  <c r="F79" i="9" s="1"/>
  <c r="S79" i="9" a="1"/>
  <c r="S79" i="9" s="1"/>
  <c r="AR79" i="9" a="1"/>
  <c r="AR79" i="9" s="1"/>
  <c r="L80" i="9" a="1"/>
  <c r="L80" i="9" s="1"/>
  <c r="AT71" i="9" a="1"/>
  <c r="AT71" i="9" s="1"/>
  <c r="X72" i="9" a="1"/>
  <c r="X72" i="9" s="1"/>
  <c r="AQ72" i="9" a="1"/>
  <c r="AQ72" i="9" s="1"/>
  <c r="T73" i="9" a="1"/>
  <c r="T73" i="9" s="1"/>
  <c r="AQ73" i="9" a="1"/>
  <c r="AQ73" i="9" s="1"/>
  <c r="Q75" i="9" a="1"/>
  <c r="Q75" i="9" s="1"/>
  <c r="AM75" i="9" a="1"/>
  <c r="AM75" i="9" s="1"/>
  <c r="Q76" i="9" a="1"/>
  <c r="Q76" i="9" s="1"/>
  <c r="AJ76" i="9" a="1"/>
  <c r="AJ76" i="9" s="1"/>
  <c r="M77" i="9" a="1"/>
  <c r="M77" i="9" s="1"/>
  <c r="AJ77" i="9" a="1"/>
  <c r="AJ77" i="9" s="1"/>
  <c r="G79" i="9" a="1"/>
  <c r="G79" i="9" s="1"/>
  <c r="AF79" i="9" a="1"/>
  <c r="AF79" i="9" s="1"/>
  <c r="AS79" i="9" a="1"/>
  <c r="AS79" i="9" s="1"/>
  <c r="M80" i="9" a="1"/>
  <c r="M80" i="9" s="1"/>
  <c r="Z80" i="9" a="1"/>
  <c r="Z80" i="9" s="1"/>
  <c r="AV71" i="9" a="1"/>
  <c r="AV71" i="9" s="1"/>
  <c r="Y72" i="9" a="1"/>
  <c r="Y72" i="9" s="1"/>
  <c r="AV72" i="9" a="1"/>
  <c r="AV72" i="9" s="1"/>
  <c r="V73" i="9" a="1"/>
  <c r="V73" i="9" s="1"/>
  <c r="AR73" i="9" a="1"/>
  <c r="AR73" i="9" s="1"/>
  <c r="V75" i="9" a="1"/>
  <c r="V75" i="9" s="1"/>
  <c r="AO75" i="9" a="1"/>
  <c r="AO75" i="9" s="1"/>
  <c r="R76" i="9" a="1"/>
  <c r="R76" i="9" s="1"/>
  <c r="AO76" i="9" a="1"/>
  <c r="AO76" i="9" s="1"/>
  <c r="O77" i="9" a="1"/>
  <c r="O77" i="9" s="1"/>
  <c r="AK77" i="9" a="1"/>
  <c r="AK77" i="9" s="1"/>
  <c r="T79" i="9" a="1"/>
  <c r="T79" i="9" s="1"/>
  <c r="AG79" i="9" a="1"/>
  <c r="AG79" i="9" s="1"/>
  <c r="AT79" i="9" a="1"/>
  <c r="AT79" i="9" s="1"/>
  <c r="N80" i="9" a="1"/>
  <c r="N80" i="9" s="1"/>
  <c r="AM80" i="9" a="1"/>
  <c r="AM80" i="9" s="1"/>
  <c r="H72" i="9" a="1"/>
  <c r="H72" i="9" s="1"/>
  <c r="AA72" i="9" a="1"/>
  <c r="AA72" i="9" s="1"/>
  <c r="D73" i="9" a="1"/>
  <c r="D73" i="9" s="1"/>
  <c r="AA73" i="9" a="1"/>
  <c r="AA73" i="9" s="1"/>
  <c r="AT73" i="9" a="1"/>
  <c r="AT73" i="9" s="1"/>
  <c r="W75" i="9" a="1"/>
  <c r="W75" i="9" s="1"/>
  <c r="AT75" i="9" a="1"/>
  <c r="AT75" i="9" s="1"/>
  <c r="T76" i="9" a="1"/>
  <c r="T76" i="9" s="1"/>
  <c r="AP76" i="9" a="1"/>
  <c r="AP76" i="9" s="1"/>
  <c r="T77" i="9" a="1"/>
  <c r="T77" i="9" s="1"/>
  <c r="AM77" i="9" a="1"/>
  <c r="AM77" i="9" s="1"/>
  <c r="I79" i="9" a="1"/>
  <c r="I79" i="9" s="1"/>
  <c r="V79" i="9" a="1"/>
  <c r="V79" i="9" s="1"/>
  <c r="AI79" i="9" a="1"/>
  <c r="AI79" i="9" s="1"/>
  <c r="O80" i="9" a="1"/>
  <c r="O80" i="9" s="1"/>
  <c r="AB80" i="9" a="1"/>
  <c r="AB80" i="9" s="1"/>
  <c r="AO80" i="9" a="1"/>
  <c r="AO80" i="9" s="1"/>
  <c r="J81" i="9" a="1"/>
  <c r="J81" i="9" s="1"/>
  <c r="Z81" i="9" a="1"/>
  <c r="Z81" i="9" s="1"/>
  <c r="AM81" i="9" a="1"/>
  <c r="AM81" i="9" s="1"/>
  <c r="I80" i="9" a="1"/>
  <c r="I80" i="9" s="1"/>
  <c r="AH81" i="9" a="1"/>
  <c r="AH81" i="9" s="1"/>
  <c r="AJ81" i="9" a="1"/>
  <c r="AJ81" i="9" s="1"/>
  <c r="H81" i="9" a="1"/>
  <c r="H81" i="9" s="1"/>
  <c r="AU80" i="9" a="1"/>
  <c r="AU80" i="9" s="1"/>
  <c r="AH79" i="9" a="1"/>
  <c r="AH79" i="9" s="1"/>
  <c r="N77" i="9" a="1"/>
  <c r="N77" i="9" s="1"/>
  <c r="AN75" i="9" a="1"/>
  <c r="AN75" i="9" s="1"/>
  <c r="U73" i="9" a="1"/>
  <c r="U73" i="9" s="1"/>
  <c r="AU71" i="9" a="1"/>
  <c r="AU71" i="9" s="1"/>
  <c r="AB70" i="9" a="1"/>
  <c r="AB70" i="9" s="1"/>
  <c r="I69" i="9" a="1"/>
  <c r="I69" i="9" s="1"/>
  <c r="AI67" i="9" a="1"/>
  <c r="AI67" i="9" s="1"/>
  <c r="AS68" i="9" a="1"/>
  <c r="AS68" i="9" s="1"/>
  <c r="Z67" i="9" a="1"/>
  <c r="Z67" i="9" s="1"/>
  <c r="AJ68" i="9" a="1"/>
  <c r="AJ68" i="9" s="1"/>
  <c r="Q67" i="9" a="1"/>
  <c r="Q67" i="9" s="1"/>
  <c r="AB71" i="9" a="1"/>
  <c r="AB71" i="9" s="1"/>
  <c r="I70" i="9" a="1"/>
  <c r="I70" i="9" s="1"/>
  <c r="AI68" i="9" a="1"/>
  <c r="AI68" i="9" s="1"/>
  <c r="P67" i="9" a="1"/>
  <c r="P67" i="9" s="1"/>
  <c r="AQ80" i="9" a="1"/>
  <c r="AQ80" i="9" s="1"/>
  <c r="X79" i="9" a="1"/>
  <c r="X79" i="9" s="1"/>
  <c r="AU76" i="9" a="1"/>
  <c r="AU76" i="9" s="1"/>
  <c r="AB75" i="9" a="1"/>
  <c r="AB75" i="9" s="1"/>
  <c r="I73" i="9" a="1"/>
  <c r="I73" i="9" s="1"/>
  <c r="AI71" i="9" a="1"/>
  <c r="AI71" i="9" s="1"/>
  <c r="P70" i="9" a="1"/>
  <c r="P70" i="9" s="1"/>
  <c r="AP68" i="9" a="1"/>
  <c r="AP68" i="9" s="1"/>
  <c r="W67" i="9" a="1"/>
  <c r="W67" i="9" s="1"/>
  <c r="AD76" i="9" a="1"/>
  <c r="AD76" i="9" s="1"/>
  <c r="K75" i="9" a="1"/>
  <c r="K75" i="9" s="1"/>
  <c r="AK72" i="9" a="1"/>
  <c r="AK72" i="9" s="1"/>
  <c r="R71" i="9" a="1"/>
  <c r="R71" i="9" s="1"/>
  <c r="AR69" i="9" a="1"/>
  <c r="AR69" i="9" s="1"/>
  <c r="Y68" i="9" a="1"/>
  <c r="Y68" i="9" s="1"/>
  <c r="F67" i="9" a="1"/>
  <c r="F67" i="9" s="1"/>
  <c r="AI80" i="9" a="1"/>
  <c r="AI80" i="9" s="1"/>
  <c r="P79" i="9" a="1"/>
  <c r="P79" i="9" s="1"/>
  <c r="AS76" i="9" a="1"/>
  <c r="AS76" i="9" s="1"/>
  <c r="Z75" i="9" a="1"/>
  <c r="Z75" i="9" s="1"/>
  <c r="G73" i="9" a="1"/>
  <c r="G73" i="9" s="1"/>
  <c r="AG71" i="9" a="1"/>
  <c r="AG71" i="9" s="1"/>
  <c r="N70" i="9" a="1"/>
  <c r="N70" i="9" s="1"/>
  <c r="AN68" i="9" a="1"/>
  <c r="AN68" i="9" s="1"/>
  <c r="U67" i="9" a="1"/>
  <c r="U67" i="9" s="1"/>
  <c r="O68" i="9" a="1"/>
  <c r="O68" i="9" s="1"/>
  <c r="AN80" i="9" a="1"/>
  <c r="AN80" i="9" s="1"/>
  <c r="U79" i="9" a="1"/>
  <c r="U79" i="9" s="1"/>
  <c r="F77" i="9" a="1"/>
  <c r="F77" i="9" s="1"/>
  <c r="AF75" i="9" a="1"/>
  <c r="AF75" i="9" s="1"/>
  <c r="M73" i="9" a="1"/>
  <c r="M73" i="9" s="1"/>
  <c r="AM71" i="9" a="1"/>
  <c r="AM71" i="9" s="1"/>
  <c r="T70" i="9" a="1"/>
  <c r="T70" i="9" s="1"/>
  <c r="AT68" i="9" a="1"/>
  <c r="AT68" i="9" s="1"/>
  <c r="AA67" i="9" a="1"/>
  <c r="AA67" i="9" s="1"/>
  <c r="AK68" i="9" a="1"/>
  <c r="AK68" i="9" s="1"/>
  <c r="R67" i="9" a="1"/>
  <c r="R67" i="9" s="1"/>
  <c r="AB68" i="9" a="1"/>
  <c r="AB68" i="9" s="1"/>
  <c r="I67" i="9" a="1"/>
  <c r="I67" i="9" s="1"/>
  <c r="T71" i="9" a="1"/>
  <c r="T71" i="9" s="1"/>
  <c r="AT69" i="9" a="1"/>
  <c r="AT69" i="9" s="1"/>
  <c r="AA68" i="9" a="1"/>
  <c r="AA68" i="9" s="1"/>
  <c r="H67" i="9" a="1"/>
  <c r="H67" i="9" s="1"/>
  <c r="AK80" i="9" a="1"/>
  <c r="AK80" i="9" s="1"/>
  <c r="R79" i="9" a="1"/>
  <c r="R79" i="9" s="1"/>
  <c r="AM76" i="9" a="1"/>
  <c r="AM76" i="9" s="1"/>
  <c r="T75" i="9" a="1"/>
  <c r="T75" i="9" s="1"/>
  <c r="AT72" i="9" a="1"/>
  <c r="AT72" i="9" s="1"/>
  <c r="AA71" i="9" a="1"/>
  <c r="AA71" i="9" s="1"/>
  <c r="H70" i="9" a="1"/>
  <c r="H70" i="9" s="1"/>
  <c r="AH68" i="9" a="1"/>
  <c r="AH68" i="9" s="1"/>
  <c r="O67" i="9" a="1"/>
  <c r="O67" i="9" s="1"/>
  <c r="V76" i="9" a="1"/>
  <c r="V76" i="9" s="1"/>
  <c r="AV73" i="9" a="1"/>
  <c r="AV73" i="9" s="1"/>
  <c r="AC72" i="9" a="1"/>
  <c r="AC72" i="9" s="1"/>
  <c r="J71" i="9" a="1"/>
  <c r="J71" i="9" s="1"/>
  <c r="AJ69" i="9" a="1"/>
  <c r="AJ69" i="9" s="1"/>
  <c r="Q68" i="9" a="1"/>
  <c r="Q68" i="9" s="1"/>
  <c r="AQ81" i="9" a="1"/>
  <c r="AQ81" i="9" s="1"/>
  <c r="AC80" i="9" a="1"/>
  <c r="AC80" i="9" s="1"/>
  <c r="J79" i="9" a="1"/>
  <c r="J79" i="9" s="1"/>
  <c r="AK76" i="9" a="1"/>
  <c r="AK76" i="9" s="1"/>
  <c r="R75" i="9" a="1"/>
  <c r="R75" i="9" s="1"/>
  <c r="AR72" i="9" a="1"/>
  <c r="AR72" i="9" s="1"/>
  <c r="Y71" i="9" a="1"/>
  <c r="Y71" i="9" s="1"/>
  <c r="F70" i="9" a="1"/>
  <c r="F70" i="9" s="1"/>
  <c r="AF68" i="9" a="1"/>
  <c r="AF68" i="9" s="1"/>
  <c r="M67" i="9" a="1"/>
  <c r="M67" i="9" s="1"/>
  <c r="G68" i="9" a="1"/>
  <c r="G68" i="9" s="1"/>
  <c r="AH80" i="9" a="1"/>
  <c r="AH80" i="9" s="1"/>
  <c r="O79" i="9" a="1"/>
  <c r="O79" i="9" s="1"/>
  <c r="AQ76" i="9" a="1"/>
  <c r="AQ76" i="9" s="1"/>
  <c r="X75" i="9" a="1"/>
  <c r="X75" i="9" s="1"/>
  <c r="E73" i="9" a="1"/>
  <c r="E73" i="9" s="1"/>
  <c r="AE71" i="9" a="1"/>
  <c r="AE71" i="9" s="1"/>
  <c r="L70" i="9" a="1"/>
  <c r="L70" i="9" s="1"/>
  <c r="AL68" i="9" a="1"/>
  <c r="AL68" i="9" s="1"/>
  <c r="S67" i="9" a="1"/>
  <c r="S67" i="9" s="1"/>
  <c r="AC68" i="9" a="1"/>
  <c r="AC68" i="9" s="1"/>
  <c r="J67" i="9" a="1"/>
  <c r="J67" i="9" s="1"/>
  <c r="T68" i="9" a="1"/>
  <c r="T68" i="9" s="1"/>
  <c r="AE72" i="9" a="1"/>
  <c r="AE72" i="9" s="1"/>
  <c r="L71" i="9" a="1"/>
  <c r="L71" i="9" s="1"/>
  <c r="AL69" i="9" a="1"/>
  <c r="AL69" i="9" s="1"/>
  <c r="S68" i="9" a="1"/>
  <c r="S68" i="9" s="1"/>
  <c r="AS81" i="9" a="1"/>
  <c r="AS81" i="9" s="1"/>
  <c r="X80" i="9" a="1"/>
  <c r="X80" i="9" s="1"/>
  <c r="E79" i="9" a="1"/>
  <c r="E79" i="9" s="1"/>
  <c r="AE76" i="9" a="1"/>
  <c r="AE76" i="9" s="1"/>
  <c r="L75" i="9" a="1"/>
  <c r="L75" i="9" s="1"/>
  <c r="AL72" i="9" a="1"/>
  <c r="AL72" i="9" s="1"/>
  <c r="S71" i="9" a="1"/>
  <c r="S71" i="9" s="1"/>
  <c r="AS69" i="9" a="1"/>
  <c r="AS69" i="9" s="1"/>
  <c r="Z68" i="9" a="1"/>
  <c r="Z68" i="9" s="1"/>
  <c r="G67" i="9" a="1"/>
  <c r="G67" i="9" s="1"/>
  <c r="N76" i="9" a="1"/>
  <c r="N76" i="9" s="1"/>
  <c r="AN73" i="9" a="1"/>
  <c r="AN73" i="9" s="1"/>
  <c r="U72" i="9" a="1"/>
  <c r="U72" i="9" s="1"/>
  <c r="AU70" i="9" a="1"/>
  <c r="AU70" i="9" s="1"/>
  <c r="AB69" i="9" a="1"/>
  <c r="AB69" i="9" s="1"/>
  <c r="I68" i="9" a="1"/>
  <c r="I68" i="9" s="1"/>
  <c r="AI81" i="9" a="1"/>
  <c r="AI81" i="9" s="1"/>
  <c r="P80" i="9" a="1"/>
  <c r="P80" i="9" s="1"/>
  <c r="AV77" i="9" a="1"/>
  <c r="AV77" i="9" s="1"/>
  <c r="AC76" i="9" a="1"/>
  <c r="AC76" i="9" s="1"/>
  <c r="J75" i="9" a="1"/>
  <c r="J75" i="9" s="1"/>
  <c r="AJ72" i="9" a="1"/>
  <c r="AJ72" i="9" s="1"/>
  <c r="Q71" i="9" a="1"/>
  <c r="Q71" i="9" s="1"/>
  <c r="AQ69" i="9" a="1"/>
  <c r="AQ69" i="9" s="1"/>
  <c r="X68" i="9" a="1"/>
  <c r="X68" i="9" s="1"/>
  <c r="E67" i="9" a="1"/>
  <c r="E67" i="9" s="1"/>
  <c r="AR67" i="9" a="1"/>
  <c r="AR67" i="9" s="1"/>
  <c r="AO81" i="9" a="1"/>
  <c r="AO81" i="9" s="1"/>
  <c r="AA80" i="9" a="1"/>
  <c r="AA80" i="9" s="1"/>
  <c r="H79" i="9" a="1"/>
  <c r="H79" i="9" s="1"/>
  <c r="AI76" i="9" a="1"/>
  <c r="AI76" i="9" s="1"/>
  <c r="P75" i="9" a="1"/>
  <c r="P75" i="9" s="1"/>
  <c r="AP72" i="9" a="1"/>
  <c r="AP72" i="9" s="1"/>
  <c r="W71" i="9" a="1"/>
  <c r="W71" i="9" s="1"/>
  <c r="D70" i="9" a="1"/>
  <c r="D70" i="9" s="1"/>
  <c r="AD68" i="9" a="1"/>
  <c r="AD68" i="9" s="1"/>
  <c r="K67" i="9" a="1"/>
  <c r="K67" i="9" s="1"/>
  <c r="U68" i="9" a="1"/>
  <c r="U68" i="9" s="1"/>
  <c r="AE69" i="9" a="1"/>
  <c r="AE69" i="9" s="1"/>
  <c r="L68" i="9" a="1"/>
  <c r="L68" i="9" s="1"/>
  <c r="W72" i="9" a="1"/>
  <c r="W72" i="9" s="1"/>
  <c r="D71" i="9" a="1"/>
  <c r="D71" i="9" s="1"/>
  <c r="AD69" i="9" a="1"/>
  <c r="AD69" i="9" s="1"/>
  <c r="K68" i="9" a="1"/>
  <c r="K68" i="9" s="1"/>
  <c r="AK81" i="9" a="1"/>
  <c r="AK81" i="9" s="1"/>
  <c r="R80" i="9" a="1"/>
  <c r="R80" i="9" s="1"/>
  <c r="AP77" i="9" a="1"/>
  <c r="AP77" i="9" s="1"/>
  <c r="W76" i="9" a="1"/>
  <c r="W76" i="9" s="1"/>
  <c r="D75" i="9" a="1"/>
  <c r="D75" i="9" s="1"/>
  <c r="AD72" i="9" a="1"/>
  <c r="AD72" i="9" s="1"/>
  <c r="K71" i="9" a="1"/>
  <c r="K71" i="9" s="1"/>
  <c r="AK69" i="9" a="1"/>
  <c r="AK69" i="9" s="1"/>
  <c r="R68" i="9" a="1"/>
  <c r="R68" i="9" s="1"/>
  <c r="Y77" i="9" a="1"/>
  <c r="Y77" i="9" s="1"/>
  <c r="F76" i="9" a="1"/>
  <c r="F76" i="9" s="1"/>
  <c r="AF73" i="9" a="1"/>
  <c r="AF73" i="9" s="1"/>
  <c r="M72" i="9" a="1"/>
  <c r="M72" i="9" s="1"/>
  <c r="AM70" i="9" a="1"/>
  <c r="AM70" i="9" s="1"/>
  <c r="T69" i="9" a="1"/>
  <c r="T69" i="9" s="1"/>
  <c r="AT67" i="9" a="1"/>
  <c r="AT67" i="9" s="1"/>
  <c r="AA81" i="9" a="1"/>
  <c r="AA81" i="9" s="1"/>
  <c r="J80" i="9" a="1"/>
  <c r="J80" i="9" s="1"/>
  <c r="AN77" i="9" a="1"/>
  <c r="AN77" i="9" s="1"/>
  <c r="U76" i="9" a="1"/>
  <c r="U76" i="9" s="1"/>
  <c r="AU73" i="9" a="1"/>
  <c r="AU73" i="9" s="1"/>
  <c r="AB72" i="9" a="1"/>
  <c r="AB72" i="9" s="1"/>
  <c r="I71" i="9" a="1"/>
  <c r="I71" i="9" s="1"/>
  <c r="AI69" i="9" a="1"/>
  <c r="AI69" i="9" s="1"/>
  <c r="P68" i="9" a="1"/>
  <c r="P68" i="9" s="1"/>
  <c r="J69" i="9" a="1"/>
  <c r="J69" i="9" s="1"/>
  <c r="AJ67" i="9" a="1"/>
  <c r="AJ67" i="9" s="1"/>
  <c r="AG81" i="9" a="1"/>
  <c r="AG81" i="9" s="1"/>
  <c r="U80" i="9" a="1"/>
  <c r="U80" i="9" s="1"/>
  <c r="AT77" i="9" a="1"/>
  <c r="AT77" i="9" s="1"/>
  <c r="AA76" i="9" a="1"/>
  <c r="AA76" i="9" s="1"/>
  <c r="H75" i="9" a="1"/>
  <c r="H75" i="9" s="1"/>
  <c r="AH72" i="9" a="1"/>
  <c r="AH72" i="9" s="1"/>
  <c r="O71" i="9" a="1"/>
  <c r="O71" i="9" s="1"/>
  <c r="AO69" i="9" a="1"/>
  <c r="AO69" i="9" s="1"/>
  <c r="V68" i="9" a="1"/>
  <c r="V68" i="9" s="1"/>
  <c r="AF69" i="9" a="1"/>
  <c r="AF69" i="9" s="1"/>
  <c r="M68" i="9" a="1"/>
  <c r="M68" i="9" s="1"/>
  <c r="W69" i="9" a="1"/>
  <c r="W69" i="9" s="1"/>
  <c r="D68" i="9" a="1"/>
  <c r="D68" i="9" s="1"/>
  <c r="O72" i="9" a="1"/>
  <c r="O72" i="9" s="1"/>
  <c r="AO70" i="9" a="1"/>
  <c r="AO70" i="9" s="1"/>
  <c r="V69" i="9" a="1"/>
  <c r="V69" i="9" s="1"/>
  <c r="AV67" i="9" a="1"/>
  <c r="AV67" i="9" s="1"/>
  <c r="AC81" i="9" a="1"/>
  <c r="AC81" i="9" s="1"/>
  <c r="K80" i="9" a="1"/>
  <c r="K80" i="9" s="1"/>
  <c r="AH77" i="9" a="1"/>
  <c r="AH77" i="9" s="1"/>
  <c r="O76" i="9" a="1"/>
  <c r="O76" i="9" s="1"/>
  <c r="AO73" i="9" a="1"/>
  <c r="AO73" i="9" s="1"/>
  <c r="V72" i="9" a="1"/>
  <c r="V72" i="9" s="1"/>
  <c r="AV70" i="9" a="1"/>
  <c r="AV70" i="9" s="1"/>
  <c r="AC69" i="9" a="1"/>
  <c r="AC69" i="9" s="1"/>
  <c r="J68" i="9" a="1"/>
  <c r="J68" i="9" s="1"/>
  <c r="Q77" i="9" a="1"/>
  <c r="Q77" i="9" s="1"/>
  <c r="AQ75" i="9" a="1"/>
  <c r="AQ75" i="9" s="1"/>
  <c r="X73" i="9" a="1"/>
  <c r="X73" i="9" s="1"/>
  <c r="E72" i="9" a="1"/>
  <c r="E72" i="9" s="1"/>
  <c r="AE70" i="9" a="1"/>
  <c r="AE70" i="9" s="1"/>
  <c r="L69" i="9" a="1"/>
  <c r="L69" i="9" s="1"/>
  <c r="AL67" i="9" a="1"/>
  <c r="AL67" i="9" s="1"/>
  <c r="S81" i="9" a="1"/>
  <c r="S81" i="9" s="1"/>
  <c r="AV79" i="9" a="1"/>
  <c r="AV79" i="9" s="1"/>
  <c r="AF77" i="9" a="1"/>
  <c r="AF77" i="9" s="1"/>
  <c r="M76" i="9" a="1"/>
  <c r="M76" i="9" s="1"/>
  <c r="AM73" i="9" a="1"/>
  <c r="AM73" i="9" s="1"/>
  <c r="T72" i="9" a="1"/>
  <c r="T72" i="9" s="1"/>
  <c r="AT70" i="9" a="1"/>
  <c r="AT70" i="9" s="1"/>
  <c r="AA69" i="9" a="1"/>
  <c r="AA69" i="9" s="1"/>
  <c r="H68" i="9" a="1"/>
  <c r="H68" i="9" s="1"/>
  <c r="AU68" i="9" a="1"/>
  <c r="AU68" i="9" s="1"/>
  <c r="AB67" i="9" a="1"/>
  <c r="AB67" i="9" s="1"/>
  <c r="Y81" i="9" a="1"/>
  <c r="Y81" i="9" s="1"/>
  <c r="H80" i="9" a="1"/>
  <c r="H80" i="9" s="1"/>
  <c r="AL77" i="9" a="1"/>
  <c r="AL77" i="9" s="1"/>
  <c r="S76" i="9" a="1"/>
  <c r="S76" i="9" s="1"/>
  <c r="AS73" i="9" a="1"/>
  <c r="AS73" i="9" s="1"/>
  <c r="Z72" i="9" a="1"/>
  <c r="Z72" i="9" s="1"/>
  <c r="G71" i="9" a="1"/>
  <c r="G71" i="9" s="1"/>
  <c r="AG69" i="9" a="1"/>
  <c r="AG69" i="9" s="1"/>
  <c r="N68" i="9" a="1"/>
  <c r="N68" i="9" s="1"/>
  <c r="X69" i="9" a="1"/>
  <c r="X69" i="9" s="1"/>
  <c r="E68" i="9" a="1"/>
  <c r="E68" i="9" s="1"/>
  <c r="O69" i="9" a="1"/>
  <c r="O69" i="9" s="1"/>
  <c r="AO67" i="9" a="1"/>
  <c r="AO67" i="9" s="1"/>
  <c r="G72" i="9" a="1"/>
  <c r="G72" i="9" s="1"/>
  <c r="AG70" i="9" a="1"/>
  <c r="AG70" i="9" s="1"/>
  <c r="N69" i="9" a="1"/>
  <c r="N69" i="9" s="1"/>
  <c r="AN67" i="9" a="1"/>
  <c r="AN67" i="9" s="1"/>
  <c r="U81" i="9" a="1"/>
  <c r="U81" i="9" s="1"/>
  <c r="E80" i="9" a="1"/>
  <c r="E80" i="9" s="1"/>
  <c r="Z77" i="9" a="1"/>
  <c r="Z77" i="9" s="1"/>
  <c r="G76" i="9" a="1"/>
  <c r="G76" i="9" s="1"/>
  <c r="AG73" i="9" a="1"/>
  <c r="AG73" i="9" s="1"/>
  <c r="N72" i="9" a="1"/>
  <c r="N72" i="9" s="1"/>
  <c r="AN70" i="9" a="1"/>
  <c r="AN70" i="9" s="1"/>
  <c r="U69" i="9" a="1"/>
  <c r="U69" i="9" s="1"/>
  <c r="AU67" i="9" a="1"/>
  <c r="AU67" i="9" s="1"/>
  <c r="I77" i="9" a="1"/>
  <c r="I77" i="9" s="1"/>
  <c r="AI75" i="9" a="1"/>
  <c r="AI75" i="9" s="1"/>
  <c r="P73" i="9" a="1"/>
  <c r="P73" i="9" s="1"/>
  <c r="AP71" i="9" a="1"/>
  <c r="AP71" i="9" s="1"/>
  <c r="W70" i="9" a="1"/>
  <c r="W70" i="9" s="1"/>
  <c r="D69" i="9" a="1"/>
  <c r="D69" i="9" s="1"/>
  <c r="AD67" i="9" a="1"/>
  <c r="AD67" i="9" s="1"/>
  <c r="K81" i="9" a="1"/>
  <c r="K81" i="9" s="1"/>
  <c r="AP79" i="9" a="1"/>
  <c r="AP79" i="9" s="1"/>
  <c r="X77" i="9" a="1"/>
  <c r="X77" i="9" s="1"/>
  <c r="E76" i="9" a="1"/>
  <c r="E76" i="9" s="1"/>
  <c r="AE73" i="9" a="1"/>
  <c r="AE73" i="9" s="1"/>
  <c r="L72" i="9" a="1"/>
  <c r="L72" i="9" s="1"/>
  <c r="AL70" i="9" a="1"/>
  <c r="AL70" i="9" s="1"/>
  <c r="S69" i="9" a="1"/>
  <c r="S69" i="9" s="1"/>
  <c r="AS67" i="9" a="1"/>
  <c r="AS67" i="9" s="1"/>
  <c r="AM68" i="9" a="1"/>
  <c r="AM68" i="9" s="1"/>
  <c r="T67" i="9" a="1"/>
  <c r="T67" i="9" s="1"/>
  <c r="Q81" i="9" a="1"/>
  <c r="Q81" i="9" s="1"/>
  <c r="AU79" i="9" a="1"/>
  <c r="AU79" i="9" s="1"/>
  <c r="AD77" i="9" a="1"/>
  <c r="AD77" i="9" s="1"/>
  <c r="K76" i="9" a="1"/>
  <c r="K76" i="9" s="1"/>
  <c r="AK73" i="9" a="1"/>
  <c r="AK73" i="9" s="1"/>
  <c r="R72" i="9" a="1"/>
  <c r="R72" i="9" s="1"/>
  <c r="AR70" i="9" a="1"/>
  <c r="AR70" i="9" s="1"/>
  <c r="Y69" i="9" a="1"/>
  <c r="Y69" i="9" s="1"/>
  <c r="F68" i="9" a="1"/>
  <c r="F68" i="9" s="1"/>
  <c r="P69" i="9" a="1"/>
  <c r="P69" i="9" s="1"/>
  <c r="AP67" i="9" a="1"/>
  <c r="AP67" i="9" s="1"/>
  <c r="G69" i="9" a="1"/>
  <c r="G69" i="9" s="1"/>
  <c r="AG67" i="9" a="1"/>
  <c r="AG67" i="9" s="1"/>
  <c r="AR71" i="9" a="1"/>
  <c r="AR71" i="9" s="1"/>
  <c r="Y70" i="9" a="1"/>
  <c r="Y70" i="9" s="1"/>
  <c r="F69" i="9" a="1"/>
  <c r="F69" i="9" s="1"/>
  <c r="AF67" i="9" a="1"/>
  <c r="AF67" i="9" s="1"/>
  <c r="M81" i="9" a="1"/>
  <c r="M81" i="9" s="1"/>
  <c r="AK79" i="9" a="1"/>
  <c r="AK79" i="9" s="1"/>
  <c r="R77" i="9" a="1"/>
  <c r="R77" i="9" s="1"/>
  <c r="AR75" i="9" a="1"/>
  <c r="AR75" i="9" s="1"/>
  <c r="Y73" i="9" a="1"/>
  <c r="Y73" i="9" s="1"/>
  <c r="F72" i="9" a="1"/>
  <c r="F72" i="9" s="1"/>
  <c r="AF70" i="9" a="1"/>
  <c r="AF70" i="9" s="1"/>
  <c r="M69" i="9" a="1"/>
  <c r="M69" i="9" s="1"/>
  <c r="AM67" i="9" a="1"/>
  <c r="AM67" i="9" s="1"/>
  <c r="AT76" i="9" a="1"/>
  <c r="AT76" i="9" s="1"/>
  <c r="AA75" i="9" a="1"/>
  <c r="AA75" i="9" s="1"/>
  <c r="H73" i="9" a="1"/>
  <c r="H73" i="9" s="1"/>
  <c r="AH71" i="9" a="1"/>
  <c r="AH71" i="9" s="1"/>
  <c r="O70" i="9" a="1"/>
  <c r="O70" i="9" s="1"/>
  <c r="AO68" i="9" a="1"/>
  <c r="AO68" i="9" s="1"/>
  <c r="V67" i="9" a="1"/>
  <c r="V67" i="9" s="1"/>
  <c r="AV81" i="9" a="1"/>
  <c r="AV81" i="9" s="1"/>
  <c r="AC79" i="9" a="1"/>
  <c r="AC79" i="9" s="1"/>
  <c r="P77" i="9" a="1"/>
  <c r="P77" i="9" s="1"/>
  <c r="AP75" i="9" a="1"/>
  <c r="AP75" i="9" s="1"/>
  <c r="W73" i="9" a="1"/>
  <c r="W73" i="9" s="1"/>
  <c r="D72" i="9" a="1"/>
  <c r="D72" i="9" s="1"/>
  <c r="AD70" i="9" a="1"/>
  <c r="AD70" i="9" s="1"/>
  <c r="K69" i="9" a="1"/>
  <c r="K69" i="9" s="1"/>
  <c r="AK67" i="9" a="1"/>
  <c r="AK67" i="9" s="1"/>
  <c r="AE68" i="9" a="1"/>
  <c r="AE68" i="9" s="1"/>
  <c r="L67" i="9" a="1"/>
  <c r="L67" i="9" s="1"/>
  <c r="I81" i="9" a="1"/>
  <c r="I81" i="9" s="1"/>
  <c r="AN79" i="9" a="1"/>
  <c r="AN79" i="9" s="1"/>
  <c r="V77" i="9" a="1"/>
  <c r="V77" i="9" s="1"/>
  <c r="AV75" i="9" a="1"/>
  <c r="AV75" i="9" s="1"/>
  <c r="AC73" i="9" a="1"/>
  <c r="AC73" i="9" s="1"/>
  <c r="J72" i="9" a="1"/>
  <c r="J72" i="9" s="1"/>
  <c r="AJ70" i="9" a="1"/>
  <c r="AJ70" i="9" s="1"/>
  <c r="Q69" i="9" a="1"/>
  <c r="Q69" i="9" s="1"/>
  <c r="AQ67" i="9" a="1"/>
  <c r="AQ67" i="9" s="1"/>
  <c r="H69" i="9" a="1"/>
  <c r="H69" i="9" s="1"/>
  <c r="AH67" i="9" a="1"/>
  <c r="AH67" i="9" s="1"/>
  <c r="AR68" i="9" a="1"/>
  <c r="AR68" i="9" s="1"/>
  <c r="Y67" i="9" a="1"/>
  <c r="Y67" i="9" s="1"/>
  <c r="AJ71" i="9" a="1"/>
  <c r="AJ71" i="9" s="1"/>
  <c r="Q70" i="9" a="1"/>
  <c r="Q70" i="9" s="1"/>
  <c r="AQ68" i="9" a="1"/>
  <c r="AQ68" i="9" s="1"/>
  <c r="X67" i="9" a="1"/>
  <c r="X67" i="9" s="1"/>
  <c r="E81" i="9" a="1"/>
  <c r="E81" i="9" s="1"/>
  <c r="AE79" i="9" a="1"/>
  <c r="AE79" i="9" s="1"/>
  <c r="J77" i="9" a="1"/>
  <c r="J77" i="9" s="1"/>
  <c r="AJ75" i="9" a="1"/>
  <c r="AJ75" i="9" s="1"/>
  <c r="Q73" i="9" a="1"/>
  <c r="Q73" i="9" s="1"/>
  <c r="AQ71" i="9" a="1"/>
  <c r="AQ71" i="9" s="1"/>
  <c r="X70" i="9" a="1"/>
  <c r="X70" i="9" s="1"/>
  <c r="E69" i="9" a="1"/>
  <c r="E69" i="9" s="1"/>
  <c r="AE67" i="9" a="1"/>
  <c r="AE67" i="9" s="1"/>
  <c r="AL76" i="9" a="1"/>
  <c r="AL76" i="9" s="1"/>
  <c r="S75" i="9" a="1"/>
  <c r="S75" i="9" s="1"/>
  <c r="AS72" i="9" a="1"/>
  <c r="AS72" i="9" s="1"/>
  <c r="Z71" i="9" a="1"/>
  <c r="Z71" i="9" s="1"/>
  <c r="G70" i="9" a="1"/>
  <c r="G70" i="9" s="1"/>
  <c r="AG68" i="9" a="1"/>
  <c r="AG68" i="9" s="1"/>
  <c r="N67" i="9" a="1"/>
  <c r="N67" i="9" s="1"/>
  <c r="AP80" i="9" a="1"/>
  <c r="AP80" i="9" s="1"/>
  <c r="W79" i="9" a="1"/>
  <c r="W79" i="9" s="1"/>
  <c r="H77" i="9" a="1"/>
  <c r="H77" i="9" s="1"/>
  <c r="AH75" i="9" a="1"/>
  <c r="AH75" i="9" s="1"/>
  <c r="O73" i="9" a="1"/>
  <c r="O73" i="9" s="1"/>
  <c r="AO71" i="9" a="1"/>
  <c r="AO71" i="9" s="1"/>
  <c r="V70" i="9" a="1"/>
  <c r="V70" i="9" s="1"/>
  <c r="AV68" i="9" a="1"/>
  <c r="AV68" i="9" s="1"/>
  <c r="AC67" i="9" a="1"/>
  <c r="AC67" i="9" s="1"/>
  <c r="W68" i="9" a="1"/>
  <c r="W68" i="9" s="1"/>
  <c r="D67" i="9" a="1"/>
  <c r="D67" i="9" s="1"/>
  <c r="O172" i="9"/>
  <c r="G172" i="9"/>
  <c r="AU172" i="9"/>
  <c r="AE172" i="9"/>
  <c r="W172" i="9"/>
  <c r="AM172" i="9"/>
  <c r="AS172" i="9"/>
  <c r="AK172" i="9"/>
  <c r="AC172" i="9"/>
  <c r="U172" i="9"/>
  <c r="M172" i="9"/>
  <c r="E172" i="9"/>
  <c r="T172" i="9"/>
  <c r="AT172" i="9"/>
  <c r="N172" i="9"/>
  <c r="AR172" i="9"/>
  <c r="AJ172" i="9"/>
  <c r="AB172" i="9"/>
  <c r="L172" i="9"/>
  <c r="D172" i="9"/>
  <c r="S172" i="9"/>
  <c r="AL172" i="9"/>
  <c r="AD172" i="9"/>
  <c r="V172" i="9"/>
  <c r="F172" i="9"/>
  <c r="AQ172" i="9"/>
  <c r="AI172" i="9"/>
  <c r="AA172" i="9"/>
  <c r="K172" i="9"/>
  <c r="AP172" i="9"/>
  <c r="AH172" i="9"/>
  <c r="Z172" i="9"/>
  <c r="R172" i="9"/>
  <c r="J172" i="9"/>
  <c r="AO172" i="9"/>
  <c r="AG172" i="9"/>
  <c r="Y172" i="9"/>
  <c r="Q172" i="9"/>
  <c r="I172" i="9"/>
  <c r="AV172" i="9"/>
  <c r="AN172" i="9"/>
  <c r="AF172" i="9"/>
  <c r="X172" i="9"/>
  <c r="P172" i="9"/>
  <c r="H172" i="9"/>
  <c r="AU175" i="9"/>
  <c r="AO175" i="9"/>
  <c r="G175" i="9"/>
  <c r="Q175" i="9"/>
  <c r="AM175" i="9"/>
  <c r="AG175" i="9"/>
  <c r="AE175" i="9"/>
  <c r="O175" i="9"/>
  <c r="Y175" i="9"/>
  <c r="I175" i="9"/>
  <c r="W175" i="9"/>
  <c r="AT178" i="9"/>
  <c r="N178" i="9"/>
  <c r="AV175" i="9"/>
  <c r="AN175" i="9"/>
  <c r="AF175" i="9"/>
  <c r="X175" i="9"/>
  <c r="P175" i="9"/>
  <c r="H175" i="9"/>
  <c r="AS178" i="9"/>
  <c r="AK178" i="9"/>
  <c r="AC178" i="9"/>
  <c r="U178" i="9"/>
  <c r="M178" i="9"/>
  <c r="E178" i="9"/>
  <c r="C175" i="9"/>
  <c r="C178" i="9"/>
  <c r="AD175" i="9"/>
  <c r="S178" i="9"/>
  <c r="Z178" i="9"/>
  <c r="Q178" i="9"/>
  <c r="AR178" i="9"/>
  <c r="AJ178" i="9"/>
  <c r="AB178" i="9"/>
  <c r="T178" i="9"/>
  <c r="D178" i="9"/>
  <c r="AT175" i="9"/>
  <c r="AL175" i="9"/>
  <c r="V175" i="9"/>
  <c r="N175" i="9"/>
  <c r="F175" i="9"/>
  <c r="AQ178" i="9"/>
  <c r="AI178" i="9"/>
  <c r="AA178" i="9"/>
  <c r="K178" i="9"/>
  <c r="AK175" i="9"/>
  <c r="U175" i="9"/>
  <c r="E175" i="9"/>
  <c r="AP178" i="9"/>
  <c r="AH178" i="9"/>
  <c r="J178" i="9"/>
  <c r="AR175" i="9"/>
  <c r="AJ175" i="9"/>
  <c r="T175" i="9"/>
  <c r="L175" i="9"/>
  <c r="D175" i="9"/>
  <c r="AO178" i="9"/>
  <c r="AG178" i="9"/>
  <c r="Y178" i="9"/>
  <c r="I178" i="9"/>
  <c r="H178" i="9"/>
  <c r="AL178" i="9"/>
  <c r="AD178" i="9"/>
  <c r="V178" i="9"/>
  <c r="F178" i="9"/>
  <c r="L178" i="9"/>
  <c r="AS175" i="9"/>
  <c r="AC175" i="9"/>
  <c r="M175" i="9"/>
  <c r="R178" i="9"/>
  <c r="AB175" i="9"/>
  <c r="AQ175" i="9"/>
  <c r="AI175" i="9"/>
  <c r="AA175" i="9"/>
  <c r="S175" i="9"/>
  <c r="K175" i="9"/>
  <c r="AV178" i="9"/>
  <c r="AN178" i="9"/>
  <c r="AF178" i="9"/>
  <c r="X178" i="9"/>
  <c r="P178" i="9"/>
  <c r="AP175" i="9"/>
  <c r="AH175" i="9"/>
  <c r="Z175" i="9"/>
  <c r="R175" i="9"/>
  <c r="J175" i="9"/>
  <c r="AU178" i="9"/>
  <c r="AM178" i="9"/>
  <c r="AE178" i="9"/>
  <c r="W178" i="9"/>
  <c r="O178" i="9"/>
  <c r="G178" i="9"/>
  <c r="A8" i="8"/>
  <c r="A177" i="9"/>
  <c r="A72" i="8"/>
  <c r="A7" i="8"/>
  <c r="A174" i="9"/>
  <c r="A71" i="8"/>
  <c r="F6" i="20"/>
  <c r="H6" i="20"/>
  <c r="A180" i="9"/>
  <c r="C6" i="20"/>
  <c r="A173" i="9"/>
  <c r="B6" i="20"/>
  <c r="A176" i="9"/>
  <c r="E6" i="20"/>
  <c r="C172" i="9"/>
  <c r="B126" i="24"/>
  <c r="B7" i="23"/>
  <c r="A7" i="23"/>
  <c r="Y50" i="16"/>
  <c r="Y215" i="16"/>
  <c r="Y216" i="16"/>
  <c r="Y217" i="16"/>
  <c r="Y218" i="16"/>
  <c r="Y219" i="16"/>
  <c r="Y220" i="16"/>
  <c r="Y224" i="16"/>
  <c r="Y226" i="16"/>
  <c r="Y230" i="16"/>
  <c r="Y231" i="16"/>
  <c r="Y232" i="16"/>
  <c r="Y233" i="16"/>
  <c r="Y234" i="16"/>
  <c r="Y235" i="16"/>
  <c r="Y236" i="16"/>
  <c r="Y237" i="16"/>
  <c r="Y238" i="16"/>
  <c r="Y239" i="16"/>
  <c r="Y240" i="16"/>
  <c r="Y241" i="16"/>
  <c r="Y242" i="16"/>
  <c r="Y243" i="16"/>
  <c r="Y244" i="16"/>
  <c r="Y245" i="16"/>
  <c r="Y246" i="16"/>
  <c r="Y247" i="16"/>
  <c r="Y248" i="16"/>
  <c r="Y249" i="16"/>
  <c r="Y250" i="16"/>
  <c r="Y251" i="16"/>
  <c r="Y252" i="16"/>
  <c r="Y253" i="16"/>
  <c r="Y254" i="16"/>
  <c r="Y255" i="16"/>
  <c r="Y256" i="16"/>
  <c r="Y257" i="16"/>
  <c r="Y258" i="16"/>
  <c r="Y259" i="16"/>
  <c r="Y260" i="16"/>
  <c r="Y261" i="16"/>
  <c r="Y262" i="16"/>
  <c r="Y263" i="16"/>
  <c r="Y264" i="16"/>
  <c r="Y265" i="16"/>
  <c r="Y266" i="16"/>
  <c r="Y267" i="16"/>
  <c r="Y268" i="16"/>
  <c r="Y269" i="16"/>
  <c r="Y270" i="16"/>
  <c r="Y271" i="16"/>
  <c r="Y272" i="16"/>
  <c r="Y273" i="16"/>
  <c r="Y274" i="16"/>
  <c r="Y275" i="16"/>
  <c r="Y276" i="16"/>
  <c r="Y277" i="16"/>
  <c r="Y278" i="16"/>
  <c r="Y279" i="16"/>
  <c r="Y280" i="16"/>
  <c r="Y281" i="16"/>
  <c r="Y282" i="16"/>
  <c r="Y283" i="16"/>
  <c r="Y284" i="16"/>
  <c r="Y285" i="16"/>
  <c r="Y286" i="16"/>
  <c r="Y287" i="16"/>
  <c r="Y288" i="16"/>
  <c r="Y289" i="16"/>
  <c r="Y290" i="16"/>
  <c r="Y291" i="16"/>
  <c r="Y292" i="16"/>
  <c r="Y293" i="16"/>
  <c r="Y294" i="16"/>
  <c r="Y295" i="16"/>
  <c r="Y296" i="16"/>
  <c r="Y297" i="16"/>
  <c r="Y298" i="16"/>
  <c r="Y299" i="16"/>
  <c r="Y300" i="16"/>
  <c r="Y301" i="16"/>
  <c r="Y302" i="16"/>
  <c r="Y303" i="16"/>
  <c r="Y304" i="16"/>
  <c r="Y305" i="16"/>
  <c r="Y306" i="16"/>
  <c r="Y307" i="16"/>
  <c r="Y308" i="16"/>
  <c r="Y309" i="16"/>
  <c r="Y310" i="16"/>
  <c r="Y311" i="16"/>
  <c r="Y312" i="16"/>
  <c r="Y313" i="16"/>
  <c r="Y314" i="16"/>
  <c r="Y315" i="16"/>
  <c r="Y316" i="16"/>
  <c r="Y317" i="16"/>
  <c r="Y318" i="16"/>
  <c r="Y319" i="16"/>
  <c r="Y320" i="16"/>
  <c r="Y321" i="16"/>
  <c r="Y322" i="16"/>
  <c r="Y323" i="16"/>
  <c r="Y324" i="16"/>
  <c r="Y325" i="16"/>
  <c r="Y326" i="16"/>
  <c r="Y327" i="16"/>
  <c r="Y328" i="16"/>
  <c r="Y329" i="16"/>
  <c r="Y330" i="16"/>
  <c r="Y331" i="16"/>
  <c r="Y332" i="16"/>
  <c r="Y333" i="16"/>
  <c r="Y334" i="16"/>
  <c r="Y335" i="16"/>
  <c r="Y336" i="16"/>
  <c r="Y337" i="16"/>
  <c r="Y338" i="16"/>
  <c r="Y339" i="16"/>
  <c r="Y340" i="16"/>
  <c r="Y341" i="16"/>
  <c r="Y342" i="16"/>
  <c r="Y343" i="16"/>
  <c r="Y344" i="16"/>
  <c r="Y345" i="16"/>
  <c r="Y346" i="16"/>
  <c r="Y347" i="16"/>
  <c r="Y348" i="16"/>
  <c r="Y349" i="16"/>
  <c r="Y350" i="16"/>
  <c r="Y351" i="16"/>
  <c r="Y352" i="16"/>
  <c r="Y353" i="16"/>
  <c r="Y354" i="16"/>
  <c r="Y355" i="16"/>
  <c r="Y356" i="16"/>
  <c r="Y357" i="16"/>
  <c r="Y358" i="16"/>
  <c r="Y359" i="16"/>
  <c r="Y360" i="16"/>
  <c r="Y361" i="16"/>
  <c r="Y362" i="16"/>
  <c r="Y363" i="16"/>
  <c r="Y364" i="16"/>
  <c r="Y365" i="16"/>
  <c r="Y366" i="16"/>
  <c r="Y367" i="16"/>
  <c r="Y368" i="16"/>
  <c r="Y369" i="16"/>
  <c r="Y370" i="16"/>
  <c r="Y371" i="16"/>
  <c r="Y372" i="16"/>
  <c r="Y373" i="16"/>
  <c r="Y374" i="16"/>
  <c r="Y375" i="16"/>
  <c r="Y376" i="16"/>
  <c r="Y377" i="16"/>
  <c r="Y378" i="16"/>
  <c r="Y379" i="16"/>
  <c r="Y380" i="16"/>
  <c r="Y381" i="16"/>
  <c r="Y382" i="16"/>
  <c r="Y383" i="16"/>
  <c r="Y384" i="16"/>
  <c r="Y385" i="16"/>
  <c r="Y386" i="16"/>
  <c r="Y387" i="16"/>
  <c r="Y388" i="16"/>
  <c r="Y389" i="16"/>
  <c r="Y390" i="16"/>
  <c r="Y391" i="16"/>
  <c r="Y392" i="16"/>
  <c r="Y393" i="16"/>
  <c r="Y394" i="16"/>
  <c r="Y395" i="16"/>
  <c r="Y396" i="16"/>
  <c r="Y397" i="16"/>
  <c r="Y398" i="16"/>
  <c r="Y399" i="16"/>
  <c r="Y400" i="16"/>
  <c r="Y401" i="16"/>
  <c r="Y402" i="16"/>
  <c r="Y403" i="16"/>
  <c r="Y404" i="16"/>
  <c r="Y405" i="16"/>
  <c r="Y406" i="16"/>
  <c r="Y407" i="16"/>
  <c r="Y408" i="16"/>
  <c r="Y409" i="16"/>
  <c r="Y410" i="16"/>
  <c r="Y411" i="16"/>
  <c r="Y412" i="16"/>
  <c r="Y413" i="16"/>
  <c r="Y414" i="16"/>
  <c r="Y415" i="16"/>
  <c r="Y416" i="16"/>
  <c r="Y417" i="16"/>
  <c r="Y418" i="16"/>
  <c r="Y419" i="16"/>
  <c r="Y420" i="16"/>
  <c r="Y421" i="16"/>
  <c r="Y422" i="16"/>
  <c r="Y423" i="16"/>
  <c r="Y424" i="16"/>
  <c r="Y425" i="16"/>
  <c r="Y426" i="16"/>
  <c r="Y427" i="16"/>
  <c r="Y428" i="16"/>
  <c r="Y429" i="16"/>
  <c r="Y430" i="16"/>
  <c r="Y431" i="16"/>
  <c r="Y432" i="16"/>
  <c r="Y433" i="16"/>
  <c r="Y434" i="16"/>
  <c r="Y435" i="16"/>
  <c r="Y436" i="16"/>
  <c r="Y437" i="16"/>
  <c r="Y438" i="16"/>
  <c r="Y439" i="16"/>
  <c r="Y440" i="16"/>
  <c r="Y441" i="16"/>
  <c r="Y442" i="16"/>
  <c r="Y443" i="16"/>
  <c r="Y444" i="16"/>
  <c r="Y445" i="16"/>
  <c r="Y446" i="16"/>
  <c r="Y447" i="16"/>
  <c r="Y448" i="16"/>
  <c r="Y449" i="16"/>
  <c r="Y450" i="16"/>
  <c r="Y451" i="16"/>
  <c r="Y452" i="16"/>
  <c r="Y453" i="16"/>
  <c r="Y454" i="16"/>
  <c r="Y455" i="16"/>
  <c r="Y456" i="16"/>
  <c r="Y457" i="16"/>
  <c r="Y458" i="16"/>
  <c r="Y459" i="16"/>
  <c r="Y460" i="16"/>
  <c r="Y461" i="16"/>
  <c r="Y462" i="16"/>
  <c r="Y463" i="16"/>
  <c r="Y464" i="16"/>
  <c r="Y465" i="16"/>
  <c r="Y466" i="16"/>
  <c r="Y467" i="16"/>
  <c r="Y468" i="16"/>
  <c r="Y469" i="16"/>
  <c r="Y470" i="16"/>
  <c r="Y471" i="16"/>
  <c r="Y472" i="16"/>
  <c r="Y473" i="16"/>
  <c r="Y474" i="16"/>
  <c r="Y475" i="16"/>
  <c r="Y476" i="16"/>
  <c r="Y477" i="16"/>
  <c r="Y478" i="16"/>
  <c r="Y479" i="16"/>
  <c r="Y480" i="16"/>
  <c r="Y481" i="16"/>
  <c r="Y482" i="16"/>
  <c r="Y483" i="16"/>
  <c r="Y484" i="16"/>
  <c r="Y485" i="16"/>
  <c r="Y486" i="16"/>
  <c r="Y487" i="16"/>
  <c r="Y488" i="16"/>
  <c r="Y489" i="16"/>
  <c r="Y490" i="16"/>
  <c r="Y491" i="16"/>
  <c r="Y492" i="16"/>
  <c r="Y493" i="16"/>
  <c r="Y494" i="16"/>
  <c r="Y495" i="16"/>
  <c r="Y496" i="16"/>
  <c r="Y497" i="16"/>
  <c r="Y498" i="16"/>
  <c r="Y499" i="16"/>
  <c r="Y500" i="16"/>
  <c r="Y501" i="16"/>
  <c r="Y502" i="16"/>
  <c r="Y503" i="16"/>
  <c r="Y504" i="16"/>
  <c r="Y505" i="16"/>
  <c r="Y506" i="16"/>
  <c r="Y507" i="16"/>
  <c r="Y508" i="16"/>
  <c r="Y509" i="16"/>
  <c r="Y510" i="16"/>
  <c r="Y511" i="16"/>
  <c r="Y512" i="16"/>
  <c r="Y513" i="16"/>
  <c r="Y514" i="16"/>
  <c r="Y515" i="16"/>
  <c r="Y516" i="16"/>
  <c r="Y197" i="16"/>
  <c r="Y202" i="16"/>
  <c r="Y203" i="16"/>
  <c r="Y206" i="16"/>
  <c r="Y213" i="16"/>
  <c r="Y182" i="16"/>
  <c r="Y184" i="16"/>
  <c r="Y185" i="16"/>
  <c r="Y188" i="16"/>
  <c r="Y162" i="16"/>
  <c r="Y163" i="16"/>
  <c r="Y164" i="16"/>
  <c r="Y165" i="16"/>
  <c r="Y166" i="16"/>
  <c r="Y175" i="16"/>
  <c r="Y142" i="16"/>
  <c r="Y145" i="16"/>
  <c r="Y146" i="16"/>
  <c r="Y154" i="16"/>
  <c r="Y155" i="16"/>
  <c r="Y125" i="16"/>
  <c r="Y126" i="16"/>
  <c r="Y129" i="16"/>
  <c r="Y130" i="16"/>
  <c r="Y131" i="16"/>
  <c r="Y132" i="16"/>
  <c r="Y137" i="16"/>
  <c r="Y106" i="16"/>
  <c r="Y110" i="16"/>
  <c r="Y111" i="16"/>
  <c r="Y114" i="16"/>
  <c r="Y115" i="16"/>
  <c r="Y118" i="16"/>
  <c r="Y92" i="16"/>
  <c r="Y95" i="16"/>
  <c r="Y96" i="16"/>
  <c r="Y97" i="16"/>
  <c r="Y101" i="16"/>
  <c r="Y76" i="16"/>
  <c r="Y77" i="16"/>
  <c r="Y60" i="16"/>
  <c r="Y64" i="16"/>
  <c r="Y53" i="16"/>
  <c r="Y57" i="16"/>
  <c r="Y59" i="16"/>
  <c r="Y52" i="16"/>
  <c r="R49" i="16"/>
  <c r="F42" i="24"/>
  <c r="Q130" i="9" l="1"/>
  <c r="Z130" i="9"/>
  <c r="AM130" i="9"/>
  <c r="C123" i="9" a="1"/>
  <c r="C123" i="9" s="1"/>
  <c r="AR130" i="9"/>
  <c r="AJ130" i="9"/>
  <c r="AE130" i="9"/>
  <c r="C128" i="9" a="1"/>
  <c r="C128" i="9" s="1"/>
  <c r="C132" i="9" a="1"/>
  <c r="C132" i="9" s="1"/>
  <c r="AA130" i="9"/>
  <c r="J130" i="9"/>
  <c r="AS130" i="9"/>
  <c r="N130" i="9"/>
  <c r="AK130" i="9"/>
  <c r="G130" i="9"/>
  <c r="C119" i="9" a="1"/>
  <c r="C119" i="9" s="1"/>
  <c r="T130" i="9"/>
  <c r="C122" i="9" a="1"/>
  <c r="C122" i="9" s="1"/>
  <c r="AD130" i="9"/>
  <c r="C129" i="9" a="1"/>
  <c r="C129" i="9" s="1"/>
  <c r="C121" i="9" a="1"/>
  <c r="C121" i="9" s="1"/>
  <c r="R130" i="9"/>
  <c r="AT130" i="9"/>
  <c r="X130" i="9"/>
  <c r="C131" i="9" a="1"/>
  <c r="C131" i="9" s="1"/>
  <c r="AC130" i="9"/>
  <c r="C127" i="9" a="1"/>
  <c r="C127" i="9" s="1"/>
  <c r="Y130" i="9"/>
  <c r="K130" i="9"/>
  <c r="C120" i="9" a="1"/>
  <c r="C120" i="9" s="1"/>
  <c r="W130" i="9"/>
  <c r="AO130" i="9"/>
  <c r="C124" i="9" a="1"/>
  <c r="C124" i="9" s="1"/>
  <c r="E130" i="9"/>
  <c r="C125" i="9" a="1"/>
  <c r="C125" i="9" s="1"/>
  <c r="AN130" i="9"/>
  <c r="M130" i="9"/>
  <c r="H130" i="9"/>
  <c r="AF130" i="9"/>
  <c r="AQ130" i="9"/>
  <c r="O130" i="9"/>
  <c r="P130" i="9"/>
  <c r="I130" i="9"/>
  <c r="V130" i="9"/>
  <c r="AB130" i="9"/>
  <c r="C74" i="9"/>
  <c r="AH130" i="9"/>
  <c r="U130" i="9"/>
  <c r="AU130" i="9"/>
  <c r="L130" i="9"/>
  <c r="AG130" i="9"/>
  <c r="S130" i="9"/>
  <c r="AV130" i="9"/>
  <c r="D130" i="9"/>
  <c r="AI130" i="9"/>
  <c r="AP130" i="9"/>
  <c r="C78" i="9"/>
  <c r="C28" i="9" a="1"/>
  <c r="C28" i="9" s="1"/>
  <c r="C17" i="9" a="1"/>
  <c r="C17" i="9" s="1"/>
  <c r="C27" i="9" a="1"/>
  <c r="C27" i="9" s="1"/>
  <c r="C16" i="9" a="1"/>
  <c r="C16" i="9" s="1"/>
  <c r="C26" i="9" a="1"/>
  <c r="C26" i="9" s="1"/>
  <c r="C15" i="9" a="1"/>
  <c r="C15" i="9" s="1"/>
  <c r="C23" i="9" a="1"/>
  <c r="C23" i="9" s="1"/>
  <c r="C22" i="9" a="1"/>
  <c r="C22" i="9" s="1"/>
  <c r="C14" i="9" a="1"/>
  <c r="C14" i="9" s="1"/>
  <c r="C18" i="9" a="1"/>
  <c r="C18" i="9" s="1"/>
  <c r="C24" i="9" a="1"/>
  <c r="C24" i="9" s="1"/>
  <c r="C20" i="9" a="1"/>
  <c r="C20" i="9" s="1"/>
  <c r="C19" i="9" a="1"/>
  <c r="C19" i="9" s="1"/>
  <c r="D66" i="9"/>
  <c r="C171" i="9"/>
  <c r="C9" i="9" s="1"/>
  <c r="B52" i="23"/>
  <c r="AA49" i="16"/>
  <c r="N49" i="16"/>
  <c r="C126" i="9" l="1"/>
  <c r="C130" i="9"/>
  <c r="C118" i="9"/>
  <c r="C13" i="9"/>
  <c r="C25" i="9"/>
  <c r="C21" i="9"/>
  <c r="C66" i="9"/>
  <c r="C65" i="9" s="1"/>
  <c r="C6" i="9" s="1"/>
  <c r="A106" i="23"/>
  <c r="A95" i="23"/>
  <c r="C12" i="9" l="1"/>
  <c r="C8" i="9" s="1"/>
  <c r="B99" i="24"/>
  <c r="C5" i="9"/>
  <c r="B65" i="24"/>
  <c r="A111" i="24"/>
  <c r="A98" i="24"/>
  <c r="A96" i="24"/>
  <c r="A95" i="24"/>
  <c r="A94" i="24"/>
  <c r="AU64" i="24"/>
  <c r="AT64" i="24"/>
  <c r="AS64" i="24"/>
  <c r="AS74" i="24" s="1"/>
  <c r="AR64" i="24"/>
  <c r="AR74" i="24" s="1"/>
  <c r="AQ64" i="24"/>
  <c r="AP64" i="24"/>
  <c r="AO64" i="24"/>
  <c r="AN64" i="24"/>
  <c r="AM64" i="24"/>
  <c r="AL64" i="24"/>
  <c r="AK64" i="24"/>
  <c r="AJ64" i="24"/>
  <c r="AJ74" i="24" s="1"/>
  <c r="AI64" i="24"/>
  <c r="AI74" i="24" s="1"/>
  <c r="AH64" i="24"/>
  <c r="AG64" i="24"/>
  <c r="AF64" i="24"/>
  <c r="AE64" i="24"/>
  <c r="AD64" i="24"/>
  <c r="AC64" i="24"/>
  <c r="AC74" i="24" s="1"/>
  <c r="AB64" i="24"/>
  <c r="AB74" i="24" s="1"/>
  <c r="AA64" i="24"/>
  <c r="Z64" i="24"/>
  <c r="Y64" i="24"/>
  <c r="X64" i="24"/>
  <c r="W64" i="24"/>
  <c r="V64" i="24"/>
  <c r="U64" i="24"/>
  <c r="T64" i="24"/>
  <c r="S64" i="24"/>
  <c r="R64" i="24"/>
  <c r="Q64" i="24"/>
  <c r="P64" i="24"/>
  <c r="O64" i="24"/>
  <c r="N64" i="24"/>
  <c r="M64" i="24"/>
  <c r="L64" i="24"/>
  <c r="K64" i="24"/>
  <c r="J64" i="24"/>
  <c r="I64" i="24"/>
  <c r="H64" i="24"/>
  <c r="G64" i="24"/>
  <c r="F64" i="24"/>
  <c r="E64" i="24"/>
  <c r="D64" i="24"/>
  <c r="C64" i="24"/>
  <c r="B64" i="24"/>
  <c r="C58" i="24"/>
  <c r="A50" i="24"/>
  <c r="C44" i="24"/>
  <c r="C43" i="24"/>
  <c r="B6" i="24"/>
  <c r="B11" i="16"/>
  <c r="Y229" i="16" s="1"/>
  <c r="M232" i="16"/>
  <c r="N232" i="16"/>
  <c r="M233" i="16"/>
  <c r="N233" i="16"/>
  <c r="M234" i="16"/>
  <c r="N234" i="16"/>
  <c r="M235" i="16"/>
  <c r="N235" i="16"/>
  <c r="M236" i="16"/>
  <c r="N236" i="16"/>
  <c r="AA233" i="16"/>
  <c r="AC233" i="16"/>
  <c r="AA50" i="16"/>
  <c r="A8" i="16"/>
  <c r="A7" i="16"/>
  <c r="AA51" i="16"/>
  <c r="AA62" i="16"/>
  <c r="AB62" i="16"/>
  <c r="AC62" i="16"/>
  <c r="AD62" i="16"/>
  <c r="AE62" i="16"/>
  <c r="AF62" i="16"/>
  <c r="AG62" i="16"/>
  <c r="AH62" i="16"/>
  <c r="AI62" i="16"/>
  <c r="AJ62" i="16"/>
  <c r="AK62" i="16"/>
  <c r="BB62" i="16"/>
  <c r="BC62" i="16"/>
  <c r="BD62" i="16"/>
  <c r="BE62" i="16"/>
  <c r="BF62" i="16"/>
  <c r="BG62" i="16"/>
  <c r="BH62" i="16"/>
  <c r="BI62" i="16"/>
  <c r="BJ62" i="16"/>
  <c r="BK62" i="16"/>
  <c r="BL62" i="16"/>
  <c r="BM62" i="16"/>
  <c r="BN62" i="16"/>
  <c r="BO62" i="16"/>
  <c r="BP62" i="16"/>
  <c r="AA63" i="16"/>
  <c r="AB63" i="16"/>
  <c r="AY63" i="16"/>
  <c r="AZ63" i="16"/>
  <c r="BA63" i="16"/>
  <c r="BB63" i="16"/>
  <c r="BC63" i="16"/>
  <c r="BD63" i="16"/>
  <c r="BE63" i="16"/>
  <c r="BF63" i="16"/>
  <c r="BG63" i="16"/>
  <c r="BH63" i="16"/>
  <c r="BI63" i="16"/>
  <c r="BJ63" i="16"/>
  <c r="BK63" i="16"/>
  <c r="BL63" i="16"/>
  <c r="BM63" i="16"/>
  <c r="BN63" i="16"/>
  <c r="BO63" i="16"/>
  <c r="BP63" i="16"/>
  <c r="AA64" i="16"/>
  <c r="AB64" i="16"/>
  <c r="AA65" i="16"/>
  <c r="AB65" i="16"/>
  <c r="AA66" i="16"/>
  <c r="AB66" i="16"/>
  <c r="BH66" i="16"/>
  <c r="BI66" i="16"/>
  <c r="BJ66" i="16"/>
  <c r="BK66" i="16"/>
  <c r="BL66" i="16"/>
  <c r="BM66" i="16"/>
  <c r="BN66" i="16"/>
  <c r="BO66" i="16"/>
  <c r="BP66" i="16"/>
  <c r="AA67" i="16"/>
  <c r="AB67" i="16"/>
  <c r="AC67" i="16"/>
  <c r="AD67" i="16"/>
  <c r="AE67" i="16"/>
  <c r="AF67" i="16"/>
  <c r="AG67" i="16"/>
  <c r="AH67" i="16"/>
  <c r="BH67" i="16"/>
  <c r="BI67" i="16"/>
  <c r="BJ67" i="16"/>
  <c r="BK67" i="16"/>
  <c r="BL67" i="16"/>
  <c r="BM67" i="16"/>
  <c r="BN67" i="16"/>
  <c r="BO67" i="16"/>
  <c r="BP67" i="16"/>
  <c r="AA68" i="16"/>
  <c r="AB68" i="16"/>
  <c r="AC68" i="16"/>
  <c r="AD68" i="16"/>
  <c r="AE68" i="16"/>
  <c r="AF68" i="16"/>
  <c r="BB68" i="16"/>
  <c r="BC68" i="16"/>
  <c r="BD68" i="16"/>
  <c r="BE68" i="16"/>
  <c r="BF68" i="16"/>
  <c r="BG68" i="16"/>
  <c r="BH68" i="16"/>
  <c r="BI68" i="16"/>
  <c r="BJ68" i="16"/>
  <c r="BK68" i="16"/>
  <c r="BL68" i="16"/>
  <c r="BM68" i="16"/>
  <c r="BN68" i="16"/>
  <c r="BO68" i="16"/>
  <c r="BP68" i="16"/>
  <c r="AA69" i="16"/>
  <c r="AB69" i="16"/>
  <c r="AC69" i="16"/>
  <c r="AD69" i="16"/>
  <c r="AE69" i="16"/>
  <c r="AZ69" i="16"/>
  <c r="BA69" i="16"/>
  <c r="BB69" i="16"/>
  <c r="BC69" i="16"/>
  <c r="BD69" i="16"/>
  <c r="BE69" i="16"/>
  <c r="BF69" i="16"/>
  <c r="BG69" i="16"/>
  <c r="BH69" i="16"/>
  <c r="BI69" i="16"/>
  <c r="BJ69" i="16"/>
  <c r="BK69" i="16"/>
  <c r="BL69" i="16"/>
  <c r="BM69" i="16"/>
  <c r="BN69" i="16"/>
  <c r="BO69" i="16"/>
  <c r="BP69" i="16"/>
  <c r="AA70" i="16"/>
  <c r="AB70" i="16"/>
  <c r="AW70" i="16"/>
  <c r="AX70" i="16"/>
  <c r="AY70" i="16"/>
  <c r="AZ70" i="16"/>
  <c r="BA70" i="16"/>
  <c r="BB70" i="16"/>
  <c r="BC70" i="16"/>
  <c r="BD70" i="16"/>
  <c r="BE70" i="16"/>
  <c r="BF70" i="16"/>
  <c r="BG70" i="16"/>
  <c r="BH70" i="16"/>
  <c r="BI70" i="16"/>
  <c r="BJ70" i="16"/>
  <c r="BK70" i="16"/>
  <c r="BL70" i="16"/>
  <c r="BM70" i="16"/>
  <c r="BN70" i="16"/>
  <c r="BO70" i="16"/>
  <c r="BP70" i="16"/>
  <c r="AA71" i="16"/>
  <c r="AB71" i="16"/>
  <c r="AW71" i="16"/>
  <c r="AX71" i="16"/>
  <c r="AY71" i="16"/>
  <c r="AZ71" i="16"/>
  <c r="BA71" i="16"/>
  <c r="BB71" i="16"/>
  <c r="BC71" i="16"/>
  <c r="BD71" i="16"/>
  <c r="BE71" i="16"/>
  <c r="BF71" i="16"/>
  <c r="BG71" i="16"/>
  <c r="BH71" i="16"/>
  <c r="BI71" i="16"/>
  <c r="BJ71" i="16"/>
  <c r="BK71" i="16"/>
  <c r="BL71" i="16"/>
  <c r="BM71" i="16"/>
  <c r="BN71" i="16"/>
  <c r="BO71" i="16"/>
  <c r="BP71" i="16"/>
  <c r="AA72" i="16"/>
  <c r="AB72" i="16"/>
  <c r="AS72" i="16"/>
  <c r="AT72" i="16"/>
  <c r="AU72" i="16"/>
  <c r="AV72" i="16"/>
  <c r="AW72" i="16"/>
  <c r="AX72" i="16"/>
  <c r="AY72" i="16"/>
  <c r="AZ72" i="16"/>
  <c r="BA72" i="16"/>
  <c r="BB72" i="16"/>
  <c r="BC72" i="16"/>
  <c r="BD72" i="16"/>
  <c r="BE72" i="16"/>
  <c r="BF72" i="16"/>
  <c r="BG72" i="16"/>
  <c r="BH72" i="16"/>
  <c r="BI72" i="16"/>
  <c r="BJ72" i="16"/>
  <c r="BK72" i="16"/>
  <c r="BL72" i="16"/>
  <c r="BM72" i="16"/>
  <c r="BN72" i="16"/>
  <c r="BO72" i="16"/>
  <c r="BP72" i="16"/>
  <c r="AA73" i="16"/>
  <c r="AR73" i="16"/>
  <c r="AS73" i="16"/>
  <c r="AT73" i="16"/>
  <c r="AU73" i="16"/>
  <c r="AV73" i="16"/>
  <c r="AW73" i="16"/>
  <c r="AX73" i="16"/>
  <c r="AY73" i="16"/>
  <c r="AZ73" i="16"/>
  <c r="BA73" i="16"/>
  <c r="BB73" i="16"/>
  <c r="BC73" i="16"/>
  <c r="BD73" i="16"/>
  <c r="BE73" i="16"/>
  <c r="BF73" i="16"/>
  <c r="BG73" i="16"/>
  <c r="BH73" i="16"/>
  <c r="BI73" i="16"/>
  <c r="BJ73" i="16"/>
  <c r="BK73" i="16"/>
  <c r="BL73" i="16"/>
  <c r="BM73" i="16"/>
  <c r="BN73" i="16"/>
  <c r="BO73" i="16"/>
  <c r="BP73" i="16"/>
  <c r="AA74" i="16"/>
  <c r="AR74" i="16"/>
  <c r="AS74" i="16"/>
  <c r="AT74" i="16"/>
  <c r="AU74" i="16"/>
  <c r="AV74" i="16"/>
  <c r="AW74" i="16"/>
  <c r="AX74" i="16"/>
  <c r="AY74" i="16"/>
  <c r="AZ74" i="16"/>
  <c r="BA74" i="16"/>
  <c r="BB74" i="16"/>
  <c r="BC74" i="16"/>
  <c r="BD74" i="16"/>
  <c r="BE74" i="16"/>
  <c r="BF74" i="16"/>
  <c r="BG74" i="16"/>
  <c r="BH74" i="16"/>
  <c r="BI74" i="16"/>
  <c r="BJ74" i="16"/>
  <c r="BK74" i="16"/>
  <c r="BL74" i="16"/>
  <c r="BM74" i="16"/>
  <c r="BN74" i="16"/>
  <c r="BO74" i="16"/>
  <c r="BP74" i="16"/>
  <c r="AA75" i="16"/>
  <c r="AB75" i="16"/>
  <c r="AC75" i="16"/>
  <c r="AT75" i="16"/>
  <c r="AU75" i="16"/>
  <c r="AV75" i="16"/>
  <c r="AW75" i="16"/>
  <c r="AX75" i="16"/>
  <c r="AY75" i="16"/>
  <c r="AZ75" i="16"/>
  <c r="BA75" i="16"/>
  <c r="BB75" i="16"/>
  <c r="BC75" i="16"/>
  <c r="BD75" i="16"/>
  <c r="BE75" i="16"/>
  <c r="BF75" i="16"/>
  <c r="BG75" i="16"/>
  <c r="BH75" i="16"/>
  <c r="BI75" i="16"/>
  <c r="BJ75" i="16"/>
  <c r="BK75" i="16"/>
  <c r="BL75" i="16"/>
  <c r="BM75" i="16"/>
  <c r="BN75" i="16"/>
  <c r="BO75" i="16"/>
  <c r="BP75" i="16"/>
  <c r="AA76" i="16"/>
  <c r="BB76" i="16"/>
  <c r="BC76" i="16"/>
  <c r="BD76" i="16"/>
  <c r="BE76" i="16"/>
  <c r="BF76" i="16"/>
  <c r="BG76" i="16"/>
  <c r="BH76" i="16"/>
  <c r="BI76" i="16"/>
  <c r="BJ76" i="16"/>
  <c r="BK76" i="16"/>
  <c r="BL76" i="16"/>
  <c r="BM76" i="16"/>
  <c r="BN76" i="16"/>
  <c r="BO76" i="16"/>
  <c r="BP76" i="16"/>
  <c r="AA77" i="16"/>
  <c r="BB77" i="16"/>
  <c r="BC77" i="16"/>
  <c r="BD77" i="16"/>
  <c r="BE77" i="16"/>
  <c r="BF77" i="16"/>
  <c r="BG77" i="16"/>
  <c r="BH77" i="16"/>
  <c r="BI77" i="16"/>
  <c r="BJ77" i="16"/>
  <c r="BK77" i="16"/>
  <c r="BL77" i="16"/>
  <c r="BM77" i="16"/>
  <c r="BN77" i="16"/>
  <c r="BO77" i="16"/>
  <c r="BP77" i="16"/>
  <c r="AA78" i="16"/>
  <c r="AB78" i="16"/>
  <c r="AC78" i="16"/>
  <c r="AD78" i="16"/>
  <c r="AE78" i="16"/>
  <c r="AF78" i="16"/>
  <c r="AG78" i="16"/>
  <c r="BB78" i="16"/>
  <c r="BC78" i="16"/>
  <c r="BD78" i="16"/>
  <c r="BE78" i="16"/>
  <c r="BF78" i="16"/>
  <c r="BG78" i="16"/>
  <c r="BH78" i="16"/>
  <c r="BI78" i="16"/>
  <c r="BJ78" i="16"/>
  <c r="BK78" i="16"/>
  <c r="BL78" i="16"/>
  <c r="BM78" i="16"/>
  <c r="BN78" i="16"/>
  <c r="BO78" i="16"/>
  <c r="BP78" i="16"/>
  <c r="AA79" i="16"/>
  <c r="AB79" i="16"/>
  <c r="AC79" i="16"/>
  <c r="AD79" i="16"/>
  <c r="AE79" i="16"/>
  <c r="BA79" i="16"/>
  <c r="BB79" i="16"/>
  <c r="BC79" i="16"/>
  <c r="BD79" i="16"/>
  <c r="BE79" i="16"/>
  <c r="BF79" i="16"/>
  <c r="BG79" i="16"/>
  <c r="BH79" i="16"/>
  <c r="BI79" i="16"/>
  <c r="BJ79" i="16"/>
  <c r="BK79" i="16"/>
  <c r="BL79" i="16"/>
  <c r="BM79" i="16"/>
  <c r="BN79" i="16"/>
  <c r="BO79" i="16"/>
  <c r="BP79" i="16"/>
  <c r="AA80" i="16"/>
  <c r="AB80" i="16"/>
  <c r="AC80" i="16"/>
  <c r="AD80" i="16"/>
  <c r="AE80" i="16"/>
  <c r="AA81" i="16"/>
  <c r="AB81" i="16"/>
  <c r="AC81" i="16"/>
  <c r="AD81" i="16"/>
  <c r="AE81" i="16"/>
  <c r="AF81" i="16"/>
  <c r="AG81" i="16"/>
  <c r="AH81" i="16"/>
  <c r="BP81" i="16"/>
  <c r="AA82" i="16"/>
  <c r="AB82" i="16"/>
  <c r="AC82" i="16"/>
  <c r="AD82" i="16"/>
  <c r="AE82" i="16"/>
  <c r="AF82" i="16"/>
  <c r="AG82" i="16"/>
  <c r="BM82" i="16"/>
  <c r="BN82" i="16"/>
  <c r="BO82" i="16"/>
  <c r="BP82" i="16"/>
  <c r="BA84" i="16"/>
  <c r="BB84" i="16"/>
  <c r="BC84" i="16"/>
  <c r="BD84" i="16"/>
  <c r="BE84" i="16"/>
  <c r="BF84" i="16"/>
  <c r="BG84" i="16"/>
  <c r="BH84" i="16"/>
  <c r="BI84" i="16"/>
  <c r="BJ84" i="16"/>
  <c r="BK84" i="16"/>
  <c r="BL84" i="16"/>
  <c r="BM84" i="16"/>
  <c r="BN84" i="16"/>
  <c r="BO84" i="16"/>
  <c r="BP84" i="16"/>
  <c r="AA85" i="16"/>
  <c r="AB85" i="16"/>
  <c r="AW85" i="16"/>
  <c r="AX85" i="16"/>
  <c r="AY85" i="16"/>
  <c r="AZ85" i="16"/>
  <c r="BA85" i="16"/>
  <c r="BB85" i="16"/>
  <c r="BC85" i="16"/>
  <c r="BD85" i="16"/>
  <c r="BE85" i="16"/>
  <c r="BF85" i="16"/>
  <c r="BG85" i="16"/>
  <c r="BH85" i="16"/>
  <c r="BI85" i="16"/>
  <c r="BJ85" i="16"/>
  <c r="BK85" i="16"/>
  <c r="BL85" i="16"/>
  <c r="BM85" i="16"/>
  <c r="BN85" i="16"/>
  <c r="BO85" i="16"/>
  <c r="BP85" i="16"/>
  <c r="AA86" i="16"/>
  <c r="AB86" i="16"/>
  <c r="AC86" i="16"/>
  <c r="AD86" i="16"/>
  <c r="AE86" i="16"/>
  <c r="AF86" i="16"/>
  <c r="AG86" i="16"/>
  <c r="BB86" i="16"/>
  <c r="BC86" i="16"/>
  <c r="BD86" i="16"/>
  <c r="BE86" i="16"/>
  <c r="BF86" i="16"/>
  <c r="BG86" i="16"/>
  <c r="BH86" i="16"/>
  <c r="BI86" i="16"/>
  <c r="BJ86" i="16"/>
  <c r="BK86" i="16"/>
  <c r="BL86" i="16"/>
  <c r="BM86" i="16"/>
  <c r="BN86" i="16"/>
  <c r="BO86" i="16"/>
  <c r="BP86" i="16"/>
  <c r="AA87" i="16"/>
  <c r="AB87" i="16"/>
  <c r="AC87" i="16"/>
  <c r="AD87" i="16"/>
  <c r="AE87" i="16"/>
  <c r="AF87" i="16"/>
  <c r="AG87" i="16"/>
  <c r="BC87" i="16"/>
  <c r="BD87" i="16"/>
  <c r="BE87" i="16"/>
  <c r="BF87" i="16"/>
  <c r="BG87" i="16"/>
  <c r="BH87" i="16"/>
  <c r="BI87" i="16"/>
  <c r="BJ87" i="16"/>
  <c r="BK87" i="16"/>
  <c r="BL87" i="16"/>
  <c r="BM87" i="16"/>
  <c r="BN87" i="16"/>
  <c r="BO87" i="16"/>
  <c r="BP87" i="16"/>
  <c r="AA88" i="16"/>
  <c r="AB88" i="16"/>
  <c r="AC88" i="16"/>
  <c r="AD88" i="16"/>
  <c r="AE88" i="16"/>
  <c r="AF88" i="16"/>
  <c r="AG88" i="16"/>
  <c r="AH88" i="16"/>
  <c r="AI88" i="16"/>
  <c r="AJ88" i="16"/>
  <c r="AK88" i="16"/>
  <c r="AL88" i="16"/>
  <c r="AM88" i="16"/>
  <c r="BN88" i="16"/>
  <c r="BO88" i="16"/>
  <c r="BP88" i="16"/>
  <c r="AA89" i="16"/>
  <c r="AB89" i="16"/>
  <c r="AC89" i="16"/>
  <c r="AD89" i="16"/>
  <c r="AE89" i="16"/>
  <c r="AF89" i="16"/>
  <c r="AG89" i="16"/>
  <c r="AH89" i="16"/>
  <c r="AI89" i="16"/>
  <c r="AJ89" i="16"/>
  <c r="AK89" i="16"/>
  <c r="AL89" i="16"/>
  <c r="AM89" i="16"/>
  <c r="BD89" i="16"/>
  <c r="BE89" i="16"/>
  <c r="BF89" i="16"/>
  <c r="BG89" i="16"/>
  <c r="BH89" i="16"/>
  <c r="BI89" i="16"/>
  <c r="BJ89" i="16"/>
  <c r="BK89" i="16"/>
  <c r="BL89" i="16"/>
  <c r="BM89" i="16"/>
  <c r="BN89" i="16"/>
  <c r="BO89" i="16"/>
  <c r="BP89" i="16"/>
  <c r="AA90" i="16"/>
  <c r="AB90" i="16"/>
  <c r="AC90" i="16"/>
  <c r="AD90" i="16"/>
  <c r="AE90" i="16"/>
  <c r="AF90" i="16"/>
  <c r="AG90" i="16"/>
  <c r="AH90" i="16"/>
  <c r="AI90" i="16"/>
  <c r="AJ90" i="16"/>
  <c r="AK90" i="16"/>
  <c r="AL90" i="16"/>
  <c r="AM90" i="16"/>
  <c r="AP90" i="16"/>
  <c r="AQ90" i="16"/>
  <c r="AR90" i="16"/>
  <c r="AS90" i="16"/>
  <c r="AT90" i="16"/>
  <c r="AU90" i="16"/>
  <c r="AV90" i="16"/>
  <c r="AW90" i="16"/>
  <c r="AX90" i="16"/>
  <c r="AY90" i="16"/>
  <c r="AZ90" i="16"/>
  <c r="BA90" i="16"/>
  <c r="BB90" i="16"/>
  <c r="BC90" i="16"/>
  <c r="BD90" i="16"/>
  <c r="BE90" i="16"/>
  <c r="BF90" i="16"/>
  <c r="BG90" i="16"/>
  <c r="BH90" i="16"/>
  <c r="BI90" i="16"/>
  <c r="BJ90" i="16"/>
  <c r="BK90" i="16"/>
  <c r="BL90" i="16"/>
  <c r="BM90" i="16"/>
  <c r="BN90" i="16"/>
  <c r="BO90" i="16"/>
  <c r="BP90" i="16"/>
  <c r="AA91" i="16"/>
  <c r="AB91" i="16"/>
  <c r="BH91" i="16"/>
  <c r="BI91" i="16"/>
  <c r="BJ91" i="16"/>
  <c r="BK91" i="16"/>
  <c r="BL91" i="16"/>
  <c r="BM91" i="16"/>
  <c r="BN91" i="16"/>
  <c r="BO91" i="16"/>
  <c r="BP91" i="16"/>
  <c r="AA92" i="16"/>
  <c r="AB92" i="16"/>
  <c r="AC92" i="16"/>
  <c r="AD92" i="16"/>
  <c r="AA93" i="16"/>
  <c r="AB93" i="16"/>
  <c r="AC93" i="16"/>
  <c r="AD93" i="16"/>
  <c r="AA94" i="16"/>
  <c r="AB94" i="16"/>
  <c r="AC94" i="16"/>
  <c r="AD94" i="16"/>
  <c r="BC94" i="16"/>
  <c r="BD94" i="16"/>
  <c r="BE94" i="16"/>
  <c r="BF94" i="16"/>
  <c r="BG94" i="16"/>
  <c r="BH94" i="16"/>
  <c r="BI94" i="16"/>
  <c r="BJ94" i="16"/>
  <c r="BK94" i="16"/>
  <c r="BL94" i="16"/>
  <c r="BM94" i="16"/>
  <c r="BN94" i="16"/>
  <c r="BO94" i="16"/>
  <c r="BP94" i="16"/>
  <c r="AA95" i="16"/>
  <c r="AB95" i="16"/>
  <c r="AC95" i="16"/>
  <c r="AD95" i="16"/>
  <c r="BE95" i="16"/>
  <c r="BF95" i="16"/>
  <c r="BG95" i="16"/>
  <c r="BH95" i="16"/>
  <c r="BI95" i="16"/>
  <c r="BJ95" i="16"/>
  <c r="BK95" i="16"/>
  <c r="BL95" i="16"/>
  <c r="BM95" i="16"/>
  <c r="BN95" i="16"/>
  <c r="BO95" i="16"/>
  <c r="BP95" i="16"/>
  <c r="AA96" i="16"/>
  <c r="AB96" i="16"/>
  <c r="AC96" i="16"/>
  <c r="AD96" i="16"/>
  <c r="BE96" i="16"/>
  <c r="BF96" i="16"/>
  <c r="BG96" i="16"/>
  <c r="BH96" i="16"/>
  <c r="BI96" i="16"/>
  <c r="BJ96" i="16"/>
  <c r="BK96" i="16"/>
  <c r="BL96" i="16"/>
  <c r="BM96" i="16"/>
  <c r="BN96" i="16"/>
  <c r="BO96" i="16"/>
  <c r="BP96" i="16"/>
  <c r="AA97" i="16"/>
  <c r="AB97" i="16"/>
  <c r="AC97" i="16"/>
  <c r="AD97" i="16"/>
  <c r="AE97" i="16"/>
  <c r="AF97" i="16"/>
  <c r="AG97" i="16"/>
  <c r="AH97" i="16"/>
  <c r="AI97" i="16"/>
  <c r="AJ97" i="16"/>
  <c r="AK97" i="16"/>
  <c r="AL97" i="16"/>
  <c r="BL97" i="16"/>
  <c r="BM97" i="16"/>
  <c r="BN97" i="16"/>
  <c r="BO97" i="16"/>
  <c r="BP97" i="16"/>
  <c r="AA98" i="16"/>
  <c r="AB98" i="16"/>
  <c r="AC98" i="16"/>
  <c r="AD98" i="16"/>
  <c r="AE98" i="16"/>
  <c r="AF98" i="16"/>
  <c r="AG98" i="16"/>
  <c r="AH98" i="16"/>
  <c r="BB98" i="16"/>
  <c r="BC98" i="16"/>
  <c r="BD98" i="16"/>
  <c r="BE98" i="16"/>
  <c r="BF98" i="16"/>
  <c r="BG98" i="16"/>
  <c r="BH98" i="16"/>
  <c r="BI98" i="16"/>
  <c r="BJ98" i="16"/>
  <c r="BK98" i="16"/>
  <c r="BL98" i="16"/>
  <c r="BM98" i="16"/>
  <c r="BN98" i="16"/>
  <c r="BO98" i="16"/>
  <c r="BP98" i="16"/>
  <c r="AA99" i="16"/>
  <c r="AB99" i="16"/>
  <c r="AC99" i="16"/>
  <c r="AD99" i="16"/>
  <c r="AE99" i="16"/>
  <c r="AF99" i="16"/>
  <c r="AG99" i="16"/>
  <c r="AH99" i="16"/>
  <c r="AX99" i="16"/>
  <c r="AY99" i="16"/>
  <c r="AZ99" i="16"/>
  <c r="BA99" i="16"/>
  <c r="BB99" i="16"/>
  <c r="BC99" i="16"/>
  <c r="BD99" i="16"/>
  <c r="BE99" i="16"/>
  <c r="BF99" i="16"/>
  <c r="BG99" i="16"/>
  <c r="BH99" i="16"/>
  <c r="BI99" i="16"/>
  <c r="BJ99" i="16"/>
  <c r="BK99" i="16"/>
  <c r="BL99" i="16"/>
  <c r="BM99" i="16"/>
  <c r="BN99" i="16"/>
  <c r="BO99" i="16"/>
  <c r="BP99" i="16"/>
  <c r="AA100" i="16"/>
  <c r="AB100" i="16"/>
  <c r="AC100" i="16"/>
  <c r="AD100" i="16"/>
  <c r="AE100" i="16"/>
  <c r="AF100" i="16"/>
  <c r="AG100" i="16"/>
  <c r="AH100" i="16"/>
  <c r="BB100" i="16"/>
  <c r="BC100" i="16"/>
  <c r="BD100" i="16"/>
  <c r="BE100" i="16"/>
  <c r="BF100" i="16"/>
  <c r="BG100" i="16"/>
  <c r="BH100" i="16"/>
  <c r="BI100" i="16"/>
  <c r="BJ100" i="16"/>
  <c r="BK100" i="16"/>
  <c r="BL100" i="16"/>
  <c r="BM100" i="16"/>
  <c r="BN100" i="16"/>
  <c r="BO100" i="16"/>
  <c r="BP100" i="16"/>
  <c r="AA101" i="16"/>
  <c r="AB101" i="16"/>
  <c r="AC101" i="16"/>
  <c r="AD101" i="16"/>
  <c r="AE101" i="16"/>
  <c r="AF101" i="16"/>
  <c r="AG101" i="16"/>
  <c r="AH101" i="16"/>
  <c r="BH101" i="16"/>
  <c r="BI101" i="16"/>
  <c r="BJ101" i="16"/>
  <c r="BK101" i="16"/>
  <c r="BL101" i="16"/>
  <c r="BM101" i="16"/>
  <c r="BN101" i="16"/>
  <c r="BO101" i="16"/>
  <c r="BP101" i="16"/>
  <c r="AA102" i="16"/>
  <c r="AB102" i="16"/>
  <c r="AC102" i="16"/>
  <c r="AD102" i="16"/>
  <c r="AE102" i="16"/>
  <c r="AO102" i="16"/>
  <c r="AP102" i="16"/>
  <c r="AQ102" i="16"/>
  <c r="AR102" i="16"/>
  <c r="AS102" i="16"/>
  <c r="AT102" i="16"/>
  <c r="AU102" i="16"/>
  <c r="AV102" i="16"/>
  <c r="AW102" i="16"/>
  <c r="AX102" i="16"/>
  <c r="AY102" i="16"/>
  <c r="AZ102" i="16"/>
  <c r="BA102" i="16"/>
  <c r="BB102" i="16"/>
  <c r="BC102" i="16"/>
  <c r="BD102" i="16"/>
  <c r="BE102" i="16"/>
  <c r="BF102" i="16"/>
  <c r="BG102" i="16"/>
  <c r="BH102" i="16"/>
  <c r="BI102" i="16"/>
  <c r="BJ102" i="16"/>
  <c r="BK102" i="16"/>
  <c r="BL102" i="16"/>
  <c r="BM102" i="16"/>
  <c r="BN102" i="16"/>
  <c r="BO102" i="16"/>
  <c r="BP102" i="16"/>
  <c r="AA103" i="16"/>
  <c r="AB103" i="16"/>
  <c r="AC103" i="16"/>
  <c r="AD103" i="16"/>
  <c r="AE103" i="16"/>
  <c r="AO103" i="16"/>
  <c r="AP103" i="16"/>
  <c r="AQ103" i="16"/>
  <c r="AR103" i="16"/>
  <c r="AS103" i="16"/>
  <c r="AT103" i="16"/>
  <c r="AU103" i="16"/>
  <c r="AV103" i="16"/>
  <c r="AW103" i="16"/>
  <c r="AX103" i="16"/>
  <c r="AY103" i="16"/>
  <c r="AZ103" i="16"/>
  <c r="BA103" i="16"/>
  <c r="BB103" i="16"/>
  <c r="BC103" i="16"/>
  <c r="BD103" i="16"/>
  <c r="BE103" i="16"/>
  <c r="BF103" i="16"/>
  <c r="BG103" i="16"/>
  <c r="BH103" i="16"/>
  <c r="BI103" i="16"/>
  <c r="BJ103" i="16"/>
  <c r="BK103" i="16"/>
  <c r="BL103" i="16"/>
  <c r="BM103" i="16"/>
  <c r="BN103" i="16"/>
  <c r="BO103" i="16"/>
  <c r="BP103" i="16"/>
  <c r="AA104" i="16"/>
  <c r="AB104" i="16"/>
  <c r="AC104" i="16"/>
  <c r="AD104" i="16"/>
  <c r="AE104" i="16"/>
  <c r="AM104" i="16"/>
  <c r="AN104" i="16"/>
  <c r="AO104" i="16"/>
  <c r="AP104" i="16"/>
  <c r="AQ104" i="16"/>
  <c r="AR104" i="16"/>
  <c r="AS104" i="16"/>
  <c r="AT104" i="16"/>
  <c r="AU104" i="16"/>
  <c r="AV104" i="16"/>
  <c r="AW104" i="16"/>
  <c r="AX104" i="16"/>
  <c r="AY104" i="16"/>
  <c r="AZ104" i="16"/>
  <c r="BA104" i="16"/>
  <c r="BB104" i="16"/>
  <c r="BC104" i="16"/>
  <c r="BD104" i="16"/>
  <c r="BE104" i="16"/>
  <c r="BF104" i="16"/>
  <c r="BG104" i="16"/>
  <c r="BH104" i="16"/>
  <c r="BI104" i="16"/>
  <c r="BJ104" i="16"/>
  <c r="BK104" i="16"/>
  <c r="BL104" i="16"/>
  <c r="BM104" i="16"/>
  <c r="BN104" i="16"/>
  <c r="BO104" i="16"/>
  <c r="BP104" i="16"/>
  <c r="AA105" i="16"/>
  <c r="AB105" i="16"/>
  <c r="AC105" i="16"/>
  <c r="AD105" i="16"/>
  <c r="AE105" i="16"/>
  <c r="AM105" i="16"/>
  <c r="AN105" i="16"/>
  <c r="AO105" i="16"/>
  <c r="AP105" i="16"/>
  <c r="AQ105" i="16"/>
  <c r="AR105" i="16"/>
  <c r="AS105" i="16"/>
  <c r="AT105" i="16"/>
  <c r="AU105" i="16"/>
  <c r="AV105" i="16"/>
  <c r="AW105" i="16"/>
  <c r="AX105" i="16"/>
  <c r="AY105" i="16"/>
  <c r="AZ105" i="16"/>
  <c r="BA105" i="16"/>
  <c r="BB105" i="16"/>
  <c r="BC105" i="16"/>
  <c r="BD105" i="16"/>
  <c r="BE105" i="16"/>
  <c r="BF105" i="16"/>
  <c r="BG105" i="16"/>
  <c r="BH105" i="16"/>
  <c r="BI105" i="16"/>
  <c r="BJ105" i="16"/>
  <c r="BK105" i="16"/>
  <c r="BL105" i="16"/>
  <c r="BM105" i="16"/>
  <c r="BN105" i="16"/>
  <c r="BO105" i="16"/>
  <c r="BP105" i="16"/>
  <c r="AA106" i="16"/>
  <c r="AB106" i="16"/>
  <c r="AC106" i="16"/>
  <c r="AD106" i="16"/>
  <c r="AE106" i="16"/>
  <c r="AA107" i="16"/>
  <c r="AB107" i="16"/>
  <c r="AC107" i="16"/>
  <c r="AD107" i="16"/>
  <c r="AE107" i="16"/>
  <c r="AO107" i="16"/>
  <c r="AP107" i="16"/>
  <c r="AQ107" i="16"/>
  <c r="AR107" i="16"/>
  <c r="AS107" i="16"/>
  <c r="AT107" i="16"/>
  <c r="AU107" i="16"/>
  <c r="AV107" i="16"/>
  <c r="AW107" i="16"/>
  <c r="AX107" i="16"/>
  <c r="AY107" i="16"/>
  <c r="AZ107" i="16"/>
  <c r="BA107" i="16"/>
  <c r="BB107" i="16"/>
  <c r="BC107" i="16"/>
  <c r="BD107" i="16"/>
  <c r="BE107" i="16"/>
  <c r="BF107" i="16"/>
  <c r="BG107" i="16"/>
  <c r="BH107" i="16"/>
  <c r="BI107" i="16"/>
  <c r="BJ107" i="16"/>
  <c r="BK107" i="16"/>
  <c r="BL107" i="16"/>
  <c r="BM107" i="16"/>
  <c r="BN107" i="16"/>
  <c r="BO107" i="16"/>
  <c r="BP107" i="16"/>
  <c r="AA108" i="16"/>
  <c r="AB108" i="16"/>
  <c r="AC108" i="16"/>
  <c r="AT108" i="16"/>
  <c r="AU108" i="16"/>
  <c r="AV108" i="16"/>
  <c r="AW108" i="16"/>
  <c r="AX108" i="16"/>
  <c r="AY108" i="16"/>
  <c r="AZ108" i="16"/>
  <c r="BA108" i="16"/>
  <c r="BB108" i="16"/>
  <c r="BC108" i="16"/>
  <c r="BD108" i="16"/>
  <c r="BE108" i="16"/>
  <c r="BF108" i="16"/>
  <c r="BG108" i="16"/>
  <c r="BH108" i="16"/>
  <c r="BI108" i="16"/>
  <c r="BJ108" i="16"/>
  <c r="BK108" i="16"/>
  <c r="BL108" i="16"/>
  <c r="BM108" i="16"/>
  <c r="BN108" i="16"/>
  <c r="BO108" i="16"/>
  <c r="BP108" i="16"/>
  <c r="AA109" i="16"/>
  <c r="AB109" i="16"/>
  <c r="AC109" i="16"/>
  <c r="BK109" i="16"/>
  <c r="BL109" i="16"/>
  <c r="BM109" i="16"/>
  <c r="BN109" i="16"/>
  <c r="BO109" i="16"/>
  <c r="BP109" i="16"/>
  <c r="AA110" i="16"/>
  <c r="AB110" i="16"/>
  <c r="AC110" i="16"/>
  <c r="AD110" i="16"/>
  <c r="BJ110" i="16"/>
  <c r="BK110" i="16"/>
  <c r="BL110" i="16"/>
  <c r="BM110" i="16"/>
  <c r="BN110" i="16"/>
  <c r="BO110" i="16"/>
  <c r="BP110" i="16"/>
  <c r="AA111" i="16"/>
  <c r="AB111" i="16"/>
  <c r="AC111" i="16"/>
  <c r="BI111" i="16"/>
  <c r="BJ111" i="16"/>
  <c r="BK111" i="16"/>
  <c r="BL111" i="16"/>
  <c r="BM111" i="16"/>
  <c r="BN111" i="16"/>
  <c r="BO111" i="16"/>
  <c r="BP111" i="16"/>
  <c r="AA112" i="16"/>
  <c r="AB112" i="16"/>
  <c r="AC112" i="16"/>
  <c r="BF112" i="16"/>
  <c r="BG112" i="16"/>
  <c r="BH112" i="16"/>
  <c r="BI112" i="16"/>
  <c r="BJ112" i="16"/>
  <c r="BK112" i="16"/>
  <c r="BL112" i="16"/>
  <c r="BM112" i="16"/>
  <c r="BN112" i="16"/>
  <c r="BO112" i="16"/>
  <c r="BP112" i="16"/>
  <c r="AA113" i="16"/>
  <c r="AB113" i="16"/>
  <c r="BH113" i="16"/>
  <c r="BI113" i="16"/>
  <c r="BJ113" i="16"/>
  <c r="BK113" i="16"/>
  <c r="BL113" i="16"/>
  <c r="BM113" i="16"/>
  <c r="BN113" i="16"/>
  <c r="BO113" i="16"/>
  <c r="BP113" i="16"/>
  <c r="AA114" i="16"/>
  <c r="AB114" i="16"/>
  <c r="AA115" i="16"/>
  <c r="AB115" i="16"/>
  <c r="AC115" i="16"/>
  <c r="AD115" i="16"/>
  <c r="AE115" i="16"/>
  <c r="AF115" i="16"/>
  <c r="AG115" i="16"/>
  <c r="AH115" i="16"/>
  <c r="AI115" i="16"/>
  <c r="AA116" i="16"/>
  <c r="AB116" i="16"/>
  <c r="AC116" i="16"/>
  <c r="AD116" i="16"/>
  <c r="AX116" i="16"/>
  <c r="AY116" i="16"/>
  <c r="AZ116" i="16"/>
  <c r="BA116" i="16"/>
  <c r="BB116" i="16"/>
  <c r="BC116" i="16"/>
  <c r="BD116" i="16"/>
  <c r="BE116" i="16"/>
  <c r="BF116" i="16"/>
  <c r="BG116" i="16"/>
  <c r="BH116" i="16"/>
  <c r="BI116" i="16"/>
  <c r="BJ116" i="16"/>
  <c r="BK116" i="16"/>
  <c r="BL116" i="16"/>
  <c r="BM116" i="16"/>
  <c r="BN116" i="16"/>
  <c r="BO116" i="16"/>
  <c r="BP116" i="16"/>
  <c r="AA117" i="16"/>
  <c r="AB117" i="16"/>
  <c r="AC117" i="16"/>
  <c r="AD117" i="16"/>
  <c r="AA118" i="16"/>
  <c r="AB118" i="16"/>
  <c r="AC118" i="16"/>
  <c r="AD118" i="16"/>
  <c r="BE118" i="16"/>
  <c r="BF118" i="16"/>
  <c r="BG118" i="16"/>
  <c r="BH118" i="16"/>
  <c r="BI118" i="16"/>
  <c r="BJ118" i="16"/>
  <c r="BK118" i="16"/>
  <c r="BL118" i="16"/>
  <c r="BM118" i="16"/>
  <c r="BN118" i="16"/>
  <c r="BO118" i="16"/>
  <c r="BP118" i="16"/>
  <c r="AA119" i="16"/>
  <c r="AB119" i="16"/>
  <c r="AC119" i="16"/>
  <c r="AD119" i="16"/>
  <c r="AT119" i="16"/>
  <c r="AU119" i="16"/>
  <c r="AV119" i="16"/>
  <c r="AW119" i="16"/>
  <c r="AX119" i="16"/>
  <c r="AY119" i="16"/>
  <c r="AZ119" i="16"/>
  <c r="BA119" i="16"/>
  <c r="BB119" i="16"/>
  <c r="BC119" i="16"/>
  <c r="BD119" i="16"/>
  <c r="BE119" i="16"/>
  <c r="BF119" i="16"/>
  <c r="BG119" i="16"/>
  <c r="BH119" i="16"/>
  <c r="BI119" i="16"/>
  <c r="BJ119" i="16"/>
  <c r="BK119" i="16"/>
  <c r="BL119" i="16"/>
  <c r="BM119" i="16"/>
  <c r="BN119" i="16"/>
  <c r="BO119" i="16"/>
  <c r="BP119" i="16"/>
  <c r="AA120" i="16"/>
  <c r="AB120" i="16"/>
  <c r="AC120" i="16"/>
  <c r="AD120" i="16"/>
  <c r="AU120" i="16"/>
  <c r="AV120" i="16"/>
  <c r="AW120" i="16"/>
  <c r="AX120" i="16"/>
  <c r="AY120" i="16"/>
  <c r="AZ120" i="16"/>
  <c r="BA120" i="16"/>
  <c r="BB120" i="16"/>
  <c r="BC120" i="16"/>
  <c r="BD120" i="16"/>
  <c r="BE120" i="16"/>
  <c r="BF120" i="16"/>
  <c r="BG120" i="16"/>
  <c r="BH120" i="16"/>
  <c r="BI120" i="16"/>
  <c r="BJ120" i="16"/>
  <c r="BK120" i="16"/>
  <c r="BL120" i="16"/>
  <c r="BM120" i="16"/>
  <c r="BN120" i="16"/>
  <c r="BO120" i="16"/>
  <c r="BP120" i="16"/>
  <c r="AA121" i="16"/>
  <c r="AB121" i="16"/>
  <c r="AC121" i="16"/>
  <c r="AD121" i="16"/>
  <c r="AU121" i="16"/>
  <c r="AV121" i="16"/>
  <c r="AW121" i="16"/>
  <c r="AX121" i="16"/>
  <c r="AY121" i="16"/>
  <c r="AZ121" i="16"/>
  <c r="BA121" i="16"/>
  <c r="BB121" i="16"/>
  <c r="BC121" i="16"/>
  <c r="BD121" i="16"/>
  <c r="BE121" i="16"/>
  <c r="BF121" i="16"/>
  <c r="BG121" i="16"/>
  <c r="BH121" i="16"/>
  <c r="BI121" i="16"/>
  <c r="BJ121" i="16"/>
  <c r="BK121" i="16"/>
  <c r="BL121" i="16"/>
  <c r="BM121" i="16"/>
  <c r="BN121" i="16"/>
  <c r="BO121" i="16"/>
  <c r="BP121" i="16"/>
  <c r="AA122" i="16"/>
  <c r="AB122" i="16"/>
  <c r="AC122" i="16"/>
  <c r="AD122" i="16"/>
  <c r="AU122" i="16"/>
  <c r="AV122" i="16"/>
  <c r="AW122" i="16"/>
  <c r="AX122" i="16"/>
  <c r="AY122" i="16"/>
  <c r="AZ122" i="16"/>
  <c r="BA122" i="16"/>
  <c r="BB122" i="16"/>
  <c r="BC122" i="16"/>
  <c r="BD122" i="16"/>
  <c r="BE122" i="16"/>
  <c r="BF122" i="16"/>
  <c r="BG122" i="16"/>
  <c r="BH122" i="16"/>
  <c r="BI122" i="16"/>
  <c r="BJ122" i="16"/>
  <c r="BK122" i="16"/>
  <c r="BL122" i="16"/>
  <c r="BM122" i="16"/>
  <c r="BN122" i="16"/>
  <c r="BO122" i="16"/>
  <c r="BP122" i="16"/>
  <c r="AA123" i="16"/>
  <c r="AB123" i="16"/>
  <c r="AC123" i="16"/>
  <c r="AD123" i="16"/>
  <c r="BL123" i="16"/>
  <c r="BM123" i="16"/>
  <c r="BN123" i="16"/>
  <c r="BO123" i="16"/>
  <c r="BP123" i="16"/>
  <c r="AA124" i="16"/>
  <c r="AB124" i="16"/>
  <c r="AC124" i="16"/>
  <c r="AD124" i="16"/>
  <c r="BC124" i="16"/>
  <c r="BD124" i="16"/>
  <c r="BE124" i="16"/>
  <c r="BF124" i="16"/>
  <c r="BG124" i="16"/>
  <c r="BH124" i="16"/>
  <c r="BI124" i="16"/>
  <c r="BJ124" i="16"/>
  <c r="BK124" i="16"/>
  <c r="BL124" i="16"/>
  <c r="BM124" i="16"/>
  <c r="BN124" i="16"/>
  <c r="BO124" i="16"/>
  <c r="BP124" i="16"/>
  <c r="AA125" i="16"/>
  <c r="AB125" i="16"/>
  <c r="AC125" i="16"/>
  <c r="AD125" i="16"/>
  <c r="BE125" i="16"/>
  <c r="BF125" i="16"/>
  <c r="BG125" i="16"/>
  <c r="BH125" i="16"/>
  <c r="BI125" i="16"/>
  <c r="BJ125" i="16"/>
  <c r="BK125" i="16"/>
  <c r="BL125" i="16"/>
  <c r="BM125" i="16"/>
  <c r="BN125" i="16"/>
  <c r="BO125" i="16"/>
  <c r="BP125" i="16"/>
  <c r="AA126" i="16"/>
  <c r="AB126" i="16"/>
  <c r="AC126" i="16"/>
  <c r="AD126" i="16"/>
  <c r="BE126" i="16"/>
  <c r="BF126" i="16"/>
  <c r="BG126" i="16"/>
  <c r="BH126" i="16"/>
  <c r="BI126" i="16"/>
  <c r="BJ126" i="16"/>
  <c r="BK126" i="16"/>
  <c r="BL126" i="16"/>
  <c r="BM126" i="16"/>
  <c r="BN126" i="16"/>
  <c r="BO126" i="16"/>
  <c r="BP126" i="16"/>
  <c r="AA127" i="16"/>
  <c r="AB127" i="16"/>
  <c r="AC127" i="16"/>
  <c r="AD127" i="16"/>
  <c r="BC127" i="16"/>
  <c r="BD127" i="16"/>
  <c r="BE127" i="16"/>
  <c r="BF127" i="16"/>
  <c r="BG127" i="16"/>
  <c r="BH127" i="16"/>
  <c r="BI127" i="16"/>
  <c r="BJ127" i="16"/>
  <c r="BK127" i="16"/>
  <c r="BL127" i="16"/>
  <c r="BM127" i="16"/>
  <c r="BN127" i="16"/>
  <c r="BO127" i="16"/>
  <c r="BP127" i="16"/>
  <c r="AA128" i="16"/>
  <c r="AB128" i="16"/>
  <c r="AC128" i="16"/>
  <c r="AD128" i="16"/>
  <c r="BL128" i="16"/>
  <c r="BM128" i="16"/>
  <c r="BN128" i="16"/>
  <c r="BO128" i="16"/>
  <c r="BP128" i="16"/>
  <c r="AA129" i="16"/>
  <c r="AB129" i="16"/>
  <c r="AC129" i="16"/>
  <c r="AD129" i="16"/>
  <c r="BE129" i="16"/>
  <c r="BF129" i="16"/>
  <c r="BG129" i="16"/>
  <c r="BH129" i="16"/>
  <c r="BI129" i="16"/>
  <c r="BJ129" i="16"/>
  <c r="BK129" i="16"/>
  <c r="BL129" i="16"/>
  <c r="BM129" i="16"/>
  <c r="BN129" i="16"/>
  <c r="BO129" i="16"/>
  <c r="BP129" i="16"/>
  <c r="AA130" i="16"/>
  <c r="AB130" i="16"/>
  <c r="AC130" i="16"/>
  <c r="AD130" i="16"/>
  <c r="BE130" i="16"/>
  <c r="BF130" i="16"/>
  <c r="BG130" i="16"/>
  <c r="BH130" i="16"/>
  <c r="BI130" i="16"/>
  <c r="BJ130" i="16"/>
  <c r="BK130" i="16"/>
  <c r="BL130" i="16"/>
  <c r="BM130" i="16"/>
  <c r="BN130" i="16"/>
  <c r="BO130" i="16"/>
  <c r="BP130" i="16"/>
  <c r="AA131" i="16"/>
  <c r="AB131" i="16"/>
  <c r="AC131" i="16"/>
  <c r="AD131" i="16"/>
  <c r="BE131" i="16"/>
  <c r="BF131" i="16"/>
  <c r="BG131" i="16"/>
  <c r="BH131" i="16"/>
  <c r="BI131" i="16"/>
  <c r="BJ131" i="16"/>
  <c r="BK131" i="16"/>
  <c r="BL131" i="16"/>
  <c r="BM131" i="16"/>
  <c r="BN131" i="16"/>
  <c r="BO131" i="16"/>
  <c r="BP131" i="16"/>
  <c r="AA132" i="16"/>
  <c r="AB132" i="16"/>
  <c r="AC132" i="16"/>
  <c r="AD132" i="16"/>
  <c r="BE132" i="16"/>
  <c r="BF132" i="16"/>
  <c r="BG132" i="16"/>
  <c r="BH132" i="16"/>
  <c r="BI132" i="16"/>
  <c r="BJ132" i="16"/>
  <c r="BK132" i="16"/>
  <c r="BL132" i="16"/>
  <c r="BM132" i="16"/>
  <c r="BN132" i="16"/>
  <c r="BO132" i="16"/>
  <c r="BP132" i="16"/>
  <c r="AA133" i="16"/>
  <c r="AB133" i="16"/>
  <c r="AC133" i="16"/>
  <c r="AD133" i="16"/>
  <c r="BL133" i="16"/>
  <c r="BM133" i="16"/>
  <c r="BN133" i="16"/>
  <c r="BO133" i="16"/>
  <c r="BP133" i="16"/>
  <c r="AA134" i="16"/>
  <c r="AB134" i="16"/>
  <c r="AC134" i="16"/>
  <c r="AD134" i="16"/>
  <c r="BL134" i="16"/>
  <c r="BM134" i="16"/>
  <c r="BN134" i="16"/>
  <c r="BO134" i="16"/>
  <c r="BP134" i="16"/>
  <c r="AA135" i="16"/>
  <c r="AB135" i="16"/>
  <c r="AC135" i="16"/>
  <c r="AD135" i="16"/>
  <c r="AA136" i="16"/>
  <c r="AB136" i="16"/>
  <c r="AC136" i="16"/>
  <c r="AD136" i="16"/>
  <c r="AA137" i="16"/>
  <c r="AB137" i="16"/>
  <c r="AC137" i="16"/>
  <c r="AD137" i="16"/>
  <c r="AA138" i="16"/>
  <c r="AB138" i="16"/>
  <c r="AC138" i="16"/>
  <c r="AD138" i="16"/>
  <c r="AE138" i="16"/>
  <c r="AF138" i="16"/>
  <c r="BB138" i="16"/>
  <c r="BC138" i="16"/>
  <c r="BD138" i="16"/>
  <c r="BE138" i="16"/>
  <c r="BF138" i="16"/>
  <c r="BG138" i="16"/>
  <c r="BH138" i="16"/>
  <c r="BI138" i="16"/>
  <c r="BJ138" i="16"/>
  <c r="BK138" i="16"/>
  <c r="BL138" i="16"/>
  <c r="BM138" i="16"/>
  <c r="BN138" i="16"/>
  <c r="BO138" i="16"/>
  <c r="BP138" i="16"/>
  <c r="AA139" i="16"/>
  <c r="AB139" i="16"/>
  <c r="AC139" i="16"/>
  <c r="AD139" i="16"/>
  <c r="AE139" i="16"/>
  <c r="AF139" i="16"/>
  <c r="AY139" i="16"/>
  <c r="AZ139" i="16"/>
  <c r="BA139" i="16"/>
  <c r="BB139" i="16"/>
  <c r="BC139" i="16"/>
  <c r="BD139" i="16"/>
  <c r="BE139" i="16"/>
  <c r="BF139" i="16"/>
  <c r="BG139" i="16"/>
  <c r="BH139" i="16"/>
  <c r="BI139" i="16"/>
  <c r="BJ139" i="16"/>
  <c r="BK139" i="16"/>
  <c r="BL139" i="16"/>
  <c r="BM139" i="16"/>
  <c r="BN139" i="16"/>
  <c r="BO139" i="16"/>
  <c r="BP139" i="16"/>
  <c r="AA140" i="16"/>
  <c r="AB140" i="16"/>
  <c r="AC140" i="16"/>
  <c r="AD140" i="16"/>
  <c r="AE140" i="16"/>
  <c r="BD140" i="16"/>
  <c r="BE140" i="16"/>
  <c r="BF140" i="16"/>
  <c r="BG140" i="16"/>
  <c r="BH140" i="16"/>
  <c r="BI140" i="16"/>
  <c r="BJ140" i="16"/>
  <c r="BK140" i="16"/>
  <c r="BL140" i="16"/>
  <c r="BM140" i="16"/>
  <c r="BN140" i="16"/>
  <c r="BO140" i="16"/>
  <c r="BP140" i="16"/>
  <c r="AA141" i="16"/>
  <c r="AB141" i="16"/>
  <c r="AC141" i="16"/>
  <c r="AD141" i="16"/>
  <c r="AE141" i="16"/>
  <c r="BM141" i="16"/>
  <c r="BN141" i="16"/>
  <c r="BO141" i="16"/>
  <c r="BP141" i="16"/>
  <c r="AA142" i="16"/>
  <c r="AB142" i="16"/>
  <c r="AC142" i="16"/>
  <c r="BD142" i="16"/>
  <c r="BE142" i="16"/>
  <c r="BF142" i="16"/>
  <c r="BG142" i="16"/>
  <c r="BH142" i="16"/>
  <c r="BI142" i="16"/>
  <c r="BJ142" i="16"/>
  <c r="BK142" i="16"/>
  <c r="BL142" i="16"/>
  <c r="BM142" i="16"/>
  <c r="BN142" i="16"/>
  <c r="BO142" i="16"/>
  <c r="BP142" i="16"/>
  <c r="AA143" i="16"/>
  <c r="AB143" i="16"/>
  <c r="AC143" i="16"/>
  <c r="AD143" i="16"/>
  <c r="AE143" i="16"/>
  <c r="AF143" i="16"/>
  <c r="AG143" i="16"/>
  <c r="AH143" i="16"/>
  <c r="AI143" i="16"/>
  <c r="BA143" i="16"/>
  <c r="BB143" i="16"/>
  <c r="BC143" i="16"/>
  <c r="BD143" i="16"/>
  <c r="BE143" i="16"/>
  <c r="BF143" i="16"/>
  <c r="BG143" i="16"/>
  <c r="BH143" i="16"/>
  <c r="BI143" i="16"/>
  <c r="BJ143" i="16"/>
  <c r="BK143" i="16"/>
  <c r="BL143" i="16"/>
  <c r="BM143" i="16"/>
  <c r="BN143" i="16"/>
  <c r="BO143" i="16"/>
  <c r="BP143" i="16"/>
  <c r="AA144" i="16"/>
  <c r="AB144" i="16"/>
  <c r="AC144" i="16"/>
  <c r="AD144" i="16"/>
  <c r="AE144" i="16"/>
  <c r="AF144" i="16"/>
  <c r="AG144" i="16"/>
  <c r="AH144" i="16"/>
  <c r="AI144" i="16"/>
  <c r="BA144" i="16"/>
  <c r="BB144" i="16"/>
  <c r="BC144" i="16"/>
  <c r="BD144" i="16"/>
  <c r="BE144" i="16"/>
  <c r="BF144" i="16"/>
  <c r="BG144" i="16"/>
  <c r="BH144" i="16"/>
  <c r="BI144" i="16"/>
  <c r="BJ144" i="16"/>
  <c r="BK144" i="16"/>
  <c r="BL144" i="16"/>
  <c r="BM144" i="16"/>
  <c r="BN144" i="16"/>
  <c r="BO144" i="16"/>
  <c r="BP144" i="16"/>
  <c r="AA145" i="16"/>
  <c r="AB145" i="16"/>
  <c r="AC145" i="16"/>
  <c r="AD145" i="16"/>
  <c r="AE145" i="16"/>
  <c r="AF145" i="16"/>
  <c r="AG145" i="16"/>
  <c r="AH145" i="16"/>
  <c r="AI145" i="16"/>
  <c r="BI145" i="16"/>
  <c r="BJ145" i="16"/>
  <c r="BK145" i="16"/>
  <c r="BL145" i="16"/>
  <c r="BM145" i="16"/>
  <c r="BN145" i="16"/>
  <c r="BO145" i="16"/>
  <c r="BP145" i="16"/>
  <c r="AA146" i="16"/>
  <c r="AB146" i="16"/>
  <c r="AC146" i="16"/>
  <c r="AD146" i="16"/>
  <c r="AE146" i="16"/>
  <c r="AF146" i="16"/>
  <c r="AG146" i="16"/>
  <c r="AH146" i="16"/>
  <c r="AI146" i="16"/>
  <c r="BI146" i="16"/>
  <c r="BJ146" i="16"/>
  <c r="BK146" i="16"/>
  <c r="BL146" i="16"/>
  <c r="BM146" i="16"/>
  <c r="BN146" i="16"/>
  <c r="BO146" i="16"/>
  <c r="BP146" i="16"/>
  <c r="AA147" i="16"/>
  <c r="AZ147" i="16"/>
  <c r="BA147" i="16"/>
  <c r="BB147" i="16"/>
  <c r="BC147" i="16"/>
  <c r="BD147" i="16"/>
  <c r="BE147" i="16"/>
  <c r="BF147" i="16"/>
  <c r="BG147" i="16"/>
  <c r="BH147" i="16"/>
  <c r="BI147" i="16"/>
  <c r="BJ147" i="16"/>
  <c r="BK147" i="16"/>
  <c r="BL147" i="16"/>
  <c r="BM147" i="16"/>
  <c r="BN147" i="16"/>
  <c r="BO147" i="16"/>
  <c r="BP147" i="16"/>
  <c r="AA148" i="16"/>
  <c r="AA149" i="16"/>
  <c r="AA150" i="16"/>
  <c r="AQ150" i="16"/>
  <c r="AR150" i="16"/>
  <c r="AS150" i="16"/>
  <c r="AT150" i="16"/>
  <c r="AU150" i="16"/>
  <c r="AV150" i="16"/>
  <c r="AW150" i="16"/>
  <c r="AX150" i="16"/>
  <c r="AY150" i="16"/>
  <c r="AZ150" i="16"/>
  <c r="BA150" i="16"/>
  <c r="BB150" i="16"/>
  <c r="BC150" i="16"/>
  <c r="BD150" i="16"/>
  <c r="BE150" i="16"/>
  <c r="BF150" i="16"/>
  <c r="BG150" i="16"/>
  <c r="BH150" i="16"/>
  <c r="BI150" i="16"/>
  <c r="BJ150" i="16"/>
  <c r="BK150" i="16"/>
  <c r="BL150" i="16"/>
  <c r="BM150" i="16"/>
  <c r="BN150" i="16"/>
  <c r="BO150" i="16"/>
  <c r="BP150" i="16"/>
  <c r="AA151" i="16"/>
  <c r="BI151" i="16"/>
  <c r="BJ151" i="16"/>
  <c r="BK151" i="16"/>
  <c r="BL151" i="16"/>
  <c r="BM151" i="16"/>
  <c r="BN151" i="16"/>
  <c r="BO151" i="16"/>
  <c r="BP151" i="16"/>
  <c r="AA152" i="16"/>
  <c r="AZ152" i="16"/>
  <c r="BA152" i="16"/>
  <c r="BB152" i="16"/>
  <c r="BC152" i="16"/>
  <c r="BD152" i="16"/>
  <c r="BE152" i="16"/>
  <c r="BF152" i="16"/>
  <c r="BG152" i="16"/>
  <c r="BH152" i="16"/>
  <c r="BI152" i="16"/>
  <c r="BJ152" i="16"/>
  <c r="BK152" i="16"/>
  <c r="BL152" i="16"/>
  <c r="BM152" i="16"/>
  <c r="BN152" i="16"/>
  <c r="BO152" i="16"/>
  <c r="BP152" i="16"/>
  <c r="AA153" i="16"/>
  <c r="AZ153" i="16"/>
  <c r="BA153" i="16"/>
  <c r="BB153" i="16"/>
  <c r="BC153" i="16"/>
  <c r="BD153" i="16"/>
  <c r="BE153" i="16"/>
  <c r="BF153" i="16"/>
  <c r="BG153" i="16"/>
  <c r="BH153" i="16"/>
  <c r="BI153" i="16"/>
  <c r="BJ153" i="16"/>
  <c r="BK153" i="16"/>
  <c r="BL153" i="16"/>
  <c r="BM153" i="16"/>
  <c r="BN153" i="16"/>
  <c r="BO153" i="16"/>
  <c r="BP153" i="16"/>
  <c r="AA154" i="16"/>
  <c r="BB154" i="16"/>
  <c r="BC154" i="16"/>
  <c r="BD154" i="16"/>
  <c r="BE154" i="16"/>
  <c r="BF154" i="16"/>
  <c r="BG154" i="16"/>
  <c r="BH154" i="16"/>
  <c r="BI154" i="16"/>
  <c r="BJ154" i="16"/>
  <c r="BK154" i="16"/>
  <c r="BL154" i="16"/>
  <c r="BM154" i="16"/>
  <c r="BN154" i="16"/>
  <c r="BO154" i="16"/>
  <c r="BP154" i="16"/>
  <c r="AA155" i="16"/>
  <c r="AB155" i="16"/>
  <c r="BC155" i="16"/>
  <c r="BD155" i="16"/>
  <c r="BE155" i="16"/>
  <c r="BF155" i="16"/>
  <c r="BG155" i="16"/>
  <c r="BH155" i="16"/>
  <c r="BI155" i="16"/>
  <c r="BJ155" i="16"/>
  <c r="BK155" i="16"/>
  <c r="BL155" i="16"/>
  <c r="BM155" i="16"/>
  <c r="BN155" i="16"/>
  <c r="BO155" i="16"/>
  <c r="BP155" i="16"/>
  <c r="AA156" i="16"/>
  <c r="AA157" i="16"/>
  <c r="AB157" i="16"/>
  <c r="AC157" i="16"/>
  <c r="AD157" i="16"/>
  <c r="AE157" i="16"/>
  <c r="AF157" i="16"/>
  <c r="AG157" i="16"/>
  <c r="AH157" i="16"/>
  <c r="AI157" i="16"/>
  <c r="AJ157" i="16"/>
  <c r="AK157" i="16"/>
  <c r="AL157" i="16"/>
  <c r="AM157" i="16"/>
  <c r="AO157" i="16"/>
  <c r="AP157" i="16"/>
  <c r="AQ157" i="16"/>
  <c r="AR157" i="16"/>
  <c r="AS157" i="16"/>
  <c r="AT157" i="16"/>
  <c r="AU157" i="16"/>
  <c r="AV157" i="16"/>
  <c r="AW157" i="16"/>
  <c r="AX157" i="16"/>
  <c r="AY157" i="16"/>
  <c r="AZ157" i="16"/>
  <c r="BA157" i="16"/>
  <c r="BB157" i="16"/>
  <c r="BC157" i="16"/>
  <c r="BD157" i="16"/>
  <c r="BE157" i="16"/>
  <c r="BF157" i="16"/>
  <c r="BG157" i="16"/>
  <c r="BH157" i="16"/>
  <c r="BI157" i="16"/>
  <c r="BJ157" i="16"/>
  <c r="BK157" i="16"/>
  <c r="BL157" i="16"/>
  <c r="BM157" i="16"/>
  <c r="BN157" i="16"/>
  <c r="BO157" i="16"/>
  <c r="BP157" i="16"/>
  <c r="AA158" i="16"/>
  <c r="AB158" i="16"/>
  <c r="AC158" i="16"/>
  <c r="AD158" i="16"/>
  <c r="AE158" i="16"/>
  <c r="AF158" i="16"/>
  <c r="AG158" i="16"/>
  <c r="AH158" i="16"/>
  <c r="AZ158" i="16"/>
  <c r="BA158" i="16"/>
  <c r="BB158" i="16"/>
  <c r="BC158" i="16"/>
  <c r="BD158" i="16"/>
  <c r="BE158" i="16"/>
  <c r="BF158" i="16"/>
  <c r="BG158" i="16"/>
  <c r="BH158" i="16"/>
  <c r="BI158" i="16"/>
  <c r="BJ158" i="16"/>
  <c r="BK158" i="16"/>
  <c r="BL158" i="16"/>
  <c r="BM158" i="16"/>
  <c r="BN158" i="16"/>
  <c r="BO158" i="16"/>
  <c r="BP158" i="16"/>
  <c r="AA159" i="16"/>
  <c r="AB159" i="16"/>
  <c r="AC159" i="16"/>
  <c r="AD159" i="16"/>
  <c r="AE159" i="16"/>
  <c r="AF159" i="16"/>
  <c r="AG159" i="16"/>
  <c r="AH159" i="16"/>
  <c r="AX159" i="16"/>
  <c r="AY159" i="16"/>
  <c r="AZ159" i="16"/>
  <c r="BA159" i="16"/>
  <c r="BB159" i="16"/>
  <c r="BC159" i="16"/>
  <c r="BD159" i="16"/>
  <c r="BE159" i="16"/>
  <c r="BF159" i="16"/>
  <c r="BG159" i="16"/>
  <c r="BH159" i="16"/>
  <c r="BI159" i="16"/>
  <c r="BJ159" i="16"/>
  <c r="BK159" i="16"/>
  <c r="BL159" i="16"/>
  <c r="BM159" i="16"/>
  <c r="BN159" i="16"/>
  <c r="BO159" i="16"/>
  <c r="BP159" i="16"/>
  <c r="AA160" i="16"/>
  <c r="AB160" i="16"/>
  <c r="AC160" i="16"/>
  <c r="AD160" i="16"/>
  <c r="AE160" i="16"/>
  <c r="AF160" i="16"/>
  <c r="AG160" i="16"/>
  <c r="AH160" i="16"/>
  <c r="AI160" i="16"/>
  <c r="AJ160" i="16"/>
  <c r="AK160" i="16"/>
  <c r="AL160" i="16"/>
  <c r="BK160" i="16"/>
  <c r="BL160" i="16"/>
  <c r="BM160" i="16"/>
  <c r="BN160" i="16"/>
  <c r="BO160" i="16"/>
  <c r="BP160" i="16"/>
  <c r="AA161" i="16"/>
  <c r="AB161" i="16"/>
  <c r="AC161" i="16"/>
  <c r="AD161" i="16"/>
  <c r="AE161" i="16"/>
  <c r="AF161" i="16"/>
  <c r="AG161" i="16"/>
  <c r="AH161" i="16"/>
  <c r="BP161" i="16"/>
  <c r="AA162" i="16"/>
  <c r="AB162" i="16"/>
  <c r="AC162" i="16"/>
  <c r="AD162" i="16"/>
  <c r="AE162" i="16"/>
  <c r="AF162" i="16"/>
  <c r="AG162" i="16"/>
  <c r="AH162" i="16"/>
  <c r="BI162" i="16"/>
  <c r="BJ162" i="16"/>
  <c r="BK162" i="16"/>
  <c r="BL162" i="16"/>
  <c r="BM162" i="16"/>
  <c r="BN162" i="16"/>
  <c r="BO162" i="16"/>
  <c r="BP162" i="16"/>
  <c r="AA163" i="16"/>
  <c r="AB163" i="16"/>
  <c r="AC163" i="16"/>
  <c r="AD163" i="16"/>
  <c r="AE163" i="16"/>
  <c r="AF163" i="16"/>
  <c r="AG163" i="16"/>
  <c r="AH163" i="16"/>
  <c r="AI163" i="16"/>
  <c r="AJ163" i="16"/>
  <c r="AK163" i="16"/>
  <c r="AL163" i="16"/>
  <c r="BM163" i="16"/>
  <c r="BN163" i="16"/>
  <c r="BO163" i="16"/>
  <c r="BP163" i="16"/>
  <c r="AA164" i="16"/>
  <c r="AB164" i="16"/>
  <c r="AC164" i="16"/>
  <c r="AD164" i="16"/>
  <c r="AE164" i="16"/>
  <c r="AF164" i="16"/>
  <c r="AG164" i="16"/>
  <c r="AH164" i="16"/>
  <c r="AI164" i="16"/>
  <c r="BI164" i="16"/>
  <c r="BJ164" i="16"/>
  <c r="BK164" i="16"/>
  <c r="BL164" i="16"/>
  <c r="BM164" i="16"/>
  <c r="BN164" i="16"/>
  <c r="BO164" i="16"/>
  <c r="BP164" i="16"/>
  <c r="AA165" i="16"/>
  <c r="AB165" i="16"/>
  <c r="AC165" i="16"/>
  <c r="AD165" i="16"/>
  <c r="AE165" i="16"/>
  <c r="AF165" i="16"/>
  <c r="AG165" i="16"/>
  <c r="AH165" i="16"/>
  <c r="AI165" i="16"/>
  <c r="BI165" i="16"/>
  <c r="BJ165" i="16"/>
  <c r="BK165" i="16"/>
  <c r="BL165" i="16"/>
  <c r="BM165" i="16"/>
  <c r="BN165" i="16"/>
  <c r="BO165" i="16"/>
  <c r="BP165" i="16"/>
  <c r="AA166" i="16"/>
  <c r="AB166" i="16"/>
  <c r="AC166" i="16"/>
  <c r="AD166" i="16"/>
  <c r="AE166" i="16"/>
  <c r="AF166" i="16"/>
  <c r="AG166" i="16"/>
  <c r="AH166" i="16"/>
  <c r="AI166" i="16"/>
  <c r="BI166" i="16"/>
  <c r="BJ166" i="16"/>
  <c r="BK166" i="16"/>
  <c r="BL166" i="16"/>
  <c r="BM166" i="16"/>
  <c r="BN166" i="16"/>
  <c r="BO166" i="16"/>
  <c r="BP166" i="16"/>
  <c r="AA167" i="16"/>
  <c r="AB167" i="16"/>
  <c r="AY167" i="16"/>
  <c r="AZ167" i="16"/>
  <c r="BA167" i="16"/>
  <c r="BB167" i="16"/>
  <c r="BC167" i="16"/>
  <c r="BD167" i="16"/>
  <c r="BE167" i="16"/>
  <c r="BF167" i="16"/>
  <c r="BG167" i="16"/>
  <c r="BH167" i="16"/>
  <c r="BI167" i="16"/>
  <c r="BJ167" i="16"/>
  <c r="BK167" i="16"/>
  <c r="BL167" i="16"/>
  <c r="BM167" i="16"/>
  <c r="BN167" i="16"/>
  <c r="BO167" i="16"/>
  <c r="BP167" i="16"/>
  <c r="AA168" i="16"/>
  <c r="AB168" i="16"/>
  <c r="AC168" i="16"/>
  <c r="AX168" i="16"/>
  <c r="AY168" i="16"/>
  <c r="AZ168" i="16"/>
  <c r="BA168" i="16"/>
  <c r="BB168" i="16"/>
  <c r="BC168" i="16"/>
  <c r="BD168" i="16"/>
  <c r="BE168" i="16"/>
  <c r="BF168" i="16"/>
  <c r="BG168" i="16"/>
  <c r="BH168" i="16"/>
  <c r="BI168" i="16"/>
  <c r="BJ168" i="16"/>
  <c r="BK168" i="16"/>
  <c r="BL168" i="16"/>
  <c r="BM168" i="16"/>
  <c r="BN168" i="16"/>
  <c r="BO168" i="16"/>
  <c r="BP168" i="16"/>
  <c r="AA169" i="16"/>
  <c r="AB169" i="16"/>
  <c r="AC169" i="16"/>
  <c r="AD169" i="16"/>
  <c r="AZ169" i="16"/>
  <c r="BA169" i="16"/>
  <c r="BB169" i="16"/>
  <c r="BC169" i="16"/>
  <c r="BD169" i="16"/>
  <c r="BE169" i="16"/>
  <c r="BF169" i="16"/>
  <c r="BG169" i="16"/>
  <c r="BH169" i="16"/>
  <c r="BI169" i="16"/>
  <c r="BJ169" i="16"/>
  <c r="BK169" i="16"/>
  <c r="BL169" i="16"/>
  <c r="BM169" i="16"/>
  <c r="BN169" i="16"/>
  <c r="BO169" i="16"/>
  <c r="BP169" i="16"/>
  <c r="AA170" i="16"/>
  <c r="AB170" i="16"/>
  <c r="AC170" i="16"/>
  <c r="AD170" i="16"/>
  <c r="AE170" i="16"/>
  <c r="AF170" i="16"/>
  <c r="AG170" i="16"/>
  <c r="BB170" i="16"/>
  <c r="BC170" i="16"/>
  <c r="BD170" i="16"/>
  <c r="BE170" i="16"/>
  <c r="BF170" i="16"/>
  <c r="BG170" i="16"/>
  <c r="BH170" i="16"/>
  <c r="BI170" i="16"/>
  <c r="BJ170" i="16"/>
  <c r="BK170" i="16"/>
  <c r="BL170" i="16"/>
  <c r="BM170" i="16"/>
  <c r="BN170" i="16"/>
  <c r="BO170" i="16"/>
  <c r="BP170" i="16"/>
  <c r="AA171" i="16"/>
  <c r="AB171" i="16"/>
  <c r="AC171" i="16"/>
  <c r="AD171" i="16"/>
  <c r="AE171" i="16"/>
  <c r="AF171" i="16"/>
  <c r="AG171" i="16"/>
  <c r="BB171" i="16"/>
  <c r="BC171" i="16"/>
  <c r="BD171" i="16"/>
  <c r="BE171" i="16"/>
  <c r="BF171" i="16"/>
  <c r="BG171" i="16"/>
  <c r="BH171" i="16"/>
  <c r="BI171" i="16"/>
  <c r="BJ171" i="16"/>
  <c r="BK171" i="16"/>
  <c r="BL171" i="16"/>
  <c r="BM171" i="16"/>
  <c r="BN171" i="16"/>
  <c r="BO171" i="16"/>
  <c r="BP171" i="16"/>
  <c r="AA172" i="16"/>
  <c r="AB172" i="16"/>
  <c r="BI172" i="16"/>
  <c r="BJ172" i="16"/>
  <c r="BK172" i="16"/>
  <c r="BL172" i="16"/>
  <c r="BM172" i="16"/>
  <c r="BN172" i="16"/>
  <c r="BO172" i="16"/>
  <c r="BP172" i="16"/>
  <c r="AA173" i="16"/>
  <c r="AV173" i="16"/>
  <c r="AW173" i="16"/>
  <c r="AX173" i="16"/>
  <c r="AY173" i="16"/>
  <c r="AZ173" i="16"/>
  <c r="BA173" i="16"/>
  <c r="BB173" i="16"/>
  <c r="BC173" i="16"/>
  <c r="BD173" i="16"/>
  <c r="BE173" i="16"/>
  <c r="BF173" i="16"/>
  <c r="BG173" i="16"/>
  <c r="BH173" i="16"/>
  <c r="BI173" i="16"/>
  <c r="BJ173" i="16"/>
  <c r="BK173" i="16"/>
  <c r="BL173" i="16"/>
  <c r="BM173" i="16"/>
  <c r="BN173" i="16"/>
  <c r="BO173" i="16"/>
  <c r="BP173" i="16"/>
  <c r="AA174" i="16"/>
  <c r="AB174" i="16"/>
  <c r="AC174" i="16"/>
  <c r="AD174" i="16"/>
  <c r="AE174" i="16"/>
  <c r="AF174" i="16"/>
  <c r="AG174" i="16"/>
  <c r="AH174" i="16"/>
  <c r="AI174" i="16"/>
  <c r="AJ174" i="16"/>
  <c r="BF174" i="16"/>
  <c r="BG174" i="16"/>
  <c r="BH174" i="16"/>
  <c r="BI174" i="16"/>
  <c r="BJ174" i="16"/>
  <c r="BK174" i="16"/>
  <c r="BL174" i="16"/>
  <c r="BM174" i="16"/>
  <c r="BN174" i="16"/>
  <c r="BO174" i="16"/>
  <c r="BP174" i="16"/>
  <c r="AA175" i="16"/>
  <c r="AB175" i="16"/>
  <c r="AC175" i="16"/>
  <c r="AD175" i="16"/>
  <c r="AE175" i="16"/>
  <c r="AF175" i="16"/>
  <c r="AG175" i="16"/>
  <c r="AH175" i="16"/>
  <c r="AI175" i="16"/>
  <c r="AJ175" i="16"/>
  <c r="BK175" i="16"/>
  <c r="BL175" i="16"/>
  <c r="BM175" i="16"/>
  <c r="BN175" i="16"/>
  <c r="BO175" i="16"/>
  <c r="BP175" i="16"/>
  <c r="AA176" i="16"/>
  <c r="AB176" i="16"/>
  <c r="AC176" i="16"/>
  <c r="AD176" i="16"/>
  <c r="AE176" i="16"/>
  <c r="AF176" i="16"/>
  <c r="BH176" i="16"/>
  <c r="BI176" i="16"/>
  <c r="BJ176" i="16"/>
  <c r="BK176" i="16"/>
  <c r="BL176" i="16"/>
  <c r="BM176" i="16"/>
  <c r="BN176" i="16"/>
  <c r="BO176" i="16"/>
  <c r="BP176" i="16"/>
  <c r="AA177" i="16"/>
  <c r="AB177" i="16"/>
  <c r="AC177" i="16"/>
  <c r="AD177" i="16"/>
  <c r="AE177" i="16"/>
  <c r="AF177" i="16"/>
  <c r="BN177" i="16"/>
  <c r="BO177" i="16"/>
  <c r="BP177" i="16"/>
  <c r="AA178" i="16"/>
  <c r="AB178" i="16"/>
  <c r="AW178" i="16"/>
  <c r="AX178" i="16"/>
  <c r="AY178" i="16"/>
  <c r="AZ178" i="16"/>
  <c r="BA178" i="16"/>
  <c r="BB178" i="16"/>
  <c r="BC178" i="16"/>
  <c r="BD178" i="16"/>
  <c r="BE178" i="16"/>
  <c r="BF178" i="16"/>
  <c r="BG178" i="16"/>
  <c r="BH178" i="16"/>
  <c r="BI178" i="16"/>
  <c r="BJ178" i="16"/>
  <c r="BK178" i="16"/>
  <c r="BL178" i="16"/>
  <c r="BM178" i="16"/>
  <c r="BN178" i="16"/>
  <c r="BO178" i="16"/>
  <c r="BP178" i="16"/>
  <c r="AA179" i="16"/>
  <c r="AB179" i="16"/>
  <c r="AC179" i="16"/>
  <c r="AD179" i="16"/>
  <c r="AE179" i="16"/>
  <c r="AF179" i="16"/>
  <c r="AG179" i="16"/>
  <c r="AH179" i="16"/>
  <c r="AI179" i="16"/>
  <c r="AT179" i="16"/>
  <c r="AU179" i="16"/>
  <c r="AV179" i="16"/>
  <c r="AW179" i="16"/>
  <c r="AX179" i="16"/>
  <c r="AY179" i="16"/>
  <c r="AZ179" i="16"/>
  <c r="BA179" i="16"/>
  <c r="BB179" i="16"/>
  <c r="BC179" i="16"/>
  <c r="BD179" i="16"/>
  <c r="BE179" i="16"/>
  <c r="BF179" i="16"/>
  <c r="BG179" i="16"/>
  <c r="BH179" i="16"/>
  <c r="BI179" i="16"/>
  <c r="BJ179" i="16"/>
  <c r="BK179" i="16"/>
  <c r="BL179" i="16"/>
  <c r="BM179" i="16"/>
  <c r="BN179" i="16"/>
  <c r="BO179" i="16"/>
  <c r="BP179" i="16"/>
  <c r="AA180" i="16"/>
  <c r="AB180" i="16"/>
  <c r="AW180" i="16"/>
  <c r="AX180" i="16"/>
  <c r="AY180" i="16"/>
  <c r="AZ180" i="16"/>
  <c r="BA180" i="16"/>
  <c r="BB180" i="16"/>
  <c r="BC180" i="16"/>
  <c r="BD180" i="16"/>
  <c r="BE180" i="16"/>
  <c r="BF180" i="16"/>
  <c r="BG180" i="16"/>
  <c r="BH180" i="16"/>
  <c r="BI180" i="16"/>
  <c r="BJ180" i="16"/>
  <c r="BK180" i="16"/>
  <c r="BL180" i="16"/>
  <c r="BM180" i="16"/>
  <c r="BN180" i="16"/>
  <c r="BO180" i="16"/>
  <c r="BP180" i="16"/>
  <c r="AA181" i="16"/>
  <c r="AB181" i="16"/>
  <c r="AW181" i="16"/>
  <c r="AX181" i="16"/>
  <c r="AY181" i="16"/>
  <c r="AZ181" i="16"/>
  <c r="BA181" i="16"/>
  <c r="BB181" i="16"/>
  <c r="BC181" i="16"/>
  <c r="BD181" i="16"/>
  <c r="BE181" i="16"/>
  <c r="BF181" i="16"/>
  <c r="BG181" i="16"/>
  <c r="BH181" i="16"/>
  <c r="BI181" i="16"/>
  <c r="BJ181" i="16"/>
  <c r="BK181" i="16"/>
  <c r="BL181" i="16"/>
  <c r="BM181" i="16"/>
  <c r="BN181" i="16"/>
  <c r="BO181" i="16"/>
  <c r="BP181" i="16"/>
  <c r="AA182" i="16"/>
  <c r="AB182" i="16"/>
  <c r="BC182" i="16"/>
  <c r="BD182" i="16"/>
  <c r="BE182" i="16"/>
  <c r="BF182" i="16"/>
  <c r="BG182" i="16"/>
  <c r="BH182" i="16"/>
  <c r="BI182" i="16"/>
  <c r="BJ182" i="16"/>
  <c r="BK182" i="16"/>
  <c r="BL182" i="16"/>
  <c r="BM182" i="16"/>
  <c r="BN182" i="16"/>
  <c r="BO182" i="16"/>
  <c r="BP182" i="16"/>
  <c r="AA183" i="16"/>
  <c r="AB183" i="16"/>
  <c r="AC183" i="16"/>
  <c r="AD183" i="16"/>
  <c r="AE183" i="16"/>
  <c r="AF183" i="16"/>
  <c r="AT183" i="16"/>
  <c r="AU183" i="16"/>
  <c r="AV183" i="16"/>
  <c r="AW183" i="16"/>
  <c r="AX183" i="16"/>
  <c r="AY183" i="16"/>
  <c r="AZ183" i="16"/>
  <c r="BA183" i="16"/>
  <c r="BB183" i="16"/>
  <c r="BC183" i="16"/>
  <c r="BD183" i="16"/>
  <c r="BE183" i="16"/>
  <c r="BF183" i="16"/>
  <c r="BG183" i="16"/>
  <c r="BH183" i="16"/>
  <c r="BI183" i="16"/>
  <c r="BJ183" i="16"/>
  <c r="BK183" i="16"/>
  <c r="BL183" i="16"/>
  <c r="BM183" i="16"/>
  <c r="BN183" i="16"/>
  <c r="BO183" i="16"/>
  <c r="BP183" i="16"/>
  <c r="BA184" i="16"/>
  <c r="BB184" i="16"/>
  <c r="BC184" i="16"/>
  <c r="BD184" i="16"/>
  <c r="BE184" i="16"/>
  <c r="BF184" i="16"/>
  <c r="BG184" i="16"/>
  <c r="BH184" i="16"/>
  <c r="BI184" i="16"/>
  <c r="BJ184" i="16"/>
  <c r="BK184" i="16"/>
  <c r="BL184" i="16"/>
  <c r="BM184" i="16"/>
  <c r="BN184" i="16"/>
  <c r="BO184" i="16"/>
  <c r="BP184" i="16"/>
  <c r="BA185" i="16"/>
  <c r="BB185" i="16"/>
  <c r="BC185" i="16"/>
  <c r="BD185" i="16"/>
  <c r="BE185" i="16"/>
  <c r="BF185" i="16"/>
  <c r="BG185" i="16"/>
  <c r="BH185" i="16"/>
  <c r="BI185" i="16"/>
  <c r="BJ185" i="16"/>
  <c r="BK185" i="16"/>
  <c r="BL185" i="16"/>
  <c r="BM185" i="16"/>
  <c r="BN185" i="16"/>
  <c r="BO185" i="16"/>
  <c r="BP185" i="16"/>
  <c r="AU186" i="16"/>
  <c r="AV186" i="16"/>
  <c r="AW186" i="16"/>
  <c r="AX186" i="16"/>
  <c r="AY186" i="16"/>
  <c r="AZ186" i="16"/>
  <c r="BA186" i="16"/>
  <c r="BB186" i="16"/>
  <c r="BC186" i="16"/>
  <c r="BD186" i="16"/>
  <c r="BE186" i="16"/>
  <c r="BF186" i="16"/>
  <c r="BG186" i="16"/>
  <c r="BH186" i="16"/>
  <c r="BI186" i="16"/>
  <c r="BJ186" i="16"/>
  <c r="BK186" i="16"/>
  <c r="BL186" i="16"/>
  <c r="BM186" i="16"/>
  <c r="BN186" i="16"/>
  <c r="BO186" i="16"/>
  <c r="BP186" i="16"/>
  <c r="AA187" i="16"/>
  <c r="AB187" i="16"/>
  <c r="AX187" i="16"/>
  <c r="AY187" i="16"/>
  <c r="AZ187" i="16"/>
  <c r="BA187" i="16"/>
  <c r="BB187" i="16"/>
  <c r="BC187" i="16"/>
  <c r="BD187" i="16"/>
  <c r="BE187" i="16"/>
  <c r="BF187" i="16"/>
  <c r="BG187" i="16"/>
  <c r="BH187" i="16"/>
  <c r="BI187" i="16"/>
  <c r="BJ187" i="16"/>
  <c r="BK187" i="16"/>
  <c r="BL187" i="16"/>
  <c r="BM187" i="16"/>
  <c r="BN187" i="16"/>
  <c r="BO187" i="16"/>
  <c r="BP187" i="16"/>
  <c r="AA188" i="16"/>
  <c r="AB188" i="16"/>
  <c r="BC188" i="16"/>
  <c r="BD188" i="16"/>
  <c r="BE188" i="16"/>
  <c r="BF188" i="16"/>
  <c r="BG188" i="16"/>
  <c r="BH188" i="16"/>
  <c r="BI188" i="16"/>
  <c r="BJ188" i="16"/>
  <c r="BK188" i="16"/>
  <c r="BL188" i="16"/>
  <c r="BM188" i="16"/>
  <c r="BN188" i="16"/>
  <c r="BO188" i="16"/>
  <c r="BP188" i="16"/>
  <c r="AA189" i="16"/>
  <c r="AB189" i="16"/>
  <c r="AC189" i="16"/>
  <c r="AD189" i="16"/>
  <c r="AE189" i="16"/>
  <c r="AF189" i="16"/>
  <c r="BL189" i="16"/>
  <c r="BM189" i="16"/>
  <c r="BN189" i="16"/>
  <c r="BO189" i="16"/>
  <c r="BP189" i="16"/>
  <c r="AA190" i="16"/>
  <c r="AB190" i="16"/>
  <c r="AC190" i="16"/>
  <c r="AD190" i="16"/>
  <c r="AE190" i="16"/>
  <c r="AF190" i="16"/>
  <c r="AG190" i="16"/>
  <c r="AH190" i="16"/>
  <c r="AI190" i="16"/>
  <c r="AJ190" i="16"/>
  <c r="AK190" i="16"/>
  <c r="AL190" i="16"/>
  <c r="AM190" i="16"/>
  <c r="AA191" i="16"/>
  <c r="AB191" i="16"/>
  <c r="AC191" i="16"/>
  <c r="AD191" i="16"/>
  <c r="AE191" i="16"/>
  <c r="AF191" i="16"/>
  <c r="AG191" i="16"/>
  <c r="AH191" i="16"/>
  <c r="BN191" i="16"/>
  <c r="BO191" i="16"/>
  <c r="BP191" i="16"/>
  <c r="BP192" i="16"/>
  <c r="BP193" i="16"/>
  <c r="BF194" i="16"/>
  <c r="BG194" i="16"/>
  <c r="BH194" i="16"/>
  <c r="BI194" i="16"/>
  <c r="BJ194" i="16"/>
  <c r="BK194" i="16"/>
  <c r="BL194" i="16"/>
  <c r="BM194" i="16"/>
  <c r="BN194" i="16"/>
  <c r="BO194" i="16"/>
  <c r="BP194" i="16"/>
  <c r="AY195" i="16"/>
  <c r="AZ195" i="16"/>
  <c r="BA195" i="16"/>
  <c r="BB195" i="16"/>
  <c r="BC195" i="16"/>
  <c r="BD195" i="16"/>
  <c r="BE195" i="16"/>
  <c r="BF195" i="16"/>
  <c r="BG195" i="16"/>
  <c r="BH195" i="16"/>
  <c r="BI195" i="16"/>
  <c r="BJ195" i="16"/>
  <c r="BK195" i="16"/>
  <c r="BL195" i="16"/>
  <c r="BM195" i="16"/>
  <c r="BN195" i="16"/>
  <c r="BO195" i="16"/>
  <c r="BP195" i="16"/>
  <c r="BC196" i="16"/>
  <c r="BD196" i="16"/>
  <c r="BE196" i="16"/>
  <c r="BF196" i="16"/>
  <c r="BG196" i="16"/>
  <c r="BH196" i="16"/>
  <c r="BI196" i="16"/>
  <c r="BJ196" i="16"/>
  <c r="BK196" i="16"/>
  <c r="BL196" i="16"/>
  <c r="BM196" i="16"/>
  <c r="BN196" i="16"/>
  <c r="BO196" i="16"/>
  <c r="BP196" i="16"/>
  <c r="BA197" i="16"/>
  <c r="BB197" i="16"/>
  <c r="BC197" i="16"/>
  <c r="BD197" i="16"/>
  <c r="BE197" i="16"/>
  <c r="BF197" i="16"/>
  <c r="BG197" i="16"/>
  <c r="BH197" i="16"/>
  <c r="BI197" i="16"/>
  <c r="BJ197" i="16"/>
  <c r="BK197" i="16"/>
  <c r="BL197" i="16"/>
  <c r="BM197" i="16"/>
  <c r="BN197" i="16"/>
  <c r="BO197" i="16"/>
  <c r="BP197" i="16"/>
  <c r="AN198" i="16"/>
  <c r="AO198" i="16"/>
  <c r="AP198" i="16"/>
  <c r="AQ198" i="16"/>
  <c r="AR198" i="16"/>
  <c r="AS198" i="16"/>
  <c r="AT198" i="16"/>
  <c r="AU198" i="16"/>
  <c r="AV198" i="16"/>
  <c r="AW198" i="16"/>
  <c r="AX198" i="16"/>
  <c r="AY198" i="16"/>
  <c r="AZ198" i="16"/>
  <c r="BA198" i="16"/>
  <c r="BB198" i="16"/>
  <c r="BC198" i="16"/>
  <c r="BD198" i="16"/>
  <c r="BE198" i="16"/>
  <c r="BF198" i="16"/>
  <c r="BG198" i="16"/>
  <c r="BH198" i="16"/>
  <c r="BI198" i="16"/>
  <c r="BJ198" i="16"/>
  <c r="BK198" i="16"/>
  <c r="BL198" i="16"/>
  <c r="BM198" i="16"/>
  <c r="BN198" i="16"/>
  <c r="BO198" i="16"/>
  <c r="BP198" i="16"/>
  <c r="BA199" i="16"/>
  <c r="BB199" i="16"/>
  <c r="BC199" i="16"/>
  <c r="BD199" i="16"/>
  <c r="BE199" i="16"/>
  <c r="BF199" i="16"/>
  <c r="BG199" i="16"/>
  <c r="BH199" i="16"/>
  <c r="BI199" i="16"/>
  <c r="BJ199" i="16"/>
  <c r="BK199" i="16"/>
  <c r="BL199" i="16"/>
  <c r="BM199" i="16"/>
  <c r="BN199" i="16"/>
  <c r="BO199" i="16"/>
  <c r="BP199" i="16"/>
  <c r="AH200" i="16"/>
  <c r="AI200" i="16"/>
  <c r="AJ200" i="16"/>
  <c r="AK200" i="16"/>
  <c r="AL200" i="16"/>
  <c r="AM200" i="16"/>
  <c r="AN200" i="16"/>
  <c r="AO200" i="16"/>
  <c r="AP200" i="16"/>
  <c r="AQ200" i="16"/>
  <c r="AR200" i="16"/>
  <c r="AS200" i="16"/>
  <c r="AT200" i="16"/>
  <c r="AU200" i="16"/>
  <c r="AV200" i="16"/>
  <c r="AW200" i="16"/>
  <c r="AX200" i="16"/>
  <c r="AY200" i="16"/>
  <c r="AZ200" i="16"/>
  <c r="BA200" i="16"/>
  <c r="BB200" i="16"/>
  <c r="BC200" i="16"/>
  <c r="BD200" i="16"/>
  <c r="BE200" i="16"/>
  <c r="BF200" i="16"/>
  <c r="BG200" i="16"/>
  <c r="BH200" i="16"/>
  <c r="BI200" i="16"/>
  <c r="BJ200" i="16"/>
  <c r="BK200" i="16"/>
  <c r="BL200" i="16"/>
  <c r="BM200" i="16"/>
  <c r="BN200" i="16"/>
  <c r="BO200" i="16"/>
  <c r="BP200" i="16"/>
  <c r="BP201" i="16"/>
  <c r="BB204" i="16"/>
  <c r="BC204" i="16"/>
  <c r="BD204" i="16"/>
  <c r="BE204" i="16"/>
  <c r="BF204" i="16"/>
  <c r="BG204" i="16"/>
  <c r="BH204" i="16"/>
  <c r="BI204" i="16"/>
  <c r="BJ204" i="16"/>
  <c r="BK204" i="16"/>
  <c r="BL204" i="16"/>
  <c r="BM204" i="16"/>
  <c r="BN204" i="16"/>
  <c r="BO204" i="16"/>
  <c r="BP204" i="16"/>
  <c r="BA205" i="16"/>
  <c r="BB205" i="16"/>
  <c r="BC205" i="16"/>
  <c r="BD205" i="16"/>
  <c r="BE205" i="16"/>
  <c r="BF205" i="16"/>
  <c r="BG205" i="16"/>
  <c r="BH205" i="16"/>
  <c r="BI205" i="16"/>
  <c r="BJ205" i="16"/>
  <c r="BK205" i="16"/>
  <c r="BL205" i="16"/>
  <c r="BM205" i="16"/>
  <c r="BN205" i="16"/>
  <c r="BO205" i="16"/>
  <c r="BP205" i="16"/>
  <c r="BP207" i="16"/>
  <c r="AA208" i="16"/>
  <c r="AB208" i="16"/>
  <c r="AC208" i="16"/>
  <c r="AW208" i="16"/>
  <c r="AX208" i="16"/>
  <c r="AY208" i="16"/>
  <c r="AZ208" i="16"/>
  <c r="BA208" i="16"/>
  <c r="BB208" i="16"/>
  <c r="BC208" i="16"/>
  <c r="BD208" i="16"/>
  <c r="BE208" i="16"/>
  <c r="BF208" i="16"/>
  <c r="BG208" i="16"/>
  <c r="BH208" i="16"/>
  <c r="BI208" i="16"/>
  <c r="BJ208" i="16"/>
  <c r="BK208" i="16"/>
  <c r="BL208" i="16"/>
  <c r="BM208" i="16"/>
  <c r="BN208" i="16"/>
  <c r="BO208" i="16"/>
  <c r="BP208" i="16"/>
  <c r="AA209" i="16"/>
  <c r="AB209" i="16"/>
  <c r="AC209" i="16"/>
  <c r="AD209" i="16"/>
  <c r="AE209" i="16"/>
  <c r="AF209" i="16"/>
  <c r="AA210" i="16"/>
  <c r="AB210" i="16"/>
  <c r="AC210" i="16"/>
  <c r="AD210" i="16"/>
  <c r="AE210" i="16"/>
  <c r="AF210" i="16"/>
  <c r="AA211" i="16"/>
  <c r="AB211" i="16"/>
  <c r="AC211" i="16"/>
  <c r="AD211" i="16"/>
  <c r="AE211" i="16"/>
  <c r="AF211" i="16"/>
  <c r="BN211" i="16"/>
  <c r="BO211" i="16"/>
  <c r="BP211" i="16"/>
  <c r="AA212" i="16"/>
  <c r="AB212" i="16"/>
  <c r="AC212" i="16"/>
  <c r="AD212" i="16"/>
  <c r="AE212" i="16"/>
  <c r="AF212" i="16"/>
  <c r="AG212" i="16"/>
  <c r="AH212" i="16"/>
  <c r="AI212" i="16"/>
  <c r="BH212" i="16"/>
  <c r="BI212" i="16"/>
  <c r="BJ212" i="16"/>
  <c r="BK212" i="16"/>
  <c r="BL212" i="16"/>
  <c r="BM212" i="16"/>
  <c r="BN212" i="16"/>
  <c r="BO212" i="16"/>
  <c r="BP212" i="16"/>
  <c r="AA213" i="16"/>
  <c r="AB213" i="16"/>
  <c r="AC213" i="16"/>
  <c r="AD213" i="16"/>
  <c r="AE213" i="16"/>
  <c r="AF213" i="16"/>
  <c r="AG213" i="16"/>
  <c r="AH213" i="16"/>
  <c r="AI213" i="16"/>
  <c r="BI213" i="16"/>
  <c r="BJ213" i="16"/>
  <c r="BK213" i="16"/>
  <c r="BL213" i="16"/>
  <c r="BM213" i="16"/>
  <c r="BN213" i="16"/>
  <c r="BO213" i="16"/>
  <c r="BP213" i="16"/>
  <c r="AA214" i="16"/>
  <c r="AB214" i="16"/>
  <c r="AC214" i="16"/>
  <c r="AD214" i="16"/>
  <c r="AE214" i="16"/>
  <c r="AF214" i="16"/>
  <c r="AG214" i="16"/>
  <c r="AH214" i="16"/>
  <c r="AI214" i="16"/>
  <c r="AA215" i="16"/>
  <c r="AB215" i="16"/>
  <c r="AC215" i="16"/>
  <c r="AD215" i="16"/>
  <c r="AE215" i="16"/>
  <c r="AF215" i="16"/>
  <c r="AG215" i="16"/>
  <c r="AH215" i="16"/>
  <c r="AI215" i="16"/>
  <c r="AJ215" i="16"/>
  <c r="AK215" i="16"/>
  <c r="AL215" i="16"/>
  <c r="AM215" i="16"/>
  <c r="BM215" i="16"/>
  <c r="BN215" i="16"/>
  <c r="BO215" i="16"/>
  <c r="BP215" i="16"/>
  <c r="AA216" i="16"/>
  <c r="AB216" i="16"/>
  <c r="AC216" i="16"/>
  <c r="AD216" i="16"/>
  <c r="AE216" i="16"/>
  <c r="AF216" i="16"/>
  <c r="AG216" i="16"/>
  <c r="AH216" i="16"/>
  <c r="AI216" i="16"/>
  <c r="AJ216" i="16"/>
  <c r="AK216" i="16"/>
  <c r="AL216" i="16"/>
  <c r="AM216" i="16"/>
  <c r="BM216" i="16"/>
  <c r="BN216" i="16"/>
  <c r="BO216" i="16"/>
  <c r="BP216" i="16"/>
  <c r="AA217" i="16"/>
  <c r="AB217" i="16"/>
  <c r="AC217" i="16"/>
  <c r="AD217" i="16"/>
  <c r="AE217" i="16"/>
  <c r="AF217" i="16"/>
  <c r="AG217" i="16"/>
  <c r="AH217" i="16"/>
  <c r="AI217" i="16"/>
  <c r="AJ217" i="16"/>
  <c r="AK217" i="16"/>
  <c r="AL217" i="16"/>
  <c r="AM217" i="16"/>
  <c r="BM217" i="16"/>
  <c r="BN217" i="16"/>
  <c r="BO217" i="16"/>
  <c r="BP217" i="16"/>
  <c r="AA218" i="16"/>
  <c r="AB218" i="16"/>
  <c r="AC218" i="16"/>
  <c r="AD218" i="16"/>
  <c r="AE218" i="16"/>
  <c r="AF218" i="16"/>
  <c r="AG218" i="16"/>
  <c r="AH218" i="16"/>
  <c r="AI218" i="16"/>
  <c r="AJ218" i="16"/>
  <c r="AK218" i="16"/>
  <c r="AL218" i="16"/>
  <c r="AM218" i="16"/>
  <c r="BM218" i="16"/>
  <c r="BN218" i="16"/>
  <c r="BO218" i="16"/>
  <c r="BP218" i="16"/>
  <c r="AA219" i="16"/>
  <c r="AB219" i="16"/>
  <c r="AC219" i="16"/>
  <c r="AD219" i="16"/>
  <c r="AE219" i="16"/>
  <c r="AF219" i="16"/>
  <c r="AG219" i="16"/>
  <c r="AH219" i="16"/>
  <c r="BI219" i="16"/>
  <c r="BJ219" i="16"/>
  <c r="BK219" i="16"/>
  <c r="BL219" i="16"/>
  <c r="BM219" i="16"/>
  <c r="BN219" i="16"/>
  <c r="BO219" i="16"/>
  <c r="BP219" i="16"/>
  <c r="AA220" i="16"/>
  <c r="AB220" i="16"/>
  <c r="AC220" i="16"/>
  <c r="AD220" i="16"/>
  <c r="AE220" i="16"/>
  <c r="AF220" i="16"/>
  <c r="AG220" i="16"/>
  <c r="AH220" i="16"/>
  <c r="BI220" i="16"/>
  <c r="BJ220" i="16"/>
  <c r="BK220" i="16"/>
  <c r="BL220" i="16"/>
  <c r="BM220" i="16"/>
  <c r="BN220" i="16"/>
  <c r="BO220" i="16"/>
  <c r="BP220" i="16"/>
  <c r="AA221" i="16"/>
  <c r="AB221" i="16"/>
  <c r="AC221" i="16"/>
  <c r="AD221" i="16"/>
  <c r="AE221" i="16"/>
  <c r="AF221" i="16"/>
  <c r="AG221" i="16"/>
  <c r="AH221" i="16"/>
  <c r="BD221" i="16"/>
  <c r="BE221" i="16"/>
  <c r="BF221" i="16"/>
  <c r="BG221" i="16"/>
  <c r="BH221" i="16"/>
  <c r="BI221" i="16"/>
  <c r="BJ221" i="16"/>
  <c r="BK221" i="16"/>
  <c r="BL221" i="16"/>
  <c r="BM221" i="16"/>
  <c r="BN221" i="16"/>
  <c r="BO221" i="16"/>
  <c r="BP221" i="16"/>
  <c r="AA222" i="16"/>
  <c r="AB222" i="16"/>
  <c r="AS222" i="16"/>
  <c r="AT222" i="16"/>
  <c r="AU222" i="16"/>
  <c r="AV222" i="16"/>
  <c r="AW222" i="16"/>
  <c r="AX222" i="16"/>
  <c r="AY222" i="16"/>
  <c r="AZ222" i="16"/>
  <c r="BA222" i="16"/>
  <c r="BB222" i="16"/>
  <c r="BC222" i="16"/>
  <c r="BD222" i="16"/>
  <c r="BE222" i="16"/>
  <c r="BF222" i="16"/>
  <c r="BG222" i="16"/>
  <c r="BH222" i="16"/>
  <c r="BI222" i="16"/>
  <c r="BJ222" i="16"/>
  <c r="BK222" i="16"/>
  <c r="BL222" i="16"/>
  <c r="BM222" i="16"/>
  <c r="BN222" i="16"/>
  <c r="BO222" i="16"/>
  <c r="BP222" i="16"/>
  <c r="AA223" i="16"/>
  <c r="AB223" i="16"/>
  <c r="AS223" i="16"/>
  <c r="AT223" i="16"/>
  <c r="AU223" i="16"/>
  <c r="AV223" i="16"/>
  <c r="AW223" i="16"/>
  <c r="AX223" i="16"/>
  <c r="AY223" i="16"/>
  <c r="AZ223" i="16"/>
  <c r="BA223" i="16"/>
  <c r="BB223" i="16"/>
  <c r="BC223" i="16"/>
  <c r="BD223" i="16"/>
  <c r="BE223" i="16"/>
  <c r="BF223" i="16"/>
  <c r="BG223" i="16"/>
  <c r="BH223" i="16"/>
  <c r="BI223" i="16"/>
  <c r="BJ223" i="16"/>
  <c r="BK223" i="16"/>
  <c r="BL223" i="16"/>
  <c r="BM223" i="16"/>
  <c r="BN223" i="16"/>
  <c r="BO223" i="16"/>
  <c r="BP223" i="16"/>
  <c r="AA224" i="16"/>
  <c r="AB224" i="16"/>
  <c r="AA225" i="16"/>
  <c r="AB225" i="16"/>
  <c r="AS225" i="16"/>
  <c r="AT225" i="16"/>
  <c r="AU225" i="16"/>
  <c r="AV225" i="16"/>
  <c r="AW225" i="16"/>
  <c r="AX225" i="16"/>
  <c r="AY225" i="16"/>
  <c r="AZ225" i="16"/>
  <c r="BA225" i="16"/>
  <c r="BB225" i="16"/>
  <c r="BC225" i="16"/>
  <c r="BD225" i="16"/>
  <c r="BE225" i="16"/>
  <c r="BF225" i="16"/>
  <c r="BG225" i="16"/>
  <c r="BH225" i="16"/>
  <c r="BI225" i="16"/>
  <c r="BJ225" i="16"/>
  <c r="BK225" i="16"/>
  <c r="BL225" i="16"/>
  <c r="BM225" i="16"/>
  <c r="BN225" i="16"/>
  <c r="BO225" i="16"/>
  <c r="BP225" i="16"/>
  <c r="AA226" i="16"/>
  <c r="AB226" i="16"/>
  <c r="AC226" i="16"/>
  <c r="AD226" i="16"/>
  <c r="AE226" i="16"/>
  <c r="AF226" i="16"/>
  <c r="AG226" i="16"/>
  <c r="AH226" i="16"/>
  <c r="AI226" i="16"/>
  <c r="AA227" i="16"/>
  <c r="AB227" i="16"/>
  <c r="AC227" i="16"/>
  <c r="AT227" i="16"/>
  <c r="AU227" i="16"/>
  <c r="AV227" i="16"/>
  <c r="AW227" i="16"/>
  <c r="AX227" i="16"/>
  <c r="AY227" i="16"/>
  <c r="AZ227" i="16"/>
  <c r="BA227" i="16"/>
  <c r="BB227" i="16"/>
  <c r="BC227" i="16"/>
  <c r="BD227" i="16"/>
  <c r="BE227" i="16"/>
  <c r="BF227" i="16"/>
  <c r="BG227" i="16"/>
  <c r="BH227" i="16"/>
  <c r="BI227" i="16"/>
  <c r="BJ227" i="16"/>
  <c r="BK227" i="16"/>
  <c r="BL227" i="16"/>
  <c r="BM227" i="16"/>
  <c r="BN227" i="16"/>
  <c r="BO227" i="16"/>
  <c r="BP227" i="16"/>
  <c r="AA228" i="16"/>
  <c r="AB228" i="16"/>
  <c r="AC228" i="16"/>
  <c r="AT228" i="16"/>
  <c r="AU228" i="16"/>
  <c r="AV228" i="16"/>
  <c r="AW228" i="16"/>
  <c r="AX228" i="16"/>
  <c r="AY228" i="16"/>
  <c r="AZ228" i="16"/>
  <c r="BA228" i="16"/>
  <c r="BB228" i="16"/>
  <c r="BC228" i="16"/>
  <c r="BD228" i="16"/>
  <c r="BE228" i="16"/>
  <c r="BF228" i="16"/>
  <c r="BG228" i="16"/>
  <c r="BH228" i="16"/>
  <c r="BI228" i="16"/>
  <c r="BJ228" i="16"/>
  <c r="BK228" i="16"/>
  <c r="BL228" i="16"/>
  <c r="BM228" i="16"/>
  <c r="BN228" i="16"/>
  <c r="BO228" i="16"/>
  <c r="BP228" i="16"/>
  <c r="AA229" i="16"/>
  <c r="AB229" i="16"/>
  <c r="AC229" i="16"/>
  <c r="AY229" i="16"/>
  <c r="AZ229" i="16"/>
  <c r="BA229" i="16"/>
  <c r="BB229" i="16"/>
  <c r="BC229" i="16"/>
  <c r="BD229" i="16"/>
  <c r="BE229" i="16"/>
  <c r="BF229" i="16"/>
  <c r="BG229" i="16"/>
  <c r="BH229" i="16"/>
  <c r="BI229" i="16"/>
  <c r="BJ229" i="16"/>
  <c r="BK229" i="16"/>
  <c r="BL229" i="16"/>
  <c r="BM229" i="16"/>
  <c r="BN229" i="16"/>
  <c r="BO229" i="16"/>
  <c r="BP229" i="16"/>
  <c r="AA230" i="16"/>
  <c r="AB230" i="16"/>
  <c r="AC230" i="16"/>
  <c r="BD230" i="16"/>
  <c r="BE230" i="16"/>
  <c r="BF230" i="16"/>
  <c r="BG230" i="16"/>
  <c r="BH230" i="16"/>
  <c r="BI230" i="16"/>
  <c r="BJ230" i="16"/>
  <c r="BK230" i="16"/>
  <c r="BL230" i="16"/>
  <c r="BM230" i="16"/>
  <c r="BN230" i="16"/>
  <c r="BO230" i="16"/>
  <c r="BP230" i="16"/>
  <c r="AA231" i="16"/>
  <c r="AB231" i="16"/>
  <c r="AC231" i="16"/>
  <c r="AD231" i="16"/>
  <c r="AE231" i="16"/>
  <c r="AF231" i="16"/>
  <c r="AG231" i="16"/>
  <c r="AH231" i="16"/>
  <c r="AI231" i="16"/>
  <c r="AJ231" i="16"/>
  <c r="AK231" i="16"/>
  <c r="AL231" i="16"/>
  <c r="AM231" i="16"/>
  <c r="AN231" i="16"/>
  <c r="AO231" i="16"/>
  <c r="AP231" i="16"/>
  <c r="AQ231" i="16"/>
  <c r="AR231" i="16"/>
  <c r="AS231" i="16"/>
  <c r="AT231" i="16"/>
  <c r="AU231" i="16"/>
  <c r="AV231" i="16"/>
  <c r="AW231" i="16"/>
  <c r="AX231" i="16"/>
  <c r="AY231" i="16"/>
  <c r="AZ231" i="16"/>
  <c r="BA231" i="16"/>
  <c r="BB231" i="16"/>
  <c r="BC231" i="16"/>
  <c r="BD231" i="16"/>
  <c r="BE231" i="16"/>
  <c r="BF231" i="16"/>
  <c r="BG231" i="16"/>
  <c r="BH231" i="16"/>
  <c r="BI231" i="16"/>
  <c r="BJ231" i="16"/>
  <c r="BK231" i="16"/>
  <c r="BL231" i="16"/>
  <c r="BM231" i="16"/>
  <c r="BN231" i="16"/>
  <c r="BO231" i="16"/>
  <c r="BP231" i="16"/>
  <c r="AA232" i="16"/>
  <c r="AB232" i="16"/>
  <c r="AC232" i="16"/>
  <c r="AD232" i="16"/>
  <c r="AE232" i="16"/>
  <c r="AF232" i="16"/>
  <c r="AG232" i="16"/>
  <c r="AH232" i="16"/>
  <c r="AI232" i="16"/>
  <c r="AJ232" i="16"/>
  <c r="AK232" i="16"/>
  <c r="AL232" i="16"/>
  <c r="AM232" i="16"/>
  <c r="AN232" i="16"/>
  <c r="AO232" i="16"/>
  <c r="AP232" i="16"/>
  <c r="AQ232" i="16"/>
  <c r="AR232" i="16"/>
  <c r="AS232" i="16"/>
  <c r="AT232" i="16"/>
  <c r="AU232" i="16"/>
  <c r="AV232" i="16"/>
  <c r="AW232" i="16"/>
  <c r="AX232" i="16"/>
  <c r="AY232" i="16"/>
  <c r="AZ232" i="16"/>
  <c r="BA232" i="16"/>
  <c r="BB232" i="16"/>
  <c r="BC232" i="16"/>
  <c r="BD232" i="16"/>
  <c r="BE232" i="16"/>
  <c r="BF232" i="16"/>
  <c r="BG232" i="16"/>
  <c r="BH232" i="16"/>
  <c r="BI232" i="16"/>
  <c r="BJ232" i="16"/>
  <c r="BK232" i="16"/>
  <c r="BL232" i="16"/>
  <c r="BM232" i="16"/>
  <c r="BN232" i="16"/>
  <c r="BO232" i="16"/>
  <c r="BP232" i="16"/>
  <c r="AB233" i="16"/>
  <c r="AD233" i="16"/>
  <c r="AE233" i="16"/>
  <c r="AF233" i="16"/>
  <c r="AG233" i="16"/>
  <c r="AH233" i="16"/>
  <c r="AI233" i="16"/>
  <c r="AJ233" i="16"/>
  <c r="AK233" i="16"/>
  <c r="AL233" i="16"/>
  <c r="AM233" i="16"/>
  <c r="AN233" i="16"/>
  <c r="AO233" i="16"/>
  <c r="AP233" i="16"/>
  <c r="AQ233" i="16"/>
  <c r="AR233" i="16"/>
  <c r="AS233" i="16"/>
  <c r="AT233" i="16"/>
  <c r="AU233" i="16"/>
  <c r="AV233" i="16"/>
  <c r="AW233" i="16"/>
  <c r="AX233" i="16"/>
  <c r="AY233" i="16"/>
  <c r="AZ233" i="16"/>
  <c r="BA233" i="16"/>
  <c r="BB233" i="16"/>
  <c r="BC233" i="16"/>
  <c r="BD233" i="16"/>
  <c r="BE233" i="16"/>
  <c r="BF233" i="16"/>
  <c r="BG233" i="16"/>
  <c r="BH233" i="16"/>
  <c r="BI233" i="16"/>
  <c r="BJ233" i="16"/>
  <c r="BK233" i="16"/>
  <c r="BL233" i="16"/>
  <c r="BM233" i="16"/>
  <c r="BN233" i="16"/>
  <c r="BO233" i="16"/>
  <c r="BP233" i="16"/>
  <c r="AA234" i="16"/>
  <c r="AB234" i="16"/>
  <c r="AC234" i="16"/>
  <c r="AD234" i="16"/>
  <c r="AE234" i="16"/>
  <c r="AF234" i="16"/>
  <c r="AG234" i="16"/>
  <c r="AH234" i="16"/>
  <c r="AI234" i="16"/>
  <c r="AJ234" i="16"/>
  <c r="AK234" i="16"/>
  <c r="AL234" i="16"/>
  <c r="AM234" i="16"/>
  <c r="AN234" i="16"/>
  <c r="AO234" i="16"/>
  <c r="AP234" i="16"/>
  <c r="AQ234" i="16"/>
  <c r="AR234" i="16"/>
  <c r="AS234" i="16"/>
  <c r="AT234" i="16"/>
  <c r="AU234" i="16"/>
  <c r="AV234" i="16"/>
  <c r="AW234" i="16"/>
  <c r="AX234" i="16"/>
  <c r="AY234" i="16"/>
  <c r="AZ234" i="16"/>
  <c r="BA234" i="16"/>
  <c r="BB234" i="16"/>
  <c r="BC234" i="16"/>
  <c r="BD234" i="16"/>
  <c r="BE234" i="16"/>
  <c r="BF234" i="16"/>
  <c r="BG234" i="16"/>
  <c r="BH234" i="16"/>
  <c r="BI234" i="16"/>
  <c r="BJ234" i="16"/>
  <c r="BK234" i="16"/>
  <c r="BL234" i="16"/>
  <c r="BM234" i="16"/>
  <c r="BN234" i="16"/>
  <c r="BO234" i="16"/>
  <c r="BP234" i="16"/>
  <c r="AA235" i="16"/>
  <c r="AB235" i="16"/>
  <c r="AC235" i="16"/>
  <c r="AD235" i="16"/>
  <c r="AE235" i="16"/>
  <c r="AF235" i="16"/>
  <c r="AG235" i="16"/>
  <c r="AH235" i="16"/>
  <c r="AI235" i="16"/>
  <c r="AJ235" i="16"/>
  <c r="AK235" i="16"/>
  <c r="AL235" i="16"/>
  <c r="AM235" i="16"/>
  <c r="AN235" i="16"/>
  <c r="AO235" i="16"/>
  <c r="AP235" i="16"/>
  <c r="AQ235" i="16"/>
  <c r="AR235" i="16"/>
  <c r="AS235" i="16"/>
  <c r="AT235" i="16"/>
  <c r="AU235" i="16"/>
  <c r="AV235" i="16"/>
  <c r="AW235" i="16"/>
  <c r="AX235" i="16"/>
  <c r="AY235" i="16"/>
  <c r="AZ235" i="16"/>
  <c r="BA235" i="16"/>
  <c r="BB235" i="16"/>
  <c r="BC235" i="16"/>
  <c r="BD235" i="16"/>
  <c r="BE235" i="16"/>
  <c r="BF235" i="16"/>
  <c r="BG235" i="16"/>
  <c r="BH235" i="16"/>
  <c r="BI235" i="16"/>
  <c r="BJ235" i="16"/>
  <c r="BK235" i="16"/>
  <c r="BL235" i="16"/>
  <c r="BM235" i="16"/>
  <c r="BN235" i="16"/>
  <c r="BO235" i="16"/>
  <c r="BP235" i="16"/>
  <c r="AA236" i="16"/>
  <c r="AB236" i="16"/>
  <c r="AC236" i="16"/>
  <c r="AD236" i="16"/>
  <c r="AE236" i="16"/>
  <c r="AF236" i="16"/>
  <c r="AG236" i="16"/>
  <c r="AH236" i="16"/>
  <c r="AI236" i="16"/>
  <c r="AJ236" i="16"/>
  <c r="AK236" i="16"/>
  <c r="AL236" i="16"/>
  <c r="AM236" i="16"/>
  <c r="AN236" i="16"/>
  <c r="AO236" i="16"/>
  <c r="AP236" i="16"/>
  <c r="AQ236" i="16"/>
  <c r="AR236" i="16"/>
  <c r="AS236" i="16"/>
  <c r="AT236" i="16"/>
  <c r="AU236" i="16"/>
  <c r="AV236" i="16"/>
  <c r="AW236" i="16"/>
  <c r="AX236" i="16"/>
  <c r="AY236" i="16"/>
  <c r="AZ236" i="16"/>
  <c r="BA236" i="16"/>
  <c r="BB236" i="16"/>
  <c r="BC236" i="16"/>
  <c r="BD236" i="16"/>
  <c r="BE236" i="16"/>
  <c r="BF236" i="16"/>
  <c r="BG236" i="16"/>
  <c r="BH236" i="16"/>
  <c r="BI236" i="16"/>
  <c r="BJ236" i="16"/>
  <c r="BK236" i="16"/>
  <c r="BL236" i="16"/>
  <c r="BM236" i="16"/>
  <c r="BN236" i="16"/>
  <c r="BO236" i="16"/>
  <c r="BP236" i="16"/>
  <c r="AA237" i="16"/>
  <c r="AB237" i="16"/>
  <c r="AC237" i="16"/>
  <c r="AD237" i="16"/>
  <c r="AE237" i="16"/>
  <c r="AF237" i="16"/>
  <c r="AG237" i="16"/>
  <c r="AH237" i="16"/>
  <c r="AI237" i="16"/>
  <c r="AJ237" i="16"/>
  <c r="AK237" i="16"/>
  <c r="AL237" i="16"/>
  <c r="AM237" i="16"/>
  <c r="AN237" i="16"/>
  <c r="AO237" i="16"/>
  <c r="AP237" i="16"/>
  <c r="AQ237" i="16"/>
  <c r="AR237" i="16"/>
  <c r="AS237" i="16"/>
  <c r="AT237" i="16"/>
  <c r="AU237" i="16"/>
  <c r="AV237" i="16"/>
  <c r="AW237" i="16"/>
  <c r="AX237" i="16"/>
  <c r="AY237" i="16"/>
  <c r="AZ237" i="16"/>
  <c r="BA237" i="16"/>
  <c r="BB237" i="16"/>
  <c r="BC237" i="16"/>
  <c r="BD237" i="16"/>
  <c r="BE237" i="16"/>
  <c r="BF237" i="16"/>
  <c r="BG237" i="16"/>
  <c r="BH237" i="16"/>
  <c r="BI237" i="16"/>
  <c r="BJ237" i="16"/>
  <c r="BK237" i="16"/>
  <c r="BL237" i="16"/>
  <c r="BM237" i="16"/>
  <c r="BN237" i="16"/>
  <c r="BO237" i="16"/>
  <c r="BP237" i="16"/>
  <c r="AA238" i="16"/>
  <c r="AB238" i="16"/>
  <c r="AC238" i="16"/>
  <c r="AD238" i="16"/>
  <c r="AE238" i="16"/>
  <c r="AF238" i="16"/>
  <c r="AG238" i="16"/>
  <c r="AH238" i="16"/>
  <c r="AI238" i="16"/>
  <c r="AJ238" i="16"/>
  <c r="AK238" i="16"/>
  <c r="AL238" i="16"/>
  <c r="AM238" i="16"/>
  <c r="AN238" i="16"/>
  <c r="AO238" i="16"/>
  <c r="AP238" i="16"/>
  <c r="AQ238" i="16"/>
  <c r="AR238" i="16"/>
  <c r="AS238" i="16"/>
  <c r="AT238" i="16"/>
  <c r="AU238" i="16"/>
  <c r="AV238" i="16"/>
  <c r="AW238" i="16"/>
  <c r="AX238" i="16"/>
  <c r="AY238" i="16"/>
  <c r="AZ238" i="16"/>
  <c r="BA238" i="16"/>
  <c r="BB238" i="16"/>
  <c r="BC238" i="16"/>
  <c r="BD238" i="16"/>
  <c r="BE238" i="16"/>
  <c r="BF238" i="16"/>
  <c r="BG238" i="16"/>
  <c r="BH238" i="16"/>
  <c r="BI238" i="16"/>
  <c r="BJ238" i="16"/>
  <c r="BK238" i="16"/>
  <c r="BL238" i="16"/>
  <c r="BM238" i="16"/>
  <c r="BN238" i="16"/>
  <c r="BO238" i="16"/>
  <c r="BP238" i="16"/>
  <c r="AA239" i="16"/>
  <c r="AB239" i="16"/>
  <c r="AC239" i="16"/>
  <c r="AD239" i="16"/>
  <c r="AE239" i="16"/>
  <c r="AF239" i="16"/>
  <c r="AG239" i="16"/>
  <c r="AH239" i="16"/>
  <c r="AI239" i="16"/>
  <c r="AJ239" i="16"/>
  <c r="AK239" i="16"/>
  <c r="AL239" i="16"/>
  <c r="AM239" i="16"/>
  <c r="AN239" i="16"/>
  <c r="AO239" i="16"/>
  <c r="AP239" i="16"/>
  <c r="AQ239" i="16"/>
  <c r="AR239" i="16"/>
  <c r="AS239" i="16"/>
  <c r="AT239" i="16"/>
  <c r="AU239" i="16"/>
  <c r="AV239" i="16"/>
  <c r="AW239" i="16"/>
  <c r="AX239" i="16"/>
  <c r="AY239" i="16"/>
  <c r="AZ239" i="16"/>
  <c r="BA239" i="16"/>
  <c r="BB239" i="16"/>
  <c r="BC239" i="16"/>
  <c r="BD239" i="16"/>
  <c r="BE239" i="16"/>
  <c r="BF239" i="16"/>
  <c r="BG239" i="16"/>
  <c r="BH239" i="16"/>
  <c r="BI239" i="16"/>
  <c r="BJ239" i="16"/>
  <c r="BK239" i="16"/>
  <c r="BL239" i="16"/>
  <c r="BM239" i="16"/>
  <c r="BN239" i="16"/>
  <c r="BO239" i="16"/>
  <c r="BP239" i="16"/>
  <c r="AA240" i="16"/>
  <c r="AB240" i="16"/>
  <c r="AC240" i="16"/>
  <c r="AD240" i="16"/>
  <c r="AE240" i="16"/>
  <c r="AF240" i="16"/>
  <c r="AG240" i="16"/>
  <c r="AH240" i="16"/>
  <c r="AI240" i="16"/>
  <c r="AJ240" i="16"/>
  <c r="AK240" i="16"/>
  <c r="AL240" i="16"/>
  <c r="AM240" i="16"/>
  <c r="AN240" i="16"/>
  <c r="AO240" i="16"/>
  <c r="AP240" i="16"/>
  <c r="AQ240" i="16"/>
  <c r="AR240" i="16"/>
  <c r="AS240" i="16"/>
  <c r="AT240" i="16"/>
  <c r="AU240" i="16"/>
  <c r="AV240" i="16"/>
  <c r="AW240" i="16"/>
  <c r="AX240" i="16"/>
  <c r="AY240" i="16"/>
  <c r="AZ240" i="16"/>
  <c r="BA240" i="16"/>
  <c r="BB240" i="16"/>
  <c r="BC240" i="16"/>
  <c r="BD240" i="16"/>
  <c r="BE240" i="16"/>
  <c r="BF240" i="16"/>
  <c r="BG240" i="16"/>
  <c r="BH240" i="16"/>
  <c r="BI240" i="16"/>
  <c r="BJ240" i="16"/>
  <c r="BK240" i="16"/>
  <c r="BL240" i="16"/>
  <c r="BM240" i="16"/>
  <c r="BN240" i="16"/>
  <c r="BO240" i="16"/>
  <c r="BP240" i="16"/>
  <c r="AA241" i="16"/>
  <c r="AB241" i="16"/>
  <c r="AC241" i="16"/>
  <c r="AD241" i="16"/>
  <c r="AE241" i="16"/>
  <c r="AF241" i="16"/>
  <c r="AG241" i="16"/>
  <c r="AH241" i="16"/>
  <c r="AI241" i="16"/>
  <c r="AJ241" i="16"/>
  <c r="AK241" i="16"/>
  <c r="AL241" i="16"/>
  <c r="AM241" i="16"/>
  <c r="AN241" i="16"/>
  <c r="AO241" i="16"/>
  <c r="AP241" i="16"/>
  <c r="AQ241" i="16"/>
  <c r="AR241" i="16"/>
  <c r="AS241" i="16"/>
  <c r="AT241" i="16"/>
  <c r="AU241" i="16"/>
  <c r="AV241" i="16"/>
  <c r="AW241" i="16"/>
  <c r="AX241" i="16"/>
  <c r="AY241" i="16"/>
  <c r="AZ241" i="16"/>
  <c r="BA241" i="16"/>
  <c r="BB241" i="16"/>
  <c r="BC241" i="16"/>
  <c r="BD241" i="16"/>
  <c r="BE241" i="16"/>
  <c r="BF241" i="16"/>
  <c r="BG241" i="16"/>
  <c r="BH241" i="16"/>
  <c r="BI241" i="16"/>
  <c r="BJ241" i="16"/>
  <c r="BK241" i="16"/>
  <c r="BL241" i="16"/>
  <c r="BM241" i="16"/>
  <c r="BN241" i="16"/>
  <c r="BO241" i="16"/>
  <c r="BP241" i="16"/>
  <c r="AA242" i="16"/>
  <c r="AB242" i="16"/>
  <c r="AC242" i="16"/>
  <c r="AD242" i="16"/>
  <c r="AE242" i="16"/>
  <c r="AF242" i="16"/>
  <c r="AG242" i="16"/>
  <c r="AH242" i="16"/>
  <c r="AI242" i="16"/>
  <c r="AJ242" i="16"/>
  <c r="AK242" i="16"/>
  <c r="AL242" i="16"/>
  <c r="AM242" i="16"/>
  <c r="AN242" i="16"/>
  <c r="AO242" i="16"/>
  <c r="AP242" i="16"/>
  <c r="AQ242" i="16"/>
  <c r="AR242" i="16"/>
  <c r="AS242" i="16"/>
  <c r="AT242" i="16"/>
  <c r="AU242" i="16"/>
  <c r="AV242" i="16"/>
  <c r="AW242" i="16"/>
  <c r="AX242" i="16"/>
  <c r="AY242" i="16"/>
  <c r="AZ242" i="16"/>
  <c r="BA242" i="16"/>
  <c r="BB242" i="16"/>
  <c r="BC242" i="16"/>
  <c r="BD242" i="16"/>
  <c r="BE242" i="16"/>
  <c r="BF242" i="16"/>
  <c r="BG242" i="16"/>
  <c r="BH242" i="16"/>
  <c r="BI242" i="16"/>
  <c r="BJ242" i="16"/>
  <c r="BK242" i="16"/>
  <c r="BL242" i="16"/>
  <c r="BM242" i="16"/>
  <c r="BN242" i="16"/>
  <c r="BO242" i="16"/>
  <c r="BP242" i="16"/>
  <c r="AA243" i="16"/>
  <c r="AB243" i="16"/>
  <c r="AC243" i="16"/>
  <c r="AD243" i="16"/>
  <c r="AE243" i="16"/>
  <c r="AF243" i="16"/>
  <c r="AG243" i="16"/>
  <c r="AH243" i="16"/>
  <c r="AI243" i="16"/>
  <c r="AJ243" i="16"/>
  <c r="AK243" i="16"/>
  <c r="AL243" i="16"/>
  <c r="AM243" i="16"/>
  <c r="AN243" i="16"/>
  <c r="AO243" i="16"/>
  <c r="AP243" i="16"/>
  <c r="AQ243" i="16"/>
  <c r="AR243" i="16"/>
  <c r="AS243" i="16"/>
  <c r="AT243" i="16"/>
  <c r="AU243" i="16"/>
  <c r="AV243" i="16"/>
  <c r="AW243" i="16"/>
  <c r="AX243" i="16"/>
  <c r="AY243" i="16"/>
  <c r="AZ243" i="16"/>
  <c r="BA243" i="16"/>
  <c r="BB243" i="16"/>
  <c r="BC243" i="16"/>
  <c r="BD243" i="16"/>
  <c r="BE243" i="16"/>
  <c r="BF243" i="16"/>
  <c r="BG243" i="16"/>
  <c r="BH243" i="16"/>
  <c r="BI243" i="16"/>
  <c r="BJ243" i="16"/>
  <c r="BK243" i="16"/>
  <c r="BL243" i="16"/>
  <c r="BM243" i="16"/>
  <c r="BN243" i="16"/>
  <c r="BO243" i="16"/>
  <c r="BP243" i="16"/>
  <c r="AA244" i="16"/>
  <c r="AB244" i="16"/>
  <c r="AC244" i="16"/>
  <c r="AD244" i="16"/>
  <c r="AE244" i="16"/>
  <c r="AF244" i="16"/>
  <c r="AG244" i="16"/>
  <c r="AH244" i="16"/>
  <c r="AI244" i="16"/>
  <c r="AJ244" i="16"/>
  <c r="AK244" i="16"/>
  <c r="AL244" i="16"/>
  <c r="AM244" i="16"/>
  <c r="AN244" i="16"/>
  <c r="AO244" i="16"/>
  <c r="AP244" i="16"/>
  <c r="AQ244" i="16"/>
  <c r="AR244" i="16"/>
  <c r="AS244" i="16"/>
  <c r="AT244" i="16"/>
  <c r="AU244" i="16"/>
  <c r="AV244" i="16"/>
  <c r="AW244" i="16"/>
  <c r="AX244" i="16"/>
  <c r="AY244" i="16"/>
  <c r="AZ244" i="16"/>
  <c r="BA244" i="16"/>
  <c r="BB244" i="16"/>
  <c r="BC244" i="16"/>
  <c r="BD244" i="16"/>
  <c r="BE244" i="16"/>
  <c r="BF244" i="16"/>
  <c r="BG244" i="16"/>
  <c r="BH244" i="16"/>
  <c r="BI244" i="16"/>
  <c r="BJ244" i="16"/>
  <c r="BK244" i="16"/>
  <c r="BL244" i="16"/>
  <c r="BM244" i="16"/>
  <c r="BN244" i="16"/>
  <c r="BO244" i="16"/>
  <c r="BP244" i="16"/>
  <c r="AA245" i="16"/>
  <c r="AB245" i="16"/>
  <c r="AC245" i="16"/>
  <c r="AD245" i="16"/>
  <c r="AE245" i="16"/>
  <c r="AF245" i="16"/>
  <c r="AG245" i="16"/>
  <c r="AH245" i="16"/>
  <c r="AI245" i="16"/>
  <c r="AJ245" i="16"/>
  <c r="AK245" i="16"/>
  <c r="AL245" i="16"/>
  <c r="AM245" i="16"/>
  <c r="AN245" i="16"/>
  <c r="AO245" i="16"/>
  <c r="AP245" i="16"/>
  <c r="AQ245" i="16"/>
  <c r="AR245" i="16"/>
  <c r="AS245" i="16"/>
  <c r="AT245" i="16"/>
  <c r="AU245" i="16"/>
  <c r="AV245" i="16"/>
  <c r="AW245" i="16"/>
  <c r="AX245" i="16"/>
  <c r="AY245" i="16"/>
  <c r="AZ245" i="16"/>
  <c r="BA245" i="16"/>
  <c r="BB245" i="16"/>
  <c r="BC245" i="16"/>
  <c r="BD245" i="16"/>
  <c r="BE245" i="16"/>
  <c r="BF245" i="16"/>
  <c r="BG245" i="16"/>
  <c r="BH245" i="16"/>
  <c r="BI245" i="16"/>
  <c r="BJ245" i="16"/>
  <c r="BK245" i="16"/>
  <c r="BL245" i="16"/>
  <c r="BM245" i="16"/>
  <c r="BN245" i="16"/>
  <c r="BO245" i="16"/>
  <c r="BP245" i="16"/>
  <c r="AA246" i="16"/>
  <c r="AB246" i="16"/>
  <c r="AC246" i="16"/>
  <c r="AD246" i="16"/>
  <c r="AE246" i="16"/>
  <c r="AF246" i="16"/>
  <c r="AG246" i="16"/>
  <c r="AH246" i="16"/>
  <c r="AI246" i="16"/>
  <c r="AJ246" i="16"/>
  <c r="AK246" i="16"/>
  <c r="AL246" i="16"/>
  <c r="AM246" i="16"/>
  <c r="AN246" i="16"/>
  <c r="AO246" i="16"/>
  <c r="AP246" i="16"/>
  <c r="AQ246" i="16"/>
  <c r="AR246" i="16"/>
  <c r="AS246" i="16"/>
  <c r="AT246" i="16"/>
  <c r="AU246" i="16"/>
  <c r="AV246" i="16"/>
  <c r="AW246" i="16"/>
  <c r="AX246" i="16"/>
  <c r="AY246" i="16"/>
  <c r="AZ246" i="16"/>
  <c r="BA246" i="16"/>
  <c r="BB246" i="16"/>
  <c r="BC246" i="16"/>
  <c r="BD246" i="16"/>
  <c r="BE246" i="16"/>
  <c r="BF246" i="16"/>
  <c r="BG246" i="16"/>
  <c r="BH246" i="16"/>
  <c r="BI246" i="16"/>
  <c r="BJ246" i="16"/>
  <c r="BK246" i="16"/>
  <c r="BL246" i="16"/>
  <c r="BM246" i="16"/>
  <c r="BN246" i="16"/>
  <c r="BO246" i="16"/>
  <c r="BP246" i="16"/>
  <c r="AA247" i="16"/>
  <c r="AB247" i="16"/>
  <c r="AC247" i="16"/>
  <c r="AD247" i="16"/>
  <c r="AE247" i="16"/>
  <c r="AF247" i="16"/>
  <c r="AG247" i="16"/>
  <c r="AH247" i="16"/>
  <c r="AI247" i="16"/>
  <c r="AJ247" i="16"/>
  <c r="AK247" i="16"/>
  <c r="AL247" i="16"/>
  <c r="AM247" i="16"/>
  <c r="AN247" i="16"/>
  <c r="AO247" i="16"/>
  <c r="AP247" i="16"/>
  <c r="AQ247" i="16"/>
  <c r="AR247" i="16"/>
  <c r="AS247" i="16"/>
  <c r="AT247" i="16"/>
  <c r="AU247" i="16"/>
  <c r="AV247" i="16"/>
  <c r="AW247" i="16"/>
  <c r="AX247" i="16"/>
  <c r="AY247" i="16"/>
  <c r="AZ247" i="16"/>
  <c r="BA247" i="16"/>
  <c r="BB247" i="16"/>
  <c r="BC247" i="16"/>
  <c r="BD247" i="16"/>
  <c r="BE247" i="16"/>
  <c r="BF247" i="16"/>
  <c r="BG247" i="16"/>
  <c r="BH247" i="16"/>
  <c r="BI247" i="16"/>
  <c r="BJ247" i="16"/>
  <c r="BK247" i="16"/>
  <c r="BL247" i="16"/>
  <c r="BM247" i="16"/>
  <c r="BN247" i="16"/>
  <c r="BO247" i="16"/>
  <c r="BP247" i="16"/>
  <c r="AA248" i="16"/>
  <c r="AB248" i="16"/>
  <c r="AC248" i="16"/>
  <c r="AD248" i="16"/>
  <c r="AE248" i="16"/>
  <c r="AF248" i="16"/>
  <c r="AG248" i="16"/>
  <c r="AH248" i="16"/>
  <c r="AI248" i="16"/>
  <c r="AJ248" i="16"/>
  <c r="AK248" i="16"/>
  <c r="AL248" i="16"/>
  <c r="AM248" i="16"/>
  <c r="AN248" i="16"/>
  <c r="AO248" i="16"/>
  <c r="AP248" i="16"/>
  <c r="AQ248" i="16"/>
  <c r="AR248" i="16"/>
  <c r="AS248" i="16"/>
  <c r="AT248" i="16"/>
  <c r="AU248" i="16"/>
  <c r="AV248" i="16"/>
  <c r="AW248" i="16"/>
  <c r="AX248" i="16"/>
  <c r="AY248" i="16"/>
  <c r="AZ248" i="16"/>
  <c r="BA248" i="16"/>
  <c r="BB248" i="16"/>
  <c r="BC248" i="16"/>
  <c r="BD248" i="16"/>
  <c r="BE248" i="16"/>
  <c r="BF248" i="16"/>
  <c r="BG248" i="16"/>
  <c r="BH248" i="16"/>
  <c r="BI248" i="16"/>
  <c r="BJ248" i="16"/>
  <c r="BK248" i="16"/>
  <c r="BL248" i="16"/>
  <c r="BM248" i="16"/>
  <c r="BN248" i="16"/>
  <c r="BO248" i="16"/>
  <c r="BP248" i="16"/>
  <c r="AA249" i="16"/>
  <c r="AB249" i="16"/>
  <c r="AC249" i="16"/>
  <c r="AD249" i="16"/>
  <c r="AE249" i="16"/>
  <c r="AF249" i="16"/>
  <c r="AG249" i="16"/>
  <c r="AH249" i="16"/>
  <c r="AI249" i="16"/>
  <c r="AJ249" i="16"/>
  <c r="AK249" i="16"/>
  <c r="AL249" i="16"/>
  <c r="AM249" i="16"/>
  <c r="AN249" i="16"/>
  <c r="AO249" i="16"/>
  <c r="AP249" i="16"/>
  <c r="AQ249" i="16"/>
  <c r="AR249" i="16"/>
  <c r="AS249" i="16"/>
  <c r="AT249" i="16"/>
  <c r="AU249" i="16"/>
  <c r="AV249" i="16"/>
  <c r="AW249" i="16"/>
  <c r="AX249" i="16"/>
  <c r="AY249" i="16"/>
  <c r="AZ249" i="16"/>
  <c r="BA249" i="16"/>
  <c r="BB249" i="16"/>
  <c r="BC249" i="16"/>
  <c r="BD249" i="16"/>
  <c r="BE249" i="16"/>
  <c r="BF249" i="16"/>
  <c r="BG249" i="16"/>
  <c r="BH249" i="16"/>
  <c r="BI249" i="16"/>
  <c r="BJ249" i="16"/>
  <c r="BK249" i="16"/>
  <c r="BL249" i="16"/>
  <c r="BM249" i="16"/>
  <c r="BN249" i="16"/>
  <c r="BO249" i="16"/>
  <c r="BP249" i="16"/>
  <c r="AA250" i="16"/>
  <c r="AB250" i="16"/>
  <c r="AC250" i="16"/>
  <c r="AD250" i="16"/>
  <c r="AE250" i="16"/>
  <c r="AF250" i="16"/>
  <c r="AG250" i="16"/>
  <c r="AH250" i="16"/>
  <c r="AI250" i="16"/>
  <c r="AJ250" i="16"/>
  <c r="AK250" i="16"/>
  <c r="AL250" i="16"/>
  <c r="AM250" i="16"/>
  <c r="AN250" i="16"/>
  <c r="AO250" i="16"/>
  <c r="AP250" i="16"/>
  <c r="AQ250" i="16"/>
  <c r="AR250" i="16"/>
  <c r="AS250" i="16"/>
  <c r="AT250" i="16"/>
  <c r="AU250" i="16"/>
  <c r="AV250" i="16"/>
  <c r="AW250" i="16"/>
  <c r="AX250" i="16"/>
  <c r="AY250" i="16"/>
  <c r="AZ250" i="16"/>
  <c r="BA250" i="16"/>
  <c r="BB250" i="16"/>
  <c r="BC250" i="16"/>
  <c r="BD250" i="16"/>
  <c r="BE250" i="16"/>
  <c r="BF250" i="16"/>
  <c r="BG250" i="16"/>
  <c r="BH250" i="16"/>
  <c r="BI250" i="16"/>
  <c r="BJ250" i="16"/>
  <c r="BK250" i="16"/>
  <c r="BL250" i="16"/>
  <c r="BM250" i="16"/>
  <c r="BN250" i="16"/>
  <c r="BO250" i="16"/>
  <c r="BP250" i="16"/>
  <c r="AA251" i="16"/>
  <c r="AB251" i="16"/>
  <c r="AC251" i="16"/>
  <c r="AD251" i="16"/>
  <c r="AE251" i="16"/>
  <c r="AF251" i="16"/>
  <c r="AG251" i="16"/>
  <c r="AH251" i="16"/>
  <c r="AI251" i="16"/>
  <c r="AJ251" i="16"/>
  <c r="AK251" i="16"/>
  <c r="AL251" i="16"/>
  <c r="AM251" i="16"/>
  <c r="AN251" i="16"/>
  <c r="AO251" i="16"/>
  <c r="AP251" i="16"/>
  <c r="AQ251" i="16"/>
  <c r="AR251" i="16"/>
  <c r="AS251" i="16"/>
  <c r="AT251" i="16"/>
  <c r="AU251" i="16"/>
  <c r="AV251" i="16"/>
  <c r="AW251" i="16"/>
  <c r="AX251" i="16"/>
  <c r="AY251" i="16"/>
  <c r="AZ251" i="16"/>
  <c r="BA251" i="16"/>
  <c r="BB251" i="16"/>
  <c r="BC251" i="16"/>
  <c r="BD251" i="16"/>
  <c r="BE251" i="16"/>
  <c r="BF251" i="16"/>
  <c r="BG251" i="16"/>
  <c r="BH251" i="16"/>
  <c r="BI251" i="16"/>
  <c r="BJ251" i="16"/>
  <c r="BK251" i="16"/>
  <c r="BL251" i="16"/>
  <c r="BM251" i="16"/>
  <c r="BN251" i="16"/>
  <c r="BO251" i="16"/>
  <c r="BP251" i="16"/>
  <c r="AA252" i="16"/>
  <c r="AB252" i="16"/>
  <c r="AC252" i="16"/>
  <c r="AD252" i="16"/>
  <c r="AE252" i="16"/>
  <c r="AF252" i="16"/>
  <c r="AG252" i="16"/>
  <c r="AH252" i="16"/>
  <c r="AI252" i="16"/>
  <c r="AJ252" i="16"/>
  <c r="AK252" i="16"/>
  <c r="AL252" i="16"/>
  <c r="AM252" i="16"/>
  <c r="AN252" i="16"/>
  <c r="AO252" i="16"/>
  <c r="AP252" i="16"/>
  <c r="AQ252" i="16"/>
  <c r="AR252" i="16"/>
  <c r="AS252" i="16"/>
  <c r="AT252" i="16"/>
  <c r="AU252" i="16"/>
  <c r="AV252" i="16"/>
  <c r="AW252" i="16"/>
  <c r="AX252" i="16"/>
  <c r="AY252" i="16"/>
  <c r="AZ252" i="16"/>
  <c r="BA252" i="16"/>
  <c r="BB252" i="16"/>
  <c r="BC252" i="16"/>
  <c r="BD252" i="16"/>
  <c r="BE252" i="16"/>
  <c r="BF252" i="16"/>
  <c r="BG252" i="16"/>
  <c r="BH252" i="16"/>
  <c r="BI252" i="16"/>
  <c r="BJ252" i="16"/>
  <c r="BK252" i="16"/>
  <c r="BL252" i="16"/>
  <c r="BM252" i="16"/>
  <c r="BN252" i="16"/>
  <c r="BO252" i="16"/>
  <c r="BP252" i="16"/>
  <c r="AA253" i="16"/>
  <c r="AB253" i="16"/>
  <c r="AC253" i="16"/>
  <c r="AD253" i="16"/>
  <c r="AE253" i="16"/>
  <c r="AF253" i="16"/>
  <c r="AG253" i="16"/>
  <c r="AH253" i="16"/>
  <c r="AI253" i="16"/>
  <c r="AJ253" i="16"/>
  <c r="AK253" i="16"/>
  <c r="AL253" i="16"/>
  <c r="AM253" i="16"/>
  <c r="AN253" i="16"/>
  <c r="AO253" i="16"/>
  <c r="AP253" i="16"/>
  <c r="AQ253" i="16"/>
  <c r="AR253" i="16"/>
  <c r="AS253" i="16"/>
  <c r="AT253" i="16"/>
  <c r="AU253" i="16"/>
  <c r="AV253" i="16"/>
  <c r="AW253" i="16"/>
  <c r="AX253" i="16"/>
  <c r="AY253" i="16"/>
  <c r="AZ253" i="16"/>
  <c r="BA253" i="16"/>
  <c r="BB253" i="16"/>
  <c r="BC253" i="16"/>
  <c r="BD253" i="16"/>
  <c r="BE253" i="16"/>
  <c r="BF253" i="16"/>
  <c r="BG253" i="16"/>
  <c r="BH253" i="16"/>
  <c r="BI253" i="16"/>
  <c r="BJ253" i="16"/>
  <c r="BK253" i="16"/>
  <c r="BL253" i="16"/>
  <c r="BM253" i="16"/>
  <c r="BN253" i="16"/>
  <c r="BO253" i="16"/>
  <c r="BP253" i="16"/>
  <c r="AA254" i="16"/>
  <c r="AB254" i="16"/>
  <c r="AC254" i="16"/>
  <c r="AD254" i="16"/>
  <c r="AE254" i="16"/>
  <c r="AF254" i="16"/>
  <c r="AG254" i="16"/>
  <c r="AH254" i="16"/>
  <c r="AI254" i="16"/>
  <c r="AJ254" i="16"/>
  <c r="AK254" i="16"/>
  <c r="AL254" i="16"/>
  <c r="AM254" i="16"/>
  <c r="AN254" i="16"/>
  <c r="AO254" i="16"/>
  <c r="AP254" i="16"/>
  <c r="AQ254" i="16"/>
  <c r="AR254" i="16"/>
  <c r="AS254" i="16"/>
  <c r="AT254" i="16"/>
  <c r="AU254" i="16"/>
  <c r="AV254" i="16"/>
  <c r="AW254" i="16"/>
  <c r="AX254" i="16"/>
  <c r="AY254" i="16"/>
  <c r="AZ254" i="16"/>
  <c r="BA254" i="16"/>
  <c r="BB254" i="16"/>
  <c r="BC254" i="16"/>
  <c r="BD254" i="16"/>
  <c r="BE254" i="16"/>
  <c r="BF254" i="16"/>
  <c r="BG254" i="16"/>
  <c r="BH254" i="16"/>
  <c r="BI254" i="16"/>
  <c r="BJ254" i="16"/>
  <c r="BK254" i="16"/>
  <c r="BL254" i="16"/>
  <c r="BM254" i="16"/>
  <c r="BN254" i="16"/>
  <c r="BO254" i="16"/>
  <c r="BP254" i="16"/>
  <c r="AA255" i="16"/>
  <c r="AB255" i="16"/>
  <c r="AC255" i="16"/>
  <c r="AD255" i="16"/>
  <c r="AE255" i="16"/>
  <c r="AF255" i="16"/>
  <c r="AG255" i="16"/>
  <c r="AH255" i="16"/>
  <c r="AI255" i="16"/>
  <c r="AJ255" i="16"/>
  <c r="AK255" i="16"/>
  <c r="AL255" i="16"/>
  <c r="AM255" i="16"/>
  <c r="AN255" i="16"/>
  <c r="AO255" i="16"/>
  <c r="AP255" i="16"/>
  <c r="AQ255" i="16"/>
  <c r="AR255" i="16"/>
  <c r="AS255" i="16"/>
  <c r="AT255" i="16"/>
  <c r="AU255" i="16"/>
  <c r="AV255" i="16"/>
  <c r="AW255" i="16"/>
  <c r="AX255" i="16"/>
  <c r="AY255" i="16"/>
  <c r="AZ255" i="16"/>
  <c r="BA255" i="16"/>
  <c r="BB255" i="16"/>
  <c r="BC255" i="16"/>
  <c r="BD255" i="16"/>
  <c r="BE255" i="16"/>
  <c r="BF255" i="16"/>
  <c r="BG255" i="16"/>
  <c r="BH255" i="16"/>
  <c r="BI255" i="16"/>
  <c r="BJ255" i="16"/>
  <c r="BK255" i="16"/>
  <c r="BL255" i="16"/>
  <c r="BM255" i="16"/>
  <c r="BN255" i="16"/>
  <c r="BO255" i="16"/>
  <c r="BP255" i="16"/>
  <c r="AA256" i="16"/>
  <c r="AB256" i="16"/>
  <c r="AC256" i="16"/>
  <c r="AD256" i="16"/>
  <c r="AE256" i="16"/>
  <c r="AF256" i="16"/>
  <c r="AG256" i="16"/>
  <c r="AH256" i="16"/>
  <c r="AI256" i="16"/>
  <c r="AJ256" i="16"/>
  <c r="AK256" i="16"/>
  <c r="AL256" i="16"/>
  <c r="AM256" i="16"/>
  <c r="AN256" i="16"/>
  <c r="AO256" i="16"/>
  <c r="AP256" i="16"/>
  <c r="AQ256" i="16"/>
  <c r="AR256" i="16"/>
  <c r="AS256" i="16"/>
  <c r="AT256" i="16"/>
  <c r="AU256" i="16"/>
  <c r="AV256" i="16"/>
  <c r="AW256" i="16"/>
  <c r="AX256" i="16"/>
  <c r="AY256" i="16"/>
  <c r="AZ256" i="16"/>
  <c r="BA256" i="16"/>
  <c r="BB256" i="16"/>
  <c r="BC256" i="16"/>
  <c r="BD256" i="16"/>
  <c r="BE256" i="16"/>
  <c r="BF256" i="16"/>
  <c r="BG256" i="16"/>
  <c r="BH256" i="16"/>
  <c r="BI256" i="16"/>
  <c r="BJ256" i="16"/>
  <c r="BK256" i="16"/>
  <c r="BL256" i="16"/>
  <c r="BM256" i="16"/>
  <c r="BN256" i="16"/>
  <c r="BO256" i="16"/>
  <c r="BP256" i="16"/>
  <c r="AA257" i="16"/>
  <c r="AB257" i="16"/>
  <c r="AC257" i="16"/>
  <c r="AD257" i="16"/>
  <c r="AE257" i="16"/>
  <c r="AF257" i="16"/>
  <c r="AG257" i="16"/>
  <c r="AH257" i="16"/>
  <c r="AI257" i="16"/>
  <c r="AJ257" i="16"/>
  <c r="AK257" i="16"/>
  <c r="AL257" i="16"/>
  <c r="AM257" i="16"/>
  <c r="AN257" i="16"/>
  <c r="AO257" i="16"/>
  <c r="AP257" i="16"/>
  <c r="AQ257" i="16"/>
  <c r="AR257" i="16"/>
  <c r="AS257" i="16"/>
  <c r="AT257" i="16"/>
  <c r="AU257" i="16"/>
  <c r="AV257" i="16"/>
  <c r="AW257" i="16"/>
  <c r="AX257" i="16"/>
  <c r="AY257" i="16"/>
  <c r="AZ257" i="16"/>
  <c r="BA257" i="16"/>
  <c r="BB257" i="16"/>
  <c r="BC257" i="16"/>
  <c r="BD257" i="16"/>
  <c r="BE257" i="16"/>
  <c r="BF257" i="16"/>
  <c r="BG257" i="16"/>
  <c r="BH257" i="16"/>
  <c r="BI257" i="16"/>
  <c r="BJ257" i="16"/>
  <c r="BK257" i="16"/>
  <c r="BL257" i="16"/>
  <c r="BM257" i="16"/>
  <c r="BN257" i="16"/>
  <c r="BO257" i="16"/>
  <c r="BP257" i="16"/>
  <c r="AA258" i="16"/>
  <c r="AB258" i="16"/>
  <c r="AC258" i="16"/>
  <c r="AD258" i="16"/>
  <c r="AE258" i="16"/>
  <c r="AF258" i="16"/>
  <c r="AG258" i="16"/>
  <c r="AH258" i="16"/>
  <c r="AI258" i="16"/>
  <c r="AJ258" i="16"/>
  <c r="AK258" i="16"/>
  <c r="AL258" i="16"/>
  <c r="AM258" i="16"/>
  <c r="AN258" i="16"/>
  <c r="AO258" i="16"/>
  <c r="AP258" i="16"/>
  <c r="AQ258" i="16"/>
  <c r="AR258" i="16"/>
  <c r="AS258" i="16"/>
  <c r="AT258" i="16"/>
  <c r="AU258" i="16"/>
  <c r="AV258" i="16"/>
  <c r="AW258" i="16"/>
  <c r="AX258" i="16"/>
  <c r="AY258" i="16"/>
  <c r="AZ258" i="16"/>
  <c r="BA258" i="16"/>
  <c r="BB258" i="16"/>
  <c r="BC258" i="16"/>
  <c r="BD258" i="16"/>
  <c r="BE258" i="16"/>
  <c r="BF258" i="16"/>
  <c r="BG258" i="16"/>
  <c r="BH258" i="16"/>
  <c r="BI258" i="16"/>
  <c r="BJ258" i="16"/>
  <c r="BK258" i="16"/>
  <c r="BL258" i="16"/>
  <c r="BM258" i="16"/>
  <c r="BN258" i="16"/>
  <c r="BO258" i="16"/>
  <c r="BP258" i="16"/>
  <c r="AA259" i="16"/>
  <c r="AB259" i="16"/>
  <c r="AC259" i="16"/>
  <c r="AD259" i="16"/>
  <c r="AE259" i="16"/>
  <c r="AF259" i="16"/>
  <c r="AG259" i="16"/>
  <c r="AH259" i="16"/>
  <c r="AI259" i="16"/>
  <c r="AJ259" i="16"/>
  <c r="AK259" i="16"/>
  <c r="AL259" i="16"/>
  <c r="AM259" i="16"/>
  <c r="AN259" i="16"/>
  <c r="AO259" i="16"/>
  <c r="AP259" i="16"/>
  <c r="AQ259" i="16"/>
  <c r="AR259" i="16"/>
  <c r="AS259" i="16"/>
  <c r="AT259" i="16"/>
  <c r="AU259" i="16"/>
  <c r="AV259" i="16"/>
  <c r="AW259" i="16"/>
  <c r="AX259" i="16"/>
  <c r="AY259" i="16"/>
  <c r="AZ259" i="16"/>
  <c r="BA259" i="16"/>
  <c r="BB259" i="16"/>
  <c r="BC259" i="16"/>
  <c r="BD259" i="16"/>
  <c r="BE259" i="16"/>
  <c r="BF259" i="16"/>
  <c r="BG259" i="16"/>
  <c r="BH259" i="16"/>
  <c r="BI259" i="16"/>
  <c r="BJ259" i="16"/>
  <c r="BK259" i="16"/>
  <c r="BL259" i="16"/>
  <c r="BM259" i="16"/>
  <c r="BN259" i="16"/>
  <c r="BO259" i="16"/>
  <c r="BP259" i="16"/>
  <c r="AA260" i="16"/>
  <c r="AB260" i="16"/>
  <c r="AC260" i="16"/>
  <c r="AD260" i="16"/>
  <c r="AE260" i="16"/>
  <c r="AF260" i="16"/>
  <c r="AG260" i="16"/>
  <c r="AH260" i="16"/>
  <c r="AI260" i="16"/>
  <c r="AJ260" i="16"/>
  <c r="AK260" i="16"/>
  <c r="AL260" i="16"/>
  <c r="AM260" i="16"/>
  <c r="AN260" i="16"/>
  <c r="AO260" i="16"/>
  <c r="AP260" i="16"/>
  <c r="AQ260" i="16"/>
  <c r="AR260" i="16"/>
  <c r="AS260" i="16"/>
  <c r="AT260" i="16"/>
  <c r="AU260" i="16"/>
  <c r="AV260" i="16"/>
  <c r="AW260" i="16"/>
  <c r="AX260" i="16"/>
  <c r="AY260" i="16"/>
  <c r="AZ260" i="16"/>
  <c r="BA260" i="16"/>
  <c r="BB260" i="16"/>
  <c r="BC260" i="16"/>
  <c r="BD260" i="16"/>
  <c r="BE260" i="16"/>
  <c r="BF260" i="16"/>
  <c r="BG260" i="16"/>
  <c r="BH260" i="16"/>
  <c r="BI260" i="16"/>
  <c r="BJ260" i="16"/>
  <c r="BK260" i="16"/>
  <c r="BL260" i="16"/>
  <c r="BM260" i="16"/>
  <c r="BN260" i="16"/>
  <c r="BO260" i="16"/>
  <c r="BP260" i="16"/>
  <c r="AA261" i="16"/>
  <c r="AB261" i="16"/>
  <c r="AC261" i="16"/>
  <c r="AD261" i="16"/>
  <c r="AE261" i="16"/>
  <c r="AF261" i="16"/>
  <c r="AG261" i="16"/>
  <c r="AH261" i="16"/>
  <c r="AI261" i="16"/>
  <c r="AJ261" i="16"/>
  <c r="AK261" i="16"/>
  <c r="AL261" i="16"/>
  <c r="AM261" i="16"/>
  <c r="AN261" i="16"/>
  <c r="AO261" i="16"/>
  <c r="AP261" i="16"/>
  <c r="AQ261" i="16"/>
  <c r="AR261" i="16"/>
  <c r="AS261" i="16"/>
  <c r="AT261" i="16"/>
  <c r="AU261" i="16"/>
  <c r="AV261" i="16"/>
  <c r="AW261" i="16"/>
  <c r="AX261" i="16"/>
  <c r="AY261" i="16"/>
  <c r="AZ261" i="16"/>
  <c r="BA261" i="16"/>
  <c r="BB261" i="16"/>
  <c r="BC261" i="16"/>
  <c r="BD261" i="16"/>
  <c r="BE261" i="16"/>
  <c r="BF261" i="16"/>
  <c r="BG261" i="16"/>
  <c r="BH261" i="16"/>
  <c r="BI261" i="16"/>
  <c r="BJ261" i="16"/>
  <c r="BK261" i="16"/>
  <c r="BL261" i="16"/>
  <c r="BM261" i="16"/>
  <c r="BN261" i="16"/>
  <c r="BO261" i="16"/>
  <c r="BP261" i="16"/>
  <c r="AA262" i="16"/>
  <c r="AB262" i="16"/>
  <c r="AC262" i="16"/>
  <c r="AD262" i="16"/>
  <c r="AE262" i="16"/>
  <c r="AF262" i="16"/>
  <c r="AG262" i="16"/>
  <c r="AH262" i="16"/>
  <c r="AI262" i="16"/>
  <c r="AJ262" i="16"/>
  <c r="AK262" i="16"/>
  <c r="AL262" i="16"/>
  <c r="AM262" i="16"/>
  <c r="AN262" i="16"/>
  <c r="AO262" i="16"/>
  <c r="AP262" i="16"/>
  <c r="AQ262" i="16"/>
  <c r="AR262" i="16"/>
  <c r="AS262" i="16"/>
  <c r="AT262" i="16"/>
  <c r="AU262" i="16"/>
  <c r="AV262" i="16"/>
  <c r="AW262" i="16"/>
  <c r="AX262" i="16"/>
  <c r="AY262" i="16"/>
  <c r="AZ262" i="16"/>
  <c r="BA262" i="16"/>
  <c r="BB262" i="16"/>
  <c r="BC262" i="16"/>
  <c r="BD262" i="16"/>
  <c r="BE262" i="16"/>
  <c r="BF262" i="16"/>
  <c r="BG262" i="16"/>
  <c r="BH262" i="16"/>
  <c r="BI262" i="16"/>
  <c r="BJ262" i="16"/>
  <c r="BK262" i="16"/>
  <c r="BL262" i="16"/>
  <c r="BM262" i="16"/>
  <c r="BN262" i="16"/>
  <c r="BO262" i="16"/>
  <c r="BP262" i="16"/>
  <c r="AA263" i="16"/>
  <c r="AB263" i="16"/>
  <c r="AC263" i="16"/>
  <c r="AD263" i="16"/>
  <c r="AE263" i="16"/>
  <c r="AF263" i="16"/>
  <c r="AG263" i="16"/>
  <c r="AH263" i="16"/>
  <c r="AI263" i="16"/>
  <c r="AJ263" i="16"/>
  <c r="AK263" i="16"/>
  <c r="AL263" i="16"/>
  <c r="AM263" i="16"/>
  <c r="AN263" i="16"/>
  <c r="AO263" i="16"/>
  <c r="AP263" i="16"/>
  <c r="AQ263" i="16"/>
  <c r="AR263" i="16"/>
  <c r="AS263" i="16"/>
  <c r="AT263" i="16"/>
  <c r="AU263" i="16"/>
  <c r="AV263" i="16"/>
  <c r="AW263" i="16"/>
  <c r="AX263" i="16"/>
  <c r="AY263" i="16"/>
  <c r="AZ263" i="16"/>
  <c r="BA263" i="16"/>
  <c r="BB263" i="16"/>
  <c r="BC263" i="16"/>
  <c r="BD263" i="16"/>
  <c r="BE263" i="16"/>
  <c r="BF263" i="16"/>
  <c r="BG263" i="16"/>
  <c r="BH263" i="16"/>
  <c r="BI263" i="16"/>
  <c r="BJ263" i="16"/>
  <c r="BK263" i="16"/>
  <c r="BL263" i="16"/>
  <c r="BM263" i="16"/>
  <c r="BN263" i="16"/>
  <c r="BO263" i="16"/>
  <c r="BP263" i="16"/>
  <c r="AA264" i="16"/>
  <c r="AB264" i="16"/>
  <c r="AC264" i="16"/>
  <c r="AD264" i="16"/>
  <c r="AE264" i="16"/>
  <c r="AF264" i="16"/>
  <c r="AG264" i="16"/>
  <c r="AH264" i="16"/>
  <c r="AI264" i="16"/>
  <c r="AJ264" i="16"/>
  <c r="AK264" i="16"/>
  <c r="AL264" i="16"/>
  <c r="AM264" i="16"/>
  <c r="AN264" i="16"/>
  <c r="AO264" i="16"/>
  <c r="AP264" i="16"/>
  <c r="AQ264" i="16"/>
  <c r="AR264" i="16"/>
  <c r="AS264" i="16"/>
  <c r="AT264" i="16"/>
  <c r="AU264" i="16"/>
  <c r="AV264" i="16"/>
  <c r="AW264" i="16"/>
  <c r="AX264" i="16"/>
  <c r="AY264" i="16"/>
  <c r="AZ264" i="16"/>
  <c r="BA264" i="16"/>
  <c r="BB264" i="16"/>
  <c r="BC264" i="16"/>
  <c r="BD264" i="16"/>
  <c r="BE264" i="16"/>
  <c r="BF264" i="16"/>
  <c r="BG264" i="16"/>
  <c r="BH264" i="16"/>
  <c r="BI264" i="16"/>
  <c r="BJ264" i="16"/>
  <c r="BK264" i="16"/>
  <c r="BL264" i="16"/>
  <c r="BM264" i="16"/>
  <c r="BN264" i="16"/>
  <c r="BO264" i="16"/>
  <c r="BP264" i="16"/>
  <c r="AA265" i="16"/>
  <c r="AB265" i="16"/>
  <c r="AC265" i="16"/>
  <c r="AD265" i="16"/>
  <c r="AE265" i="16"/>
  <c r="AF265" i="16"/>
  <c r="AG265" i="16"/>
  <c r="AH265" i="16"/>
  <c r="AI265" i="16"/>
  <c r="AJ265" i="16"/>
  <c r="AK265" i="16"/>
  <c r="AL265" i="16"/>
  <c r="AM265" i="16"/>
  <c r="AN265" i="16"/>
  <c r="AO265" i="16"/>
  <c r="AP265" i="16"/>
  <c r="AQ265" i="16"/>
  <c r="AR265" i="16"/>
  <c r="AS265" i="16"/>
  <c r="AT265" i="16"/>
  <c r="AU265" i="16"/>
  <c r="AV265" i="16"/>
  <c r="AW265" i="16"/>
  <c r="AX265" i="16"/>
  <c r="AY265" i="16"/>
  <c r="AZ265" i="16"/>
  <c r="BA265" i="16"/>
  <c r="BB265" i="16"/>
  <c r="BC265" i="16"/>
  <c r="BD265" i="16"/>
  <c r="BE265" i="16"/>
  <c r="BF265" i="16"/>
  <c r="BG265" i="16"/>
  <c r="BH265" i="16"/>
  <c r="BI265" i="16"/>
  <c r="BJ265" i="16"/>
  <c r="BK265" i="16"/>
  <c r="BL265" i="16"/>
  <c r="BM265" i="16"/>
  <c r="BN265" i="16"/>
  <c r="BO265" i="16"/>
  <c r="BP265" i="16"/>
  <c r="AA266" i="16"/>
  <c r="AB266" i="16"/>
  <c r="AC266" i="16"/>
  <c r="AD266" i="16"/>
  <c r="AE266" i="16"/>
  <c r="AF266" i="16"/>
  <c r="AG266" i="16"/>
  <c r="AH266" i="16"/>
  <c r="AI266" i="16"/>
  <c r="AJ266" i="16"/>
  <c r="AK266" i="16"/>
  <c r="AL266" i="16"/>
  <c r="AM266" i="16"/>
  <c r="AN266" i="16"/>
  <c r="AO266" i="16"/>
  <c r="AP266" i="16"/>
  <c r="AQ266" i="16"/>
  <c r="AR266" i="16"/>
  <c r="AS266" i="16"/>
  <c r="AT266" i="16"/>
  <c r="AU266" i="16"/>
  <c r="AV266" i="16"/>
  <c r="AW266" i="16"/>
  <c r="AX266" i="16"/>
  <c r="AY266" i="16"/>
  <c r="AZ266" i="16"/>
  <c r="BA266" i="16"/>
  <c r="BB266" i="16"/>
  <c r="BC266" i="16"/>
  <c r="BD266" i="16"/>
  <c r="BE266" i="16"/>
  <c r="BF266" i="16"/>
  <c r="BG266" i="16"/>
  <c r="BH266" i="16"/>
  <c r="BI266" i="16"/>
  <c r="BJ266" i="16"/>
  <c r="BK266" i="16"/>
  <c r="BL266" i="16"/>
  <c r="BM266" i="16"/>
  <c r="BN266" i="16"/>
  <c r="BO266" i="16"/>
  <c r="BP266" i="16"/>
  <c r="AA267" i="16"/>
  <c r="AB267" i="16"/>
  <c r="AC267" i="16"/>
  <c r="AD267" i="16"/>
  <c r="AE267" i="16"/>
  <c r="AF267" i="16"/>
  <c r="AG267" i="16"/>
  <c r="AH267" i="16"/>
  <c r="AI267" i="16"/>
  <c r="AJ267" i="16"/>
  <c r="AK267" i="16"/>
  <c r="AL267" i="16"/>
  <c r="AM267" i="16"/>
  <c r="AN267" i="16"/>
  <c r="AO267" i="16"/>
  <c r="AP267" i="16"/>
  <c r="AQ267" i="16"/>
  <c r="AR267" i="16"/>
  <c r="AS267" i="16"/>
  <c r="AT267" i="16"/>
  <c r="AU267" i="16"/>
  <c r="AV267" i="16"/>
  <c r="AW267" i="16"/>
  <c r="AX267" i="16"/>
  <c r="AY267" i="16"/>
  <c r="AZ267" i="16"/>
  <c r="BA267" i="16"/>
  <c r="BB267" i="16"/>
  <c r="BC267" i="16"/>
  <c r="BD267" i="16"/>
  <c r="BE267" i="16"/>
  <c r="BF267" i="16"/>
  <c r="BG267" i="16"/>
  <c r="BH267" i="16"/>
  <c r="BI267" i="16"/>
  <c r="BJ267" i="16"/>
  <c r="BK267" i="16"/>
  <c r="BL267" i="16"/>
  <c r="BM267" i="16"/>
  <c r="BN267" i="16"/>
  <c r="BO267" i="16"/>
  <c r="BP267" i="16"/>
  <c r="AA268" i="16"/>
  <c r="AB268" i="16"/>
  <c r="AC268" i="16"/>
  <c r="AD268" i="16"/>
  <c r="AE268" i="16"/>
  <c r="AF268" i="16"/>
  <c r="AG268" i="16"/>
  <c r="AH268" i="16"/>
  <c r="AI268" i="16"/>
  <c r="AJ268" i="16"/>
  <c r="AK268" i="16"/>
  <c r="AL268" i="16"/>
  <c r="AM268" i="16"/>
  <c r="AN268" i="16"/>
  <c r="AO268" i="16"/>
  <c r="AP268" i="16"/>
  <c r="AQ268" i="16"/>
  <c r="AR268" i="16"/>
  <c r="AS268" i="16"/>
  <c r="AT268" i="16"/>
  <c r="AU268" i="16"/>
  <c r="AV268" i="16"/>
  <c r="AW268" i="16"/>
  <c r="AX268" i="16"/>
  <c r="AY268" i="16"/>
  <c r="AZ268" i="16"/>
  <c r="BA268" i="16"/>
  <c r="BB268" i="16"/>
  <c r="BC268" i="16"/>
  <c r="BD268" i="16"/>
  <c r="BE268" i="16"/>
  <c r="BF268" i="16"/>
  <c r="BG268" i="16"/>
  <c r="BH268" i="16"/>
  <c r="BI268" i="16"/>
  <c r="BJ268" i="16"/>
  <c r="BK268" i="16"/>
  <c r="BL268" i="16"/>
  <c r="BM268" i="16"/>
  <c r="BN268" i="16"/>
  <c r="BO268" i="16"/>
  <c r="BP268" i="16"/>
  <c r="AA269" i="16"/>
  <c r="AB269" i="16"/>
  <c r="AC269" i="16"/>
  <c r="AD269" i="16"/>
  <c r="AE269" i="16"/>
  <c r="AF269" i="16"/>
  <c r="AG269" i="16"/>
  <c r="AH269" i="16"/>
  <c r="AI269" i="16"/>
  <c r="AJ269" i="16"/>
  <c r="AK269" i="16"/>
  <c r="AL269" i="16"/>
  <c r="AM269" i="16"/>
  <c r="AN269" i="16"/>
  <c r="AO269" i="16"/>
  <c r="AP269" i="16"/>
  <c r="AQ269" i="16"/>
  <c r="AR269" i="16"/>
  <c r="AS269" i="16"/>
  <c r="AT269" i="16"/>
  <c r="AU269" i="16"/>
  <c r="AV269" i="16"/>
  <c r="AW269" i="16"/>
  <c r="AX269" i="16"/>
  <c r="AY269" i="16"/>
  <c r="AZ269" i="16"/>
  <c r="BA269" i="16"/>
  <c r="BB269" i="16"/>
  <c r="BC269" i="16"/>
  <c r="BD269" i="16"/>
  <c r="BE269" i="16"/>
  <c r="BF269" i="16"/>
  <c r="BG269" i="16"/>
  <c r="BH269" i="16"/>
  <c r="BI269" i="16"/>
  <c r="BJ269" i="16"/>
  <c r="BK269" i="16"/>
  <c r="BL269" i="16"/>
  <c r="BM269" i="16"/>
  <c r="BN269" i="16"/>
  <c r="BO269" i="16"/>
  <c r="BP269" i="16"/>
  <c r="AA270" i="16"/>
  <c r="AB270" i="16"/>
  <c r="AC270" i="16"/>
  <c r="AD270" i="16"/>
  <c r="AE270" i="16"/>
  <c r="AF270" i="16"/>
  <c r="AG270" i="16"/>
  <c r="AH270" i="16"/>
  <c r="AI270" i="16"/>
  <c r="AJ270" i="16"/>
  <c r="AK270" i="16"/>
  <c r="AL270" i="16"/>
  <c r="AM270" i="16"/>
  <c r="AN270" i="16"/>
  <c r="AO270" i="16"/>
  <c r="AP270" i="16"/>
  <c r="AQ270" i="16"/>
  <c r="AR270" i="16"/>
  <c r="AS270" i="16"/>
  <c r="AT270" i="16"/>
  <c r="AU270" i="16"/>
  <c r="AV270" i="16"/>
  <c r="AW270" i="16"/>
  <c r="AX270" i="16"/>
  <c r="AY270" i="16"/>
  <c r="AZ270" i="16"/>
  <c r="BA270" i="16"/>
  <c r="BB270" i="16"/>
  <c r="BC270" i="16"/>
  <c r="BD270" i="16"/>
  <c r="BE270" i="16"/>
  <c r="BF270" i="16"/>
  <c r="BG270" i="16"/>
  <c r="BH270" i="16"/>
  <c r="BI270" i="16"/>
  <c r="BJ270" i="16"/>
  <c r="BK270" i="16"/>
  <c r="BL270" i="16"/>
  <c r="BM270" i="16"/>
  <c r="BN270" i="16"/>
  <c r="BO270" i="16"/>
  <c r="BP270" i="16"/>
  <c r="AA271" i="16"/>
  <c r="AB271" i="16"/>
  <c r="AC271" i="16"/>
  <c r="AD271" i="16"/>
  <c r="AE271" i="16"/>
  <c r="AF271" i="16"/>
  <c r="AG271" i="16"/>
  <c r="AH271" i="16"/>
  <c r="AI271" i="16"/>
  <c r="AJ271" i="16"/>
  <c r="AK271" i="16"/>
  <c r="AL271" i="16"/>
  <c r="AM271" i="16"/>
  <c r="AN271" i="16"/>
  <c r="AO271" i="16"/>
  <c r="AP271" i="16"/>
  <c r="AQ271" i="16"/>
  <c r="AR271" i="16"/>
  <c r="AS271" i="16"/>
  <c r="AT271" i="16"/>
  <c r="AU271" i="16"/>
  <c r="AV271" i="16"/>
  <c r="AW271" i="16"/>
  <c r="AX271" i="16"/>
  <c r="AY271" i="16"/>
  <c r="AZ271" i="16"/>
  <c r="BA271" i="16"/>
  <c r="BB271" i="16"/>
  <c r="BC271" i="16"/>
  <c r="BD271" i="16"/>
  <c r="BE271" i="16"/>
  <c r="BF271" i="16"/>
  <c r="BG271" i="16"/>
  <c r="BH271" i="16"/>
  <c r="BI271" i="16"/>
  <c r="BJ271" i="16"/>
  <c r="BK271" i="16"/>
  <c r="BL271" i="16"/>
  <c r="BM271" i="16"/>
  <c r="BN271" i="16"/>
  <c r="BO271" i="16"/>
  <c r="BP271" i="16"/>
  <c r="AA272" i="16"/>
  <c r="AB272" i="16"/>
  <c r="AC272" i="16"/>
  <c r="AD272" i="16"/>
  <c r="AE272" i="16"/>
  <c r="AF272" i="16"/>
  <c r="AG272" i="16"/>
  <c r="AH272" i="16"/>
  <c r="AI272" i="16"/>
  <c r="AJ272" i="16"/>
  <c r="AK272" i="16"/>
  <c r="AL272" i="16"/>
  <c r="AM272" i="16"/>
  <c r="AN272" i="16"/>
  <c r="AO272" i="16"/>
  <c r="AP272" i="16"/>
  <c r="AQ272" i="16"/>
  <c r="AR272" i="16"/>
  <c r="AS272" i="16"/>
  <c r="AT272" i="16"/>
  <c r="AU272" i="16"/>
  <c r="AV272" i="16"/>
  <c r="AW272" i="16"/>
  <c r="AX272" i="16"/>
  <c r="AY272" i="16"/>
  <c r="AZ272" i="16"/>
  <c r="BA272" i="16"/>
  <c r="BB272" i="16"/>
  <c r="BC272" i="16"/>
  <c r="BD272" i="16"/>
  <c r="BE272" i="16"/>
  <c r="BF272" i="16"/>
  <c r="BG272" i="16"/>
  <c r="BH272" i="16"/>
  <c r="BI272" i="16"/>
  <c r="BJ272" i="16"/>
  <c r="BK272" i="16"/>
  <c r="BL272" i="16"/>
  <c r="BM272" i="16"/>
  <c r="BN272" i="16"/>
  <c r="BO272" i="16"/>
  <c r="BP272" i="16"/>
  <c r="AA273" i="16"/>
  <c r="AB273" i="16"/>
  <c r="AC273" i="16"/>
  <c r="AD273" i="16"/>
  <c r="AE273" i="16"/>
  <c r="AF273" i="16"/>
  <c r="AG273" i="16"/>
  <c r="AH273" i="16"/>
  <c r="AI273" i="16"/>
  <c r="AJ273" i="16"/>
  <c r="AK273" i="16"/>
  <c r="AL273" i="16"/>
  <c r="AM273" i="16"/>
  <c r="AN273" i="16"/>
  <c r="AO273" i="16"/>
  <c r="AP273" i="16"/>
  <c r="AQ273" i="16"/>
  <c r="AR273" i="16"/>
  <c r="AS273" i="16"/>
  <c r="AT273" i="16"/>
  <c r="AU273" i="16"/>
  <c r="AV273" i="16"/>
  <c r="AW273" i="16"/>
  <c r="AX273" i="16"/>
  <c r="AY273" i="16"/>
  <c r="AZ273" i="16"/>
  <c r="BA273" i="16"/>
  <c r="BB273" i="16"/>
  <c r="BC273" i="16"/>
  <c r="BD273" i="16"/>
  <c r="BE273" i="16"/>
  <c r="BF273" i="16"/>
  <c r="BG273" i="16"/>
  <c r="BH273" i="16"/>
  <c r="BI273" i="16"/>
  <c r="BJ273" i="16"/>
  <c r="BK273" i="16"/>
  <c r="BL273" i="16"/>
  <c r="BM273" i="16"/>
  <c r="BN273" i="16"/>
  <c r="BO273" i="16"/>
  <c r="BP273" i="16"/>
  <c r="AA274" i="16"/>
  <c r="AB274" i="16"/>
  <c r="AC274" i="16"/>
  <c r="AD274" i="16"/>
  <c r="AE274" i="16"/>
  <c r="AF274" i="16"/>
  <c r="AG274" i="16"/>
  <c r="AH274" i="16"/>
  <c r="AI274" i="16"/>
  <c r="AJ274" i="16"/>
  <c r="AK274" i="16"/>
  <c r="AL274" i="16"/>
  <c r="AM274" i="16"/>
  <c r="AN274" i="16"/>
  <c r="AO274" i="16"/>
  <c r="AP274" i="16"/>
  <c r="AQ274" i="16"/>
  <c r="AR274" i="16"/>
  <c r="AS274" i="16"/>
  <c r="AT274" i="16"/>
  <c r="AU274" i="16"/>
  <c r="AV274" i="16"/>
  <c r="AW274" i="16"/>
  <c r="AX274" i="16"/>
  <c r="AY274" i="16"/>
  <c r="AZ274" i="16"/>
  <c r="BA274" i="16"/>
  <c r="BB274" i="16"/>
  <c r="BC274" i="16"/>
  <c r="BD274" i="16"/>
  <c r="BE274" i="16"/>
  <c r="BF274" i="16"/>
  <c r="BG274" i="16"/>
  <c r="BH274" i="16"/>
  <c r="BI274" i="16"/>
  <c r="BJ274" i="16"/>
  <c r="BK274" i="16"/>
  <c r="BL274" i="16"/>
  <c r="BM274" i="16"/>
  <c r="BN274" i="16"/>
  <c r="BO274" i="16"/>
  <c r="BP274" i="16"/>
  <c r="AA275" i="16"/>
  <c r="AB275" i="16"/>
  <c r="AC275" i="16"/>
  <c r="AD275" i="16"/>
  <c r="AE275" i="16"/>
  <c r="AF275" i="16"/>
  <c r="AG275" i="16"/>
  <c r="AH275" i="16"/>
  <c r="AI275" i="16"/>
  <c r="AJ275" i="16"/>
  <c r="AK275" i="16"/>
  <c r="AL275" i="16"/>
  <c r="AM275" i="16"/>
  <c r="AN275" i="16"/>
  <c r="AO275" i="16"/>
  <c r="AP275" i="16"/>
  <c r="AQ275" i="16"/>
  <c r="AR275" i="16"/>
  <c r="AS275" i="16"/>
  <c r="AT275" i="16"/>
  <c r="AU275" i="16"/>
  <c r="AV275" i="16"/>
  <c r="AW275" i="16"/>
  <c r="AX275" i="16"/>
  <c r="AY275" i="16"/>
  <c r="AZ275" i="16"/>
  <c r="BA275" i="16"/>
  <c r="BB275" i="16"/>
  <c r="BC275" i="16"/>
  <c r="BD275" i="16"/>
  <c r="BE275" i="16"/>
  <c r="BF275" i="16"/>
  <c r="BG275" i="16"/>
  <c r="BH275" i="16"/>
  <c r="BI275" i="16"/>
  <c r="BJ275" i="16"/>
  <c r="BK275" i="16"/>
  <c r="BL275" i="16"/>
  <c r="BM275" i="16"/>
  <c r="BN275" i="16"/>
  <c r="BO275" i="16"/>
  <c r="BP275" i="16"/>
  <c r="AA276" i="16"/>
  <c r="AB276" i="16"/>
  <c r="AC276" i="16"/>
  <c r="AD276" i="16"/>
  <c r="AE276" i="16"/>
  <c r="AF276" i="16"/>
  <c r="AG276" i="16"/>
  <c r="AH276" i="16"/>
  <c r="AI276" i="16"/>
  <c r="AJ276" i="16"/>
  <c r="AK276" i="16"/>
  <c r="AL276" i="16"/>
  <c r="AM276" i="16"/>
  <c r="AN276" i="16"/>
  <c r="AO276" i="16"/>
  <c r="AP276" i="16"/>
  <c r="AQ276" i="16"/>
  <c r="AR276" i="16"/>
  <c r="AS276" i="16"/>
  <c r="AT276" i="16"/>
  <c r="AU276" i="16"/>
  <c r="AV276" i="16"/>
  <c r="AW276" i="16"/>
  <c r="AX276" i="16"/>
  <c r="AY276" i="16"/>
  <c r="AZ276" i="16"/>
  <c r="BA276" i="16"/>
  <c r="BB276" i="16"/>
  <c r="BC276" i="16"/>
  <c r="BD276" i="16"/>
  <c r="BE276" i="16"/>
  <c r="BF276" i="16"/>
  <c r="BG276" i="16"/>
  <c r="BH276" i="16"/>
  <c r="BI276" i="16"/>
  <c r="BJ276" i="16"/>
  <c r="BK276" i="16"/>
  <c r="BL276" i="16"/>
  <c r="BM276" i="16"/>
  <c r="BN276" i="16"/>
  <c r="BO276" i="16"/>
  <c r="BP276" i="16"/>
  <c r="AA277" i="16"/>
  <c r="AB277" i="16"/>
  <c r="AC277" i="16"/>
  <c r="AD277" i="16"/>
  <c r="AE277" i="16"/>
  <c r="AF277" i="16"/>
  <c r="AG277" i="16"/>
  <c r="AH277" i="16"/>
  <c r="AI277" i="16"/>
  <c r="AJ277" i="16"/>
  <c r="AK277" i="16"/>
  <c r="AL277" i="16"/>
  <c r="AM277" i="16"/>
  <c r="AN277" i="16"/>
  <c r="AO277" i="16"/>
  <c r="AP277" i="16"/>
  <c r="AQ277" i="16"/>
  <c r="AR277" i="16"/>
  <c r="AS277" i="16"/>
  <c r="AT277" i="16"/>
  <c r="AU277" i="16"/>
  <c r="AV277" i="16"/>
  <c r="AW277" i="16"/>
  <c r="AX277" i="16"/>
  <c r="AY277" i="16"/>
  <c r="AZ277" i="16"/>
  <c r="BA277" i="16"/>
  <c r="BB277" i="16"/>
  <c r="BC277" i="16"/>
  <c r="BD277" i="16"/>
  <c r="BE277" i="16"/>
  <c r="BF277" i="16"/>
  <c r="BG277" i="16"/>
  <c r="BH277" i="16"/>
  <c r="BI277" i="16"/>
  <c r="BJ277" i="16"/>
  <c r="BK277" i="16"/>
  <c r="BL277" i="16"/>
  <c r="BM277" i="16"/>
  <c r="BN277" i="16"/>
  <c r="BO277" i="16"/>
  <c r="BP277" i="16"/>
  <c r="AA278" i="16"/>
  <c r="AB278" i="16"/>
  <c r="AC278" i="16"/>
  <c r="AD278" i="16"/>
  <c r="AE278" i="16"/>
  <c r="AF278" i="16"/>
  <c r="AG278" i="16"/>
  <c r="AH278" i="16"/>
  <c r="AI278" i="16"/>
  <c r="AJ278" i="16"/>
  <c r="AK278" i="16"/>
  <c r="AL278" i="16"/>
  <c r="AM278" i="16"/>
  <c r="AN278" i="16"/>
  <c r="AO278" i="16"/>
  <c r="AP278" i="16"/>
  <c r="AQ278" i="16"/>
  <c r="AR278" i="16"/>
  <c r="AS278" i="16"/>
  <c r="AT278" i="16"/>
  <c r="AU278" i="16"/>
  <c r="AV278" i="16"/>
  <c r="AW278" i="16"/>
  <c r="AX278" i="16"/>
  <c r="AY278" i="16"/>
  <c r="AZ278" i="16"/>
  <c r="BA278" i="16"/>
  <c r="BB278" i="16"/>
  <c r="BC278" i="16"/>
  <c r="BD278" i="16"/>
  <c r="BE278" i="16"/>
  <c r="BF278" i="16"/>
  <c r="BG278" i="16"/>
  <c r="BH278" i="16"/>
  <c r="BI278" i="16"/>
  <c r="BJ278" i="16"/>
  <c r="BK278" i="16"/>
  <c r="BL278" i="16"/>
  <c r="BM278" i="16"/>
  <c r="BN278" i="16"/>
  <c r="BO278" i="16"/>
  <c r="BP278" i="16"/>
  <c r="AA279" i="16"/>
  <c r="AB279" i="16"/>
  <c r="AC279" i="16"/>
  <c r="AD279" i="16"/>
  <c r="AE279" i="16"/>
  <c r="AF279" i="16"/>
  <c r="AG279" i="16"/>
  <c r="AH279" i="16"/>
  <c r="AI279" i="16"/>
  <c r="AJ279" i="16"/>
  <c r="AK279" i="16"/>
  <c r="AL279" i="16"/>
  <c r="AM279" i="16"/>
  <c r="AN279" i="16"/>
  <c r="AO279" i="16"/>
  <c r="AP279" i="16"/>
  <c r="AQ279" i="16"/>
  <c r="AR279" i="16"/>
  <c r="AS279" i="16"/>
  <c r="AT279" i="16"/>
  <c r="AU279" i="16"/>
  <c r="AV279" i="16"/>
  <c r="AW279" i="16"/>
  <c r="AX279" i="16"/>
  <c r="AY279" i="16"/>
  <c r="AZ279" i="16"/>
  <c r="BA279" i="16"/>
  <c r="BB279" i="16"/>
  <c r="BC279" i="16"/>
  <c r="BD279" i="16"/>
  <c r="BE279" i="16"/>
  <c r="BF279" i="16"/>
  <c r="BG279" i="16"/>
  <c r="BH279" i="16"/>
  <c r="BI279" i="16"/>
  <c r="BJ279" i="16"/>
  <c r="BK279" i="16"/>
  <c r="BL279" i="16"/>
  <c r="BM279" i="16"/>
  <c r="BN279" i="16"/>
  <c r="BO279" i="16"/>
  <c r="BP279" i="16"/>
  <c r="AA280" i="16"/>
  <c r="AB280" i="16"/>
  <c r="AC280" i="16"/>
  <c r="AD280" i="16"/>
  <c r="AE280" i="16"/>
  <c r="AF280" i="16"/>
  <c r="AG280" i="16"/>
  <c r="AH280" i="16"/>
  <c r="AI280" i="16"/>
  <c r="AJ280" i="16"/>
  <c r="AK280" i="16"/>
  <c r="AL280" i="16"/>
  <c r="AM280" i="16"/>
  <c r="AN280" i="16"/>
  <c r="AO280" i="16"/>
  <c r="AP280" i="16"/>
  <c r="AQ280" i="16"/>
  <c r="AR280" i="16"/>
  <c r="AS280" i="16"/>
  <c r="AT280" i="16"/>
  <c r="AU280" i="16"/>
  <c r="AV280" i="16"/>
  <c r="AW280" i="16"/>
  <c r="AX280" i="16"/>
  <c r="AY280" i="16"/>
  <c r="AZ280" i="16"/>
  <c r="BA280" i="16"/>
  <c r="BB280" i="16"/>
  <c r="BC280" i="16"/>
  <c r="BD280" i="16"/>
  <c r="BE280" i="16"/>
  <c r="BF280" i="16"/>
  <c r="BG280" i="16"/>
  <c r="BH280" i="16"/>
  <c r="BI280" i="16"/>
  <c r="BJ280" i="16"/>
  <c r="BK280" i="16"/>
  <c r="BL280" i="16"/>
  <c r="BM280" i="16"/>
  <c r="BN280" i="16"/>
  <c r="BO280" i="16"/>
  <c r="BP280" i="16"/>
  <c r="AA281" i="16"/>
  <c r="AB281" i="16"/>
  <c r="AC281" i="16"/>
  <c r="AD281" i="16"/>
  <c r="AE281" i="16"/>
  <c r="AF281" i="16"/>
  <c r="AG281" i="16"/>
  <c r="AH281" i="16"/>
  <c r="AI281" i="16"/>
  <c r="AJ281" i="16"/>
  <c r="AK281" i="16"/>
  <c r="AL281" i="16"/>
  <c r="AM281" i="16"/>
  <c r="AN281" i="16"/>
  <c r="AO281" i="16"/>
  <c r="AP281" i="16"/>
  <c r="AQ281" i="16"/>
  <c r="AR281" i="16"/>
  <c r="AS281" i="16"/>
  <c r="AT281" i="16"/>
  <c r="AU281" i="16"/>
  <c r="AV281" i="16"/>
  <c r="AW281" i="16"/>
  <c r="AX281" i="16"/>
  <c r="AY281" i="16"/>
  <c r="AZ281" i="16"/>
  <c r="BA281" i="16"/>
  <c r="BB281" i="16"/>
  <c r="BC281" i="16"/>
  <c r="BD281" i="16"/>
  <c r="BE281" i="16"/>
  <c r="BF281" i="16"/>
  <c r="BG281" i="16"/>
  <c r="BH281" i="16"/>
  <c r="BI281" i="16"/>
  <c r="BJ281" i="16"/>
  <c r="BK281" i="16"/>
  <c r="BL281" i="16"/>
  <c r="BM281" i="16"/>
  <c r="BN281" i="16"/>
  <c r="BO281" i="16"/>
  <c r="BP281" i="16"/>
  <c r="AA282" i="16"/>
  <c r="AB282" i="16"/>
  <c r="AC282" i="16"/>
  <c r="AD282" i="16"/>
  <c r="AE282" i="16"/>
  <c r="AF282" i="16"/>
  <c r="AG282" i="16"/>
  <c r="AH282" i="16"/>
  <c r="AI282" i="16"/>
  <c r="AJ282" i="16"/>
  <c r="AK282" i="16"/>
  <c r="AL282" i="16"/>
  <c r="AM282" i="16"/>
  <c r="AN282" i="16"/>
  <c r="AO282" i="16"/>
  <c r="AP282" i="16"/>
  <c r="AQ282" i="16"/>
  <c r="AR282" i="16"/>
  <c r="AS282" i="16"/>
  <c r="AT282" i="16"/>
  <c r="AU282" i="16"/>
  <c r="AV282" i="16"/>
  <c r="AW282" i="16"/>
  <c r="AX282" i="16"/>
  <c r="AY282" i="16"/>
  <c r="AZ282" i="16"/>
  <c r="BA282" i="16"/>
  <c r="BB282" i="16"/>
  <c r="BC282" i="16"/>
  <c r="BD282" i="16"/>
  <c r="BE282" i="16"/>
  <c r="BF282" i="16"/>
  <c r="BG282" i="16"/>
  <c r="BH282" i="16"/>
  <c r="BI282" i="16"/>
  <c r="BJ282" i="16"/>
  <c r="BK282" i="16"/>
  <c r="BL282" i="16"/>
  <c r="BM282" i="16"/>
  <c r="BN282" i="16"/>
  <c r="BO282" i="16"/>
  <c r="BP282" i="16"/>
  <c r="AA283" i="16"/>
  <c r="AB283" i="16"/>
  <c r="AC283" i="16"/>
  <c r="AD283" i="16"/>
  <c r="AE283" i="16"/>
  <c r="AF283" i="16"/>
  <c r="AG283" i="16"/>
  <c r="AH283" i="16"/>
  <c r="AI283" i="16"/>
  <c r="AJ283" i="16"/>
  <c r="AK283" i="16"/>
  <c r="AL283" i="16"/>
  <c r="AM283" i="16"/>
  <c r="AN283" i="16"/>
  <c r="AO283" i="16"/>
  <c r="AP283" i="16"/>
  <c r="AQ283" i="16"/>
  <c r="AR283" i="16"/>
  <c r="AS283" i="16"/>
  <c r="AT283" i="16"/>
  <c r="AU283" i="16"/>
  <c r="AV283" i="16"/>
  <c r="AW283" i="16"/>
  <c r="AX283" i="16"/>
  <c r="AY283" i="16"/>
  <c r="AZ283" i="16"/>
  <c r="BA283" i="16"/>
  <c r="BB283" i="16"/>
  <c r="BC283" i="16"/>
  <c r="BD283" i="16"/>
  <c r="BE283" i="16"/>
  <c r="BF283" i="16"/>
  <c r="BG283" i="16"/>
  <c r="BH283" i="16"/>
  <c r="BI283" i="16"/>
  <c r="BJ283" i="16"/>
  <c r="BK283" i="16"/>
  <c r="BL283" i="16"/>
  <c r="BM283" i="16"/>
  <c r="BN283" i="16"/>
  <c r="BO283" i="16"/>
  <c r="BP283" i="16"/>
  <c r="AA284" i="16"/>
  <c r="AB284" i="16"/>
  <c r="AC284" i="16"/>
  <c r="AD284" i="16"/>
  <c r="AE284" i="16"/>
  <c r="AF284" i="16"/>
  <c r="AG284" i="16"/>
  <c r="AH284" i="16"/>
  <c r="AI284" i="16"/>
  <c r="AJ284" i="16"/>
  <c r="AK284" i="16"/>
  <c r="AL284" i="16"/>
  <c r="AM284" i="16"/>
  <c r="AN284" i="16"/>
  <c r="AO284" i="16"/>
  <c r="AP284" i="16"/>
  <c r="AQ284" i="16"/>
  <c r="AR284" i="16"/>
  <c r="AS284" i="16"/>
  <c r="AT284" i="16"/>
  <c r="AU284" i="16"/>
  <c r="AV284" i="16"/>
  <c r="AW284" i="16"/>
  <c r="AX284" i="16"/>
  <c r="AY284" i="16"/>
  <c r="AZ284" i="16"/>
  <c r="BA284" i="16"/>
  <c r="BB284" i="16"/>
  <c r="BC284" i="16"/>
  <c r="BD284" i="16"/>
  <c r="BE284" i="16"/>
  <c r="BF284" i="16"/>
  <c r="BG284" i="16"/>
  <c r="BH284" i="16"/>
  <c r="BI284" i="16"/>
  <c r="BJ284" i="16"/>
  <c r="BK284" i="16"/>
  <c r="BL284" i="16"/>
  <c r="BM284" i="16"/>
  <c r="BN284" i="16"/>
  <c r="BO284" i="16"/>
  <c r="BP284" i="16"/>
  <c r="AA285" i="16"/>
  <c r="AB285" i="16"/>
  <c r="AC285" i="16"/>
  <c r="AD285" i="16"/>
  <c r="AE285" i="16"/>
  <c r="AF285" i="16"/>
  <c r="AG285" i="16"/>
  <c r="AH285" i="16"/>
  <c r="AI285" i="16"/>
  <c r="AJ285" i="16"/>
  <c r="AK285" i="16"/>
  <c r="AL285" i="16"/>
  <c r="AM285" i="16"/>
  <c r="AN285" i="16"/>
  <c r="AO285" i="16"/>
  <c r="AP285" i="16"/>
  <c r="AQ285" i="16"/>
  <c r="AR285" i="16"/>
  <c r="AS285" i="16"/>
  <c r="AT285" i="16"/>
  <c r="AU285" i="16"/>
  <c r="AV285" i="16"/>
  <c r="AW285" i="16"/>
  <c r="AX285" i="16"/>
  <c r="AY285" i="16"/>
  <c r="AZ285" i="16"/>
  <c r="BA285" i="16"/>
  <c r="BB285" i="16"/>
  <c r="BC285" i="16"/>
  <c r="BD285" i="16"/>
  <c r="BE285" i="16"/>
  <c r="BF285" i="16"/>
  <c r="BG285" i="16"/>
  <c r="BH285" i="16"/>
  <c r="BI285" i="16"/>
  <c r="BJ285" i="16"/>
  <c r="BK285" i="16"/>
  <c r="BL285" i="16"/>
  <c r="BM285" i="16"/>
  <c r="BN285" i="16"/>
  <c r="BO285" i="16"/>
  <c r="BP285" i="16"/>
  <c r="AA286" i="16"/>
  <c r="AB286" i="16"/>
  <c r="AC286" i="16"/>
  <c r="AD286" i="16"/>
  <c r="AE286" i="16"/>
  <c r="AF286" i="16"/>
  <c r="AG286" i="16"/>
  <c r="AH286" i="16"/>
  <c r="AI286" i="16"/>
  <c r="AJ286" i="16"/>
  <c r="AK286" i="16"/>
  <c r="AL286" i="16"/>
  <c r="AM286" i="16"/>
  <c r="AN286" i="16"/>
  <c r="AO286" i="16"/>
  <c r="AP286" i="16"/>
  <c r="AQ286" i="16"/>
  <c r="AR286" i="16"/>
  <c r="AS286" i="16"/>
  <c r="AT286" i="16"/>
  <c r="AU286" i="16"/>
  <c r="AV286" i="16"/>
  <c r="AW286" i="16"/>
  <c r="AX286" i="16"/>
  <c r="AY286" i="16"/>
  <c r="AZ286" i="16"/>
  <c r="BA286" i="16"/>
  <c r="BB286" i="16"/>
  <c r="BC286" i="16"/>
  <c r="BD286" i="16"/>
  <c r="BE286" i="16"/>
  <c r="BF286" i="16"/>
  <c r="BG286" i="16"/>
  <c r="BH286" i="16"/>
  <c r="BI286" i="16"/>
  <c r="BJ286" i="16"/>
  <c r="BK286" i="16"/>
  <c r="BL286" i="16"/>
  <c r="BM286" i="16"/>
  <c r="BN286" i="16"/>
  <c r="BO286" i="16"/>
  <c r="BP286" i="16"/>
  <c r="AA287" i="16"/>
  <c r="AB287" i="16"/>
  <c r="AC287" i="16"/>
  <c r="AD287" i="16"/>
  <c r="AE287" i="16"/>
  <c r="AF287" i="16"/>
  <c r="AG287" i="16"/>
  <c r="AH287" i="16"/>
  <c r="AI287" i="16"/>
  <c r="AJ287" i="16"/>
  <c r="AK287" i="16"/>
  <c r="AL287" i="16"/>
  <c r="AM287" i="16"/>
  <c r="AN287" i="16"/>
  <c r="AO287" i="16"/>
  <c r="AP287" i="16"/>
  <c r="AQ287" i="16"/>
  <c r="AR287" i="16"/>
  <c r="AS287" i="16"/>
  <c r="AT287" i="16"/>
  <c r="AU287" i="16"/>
  <c r="AV287" i="16"/>
  <c r="AW287" i="16"/>
  <c r="AX287" i="16"/>
  <c r="AY287" i="16"/>
  <c r="AZ287" i="16"/>
  <c r="BA287" i="16"/>
  <c r="BB287" i="16"/>
  <c r="BC287" i="16"/>
  <c r="BD287" i="16"/>
  <c r="BE287" i="16"/>
  <c r="BF287" i="16"/>
  <c r="BG287" i="16"/>
  <c r="BH287" i="16"/>
  <c r="BI287" i="16"/>
  <c r="BJ287" i="16"/>
  <c r="BK287" i="16"/>
  <c r="BL287" i="16"/>
  <c r="BM287" i="16"/>
  <c r="BN287" i="16"/>
  <c r="BO287" i="16"/>
  <c r="BP287" i="16"/>
  <c r="AA288" i="16"/>
  <c r="AB288" i="16"/>
  <c r="AC288" i="16"/>
  <c r="AD288" i="16"/>
  <c r="AE288" i="16"/>
  <c r="AF288" i="16"/>
  <c r="AG288" i="16"/>
  <c r="AH288" i="16"/>
  <c r="AI288" i="16"/>
  <c r="AJ288" i="16"/>
  <c r="AK288" i="16"/>
  <c r="AL288" i="16"/>
  <c r="AM288" i="16"/>
  <c r="AN288" i="16"/>
  <c r="AO288" i="16"/>
  <c r="AP288" i="16"/>
  <c r="AQ288" i="16"/>
  <c r="AR288" i="16"/>
  <c r="AS288" i="16"/>
  <c r="AT288" i="16"/>
  <c r="AU288" i="16"/>
  <c r="AV288" i="16"/>
  <c r="AW288" i="16"/>
  <c r="AX288" i="16"/>
  <c r="AY288" i="16"/>
  <c r="AZ288" i="16"/>
  <c r="BA288" i="16"/>
  <c r="BB288" i="16"/>
  <c r="BC288" i="16"/>
  <c r="BD288" i="16"/>
  <c r="BE288" i="16"/>
  <c r="BF288" i="16"/>
  <c r="BG288" i="16"/>
  <c r="BH288" i="16"/>
  <c r="BI288" i="16"/>
  <c r="BJ288" i="16"/>
  <c r="BK288" i="16"/>
  <c r="BL288" i="16"/>
  <c r="BM288" i="16"/>
  <c r="BN288" i="16"/>
  <c r="BO288" i="16"/>
  <c r="BP288" i="16"/>
  <c r="AA289" i="16"/>
  <c r="AB289" i="16"/>
  <c r="AC289" i="16"/>
  <c r="AD289" i="16"/>
  <c r="AE289" i="16"/>
  <c r="AF289" i="16"/>
  <c r="AG289" i="16"/>
  <c r="AH289" i="16"/>
  <c r="AI289" i="16"/>
  <c r="AJ289" i="16"/>
  <c r="AK289" i="16"/>
  <c r="AL289" i="16"/>
  <c r="AM289" i="16"/>
  <c r="AN289" i="16"/>
  <c r="AO289" i="16"/>
  <c r="AP289" i="16"/>
  <c r="AQ289" i="16"/>
  <c r="AR289" i="16"/>
  <c r="AS289" i="16"/>
  <c r="AT289" i="16"/>
  <c r="AU289" i="16"/>
  <c r="AV289" i="16"/>
  <c r="AW289" i="16"/>
  <c r="AX289" i="16"/>
  <c r="AY289" i="16"/>
  <c r="AZ289" i="16"/>
  <c r="BA289" i="16"/>
  <c r="BB289" i="16"/>
  <c r="BC289" i="16"/>
  <c r="BD289" i="16"/>
  <c r="BE289" i="16"/>
  <c r="BF289" i="16"/>
  <c r="BG289" i="16"/>
  <c r="BH289" i="16"/>
  <c r="BI289" i="16"/>
  <c r="BJ289" i="16"/>
  <c r="BK289" i="16"/>
  <c r="BL289" i="16"/>
  <c r="BM289" i="16"/>
  <c r="BN289" i="16"/>
  <c r="BO289" i="16"/>
  <c r="BP289" i="16"/>
  <c r="AA290" i="16"/>
  <c r="AB290" i="16"/>
  <c r="AC290" i="16"/>
  <c r="AD290" i="16"/>
  <c r="AE290" i="16"/>
  <c r="AF290" i="16"/>
  <c r="AG290" i="16"/>
  <c r="AH290" i="16"/>
  <c r="AI290" i="16"/>
  <c r="AJ290" i="16"/>
  <c r="AK290" i="16"/>
  <c r="AL290" i="16"/>
  <c r="AM290" i="16"/>
  <c r="AN290" i="16"/>
  <c r="AO290" i="16"/>
  <c r="AP290" i="16"/>
  <c r="AQ290" i="16"/>
  <c r="AR290" i="16"/>
  <c r="AS290" i="16"/>
  <c r="AT290" i="16"/>
  <c r="AU290" i="16"/>
  <c r="AV290" i="16"/>
  <c r="AW290" i="16"/>
  <c r="AX290" i="16"/>
  <c r="AY290" i="16"/>
  <c r="AZ290" i="16"/>
  <c r="BA290" i="16"/>
  <c r="BB290" i="16"/>
  <c r="BC290" i="16"/>
  <c r="BD290" i="16"/>
  <c r="BE290" i="16"/>
  <c r="BF290" i="16"/>
  <c r="BG290" i="16"/>
  <c r="BH290" i="16"/>
  <c r="BI290" i="16"/>
  <c r="BJ290" i="16"/>
  <c r="BK290" i="16"/>
  <c r="BL290" i="16"/>
  <c r="BM290" i="16"/>
  <c r="BN290" i="16"/>
  <c r="BO290" i="16"/>
  <c r="BP290" i="16"/>
  <c r="AA291" i="16"/>
  <c r="AB291" i="16"/>
  <c r="AC291" i="16"/>
  <c r="AD291" i="16"/>
  <c r="AE291" i="16"/>
  <c r="AF291" i="16"/>
  <c r="AG291" i="16"/>
  <c r="AH291" i="16"/>
  <c r="AI291" i="16"/>
  <c r="AJ291" i="16"/>
  <c r="AK291" i="16"/>
  <c r="AL291" i="16"/>
  <c r="AM291" i="16"/>
  <c r="AN291" i="16"/>
  <c r="AO291" i="16"/>
  <c r="AP291" i="16"/>
  <c r="AQ291" i="16"/>
  <c r="AR291" i="16"/>
  <c r="AS291" i="16"/>
  <c r="AT291" i="16"/>
  <c r="AU291" i="16"/>
  <c r="AV291" i="16"/>
  <c r="AW291" i="16"/>
  <c r="AX291" i="16"/>
  <c r="AY291" i="16"/>
  <c r="AZ291" i="16"/>
  <c r="BA291" i="16"/>
  <c r="BB291" i="16"/>
  <c r="BC291" i="16"/>
  <c r="BD291" i="16"/>
  <c r="BE291" i="16"/>
  <c r="BF291" i="16"/>
  <c r="BG291" i="16"/>
  <c r="BH291" i="16"/>
  <c r="BI291" i="16"/>
  <c r="BJ291" i="16"/>
  <c r="BK291" i="16"/>
  <c r="BL291" i="16"/>
  <c r="BM291" i="16"/>
  <c r="BN291" i="16"/>
  <c r="BO291" i="16"/>
  <c r="BP291" i="16"/>
  <c r="AA292" i="16"/>
  <c r="AB292" i="16"/>
  <c r="AC292" i="16"/>
  <c r="AD292" i="16"/>
  <c r="AE292" i="16"/>
  <c r="AF292" i="16"/>
  <c r="AG292" i="16"/>
  <c r="AH292" i="16"/>
  <c r="AI292" i="16"/>
  <c r="AJ292" i="16"/>
  <c r="AK292" i="16"/>
  <c r="AL292" i="16"/>
  <c r="AM292" i="16"/>
  <c r="AN292" i="16"/>
  <c r="AO292" i="16"/>
  <c r="AP292" i="16"/>
  <c r="AQ292" i="16"/>
  <c r="AR292" i="16"/>
  <c r="AS292" i="16"/>
  <c r="AT292" i="16"/>
  <c r="AU292" i="16"/>
  <c r="AV292" i="16"/>
  <c r="AW292" i="16"/>
  <c r="AX292" i="16"/>
  <c r="AY292" i="16"/>
  <c r="AZ292" i="16"/>
  <c r="BA292" i="16"/>
  <c r="BB292" i="16"/>
  <c r="BC292" i="16"/>
  <c r="BD292" i="16"/>
  <c r="BE292" i="16"/>
  <c r="BF292" i="16"/>
  <c r="BG292" i="16"/>
  <c r="BH292" i="16"/>
  <c r="BI292" i="16"/>
  <c r="BJ292" i="16"/>
  <c r="BK292" i="16"/>
  <c r="BL292" i="16"/>
  <c r="BM292" i="16"/>
  <c r="BN292" i="16"/>
  <c r="BO292" i="16"/>
  <c r="BP292" i="16"/>
  <c r="AA293" i="16"/>
  <c r="AB293" i="16"/>
  <c r="AC293" i="16"/>
  <c r="AD293" i="16"/>
  <c r="AE293" i="16"/>
  <c r="AF293" i="16"/>
  <c r="AG293" i="16"/>
  <c r="AH293" i="16"/>
  <c r="AI293" i="16"/>
  <c r="AJ293" i="16"/>
  <c r="AK293" i="16"/>
  <c r="AL293" i="16"/>
  <c r="AM293" i="16"/>
  <c r="AN293" i="16"/>
  <c r="AO293" i="16"/>
  <c r="AP293" i="16"/>
  <c r="AQ293" i="16"/>
  <c r="AR293" i="16"/>
  <c r="AS293" i="16"/>
  <c r="AT293" i="16"/>
  <c r="AU293" i="16"/>
  <c r="AV293" i="16"/>
  <c r="AW293" i="16"/>
  <c r="AX293" i="16"/>
  <c r="AY293" i="16"/>
  <c r="AZ293" i="16"/>
  <c r="BA293" i="16"/>
  <c r="BB293" i="16"/>
  <c r="BC293" i="16"/>
  <c r="BD293" i="16"/>
  <c r="BE293" i="16"/>
  <c r="BF293" i="16"/>
  <c r="BG293" i="16"/>
  <c r="BH293" i="16"/>
  <c r="BI293" i="16"/>
  <c r="BJ293" i="16"/>
  <c r="BK293" i="16"/>
  <c r="BL293" i="16"/>
  <c r="BM293" i="16"/>
  <c r="BN293" i="16"/>
  <c r="BO293" i="16"/>
  <c r="BP293" i="16"/>
  <c r="AA294" i="16"/>
  <c r="AB294" i="16"/>
  <c r="AC294" i="16"/>
  <c r="AD294" i="16"/>
  <c r="AE294" i="16"/>
  <c r="AF294" i="16"/>
  <c r="AG294" i="16"/>
  <c r="AH294" i="16"/>
  <c r="AI294" i="16"/>
  <c r="AJ294" i="16"/>
  <c r="AK294" i="16"/>
  <c r="AL294" i="16"/>
  <c r="AM294" i="16"/>
  <c r="AN294" i="16"/>
  <c r="AO294" i="16"/>
  <c r="AP294" i="16"/>
  <c r="AQ294" i="16"/>
  <c r="AR294" i="16"/>
  <c r="AS294" i="16"/>
  <c r="AT294" i="16"/>
  <c r="AU294" i="16"/>
  <c r="AV294" i="16"/>
  <c r="AW294" i="16"/>
  <c r="AX294" i="16"/>
  <c r="AY294" i="16"/>
  <c r="AZ294" i="16"/>
  <c r="BA294" i="16"/>
  <c r="BB294" i="16"/>
  <c r="BC294" i="16"/>
  <c r="BD294" i="16"/>
  <c r="BE294" i="16"/>
  <c r="BF294" i="16"/>
  <c r="BG294" i="16"/>
  <c r="BH294" i="16"/>
  <c r="BI294" i="16"/>
  <c r="BJ294" i="16"/>
  <c r="BK294" i="16"/>
  <c r="BL294" i="16"/>
  <c r="BM294" i="16"/>
  <c r="BN294" i="16"/>
  <c r="BO294" i="16"/>
  <c r="BP294" i="16"/>
  <c r="AA295" i="16"/>
  <c r="AB295" i="16"/>
  <c r="AC295" i="16"/>
  <c r="AD295" i="16"/>
  <c r="AE295" i="16"/>
  <c r="AF295" i="16"/>
  <c r="AG295" i="16"/>
  <c r="AH295" i="16"/>
  <c r="AI295" i="16"/>
  <c r="AJ295" i="16"/>
  <c r="AK295" i="16"/>
  <c r="AL295" i="16"/>
  <c r="AM295" i="16"/>
  <c r="AN295" i="16"/>
  <c r="AO295" i="16"/>
  <c r="AP295" i="16"/>
  <c r="AQ295" i="16"/>
  <c r="AR295" i="16"/>
  <c r="AS295" i="16"/>
  <c r="AT295" i="16"/>
  <c r="AU295" i="16"/>
  <c r="AV295" i="16"/>
  <c r="AW295" i="16"/>
  <c r="AX295" i="16"/>
  <c r="AY295" i="16"/>
  <c r="AZ295" i="16"/>
  <c r="BA295" i="16"/>
  <c r="BB295" i="16"/>
  <c r="BC295" i="16"/>
  <c r="BD295" i="16"/>
  <c r="BE295" i="16"/>
  <c r="BF295" i="16"/>
  <c r="BG295" i="16"/>
  <c r="BH295" i="16"/>
  <c r="BI295" i="16"/>
  <c r="BJ295" i="16"/>
  <c r="BK295" i="16"/>
  <c r="BL295" i="16"/>
  <c r="BM295" i="16"/>
  <c r="BN295" i="16"/>
  <c r="BO295" i="16"/>
  <c r="BP295" i="16"/>
  <c r="AA296" i="16"/>
  <c r="AB296" i="16"/>
  <c r="AC296" i="16"/>
  <c r="AD296" i="16"/>
  <c r="AE296" i="16"/>
  <c r="AF296" i="16"/>
  <c r="AG296" i="16"/>
  <c r="AH296" i="16"/>
  <c r="AI296" i="16"/>
  <c r="AJ296" i="16"/>
  <c r="AK296" i="16"/>
  <c r="AL296" i="16"/>
  <c r="AM296" i="16"/>
  <c r="AN296" i="16"/>
  <c r="AO296" i="16"/>
  <c r="AP296" i="16"/>
  <c r="AQ296" i="16"/>
  <c r="AR296" i="16"/>
  <c r="AS296" i="16"/>
  <c r="AT296" i="16"/>
  <c r="AU296" i="16"/>
  <c r="AV296" i="16"/>
  <c r="AW296" i="16"/>
  <c r="AX296" i="16"/>
  <c r="AY296" i="16"/>
  <c r="AZ296" i="16"/>
  <c r="BA296" i="16"/>
  <c r="BB296" i="16"/>
  <c r="BC296" i="16"/>
  <c r="BD296" i="16"/>
  <c r="BE296" i="16"/>
  <c r="BF296" i="16"/>
  <c r="BG296" i="16"/>
  <c r="BH296" i="16"/>
  <c r="BI296" i="16"/>
  <c r="BJ296" i="16"/>
  <c r="BK296" i="16"/>
  <c r="BL296" i="16"/>
  <c r="BM296" i="16"/>
  <c r="BN296" i="16"/>
  <c r="BO296" i="16"/>
  <c r="BP296" i="16"/>
  <c r="AA297" i="16"/>
  <c r="AB297" i="16"/>
  <c r="AC297" i="16"/>
  <c r="AD297" i="16"/>
  <c r="AE297" i="16"/>
  <c r="AF297" i="16"/>
  <c r="AG297" i="16"/>
  <c r="AH297" i="16"/>
  <c r="AI297" i="16"/>
  <c r="AJ297" i="16"/>
  <c r="AK297" i="16"/>
  <c r="AL297" i="16"/>
  <c r="AM297" i="16"/>
  <c r="AN297" i="16"/>
  <c r="AO297" i="16"/>
  <c r="AP297" i="16"/>
  <c r="AQ297" i="16"/>
  <c r="AR297" i="16"/>
  <c r="AS297" i="16"/>
  <c r="AT297" i="16"/>
  <c r="AU297" i="16"/>
  <c r="AV297" i="16"/>
  <c r="AW297" i="16"/>
  <c r="AX297" i="16"/>
  <c r="AY297" i="16"/>
  <c r="AZ297" i="16"/>
  <c r="BA297" i="16"/>
  <c r="BB297" i="16"/>
  <c r="BC297" i="16"/>
  <c r="BD297" i="16"/>
  <c r="BE297" i="16"/>
  <c r="BF297" i="16"/>
  <c r="BG297" i="16"/>
  <c r="BH297" i="16"/>
  <c r="BI297" i="16"/>
  <c r="BJ297" i="16"/>
  <c r="BK297" i="16"/>
  <c r="BL297" i="16"/>
  <c r="BM297" i="16"/>
  <c r="BN297" i="16"/>
  <c r="BO297" i="16"/>
  <c r="BP297" i="16"/>
  <c r="AA298" i="16"/>
  <c r="AB298" i="16"/>
  <c r="AC298" i="16"/>
  <c r="AD298" i="16"/>
  <c r="AE298" i="16"/>
  <c r="AF298" i="16"/>
  <c r="AG298" i="16"/>
  <c r="AH298" i="16"/>
  <c r="AI298" i="16"/>
  <c r="AJ298" i="16"/>
  <c r="AK298" i="16"/>
  <c r="AL298" i="16"/>
  <c r="AM298" i="16"/>
  <c r="AN298" i="16"/>
  <c r="AO298" i="16"/>
  <c r="AP298" i="16"/>
  <c r="AQ298" i="16"/>
  <c r="AR298" i="16"/>
  <c r="AS298" i="16"/>
  <c r="AT298" i="16"/>
  <c r="AU298" i="16"/>
  <c r="AV298" i="16"/>
  <c r="AW298" i="16"/>
  <c r="AX298" i="16"/>
  <c r="AY298" i="16"/>
  <c r="AZ298" i="16"/>
  <c r="BA298" i="16"/>
  <c r="BB298" i="16"/>
  <c r="BC298" i="16"/>
  <c r="BD298" i="16"/>
  <c r="BE298" i="16"/>
  <c r="BF298" i="16"/>
  <c r="BG298" i="16"/>
  <c r="BH298" i="16"/>
  <c r="BI298" i="16"/>
  <c r="BJ298" i="16"/>
  <c r="BK298" i="16"/>
  <c r="BL298" i="16"/>
  <c r="BM298" i="16"/>
  <c r="BN298" i="16"/>
  <c r="BO298" i="16"/>
  <c r="BP298" i="16"/>
  <c r="AA299" i="16"/>
  <c r="AB299" i="16"/>
  <c r="AC299" i="16"/>
  <c r="AD299" i="16"/>
  <c r="AE299" i="16"/>
  <c r="AF299" i="16"/>
  <c r="AG299" i="16"/>
  <c r="AH299" i="16"/>
  <c r="AI299" i="16"/>
  <c r="AJ299" i="16"/>
  <c r="AK299" i="16"/>
  <c r="AL299" i="16"/>
  <c r="AM299" i="16"/>
  <c r="AN299" i="16"/>
  <c r="AO299" i="16"/>
  <c r="AP299" i="16"/>
  <c r="AQ299" i="16"/>
  <c r="AR299" i="16"/>
  <c r="AS299" i="16"/>
  <c r="AT299" i="16"/>
  <c r="AU299" i="16"/>
  <c r="AV299" i="16"/>
  <c r="AW299" i="16"/>
  <c r="AX299" i="16"/>
  <c r="AY299" i="16"/>
  <c r="AZ299" i="16"/>
  <c r="BA299" i="16"/>
  <c r="BB299" i="16"/>
  <c r="BC299" i="16"/>
  <c r="BD299" i="16"/>
  <c r="BE299" i="16"/>
  <c r="BF299" i="16"/>
  <c r="BG299" i="16"/>
  <c r="BH299" i="16"/>
  <c r="BI299" i="16"/>
  <c r="BJ299" i="16"/>
  <c r="BK299" i="16"/>
  <c r="BL299" i="16"/>
  <c r="BM299" i="16"/>
  <c r="BN299" i="16"/>
  <c r="BO299" i="16"/>
  <c r="BP299" i="16"/>
  <c r="AA300" i="16"/>
  <c r="AB300" i="16"/>
  <c r="AC300" i="16"/>
  <c r="AD300" i="16"/>
  <c r="AE300" i="16"/>
  <c r="AF300" i="16"/>
  <c r="AG300" i="16"/>
  <c r="AH300" i="16"/>
  <c r="AI300" i="16"/>
  <c r="AJ300" i="16"/>
  <c r="AK300" i="16"/>
  <c r="AL300" i="16"/>
  <c r="AM300" i="16"/>
  <c r="AN300" i="16"/>
  <c r="AO300" i="16"/>
  <c r="AP300" i="16"/>
  <c r="AQ300" i="16"/>
  <c r="AR300" i="16"/>
  <c r="AS300" i="16"/>
  <c r="AT300" i="16"/>
  <c r="AU300" i="16"/>
  <c r="AV300" i="16"/>
  <c r="AW300" i="16"/>
  <c r="AX300" i="16"/>
  <c r="AY300" i="16"/>
  <c r="AZ300" i="16"/>
  <c r="BA300" i="16"/>
  <c r="BB300" i="16"/>
  <c r="BC300" i="16"/>
  <c r="BD300" i="16"/>
  <c r="BE300" i="16"/>
  <c r="BF300" i="16"/>
  <c r="BG300" i="16"/>
  <c r="BH300" i="16"/>
  <c r="BI300" i="16"/>
  <c r="BJ300" i="16"/>
  <c r="BK300" i="16"/>
  <c r="BL300" i="16"/>
  <c r="BM300" i="16"/>
  <c r="BN300" i="16"/>
  <c r="BO300" i="16"/>
  <c r="BP300" i="16"/>
  <c r="AA301" i="16"/>
  <c r="AB301" i="16"/>
  <c r="AC301" i="16"/>
  <c r="AD301" i="16"/>
  <c r="AE301" i="16"/>
  <c r="AF301" i="16"/>
  <c r="AG301" i="16"/>
  <c r="AH301" i="16"/>
  <c r="AI301" i="16"/>
  <c r="AJ301" i="16"/>
  <c r="AK301" i="16"/>
  <c r="AL301" i="16"/>
  <c r="AM301" i="16"/>
  <c r="AN301" i="16"/>
  <c r="AO301" i="16"/>
  <c r="AP301" i="16"/>
  <c r="AQ301" i="16"/>
  <c r="AR301" i="16"/>
  <c r="AS301" i="16"/>
  <c r="AT301" i="16"/>
  <c r="AU301" i="16"/>
  <c r="AV301" i="16"/>
  <c r="AW301" i="16"/>
  <c r="AX301" i="16"/>
  <c r="AY301" i="16"/>
  <c r="AZ301" i="16"/>
  <c r="BA301" i="16"/>
  <c r="BB301" i="16"/>
  <c r="BC301" i="16"/>
  <c r="BD301" i="16"/>
  <c r="BE301" i="16"/>
  <c r="BF301" i="16"/>
  <c r="BG301" i="16"/>
  <c r="BH301" i="16"/>
  <c r="BI301" i="16"/>
  <c r="BJ301" i="16"/>
  <c r="BK301" i="16"/>
  <c r="BL301" i="16"/>
  <c r="BM301" i="16"/>
  <c r="BN301" i="16"/>
  <c r="BO301" i="16"/>
  <c r="BP301" i="16"/>
  <c r="AA302" i="16"/>
  <c r="AB302" i="16"/>
  <c r="AC302" i="16"/>
  <c r="AD302" i="16"/>
  <c r="AE302" i="16"/>
  <c r="AF302" i="16"/>
  <c r="AG302" i="16"/>
  <c r="AH302" i="16"/>
  <c r="AI302" i="16"/>
  <c r="AJ302" i="16"/>
  <c r="AK302" i="16"/>
  <c r="AL302" i="16"/>
  <c r="AM302" i="16"/>
  <c r="AN302" i="16"/>
  <c r="AO302" i="16"/>
  <c r="AP302" i="16"/>
  <c r="AQ302" i="16"/>
  <c r="AR302" i="16"/>
  <c r="AS302" i="16"/>
  <c r="AT302" i="16"/>
  <c r="AU302" i="16"/>
  <c r="AV302" i="16"/>
  <c r="AW302" i="16"/>
  <c r="AX302" i="16"/>
  <c r="AY302" i="16"/>
  <c r="AZ302" i="16"/>
  <c r="BA302" i="16"/>
  <c r="BB302" i="16"/>
  <c r="BC302" i="16"/>
  <c r="BD302" i="16"/>
  <c r="BE302" i="16"/>
  <c r="BF302" i="16"/>
  <c r="BG302" i="16"/>
  <c r="BH302" i="16"/>
  <c r="BI302" i="16"/>
  <c r="BJ302" i="16"/>
  <c r="BK302" i="16"/>
  <c r="BL302" i="16"/>
  <c r="BM302" i="16"/>
  <c r="BN302" i="16"/>
  <c r="BO302" i="16"/>
  <c r="BP302" i="16"/>
  <c r="AA303" i="16"/>
  <c r="AB303" i="16"/>
  <c r="AC303" i="16"/>
  <c r="AD303" i="16"/>
  <c r="AE303" i="16"/>
  <c r="AF303" i="16"/>
  <c r="AG303" i="16"/>
  <c r="AH303" i="16"/>
  <c r="AI303" i="16"/>
  <c r="AJ303" i="16"/>
  <c r="AK303" i="16"/>
  <c r="AL303" i="16"/>
  <c r="AM303" i="16"/>
  <c r="AN303" i="16"/>
  <c r="AO303" i="16"/>
  <c r="AP303" i="16"/>
  <c r="AQ303" i="16"/>
  <c r="AR303" i="16"/>
  <c r="AS303" i="16"/>
  <c r="AT303" i="16"/>
  <c r="AU303" i="16"/>
  <c r="AV303" i="16"/>
  <c r="AW303" i="16"/>
  <c r="AX303" i="16"/>
  <c r="AY303" i="16"/>
  <c r="AZ303" i="16"/>
  <c r="BA303" i="16"/>
  <c r="BB303" i="16"/>
  <c r="BC303" i="16"/>
  <c r="BD303" i="16"/>
  <c r="BE303" i="16"/>
  <c r="BF303" i="16"/>
  <c r="BG303" i="16"/>
  <c r="BH303" i="16"/>
  <c r="BI303" i="16"/>
  <c r="BJ303" i="16"/>
  <c r="BK303" i="16"/>
  <c r="BL303" i="16"/>
  <c r="BM303" i="16"/>
  <c r="BN303" i="16"/>
  <c r="BO303" i="16"/>
  <c r="BP303" i="16"/>
  <c r="AA304" i="16"/>
  <c r="AB304" i="16"/>
  <c r="AC304" i="16"/>
  <c r="AD304" i="16"/>
  <c r="AE304" i="16"/>
  <c r="AF304" i="16"/>
  <c r="AG304" i="16"/>
  <c r="AH304" i="16"/>
  <c r="AI304" i="16"/>
  <c r="AJ304" i="16"/>
  <c r="AK304" i="16"/>
  <c r="AL304" i="16"/>
  <c r="AM304" i="16"/>
  <c r="AN304" i="16"/>
  <c r="AO304" i="16"/>
  <c r="AP304" i="16"/>
  <c r="AQ304" i="16"/>
  <c r="AR304" i="16"/>
  <c r="AS304" i="16"/>
  <c r="AT304" i="16"/>
  <c r="AU304" i="16"/>
  <c r="AV304" i="16"/>
  <c r="AW304" i="16"/>
  <c r="AX304" i="16"/>
  <c r="AY304" i="16"/>
  <c r="AZ304" i="16"/>
  <c r="BA304" i="16"/>
  <c r="BB304" i="16"/>
  <c r="BC304" i="16"/>
  <c r="BD304" i="16"/>
  <c r="BE304" i="16"/>
  <c r="BF304" i="16"/>
  <c r="BG304" i="16"/>
  <c r="BH304" i="16"/>
  <c r="BI304" i="16"/>
  <c r="BJ304" i="16"/>
  <c r="BK304" i="16"/>
  <c r="BL304" i="16"/>
  <c r="BM304" i="16"/>
  <c r="BN304" i="16"/>
  <c r="BO304" i="16"/>
  <c r="BP304" i="16"/>
  <c r="AA305" i="16"/>
  <c r="AB305" i="16"/>
  <c r="AC305" i="16"/>
  <c r="AD305" i="16"/>
  <c r="AE305" i="16"/>
  <c r="AF305" i="16"/>
  <c r="AG305" i="16"/>
  <c r="AH305" i="16"/>
  <c r="AI305" i="16"/>
  <c r="AJ305" i="16"/>
  <c r="AK305" i="16"/>
  <c r="AL305" i="16"/>
  <c r="AM305" i="16"/>
  <c r="AN305" i="16"/>
  <c r="AO305" i="16"/>
  <c r="AP305" i="16"/>
  <c r="AQ305" i="16"/>
  <c r="AR305" i="16"/>
  <c r="AS305" i="16"/>
  <c r="AT305" i="16"/>
  <c r="AU305" i="16"/>
  <c r="AV305" i="16"/>
  <c r="AW305" i="16"/>
  <c r="AX305" i="16"/>
  <c r="AY305" i="16"/>
  <c r="AZ305" i="16"/>
  <c r="BA305" i="16"/>
  <c r="BB305" i="16"/>
  <c r="BC305" i="16"/>
  <c r="BD305" i="16"/>
  <c r="BE305" i="16"/>
  <c r="BF305" i="16"/>
  <c r="BG305" i="16"/>
  <c r="BH305" i="16"/>
  <c r="BI305" i="16"/>
  <c r="BJ305" i="16"/>
  <c r="BK305" i="16"/>
  <c r="BL305" i="16"/>
  <c r="BM305" i="16"/>
  <c r="BN305" i="16"/>
  <c r="BO305" i="16"/>
  <c r="BP305" i="16"/>
  <c r="AA306" i="16"/>
  <c r="AB306" i="16"/>
  <c r="AC306" i="16"/>
  <c r="AD306" i="16"/>
  <c r="AE306" i="16"/>
  <c r="AF306" i="16"/>
  <c r="AG306" i="16"/>
  <c r="AH306" i="16"/>
  <c r="AI306" i="16"/>
  <c r="AJ306" i="16"/>
  <c r="AK306" i="16"/>
  <c r="AL306" i="16"/>
  <c r="AM306" i="16"/>
  <c r="AN306" i="16"/>
  <c r="AO306" i="16"/>
  <c r="AP306" i="16"/>
  <c r="AQ306" i="16"/>
  <c r="AR306" i="16"/>
  <c r="AS306" i="16"/>
  <c r="AT306" i="16"/>
  <c r="AU306" i="16"/>
  <c r="AV306" i="16"/>
  <c r="AW306" i="16"/>
  <c r="AX306" i="16"/>
  <c r="AY306" i="16"/>
  <c r="AZ306" i="16"/>
  <c r="BA306" i="16"/>
  <c r="BB306" i="16"/>
  <c r="BC306" i="16"/>
  <c r="BD306" i="16"/>
  <c r="BE306" i="16"/>
  <c r="BF306" i="16"/>
  <c r="BG306" i="16"/>
  <c r="BH306" i="16"/>
  <c r="BI306" i="16"/>
  <c r="BJ306" i="16"/>
  <c r="BK306" i="16"/>
  <c r="BL306" i="16"/>
  <c r="BM306" i="16"/>
  <c r="BN306" i="16"/>
  <c r="BO306" i="16"/>
  <c r="BP306" i="16"/>
  <c r="AA307" i="16"/>
  <c r="AB307" i="16"/>
  <c r="AC307" i="16"/>
  <c r="AD307" i="16"/>
  <c r="AE307" i="16"/>
  <c r="AF307" i="16"/>
  <c r="AG307" i="16"/>
  <c r="AH307" i="16"/>
  <c r="AI307" i="16"/>
  <c r="AJ307" i="16"/>
  <c r="AK307" i="16"/>
  <c r="AL307" i="16"/>
  <c r="AM307" i="16"/>
  <c r="AN307" i="16"/>
  <c r="AO307" i="16"/>
  <c r="AP307" i="16"/>
  <c r="AQ307" i="16"/>
  <c r="AR307" i="16"/>
  <c r="AS307" i="16"/>
  <c r="AT307" i="16"/>
  <c r="AU307" i="16"/>
  <c r="AV307" i="16"/>
  <c r="AW307" i="16"/>
  <c r="AX307" i="16"/>
  <c r="AY307" i="16"/>
  <c r="AZ307" i="16"/>
  <c r="BA307" i="16"/>
  <c r="BB307" i="16"/>
  <c r="BC307" i="16"/>
  <c r="BD307" i="16"/>
  <c r="BE307" i="16"/>
  <c r="BF307" i="16"/>
  <c r="BG307" i="16"/>
  <c r="BH307" i="16"/>
  <c r="BI307" i="16"/>
  <c r="BJ307" i="16"/>
  <c r="BK307" i="16"/>
  <c r="BL307" i="16"/>
  <c r="BM307" i="16"/>
  <c r="BN307" i="16"/>
  <c r="BO307" i="16"/>
  <c r="BP307" i="16"/>
  <c r="AA308" i="16"/>
  <c r="AB308" i="16"/>
  <c r="AC308" i="16"/>
  <c r="AD308" i="16"/>
  <c r="AE308" i="16"/>
  <c r="AF308" i="16"/>
  <c r="AG308" i="16"/>
  <c r="AH308" i="16"/>
  <c r="AI308" i="16"/>
  <c r="AJ308" i="16"/>
  <c r="AK308" i="16"/>
  <c r="AL308" i="16"/>
  <c r="AM308" i="16"/>
  <c r="AN308" i="16"/>
  <c r="AO308" i="16"/>
  <c r="AP308" i="16"/>
  <c r="AQ308" i="16"/>
  <c r="AR308" i="16"/>
  <c r="AS308" i="16"/>
  <c r="AT308" i="16"/>
  <c r="AU308" i="16"/>
  <c r="AV308" i="16"/>
  <c r="AW308" i="16"/>
  <c r="AX308" i="16"/>
  <c r="AY308" i="16"/>
  <c r="AZ308" i="16"/>
  <c r="BA308" i="16"/>
  <c r="BB308" i="16"/>
  <c r="BC308" i="16"/>
  <c r="BD308" i="16"/>
  <c r="BE308" i="16"/>
  <c r="BF308" i="16"/>
  <c r="BG308" i="16"/>
  <c r="BH308" i="16"/>
  <c r="BI308" i="16"/>
  <c r="BJ308" i="16"/>
  <c r="BK308" i="16"/>
  <c r="BL308" i="16"/>
  <c r="BM308" i="16"/>
  <c r="BN308" i="16"/>
  <c r="BO308" i="16"/>
  <c r="BP308" i="16"/>
  <c r="AA309" i="16"/>
  <c r="AB309" i="16"/>
  <c r="AC309" i="16"/>
  <c r="AD309" i="16"/>
  <c r="AE309" i="16"/>
  <c r="AF309" i="16"/>
  <c r="AG309" i="16"/>
  <c r="AH309" i="16"/>
  <c r="AI309" i="16"/>
  <c r="AJ309" i="16"/>
  <c r="AK309" i="16"/>
  <c r="AL309" i="16"/>
  <c r="AM309" i="16"/>
  <c r="AN309" i="16"/>
  <c r="AO309" i="16"/>
  <c r="AP309" i="16"/>
  <c r="AQ309" i="16"/>
  <c r="AR309" i="16"/>
  <c r="AS309" i="16"/>
  <c r="AT309" i="16"/>
  <c r="AU309" i="16"/>
  <c r="AV309" i="16"/>
  <c r="AW309" i="16"/>
  <c r="AX309" i="16"/>
  <c r="AY309" i="16"/>
  <c r="AZ309" i="16"/>
  <c r="BA309" i="16"/>
  <c r="BB309" i="16"/>
  <c r="BC309" i="16"/>
  <c r="BD309" i="16"/>
  <c r="BE309" i="16"/>
  <c r="BF309" i="16"/>
  <c r="BG309" i="16"/>
  <c r="BH309" i="16"/>
  <c r="BI309" i="16"/>
  <c r="BJ309" i="16"/>
  <c r="BK309" i="16"/>
  <c r="BL309" i="16"/>
  <c r="BM309" i="16"/>
  <c r="BN309" i="16"/>
  <c r="BO309" i="16"/>
  <c r="BP309" i="16"/>
  <c r="AA310" i="16"/>
  <c r="AB310" i="16"/>
  <c r="AC310" i="16"/>
  <c r="AD310" i="16"/>
  <c r="AE310" i="16"/>
  <c r="AF310" i="16"/>
  <c r="AG310" i="16"/>
  <c r="AH310" i="16"/>
  <c r="AI310" i="16"/>
  <c r="AJ310" i="16"/>
  <c r="AK310" i="16"/>
  <c r="AL310" i="16"/>
  <c r="AM310" i="16"/>
  <c r="AN310" i="16"/>
  <c r="AO310" i="16"/>
  <c r="AP310" i="16"/>
  <c r="AQ310" i="16"/>
  <c r="AR310" i="16"/>
  <c r="AS310" i="16"/>
  <c r="AT310" i="16"/>
  <c r="AU310" i="16"/>
  <c r="AV310" i="16"/>
  <c r="AW310" i="16"/>
  <c r="AX310" i="16"/>
  <c r="AY310" i="16"/>
  <c r="AZ310" i="16"/>
  <c r="BA310" i="16"/>
  <c r="BB310" i="16"/>
  <c r="BC310" i="16"/>
  <c r="BD310" i="16"/>
  <c r="BE310" i="16"/>
  <c r="BF310" i="16"/>
  <c r="BG310" i="16"/>
  <c r="BH310" i="16"/>
  <c r="BI310" i="16"/>
  <c r="BJ310" i="16"/>
  <c r="BK310" i="16"/>
  <c r="BL310" i="16"/>
  <c r="BM310" i="16"/>
  <c r="BN310" i="16"/>
  <c r="BO310" i="16"/>
  <c r="BP310" i="16"/>
  <c r="AA311" i="16"/>
  <c r="AB311" i="16"/>
  <c r="AC311" i="16"/>
  <c r="AD311" i="16"/>
  <c r="AE311" i="16"/>
  <c r="AF311" i="16"/>
  <c r="AG311" i="16"/>
  <c r="AH311" i="16"/>
  <c r="AI311" i="16"/>
  <c r="AJ311" i="16"/>
  <c r="AK311" i="16"/>
  <c r="AL311" i="16"/>
  <c r="AM311" i="16"/>
  <c r="AN311" i="16"/>
  <c r="AO311" i="16"/>
  <c r="AP311" i="16"/>
  <c r="AQ311" i="16"/>
  <c r="AR311" i="16"/>
  <c r="AS311" i="16"/>
  <c r="AT311" i="16"/>
  <c r="AU311" i="16"/>
  <c r="AV311" i="16"/>
  <c r="AW311" i="16"/>
  <c r="AX311" i="16"/>
  <c r="AY311" i="16"/>
  <c r="AZ311" i="16"/>
  <c r="BA311" i="16"/>
  <c r="BB311" i="16"/>
  <c r="BC311" i="16"/>
  <c r="BD311" i="16"/>
  <c r="BE311" i="16"/>
  <c r="BF311" i="16"/>
  <c r="BG311" i="16"/>
  <c r="BH311" i="16"/>
  <c r="BI311" i="16"/>
  <c r="BJ311" i="16"/>
  <c r="BK311" i="16"/>
  <c r="BL311" i="16"/>
  <c r="BM311" i="16"/>
  <c r="BN311" i="16"/>
  <c r="BO311" i="16"/>
  <c r="BP311" i="16"/>
  <c r="AA312" i="16"/>
  <c r="AB312" i="16"/>
  <c r="AC312" i="16"/>
  <c r="AD312" i="16"/>
  <c r="AE312" i="16"/>
  <c r="AF312" i="16"/>
  <c r="AG312" i="16"/>
  <c r="AH312" i="16"/>
  <c r="AI312" i="16"/>
  <c r="AJ312" i="16"/>
  <c r="AK312" i="16"/>
  <c r="AL312" i="16"/>
  <c r="AM312" i="16"/>
  <c r="AN312" i="16"/>
  <c r="AO312" i="16"/>
  <c r="AP312" i="16"/>
  <c r="AQ312" i="16"/>
  <c r="AR312" i="16"/>
  <c r="AS312" i="16"/>
  <c r="AT312" i="16"/>
  <c r="AU312" i="16"/>
  <c r="AV312" i="16"/>
  <c r="AW312" i="16"/>
  <c r="AX312" i="16"/>
  <c r="AY312" i="16"/>
  <c r="AZ312" i="16"/>
  <c r="BA312" i="16"/>
  <c r="BB312" i="16"/>
  <c r="BC312" i="16"/>
  <c r="BD312" i="16"/>
  <c r="BE312" i="16"/>
  <c r="BF312" i="16"/>
  <c r="BG312" i="16"/>
  <c r="BH312" i="16"/>
  <c r="BI312" i="16"/>
  <c r="BJ312" i="16"/>
  <c r="BK312" i="16"/>
  <c r="BL312" i="16"/>
  <c r="BM312" i="16"/>
  <c r="BN312" i="16"/>
  <c r="BO312" i="16"/>
  <c r="BP312" i="16"/>
  <c r="AA313" i="16"/>
  <c r="AB313" i="16"/>
  <c r="AC313" i="16"/>
  <c r="AD313" i="16"/>
  <c r="AE313" i="16"/>
  <c r="AF313" i="16"/>
  <c r="AG313" i="16"/>
  <c r="AH313" i="16"/>
  <c r="AI313" i="16"/>
  <c r="AJ313" i="16"/>
  <c r="AK313" i="16"/>
  <c r="AL313" i="16"/>
  <c r="AM313" i="16"/>
  <c r="AN313" i="16"/>
  <c r="AO313" i="16"/>
  <c r="AP313" i="16"/>
  <c r="AQ313" i="16"/>
  <c r="AR313" i="16"/>
  <c r="AS313" i="16"/>
  <c r="AT313" i="16"/>
  <c r="AU313" i="16"/>
  <c r="AV313" i="16"/>
  <c r="AW313" i="16"/>
  <c r="AX313" i="16"/>
  <c r="AY313" i="16"/>
  <c r="AZ313" i="16"/>
  <c r="BA313" i="16"/>
  <c r="BB313" i="16"/>
  <c r="BC313" i="16"/>
  <c r="BD313" i="16"/>
  <c r="BE313" i="16"/>
  <c r="BF313" i="16"/>
  <c r="BG313" i="16"/>
  <c r="BH313" i="16"/>
  <c r="BI313" i="16"/>
  <c r="BJ313" i="16"/>
  <c r="BK313" i="16"/>
  <c r="BL313" i="16"/>
  <c r="BM313" i="16"/>
  <c r="BN313" i="16"/>
  <c r="BO313" i="16"/>
  <c r="BP313" i="16"/>
  <c r="AA314" i="16"/>
  <c r="AB314" i="16"/>
  <c r="AC314" i="16"/>
  <c r="AD314" i="16"/>
  <c r="AE314" i="16"/>
  <c r="AF314" i="16"/>
  <c r="AG314" i="16"/>
  <c r="AH314" i="16"/>
  <c r="AI314" i="16"/>
  <c r="AJ314" i="16"/>
  <c r="AK314" i="16"/>
  <c r="AL314" i="16"/>
  <c r="AM314" i="16"/>
  <c r="AN314" i="16"/>
  <c r="AO314" i="16"/>
  <c r="AP314" i="16"/>
  <c r="AQ314" i="16"/>
  <c r="AR314" i="16"/>
  <c r="AS314" i="16"/>
  <c r="AT314" i="16"/>
  <c r="AU314" i="16"/>
  <c r="AV314" i="16"/>
  <c r="AW314" i="16"/>
  <c r="AX314" i="16"/>
  <c r="AY314" i="16"/>
  <c r="AZ314" i="16"/>
  <c r="BA314" i="16"/>
  <c r="BB314" i="16"/>
  <c r="BC314" i="16"/>
  <c r="BD314" i="16"/>
  <c r="BE314" i="16"/>
  <c r="BF314" i="16"/>
  <c r="BG314" i="16"/>
  <c r="BH314" i="16"/>
  <c r="BI314" i="16"/>
  <c r="BJ314" i="16"/>
  <c r="BK314" i="16"/>
  <c r="BL314" i="16"/>
  <c r="BM314" i="16"/>
  <c r="BN314" i="16"/>
  <c r="BO314" i="16"/>
  <c r="BP314" i="16"/>
  <c r="AA315" i="16"/>
  <c r="AB315" i="16"/>
  <c r="AC315" i="16"/>
  <c r="AD315" i="16"/>
  <c r="AE315" i="16"/>
  <c r="AF315" i="16"/>
  <c r="AG315" i="16"/>
  <c r="AH315" i="16"/>
  <c r="AI315" i="16"/>
  <c r="AJ315" i="16"/>
  <c r="AK315" i="16"/>
  <c r="AL315" i="16"/>
  <c r="AM315" i="16"/>
  <c r="AN315" i="16"/>
  <c r="AO315" i="16"/>
  <c r="AP315" i="16"/>
  <c r="AQ315" i="16"/>
  <c r="AR315" i="16"/>
  <c r="AS315" i="16"/>
  <c r="AT315" i="16"/>
  <c r="AU315" i="16"/>
  <c r="AV315" i="16"/>
  <c r="AW315" i="16"/>
  <c r="AX315" i="16"/>
  <c r="AY315" i="16"/>
  <c r="AZ315" i="16"/>
  <c r="BA315" i="16"/>
  <c r="BB315" i="16"/>
  <c r="BC315" i="16"/>
  <c r="BD315" i="16"/>
  <c r="BE315" i="16"/>
  <c r="BF315" i="16"/>
  <c r="BG315" i="16"/>
  <c r="BH315" i="16"/>
  <c r="BI315" i="16"/>
  <c r="BJ315" i="16"/>
  <c r="BK315" i="16"/>
  <c r="BL315" i="16"/>
  <c r="BM315" i="16"/>
  <c r="BN315" i="16"/>
  <c r="BO315" i="16"/>
  <c r="BP315" i="16"/>
  <c r="AA316" i="16"/>
  <c r="AB316" i="16"/>
  <c r="AC316" i="16"/>
  <c r="AD316" i="16"/>
  <c r="AE316" i="16"/>
  <c r="AF316" i="16"/>
  <c r="AG316" i="16"/>
  <c r="AH316" i="16"/>
  <c r="AI316" i="16"/>
  <c r="AJ316" i="16"/>
  <c r="AK316" i="16"/>
  <c r="AL316" i="16"/>
  <c r="AM316" i="16"/>
  <c r="AN316" i="16"/>
  <c r="AO316" i="16"/>
  <c r="AP316" i="16"/>
  <c r="AQ316" i="16"/>
  <c r="AR316" i="16"/>
  <c r="AS316" i="16"/>
  <c r="AT316" i="16"/>
  <c r="AU316" i="16"/>
  <c r="AV316" i="16"/>
  <c r="AW316" i="16"/>
  <c r="AX316" i="16"/>
  <c r="AY316" i="16"/>
  <c r="AZ316" i="16"/>
  <c r="BA316" i="16"/>
  <c r="BB316" i="16"/>
  <c r="BC316" i="16"/>
  <c r="BD316" i="16"/>
  <c r="BE316" i="16"/>
  <c r="BF316" i="16"/>
  <c r="BG316" i="16"/>
  <c r="BH316" i="16"/>
  <c r="BI316" i="16"/>
  <c r="BJ316" i="16"/>
  <c r="BK316" i="16"/>
  <c r="BL316" i="16"/>
  <c r="BM316" i="16"/>
  <c r="BN316" i="16"/>
  <c r="BO316" i="16"/>
  <c r="BP316" i="16"/>
  <c r="AA317" i="16"/>
  <c r="AB317" i="16"/>
  <c r="AC317" i="16"/>
  <c r="AD317" i="16"/>
  <c r="AE317" i="16"/>
  <c r="AF317" i="16"/>
  <c r="AG317" i="16"/>
  <c r="AH317" i="16"/>
  <c r="AI317" i="16"/>
  <c r="AJ317" i="16"/>
  <c r="AK317" i="16"/>
  <c r="AL317" i="16"/>
  <c r="AM317" i="16"/>
  <c r="AN317" i="16"/>
  <c r="AO317" i="16"/>
  <c r="AP317" i="16"/>
  <c r="AQ317" i="16"/>
  <c r="AR317" i="16"/>
  <c r="AS317" i="16"/>
  <c r="AT317" i="16"/>
  <c r="AU317" i="16"/>
  <c r="AV317" i="16"/>
  <c r="AW317" i="16"/>
  <c r="AX317" i="16"/>
  <c r="AY317" i="16"/>
  <c r="AZ317" i="16"/>
  <c r="BA317" i="16"/>
  <c r="BB317" i="16"/>
  <c r="BC317" i="16"/>
  <c r="BD317" i="16"/>
  <c r="BE317" i="16"/>
  <c r="BF317" i="16"/>
  <c r="BG317" i="16"/>
  <c r="BH317" i="16"/>
  <c r="BI317" i="16"/>
  <c r="BJ317" i="16"/>
  <c r="BK317" i="16"/>
  <c r="BL317" i="16"/>
  <c r="BM317" i="16"/>
  <c r="BN317" i="16"/>
  <c r="BO317" i="16"/>
  <c r="BP317" i="16"/>
  <c r="AA318" i="16"/>
  <c r="AB318" i="16"/>
  <c r="AC318" i="16"/>
  <c r="AD318" i="16"/>
  <c r="AE318" i="16"/>
  <c r="AF318" i="16"/>
  <c r="AG318" i="16"/>
  <c r="AH318" i="16"/>
  <c r="AI318" i="16"/>
  <c r="AJ318" i="16"/>
  <c r="AK318" i="16"/>
  <c r="AL318" i="16"/>
  <c r="AM318" i="16"/>
  <c r="AN318" i="16"/>
  <c r="AO318" i="16"/>
  <c r="AP318" i="16"/>
  <c r="AQ318" i="16"/>
  <c r="AR318" i="16"/>
  <c r="AS318" i="16"/>
  <c r="AT318" i="16"/>
  <c r="AU318" i="16"/>
  <c r="AV318" i="16"/>
  <c r="AW318" i="16"/>
  <c r="AX318" i="16"/>
  <c r="AY318" i="16"/>
  <c r="AZ318" i="16"/>
  <c r="BA318" i="16"/>
  <c r="BB318" i="16"/>
  <c r="BC318" i="16"/>
  <c r="BD318" i="16"/>
  <c r="BE318" i="16"/>
  <c r="BF318" i="16"/>
  <c r="BG318" i="16"/>
  <c r="BH318" i="16"/>
  <c r="BI318" i="16"/>
  <c r="BJ318" i="16"/>
  <c r="BK318" i="16"/>
  <c r="BL318" i="16"/>
  <c r="BM318" i="16"/>
  <c r="BN318" i="16"/>
  <c r="BO318" i="16"/>
  <c r="BP318" i="16"/>
  <c r="AA319" i="16"/>
  <c r="AB319" i="16"/>
  <c r="AC319" i="16"/>
  <c r="AD319" i="16"/>
  <c r="AE319" i="16"/>
  <c r="AF319" i="16"/>
  <c r="AG319" i="16"/>
  <c r="AH319" i="16"/>
  <c r="AI319" i="16"/>
  <c r="AJ319" i="16"/>
  <c r="AK319" i="16"/>
  <c r="AL319" i="16"/>
  <c r="AM319" i="16"/>
  <c r="AN319" i="16"/>
  <c r="AO319" i="16"/>
  <c r="AP319" i="16"/>
  <c r="AQ319" i="16"/>
  <c r="AR319" i="16"/>
  <c r="AS319" i="16"/>
  <c r="AT319" i="16"/>
  <c r="AU319" i="16"/>
  <c r="AV319" i="16"/>
  <c r="AW319" i="16"/>
  <c r="AX319" i="16"/>
  <c r="AY319" i="16"/>
  <c r="AZ319" i="16"/>
  <c r="BA319" i="16"/>
  <c r="BB319" i="16"/>
  <c r="BC319" i="16"/>
  <c r="BD319" i="16"/>
  <c r="BE319" i="16"/>
  <c r="BF319" i="16"/>
  <c r="BG319" i="16"/>
  <c r="BH319" i="16"/>
  <c r="BI319" i="16"/>
  <c r="BJ319" i="16"/>
  <c r="BK319" i="16"/>
  <c r="BL319" i="16"/>
  <c r="BM319" i="16"/>
  <c r="BN319" i="16"/>
  <c r="BO319" i="16"/>
  <c r="BP319" i="16"/>
  <c r="AA320" i="16"/>
  <c r="AB320" i="16"/>
  <c r="AC320" i="16"/>
  <c r="AD320" i="16"/>
  <c r="AE320" i="16"/>
  <c r="AF320" i="16"/>
  <c r="AG320" i="16"/>
  <c r="AH320" i="16"/>
  <c r="AI320" i="16"/>
  <c r="AJ320" i="16"/>
  <c r="AK320" i="16"/>
  <c r="AL320" i="16"/>
  <c r="AM320" i="16"/>
  <c r="AN320" i="16"/>
  <c r="AO320" i="16"/>
  <c r="AP320" i="16"/>
  <c r="AQ320" i="16"/>
  <c r="AR320" i="16"/>
  <c r="AS320" i="16"/>
  <c r="AT320" i="16"/>
  <c r="AU320" i="16"/>
  <c r="AV320" i="16"/>
  <c r="AW320" i="16"/>
  <c r="AX320" i="16"/>
  <c r="AY320" i="16"/>
  <c r="AZ320" i="16"/>
  <c r="BA320" i="16"/>
  <c r="BB320" i="16"/>
  <c r="BC320" i="16"/>
  <c r="BD320" i="16"/>
  <c r="BE320" i="16"/>
  <c r="BF320" i="16"/>
  <c r="BG320" i="16"/>
  <c r="BH320" i="16"/>
  <c r="BI320" i="16"/>
  <c r="BJ320" i="16"/>
  <c r="BK320" i="16"/>
  <c r="BL320" i="16"/>
  <c r="BM320" i="16"/>
  <c r="BN320" i="16"/>
  <c r="BO320" i="16"/>
  <c r="BP320" i="16"/>
  <c r="AA321" i="16"/>
  <c r="AB321" i="16"/>
  <c r="AC321" i="16"/>
  <c r="AD321" i="16"/>
  <c r="AE321" i="16"/>
  <c r="AF321" i="16"/>
  <c r="AG321" i="16"/>
  <c r="AH321" i="16"/>
  <c r="AI321" i="16"/>
  <c r="AJ321" i="16"/>
  <c r="AK321" i="16"/>
  <c r="AL321" i="16"/>
  <c r="AM321" i="16"/>
  <c r="AN321" i="16"/>
  <c r="AO321" i="16"/>
  <c r="AP321" i="16"/>
  <c r="AQ321" i="16"/>
  <c r="AR321" i="16"/>
  <c r="AS321" i="16"/>
  <c r="AT321" i="16"/>
  <c r="AU321" i="16"/>
  <c r="AV321" i="16"/>
  <c r="AW321" i="16"/>
  <c r="AX321" i="16"/>
  <c r="AY321" i="16"/>
  <c r="AZ321" i="16"/>
  <c r="BA321" i="16"/>
  <c r="BB321" i="16"/>
  <c r="BC321" i="16"/>
  <c r="BD321" i="16"/>
  <c r="BE321" i="16"/>
  <c r="BF321" i="16"/>
  <c r="BG321" i="16"/>
  <c r="BH321" i="16"/>
  <c r="BI321" i="16"/>
  <c r="BJ321" i="16"/>
  <c r="BK321" i="16"/>
  <c r="BL321" i="16"/>
  <c r="BM321" i="16"/>
  <c r="BN321" i="16"/>
  <c r="BO321" i="16"/>
  <c r="BP321" i="16"/>
  <c r="AA322" i="16"/>
  <c r="AB322" i="16"/>
  <c r="AC322" i="16"/>
  <c r="AD322" i="16"/>
  <c r="AE322" i="16"/>
  <c r="AF322" i="16"/>
  <c r="AG322" i="16"/>
  <c r="AH322" i="16"/>
  <c r="AI322" i="16"/>
  <c r="AJ322" i="16"/>
  <c r="AK322" i="16"/>
  <c r="AL322" i="16"/>
  <c r="AM322" i="16"/>
  <c r="AN322" i="16"/>
  <c r="AO322" i="16"/>
  <c r="AP322" i="16"/>
  <c r="AQ322" i="16"/>
  <c r="AR322" i="16"/>
  <c r="AS322" i="16"/>
  <c r="AT322" i="16"/>
  <c r="AU322" i="16"/>
  <c r="AV322" i="16"/>
  <c r="AW322" i="16"/>
  <c r="AX322" i="16"/>
  <c r="AY322" i="16"/>
  <c r="AZ322" i="16"/>
  <c r="BA322" i="16"/>
  <c r="BB322" i="16"/>
  <c r="BC322" i="16"/>
  <c r="BD322" i="16"/>
  <c r="BE322" i="16"/>
  <c r="BF322" i="16"/>
  <c r="BG322" i="16"/>
  <c r="BH322" i="16"/>
  <c r="BI322" i="16"/>
  <c r="BJ322" i="16"/>
  <c r="BK322" i="16"/>
  <c r="BL322" i="16"/>
  <c r="BM322" i="16"/>
  <c r="BN322" i="16"/>
  <c r="BO322" i="16"/>
  <c r="BP322" i="16"/>
  <c r="AA323" i="16"/>
  <c r="AB323" i="16"/>
  <c r="AC323" i="16"/>
  <c r="AD323" i="16"/>
  <c r="AE323" i="16"/>
  <c r="AF323" i="16"/>
  <c r="AG323" i="16"/>
  <c r="AH323" i="16"/>
  <c r="AI323" i="16"/>
  <c r="AJ323" i="16"/>
  <c r="AK323" i="16"/>
  <c r="AL323" i="16"/>
  <c r="AM323" i="16"/>
  <c r="AN323" i="16"/>
  <c r="AO323" i="16"/>
  <c r="AP323" i="16"/>
  <c r="AQ323" i="16"/>
  <c r="AR323" i="16"/>
  <c r="AS323" i="16"/>
  <c r="AT323" i="16"/>
  <c r="AU323" i="16"/>
  <c r="AV323" i="16"/>
  <c r="AW323" i="16"/>
  <c r="AX323" i="16"/>
  <c r="AY323" i="16"/>
  <c r="AZ323" i="16"/>
  <c r="BA323" i="16"/>
  <c r="BB323" i="16"/>
  <c r="BC323" i="16"/>
  <c r="BD323" i="16"/>
  <c r="BE323" i="16"/>
  <c r="BF323" i="16"/>
  <c r="BG323" i="16"/>
  <c r="BH323" i="16"/>
  <c r="BI323" i="16"/>
  <c r="BJ323" i="16"/>
  <c r="BK323" i="16"/>
  <c r="BL323" i="16"/>
  <c r="BM323" i="16"/>
  <c r="BN323" i="16"/>
  <c r="BO323" i="16"/>
  <c r="BP323" i="16"/>
  <c r="AA324" i="16"/>
  <c r="AB324" i="16"/>
  <c r="AC324" i="16"/>
  <c r="AD324" i="16"/>
  <c r="AE324" i="16"/>
  <c r="AF324" i="16"/>
  <c r="AG324" i="16"/>
  <c r="AH324" i="16"/>
  <c r="AI324" i="16"/>
  <c r="AJ324" i="16"/>
  <c r="AK324" i="16"/>
  <c r="AL324" i="16"/>
  <c r="AM324" i="16"/>
  <c r="AN324" i="16"/>
  <c r="AO324" i="16"/>
  <c r="AP324" i="16"/>
  <c r="AQ324" i="16"/>
  <c r="AR324" i="16"/>
  <c r="AS324" i="16"/>
  <c r="AT324" i="16"/>
  <c r="AU324" i="16"/>
  <c r="AV324" i="16"/>
  <c r="AW324" i="16"/>
  <c r="AX324" i="16"/>
  <c r="AY324" i="16"/>
  <c r="AZ324" i="16"/>
  <c r="BA324" i="16"/>
  <c r="BB324" i="16"/>
  <c r="BC324" i="16"/>
  <c r="BD324" i="16"/>
  <c r="BE324" i="16"/>
  <c r="BF324" i="16"/>
  <c r="BG324" i="16"/>
  <c r="BH324" i="16"/>
  <c r="BI324" i="16"/>
  <c r="BJ324" i="16"/>
  <c r="BK324" i="16"/>
  <c r="BL324" i="16"/>
  <c r="BM324" i="16"/>
  <c r="BN324" i="16"/>
  <c r="BO324" i="16"/>
  <c r="BP324" i="16"/>
  <c r="AA325" i="16"/>
  <c r="AB325" i="16"/>
  <c r="AC325" i="16"/>
  <c r="AD325" i="16"/>
  <c r="AE325" i="16"/>
  <c r="AF325" i="16"/>
  <c r="AG325" i="16"/>
  <c r="AH325" i="16"/>
  <c r="AI325" i="16"/>
  <c r="AJ325" i="16"/>
  <c r="AK325" i="16"/>
  <c r="AL325" i="16"/>
  <c r="AM325" i="16"/>
  <c r="AN325" i="16"/>
  <c r="AO325" i="16"/>
  <c r="AP325" i="16"/>
  <c r="AQ325" i="16"/>
  <c r="AR325" i="16"/>
  <c r="AS325" i="16"/>
  <c r="AT325" i="16"/>
  <c r="AU325" i="16"/>
  <c r="AV325" i="16"/>
  <c r="AW325" i="16"/>
  <c r="AX325" i="16"/>
  <c r="AY325" i="16"/>
  <c r="AZ325" i="16"/>
  <c r="BA325" i="16"/>
  <c r="BB325" i="16"/>
  <c r="BC325" i="16"/>
  <c r="BD325" i="16"/>
  <c r="BE325" i="16"/>
  <c r="BF325" i="16"/>
  <c r="BG325" i="16"/>
  <c r="BH325" i="16"/>
  <c r="BI325" i="16"/>
  <c r="BJ325" i="16"/>
  <c r="BK325" i="16"/>
  <c r="BL325" i="16"/>
  <c r="BM325" i="16"/>
  <c r="BN325" i="16"/>
  <c r="BO325" i="16"/>
  <c r="BP325" i="16"/>
  <c r="AA326" i="16"/>
  <c r="AB326" i="16"/>
  <c r="AC326" i="16"/>
  <c r="AD326" i="16"/>
  <c r="AE326" i="16"/>
  <c r="AF326" i="16"/>
  <c r="AG326" i="16"/>
  <c r="AH326" i="16"/>
  <c r="AI326" i="16"/>
  <c r="AJ326" i="16"/>
  <c r="AK326" i="16"/>
  <c r="AL326" i="16"/>
  <c r="AM326" i="16"/>
  <c r="AN326" i="16"/>
  <c r="AO326" i="16"/>
  <c r="AP326" i="16"/>
  <c r="AQ326" i="16"/>
  <c r="AR326" i="16"/>
  <c r="AS326" i="16"/>
  <c r="AT326" i="16"/>
  <c r="AU326" i="16"/>
  <c r="AV326" i="16"/>
  <c r="AW326" i="16"/>
  <c r="AX326" i="16"/>
  <c r="AY326" i="16"/>
  <c r="AZ326" i="16"/>
  <c r="BA326" i="16"/>
  <c r="BB326" i="16"/>
  <c r="BC326" i="16"/>
  <c r="BD326" i="16"/>
  <c r="BE326" i="16"/>
  <c r="BF326" i="16"/>
  <c r="BG326" i="16"/>
  <c r="BH326" i="16"/>
  <c r="BI326" i="16"/>
  <c r="BJ326" i="16"/>
  <c r="BK326" i="16"/>
  <c r="BL326" i="16"/>
  <c r="BM326" i="16"/>
  <c r="BN326" i="16"/>
  <c r="BO326" i="16"/>
  <c r="BP326" i="16"/>
  <c r="AA327" i="16"/>
  <c r="AB327" i="16"/>
  <c r="AC327" i="16"/>
  <c r="AD327" i="16"/>
  <c r="AE327" i="16"/>
  <c r="AF327" i="16"/>
  <c r="AG327" i="16"/>
  <c r="AH327" i="16"/>
  <c r="AI327" i="16"/>
  <c r="AJ327" i="16"/>
  <c r="AK327" i="16"/>
  <c r="AL327" i="16"/>
  <c r="AM327" i="16"/>
  <c r="AN327" i="16"/>
  <c r="AO327" i="16"/>
  <c r="AP327" i="16"/>
  <c r="AQ327" i="16"/>
  <c r="AR327" i="16"/>
  <c r="AS327" i="16"/>
  <c r="AT327" i="16"/>
  <c r="AU327" i="16"/>
  <c r="AV327" i="16"/>
  <c r="AW327" i="16"/>
  <c r="AX327" i="16"/>
  <c r="AY327" i="16"/>
  <c r="AZ327" i="16"/>
  <c r="BA327" i="16"/>
  <c r="BB327" i="16"/>
  <c r="BC327" i="16"/>
  <c r="BD327" i="16"/>
  <c r="BE327" i="16"/>
  <c r="BF327" i="16"/>
  <c r="BG327" i="16"/>
  <c r="BH327" i="16"/>
  <c r="BI327" i="16"/>
  <c r="BJ327" i="16"/>
  <c r="BK327" i="16"/>
  <c r="BL327" i="16"/>
  <c r="BM327" i="16"/>
  <c r="BN327" i="16"/>
  <c r="BO327" i="16"/>
  <c r="BP327" i="16"/>
  <c r="AA328" i="16"/>
  <c r="AB328" i="16"/>
  <c r="AC328" i="16"/>
  <c r="AD328" i="16"/>
  <c r="AE328" i="16"/>
  <c r="AF328" i="16"/>
  <c r="AG328" i="16"/>
  <c r="AH328" i="16"/>
  <c r="AI328" i="16"/>
  <c r="AJ328" i="16"/>
  <c r="AK328" i="16"/>
  <c r="AL328" i="16"/>
  <c r="AM328" i="16"/>
  <c r="AN328" i="16"/>
  <c r="AO328" i="16"/>
  <c r="AP328" i="16"/>
  <c r="AQ328" i="16"/>
  <c r="AR328" i="16"/>
  <c r="AS328" i="16"/>
  <c r="AT328" i="16"/>
  <c r="AU328" i="16"/>
  <c r="AV328" i="16"/>
  <c r="AW328" i="16"/>
  <c r="AX328" i="16"/>
  <c r="AY328" i="16"/>
  <c r="AZ328" i="16"/>
  <c r="BA328" i="16"/>
  <c r="BB328" i="16"/>
  <c r="BC328" i="16"/>
  <c r="BD328" i="16"/>
  <c r="BE328" i="16"/>
  <c r="BF328" i="16"/>
  <c r="BG328" i="16"/>
  <c r="BH328" i="16"/>
  <c r="BI328" i="16"/>
  <c r="BJ328" i="16"/>
  <c r="BK328" i="16"/>
  <c r="BL328" i="16"/>
  <c r="BM328" i="16"/>
  <c r="BN328" i="16"/>
  <c r="BO328" i="16"/>
  <c r="BP328" i="16"/>
  <c r="AA329" i="16"/>
  <c r="AB329" i="16"/>
  <c r="AC329" i="16"/>
  <c r="AD329" i="16"/>
  <c r="AE329" i="16"/>
  <c r="AF329" i="16"/>
  <c r="AG329" i="16"/>
  <c r="AH329" i="16"/>
  <c r="AI329" i="16"/>
  <c r="AJ329" i="16"/>
  <c r="AK329" i="16"/>
  <c r="AL329" i="16"/>
  <c r="AM329" i="16"/>
  <c r="AN329" i="16"/>
  <c r="AO329" i="16"/>
  <c r="AP329" i="16"/>
  <c r="AQ329" i="16"/>
  <c r="AR329" i="16"/>
  <c r="AS329" i="16"/>
  <c r="AT329" i="16"/>
  <c r="AU329" i="16"/>
  <c r="AV329" i="16"/>
  <c r="AW329" i="16"/>
  <c r="AX329" i="16"/>
  <c r="AY329" i="16"/>
  <c r="AZ329" i="16"/>
  <c r="BA329" i="16"/>
  <c r="BB329" i="16"/>
  <c r="BC329" i="16"/>
  <c r="BD329" i="16"/>
  <c r="BE329" i="16"/>
  <c r="BF329" i="16"/>
  <c r="BG329" i="16"/>
  <c r="BH329" i="16"/>
  <c r="BI329" i="16"/>
  <c r="BJ329" i="16"/>
  <c r="BK329" i="16"/>
  <c r="BL329" i="16"/>
  <c r="BM329" i="16"/>
  <c r="BN329" i="16"/>
  <c r="BO329" i="16"/>
  <c r="BP329" i="16"/>
  <c r="AA330" i="16"/>
  <c r="AB330" i="16"/>
  <c r="AC330" i="16"/>
  <c r="AD330" i="16"/>
  <c r="AE330" i="16"/>
  <c r="AF330" i="16"/>
  <c r="AG330" i="16"/>
  <c r="AH330" i="16"/>
  <c r="AI330" i="16"/>
  <c r="AJ330" i="16"/>
  <c r="AK330" i="16"/>
  <c r="AL330" i="16"/>
  <c r="AM330" i="16"/>
  <c r="AN330" i="16"/>
  <c r="AO330" i="16"/>
  <c r="AP330" i="16"/>
  <c r="AQ330" i="16"/>
  <c r="AR330" i="16"/>
  <c r="AS330" i="16"/>
  <c r="AT330" i="16"/>
  <c r="AU330" i="16"/>
  <c r="AV330" i="16"/>
  <c r="AW330" i="16"/>
  <c r="AX330" i="16"/>
  <c r="AY330" i="16"/>
  <c r="AZ330" i="16"/>
  <c r="BA330" i="16"/>
  <c r="BB330" i="16"/>
  <c r="BC330" i="16"/>
  <c r="BD330" i="16"/>
  <c r="BE330" i="16"/>
  <c r="BF330" i="16"/>
  <c r="BG330" i="16"/>
  <c r="BH330" i="16"/>
  <c r="BI330" i="16"/>
  <c r="BJ330" i="16"/>
  <c r="BK330" i="16"/>
  <c r="BL330" i="16"/>
  <c r="BM330" i="16"/>
  <c r="BN330" i="16"/>
  <c r="BO330" i="16"/>
  <c r="BP330" i="16"/>
  <c r="AA331" i="16"/>
  <c r="AB331" i="16"/>
  <c r="AC331" i="16"/>
  <c r="AD331" i="16"/>
  <c r="AE331" i="16"/>
  <c r="AF331" i="16"/>
  <c r="AG331" i="16"/>
  <c r="AH331" i="16"/>
  <c r="AI331" i="16"/>
  <c r="AJ331" i="16"/>
  <c r="AK331" i="16"/>
  <c r="AL331" i="16"/>
  <c r="AM331" i="16"/>
  <c r="AN331" i="16"/>
  <c r="AO331" i="16"/>
  <c r="AP331" i="16"/>
  <c r="AQ331" i="16"/>
  <c r="AR331" i="16"/>
  <c r="AS331" i="16"/>
  <c r="AT331" i="16"/>
  <c r="AU331" i="16"/>
  <c r="AV331" i="16"/>
  <c r="AW331" i="16"/>
  <c r="AX331" i="16"/>
  <c r="AY331" i="16"/>
  <c r="AZ331" i="16"/>
  <c r="BA331" i="16"/>
  <c r="BB331" i="16"/>
  <c r="BC331" i="16"/>
  <c r="BD331" i="16"/>
  <c r="BE331" i="16"/>
  <c r="BF331" i="16"/>
  <c r="BG331" i="16"/>
  <c r="BH331" i="16"/>
  <c r="BI331" i="16"/>
  <c r="BJ331" i="16"/>
  <c r="BK331" i="16"/>
  <c r="BL331" i="16"/>
  <c r="BM331" i="16"/>
  <c r="BN331" i="16"/>
  <c r="BO331" i="16"/>
  <c r="BP331" i="16"/>
  <c r="AA332" i="16"/>
  <c r="AB332" i="16"/>
  <c r="AC332" i="16"/>
  <c r="AD332" i="16"/>
  <c r="AE332" i="16"/>
  <c r="AF332" i="16"/>
  <c r="AG332" i="16"/>
  <c r="AH332" i="16"/>
  <c r="AI332" i="16"/>
  <c r="AJ332" i="16"/>
  <c r="AK332" i="16"/>
  <c r="AL332" i="16"/>
  <c r="AM332" i="16"/>
  <c r="AN332" i="16"/>
  <c r="AO332" i="16"/>
  <c r="AP332" i="16"/>
  <c r="AQ332" i="16"/>
  <c r="AR332" i="16"/>
  <c r="AS332" i="16"/>
  <c r="AT332" i="16"/>
  <c r="AU332" i="16"/>
  <c r="AV332" i="16"/>
  <c r="AW332" i="16"/>
  <c r="AX332" i="16"/>
  <c r="AY332" i="16"/>
  <c r="AZ332" i="16"/>
  <c r="BA332" i="16"/>
  <c r="BB332" i="16"/>
  <c r="BC332" i="16"/>
  <c r="BD332" i="16"/>
  <c r="BE332" i="16"/>
  <c r="BF332" i="16"/>
  <c r="BG332" i="16"/>
  <c r="BH332" i="16"/>
  <c r="BI332" i="16"/>
  <c r="BJ332" i="16"/>
  <c r="BK332" i="16"/>
  <c r="BL332" i="16"/>
  <c r="BM332" i="16"/>
  <c r="BN332" i="16"/>
  <c r="BO332" i="16"/>
  <c r="BP332" i="16"/>
  <c r="AA333" i="16"/>
  <c r="AB333" i="16"/>
  <c r="AC333" i="16"/>
  <c r="AD333" i="16"/>
  <c r="AE333" i="16"/>
  <c r="AF333" i="16"/>
  <c r="AG333" i="16"/>
  <c r="AH333" i="16"/>
  <c r="AI333" i="16"/>
  <c r="AJ333" i="16"/>
  <c r="AK333" i="16"/>
  <c r="AL333" i="16"/>
  <c r="AM333" i="16"/>
  <c r="AN333" i="16"/>
  <c r="AO333" i="16"/>
  <c r="AP333" i="16"/>
  <c r="AQ333" i="16"/>
  <c r="AR333" i="16"/>
  <c r="AS333" i="16"/>
  <c r="AT333" i="16"/>
  <c r="AU333" i="16"/>
  <c r="AV333" i="16"/>
  <c r="AW333" i="16"/>
  <c r="AX333" i="16"/>
  <c r="AY333" i="16"/>
  <c r="AZ333" i="16"/>
  <c r="BA333" i="16"/>
  <c r="BB333" i="16"/>
  <c r="BC333" i="16"/>
  <c r="BD333" i="16"/>
  <c r="BE333" i="16"/>
  <c r="BF333" i="16"/>
  <c r="BG333" i="16"/>
  <c r="BH333" i="16"/>
  <c r="BI333" i="16"/>
  <c r="BJ333" i="16"/>
  <c r="BK333" i="16"/>
  <c r="BL333" i="16"/>
  <c r="BM333" i="16"/>
  <c r="BN333" i="16"/>
  <c r="BO333" i="16"/>
  <c r="BP333" i="16"/>
  <c r="AA334" i="16"/>
  <c r="AB334" i="16"/>
  <c r="AC334" i="16"/>
  <c r="AD334" i="16"/>
  <c r="AE334" i="16"/>
  <c r="AF334" i="16"/>
  <c r="AG334" i="16"/>
  <c r="AH334" i="16"/>
  <c r="AI334" i="16"/>
  <c r="AJ334" i="16"/>
  <c r="AK334" i="16"/>
  <c r="AL334" i="16"/>
  <c r="AM334" i="16"/>
  <c r="AN334" i="16"/>
  <c r="AO334" i="16"/>
  <c r="AP334" i="16"/>
  <c r="AQ334" i="16"/>
  <c r="AR334" i="16"/>
  <c r="AS334" i="16"/>
  <c r="AT334" i="16"/>
  <c r="AU334" i="16"/>
  <c r="AV334" i="16"/>
  <c r="AW334" i="16"/>
  <c r="AX334" i="16"/>
  <c r="AY334" i="16"/>
  <c r="AZ334" i="16"/>
  <c r="BA334" i="16"/>
  <c r="BB334" i="16"/>
  <c r="BC334" i="16"/>
  <c r="BD334" i="16"/>
  <c r="BE334" i="16"/>
  <c r="BF334" i="16"/>
  <c r="BG334" i="16"/>
  <c r="BH334" i="16"/>
  <c r="BI334" i="16"/>
  <c r="BJ334" i="16"/>
  <c r="BK334" i="16"/>
  <c r="BL334" i="16"/>
  <c r="BM334" i="16"/>
  <c r="BN334" i="16"/>
  <c r="BO334" i="16"/>
  <c r="BP334" i="16"/>
  <c r="AA335" i="16"/>
  <c r="AB335" i="16"/>
  <c r="AC335" i="16"/>
  <c r="AD335" i="16"/>
  <c r="AE335" i="16"/>
  <c r="AF335" i="16"/>
  <c r="AG335" i="16"/>
  <c r="AH335" i="16"/>
  <c r="AI335" i="16"/>
  <c r="AJ335" i="16"/>
  <c r="AK335" i="16"/>
  <c r="AL335" i="16"/>
  <c r="AM335" i="16"/>
  <c r="AN335" i="16"/>
  <c r="AO335" i="16"/>
  <c r="AP335" i="16"/>
  <c r="AQ335" i="16"/>
  <c r="AR335" i="16"/>
  <c r="AS335" i="16"/>
  <c r="AT335" i="16"/>
  <c r="AU335" i="16"/>
  <c r="AV335" i="16"/>
  <c r="AW335" i="16"/>
  <c r="AX335" i="16"/>
  <c r="AY335" i="16"/>
  <c r="AZ335" i="16"/>
  <c r="BA335" i="16"/>
  <c r="BB335" i="16"/>
  <c r="BC335" i="16"/>
  <c r="BD335" i="16"/>
  <c r="BE335" i="16"/>
  <c r="BF335" i="16"/>
  <c r="BG335" i="16"/>
  <c r="BH335" i="16"/>
  <c r="BI335" i="16"/>
  <c r="BJ335" i="16"/>
  <c r="BK335" i="16"/>
  <c r="BL335" i="16"/>
  <c r="BM335" i="16"/>
  <c r="BN335" i="16"/>
  <c r="BO335" i="16"/>
  <c r="BP335" i="16"/>
  <c r="AA336" i="16"/>
  <c r="AB336" i="16"/>
  <c r="AC336" i="16"/>
  <c r="AD336" i="16"/>
  <c r="AE336" i="16"/>
  <c r="AF336" i="16"/>
  <c r="AG336" i="16"/>
  <c r="AH336" i="16"/>
  <c r="AI336" i="16"/>
  <c r="AJ336" i="16"/>
  <c r="AK336" i="16"/>
  <c r="AL336" i="16"/>
  <c r="AM336" i="16"/>
  <c r="AN336" i="16"/>
  <c r="AO336" i="16"/>
  <c r="AP336" i="16"/>
  <c r="AQ336" i="16"/>
  <c r="AR336" i="16"/>
  <c r="AS336" i="16"/>
  <c r="AT336" i="16"/>
  <c r="AU336" i="16"/>
  <c r="AV336" i="16"/>
  <c r="AW336" i="16"/>
  <c r="AX336" i="16"/>
  <c r="AY336" i="16"/>
  <c r="AZ336" i="16"/>
  <c r="BA336" i="16"/>
  <c r="BB336" i="16"/>
  <c r="BC336" i="16"/>
  <c r="BD336" i="16"/>
  <c r="BE336" i="16"/>
  <c r="BF336" i="16"/>
  <c r="BG336" i="16"/>
  <c r="BH336" i="16"/>
  <c r="BI336" i="16"/>
  <c r="BJ336" i="16"/>
  <c r="BK336" i="16"/>
  <c r="BL336" i="16"/>
  <c r="BM336" i="16"/>
  <c r="BN336" i="16"/>
  <c r="BO336" i="16"/>
  <c r="BP336" i="16"/>
  <c r="AA337" i="16"/>
  <c r="AB337" i="16"/>
  <c r="AC337" i="16"/>
  <c r="AD337" i="16"/>
  <c r="AE337" i="16"/>
  <c r="AF337" i="16"/>
  <c r="AG337" i="16"/>
  <c r="AH337" i="16"/>
  <c r="AI337" i="16"/>
  <c r="AJ337" i="16"/>
  <c r="AK337" i="16"/>
  <c r="AL337" i="16"/>
  <c r="AM337" i="16"/>
  <c r="AN337" i="16"/>
  <c r="AO337" i="16"/>
  <c r="AP337" i="16"/>
  <c r="AQ337" i="16"/>
  <c r="AR337" i="16"/>
  <c r="AS337" i="16"/>
  <c r="AT337" i="16"/>
  <c r="AU337" i="16"/>
  <c r="AV337" i="16"/>
  <c r="AW337" i="16"/>
  <c r="AX337" i="16"/>
  <c r="AY337" i="16"/>
  <c r="AZ337" i="16"/>
  <c r="BA337" i="16"/>
  <c r="BB337" i="16"/>
  <c r="BC337" i="16"/>
  <c r="BD337" i="16"/>
  <c r="BE337" i="16"/>
  <c r="BF337" i="16"/>
  <c r="BG337" i="16"/>
  <c r="BH337" i="16"/>
  <c r="BI337" i="16"/>
  <c r="BJ337" i="16"/>
  <c r="BK337" i="16"/>
  <c r="BL337" i="16"/>
  <c r="BM337" i="16"/>
  <c r="BN337" i="16"/>
  <c r="BO337" i="16"/>
  <c r="BP337" i="16"/>
  <c r="AA338" i="16"/>
  <c r="AB338" i="16"/>
  <c r="AC338" i="16"/>
  <c r="AD338" i="16"/>
  <c r="AE338" i="16"/>
  <c r="AF338" i="16"/>
  <c r="AG338" i="16"/>
  <c r="AH338" i="16"/>
  <c r="AI338" i="16"/>
  <c r="AJ338" i="16"/>
  <c r="AK338" i="16"/>
  <c r="AL338" i="16"/>
  <c r="AM338" i="16"/>
  <c r="AN338" i="16"/>
  <c r="AO338" i="16"/>
  <c r="AP338" i="16"/>
  <c r="AQ338" i="16"/>
  <c r="AR338" i="16"/>
  <c r="AS338" i="16"/>
  <c r="AT338" i="16"/>
  <c r="AU338" i="16"/>
  <c r="AV338" i="16"/>
  <c r="AW338" i="16"/>
  <c r="AX338" i="16"/>
  <c r="AY338" i="16"/>
  <c r="AZ338" i="16"/>
  <c r="BA338" i="16"/>
  <c r="BB338" i="16"/>
  <c r="BC338" i="16"/>
  <c r="BD338" i="16"/>
  <c r="BE338" i="16"/>
  <c r="BF338" i="16"/>
  <c r="BG338" i="16"/>
  <c r="BH338" i="16"/>
  <c r="BI338" i="16"/>
  <c r="BJ338" i="16"/>
  <c r="BK338" i="16"/>
  <c r="BL338" i="16"/>
  <c r="BM338" i="16"/>
  <c r="BN338" i="16"/>
  <c r="BO338" i="16"/>
  <c r="BP338" i="16"/>
  <c r="AA339" i="16"/>
  <c r="AB339" i="16"/>
  <c r="AC339" i="16"/>
  <c r="AD339" i="16"/>
  <c r="AE339" i="16"/>
  <c r="AF339" i="16"/>
  <c r="AG339" i="16"/>
  <c r="AH339" i="16"/>
  <c r="AI339" i="16"/>
  <c r="AJ339" i="16"/>
  <c r="AK339" i="16"/>
  <c r="AL339" i="16"/>
  <c r="AM339" i="16"/>
  <c r="AN339" i="16"/>
  <c r="AO339" i="16"/>
  <c r="AP339" i="16"/>
  <c r="AQ339" i="16"/>
  <c r="AR339" i="16"/>
  <c r="AS339" i="16"/>
  <c r="AT339" i="16"/>
  <c r="AU339" i="16"/>
  <c r="AV339" i="16"/>
  <c r="AW339" i="16"/>
  <c r="AX339" i="16"/>
  <c r="AY339" i="16"/>
  <c r="AZ339" i="16"/>
  <c r="BA339" i="16"/>
  <c r="BB339" i="16"/>
  <c r="BC339" i="16"/>
  <c r="BD339" i="16"/>
  <c r="BE339" i="16"/>
  <c r="BF339" i="16"/>
  <c r="BG339" i="16"/>
  <c r="BH339" i="16"/>
  <c r="BI339" i="16"/>
  <c r="BJ339" i="16"/>
  <c r="BK339" i="16"/>
  <c r="BL339" i="16"/>
  <c r="BM339" i="16"/>
  <c r="BN339" i="16"/>
  <c r="BO339" i="16"/>
  <c r="BP339" i="16"/>
  <c r="AA340" i="16"/>
  <c r="AB340" i="16"/>
  <c r="AC340" i="16"/>
  <c r="AD340" i="16"/>
  <c r="AE340" i="16"/>
  <c r="AF340" i="16"/>
  <c r="AG340" i="16"/>
  <c r="AH340" i="16"/>
  <c r="AI340" i="16"/>
  <c r="AJ340" i="16"/>
  <c r="AK340" i="16"/>
  <c r="AL340" i="16"/>
  <c r="AM340" i="16"/>
  <c r="AN340" i="16"/>
  <c r="AO340" i="16"/>
  <c r="AP340" i="16"/>
  <c r="AQ340" i="16"/>
  <c r="AR340" i="16"/>
  <c r="AS340" i="16"/>
  <c r="AT340" i="16"/>
  <c r="AU340" i="16"/>
  <c r="AV340" i="16"/>
  <c r="AW340" i="16"/>
  <c r="AX340" i="16"/>
  <c r="AY340" i="16"/>
  <c r="AZ340" i="16"/>
  <c r="BA340" i="16"/>
  <c r="BB340" i="16"/>
  <c r="BC340" i="16"/>
  <c r="BD340" i="16"/>
  <c r="BE340" i="16"/>
  <c r="BF340" i="16"/>
  <c r="BG340" i="16"/>
  <c r="BH340" i="16"/>
  <c r="BI340" i="16"/>
  <c r="BJ340" i="16"/>
  <c r="BK340" i="16"/>
  <c r="BL340" i="16"/>
  <c r="BM340" i="16"/>
  <c r="BN340" i="16"/>
  <c r="BO340" i="16"/>
  <c r="BP340" i="16"/>
  <c r="AA341" i="16"/>
  <c r="AB341" i="16"/>
  <c r="AC341" i="16"/>
  <c r="AD341" i="16"/>
  <c r="AE341" i="16"/>
  <c r="AF341" i="16"/>
  <c r="AG341" i="16"/>
  <c r="AH341" i="16"/>
  <c r="AI341" i="16"/>
  <c r="AJ341" i="16"/>
  <c r="AK341" i="16"/>
  <c r="AL341" i="16"/>
  <c r="AM341" i="16"/>
  <c r="AN341" i="16"/>
  <c r="AO341" i="16"/>
  <c r="AP341" i="16"/>
  <c r="AQ341" i="16"/>
  <c r="AR341" i="16"/>
  <c r="AS341" i="16"/>
  <c r="AT341" i="16"/>
  <c r="AU341" i="16"/>
  <c r="AV341" i="16"/>
  <c r="AW341" i="16"/>
  <c r="AX341" i="16"/>
  <c r="AY341" i="16"/>
  <c r="AZ341" i="16"/>
  <c r="BA341" i="16"/>
  <c r="BB341" i="16"/>
  <c r="BC341" i="16"/>
  <c r="BD341" i="16"/>
  <c r="BE341" i="16"/>
  <c r="BF341" i="16"/>
  <c r="BG341" i="16"/>
  <c r="BH341" i="16"/>
  <c r="BI341" i="16"/>
  <c r="BJ341" i="16"/>
  <c r="BK341" i="16"/>
  <c r="BL341" i="16"/>
  <c r="BM341" i="16"/>
  <c r="BN341" i="16"/>
  <c r="BO341" i="16"/>
  <c r="BP341" i="16"/>
  <c r="AA342" i="16"/>
  <c r="AB342" i="16"/>
  <c r="AC342" i="16"/>
  <c r="AD342" i="16"/>
  <c r="AE342" i="16"/>
  <c r="AF342" i="16"/>
  <c r="AG342" i="16"/>
  <c r="AH342" i="16"/>
  <c r="AI342" i="16"/>
  <c r="AJ342" i="16"/>
  <c r="AK342" i="16"/>
  <c r="AL342" i="16"/>
  <c r="AM342" i="16"/>
  <c r="AN342" i="16"/>
  <c r="AO342" i="16"/>
  <c r="AP342" i="16"/>
  <c r="AQ342" i="16"/>
  <c r="AR342" i="16"/>
  <c r="AS342" i="16"/>
  <c r="AT342" i="16"/>
  <c r="AU342" i="16"/>
  <c r="AV342" i="16"/>
  <c r="AW342" i="16"/>
  <c r="AX342" i="16"/>
  <c r="AY342" i="16"/>
  <c r="AZ342" i="16"/>
  <c r="BA342" i="16"/>
  <c r="BB342" i="16"/>
  <c r="BC342" i="16"/>
  <c r="BD342" i="16"/>
  <c r="BE342" i="16"/>
  <c r="BF342" i="16"/>
  <c r="BG342" i="16"/>
  <c r="BH342" i="16"/>
  <c r="BI342" i="16"/>
  <c r="BJ342" i="16"/>
  <c r="BK342" i="16"/>
  <c r="BL342" i="16"/>
  <c r="BM342" i="16"/>
  <c r="BN342" i="16"/>
  <c r="BO342" i="16"/>
  <c r="BP342" i="16"/>
  <c r="AA343" i="16"/>
  <c r="AB343" i="16"/>
  <c r="AC343" i="16"/>
  <c r="AD343" i="16"/>
  <c r="AE343" i="16"/>
  <c r="AF343" i="16"/>
  <c r="AG343" i="16"/>
  <c r="AH343" i="16"/>
  <c r="AI343" i="16"/>
  <c r="AJ343" i="16"/>
  <c r="AK343" i="16"/>
  <c r="AL343" i="16"/>
  <c r="AM343" i="16"/>
  <c r="AN343" i="16"/>
  <c r="AO343" i="16"/>
  <c r="AP343" i="16"/>
  <c r="AQ343" i="16"/>
  <c r="AR343" i="16"/>
  <c r="AS343" i="16"/>
  <c r="AT343" i="16"/>
  <c r="AU343" i="16"/>
  <c r="AV343" i="16"/>
  <c r="AW343" i="16"/>
  <c r="AX343" i="16"/>
  <c r="AY343" i="16"/>
  <c r="AZ343" i="16"/>
  <c r="BA343" i="16"/>
  <c r="BB343" i="16"/>
  <c r="BC343" i="16"/>
  <c r="BD343" i="16"/>
  <c r="BE343" i="16"/>
  <c r="BF343" i="16"/>
  <c r="BG343" i="16"/>
  <c r="BH343" i="16"/>
  <c r="BI343" i="16"/>
  <c r="BJ343" i="16"/>
  <c r="BK343" i="16"/>
  <c r="BL343" i="16"/>
  <c r="BM343" i="16"/>
  <c r="BN343" i="16"/>
  <c r="BO343" i="16"/>
  <c r="BP343" i="16"/>
  <c r="AA344" i="16"/>
  <c r="AB344" i="16"/>
  <c r="AC344" i="16"/>
  <c r="AD344" i="16"/>
  <c r="AE344" i="16"/>
  <c r="AF344" i="16"/>
  <c r="AG344" i="16"/>
  <c r="AH344" i="16"/>
  <c r="AI344" i="16"/>
  <c r="AJ344" i="16"/>
  <c r="AK344" i="16"/>
  <c r="AL344" i="16"/>
  <c r="AM344" i="16"/>
  <c r="AN344" i="16"/>
  <c r="AO344" i="16"/>
  <c r="AP344" i="16"/>
  <c r="AQ344" i="16"/>
  <c r="AR344" i="16"/>
  <c r="AS344" i="16"/>
  <c r="AT344" i="16"/>
  <c r="AU344" i="16"/>
  <c r="AV344" i="16"/>
  <c r="AW344" i="16"/>
  <c r="AX344" i="16"/>
  <c r="AY344" i="16"/>
  <c r="AZ344" i="16"/>
  <c r="BA344" i="16"/>
  <c r="BB344" i="16"/>
  <c r="BC344" i="16"/>
  <c r="BD344" i="16"/>
  <c r="BE344" i="16"/>
  <c r="BF344" i="16"/>
  <c r="BG344" i="16"/>
  <c r="BH344" i="16"/>
  <c r="BI344" i="16"/>
  <c r="BJ344" i="16"/>
  <c r="BK344" i="16"/>
  <c r="BL344" i="16"/>
  <c r="BM344" i="16"/>
  <c r="BN344" i="16"/>
  <c r="BO344" i="16"/>
  <c r="BP344" i="16"/>
  <c r="AA345" i="16"/>
  <c r="AB345" i="16"/>
  <c r="AC345" i="16"/>
  <c r="AD345" i="16"/>
  <c r="AE345" i="16"/>
  <c r="AF345" i="16"/>
  <c r="AG345" i="16"/>
  <c r="AH345" i="16"/>
  <c r="AI345" i="16"/>
  <c r="AJ345" i="16"/>
  <c r="AK345" i="16"/>
  <c r="AL345" i="16"/>
  <c r="AM345" i="16"/>
  <c r="AN345" i="16"/>
  <c r="AO345" i="16"/>
  <c r="AP345" i="16"/>
  <c r="AQ345" i="16"/>
  <c r="AR345" i="16"/>
  <c r="AS345" i="16"/>
  <c r="AT345" i="16"/>
  <c r="AU345" i="16"/>
  <c r="AV345" i="16"/>
  <c r="AW345" i="16"/>
  <c r="AX345" i="16"/>
  <c r="AY345" i="16"/>
  <c r="AZ345" i="16"/>
  <c r="BA345" i="16"/>
  <c r="BB345" i="16"/>
  <c r="BC345" i="16"/>
  <c r="BD345" i="16"/>
  <c r="BE345" i="16"/>
  <c r="BF345" i="16"/>
  <c r="BG345" i="16"/>
  <c r="BH345" i="16"/>
  <c r="BI345" i="16"/>
  <c r="BJ345" i="16"/>
  <c r="BK345" i="16"/>
  <c r="BL345" i="16"/>
  <c r="BM345" i="16"/>
  <c r="BN345" i="16"/>
  <c r="BO345" i="16"/>
  <c r="BP345" i="16"/>
  <c r="AA346" i="16"/>
  <c r="AB346" i="16"/>
  <c r="AC346" i="16"/>
  <c r="AD346" i="16"/>
  <c r="AE346" i="16"/>
  <c r="AF346" i="16"/>
  <c r="AG346" i="16"/>
  <c r="AH346" i="16"/>
  <c r="AI346" i="16"/>
  <c r="AJ346" i="16"/>
  <c r="AK346" i="16"/>
  <c r="AL346" i="16"/>
  <c r="AM346" i="16"/>
  <c r="AN346" i="16"/>
  <c r="AO346" i="16"/>
  <c r="AP346" i="16"/>
  <c r="AQ346" i="16"/>
  <c r="AR346" i="16"/>
  <c r="AS346" i="16"/>
  <c r="AT346" i="16"/>
  <c r="AU346" i="16"/>
  <c r="AV346" i="16"/>
  <c r="AW346" i="16"/>
  <c r="AX346" i="16"/>
  <c r="AY346" i="16"/>
  <c r="AZ346" i="16"/>
  <c r="BA346" i="16"/>
  <c r="BB346" i="16"/>
  <c r="BC346" i="16"/>
  <c r="BD346" i="16"/>
  <c r="BE346" i="16"/>
  <c r="BF346" i="16"/>
  <c r="BG346" i="16"/>
  <c r="BH346" i="16"/>
  <c r="BI346" i="16"/>
  <c r="BJ346" i="16"/>
  <c r="BK346" i="16"/>
  <c r="BL346" i="16"/>
  <c r="BM346" i="16"/>
  <c r="BN346" i="16"/>
  <c r="BO346" i="16"/>
  <c r="BP346" i="16"/>
  <c r="AA347" i="16"/>
  <c r="AB347" i="16"/>
  <c r="AC347" i="16"/>
  <c r="AD347" i="16"/>
  <c r="AE347" i="16"/>
  <c r="AF347" i="16"/>
  <c r="AG347" i="16"/>
  <c r="AH347" i="16"/>
  <c r="AI347" i="16"/>
  <c r="AJ347" i="16"/>
  <c r="AK347" i="16"/>
  <c r="AL347" i="16"/>
  <c r="AM347" i="16"/>
  <c r="AN347" i="16"/>
  <c r="AO347" i="16"/>
  <c r="AP347" i="16"/>
  <c r="AQ347" i="16"/>
  <c r="AR347" i="16"/>
  <c r="AS347" i="16"/>
  <c r="AT347" i="16"/>
  <c r="AU347" i="16"/>
  <c r="AV347" i="16"/>
  <c r="AW347" i="16"/>
  <c r="AX347" i="16"/>
  <c r="AY347" i="16"/>
  <c r="AZ347" i="16"/>
  <c r="BA347" i="16"/>
  <c r="BB347" i="16"/>
  <c r="BC347" i="16"/>
  <c r="BD347" i="16"/>
  <c r="BE347" i="16"/>
  <c r="BF347" i="16"/>
  <c r="BG347" i="16"/>
  <c r="BH347" i="16"/>
  <c r="BI347" i="16"/>
  <c r="BJ347" i="16"/>
  <c r="BK347" i="16"/>
  <c r="BL347" i="16"/>
  <c r="BM347" i="16"/>
  <c r="BN347" i="16"/>
  <c r="BO347" i="16"/>
  <c r="BP347" i="16"/>
  <c r="AA348" i="16"/>
  <c r="AB348" i="16"/>
  <c r="AC348" i="16"/>
  <c r="AD348" i="16"/>
  <c r="AE348" i="16"/>
  <c r="AF348" i="16"/>
  <c r="AG348" i="16"/>
  <c r="AH348" i="16"/>
  <c r="AI348" i="16"/>
  <c r="AJ348" i="16"/>
  <c r="AK348" i="16"/>
  <c r="AL348" i="16"/>
  <c r="AM348" i="16"/>
  <c r="AN348" i="16"/>
  <c r="AO348" i="16"/>
  <c r="AP348" i="16"/>
  <c r="AQ348" i="16"/>
  <c r="AR348" i="16"/>
  <c r="AS348" i="16"/>
  <c r="AT348" i="16"/>
  <c r="AU348" i="16"/>
  <c r="AV348" i="16"/>
  <c r="AW348" i="16"/>
  <c r="AX348" i="16"/>
  <c r="AY348" i="16"/>
  <c r="AZ348" i="16"/>
  <c r="BA348" i="16"/>
  <c r="BB348" i="16"/>
  <c r="BC348" i="16"/>
  <c r="BD348" i="16"/>
  <c r="BE348" i="16"/>
  <c r="BF348" i="16"/>
  <c r="BG348" i="16"/>
  <c r="BH348" i="16"/>
  <c r="BI348" i="16"/>
  <c r="BJ348" i="16"/>
  <c r="BK348" i="16"/>
  <c r="BL348" i="16"/>
  <c r="BM348" i="16"/>
  <c r="BN348" i="16"/>
  <c r="BO348" i="16"/>
  <c r="BP348" i="16"/>
  <c r="AA349" i="16"/>
  <c r="AB349" i="16"/>
  <c r="AC349" i="16"/>
  <c r="AD349" i="16"/>
  <c r="AE349" i="16"/>
  <c r="AF349" i="16"/>
  <c r="AG349" i="16"/>
  <c r="AH349" i="16"/>
  <c r="AI349" i="16"/>
  <c r="AJ349" i="16"/>
  <c r="AK349" i="16"/>
  <c r="AL349" i="16"/>
  <c r="AM349" i="16"/>
  <c r="AN349" i="16"/>
  <c r="AO349" i="16"/>
  <c r="AP349" i="16"/>
  <c r="AQ349" i="16"/>
  <c r="AR349" i="16"/>
  <c r="AS349" i="16"/>
  <c r="AT349" i="16"/>
  <c r="AU349" i="16"/>
  <c r="AV349" i="16"/>
  <c r="AW349" i="16"/>
  <c r="AX349" i="16"/>
  <c r="AY349" i="16"/>
  <c r="AZ349" i="16"/>
  <c r="BA349" i="16"/>
  <c r="BB349" i="16"/>
  <c r="BC349" i="16"/>
  <c r="BD349" i="16"/>
  <c r="BE349" i="16"/>
  <c r="BF349" i="16"/>
  <c r="BG349" i="16"/>
  <c r="BH349" i="16"/>
  <c r="BI349" i="16"/>
  <c r="BJ349" i="16"/>
  <c r="BK349" i="16"/>
  <c r="BL349" i="16"/>
  <c r="BM349" i="16"/>
  <c r="BN349" i="16"/>
  <c r="BO349" i="16"/>
  <c r="BP349" i="16"/>
  <c r="AA350" i="16"/>
  <c r="AB350" i="16"/>
  <c r="AC350" i="16"/>
  <c r="AD350" i="16"/>
  <c r="AE350" i="16"/>
  <c r="AF350" i="16"/>
  <c r="AG350" i="16"/>
  <c r="AH350" i="16"/>
  <c r="AI350" i="16"/>
  <c r="AJ350" i="16"/>
  <c r="AK350" i="16"/>
  <c r="AL350" i="16"/>
  <c r="AM350" i="16"/>
  <c r="AN350" i="16"/>
  <c r="AO350" i="16"/>
  <c r="AP350" i="16"/>
  <c r="AQ350" i="16"/>
  <c r="AR350" i="16"/>
  <c r="AS350" i="16"/>
  <c r="AT350" i="16"/>
  <c r="AU350" i="16"/>
  <c r="AV350" i="16"/>
  <c r="AW350" i="16"/>
  <c r="AX350" i="16"/>
  <c r="AY350" i="16"/>
  <c r="AZ350" i="16"/>
  <c r="BA350" i="16"/>
  <c r="BB350" i="16"/>
  <c r="BC350" i="16"/>
  <c r="BD350" i="16"/>
  <c r="BE350" i="16"/>
  <c r="BF350" i="16"/>
  <c r="BG350" i="16"/>
  <c r="BH350" i="16"/>
  <c r="BI350" i="16"/>
  <c r="BJ350" i="16"/>
  <c r="BK350" i="16"/>
  <c r="BL350" i="16"/>
  <c r="BM350" i="16"/>
  <c r="BN350" i="16"/>
  <c r="BO350" i="16"/>
  <c r="BP350" i="16"/>
  <c r="AA351" i="16"/>
  <c r="AB351" i="16"/>
  <c r="AC351" i="16"/>
  <c r="AD351" i="16"/>
  <c r="AE351" i="16"/>
  <c r="AF351" i="16"/>
  <c r="AG351" i="16"/>
  <c r="AH351" i="16"/>
  <c r="AI351" i="16"/>
  <c r="AJ351" i="16"/>
  <c r="AK351" i="16"/>
  <c r="AL351" i="16"/>
  <c r="AM351" i="16"/>
  <c r="AN351" i="16"/>
  <c r="AO351" i="16"/>
  <c r="AP351" i="16"/>
  <c r="AQ351" i="16"/>
  <c r="AR351" i="16"/>
  <c r="AS351" i="16"/>
  <c r="AT351" i="16"/>
  <c r="AU351" i="16"/>
  <c r="AV351" i="16"/>
  <c r="AW351" i="16"/>
  <c r="AX351" i="16"/>
  <c r="AY351" i="16"/>
  <c r="AZ351" i="16"/>
  <c r="BA351" i="16"/>
  <c r="BB351" i="16"/>
  <c r="BC351" i="16"/>
  <c r="BD351" i="16"/>
  <c r="BE351" i="16"/>
  <c r="BF351" i="16"/>
  <c r="BG351" i="16"/>
  <c r="BH351" i="16"/>
  <c r="BI351" i="16"/>
  <c r="BJ351" i="16"/>
  <c r="BK351" i="16"/>
  <c r="BL351" i="16"/>
  <c r="BM351" i="16"/>
  <c r="BN351" i="16"/>
  <c r="BO351" i="16"/>
  <c r="BP351" i="16"/>
  <c r="AA352" i="16"/>
  <c r="AB352" i="16"/>
  <c r="AC352" i="16"/>
  <c r="AD352" i="16"/>
  <c r="AE352" i="16"/>
  <c r="AF352" i="16"/>
  <c r="AG352" i="16"/>
  <c r="AH352" i="16"/>
  <c r="AI352" i="16"/>
  <c r="AJ352" i="16"/>
  <c r="AK352" i="16"/>
  <c r="AL352" i="16"/>
  <c r="AM352" i="16"/>
  <c r="AN352" i="16"/>
  <c r="AO352" i="16"/>
  <c r="AP352" i="16"/>
  <c r="AQ352" i="16"/>
  <c r="AR352" i="16"/>
  <c r="AS352" i="16"/>
  <c r="AT352" i="16"/>
  <c r="AU352" i="16"/>
  <c r="AV352" i="16"/>
  <c r="AW352" i="16"/>
  <c r="AX352" i="16"/>
  <c r="AY352" i="16"/>
  <c r="AZ352" i="16"/>
  <c r="BA352" i="16"/>
  <c r="BB352" i="16"/>
  <c r="BC352" i="16"/>
  <c r="BD352" i="16"/>
  <c r="BE352" i="16"/>
  <c r="BF352" i="16"/>
  <c r="BG352" i="16"/>
  <c r="BH352" i="16"/>
  <c r="BI352" i="16"/>
  <c r="BJ352" i="16"/>
  <c r="BK352" i="16"/>
  <c r="BL352" i="16"/>
  <c r="BM352" i="16"/>
  <c r="BN352" i="16"/>
  <c r="BO352" i="16"/>
  <c r="BP352" i="16"/>
  <c r="AA353" i="16"/>
  <c r="AB353" i="16"/>
  <c r="AC353" i="16"/>
  <c r="AD353" i="16"/>
  <c r="AE353" i="16"/>
  <c r="AF353" i="16"/>
  <c r="AG353" i="16"/>
  <c r="AH353" i="16"/>
  <c r="AI353" i="16"/>
  <c r="AJ353" i="16"/>
  <c r="AK353" i="16"/>
  <c r="AL353" i="16"/>
  <c r="AM353" i="16"/>
  <c r="AN353" i="16"/>
  <c r="AO353" i="16"/>
  <c r="AP353" i="16"/>
  <c r="AQ353" i="16"/>
  <c r="AR353" i="16"/>
  <c r="AS353" i="16"/>
  <c r="AT353" i="16"/>
  <c r="AU353" i="16"/>
  <c r="AV353" i="16"/>
  <c r="AW353" i="16"/>
  <c r="AX353" i="16"/>
  <c r="AY353" i="16"/>
  <c r="AZ353" i="16"/>
  <c r="BA353" i="16"/>
  <c r="BB353" i="16"/>
  <c r="BC353" i="16"/>
  <c r="BD353" i="16"/>
  <c r="BE353" i="16"/>
  <c r="BF353" i="16"/>
  <c r="BG353" i="16"/>
  <c r="BH353" i="16"/>
  <c r="BI353" i="16"/>
  <c r="BJ353" i="16"/>
  <c r="BK353" i="16"/>
  <c r="BL353" i="16"/>
  <c r="BM353" i="16"/>
  <c r="BN353" i="16"/>
  <c r="BO353" i="16"/>
  <c r="BP353" i="16"/>
  <c r="AA354" i="16"/>
  <c r="AB354" i="16"/>
  <c r="AC354" i="16"/>
  <c r="AD354" i="16"/>
  <c r="AE354" i="16"/>
  <c r="AF354" i="16"/>
  <c r="AG354" i="16"/>
  <c r="AH354" i="16"/>
  <c r="AI354" i="16"/>
  <c r="AJ354" i="16"/>
  <c r="AK354" i="16"/>
  <c r="AL354" i="16"/>
  <c r="AM354" i="16"/>
  <c r="AN354" i="16"/>
  <c r="AO354" i="16"/>
  <c r="AP354" i="16"/>
  <c r="AQ354" i="16"/>
  <c r="AR354" i="16"/>
  <c r="AS354" i="16"/>
  <c r="AT354" i="16"/>
  <c r="AU354" i="16"/>
  <c r="AV354" i="16"/>
  <c r="AW354" i="16"/>
  <c r="AX354" i="16"/>
  <c r="AY354" i="16"/>
  <c r="AZ354" i="16"/>
  <c r="BA354" i="16"/>
  <c r="BB354" i="16"/>
  <c r="BC354" i="16"/>
  <c r="BD354" i="16"/>
  <c r="BE354" i="16"/>
  <c r="BF354" i="16"/>
  <c r="BG354" i="16"/>
  <c r="BH354" i="16"/>
  <c r="BI354" i="16"/>
  <c r="BJ354" i="16"/>
  <c r="BK354" i="16"/>
  <c r="BL354" i="16"/>
  <c r="BM354" i="16"/>
  <c r="BN354" i="16"/>
  <c r="BO354" i="16"/>
  <c r="BP354" i="16"/>
  <c r="AA355" i="16"/>
  <c r="AB355" i="16"/>
  <c r="AC355" i="16"/>
  <c r="AD355" i="16"/>
  <c r="AE355" i="16"/>
  <c r="AF355" i="16"/>
  <c r="AG355" i="16"/>
  <c r="AH355" i="16"/>
  <c r="AI355" i="16"/>
  <c r="AJ355" i="16"/>
  <c r="AK355" i="16"/>
  <c r="AL355" i="16"/>
  <c r="AM355" i="16"/>
  <c r="AN355" i="16"/>
  <c r="AO355" i="16"/>
  <c r="AP355" i="16"/>
  <c r="AQ355" i="16"/>
  <c r="AR355" i="16"/>
  <c r="AS355" i="16"/>
  <c r="AT355" i="16"/>
  <c r="AU355" i="16"/>
  <c r="AV355" i="16"/>
  <c r="AW355" i="16"/>
  <c r="AX355" i="16"/>
  <c r="AY355" i="16"/>
  <c r="AZ355" i="16"/>
  <c r="BA355" i="16"/>
  <c r="BB355" i="16"/>
  <c r="BC355" i="16"/>
  <c r="BD355" i="16"/>
  <c r="BE355" i="16"/>
  <c r="BF355" i="16"/>
  <c r="BG355" i="16"/>
  <c r="BH355" i="16"/>
  <c r="BI355" i="16"/>
  <c r="BJ355" i="16"/>
  <c r="BK355" i="16"/>
  <c r="BL355" i="16"/>
  <c r="BM355" i="16"/>
  <c r="BN355" i="16"/>
  <c r="BO355" i="16"/>
  <c r="BP355" i="16"/>
  <c r="AA356" i="16"/>
  <c r="AB356" i="16"/>
  <c r="AC356" i="16"/>
  <c r="AD356" i="16"/>
  <c r="AE356" i="16"/>
  <c r="AF356" i="16"/>
  <c r="AG356" i="16"/>
  <c r="AH356" i="16"/>
  <c r="AI356" i="16"/>
  <c r="AJ356" i="16"/>
  <c r="AK356" i="16"/>
  <c r="AL356" i="16"/>
  <c r="AM356" i="16"/>
  <c r="AN356" i="16"/>
  <c r="AO356" i="16"/>
  <c r="AP356" i="16"/>
  <c r="AQ356" i="16"/>
  <c r="AR356" i="16"/>
  <c r="AS356" i="16"/>
  <c r="AT356" i="16"/>
  <c r="AU356" i="16"/>
  <c r="AV356" i="16"/>
  <c r="AW356" i="16"/>
  <c r="AX356" i="16"/>
  <c r="AY356" i="16"/>
  <c r="AZ356" i="16"/>
  <c r="BA356" i="16"/>
  <c r="BB356" i="16"/>
  <c r="BC356" i="16"/>
  <c r="BD356" i="16"/>
  <c r="BE356" i="16"/>
  <c r="BF356" i="16"/>
  <c r="BG356" i="16"/>
  <c r="BH356" i="16"/>
  <c r="BI356" i="16"/>
  <c r="BJ356" i="16"/>
  <c r="BK356" i="16"/>
  <c r="BL356" i="16"/>
  <c r="BM356" i="16"/>
  <c r="BN356" i="16"/>
  <c r="BO356" i="16"/>
  <c r="BP356" i="16"/>
  <c r="AA357" i="16"/>
  <c r="AB357" i="16"/>
  <c r="AC357" i="16"/>
  <c r="AD357" i="16"/>
  <c r="AE357" i="16"/>
  <c r="AF357" i="16"/>
  <c r="AG357" i="16"/>
  <c r="AH357" i="16"/>
  <c r="AI357" i="16"/>
  <c r="AJ357" i="16"/>
  <c r="AK357" i="16"/>
  <c r="AL357" i="16"/>
  <c r="AM357" i="16"/>
  <c r="AN357" i="16"/>
  <c r="AO357" i="16"/>
  <c r="AP357" i="16"/>
  <c r="AQ357" i="16"/>
  <c r="AR357" i="16"/>
  <c r="AS357" i="16"/>
  <c r="AT357" i="16"/>
  <c r="AU357" i="16"/>
  <c r="AV357" i="16"/>
  <c r="AW357" i="16"/>
  <c r="AX357" i="16"/>
  <c r="AY357" i="16"/>
  <c r="AZ357" i="16"/>
  <c r="BA357" i="16"/>
  <c r="BB357" i="16"/>
  <c r="BC357" i="16"/>
  <c r="BD357" i="16"/>
  <c r="BE357" i="16"/>
  <c r="BF357" i="16"/>
  <c r="BG357" i="16"/>
  <c r="BH357" i="16"/>
  <c r="BI357" i="16"/>
  <c r="BJ357" i="16"/>
  <c r="BK357" i="16"/>
  <c r="BL357" i="16"/>
  <c r="BM357" i="16"/>
  <c r="BN357" i="16"/>
  <c r="BO357" i="16"/>
  <c r="BP357" i="16"/>
  <c r="AA358" i="16"/>
  <c r="AB358" i="16"/>
  <c r="AC358" i="16"/>
  <c r="AD358" i="16"/>
  <c r="AE358" i="16"/>
  <c r="AF358" i="16"/>
  <c r="AG358" i="16"/>
  <c r="AH358" i="16"/>
  <c r="AI358" i="16"/>
  <c r="AJ358" i="16"/>
  <c r="AK358" i="16"/>
  <c r="AL358" i="16"/>
  <c r="AM358" i="16"/>
  <c r="AN358" i="16"/>
  <c r="AO358" i="16"/>
  <c r="AP358" i="16"/>
  <c r="AQ358" i="16"/>
  <c r="AR358" i="16"/>
  <c r="AS358" i="16"/>
  <c r="AT358" i="16"/>
  <c r="AU358" i="16"/>
  <c r="AV358" i="16"/>
  <c r="AW358" i="16"/>
  <c r="AX358" i="16"/>
  <c r="AY358" i="16"/>
  <c r="AZ358" i="16"/>
  <c r="BA358" i="16"/>
  <c r="BB358" i="16"/>
  <c r="BC358" i="16"/>
  <c r="BD358" i="16"/>
  <c r="BE358" i="16"/>
  <c r="BF358" i="16"/>
  <c r="BG358" i="16"/>
  <c r="BH358" i="16"/>
  <c r="BI358" i="16"/>
  <c r="BJ358" i="16"/>
  <c r="BK358" i="16"/>
  <c r="BL358" i="16"/>
  <c r="BM358" i="16"/>
  <c r="BN358" i="16"/>
  <c r="BO358" i="16"/>
  <c r="BP358" i="16"/>
  <c r="AA359" i="16"/>
  <c r="AB359" i="16"/>
  <c r="AC359" i="16"/>
  <c r="AD359" i="16"/>
  <c r="AE359" i="16"/>
  <c r="AF359" i="16"/>
  <c r="AG359" i="16"/>
  <c r="AH359" i="16"/>
  <c r="AI359" i="16"/>
  <c r="AJ359" i="16"/>
  <c r="AK359" i="16"/>
  <c r="AL359" i="16"/>
  <c r="AM359" i="16"/>
  <c r="AN359" i="16"/>
  <c r="AO359" i="16"/>
  <c r="AP359" i="16"/>
  <c r="AQ359" i="16"/>
  <c r="AR359" i="16"/>
  <c r="AS359" i="16"/>
  <c r="AT359" i="16"/>
  <c r="AU359" i="16"/>
  <c r="AV359" i="16"/>
  <c r="AW359" i="16"/>
  <c r="AX359" i="16"/>
  <c r="AY359" i="16"/>
  <c r="AZ359" i="16"/>
  <c r="BA359" i="16"/>
  <c r="BB359" i="16"/>
  <c r="BC359" i="16"/>
  <c r="BD359" i="16"/>
  <c r="BE359" i="16"/>
  <c r="BF359" i="16"/>
  <c r="BG359" i="16"/>
  <c r="BH359" i="16"/>
  <c r="BI359" i="16"/>
  <c r="BJ359" i="16"/>
  <c r="BK359" i="16"/>
  <c r="BL359" i="16"/>
  <c r="BM359" i="16"/>
  <c r="BN359" i="16"/>
  <c r="BO359" i="16"/>
  <c r="BP359" i="16"/>
  <c r="AA360" i="16"/>
  <c r="AB360" i="16"/>
  <c r="AC360" i="16"/>
  <c r="AD360" i="16"/>
  <c r="AE360" i="16"/>
  <c r="AF360" i="16"/>
  <c r="AG360" i="16"/>
  <c r="AH360" i="16"/>
  <c r="AI360" i="16"/>
  <c r="AJ360" i="16"/>
  <c r="AK360" i="16"/>
  <c r="AL360" i="16"/>
  <c r="AM360" i="16"/>
  <c r="AN360" i="16"/>
  <c r="AO360" i="16"/>
  <c r="AP360" i="16"/>
  <c r="AQ360" i="16"/>
  <c r="AR360" i="16"/>
  <c r="AS360" i="16"/>
  <c r="AT360" i="16"/>
  <c r="AU360" i="16"/>
  <c r="AV360" i="16"/>
  <c r="AW360" i="16"/>
  <c r="AX360" i="16"/>
  <c r="AY360" i="16"/>
  <c r="AZ360" i="16"/>
  <c r="BA360" i="16"/>
  <c r="BB360" i="16"/>
  <c r="BC360" i="16"/>
  <c r="BD360" i="16"/>
  <c r="BE360" i="16"/>
  <c r="BF360" i="16"/>
  <c r="BG360" i="16"/>
  <c r="BH360" i="16"/>
  <c r="BI360" i="16"/>
  <c r="BJ360" i="16"/>
  <c r="BK360" i="16"/>
  <c r="BL360" i="16"/>
  <c r="BM360" i="16"/>
  <c r="BN360" i="16"/>
  <c r="BO360" i="16"/>
  <c r="BP360" i="16"/>
  <c r="AA361" i="16"/>
  <c r="AB361" i="16"/>
  <c r="AC361" i="16"/>
  <c r="AD361" i="16"/>
  <c r="AE361" i="16"/>
  <c r="AF361" i="16"/>
  <c r="AG361" i="16"/>
  <c r="AH361" i="16"/>
  <c r="AI361" i="16"/>
  <c r="AJ361" i="16"/>
  <c r="AK361" i="16"/>
  <c r="AL361" i="16"/>
  <c r="AM361" i="16"/>
  <c r="AN361" i="16"/>
  <c r="AO361" i="16"/>
  <c r="AP361" i="16"/>
  <c r="AQ361" i="16"/>
  <c r="AR361" i="16"/>
  <c r="AS361" i="16"/>
  <c r="AT361" i="16"/>
  <c r="AU361" i="16"/>
  <c r="AV361" i="16"/>
  <c r="AW361" i="16"/>
  <c r="AX361" i="16"/>
  <c r="AY361" i="16"/>
  <c r="AZ361" i="16"/>
  <c r="BA361" i="16"/>
  <c r="BB361" i="16"/>
  <c r="BC361" i="16"/>
  <c r="BD361" i="16"/>
  <c r="BE361" i="16"/>
  <c r="BF361" i="16"/>
  <c r="BG361" i="16"/>
  <c r="BH361" i="16"/>
  <c r="BI361" i="16"/>
  <c r="BJ361" i="16"/>
  <c r="BK361" i="16"/>
  <c r="BL361" i="16"/>
  <c r="BM361" i="16"/>
  <c r="BN361" i="16"/>
  <c r="BO361" i="16"/>
  <c r="BP361" i="16"/>
  <c r="AA362" i="16"/>
  <c r="AB362" i="16"/>
  <c r="AC362" i="16"/>
  <c r="AD362" i="16"/>
  <c r="AE362" i="16"/>
  <c r="AF362" i="16"/>
  <c r="AG362" i="16"/>
  <c r="AH362" i="16"/>
  <c r="AI362" i="16"/>
  <c r="AJ362" i="16"/>
  <c r="AK362" i="16"/>
  <c r="AL362" i="16"/>
  <c r="AM362" i="16"/>
  <c r="AN362" i="16"/>
  <c r="AO362" i="16"/>
  <c r="AP362" i="16"/>
  <c r="AQ362" i="16"/>
  <c r="AR362" i="16"/>
  <c r="AS362" i="16"/>
  <c r="AT362" i="16"/>
  <c r="AU362" i="16"/>
  <c r="AV362" i="16"/>
  <c r="AW362" i="16"/>
  <c r="AX362" i="16"/>
  <c r="AY362" i="16"/>
  <c r="AZ362" i="16"/>
  <c r="BA362" i="16"/>
  <c r="BB362" i="16"/>
  <c r="BC362" i="16"/>
  <c r="BD362" i="16"/>
  <c r="BE362" i="16"/>
  <c r="BF362" i="16"/>
  <c r="BG362" i="16"/>
  <c r="BH362" i="16"/>
  <c r="BI362" i="16"/>
  <c r="BJ362" i="16"/>
  <c r="BK362" i="16"/>
  <c r="BL362" i="16"/>
  <c r="BM362" i="16"/>
  <c r="BN362" i="16"/>
  <c r="BO362" i="16"/>
  <c r="BP362" i="16"/>
  <c r="AA363" i="16"/>
  <c r="AB363" i="16"/>
  <c r="AC363" i="16"/>
  <c r="AD363" i="16"/>
  <c r="AE363" i="16"/>
  <c r="AF363" i="16"/>
  <c r="AG363" i="16"/>
  <c r="AH363" i="16"/>
  <c r="AI363" i="16"/>
  <c r="AJ363" i="16"/>
  <c r="AK363" i="16"/>
  <c r="AL363" i="16"/>
  <c r="AM363" i="16"/>
  <c r="AN363" i="16"/>
  <c r="AO363" i="16"/>
  <c r="AP363" i="16"/>
  <c r="AQ363" i="16"/>
  <c r="AR363" i="16"/>
  <c r="AS363" i="16"/>
  <c r="AT363" i="16"/>
  <c r="AU363" i="16"/>
  <c r="AV363" i="16"/>
  <c r="AW363" i="16"/>
  <c r="AX363" i="16"/>
  <c r="AY363" i="16"/>
  <c r="AZ363" i="16"/>
  <c r="BA363" i="16"/>
  <c r="BB363" i="16"/>
  <c r="BC363" i="16"/>
  <c r="BD363" i="16"/>
  <c r="BE363" i="16"/>
  <c r="BF363" i="16"/>
  <c r="BG363" i="16"/>
  <c r="BH363" i="16"/>
  <c r="BI363" i="16"/>
  <c r="BJ363" i="16"/>
  <c r="BK363" i="16"/>
  <c r="BL363" i="16"/>
  <c r="BM363" i="16"/>
  <c r="BN363" i="16"/>
  <c r="BO363" i="16"/>
  <c r="BP363" i="16"/>
  <c r="AA364" i="16"/>
  <c r="AB364" i="16"/>
  <c r="AC364" i="16"/>
  <c r="AD364" i="16"/>
  <c r="AE364" i="16"/>
  <c r="AF364" i="16"/>
  <c r="AG364" i="16"/>
  <c r="AH364" i="16"/>
  <c r="AI364" i="16"/>
  <c r="AJ364" i="16"/>
  <c r="AK364" i="16"/>
  <c r="AL364" i="16"/>
  <c r="AM364" i="16"/>
  <c r="AN364" i="16"/>
  <c r="AO364" i="16"/>
  <c r="AP364" i="16"/>
  <c r="AQ364" i="16"/>
  <c r="AR364" i="16"/>
  <c r="AS364" i="16"/>
  <c r="AT364" i="16"/>
  <c r="AU364" i="16"/>
  <c r="AV364" i="16"/>
  <c r="AW364" i="16"/>
  <c r="AX364" i="16"/>
  <c r="AY364" i="16"/>
  <c r="AZ364" i="16"/>
  <c r="BA364" i="16"/>
  <c r="BB364" i="16"/>
  <c r="BC364" i="16"/>
  <c r="BD364" i="16"/>
  <c r="BE364" i="16"/>
  <c r="BF364" i="16"/>
  <c r="BG364" i="16"/>
  <c r="BH364" i="16"/>
  <c r="BI364" i="16"/>
  <c r="BJ364" i="16"/>
  <c r="BK364" i="16"/>
  <c r="BL364" i="16"/>
  <c r="BM364" i="16"/>
  <c r="BN364" i="16"/>
  <c r="BO364" i="16"/>
  <c r="BP364" i="16"/>
  <c r="AA365" i="16"/>
  <c r="AB365" i="16"/>
  <c r="AC365" i="16"/>
  <c r="AD365" i="16"/>
  <c r="AE365" i="16"/>
  <c r="AF365" i="16"/>
  <c r="AG365" i="16"/>
  <c r="AH365" i="16"/>
  <c r="AI365" i="16"/>
  <c r="AJ365" i="16"/>
  <c r="AK365" i="16"/>
  <c r="AL365" i="16"/>
  <c r="AM365" i="16"/>
  <c r="AN365" i="16"/>
  <c r="AO365" i="16"/>
  <c r="AP365" i="16"/>
  <c r="AQ365" i="16"/>
  <c r="AR365" i="16"/>
  <c r="AS365" i="16"/>
  <c r="AT365" i="16"/>
  <c r="AU365" i="16"/>
  <c r="AV365" i="16"/>
  <c r="AW365" i="16"/>
  <c r="AX365" i="16"/>
  <c r="AY365" i="16"/>
  <c r="AZ365" i="16"/>
  <c r="BA365" i="16"/>
  <c r="BB365" i="16"/>
  <c r="BC365" i="16"/>
  <c r="BD365" i="16"/>
  <c r="BE365" i="16"/>
  <c r="BF365" i="16"/>
  <c r="BG365" i="16"/>
  <c r="BH365" i="16"/>
  <c r="BI365" i="16"/>
  <c r="BJ365" i="16"/>
  <c r="BK365" i="16"/>
  <c r="BL365" i="16"/>
  <c r="BM365" i="16"/>
  <c r="BN365" i="16"/>
  <c r="BO365" i="16"/>
  <c r="BP365" i="16"/>
  <c r="AA366" i="16"/>
  <c r="AB366" i="16"/>
  <c r="AC366" i="16"/>
  <c r="AD366" i="16"/>
  <c r="AE366" i="16"/>
  <c r="AF366" i="16"/>
  <c r="AG366" i="16"/>
  <c r="AH366" i="16"/>
  <c r="AI366" i="16"/>
  <c r="AJ366" i="16"/>
  <c r="AK366" i="16"/>
  <c r="AL366" i="16"/>
  <c r="AM366" i="16"/>
  <c r="AN366" i="16"/>
  <c r="AO366" i="16"/>
  <c r="AP366" i="16"/>
  <c r="AQ366" i="16"/>
  <c r="AR366" i="16"/>
  <c r="AS366" i="16"/>
  <c r="AT366" i="16"/>
  <c r="AU366" i="16"/>
  <c r="AV366" i="16"/>
  <c r="AW366" i="16"/>
  <c r="AX366" i="16"/>
  <c r="AY366" i="16"/>
  <c r="AZ366" i="16"/>
  <c r="BA366" i="16"/>
  <c r="BB366" i="16"/>
  <c r="BC366" i="16"/>
  <c r="BD366" i="16"/>
  <c r="BE366" i="16"/>
  <c r="BF366" i="16"/>
  <c r="BG366" i="16"/>
  <c r="BH366" i="16"/>
  <c r="BI366" i="16"/>
  <c r="BJ366" i="16"/>
  <c r="BK366" i="16"/>
  <c r="BL366" i="16"/>
  <c r="BM366" i="16"/>
  <c r="BN366" i="16"/>
  <c r="BO366" i="16"/>
  <c r="BP366" i="16"/>
  <c r="AA367" i="16"/>
  <c r="AB367" i="16"/>
  <c r="AC367" i="16"/>
  <c r="AD367" i="16"/>
  <c r="AE367" i="16"/>
  <c r="AF367" i="16"/>
  <c r="AG367" i="16"/>
  <c r="AH367" i="16"/>
  <c r="AI367" i="16"/>
  <c r="AJ367" i="16"/>
  <c r="AK367" i="16"/>
  <c r="AL367" i="16"/>
  <c r="AM367" i="16"/>
  <c r="AN367" i="16"/>
  <c r="AO367" i="16"/>
  <c r="AP367" i="16"/>
  <c r="AQ367" i="16"/>
  <c r="AR367" i="16"/>
  <c r="AS367" i="16"/>
  <c r="AT367" i="16"/>
  <c r="AU367" i="16"/>
  <c r="AV367" i="16"/>
  <c r="AW367" i="16"/>
  <c r="AX367" i="16"/>
  <c r="AY367" i="16"/>
  <c r="AZ367" i="16"/>
  <c r="BA367" i="16"/>
  <c r="BB367" i="16"/>
  <c r="BC367" i="16"/>
  <c r="BD367" i="16"/>
  <c r="BE367" i="16"/>
  <c r="BF367" i="16"/>
  <c r="BG367" i="16"/>
  <c r="BH367" i="16"/>
  <c r="BI367" i="16"/>
  <c r="BJ367" i="16"/>
  <c r="BK367" i="16"/>
  <c r="BL367" i="16"/>
  <c r="BM367" i="16"/>
  <c r="BN367" i="16"/>
  <c r="BO367" i="16"/>
  <c r="BP367" i="16"/>
  <c r="AA368" i="16"/>
  <c r="AB368" i="16"/>
  <c r="AC368" i="16"/>
  <c r="AD368" i="16"/>
  <c r="AE368" i="16"/>
  <c r="AF368" i="16"/>
  <c r="AG368" i="16"/>
  <c r="AH368" i="16"/>
  <c r="AI368" i="16"/>
  <c r="AJ368" i="16"/>
  <c r="AK368" i="16"/>
  <c r="AL368" i="16"/>
  <c r="AM368" i="16"/>
  <c r="AN368" i="16"/>
  <c r="AO368" i="16"/>
  <c r="AP368" i="16"/>
  <c r="AQ368" i="16"/>
  <c r="AR368" i="16"/>
  <c r="AS368" i="16"/>
  <c r="AT368" i="16"/>
  <c r="AU368" i="16"/>
  <c r="AV368" i="16"/>
  <c r="AW368" i="16"/>
  <c r="AX368" i="16"/>
  <c r="AY368" i="16"/>
  <c r="AZ368" i="16"/>
  <c r="BA368" i="16"/>
  <c r="BB368" i="16"/>
  <c r="BC368" i="16"/>
  <c r="BD368" i="16"/>
  <c r="BE368" i="16"/>
  <c r="BF368" i="16"/>
  <c r="BG368" i="16"/>
  <c r="BH368" i="16"/>
  <c r="BI368" i="16"/>
  <c r="BJ368" i="16"/>
  <c r="BK368" i="16"/>
  <c r="BL368" i="16"/>
  <c r="BM368" i="16"/>
  <c r="BN368" i="16"/>
  <c r="BO368" i="16"/>
  <c r="BP368" i="16"/>
  <c r="AA369" i="16"/>
  <c r="AB369" i="16"/>
  <c r="AC369" i="16"/>
  <c r="AD369" i="16"/>
  <c r="AE369" i="16"/>
  <c r="AF369" i="16"/>
  <c r="AG369" i="16"/>
  <c r="AH369" i="16"/>
  <c r="AI369" i="16"/>
  <c r="AJ369" i="16"/>
  <c r="AK369" i="16"/>
  <c r="AL369" i="16"/>
  <c r="AM369" i="16"/>
  <c r="AN369" i="16"/>
  <c r="AO369" i="16"/>
  <c r="AP369" i="16"/>
  <c r="AQ369" i="16"/>
  <c r="AR369" i="16"/>
  <c r="AS369" i="16"/>
  <c r="AT369" i="16"/>
  <c r="AU369" i="16"/>
  <c r="AV369" i="16"/>
  <c r="AW369" i="16"/>
  <c r="AX369" i="16"/>
  <c r="AY369" i="16"/>
  <c r="AZ369" i="16"/>
  <c r="BA369" i="16"/>
  <c r="BB369" i="16"/>
  <c r="BC369" i="16"/>
  <c r="BD369" i="16"/>
  <c r="BE369" i="16"/>
  <c r="BF369" i="16"/>
  <c r="BG369" i="16"/>
  <c r="BH369" i="16"/>
  <c r="BI369" i="16"/>
  <c r="BJ369" i="16"/>
  <c r="BK369" i="16"/>
  <c r="BL369" i="16"/>
  <c r="BM369" i="16"/>
  <c r="BN369" i="16"/>
  <c r="BO369" i="16"/>
  <c r="BP369" i="16"/>
  <c r="AA370" i="16"/>
  <c r="AB370" i="16"/>
  <c r="AC370" i="16"/>
  <c r="AD370" i="16"/>
  <c r="AE370" i="16"/>
  <c r="AF370" i="16"/>
  <c r="AG370" i="16"/>
  <c r="AH370" i="16"/>
  <c r="AI370" i="16"/>
  <c r="AJ370" i="16"/>
  <c r="AK370" i="16"/>
  <c r="AL370" i="16"/>
  <c r="AM370" i="16"/>
  <c r="AN370" i="16"/>
  <c r="AO370" i="16"/>
  <c r="AP370" i="16"/>
  <c r="AQ370" i="16"/>
  <c r="AR370" i="16"/>
  <c r="AS370" i="16"/>
  <c r="AT370" i="16"/>
  <c r="AU370" i="16"/>
  <c r="AV370" i="16"/>
  <c r="AW370" i="16"/>
  <c r="AX370" i="16"/>
  <c r="AY370" i="16"/>
  <c r="AZ370" i="16"/>
  <c r="BA370" i="16"/>
  <c r="BB370" i="16"/>
  <c r="BC370" i="16"/>
  <c r="BD370" i="16"/>
  <c r="BE370" i="16"/>
  <c r="BF370" i="16"/>
  <c r="BG370" i="16"/>
  <c r="BH370" i="16"/>
  <c r="BI370" i="16"/>
  <c r="BJ370" i="16"/>
  <c r="BK370" i="16"/>
  <c r="BL370" i="16"/>
  <c r="BM370" i="16"/>
  <c r="BN370" i="16"/>
  <c r="BO370" i="16"/>
  <c r="BP370" i="16"/>
  <c r="AA371" i="16"/>
  <c r="AB371" i="16"/>
  <c r="AC371" i="16"/>
  <c r="AD371" i="16"/>
  <c r="AE371" i="16"/>
  <c r="AF371" i="16"/>
  <c r="AG371" i="16"/>
  <c r="AH371" i="16"/>
  <c r="AI371" i="16"/>
  <c r="AJ371" i="16"/>
  <c r="AK371" i="16"/>
  <c r="AL371" i="16"/>
  <c r="AM371" i="16"/>
  <c r="AN371" i="16"/>
  <c r="AO371" i="16"/>
  <c r="AP371" i="16"/>
  <c r="AQ371" i="16"/>
  <c r="AR371" i="16"/>
  <c r="AS371" i="16"/>
  <c r="AT371" i="16"/>
  <c r="AU371" i="16"/>
  <c r="AV371" i="16"/>
  <c r="AW371" i="16"/>
  <c r="AX371" i="16"/>
  <c r="AY371" i="16"/>
  <c r="AZ371" i="16"/>
  <c r="BA371" i="16"/>
  <c r="BB371" i="16"/>
  <c r="BC371" i="16"/>
  <c r="BD371" i="16"/>
  <c r="BE371" i="16"/>
  <c r="BF371" i="16"/>
  <c r="BG371" i="16"/>
  <c r="BH371" i="16"/>
  <c r="BI371" i="16"/>
  <c r="BJ371" i="16"/>
  <c r="BK371" i="16"/>
  <c r="BL371" i="16"/>
  <c r="BM371" i="16"/>
  <c r="BN371" i="16"/>
  <c r="BO371" i="16"/>
  <c r="BP371" i="16"/>
  <c r="AA372" i="16"/>
  <c r="AB372" i="16"/>
  <c r="AC372" i="16"/>
  <c r="AD372" i="16"/>
  <c r="AE372" i="16"/>
  <c r="AF372" i="16"/>
  <c r="AG372" i="16"/>
  <c r="AH372" i="16"/>
  <c r="AI372" i="16"/>
  <c r="AJ372" i="16"/>
  <c r="AK372" i="16"/>
  <c r="AL372" i="16"/>
  <c r="AM372" i="16"/>
  <c r="AN372" i="16"/>
  <c r="AO372" i="16"/>
  <c r="AP372" i="16"/>
  <c r="AQ372" i="16"/>
  <c r="AR372" i="16"/>
  <c r="AS372" i="16"/>
  <c r="AT372" i="16"/>
  <c r="AU372" i="16"/>
  <c r="AV372" i="16"/>
  <c r="AW372" i="16"/>
  <c r="AX372" i="16"/>
  <c r="AY372" i="16"/>
  <c r="AZ372" i="16"/>
  <c r="BA372" i="16"/>
  <c r="BB372" i="16"/>
  <c r="BC372" i="16"/>
  <c r="BD372" i="16"/>
  <c r="BE372" i="16"/>
  <c r="BF372" i="16"/>
  <c r="BG372" i="16"/>
  <c r="BH372" i="16"/>
  <c r="BI372" i="16"/>
  <c r="BJ372" i="16"/>
  <c r="BK372" i="16"/>
  <c r="BL372" i="16"/>
  <c r="BM372" i="16"/>
  <c r="BN372" i="16"/>
  <c r="BO372" i="16"/>
  <c r="BP372" i="16"/>
  <c r="AA373" i="16"/>
  <c r="AB373" i="16"/>
  <c r="AC373" i="16"/>
  <c r="AD373" i="16"/>
  <c r="AE373" i="16"/>
  <c r="AF373" i="16"/>
  <c r="AG373" i="16"/>
  <c r="AH373" i="16"/>
  <c r="AI373" i="16"/>
  <c r="AJ373" i="16"/>
  <c r="AK373" i="16"/>
  <c r="AL373" i="16"/>
  <c r="AM373" i="16"/>
  <c r="AN373" i="16"/>
  <c r="AO373" i="16"/>
  <c r="AP373" i="16"/>
  <c r="AQ373" i="16"/>
  <c r="AR373" i="16"/>
  <c r="AS373" i="16"/>
  <c r="AT373" i="16"/>
  <c r="AU373" i="16"/>
  <c r="AV373" i="16"/>
  <c r="AW373" i="16"/>
  <c r="AX373" i="16"/>
  <c r="AY373" i="16"/>
  <c r="AZ373" i="16"/>
  <c r="BA373" i="16"/>
  <c r="BB373" i="16"/>
  <c r="BC373" i="16"/>
  <c r="BD373" i="16"/>
  <c r="BE373" i="16"/>
  <c r="BF373" i="16"/>
  <c r="BG373" i="16"/>
  <c r="BH373" i="16"/>
  <c r="BI373" i="16"/>
  <c r="BJ373" i="16"/>
  <c r="BK373" i="16"/>
  <c r="BL373" i="16"/>
  <c r="BM373" i="16"/>
  <c r="BN373" i="16"/>
  <c r="BO373" i="16"/>
  <c r="BP373" i="16"/>
  <c r="AA374" i="16"/>
  <c r="AB374" i="16"/>
  <c r="AC374" i="16"/>
  <c r="AD374" i="16"/>
  <c r="AE374" i="16"/>
  <c r="AF374" i="16"/>
  <c r="AG374" i="16"/>
  <c r="AH374" i="16"/>
  <c r="AI374" i="16"/>
  <c r="AJ374" i="16"/>
  <c r="AK374" i="16"/>
  <c r="AL374" i="16"/>
  <c r="AM374" i="16"/>
  <c r="AN374" i="16"/>
  <c r="AO374" i="16"/>
  <c r="AP374" i="16"/>
  <c r="AQ374" i="16"/>
  <c r="AR374" i="16"/>
  <c r="AS374" i="16"/>
  <c r="AT374" i="16"/>
  <c r="AU374" i="16"/>
  <c r="AV374" i="16"/>
  <c r="AW374" i="16"/>
  <c r="AX374" i="16"/>
  <c r="AY374" i="16"/>
  <c r="AZ374" i="16"/>
  <c r="BA374" i="16"/>
  <c r="BB374" i="16"/>
  <c r="BC374" i="16"/>
  <c r="BD374" i="16"/>
  <c r="BE374" i="16"/>
  <c r="BF374" i="16"/>
  <c r="BG374" i="16"/>
  <c r="BH374" i="16"/>
  <c r="BI374" i="16"/>
  <c r="BJ374" i="16"/>
  <c r="BK374" i="16"/>
  <c r="BL374" i="16"/>
  <c r="BM374" i="16"/>
  <c r="BN374" i="16"/>
  <c r="BO374" i="16"/>
  <c r="BP374" i="16"/>
  <c r="AA375" i="16"/>
  <c r="AB375" i="16"/>
  <c r="AC375" i="16"/>
  <c r="AD375" i="16"/>
  <c r="AE375" i="16"/>
  <c r="AF375" i="16"/>
  <c r="AG375" i="16"/>
  <c r="AH375" i="16"/>
  <c r="AI375" i="16"/>
  <c r="AJ375" i="16"/>
  <c r="AK375" i="16"/>
  <c r="AL375" i="16"/>
  <c r="AM375" i="16"/>
  <c r="AN375" i="16"/>
  <c r="AO375" i="16"/>
  <c r="AP375" i="16"/>
  <c r="AQ375" i="16"/>
  <c r="AR375" i="16"/>
  <c r="AS375" i="16"/>
  <c r="AT375" i="16"/>
  <c r="AU375" i="16"/>
  <c r="AV375" i="16"/>
  <c r="AW375" i="16"/>
  <c r="AX375" i="16"/>
  <c r="AY375" i="16"/>
  <c r="AZ375" i="16"/>
  <c r="BA375" i="16"/>
  <c r="BB375" i="16"/>
  <c r="BC375" i="16"/>
  <c r="BD375" i="16"/>
  <c r="BE375" i="16"/>
  <c r="BF375" i="16"/>
  <c r="BG375" i="16"/>
  <c r="BH375" i="16"/>
  <c r="BI375" i="16"/>
  <c r="BJ375" i="16"/>
  <c r="BK375" i="16"/>
  <c r="BL375" i="16"/>
  <c r="BM375" i="16"/>
  <c r="BN375" i="16"/>
  <c r="BO375" i="16"/>
  <c r="BP375" i="16"/>
  <c r="AA376" i="16"/>
  <c r="AB376" i="16"/>
  <c r="AC376" i="16"/>
  <c r="AD376" i="16"/>
  <c r="AE376" i="16"/>
  <c r="AF376" i="16"/>
  <c r="AG376" i="16"/>
  <c r="AH376" i="16"/>
  <c r="AI376" i="16"/>
  <c r="AJ376" i="16"/>
  <c r="AK376" i="16"/>
  <c r="AL376" i="16"/>
  <c r="AM376" i="16"/>
  <c r="AN376" i="16"/>
  <c r="AO376" i="16"/>
  <c r="AP376" i="16"/>
  <c r="AQ376" i="16"/>
  <c r="AR376" i="16"/>
  <c r="AS376" i="16"/>
  <c r="AT376" i="16"/>
  <c r="AU376" i="16"/>
  <c r="AV376" i="16"/>
  <c r="AW376" i="16"/>
  <c r="AX376" i="16"/>
  <c r="AY376" i="16"/>
  <c r="AZ376" i="16"/>
  <c r="BA376" i="16"/>
  <c r="BB376" i="16"/>
  <c r="BC376" i="16"/>
  <c r="BD376" i="16"/>
  <c r="BE376" i="16"/>
  <c r="BF376" i="16"/>
  <c r="BG376" i="16"/>
  <c r="BH376" i="16"/>
  <c r="BI376" i="16"/>
  <c r="BJ376" i="16"/>
  <c r="BK376" i="16"/>
  <c r="BL376" i="16"/>
  <c r="BM376" i="16"/>
  <c r="BN376" i="16"/>
  <c r="BO376" i="16"/>
  <c r="BP376" i="16"/>
  <c r="AA377" i="16"/>
  <c r="AB377" i="16"/>
  <c r="AC377" i="16"/>
  <c r="AD377" i="16"/>
  <c r="AE377" i="16"/>
  <c r="AF377" i="16"/>
  <c r="AG377" i="16"/>
  <c r="AH377" i="16"/>
  <c r="AI377" i="16"/>
  <c r="AJ377" i="16"/>
  <c r="AK377" i="16"/>
  <c r="AL377" i="16"/>
  <c r="AM377" i="16"/>
  <c r="AN377" i="16"/>
  <c r="AO377" i="16"/>
  <c r="AP377" i="16"/>
  <c r="AQ377" i="16"/>
  <c r="AR377" i="16"/>
  <c r="AS377" i="16"/>
  <c r="AT377" i="16"/>
  <c r="AU377" i="16"/>
  <c r="AV377" i="16"/>
  <c r="AW377" i="16"/>
  <c r="AX377" i="16"/>
  <c r="AY377" i="16"/>
  <c r="AZ377" i="16"/>
  <c r="BA377" i="16"/>
  <c r="BB377" i="16"/>
  <c r="BC377" i="16"/>
  <c r="BD377" i="16"/>
  <c r="BE377" i="16"/>
  <c r="BF377" i="16"/>
  <c r="BG377" i="16"/>
  <c r="BH377" i="16"/>
  <c r="BI377" i="16"/>
  <c r="BJ377" i="16"/>
  <c r="BK377" i="16"/>
  <c r="BL377" i="16"/>
  <c r="BM377" i="16"/>
  <c r="BN377" i="16"/>
  <c r="BO377" i="16"/>
  <c r="BP377" i="16"/>
  <c r="AA378" i="16"/>
  <c r="AB378" i="16"/>
  <c r="AC378" i="16"/>
  <c r="AD378" i="16"/>
  <c r="AE378" i="16"/>
  <c r="AF378" i="16"/>
  <c r="AG378" i="16"/>
  <c r="AH378" i="16"/>
  <c r="AI378" i="16"/>
  <c r="AJ378" i="16"/>
  <c r="AK378" i="16"/>
  <c r="AL378" i="16"/>
  <c r="AM378" i="16"/>
  <c r="AN378" i="16"/>
  <c r="AO378" i="16"/>
  <c r="AP378" i="16"/>
  <c r="AQ378" i="16"/>
  <c r="AR378" i="16"/>
  <c r="AS378" i="16"/>
  <c r="AT378" i="16"/>
  <c r="AU378" i="16"/>
  <c r="AV378" i="16"/>
  <c r="AW378" i="16"/>
  <c r="AX378" i="16"/>
  <c r="AY378" i="16"/>
  <c r="AZ378" i="16"/>
  <c r="BA378" i="16"/>
  <c r="BB378" i="16"/>
  <c r="BC378" i="16"/>
  <c r="BD378" i="16"/>
  <c r="BE378" i="16"/>
  <c r="BF378" i="16"/>
  <c r="BG378" i="16"/>
  <c r="BH378" i="16"/>
  <c r="BI378" i="16"/>
  <c r="BJ378" i="16"/>
  <c r="BK378" i="16"/>
  <c r="BL378" i="16"/>
  <c r="BM378" i="16"/>
  <c r="BN378" i="16"/>
  <c r="BO378" i="16"/>
  <c r="BP378" i="16"/>
  <c r="AA379" i="16"/>
  <c r="AB379" i="16"/>
  <c r="AC379" i="16"/>
  <c r="AD379" i="16"/>
  <c r="AE379" i="16"/>
  <c r="AF379" i="16"/>
  <c r="AG379" i="16"/>
  <c r="AH379" i="16"/>
  <c r="AI379" i="16"/>
  <c r="AJ379" i="16"/>
  <c r="AK379" i="16"/>
  <c r="AL379" i="16"/>
  <c r="AM379" i="16"/>
  <c r="AN379" i="16"/>
  <c r="AO379" i="16"/>
  <c r="AP379" i="16"/>
  <c r="AQ379" i="16"/>
  <c r="AR379" i="16"/>
  <c r="AS379" i="16"/>
  <c r="AT379" i="16"/>
  <c r="AU379" i="16"/>
  <c r="AV379" i="16"/>
  <c r="AW379" i="16"/>
  <c r="AX379" i="16"/>
  <c r="AY379" i="16"/>
  <c r="AZ379" i="16"/>
  <c r="BA379" i="16"/>
  <c r="BB379" i="16"/>
  <c r="BC379" i="16"/>
  <c r="BD379" i="16"/>
  <c r="BE379" i="16"/>
  <c r="BF379" i="16"/>
  <c r="BG379" i="16"/>
  <c r="BH379" i="16"/>
  <c r="BI379" i="16"/>
  <c r="BJ379" i="16"/>
  <c r="BK379" i="16"/>
  <c r="BL379" i="16"/>
  <c r="BM379" i="16"/>
  <c r="BN379" i="16"/>
  <c r="BO379" i="16"/>
  <c r="BP379" i="16"/>
  <c r="AA380" i="16"/>
  <c r="AB380" i="16"/>
  <c r="AC380" i="16"/>
  <c r="AD380" i="16"/>
  <c r="AE380" i="16"/>
  <c r="AF380" i="16"/>
  <c r="AG380" i="16"/>
  <c r="AH380" i="16"/>
  <c r="AI380" i="16"/>
  <c r="AJ380" i="16"/>
  <c r="AK380" i="16"/>
  <c r="AL380" i="16"/>
  <c r="AM380" i="16"/>
  <c r="AN380" i="16"/>
  <c r="AO380" i="16"/>
  <c r="AP380" i="16"/>
  <c r="AQ380" i="16"/>
  <c r="AR380" i="16"/>
  <c r="AS380" i="16"/>
  <c r="AT380" i="16"/>
  <c r="AU380" i="16"/>
  <c r="AV380" i="16"/>
  <c r="AW380" i="16"/>
  <c r="AX380" i="16"/>
  <c r="AY380" i="16"/>
  <c r="AZ380" i="16"/>
  <c r="BA380" i="16"/>
  <c r="BB380" i="16"/>
  <c r="BC380" i="16"/>
  <c r="BD380" i="16"/>
  <c r="BE380" i="16"/>
  <c r="BF380" i="16"/>
  <c r="BG380" i="16"/>
  <c r="BH380" i="16"/>
  <c r="BI380" i="16"/>
  <c r="BJ380" i="16"/>
  <c r="BK380" i="16"/>
  <c r="BL380" i="16"/>
  <c r="BM380" i="16"/>
  <c r="BN380" i="16"/>
  <c r="BO380" i="16"/>
  <c r="BP380" i="16"/>
  <c r="AA381" i="16"/>
  <c r="AB381" i="16"/>
  <c r="AC381" i="16"/>
  <c r="AD381" i="16"/>
  <c r="AE381" i="16"/>
  <c r="AF381" i="16"/>
  <c r="AG381" i="16"/>
  <c r="AH381" i="16"/>
  <c r="AI381" i="16"/>
  <c r="AJ381" i="16"/>
  <c r="AK381" i="16"/>
  <c r="AL381" i="16"/>
  <c r="AM381" i="16"/>
  <c r="AN381" i="16"/>
  <c r="AO381" i="16"/>
  <c r="AP381" i="16"/>
  <c r="AQ381" i="16"/>
  <c r="AR381" i="16"/>
  <c r="AS381" i="16"/>
  <c r="AT381" i="16"/>
  <c r="AU381" i="16"/>
  <c r="AV381" i="16"/>
  <c r="AW381" i="16"/>
  <c r="AX381" i="16"/>
  <c r="AY381" i="16"/>
  <c r="AZ381" i="16"/>
  <c r="BA381" i="16"/>
  <c r="BB381" i="16"/>
  <c r="BC381" i="16"/>
  <c r="BD381" i="16"/>
  <c r="BE381" i="16"/>
  <c r="BF381" i="16"/>
  <c r="BG381" i="16"/>
  <c r="BH381" i="16"/>
  <c r="BI381" i="16"/>
  <c r="BJ381" i="16"/>
  <c r="BK381" i="16"/>
  <c r="BL381" i="16"/>
  <c r="BM381" i="16"/>
  <c r="BN381" i="16"/>
  <c r="BO381" i="16"/>
  <c r="BP381" i="16"/>
  <c r="AA382" i="16"/>
  <c r="AB382" i="16"/>
  <c r="AC382" i="16"/>
  <c r="AD382" i="16"/>
  <c r="AE382" i="16"/>
  <c r="AF382" i="16"/>
  <c r="AG382" i="16"/>
  <c r="AH382" i="16"/>
  <c r="AI382" i="16"/>
  <c r="AJ382" i="16"/>
  <c r="AK382" i="16"/>
  <c r="AL382" i="16"/>
  <c r="AM382" i="16"/>
  <c r="AN382" i="16"/>
  <c r="AO382" i="16"/>
  <c r="AP382" i="16"/>
  <c r="AQ382" i="16"/>
  <c r="AR382" i="16"/>
  <c r="AS382" i="16"/>
  <c r="AT382" i="16"/>
  <c r="AU382" i="16"/>
  <c r="AV382" i="16"/>
  <c r="AW382" i="16"/>
  <c r="AX382" i="16"/>
  <c r="AY382" i="16"/>
  <c r="AZ382" i="16"/>
  <c r="BA382" i="16"/>
  <c r="BB382" i="16"/>
  <c r="BC382" i="16"/>
  <c r="BD382" i="16"/>
  <c r="BE382" i="16"/>
  <c r="BF382" i="16"/>
  <c r="BG382" i="16"/>
  <c r="BH382" i="16"/>
  <c r="BI382" i="16"/>
  <c r="BJ382" i="16"/>
  <c r="BK382" i="16"/>
  <c r="BL382" i="16"/>
  <c r="BM382" i="16"/>
  <c r="BN382" i="16"/>
  <c r="BO382" i="16"/>
  <c r="BP382" i="16"/>
  <c r="AA383" i="16"/>
  <c r="AB383" i="16"/>
  <c r="AC383" i="16"/>
  <c r="AD383" i="16"/>
  <c r="AE383" i="16"/>
  <c r="AF383" i="16"/>
  <c r="AG383" i="16"/>
  <c r="AH383" i="16"/>
  <c r="AI383" i="16"/>
  <c r="AJ383" i="16"/>
  <c r="AK383" i="16"/>
  <c r="AL383" i="16"/>
  <c r="AM383" i="16"/>
  <c r="AN383" i="16"/>
  <c r="AO383" i="16"/>
  <c r="AP383" i="16"/>
  <c r="AQ383" i="16"/>
  <c r="AR383" i="16"/>
  <c r="AS383" i="16"/>
  <c r="AT383" i="16"/>
  <c r="AU383" i="16"/>
  <c r="AV383" i="16"/>
  <c r="AW383" i="16"/>
  <c r="AX383" i="16"/>
  <c r="AY383" i="16"/>
  <c r="AZ383" i="16"/>
  <c r="BA383" i="16"/>
  <c r="BB383" i="16"/>
  <c r="BC383" i="16"/>
  <c r="BD383" i="16"/>
  <c r="BE383" i="16"/>
  <c r="BF383" i="16"/>
  <c r="BG383" i="16"/>
  <c r="BH383" i="16"/>
  <c r="BI383" i="16"/>
  <c r="BJ383" i="16"/>
  <c r="BK383" i="16"/>
  <c r="BL383" i="16"/>
  <c r="BM383" i="16"/>
  <c r="BN383" i="16"/>
  <c r="BO383" i="16"/>
  <c r="BP383" i="16"/>
  <c r="AA384" i="16"/>
  <c r="AB384" i="16"/>
  <c r="AC384" i="16"/>
  <c r="AD384" i="16"/>
  <c r="AE384" i="16"/>
  <c r="AF384" i="16"/>
  <c r="AG384" i="16"/>
  <c r="AH384" i="16"/>
  <c r="AI384" i="16"/>
  <c r="AJ384" i="16"/>
  <c r="AK384" i="16"/>
  <c r="AL384" i="16"/>
  <c r="AM384" i="16"/>
  <c r="AN384" i="16"/>
  <c r="AO384" i="16"/>
  <c r="AP384" i="16"/>
  <c r="AQ384" i="16"/>
  <c r="AR384" i="16"/>
  <c r="AS384" i="16"/>
  <c r="AT384" i="16"/>
  <c r="AU384" i="16"/>
  <c r="AV384" i="16"/>
  <c r="AW384" i="16"/>
  <c r="AX384" i="16"/>
  <c r="AY384" i="16"/>
  <c r="AZ384" i="16"/>
  <c r="BA384" i="16"/>
  <c r="BB384" i="16"/>
  <c r="BC384" i="16"/>
  <c r="BD384" i="16"/>
  <c r="BE384" i="16"/>
  <c r="BF384" i="16"/>
  <c r="BG384" i="16"/>
  <c r="BH384" i="16"/>
  <c r="BI384" i="16"/>
  <c r="BJ384" i="16"/>
  <c r="BK384" i="16"/>
  <c r="BL384" i="16"/>
  <c r="BM384" i="16"/>
  <c r="BN384" i="16"/>
  <c r="BO384" i="16"/>
  <c r="BP384" i="16"/>
  <c r="AA385" i="16"/>
  <c r="AB385" i="16"/>
  <c r="AC385" i="16"/>
  <c r="AD385" i="16"/>
  <c r="AE385" i="16"/>
  <c r="AF385" i="16"/>
  <c r="AG385" i="16"/>
  <c r="AH385" i="16"/>
  <c r="AI385" i="16"/>
  <c r="AJ385" i="16"/>
  <c r="AK385" i="16"/>
  <c r="AL385" i="16"/>
  <c r="AM385" i="16"/>
  <c r="AN385" i="16"/>
  <c r="AO385" i="16"/>
  <c r="AP385" i="16"/>
  <c r="AQ385" i="16"/>
  <c r="AR385" i="16"/>
  <c r="AS385" i="16"/>
  <c r="AT385" i="16"/>
  <c r="AU385" i="16"/>
  <c r="AV385" i="16"/>
  <c r="AW385" i="16"/>
  <c r="AX385" i="16"/>
  <c r="AY385" i="16"/>
  <c r="AZ385" i="16"/>
  <c r="BA385" i="16"/>
  <c r="BB385" i="16"/>
  <c r="BC385" i="16"/>
  <c r="BD385" i="16"/>
  <c r="BE385" i="16"/>
  <c r="BF385" i="16"/>
  <c r="BG385" i="16"/>
  <c r="BH385" i="16"/>
  <c r="BI385" i="16"/>
  <c r="BJ385" i="16"/>
  <c r="BK385" i="16"/>
  <c r="BL385" i="16"/>
  <c r="BM385" i="16"/>
  <c r="BN385" i="16"/>
  <c r="BO385" i="16"/>
  <c r="BP385" i="16"/>
  <c r="AA386" i="16"/>
  <c r="AB386" i="16"/>
  <c r="AC386" i="16"/>
  <c r="AD386" i="16"/>
  <c r="AE386" i="16"/>
  <c r="AF386" i="16"/>
  <c r="AG386" i="16"/>
  <c r="AH386" i="16"/>
  <c r="AI386" i="16"/>
  <c r="AJ386" i="16"/>
  <c r="AK386" i="16"/>
  <c r="AL386" i="16"/>
  <c r="AM386" i="16"/>
  <c r="AN386" i="16"/>
  <c r="AO386" i="16"/>
  <c r="AP386" i="16"/>
  <c r="AQ386" i="16"/>
  <c r="AR386" i="16"/>
  <c r="AS386" i="16"/>
  <c r="AT386" i="16"/>
  <c r="AU386" i="16"/>
  <c r="AV386" i="16"/>
  <c r="AW386" i="16"/>
  <c r="AX386" i="16"/>
  <c r="AY386" i="16"/>
  <c r="AZ386" i="16"/>
  <c r="BA386" i="16"/>
  <c r="BB386" i="16"/>
  <c r="BC386" i="16"/>
  <c r="BD386" i="16"/>
  <c r="BE386" i="16"/>
  <c r="BF386" i="16"/>
  <c r="BG386" i="16"/>
  <c r="BH386" i="16"/>
  <c r="BI386" i="16"/>
  <c r="BJ386" i="16"/>
  <c r="BK386" i="16"/>
  <c r="BL386" i="16"/>
  <c r="BM386" i="16"/>
  <c r="BN386" i="16"/>
  <c r="BO386" i="16"/>
  <c r="BP386" i="16"/>
  <c r="AA387" i="16"/>
  <c r="AB387" i="16"/>
  <c r="AC387" i="16"/>
  <c r="AD387" i="16"/>
  <c r="AE387" i="16"/>
  <c r="AF387" i="16"/>
  <c r="AG387" i="16"/>
  <c r="AH387" i="16"/>
  <c r="AI387" i="16"/>
  <c r="AJ387" i="16"/>
  <c r="AK387" i="16"/>
  <c r="AL387" i="16"/>
  <c r="AM387" i="16"/>
  <c r="AN387" i="16"/>
  <c r="AO387" i="16"/>
  <c r="AP387" i="16"/>
  <c r="AQ387" i="16"/>
  <c r="AR387" i="16"/>
  <c r="AS387" i="16"/>
  <c r="AT387" i="16"/>
  <c r="AU387" i="16"/>
  <c r="AV387" i="16"/>
  <c r="AW387" i="16"/>
  <c r="AX387" i="16"/>
  <c r="AY387" i="16"/>
  <c r="AZ387" i="16"/>
  <c r="BA387" i="16"/>
  <c r="BB387" i="16"/>
  <c r="BC387" i="16"/>
  <c r="BD387" i="16"/>
  <c r="BE387" i="16"/>
  <c r="BF387" i="16"/>
  <c r="BG387" i="16"/>
  <c r="BH387" i="16"/>
  <c r="BI387" i="16"/>
  <c r="BJ387" i="16"/>
  <c r="BK387" i="16"/>
  <c r="BL387" i="16"/>
  <c r="BM387" i="16"/>
  <c r="BN387" i="16"/>
  <c r="BO387" i="16"/>
  <c r="BP387" i="16"/>
  <c r="AA388" i="16"/>
  <c r="AB388" i="16"/>
  <c r="AC388" i="16"/>
  <c r="AD388" i="16"/>
  <c r="AE388" i="16"/>
  <c r="AF388" i="16"/>
  <c r="AG388" i="16"/>
  <c r="AH388" i="16"/>
  <c r="AI388" i="16"/>
  <c r="AJ388" i="16"/>
  <c r="AK388" i="16"/>
  <c r="AL388" i="16"/>
  <c r="AM388" i="16"/>
  <c r="AN388" i="16"/>
  <c r="AO388" i="16"/>
  <c r="AP388" i="16"/>
  <c r="AQ388" i="16"/>
  <c r="AR388" i="16"/>
  <c r="AS388" i="16"/>
  <c r="AT388" i="16"/>
  <c r="AU388" i="16"/>
  <c r="AV388" i="16"/>
  <c r="AW388" i="16"/>
  <c r="AX388" i="16"/>
  <c r="AY388" i="16"/>
  <c r="AZ388" i="16"/>
  <c r="BA388" i="16"/>
  <c r="BB388" i="16"/>
  <c r="BC388" i="16"/>
  <c r="BD388" i="16"/>
  <c r="BE388" i="16"/>
  <c r="BF388" i="16"/>
  <c r="BG388" i="16"/>
  <c r="BH388" i="16"/>
  <c r="BI388" i="16"/>
  <c r="BJ388" i="16"/>
  <c r="BK388" i="16"/>
  <c r="BL388" i="16"/>
  <c r="BM388" i="16"/>
  <c r="BN388" i="16"/>
  <c r="BO388" i="16"/>
  <c r="BP388" i="16"/>
  <c r="AA389" i="16"/>
  <c r="AB389" i="16"/>
  <c r="AC389" i="16"/>
  <c r="AD389" i="16"/>
  <c r="AE389" i="16"/>
  <c r="AF389" i="16"/>
  <c r="AG389" i="16"/>
  <c r="AH389" i="16"/>
  <c r="AI389" i="16"/>
  <c r="AJ389" i="16"/>
  <c r="AK389" i="16"/>
  <c r="AL389" i="16"/>
  <c r="AM389" i="16"/>
  <c r="AN389" i="16"/>
  <c r="AO389" i="16"/>
  <c r="AP389" i="16"/>
  <c r="AQ389" i="16"/>
  <c r="AR389" i="16"/>
  <c r="AS389" i="16"/>
  <c r="AT389" i="16"/>
  <c r="AU389" i="16"/>
  <c r="AV389" i="16"/>
  <c r="AW389" i="16"/>
  <c r="AX389" i="16"/>
  <c r="AY389" i="16"/>
  <c r="AZ389" i="16"/>
  <c r="BA389" i="16"/>
  <c r="BB389" i="16"/>
  <c r="BC389" i="16"/>
  <c r="BD389" i="16"/>
  <c r="BE389" i="16"/>
  <c r="BF389" i="16"/>
  <c r="BG389" i="16"/>
  <c r="BH389" i="16"/>
  <c r="BI389" i="16"/>
  <c r="BJ389" i="16"/>
  <c r="BK389" i="16"/>
  <c r="BL389" i="16"/>
  <c r="BM389" i="16"/>
  <c r="BN389" i="16"/>
  <c r="BO389" i="16"/>
  <c r="BP389" i="16"/>
  <c r="AA390" i="16"/>
  <c r="AB390" i="16"/>
  <c r="AC390" i="16"/>
  <c r="AD390" i="16"/>
  <c r="AE390" i="16"/>
  <c r="AF390" i="16"/>
  <c r="AG390" i="16"/>
  <c r="AH390" i="16"/>
  <c r="AI390" i="16"/>
  <c r="AJ390" i="16"/>
  <c r="AK390" i="16"/>
  <c r="AL390" i="16"/>
  <c r="AM390" i="16"/>
  <c r="AN390" i="16"/>
  <c r="AO390" i="16"/>
  <c r="AP390" i="16"/>
  <c r="AQ390" i="16"/>
  <c r="AR390" i="16"/>
  <c r="AS390" i="16"/>
  <c r="AT390" i="16"/>
  <c r="AU390" i="16"/>
  <c r="AV390" i="16"/>
  <c r="AW390" i="16"/>
  <c r="AX390" i="16"/>
  <c r="AY390" i="16"/>
  <c r="AZ390" i="16"/>
  <c r="BA390" i="16"/>
  <c r="BB390" i="16"/>
  <c r="BC390" i="16"/>
  <c r="BD390" i="16"/>
  <c r="BE390" i="16"/>
  <c r="BF390" i="16"/>
  <c r="BG390" i="16"/>
  <c r="BH390" i="16"/>
  <c r="BI390" i="16"/>
  <c r="BJ390" i="16"/>
  <c r="BK390" i="16"/>
  <c r="BL390" i="16"/>
  <c r="BM390" i="16"/>
  <c r="BN390" i="16"/>
  <c r="BO390" i="16"/>
  <c r="BP390" i="16"/>
  <c r="AA391" i="16"/>
  <c r="AB391" i="16"/>
  <c r="AC391" i="16"/>
  <c r="AD391" i="16"/>
  <c r="AE391" i="16"/>
  <c r="AF391" i="16"/>
  <c r="AG391" i="16"/>
  <c r="AH391" i="16"/>
  <c r="AI391" i="16"/>
  <c r="AJ391" i="16"/>
  <c r="AK391" i="16"/>
  <c r="AL391" i="16"/>
  <c r="AM391" i="16"/>
  <c r="AN391" i="16"/>
  <c r="AO391" i="16"/>
  <c r="AP391" i="16"/>
  <c r="AQ391" i="16"/>
  <c r="AR391" i="16"/>
  <c r="AS391" i="16"/>
  <c r="AT391" i="16"/>
  <c r="AU391" i="16"/>
  <c r="AV391" i="16"/>
  <c r="AW391" i="16"/>
  <c r="AX391" i="16"/>
  <c r="AY391" i="16"/>
  <c r="AZ391" i="16"/>
  <c r="BA391" i="16"/>
  <c r="BB391" i="16"/>
  <c r="BC391" i="16"/>
  <c r="BD391" i="16"/>
  <c r="BE391" i="16"/>
  <c r="BF391" i="16"/>
  <c r="BG391" i="16"/>
  <c r="BH391" i="16"/>
  <c r="BI391" i="16"/>
  <c r="BJ391" i="16"/>
  <c r="BK391" i="16"/>
  <c r="BL391" i="16"/>
  <c r="BM391" i="16"/>
  <c r="BN391" i="16"/>
  <c r="BO391" i="16"/>
  <c r="BP391" i="16"/>
  <c r="AA392" i="16"/>
  <c r="AB392" i="16"/>
  <c r="AC392" i="16"/>
  <c r="AD392" i="16"/>
  <c r="AE392" i="16"/>
  <c r="AF392" i="16"/>
  <c r="AG392" i="16"/>
  <c r="AH392" i="16"/>
  <c r="AI392" i="16"/>
  <c r="AJ392" i="16"/>
  <c r="AK392" i="16"/>
  <c r="AL392" i="16"/>
  <c r="AM392" i="16"/>
  <c r="AN392" i="16"/>
  <c r="AO392" i="16"/>
  <c r="AP392" i="16"/>
  <c r="AQ392" i="16"/>
  <c r="AR392" i="16"/>
  <c r="AS392" i="16"/>
  <c r="AT392" i="16"/>
  <c r="AU392" i="16"/>
  <c r="AV392" i="16"/>
  <c r="AW392" i="16"/>
  <c r="AX392" i="16"/>
  <c r="AY392" i="16"/>
  <c r="AZ392" i="16"/>
  <c r="BA392" i="16"/>
  <c r="BB392" i="16"/>
  <c r="BC392" i="16"/>
  <c r="BD392" i="16"/>
  <c r="BE392" i="16"/>
  <c r="BF392" i="16"/>
  <c r="BG392" i="16"/>
  <c r="BH392" i="16"/>
  <c r="BI392" i="16"/>
  <c r="BJ392" i="16"/>
  <c r="BK392" i="16"/>
  <c r="BL392" i="16"/>
  <c r="BM392" i="16"/>
  <c r="BN392" i="16"/>
  <c r="BO392" i="16"/>
  <c r="BP392" i="16"/>
  <c r="AA393" i="16"/>
  <c r="AB393" i="16"/>
  <c r="AC393" i="16"/>
  <c r="AD393" i="16"/>
  <c r="AE393" i="16"/>
  <c r="AF393" i="16"/>
  <c r="AG393" i="16"/>
  <c r="AH393" i="16"/>
  <c r="AI393" i="16"/>
  <c r="AJ393" i="16"/>
  <c r="AK393" i="16"/>
  <c r="AL393" i="16"/>
  <c r="AM393" i="16"/>
  <c r="AN393" i="16"/>
  <c r="AO393" i="16"/>
  <c r="AP393" i="16"/>
  <c r="AQ393" i="16"/>
  <c r="AR393" i="16"/>
  <c r="AS393" i="16"/>
  <c r="AT393" i="16"/>
  <c r="AU393" i="16"/>
  <c r="AV393" i="16"/>
  <c r="AW393" i="16"/>
  <c r="AX393" i="16"/>
  <c r="AY393" i="16"/>
  <c r="AZ393" i="16"/>
  <c r="BA393" i="16"/>
  <c r="BB393" i="16"/>
  <c r="BC393" i="16"/>
  <c r="BD393" i="16"/>
  <c r="BE393" i="16"/>
  <c r="BF393" i="16"/>
  <c r="BG393" i="16"/>
  <c r="BH393" i="16"/>
  <c r="BI393" i="16"/>
  <c r="BJ393" i="16"/>
  <c r="BK393" i="16"/>
  <c r="BL393" i="16"/>
  <c r="BM393" i="16"/>
  <c r="BN393" i="16"/>
  <c r="BO393" i="16"/>
  <c r="BP393" i="16"/>
  <c r="AA394" i="16"/>
  <c r="AB394" i="16"/>
  <c r="AC394" i="16"/>
  <c r="AD394" i="16"/>
  <c r="AE394" i="16"/>
  <c r="AF394" i="16"/>
  <c r="AG394" i="16"/>
  <c r="AH394" i="16"/>
  <c r="AI394" i="16"/>
  <c r="AJ394" i="16"/>
  <c r="AK394" i="16"/>
  <c r="AL394" i="16"/>
  <c r="AM394" i="16"/>
  <c r="AN394" i="16"/>
  <c r="AO394" i="16"/>
  <c r="AP394" i="16"/>
  <c r="AQ394" i="16"/>
  <c r="AR394" i="16"/>
  <c r="AS394" i="16"/>
  <c r="AT394" i="16"/>
  <c r="AU394" i="16"/>
  <c r="AV394" i="16"/>
  <c r="AW394" i="16"/>
  <c r="AX394" i="16"/>
  <c r="AY394" i="16"/>
  <c r="AZ394" i="16"/>
  <c r="BA394" i="16"/>
  <c r="BB394" i="16"/>
  <c r="BC394" i="16"/>
  <c r="BD394" i="16"/>
  <c r="BE394" i="16"/>
  <c r="BF394" i="16"/>
  <c r="BG394" i="16"/>
  <c r="BH394" i="16"/>
  <c r="BI394" i="16"/>
  <c r="BJ394" i="16"/>
  <c r="BK394" i="16"/>
  <c r="BL394" i="16"/>
  <c r="BM394" i="16"/>
  <c r="BN394" i="16"/>
  <c r="BO394" i="16"/>
  <c r="BP394" i="16"/>
  <c r="AA395" i="16"/>
  <c r="AB395" i="16"/>
  <c r="AC395" i="16"/>
  <c r="AD395" i="16"/>
  <c r="AE395" i="16"/>
  <c r="AF395" i="16"/>
  <c r="AG395" i="16"/>
  <c r="AH395" i="16"/>
  <c r="AI395" i="16"/>
  <c r="AJ395" i="16"/>
  <c r="AK395" i="16"/>
  <c r="AL395" i="16"/>
  <c r="AM395" i="16"/>
  <c r="AN395" i="16"/>
  <c r="AO395" i="16"/>
  <c r="AP395" i="16"/>
  <c r="AQ395" i="16"/>
  <c r="AR395" i="16"/>
  <c r="AS395" i="16"/>
  <c r="AT395" i="16"/>
  <c r="AU395" i="16"/>
  <c r="AV395" i="16"/>
  <c r="AW395" i="16"/>
  <c r="AX395" i="16"/>
  <c r="AY395" i="16"/>
  <c r="AZ395" i="16"/>
  <c r="BA395" i="16"/>
  <c r="BB395" i="16"/>
  <c r="BC395" i="16"/>
  <c r="BD395" i="16"/>
  <c r="BE395" i="16"/>
  <c r="BF395" i="16"/>
  <c r="BG395" i="16"/>
  <c r="BH395" i="16"/>
  <c r="BI395" i="16"/>
  <c r="BJ395" i="16"/>
  <c r="BK395" i="16"/>
  <c r="BL395" i="16"/>
  <c r="BM395" i="16"/>
  <c r="BN395" i="16"/>
  <c r="BO395" i="16"/>
  <c r="BP395" i="16"/>
  <c r="AA396" i="16"/>
  <c r="AB396" i="16"/>
  <c r="AC396" i="16"/>
  <c r="AD396" i="16"/>
  <c r="AE396" i="16"/>
  <c r="AF396" i="16"/>
  <c r="AG396" i="16"/>
  <c r="AH396" i="16"/>
  <c r="AI396" i="16"/>
  <c r="AJ396" i="16"/>
  <c r="AK396" i="16"/>
  <c r="AL396" i="16"/>
  <c r="AM396" i="16"/>
  <c r="AN396" i="16"/>
  <c r="AO396" i="16"/>
  <c r="AP396" i="16"/>
  <c r="AQ396" i="16"/>
  <c r="AR396" i="16"/>
  <c r="AS396" i="16"/>
  <c r="AT396" i="16"/>
  <c r="AU396" i="16"/>
  <c r="AV396" i="16"/>
  <c r="AW396" i="16"/>
  <c r="AX396" i="16"/>
  <c r="AY396" i="16"/>
  <c r="AZ396" i="16"/>
  <c r="BA396" i="16"/>
  <c r="BB396" i="16"/>
  <c r="BC396" i="16"/>
  <c r="BD396" i="16"/>
  <c r="BE396" i="16"/>
  <c r="BF396" i="16"/>
  <c r="BG396" i="16"/>
  <c r="BH396" i="16"/>
  <c r="BI396" i="16"/>
  <c r="BJ396" i="16"/>
  <c r="BK396" i="16"/>
  <c r="BL396" i="16"/>
  <c r="BM396" i="16"/>
  <c r="BN396" i="16"/>
  <c r="BO396" i="16"/>
  <c r="BP396" i="16"/>
  <c r="AA397" i="16"/>
  <c r="AB397" i="16"/>
  <c r="AC397" i="16"/>
  <c r="AD397" i="16"/>
  <c r="AE397" i="16"/>
  <c r="AF397" i="16"/>
  <c r="AG397" i="16"/>
  <c r="AH397" i="16"/>
  <c r="AI397" i="16"/>
  <c r="AJ397" i="16"/>
  <c r="AK397" i="16"/>
  <c r="AL397" i="16"/>
  <c r="AM397" i="16"/>
  <c r="AN397" i="16"/>
  <c r="AO397" i="16"/>
  <c r="AP397" i="16"/>
  <c r="AQ397" i="16"/>
  <c r="AR397" i="16"/>
  <c r="AS397" i="16"/>
  <c r="AT397" i="16"/>
  <c r="AU397" i="16"/>
  <c r="AV397" i="16"/>
  <c r="AW397" i="16"/>
  <c r="AX397" i="16"/>
  <c r="AY397" i="16"/>
  <c r="AZ397" i="16"/>
  <c r="BA397" i="16"/>
  <c r="BB397" i="16"/>
  <c r="BC397" i="16"/>
  <c r="BD397" i="16"/>
  <c r="BE397" i="16"/>
  <c r="BF397" i="16"/>
  <c r="BG397" i="16"/>
  <c r="BH397" i="16"/>
  <c r="BI397" i="16"/>
  <c r="BJ397" i="16"/>
  <c r="BK397" i="16"/>
  <c r="BL397" i="16"/>
  <c r="BM397" i="16"/>
  <c r="BN397" i="16"/>
  <c r="BO397" i="16"/>
  <c r="BP397" i="16"/>
  <c r="AA398" i="16"/>
  <c r="AB398" i="16"/>
  <c r="AC398" i="16"/>
  <c r="AD398" i="16"/>
  <c r="AE398" i="16"/>
  <c r="AF398" i="16"/>
  <c r="AG398" i="16"/>
  <c r="AH398" i="16"/>
  <c r="AI398" i="16"/>
  <c r="AJ398" i="16"/>
  <c r="AK398" i="16"/>
  <c r="AL398" i="16"/>
  <c r="AM398" i="16"/>
  <c r="AN398" i="16"/>
  <c r="AO398" i="16"/>
  <c r="AP398" i="16"/>
  <c r="AQ398" i="16"/>
  <c r="AR398" i="16"/>
  <c r="AS398" i="16"/>
  <c r="AT398" i="16"/>
  <c r="AU398" i="16"/>
  <c r="AV398" i="16"/>
  <c r="AW398" i="16"/>
  <c r="AX398" i="16"/>
  <c r="AY398" i="16"/>
  <c r="AZ398" i="16"/>
  <c r="BA398" i="16"/>
  <c r="BB398" i="16"/>
  <c r="BC398" i="16"/>
  <c r="BD398" i="16"/>
  <c r="BE398" i="16"/>
  <c r="BF398" i="16"/>
  <c r="BG398" i="16"/>
  <c r="BH398" i="16"/>
  <c r="BI398" i="16"/>
  <c r="BJ398" i="16"/>
  <c r="BK398" i="16"/>
  <c r="BL398" i="16"/>
  <c r="BM398" i="16"/>
  <c r="BN398" i="16"/>
  <c r="BO398" i="16"/>
  <c r="BP398" i="16"/>
  <c r="AA399" i="16"/>
  <c r="AB399" i="16"/>
  <c r="AC399" i="16"/>
  <c r="AD399" i="16"/>
  <c r="AE399" i="16"/>
  <c r="AF399" i="16"/>
  <c r="AG399" i="16"/>
  <c r="AH399" i="16"/>
  <c r="AI399" i="16"/>
  <c r="AJ399" i="16"/>
  <c r="AK399" i="16"/>
  <c r="AL399" i="16"/>
  <c r="AM399" i="16"/>
  <c r="AN399" i="16"/>
  <c r="AO399" i="16"/>
  <c r="AP399" i="16"/>
  <c r="AQ399" i="16"/>
  <c r="AR399" i="16"/>
  <c r="AS399" i="16"/>
  <c r="AT399" i="16"/>
  <c r="AU399" i="16"/>
  <c r="AV399" i="16"/>
  <c r="AW399" i="16"/>
  <c r="AX399" i="16"/>
  <c r="AY399" i="16"/>
  <c r="AZ399" i="16"/>
  <c r="BA399" i="16"/>
  <c r="BB399" i="16"/>
  <c r="BC399" i="16"/>
  <c r="BD399" i="16"/>
  <c r="BE399" i="16"/>
  <c r="BF399" i="16"/>
  <c r="BG399" i="16"/>
  <c r="BH399" i="16"/>
  <c r="BI399" i="16"/>
  <c r="BJ399" i="16"/>
  <c r="BK399" i="16"/>
  <c r="BL399" i="16"/>
  <c r="BM399" i="16"/>
  <c r="BN399" i="16"/>
  <c r="BO399" i="16"/>
  <c r="BP399" i="16"/>
  <c r="AA400" i="16"/>
  <c r="AB400" i="16"/>
  <c r="AC400" i="16"/>
  <c r="AD400" i="16"/>
  <c r="AE400" i="16"/>
  <c r="AF400" i="16"/>
  <c r="AG400" i="16"/>
  <c r="AH400" i="16"/>
  <c r="AI400" i="16"/>
  <c r="AJ400" i="16"/>
  <c r="AK400" i="16"/>
  <c r="AL400" i="16"/>
  <c r="AM400" i="16"/>
  <c r="AN400" i="16"/>
  <c r="AO400" i="16"/>
  <c r="AP400" i="16"/>
  <c r="AQ400" i="16"/>
  <c r="AR400" i="16"/>
  <c r="AS400" i="16"/>
  <c r="AT400" i="16"/>
  <c r="AU400" i="16"/>
  <c r="AV400" i="16"/>
  <c r="AW400" i="16"/>
  <c r="AX400" i="16"/>
  <c r="AY400" i="16"/>
  <c r="AZ400" i="16"/>
  <c r="BA400" i="16"/>
  <c r="BB400" i="16"/>
  <c r="BC400" i="16"/>
  <c r="BD400" i="16"/>
  <c r="BE400" i="16"/>
  <c r="BF400" i="16"/>
  <c r="BG400" i="16"/>
  <c r="BH400" i="16"/>
  <c r="BI400" i="16"/>
  <c r="BJ400" i="16"/>
  <c r="BK400" i="16"/>
  <c r="BL400" i="16"/>
  <c r="BM400" i="16"/>
  <c r="BN400" i="16"/>
  <c r="BO400" i="16"/>
  <c r="BP400" i="16"/>
  <c r="AA401" i="16"/>
  <c r="AB401" i="16"/>
  <c r="AC401" i="16"/>
  <c r="AD401" i="16"/>
  <c r="AE401" i="16"/>
  <c r="AF401" i="16"/>
  <c r="AG401" i="16"/>
  <c r="AH401" i="16"/>
  <c r="AI401" i="16"/>
  <c r="AJ401" i="16"/>
  <c r="AK401" i="16"/>
  <c r="AL401" i="16"/>
  <c r="AM401" i="16"/>
  <c r="AN401" i="16"/>
  <c r="AO401" i="16"/>
  <c r="AP401" i="16"/>
  <c r="AQ401" i="16"/>
  <c r="AR401" i="16"/>
  <c r="AS401" i="16"/>
  <c r="AT401" i="16"/>
  <c r="AU401" i="16"/>
  <c r="AV401" i="16"/>
  <c r="AW401" i="16"/>
  <c r="AX401" i="16"/>
  <c r="AY401" i="16"/>
  <c r="AZ401" i="16"/>
  <c r="BA401" i="16"/>
  <c r="BB401" i="16"/>
  <c r="BC401" i="16"/>
  <c r="BD401" i="16"/>
  <c r="BE401" i="16"/>
  <c r="BF401" i="16"/>
  <c r="BG401" i="16"/>
  <c r="BH401" i="16"/>
  <c r="BI401" i="16"/>
  <c r="BJ401" i="16"/>
  <c r="BK401" i="16"/>
  <c r="BL401" i="16"/>
  <c r="BM401" i="16"/>
  <c r="BN401" i="16"/>
  <c r="BO401" i="16"/>
  <c r="BP401" i="16"/>
  <c r="AA402" i="16"/>
  <c r="AB402" i="16"/>
  <c r="AC402" i="16"/>
  <c r="AD402" i="16"/>
  <c r="AE402" i="16"/>
  <c r="AF402" i="16"/>
  <c r="AG402" i="16"/>
  <c r="AH402" i="16"/>
  <c r="AI402" i="16"/>
  <c r="AJ402" i="16"/>
  <c r="AK402" i="16"/>
  <c r="AL402" i="16"/>
  <c r="AM402" i="16"/>
  <c r="AN402" i="16"/>
  <c r="AO402" i="16"/>
  <c r="AP402" i="16"/>
  <c r="AQ402" i="16"/>
  <c r="AR402" i="16"/>
  <c r="AS402" i="16"/>
  <c r="AT402" i="16"/>
  <c r="AU402" i="16"/>
  <c r="AV402" i="16"/>
  <c r="AW402" i="16"/>
  <c r="AX402" i="16"/>
  <c r="AY402" i="16"/>
  <c r="AZ402" i="16"/>
  <c r="BA402" i="16"/>
  <c r="BB402" i="16"/>
  <c r="BC402" i="16"/>
  <c r="BD402" i="16"/>
  <c r="BE402" i="16"/>
  <c r="BF402" i="16"/>
  <c r="BG402" i="16"/>
  <c r="BH402" i="16"/>
  <c r="BI402" i="16"/>
  <c r="BJ402" i="16"/>
  <c r="BK402" i="16"/>
  <c r="BL402" i="16"/>
  <c r="BM402" i="16"/>
  <c r="BN402" i="16"/>
  <c r="BO402" i="16"/>
  <c r="BP402" i="16"/>
  <c r="AA403" i="16"/>
  <c r="AB403" i="16"/>
  <c r="AC403" i="16"/>
  <c r="AD403" i="16"/>
  <c r="AE403" i="16"/>
  <c r="AF403" i="16"/>
  <c r="AG403" i="16"/>
  <c r="AH403" i="16"/>
  <c r="AI403" i="16"/>
  <c r="AJ403" i="16"/>
  <c r="AK403" i="16"/>
  <c r="AL403" i="16"/>
  <c r="AM403" i="16"/>
  <c r="AN403" i="16"/>
  <c r="AO403" i="16"/>
  <c r="AP403" i="16"/>
  <c r="AQ403" i="16"/>
  <c r="AR403" i="16"/>
  <c r="AS403" i="16"/>
  <c r="AT403" i="16"/>
  <c r="AU403" i="16"/>
  <c r="AV403" i="16"/>
  <c r="AW403" i="16"/>
  <c r="AX403" i="16"/>
  <c r="AY403" i="16"/>
  <c r="AZ403" i="16"/>
  <c r="BA403" i="16"/>
  <c r="BB403" i="16"/>
  <c r="BC403" i="16"/>
  <c r="BD403" i="16"/>
  <c r="BE403" i="16"/>
  <c r="BF403" i="16"/>
  <c r="BG403" i="16"/>
  <c r="BH403" i="16"/>
  <c r="BI403" i="16"/>
  <c r="BJ403" i="16"/>
  <c r="BK403" i="16"/>
  <c r="BL403" i="16"/>
  <c r="BM403" i="16"/>
  <c r="BN403" i="16"/>
  <c r="BO403" i="16"/>
  <c r="BP403" i="16"/>
  <c r="AA404" i="16"/>
  <c r="AB404" i="16"/>
  <c r="AC404" i="16"/>
  <c r="AD404" i="16"/>
  <c r="AE404" i="16"/>
  <c r="AF404" i="16"/>
  <c r="AG404" i="16"/>
  <c r="AH404" i="16"/>
  <c r="AI404" i="16"/>
  <c r="AJ404" i="16"/>
  <c r="AK404" i="16"/>
  <c r="AL404" i="16"/>
  <c r="AM404" i="16"/>
  <c r="AN404" i="16"/>
  <c r="AO404" i="16"/>
  <c r="AP404" i="16"/>
  <c r="AQ404" i="16"/>
  <c r="AR404" i="16"/>
  <c r="AS404" i="16"/>
  <c r="AT404" i="16"/>
  <c r="AU404" i="16"/>
  <c r="AV404" i="16"/>
  <c r="AW404" i="16"/>
  <c r="AX404" i="16"/>
  <c r="AY404" i="16"/>
  <c r="AZ404" i="16"/>
  <c r="BA404" i="16"/>
  <c r="BB404" i="16"/>
  <c r="BC404" i="16"/>
  <c r="BD404" i="16"/>
  <c r="BE404" i="16"/>
  <c r="BF404" i="16"/>
  <c r="BG404" i="16"/>
  <c r="BH404" i="16"/>
  <c r="BI404" i="16"/>
  <c r="BJ404" i="16"/>
  <c r="BK404" i="16"/>
  <c r="BL404" i="16"/>
  <c r="BM404" i="16"/>
  <c r="BN404" i="16"/>
  <c r="BO404" i="16"/>
  <c r="BP404" i="16"/>
  <c r="AA405" i="16"/>
  <c r="AB405" i="16"/>
  <c r="AC405" i="16"/>
  <c r="AD405" i="16"/>
  <c r="AE405" i="16"/>
  <c r="AF405" i="16"/>
  <c r="AG405" i="16"/>
  <c r="AH405" i="16"/>
  <c r="AI405" i="16"/>
  <c r="AJ405" i="16"/>
  <c r="AK405" i="16"/>
  <c r="AL405" i="16"/>
  <c r="AM405" i="16"/>
  <c r="AN405" i="16"/>
  <c r="AO405" i="16"/>
  <c r="AP405" i="16"/>
  <c r="AQ405" i="16"/>
  <c r="AR405" i="16"/>
  <c r="AS405" i="16"/>
  <c r="AT405" i="16"/>
  <c r="AU405" i="16"/>
  <c r="AV405" i="16"/>
  <c r="AW405" i="16"/>
  <c r="AX405" i="16"/>
  <c r="AY405" i="16"/>
  <c r="AZ405" i="16"/>
  <c r="BA405" i="16"/>
  <c r="BB405" i="16"/>
  <c r="BC405" i="16"/>
  <c r="BD405" i="16"/>
  <c r="BE405" i="16"/>
  <c r="BF405" i="16"/>
  <c r="BG405" i="16"/>
  <c r="BH405" i="16"/>
  <c r="BI405" i="16"/>
  <c r="BJ405" i="16"/>
  <c r="BK405" i="16"/>
  <c r="BL405" i="16"/>
  <c r="BM405" i="16"/>
  <c r="BN405" i="16"/>
  <c r="BO405" i="16"/>
  <c r="BP405" i="16"/>
  <c r="AA406" i="16"/>
  <c r="AB406" i="16"/>
  <c r="AC406" i="16"/>
  <c r="AD406" i="16"/>
  <c r="AE406" i="16"/>
  <c r="AF406" i="16"/>
  <c r="AG406" i="16"/>
  <c r="AH406" i="16"/>
  <c r="AI406" i="16"/>
  <c r="AJ406" i="16"/>
  <c r="AK406" i="16"/>
  <c r="AL406" i="16"/>
  <c r="AM406" i="16"/>
  <c r="AN406" i="16"/>
  <c r="AO406" i="16"/>
  <c r="AP406" i="16"/>
  <c r="AQ406" i="16"/>
  <c r="AR406" i="16"/>
  <c r="AS406" i="16"/>
  <c r="AT406" i="16"/>
  <c r="AU406" i="16"/>
  <c r="AV406" i="16"/>
  <c r="AW406" i="16"/>
  <c r="AX406" i="16"/>
  <c r="AY406" i="16"/>
  <c r="AZ406" i="16"/>
  <c r="BA406" i="16"/>
  <c r="BB406" i="16"/>
  <c r="BC406" i="16"/>
  <c r="BD406" i="16"/>
  <c r="BE406" i="16"/>
  <c r="BF406" i="16"/>
  <c r="BG406" i="16"/>
  <c r="BH406" i="16"/>
  <c r="BI406" i="16"/>
  <c r="BJ406" i="16"/>
  <c r="BK406" i="16"/>
  <c r="BL406" i="16"/>
  <c r="BM406" i="16"/>
  <c r="BN406" i="16"/>
  <c r="BO406" i="16"/>
  <c r="BP406" i="16"/>
  <c r="AA407" i="16"/>
  <c r="AB407" i="16"/>
  <c r="AC407" i="16"/>
  <c r="AD407" i="16"/>
  <c r="AE407" i="16"/>
  <c r="AF407" i="16"/>
  <c r="AG407" i="16"/>
  <c r="AH407" i="16"/>
  <c r="AI407" i="16"/>
  <c r="AJ407" i="16"/>
  <c r="AK407" i="16"/>
  <c r="AL407" i="16"/>
  <c r="AM407" i="16"/>
  <c r="AN407" i="16"/>
  <c r="AO407" i="16"/>
  <c r="AP407" i="16"/>
  <c r="AQ407" i="16"/>
  <c r="AR407" i="16"/>
  <c r="AS407" i="16"/>
  <c r="AT407" i="16"/>
  <c r="AU407" i="16"/>
  <c r="AV407" i="16"/>
  <c r="AW407" i="16"/>
  <c r="AX407" i="16"/>
  <c r="AY407" i="16"/>
  <c r="AZ407" i="16"/>
  <c r="BA407" i="16"/>
  <c r="BB407" i="16"/>
  <c r="BC407" i="16"/>
  <c r="BD407" i="16"/>
  <c r="BE407" i="16"/>
  <c r="BF407" i="16"/>
  <c r="BG407" i="16"/>
  <c r="BH407" i="16"/>
  <c r="BI407" i="16"/>
  <c r="BJ407" i="16"/>
  <c r="BK407" i="16"/>
  <c r="BL407" i="16"/>
  <c r="BM407" i="16"/>
  <c r="BN407" i="16"/>
  <c r="BO407" i="16"/>
  <c r="BP407" i="16"/>
  <c r="AA408" i="16"/>
  <c r="AB408" i="16"/>
  <c r="AC408" i="16"/>
  <c r="AD408" i="16"/>
  <c r="AE408" i="16"/>
  <c r="AF408" i="16"/>
  <c r="AG408" i="16"/>
  <c r="AH408" i="16"/>
  <c r="AI408" i="16"/>
  <c r="AJ408" i="16"/>
  <c r="AK408" i="16"/>
  <c r="AL408" i="16"/>
  <c r="AM408" i="16"/>
  <c r="AN408" i="16"/>
  <c r="AO408" i="16"/>
  <c r="AP408" i="16"/>
  <c r="AQ408" i="16"/>
  <c r="AR408" i="16"/>
  <c r="AS408" i="16"/>
  <c r="AT408" i="16"/>
  <c r="AU408" i="16"/>
  <c r="AV408" i="16"/>
  <c r="AW408" i="16"/>
  <c r="AX408" i="16"/>
  <c r="AY408" i="16"/>
  <c r="AZ408" i="16"/>
  <c r="BA408" i="16"/>
  <c r="BB408" i="16"/>
  <c r="BC408" i="16"/>
  <c r="BD408" i="16"/>
  <c r="BE408" i="16"/>
  <c r="BF408" i="16"/>
  <c r="BG408" i="16"/>
  <c r="BH408" i="16"/>
  <c r="BI408" i="16"/>
  <c r="BJ408" i="16"/>
  <c r="BK408" i="16"/>
  <c r="BL408" i="16"/>
  <c r="BM408" i="16"/>
  <c r="BN408" i="16"/>
  <c r="BO408" i="16"/>
  <c r="BP408" i="16"/>
  <c r="AA409" i="16"/>
  <c r="AB409" i="16"/>
  <c r="AC409" i="16"/>
  <c r="AD409" i="16"/>
  <c r="AE409" i="16"/>
  <c r="AF409" i="16"/>
  <c r="AG409" i="16"/>
  <c r="AH409" i="16"/>
  <c r="AI409" i="16"/>
  <c r="AJ409" i="16"/>
  <c r="AK409" i="16"/>
  <c r="AL409" i="16"/>
  <c r="AM409" i="16"/>
  <c r="AN409" i="16"/>
  <c r="AO409" i="16"/>
  <c r="AP409" i="16"/>
  <c r="AQ409" i="16"/>
  <c r="AR409" i="16"/>
  <c r="AS409" i="16"/>
  <c r="AT409" i="16"/>
  <c r="AU409" i="16"/>
  <c r="AV409" i="16"/>
  <c r="AW409" i="16"/>
  <c r="AX409" i="16"/>
  <c r="AY409" i="16"/>
  <c r="AZ409" i="16"/>
  <c r="BA409" i="16"/>
  <c r="BB409" i="16"/>
  <c r="BC409" i="16"/>
  <c r="BD409" i="16"/>
  <c r="BE409" i="16"/>
  <c r="BF409" i="16"/>
  <c r="BG409" i="16"/>
  <c r="BH409" i="16"/>
  <c r="BI409" i="16"/>
  <c r="BJ409" i="16"/>
  <c r="BK409" i="16"/>
  <c r="BL409" i="16"/>
  <c r="BM409" i="16"/>
  <c r="BN409" i="16"/>
  <c r="BO409" i="16"/>
  <c r="BP409" i="16"/>
  <c r="AA410" i="16"/>
  <c r="AB410" i="16"/>
  <c r="AC410" i="16"/>
  <c r="AD410" i="16"/>
  <c r="AE410" i="16"/>
  <c r="AF410" i="16"/>
  <c r="AG410" i="16"/>
  <c r="AH410" i="16"/>
  <c r="AI410" i="16"/>
  <c r="AJ410" i="16"/>
  <c r="AK410" i="16"/>
  <c r="AL410" i="16"/>
  <c r="AM410" i="16"/>
  <c r="AN410" i="16"/>
  <c r="AO410" i="16"/>
  <c r="AP410" i="16"/>
  <c r="AQ410" i="16"/>
  <c r="AR410" i="16"/>
  <c r="AS410" i="16"/>
  <c r="AT410" i="16"/>
  <c r="AU410" i="16"/>
  <c r="AV410" i="16"/>
  <c r="AW410" i="16"/>
  <c r="AX410" i="16"/>
  <c r="AY410" i="16"/>
  <c r="AZ410" i="16"/>
  <c r="BA410" i="16"/>
  <c r="BB410" i="16"/>
  <c r="BC410" i="16"/>
  <c r="BD410" i="16"/>
  <c r="BE410" i="16"/>
  <c r="BF410" i="16"/>
  <c r="BG410" i="16"/>
  <c r="BH410" i="16"/>
  <c r="BI410" i="16"/>
  <c r="BJ410" i="16"/>
  <c r="BK410" i="16"/>
  <c r="BL410" i="16"/>
  <c r="BM410" i="16"/>
  <c r="BN410" i="16"/>
  <c r="BO410" i="16"/>
  <c r="BP410" i="16"/>
  <c r="AA411" i="16"/>
  <c r="AB411" i="16"/>
  <c r="AC411" i="16"/>
  <c r="AD411" i="16"/>
  <c r="AE411" i="16"/>
  <c r="AF411" i="16"/>
  <c r="AG411" i="16"/>
  <c r="AH411" i="16"/>
  <c r="AI411" i="16"/>
  <c r="AJ411" i="16"/>
  <c r="AK411" i="16"/>
  <c r="AL411" i="16"/>
  <c r="AM411" i="16"/>
  <c r="AN411" i="16"/>
  <c r="AO411" i="16"/>
  <c r="AP411" i="16"/>
  <c r="AQ411" i="16"/>
  <c r="AR411" i="16"/>
  <c r="AS411" i="16"/>
  <c r="AT411" i="16"/>
  <c r="AU411" i="16"/>
  <c r="AV411" i="16"/>
  <c r="AW411" i="16"/>
  <c r="AX411" i="16"/>
  <c r="AY411" i="16"/>
  <c r="AZ411" i="16"/>
  <c r="BA411" i="16"/>
  <c r="BB411" i="16"/>
  <c r="BC411" i="16"/>
  <c r="BD411" i="16"/>
  <c r="BE411" i="16"/>
  <c r="BF411" i="16"/>
  <c r="BG411" i="16"/>
  <c r="BH411" i="16"/>
  <c r="BI411" i="16"/>
  <c r="BJ411" i="16"/>
  <c r="BK411" i="16"/>
  <c r="BL411" i="16"/>
  <c r="BM411" i="16"/>
  <c r="BN411" i="16"/>
  <c r="BO411" i="16"/>
  <c r="BP411" i="16"/>
  <c r="AA412" i="16"/>
  <c r="AB412" i="16"/>
  <c r="AC412" i="16"/>
  <c r="AD412" i="16"/>
  <c r="AE412" i="16"/>
  <c r="AF412" i="16"/>
  <c r="AG412" i="16"/>
  <c r="AH412" i="16"/>
  <c r="AI412" i="16"/>
  <c r="AJ412" i="16"/>
  <c r="AK412" i="16"/>
  <c r="AL412" i="16"/>
  <c r="AM412" i="16"/>
  <c r="AN412" i="16"/>
  <c r="AO412" i="16"/>
  <c r="AP412" i="16"/>
  <c r="AQ412" i="16"/>
  <c r="AR412" i="16"/>
  <c r="AS412" i="16"/>
  <c r="AT412" i="16"/>
  <c r="AU412" i="16"/>
  <c r="AV412" i="16"/>
  <c r="AW412" i="16"/>
  <c r="AX412" i="16"/>
  <c r="AY412" i="16"/>
  <c r="AZ412" i="16"/>
  <c r="BA412" i="16"/>
  <c r="BB412" i="16"/>
  <c r="BC412" i="16"/>
  <c r="BD412" i="16"/>
  <c r="BE412" i="16"/>
  <c r="BF412" i="16"/>
  <c r="BG412" i="16"/>
  <c r="BH412" i="16"/>
  <c r="BI412" i="16"/>
  <c r="BJ412" i="16"/>
  <c r="BK412" i="16"/>
  <c r="BL412" i="16"/>
  <c r="BM412" i="16"/>
  <c r="BN412" i="16"/>
  <c r="BO412" i="16"/>
  <c r="BP412" i="16"/>
  <c r="AA413" i="16"/>
  <c r="AB413" i="16"/>
  <c r="AC413" i="16"/>
  <c r="AD413" i="16"/>
  <c r="AE413" i="16"/>
  <c r="AF413" i="16"/>
  <c r="AG413" i="16"/>
  <c r="AH413" i="16"/>
  <c r="AI413" i="16"/>
  <c r="AJ413" i="16"/>
  <c r="AK413" i="16"/>
  <c r="AL413" i="16"/>
  <c r="AM413" i="16"/>
  <c r="AN413" i="16"/>
  <c r="AO413" i="16"/>
  <c r="AP413" i="16"/>
  <c r="AQ413" i="16"/>
  <c r="AR413" i="16"/>
  <c r="AS413" i="16"/>
  <c r="AT413" i="16"/>
  <c r="AU413" i="16"/>
  <c r="AV413" i="16"/>
  <c r="AW413" i="16"/>
  <c r="AX413" i="16"/>
  <c r="AY413" i="16"/>
  <c r="AZ413" i="16"/>
  <c r="BA413" i="16"/>
  <c r="BB413" i="16"/>
  <c r="BC413" i="16"/>
  <c r="BD413" i="16"/>
  <c r="BE413" i="16"/>
  <c r="BF413" i="16"/>
  <c r="BG413" i="16"/>
  <c r="BH413" i="16"/>
  <c r="BI413" i="16"/>
  <c r="BJ413" i="16"/>
  <c r="BK413" i="16"/>
  <c r="BL413" i="16"/>
  <c r="BM413" i="16"/>
  <c r="BN413" i="16"/>
  <c r="BO413" i="16"/>
  <c r="BP413" i="16"/>
  <c r="AA414" i="16"/>
  <c r="AB414" i="16"/>
  <c r="AC414" i="16"/>
  <c r="AD414" i="16"/>
  <c r="AE414" i="16"/>
  <c r="AF414" i="16"/>
  <c r="AG414" i="16"/>
  <c r="AH414" i="16"/>
  <c r="AI414" i="16"/>
  <c r="AJ414" i="16"/>
  <c r="AK414" i="16"/>
  <c r="AL414" i="16"/>
  <c r="AM414" i="16"/>
  <c r="AN414" i="16"/>
  <c r="AO414" i="16"/>
  <c r="AP414" i="16"/>
  <c r="AQ414" i="16"/>
  <c r="AR414" i="16"/>
  <c r="AS414" i="16"/>
  <c r="AT414" i="16"/>
  <c r="AU414" i="16"/>
  <c r="AV414" i="16"/>
  <c r="AW414" i="16"/>
  <c r="AX414" i="16"/>
  <c r="AY414" i="16"/>
  <c r="AZ414" i="16"/>
  <c r="BA414" i="16"/>
  <c r="BB414" i="16"/>
  <c r="BC414" i="16"/>
  <c r="BD414" i="16"/>
  <c r="BE414" i="16"/>
  <c r="BF414" i="16"/>
  <c r="BG414" i="16"/>
  <c r="BH414" i="16"/>
  <c r="BI414" i="16"/>
  <c r="BJ414" i="16"/>
  <c r="BK414" i="16"/>
  <c r="BL414" i="16"/>
  <c r="BM414" i="16"/>
  <c r="BN414" i="16"/>
  <c r="BO414" i="16"/>
  <c r="BP414" i="16"/>
  <c r="AA415" i="16"/>
  <c r="AB415" i="16"/>
  <c r="AC415" i="16"/>
  <c r="AD415" i="16"/>
  <c r="AE415" i="16"/>
  <c r="AF415" i="16"/>
  <c r="AG415" i="16"/>
  <c r="AH415" i="16"/>
  <c r="AI415" i="16"/>
  <c r="AJ415" i="16"/>
  <c r="AK415" i="16"/>
  <c r="AL415" i="16"/>
  <c r="AM415" i="16"/>
  <c r="AN415" i="16"/>
  <c r="AO415" i="16"/>
  <c r="AP415" i="16"/>
  <c r="AQ415" i="16"/>
  <c r="AR415" i="16"/>
  <c r="AS415" i="16"/>
  <c r="AT415" i="16"/>
  <c r="AU415" i="16"/>
  <c r="AV415" i="16"/>
  <c r="AW415" i="16"/>
  <c r="AX415" i="16"/>
  <c r="AY415" i="16"/>
  <c r="AZ415" i="16"/>
  <c r="BA415" i="16"/>
  <c r="BB415" i="16"/>
  <c r="BC415" i="16"/>
  <c r="BD415" i="16"/>
  <c r="BE415" i="16"/>
  <c r="BF415" i="16"/>
  <c r="BG415" i="16"/>
  <c r="BH415" i="16"/>
  <c r="BI415" i="16"/>
  <c r="BJ415" i="16"/>
  <c r="BK415" i="16"/>
  <c r="BL415" i="16"/>
  <c r="BM415" i="16"/>
  <c r="BN415" i="16"/>
  <c r="BO415" i="16"/>
  <c r="BP415" i="16"/>
  <c r="AA416" i="16"/>
  <c r="AB416" i="16"/>
  <c r="AC416" i="16"/>
  <c r="AD416" i="16"/>
  <c r="AE416" i="16"/>
  <c r="AF416" i="16"/>
  <c r="AG416" i="16"/>
  <c r="AH416" i="16"/>
  <c r="AI416" i="16"/>
  <c r="AJ416" i="16"/>
  <c r="AK416" i="16"/>
  <c r="AL416" i="16"/>
  <c r="AM416" i="16"/>
  <c r="AN416" i="16"/>
  <c r="AO416" i="16"/>
  <c r="AP416" i="16"/>
  <c r="AQ416" i="16"/>
  <c r="AR416" i="16"/>
  <c r="AS416" i="16"/>
  <c r="AT416" i="16"/>
  <c r="AU416" i="16"/>
  <c r="AV416" i="16"/>
  <c r="AW416" i="16"/>
  <c r="AX416" i="16"/>
  <c r="AY416" i="16"/>
  <c r="AZ416" i="16"/>
  <c r="BA416" i="16"/>
  <c r="BB416" i="16"/>
  <c r="BC416" i="16"/>
  <c r="BD416" i="16"/>
  <c r="BE416" i="16"/>
  <c r="BF416" i="16"/>
  <c r="BG416" i="16"/>
  <c r="BH416" i="16"/>
  <c r="BI416" i="16"/>
  <c r="BJ416" i="16"/>
  <c r="BK416" i="16"/>
  <c r="BL416" i="16"/>
  <c r="BM416" i="16"/>
  <c r="BN416" i="16"/>
  <c r="BO416" i="16"/>
  <c r="BP416" i="16"/>
  <c r="AA417" i="16"/>
  <c r="AB417" i="16"/>
  <c r="AC417" i="16"/>
  <c r="AD417" i="16"/>
  <c r="AE417" i="16"/>
  <c r="AF417" i="16"/>
  <c r="AG417" i="16"/>
  <c r="AH417" i="16"/>
  <c r="AI417" i="16"/>
  <c r="AJ417" i="16"/>
  <c r="AK417" i="16"/>
  <c r="AL417" i="16"/>
  <c r="AM417" i="16"/>
  <c r="AN417" i="16"/>
  <c r="AO417" i="16"/>
  <c r="AP417" i="16"/>
  <c r="AQ417" i="16"/>
  <c r="AR417" i="16"/>
  <c r="AS417" i="16"/>
  <c r="AT417" i="16"/>
  <c r="AU417" i="16"/>
  <c r="AV417" i="16"/>
  <c r="AW417" i="16"/>
  <c r="AX417" i="16"/>
  <c r="AY417" i="16"/>
  <c r="AZ417" i="16"/>
  <c r="BA417" i="16"/>
  <c r="BB417" i="16"/>
  <c r="BC417" i="16"/>
  <c r="BD417" i="16"/>
  <c r="BE417" i="16"/>
  <c r="BF417" i="16"/>
  <c r="BG417" i="16"/>
  <c r="BH417" i="16"/>
  <c r="BI417" i="16"/>
  <c r="BJ417" i="16"/>
  <c r="BK417" i="16"/>
  <c r="BL417" i="16"/>
  <c r="BM417" i="16"/>
  <c r="BN417" i="16"/>
  <c r="BO417" i="16"/>
  <c r="BP417" i="16"/>
  <c r="AA418" i="16"/>
  <c r="AB418" i="16"/>
  <c r="AC418" i="16"/>
  <c r="AD418" i="16"/>
  <c r="AE418" i="16"/>
  <c r="AF418" i="16"/>
  <c r="AG418" i="16"/>
  <c r="AH418" i="16"/>
  <c r="AI418" i="16"/>
  <c r="AJ418" i="16"/>
  <c r="AK418" i="16"/>
  <c r="AL418" i="16"/>
  <c r="AM418" i="16"/>
  <c r="AN418" i="16"/>
  <c r="AO418" i="16"/>
  <c r="AP418" i="16"/>
  <c r="AQ418" i="16"/>
  <c r="AR418" i="16"/>
  <c r="AS418" i="16"/>
  <c r="AT418" i="16"/>
  <c r="AU418" i="16"/>
  <c r="AV418" i="16"/>
  <c r="AW418" i="16"/>
  <c r="AX418" i="16"/>
  <c r="AY418" i="16"/>
  <c r="AZ418" i="16"/>
  <c r="BA418" i="16"/>
  <c r="BB418" i="16"/>
  <c r="BC418" i="16"/>
  <c r="BD418" i="16"/>
  <c r="BE418" i="16"/>
  <c r="BF418" i="16"/>
  <c r="BG418" i="16"/>
  <c r="BH418" i="16"/>
  <c r="BI418" i="16"/>
  <c r="BJ418" i="16"/>
  <c r="BK418" i="16"/>
  <c r="BL418" i="16"/>
  <c r="BM418" i="16"/>
  <c r="BN418" i="16"/>
  <c r="BO418" i="16"/>
  <c r="BP418" i="16"/>
  <c r="AA419" i="16"/>
  <c r="AB419" i="16"/>
  <c r="AC419" i="16"/>
  <c r="AD419" i="16"/>
  <c r="AE419" i="16"/>
  <c r="AF419" i="16"/>
  <c r="AG419" i="16"/>
  <c r="AH419" i="16"/>
  <c r="AI419" i="16"/>
  <c r="AJ419" i="16"/>
  <c r="AK419" i="16"/>
  <c r="AL419" i="16"/>
  <c r="AM419" i="16"/>
  <c r="AN419" i="16"/>
  <c r="AO419" i="16"/>
  <c r="AP419" i="16"/>
  <c r="AQ419" i="16"/>
  <c r="AR419" i="16"/>
  <c r="AS419" i="16"/>
  <c r="AT419" i="16"/>
  <c r="AU419" i="16"/>
  <c r="AV419" i="16"/>
  <c r="AW419" i="16"/>
  <c r="AX419" i="16"/>
  <c r="AY419" i="16"/>
  <c r="AZ419" i="16"/>
  <c r="BA419" i="16"/>
  <c r="BB419" i="16"/>
  <c r="BC419" i="16"/>
  <c r="BD419" i="16"/>
  <c r="BE419" i="16"/>
  <c r="BF419" i="16"/>
  <c r="BG419" i="16"/>
  <c r="BH419" i="16"/>
  <c r="BI419" i="16"/>
  <c r="BJ419" i="16"/>
  <c r="BK419" i="16"/>
  <c r="BL419" i="16"/>
  <c r="BM419" i="16"/>
  <c r="BN419" i="16"/>
  <c r="BO419" i="16"/>
  <c r="BP419" i="16"/>
  <c r="AA420" i="16"/>
  <c r="AB420" i="16"/>
  <c r="AC420" i="16"/>
  <c r="AD420" i="16"/>
  <c r="AE420" i="16"/>
  <c r="AF420" i="16"/>
  <c r="AG420" i="16"/>
  <c r="AH420" i="16"/>
  <c r="AI420" i="16"/>
  <c r="AJ420" i="16"/>
  <c r="AK420" i="16"/>
  <c r="AL420" i="16"/>
  <c r="AM420" i="16"/>
  <c r="AN420" i="16"/>
  <c r="AO420" i="16"/>
  <c r="AP420" i="16"/>
  <c r="AQ420" i="16"/>
  <c r="AR420" i="16"/>
  <c r="AS420" i="16"/>
  <c r="AT420" i="16"/>
  <c r="AU420" i="16"/>
  <c r="AV420" i="16"/>
  <c r="AW420" i="16"/>
  <c r="AX420" i="16"/>
  <c r="AY420" i="16"/>
  <c r="AZ420" i="16"/>
  <c r="BA420" i="16"/>
  <c r="BB420" i="16"/>
  <c r="BC420" i="16"/>
  <c r="BD420" i="16"/>
  <c r="BE420" i="16"/>
  <c r="BF420" i="16"/>
  <c r="BG420" i="16"/>
  <c r="BH420" i="16"/>
  <c r="BI420" i="16"/>
  <c r="BJ420" i="16"/>
  <c r="BK420" i="16"/>
  <c r="BL420" i="16"/>
  <c r="BM420" i="16"/>
  <c r="BN420" i="16"/>
  <c r="BO420" i="16"/>
  <c r="BP420" i="16"/>
  <c r="AA421" i="16"/>
  <c r="AB421" i="16"/>
  <c r="AC421" i="16"/>
  <c r="AD421" i="16"/>
  <c r="AE421" i="16"/>
  <c r="AF421" i="16"/>
  <c r="AG421" i="16"/>
  <c r="AH421" i="16"/>
  <c r="AI421" i="16"/>
  <c r="AJ421" i="16"/>
  <c r="AK421" i="16"/>
  <c r="AL421" i="16"/>
  <c r="AM421" i="16"/>
  <c r="AN421" i="16"/>
  <c r="AO421" i="16"/>
  <c r="AP421" i="16"/>
  <c r="AQ421" i="16"/>
  <c r="AR421" i="16"/>
  <c r="AS421" i="16"/>
  <c r="AT421" i="16"/>
  <c r="AU421" i="16"/>
  <c r="AV421" i="16"/>
  <c r="AW421" i="16"/>
  <c r="AX421" i="16"/>
  <c r="AY421" i="16"/>
  <c r="AZ421" i="16"/>
  <c r="BA421" i="16"/>
  <c r="BB421" i="16"/>
  <c r="BC421" i="16"/>
  <c r="BD421" i="16"/>
  <c r="BE421" i="16"/>
  <c r="BF421" i="16"/>
  <c r="BG421" i="16"/>
  <c r="BH421" i="16"/>
  <c r="BI421" i="16"/>
  <c r="BJ421" i="16"/>
  <c r="BK421" i="16"/>
  <c r="BL421" i="16"/>
  <c r="BM421" i="16"/>
  <c r="BN421" i="16"/>
  <c r="BO421" i="16"/>
  <c r="BP421" i="16"/>
  <c r="AA422" i="16"/>
  <c r="AB422" i="16"/>
  <c r="AC422" i="16"/>
  <c r="AD422" i="16"/>
  <c r="AE422" i="16"/>
  <c r="AF422" i="16"/>
  <c r="AG422" i="16"/>
  <c r="AH422" i="16"/>
  <c r="AI422" i="16"/>
  <c r="AJ422" i="16"/>
  <c r="AK422" i="16"/>
  <c r="AL422" i="16"/>
  <c r="AM422" i="16"/>
  <c r="AN422" i="16"/>
  <c r="AO422" i="16"/>
  <c r="AP422" i="16"/>
  <c r="AQ422" i="16"/>
  <c r="AR422" i="16"/>
  <c r="AS422" i="16"/>
  <c r="AT422" i="16"/>
  <c r="AU422" i="16"/>
  <c r="AV422" i="16"/>
  <c r="AW422" i="16"/>
  <c r="AX422" i="16"/>
  <c r="AY422" i="16"/>
  <c r="AZ422" i="16"/>
  <c r="BA422" i="16"/>
  <c r="BB422" i="16"/>
  <c r="BC422" i="16"/>
  <c r="BD422" i="16"/>
  <c r="BE422" i="16"/>
  <c r="BF422" i="16"/>
  <c r="BG422" i="16"/>
  <c r="BH422" i="16"/>
  <c r="BI422" i="16"/>
  <c r="BJ422" i="16"/>
  <c r="BK422" i="16"/>
  <c r="BL422" i="16"/>
  <c r="BM422" i="16"/>
  <c r="BN422" i="16"/>
  <c r="BO422" i="16"/>
  <c r="BP422" i="16"/>
  <c r="AA423" i="16"/>
  <c r="AB423" i="16"/>
  <c r="AC423" i="16"/>
  <c r="AD423" i="16"/>
  <c r="AE423" i="16"/>
  <c r="AF423" i="16"/>
  <c r="AG423" i="16"/>
  <c r="AH423" i="16"/>
  <c r="AI423" i="16"/>
  <c r="AJ423" i="16"/>
  <c r="AK423" i="16"/>
  <c r="AL423" i="16"/>
  <c r="AM423" i="16"/>
  <c r="AN423" i="16"/>
  <c r="AO423" i="16"/>
  <c r="AP423" i="16"/>
  <c r="AQ423" i="16"/>
  <c r="AR423" i="16"/>
  <c r="AS423" i="16"/>
  <c r="AT423" i="16"/>
  <c r="AU423" i="16"/>
  <c r="AV423" i="16"/>
  <c r="AW423" i="16"/>
  <c r="AX423" i="16"/>
  <c r="AY423" i="16"/>
  <c r="AZ423" i="16"/>
  <c r="BA423" i="16"/>
  <c r="BB423" i="16"/>
  <c r="BC423" i="16"/>
  <c r="BD423" i="16"/>
  <c r="BE423" i="16"/>
  <c r="BF423" i="16"/>
  <c r="BG423" i="16"/>
  <c r="BH423" i="16"/>
  <c r="BI423" i="16"/>
  <c r="BJ423" i="16"/>
  <c r="BK423" i="16"/>
  <c r="BL423" i="16"/>
  <c r="BM423" i="16"/>
  <c r="BN423" i="16"/>
  <c r="BO423" i="16"/>
  <c r="BP423" i="16"/>
  <c r="AA424" i="16"/>
  <c r="AB424" i="16"/>
  <c r="AC424" i="16"/>
  <c r="AD424" i="16"/>
  <c r="AE424" i="16"/>
  <c r="AF424" i="16"/>
  <c r="AG424" i="16"/>
  <c r="AH424" i="16"/>
  <c r="AI424" i="16"/>
  <c r="AJ424" i="16"/>
  <c r="AK424" i="16"/>
  <c r="AL424" i="16"/>
  <c r="AM424" i="16"/>
  <c r="AN424" i="16"/>
  <c r="AO424" i="16"/>
  <c r="AP424" i="16"/>
  <c r="AQ424" i="16"/>
  <c r="AR424" i="16"/>
  <c r="AS424" i="16"/>
  <c r="AT424" i="16"/>
  <c r="AU424" i="16"/>
  <c r="AV424" i="16"/>
  <c r="AW424" i="16"/>
  <c r="AX424" i="16"/>
  <c r="AY424" i="16"/>
  <c r="AZ424" i="16"/>
  <c r="BA424" i="16"/>
  <c r="BB424" i="16"/>
  <c r="BC424" i="16"/>
  <c r="BD424" i="16"/>
  <c r="BE424" i="16"/>
  <c r="BF424" i="16"/>
  <c r="BG424" i="16"/>
  <c r="BH424" i="16"/>
  <c r="BI424" i="16"/>
  <c r="BJ424" i="16"/>
  <c r="BK424" i="16"/>
  <c r="BL424" i="16"/>
  <c r="BM424" i="16"/>
  <c r="BN424" i="16"/>
  <c r="BO424" i="16"/>
  <c r="BP424" i="16"/>
  <c r="AA425" i="16"/>
  <c r="AB425" i="16"/>
  <c r="AC425" i="16"/>
  <c r="AD425" i="16"/>
  <c r="AE425" i="16"/>
  <c r="AF425" i="16"/>
  <c r="AG425" i="16"/>
  <c r="AH425" i="16"/>
  <c r="AI425" i="16"/>
  <c r="AJ425" i="16"/>
  <c r="AK425" i="16"/>
  <c r="AL425" i="16"/>
  <c r="AM425" i="16"/>
  <c r="AN425" i="16"/>
  <c r="AO425" i="16"/>
  <c r="AP425" i="16"/>
  <c r="AQ425" i="16"/>
  <c r="AR425" i="16"/>
  <c r="AS425" i="16"/>
  <c r="AT425" i="16"/>
  <c r="AU425" i="16"/>
  <c r="AV425" i="16"/>
  <c r="AW425" i="16"/>
  <c r="AX425" i="16"/>
  <c r="AY425" i="16"/>
  <c r="AZ425" i="16"/>
  <c r="BA425" i="16"/>
  <c r="BB425" i="16"/>
  <c r="BC425" i="16"/>
  <c r="BD425" i="16"/>
  <c r="BE425" i="16"/>
  <c r="BF425" i="16"/>
  <c r="BG425" i="16"/>
  <c r="BH425" i="16"/>
  <c r="BI425" i="16"/>
  <c r="BJ425" i="16"/>
  <c r="BK425" i="16"/>
  <c r="BL425" i="16"/>
  <c r="BM425" i="16"/>
  <c r="BN425" i="16"/>
  <c r="BO425" i="16"/>
  <c r="BP425" i="16"/>
  <c r="AA426" i="16"/>
  <c r="AB426" i="16"/>
  <c r="AC426" i="16"/>
  <c r="AD426" i="16"/>
  <c r="AE426" i="16"/>
  <c r="AF426" i="16"/>
  <c r="AG426" i="16"/>
  <c r="AH426" i="16"/>
  <c r="AI426" i="16"/>
  <c r="AJ426" i="16"/>
  <c r="AK426" i="16"/>
  <c r="AL426" i="16"/>
  <c r="AM426" i="16"/>
  <c r="AN426" i="16"/>
  <c r="AO426" i="16"/>
  <c r="AP426" i="16"/>
  <c r="AQ426" i="16"/>
  <c r="AR426" i="16"/>
  <c r="AS426" i="16"/>
  <c r="AT426" i="16"/>
  <c r="AU426" i="16"/>
  <c r="AV426" i="16"/>
  <c r="AW426" i="16"/>
  <c r="AX426" i="16"/>
  <c r="AY426" i="16"/>
  <c r="AZ426" i="16"/>
  <c r="BA426" i="16"/>
  <c r="BB426" i="16"/>
  <c r="BC426" i="16"/>
  <c r="BD426" i="16"/>
  <c r="BE426" i="16"/>
  <c r="BF426" i="16"/>
  <c r="BG426" i="16"/>
  <c r="BH426" i="16"/>
  <c r="BI426" i="16"/>
  <c r="BJ426" i="16"/>
  <c r="BK426" i="16"/>
  <c r="BL426" i="16"/>
  <c r="BM426" i="16"/>
  <c r="BN426" i="16"/>
  <c r="BO426" i="16"/>
  <c r="BP426" i="16"/>
  <c r="AA427" i="16"/>
  <c r="AB427" i="16"/>
  <c r="AC427" i="16"/>
  <c r="AD427" i="16"/>
  <c r="AE427" i="16"/>
  <c r="AF427" i="16"/>
  <c r="AG427" i="16"/>
  <c r="AH427" i="16"/>
  <c r="AI427" i="16"/>
  <c r="AJ427" i="16"/>
  <c r="AK427" i="16"/>
  <c r="AL427" i="16"/>
  <c r="AM427" i="16"/>
  <c r="AN427" i="16"/>
  <c r="AO427" i="16"/>
  <c r="AP427" i="16"/>
  <c r="AQ427" i="16"/>
  <c r="AR427" i="16"/>
  <c r="AS427" i="16"/>
  <c r="AT427" i="16"/>
  <c r="AU427" i="16"/>
  <c r="AV427" i="16"/>
  <c r="AW427" i="16"/>
  <c r="AX427" i="16"/>
  <c r="AY427" i="16"/>
  <c r="AZ427" i="16"/>
  <c r="BA427" i="16"/>
  <c r="BB427" i="16"/>
  <c r="BC427" i="16"/>
  <c r="BD427" i="16"/>
  <c r="BE427" i="16"/>
  <c r="BF427" i="16"/>
  <c r="BG427" i="16"/>
  <c r="BH427" i="16"/>
  <c r="BI427" i="16"/>
  <c r="BJ427" i="16"/>
  <c r="BK427" i="16"/>
  <c r="BL427" i="16"/>
  <c r="BM427" i="16"/>
  <c r="BN427" i="16"/>
  <c r="BO427" i="16"/>
  <c r="BP427" i="16"/>
  <c r="AA428" i="16"/>
  <c r="AB428" i="16"/>
  <c r="AC428" i="16"/>
  <c r="AD428" i="16"/>
  <c r="AE428" i="16"/>
  <c r="AF428" i="16"/>
  <c r="AG428" i="16"/>
  <c r="AH428" i="16"/>
  <c r="AI428" i="16"/>
  <c r="AJ428" i="16"/>
  <c r="AK428" i="16"/>
  <c r="AL428" i="16"/>
  <c r="AM428" i="16"/>
  <c r="AN428" i="16"/>
  <c r="AO428" i="16"/>
  <c r="AP428" i="16"/>
  <c r="AQ428" i="16"/>
  <c r="AR428" i="16"/>
  <c r="AS428" i="16"/>
  <c r="AT428" i="16"/>
  <c r="AU428" i="16"/>
  <c r="AV428" i="16"/>
  <c r="AW428" i="16"/>
  <c r="AX428" i="16"/>
  <c r="AY428" i="16"/>
  <c r="AZ428" i="16"/>
  <c r="BA428" i="16"/>
  <c r="BB428" i="16"/>
  <c r="BC428" i="16"/>
  <c r="BD428" i="16"/>
  <c r="BE428" i="16"/>
  <c r="BF428" i="16"/>
  <c r="BG428" i="16"/>
  <c r="BH428" i="16"/>
  <c r="BI428" i="16"/>
  <c r="BJ428" i="16"/>
  <c r="BK428" i="16"/>
  <c r="BL428" i="16"/>
  <c r="BM428" i="16"/>
  <c r="BN428" i="16"/>
  <c r="BO428" i="16"/>
  <c r="BP428" i="16"/>
  <c r="AA429" i="16"/>
  <c r="AB429" i="16"/>
  <c r="AC429" i="16"/>
  <c r="AD429" i="16"/>
  <c r="AE429" i="16"/>
  <c r="AF429" i="16"/>
  <c r="AG429" i="16"/>
  <c r="AH429" i="16"/>
  <c r="AI429" i="16"/>
  <c r="AJ429" i="16"/>
  <c r="AK429" i="16"/>
  <c r="AL429" i="16"/>
  <c r="AM429" i="16"/>
  <c r="AN429" i="16"/>
  <c r="AO429" i="16"/>
  <c r="AP429" i="16"/>
  <c r="AQ429" i="16"/>
  <c r="AR429" i="16"/>
  <c r="AS429" i="16"/>
  <c r="AT429" i="16"/>
  <c r="AU429" i="16"/>
  <c r="AV429" i="16"/>
  <c r="AW429" i="16"/>
  <c r="AX429" i="16"/>
  <c r="AY429" i="16"/>
  <c r="AZ429" i="16"/>
  <c r="BA429" i="16"/>
  <c r="BB429" i="16"/>
  <c r="BC429" i="16"/>
  <c r="BD429" i="16"/>
  <c r="BE429" i="16"/>
  <c r="BF429" i="16"/>
  <c r="BG429" i="16"/>
  <c r="BH429" i="16"/>
  <c r="BI429" i="16"/>
  <c r="BJ429" i="16"/>
  <c r="BK429" i="16"/>
  <c r="BL429" i="16"/>
  <c r="BM429" i="16"/>
  <c r="BN429" i="16"/>
  <c r="BO429" i="16"/>
  <c r="BP429" i="16"/>
  <c r="AA430" i="16"/>
  <c r="AB430" i="16"/>
  <c r="AC430" i="16"/>
  <c r="AD430" i="16"/>
  <c r="AE430" i="16"/>
  <c r="AF430" i="16"/>
  <c r="AG430" i="16"/>
  <c r="AH430" i="16"/>
  <c r="AI430" i="16"/>
  <c r="AJ430" i="16"/>
  <c r="AK430" i="16"/>
  <c r="AL430" i="16"/>
  <c r="AM430" i="16"/>
  <c r="AN430" i="16"/>
  <c r="AO430" i="16"/>
  <c r="AP430" i="16"/>
  <c r="AQ430" i="16"/>
  <c r="AR430" i="16"/>
  <c r="AS430" i="16"/>
  <c r="AT430" i="16"/>
  <c r="AU430" i="16"/>
  <c r="AV430" i="16"/>
  <c r="AW430" i="16"/>
  <c r="AX430" i="16"/>
  <c r="AY430" i="16"/>
  <c r="AZ430" i="16"/>
  <c r="BA430" i="16"/>
  <c r="BB430" i="16"/>
  <c r="BC430" i="16"/>
  <c r="BD430" i="16"/>
  <c r="BE430" i="16"/>
  <c r="BF430" i="16"/>
  <c r="BG430" i="16"/>
  <c r="BH430" i="16"/>
  <c r="BI430" i="16"/>
  <c r="BJ430" i="16"/>
  <c r="BK430" i="16"/>
  <c r="BL430" i="16"/>
  <c r="BM430" i="16"/>
  <c r="BN430" i="16"/>
  <c r="BO430" i="16"/>
  <c r="BP430" i="16"/>
  <c r="AA431" i="16"/>
  <c r="AB431" i="16"/>
  <c r="AC431" i="16"/>
  <c r="AD431" i="16"/>
  <c r="AE431" i="16"/>
  <c r="AF431" i="16"/>
  <c r="AG431" i="16"/>
  <c r="AH431" i="16"/>
  <c r="AI431" i="16"/>
  <c r="AJ431" i="16"/>
  <c r="AK431" i="16"/>
  <c r="AL431" i="16"/>
  <c r="AM431" i="16"/>
  <c r="AN431" i="16"/>
  <c r="AO431" i="16"/>
  <c r="AP431" i="16"/>
  <c r="AQ431" i="16"/>
  <c r="AR431" i="16"/>
  <c r="AS431" i="16"/>
  <c r="AT431" i="16"/>
  <c r="AU431" i="16"/>
  <c r="AV431" i="16"/>
  <c r="AW431" i="16"/>
  <c r="AX431" i="16"/>
  <c r="AY431" i="16"/>
  <c r="AZ431" i="16"/>
  <c r="BA431" i="16"/>
  <c r="BB431" i="16"/>
  <c r="BC431" i="16"/>
  <c r="BD431" i="16"/>
  <c r="BE431" i="16"/>
  <c r="BF431" i="16"/>
  <c r="BG431" i="16"/>
  <c r="BH431" i="16"/>
  <c r="BI431" i="16"/>
  <c r="BJ431" i="16"/>
  <c r="BK431" i="16"/>
  <c r="BL431" i="16"/>
  <c r="BM431" i="16"/>
  <c r="BN431" i="16"/>
  <c r="BO431" i="16"/>
  <c r="BP431" i="16"/>
  <c r="AA432" i="16"/>
  <c r="AB432" i="16"/>
  <c r="AC432" i="16"/>
  <c r="AD432" i="16"/>
  <c r="AE432" i="16"/>
  <c r="AF432" i="16"/>
  <c r="AG432" i="16"/>
  <c r="AH432" i="16"/>
  <c r="AI432" i="16"/>
  <c r="AJ432" i="16"/>
  <c r="AK432" i="16"/>
  <c r="AL432" i="16"/>
  <c r="AM432" i="16"/>
  <c r="AN432" i="16"/>
  <c r="AO432" i="16"/>
  <c r="AP432" i="16"/>
  <c r="AQ432" i="16"/>
  <c r="AR432" i="16"/>
  <c r="AS432" i="16"/>
  <c r="AT432" i="16"/>
  <c r="AU432" i="16"/>
  <c r="AV432" i="16"/>
  <c r="AW432" i="16"/>
  <c r="AX432" i="16"/>
  <c r="AY432" i="16"/>
  <c r="AZ432" i="16"/>
  <c r="BA432" i="16"/>
  <c r="BB432" i="16"/>
  <c r="BC432" i="16"/>
  <c r="BD432" i="16"/>
  <c r="BE432" i="16"/>
  <c r="BF432" i="16"/>
  <c r="BG432" i="16"/>
  <c r="BH432" i="16"/>
  <c r="BI432" i="16"/>
  <c r="BJ432" i="16"/>
  <c r="BK432" i="16"/>
  <c r="BL432" i="16"/>
  <c r="BM432" i="16"/>
  <c r="BN432" i="16"/>
  <c r="BO432" i="16"/>
  <c r="BP432" i="16"/>
  <c r="AA433" i="16"/>
  <c r="AB433" i="16"/>
  <c r="AC433" i="16"/>
  <c r="AD433" i="16"/>
  <c r="AE433" i="16"/>
  <c r="AF433" i="16"/>
  <c r="AG433" i="16"/>
  <c r="AH433" i="16"/>
  <c r="AI433" i="16"/>
  <c r="AJ433" i="16"/>
  <c r="AK433" i="16"/>
  <c r="AL433" i="16"/>
  <c r="AM433" i="16"/>
  <c r="AN433" i="16"/>
  <c r="AO433" i="16"/>
  <c r="AP433" i="16"/>
  <c r="AQ433" i="16"/>
  <c r="AR433" i="16"/>
  <c r="AS433" i="16"/>
  <c r="AT433" i="16"/>
  <c r="AU433" i="16"/>
  <c r="AV433" i="16"/>
  <c r="AW433" i="16"/>
  <c r="AX433" i="16"/>
  <c r="AY433" i="16"/>
  <c r="AZ433" i="16"/>
  <c r="BA433" i="16"/>
  <c r="BB433" i="16"/>
  <c r="BC433" i="16"/>
  <c r="BD433" i="16"/>
  <c r="BE433" i="16"/>
  <c r="BF433" i="16"/>
  <c r="BG433" i="16"/>
  <c r="BH433" i="16"/>
  <c r="BI433" i="16"/>
  <c r="BJ433" i="16"/>
  <c r="BK433" i="16"/>
  <c r="BL433" i="16"/>
  <c r="BM433" i="16"/>
  <c r="BN433" i="16"/>
  <c r="BO433" i="16"/>
  <c r="BP433" i="16"/>
  <c r="AA434" i="16"/>
  <c r="AB434" i="16"/>
  <c r="AC434" i="16"/>
  <c r="AD434" i="16"/>
  <c r="AE434" i="16"/>
  <c r="AF434" i="16"/>
  <c r="AG434" i="16"/>
  <c r="AH434" i="16"/>
  <c r="AI434" i="16"/>
  <c r="AJ434" i="16"/>
  <c r="AK434" i="16"/>
  <c r="AL434" i="16"/>
  <c r="AM434" i="16"/>
  <c r="AN434" i="16"/>
  <c r="AO434" i="16"/>
  <c r="AP434" i="16"/>
  <c r="AQ434" i="16"/>
  <c r="AR434" i="16"/>
  <c r="AS434" i="16"/>
  <c r="AT434" i="16"/>
  <c r="AU434" i="16"/>
  <c r="AV434" i="16"/>
  <c r="AW434" i="16"/>
  <c r="AX434" i="16"/>
  <c r="AY434" i="16"/>
  <c r="AZ434" i="16"/>
  <c r="BA434" i="16"/>
  <c r="BB434" i="16"/>
  <c r="BC434" i="16"/>
  <c r="BD434" i="16"/>
  <c r="BE434" i="16"/>
  <c r="BF434" i="16"/>
  <c r="BG434" i="16"/>
  <c r="BH434" i="16"/>
  <c r="BI434" i="16"/>
  <c r="BJ434" i="16"/>
  <c r="BK434" i="16"/>
  <c r="BL434" i="16"/>
  <c r="BM434" i="16"/>
  <c r="BN434" i="16"/>
  <c r="BO434" i="16"/>
  <c r="BP434" i="16"/>
  <c r="AA435" i="16"/>
  <c r="AB435" i="16"/>
  <c r="AC435" i="16"/>
  <c r="AD435" i="16"/>
  <c r="AE435" i="16"/>
  <c r="AF435" i="16"/>
  <c r="AG435" i="16"/>
  <c r="AH435" i="16"/>
  <c r="AI435" i="16"/>
  <c r="AJ435" i="16"/>
  <c r="AK435" i="16"/>
  <c r="AL435" i="16"/>
  <c r="AM435" i="16"/>
  <c r="AN435" i="16"/>
  <c r="AO435" i="16"/>
  <c r="AP435" i="16"/>
  <c r="AQ435" i="16"/>
  <c r="AR435" i="16"/>
  <c r="AS435" i="16"/>
  <c r="AT435" i="16"/>
  <c r="AU435" i="16"/>
  <c r="AV435" i="16"/>
  <c r="AW435" i="16"/>
  <c r="AX435" i="16"/>
  <c r="AY435" i="16"/>
  <c r="AZ435" i="16"/>
  <c r="BA435" i="16"/>
  <c r="BB435" i="16"/>
  <c r="BC435" i="16"/>
  <c r="BD435" i="16"/>
  <c r="BE435" i="16"/>
  <c r="BF435" i="16"/>
  <c r="BG435" i="16"/>
  <c r="BH435" i="16"/>
  <c r="BI435" i="16"/>
  <c r="BJ435" i="16"/>
  <c r="BK435" i="16"/>
  <c r="BL435" i="16"/>
  <c r="BM435" i="16"/>
  <c r="BN435" i="16"/>
  <c r="BO435" i="16"/>
  <c r="BP435" i="16"/>
  <c r="AA436" i="16"/>
  <c r="AB436" i="16"/>
  <c r="AC436" i="16"/>
  <c r="AD436" i="16"/>
  <c r="AE436" i="16"/>
  <c r="AF436" i="16"/>
  <c r="AG436" i="16"/>
  <c r="AH436" i="16"/>
  <c r="AI436" i="16"/>
  <c r="AJ436" i="16"/>
  <c r="AK436" i="16"/>
  <c r="AL436" i="16"/>
  <c r="AM436" i="16"/>
  <c r="AN436" i="16"/>
  <c r="AO436" i="16"/>
  <c r="AP436" i="16"/>
  <c r="AQ436" i="16"/>
  <c r="AR436" i="16"/>
  <c r="AS436" i="16"/>
  <c r="AT436" i="16"/>
  <c r="AU436" i="16"/>
  <c r="AV436" i="16"/>
  <c r="AW436" i="16"/>
  <c r="AX436" i="16"/>
  <c r="AY436" i="16"/>
  <c r="AZ436" i="16"/>
  <c r="BA436" i="16"/>
  <c r="BB436" i="16"/>
  <c r="BC436" i="16"/>
  <c r="BD436" i="16"/>
  <c r="BE436" i="16"/>
  <c r="BF436" i="16"/>
  <c r="BG436" i="16"/>
  <c r="BH436" i="16"/>
  <c r="BI436" i="16"/>
  <c r="BJ436" i="16"/>
  <c r="BK436" i="16"/>
  <c r="BL436" i="16"/>
  <c r="BM436" i="16"/>
  <c r="BN436" i="16"/>
  <c r="BO436" i="16"/>
  <c r="BP436" i="16"/>
  <c r="AA437" i="16"/>
  <c r="AB437" i="16"/>
  <c r="AC437" i="16"/>
  <c r="AD437" i="16"/>
  <c r="AE437" i="16"/>
  <c r="AF437" i="16"/>
  <c r="AG437" i="16"/>
  <c r="AH437" i="16"/>
  <c r="AI437" i="16"/>
  <c r="AJ437" i="16"/>
  <c r="AK437" i="16"/>
  <c r="AL437" i="16"/>
  <c r="AM437" i="16"/>
  <c r="AN437" i="16"/>
  <c r="AO437" i="16"/>
  <c r="AP437" i="16"/>
  <c r="AQ437" i="16"/>
  <c r="AR437" i="16"/>
  <c r="AS437" i="16"/>
  <c r="AT437" i="16"/>
  <c r="AU437" i="16"/>
  <c r="AV437" i="16"/>
  <c r="AW437" i="16"/>
  <c r="AX437" i="16"/>
  <c r="AY437" i="16"/>
  <c r="AZ437" i="16"/>
  <c r="BA437" i="16"/>
  <c r="BB437" i="16"/>
  <c r="BC437" i="16"/>
  <c r="BD437" i="16"/>
  <c r="BE437" i="16"/>
  <c r="BF437" i="16"/>
  <c r="BG437" i="16"/>
  <c r="BH437" i="16"/>
  <c r="BI437" i="16"/>
  <c r="BJ437" i="16"/>
  <c r="BK437" i="16"/>
  <c r="BL437" i="16"/>
  <c r="BM437" i="16"/>
  <c r="BN437" i="16"/>
  <c r="BO437" i="16"/>
  <c r="BP437" i="16"/>
  <c r="AA438" i="16"/>
  <c r="AB438" i="16"/>
  <c r="AC438" i="16"/>
  <c r="AD438" i="16"/>
  <c r="AE438" i="16"/>
  <c r="AF438" i="16"/>
  <c r="AG438" i="16"/>
  <c r="AH438" i="16"/>
  <c r="AI438" i="16"/>
  <c r="AJ438" i="16"/>
  <c r="AK438" i="16"/>
  <c r="AL438" i="16"/>
  <c r="AM438" i="16"/>
  <c r="AN438" i="16"/>
  <c r="AO438" i="16"/>
  <c r="AP438" i="16"/>
  <c r="AQ438" i="16"/>
  <c r="AR438" i="16"/>
  <c r="AS438" i="16"/>
  <c r="AT438" i="16"/>
  <c r="AU438" i="16"/>
  <c r="AV438" i="16"/>
  <c r="AW438" i="16"/>
  <c r="AX438" i="16"/>
  <c r="AY438" i="16"/>
  <c r="AZ438" i="16"/>
  <c r="BA438" i="16"/>
  <c r="BB438" i="16"/>
  <c r="BC438" i="16"/>
  <c r="BD438" i="16"/>
  <c r="BE438" i="16"/>
  <c r="BF438" i="16"/>
  <c r="BG438" i="16"/>
  <c r="BH438" i="16"/>
  <c r="BI438" i="16"/>
  <c r="BJ438" i="16"/>
  <c r="BK438" i="16"/>
  <c r="BL438" i="16"/>
  <c r="BM438" i="16"/>
  <c r="BN438" i="16"/>
  <c r="BO438" i="16"/>
  <c r="BP438" i="16"/>
  <c r="AA439" i="16"/>
  <c r="AB439" i="16"/>
  <c r="AC439" i="16"/>
  <c r="AD439" i="16"/>
  <c r="AE439" i="16"/>
  <c r="AF439" i="16"/>
  <c r="AG439" i="16"/>
  <c r="AH439" i="16"/>
  <c r="AI439" i="16"/>
  <c r="AJ439" i="16"/>
  <c r="AK439" i="16"/>
  <c r="AL439" i="16"/>
  <c r="AM439" i="16"/>
  <c r="AN439" i="16"/>
  <c r="AO439" i="16"/>
  <c r="AP439" i="16"/>
  <c r="AQ439" i="16"/>
  <c r="AR439" i="16"/>
  <c r="AS439" i="16"/>
  <c r="AT439" i="16"/>
  <c r="AU439" i="16"/>
  <c r="AV439" i="16"/>
  <c r="AW439" i="16"/>
  <c r="AX439" i="16"/>
  <c r="AY439" i="16"/>
  <c r="AZ439" i="16"/>
  <c r="BA439" i="16"/>
  <c r="BB439" i="16"/>
  <c r="BC439" i="16"/>
  <c r="BD439" i="16"/>
  <c r="BE439" i="16"/>
  <c r="BF439" i="16"/>
  <c r="BG439" i="16"/>
  <c r="BH439" i="16"/>
  <c r="BI439" i="16"/>
  <c r="BJ439" i="16"/>
  <c r="BK439" i="16"/>
  <c r="BL439" i="16"/>
  <c r="BM439" i="16"/>
  <c r="BN439" i="16"/>
  <c r="BO439" i="16"/>
  <c r="BP439" i="16"/>
  <c r="AA440" i="16"/>
  <c r="AB440" i="16"/>
  <c r="AC440" i="16"/>
  <c r="AD440" i="16"/>
  <c r="AE440" i="16"/>
  <c r="AF440" i="16"/>
  <c r="AG440" i="16"/>
  <c r="AH440" i="16"/>
  <c r="AI440" i="16"/>
  <c r="AJ440" i="16"/>
  <c r="AK440" i="16"/>
  <c r="AL440" i="16"/>
  <c r="AM440" i="16"/>
  <c r="AN440" i="16"/>
  <c r="AO440" i="16"/>
  <c r="AP440" i="16"/>
  <c r="AQ440" i="16"/>
  <c r="AR440" i="16"/>
  <c r="AS440" i="16"/>
  <c r="AT440" i="16"/>
  <c r="AU440" i="16"/>
  <c r="AV440" i="16"/>
  <c r="AW440" i="16"/>
  <c r="AX440" i="16"/>
  <c r="AY440" i="16"/>
  <c r="AZ440" i="16"/>
  <c r="BA440" i="16"/>
  <c r="BB440" i="16"/>
  <c r="BC440" i="16"/>
  <c r="BD440" i="16"/>
  <c r="BE440" i="16"/>
  <c r="BF440" i="16"/>
  <c r="BG440" i="16"/>
  <c r="BH440" i="16"/>
  <c r="BI440" i="16"/>
  <c r="BJ440" i="16"/>
  <c r="BK440" i="16"/>
  <c r="BL440" i="16"/>
  <c r="BM440" i="16"/>
  <c r="BN440" i="16"/>
  <c r="BO440" i="16"/>
  <c r="BP440" i="16"/>
  <c r="AA441" i="16"/>
  <c r="AB441" i="16"/>
  <c r="AC441" i="16"/>
  <c r="AD441" i="16"/>
  <c r="AE441" i="16"/>
  <c r="AF441" i="16"/>
  <c r="AG441" i="16"/>
  <c r="AH441" i="16"/>
  <c r="AI441" i="16"/>
  <c r="AJ441" i="16"/>
  <c r="AK441" i="16"/>
  <c r="AL441" i="16"/>
  <c r="AM441" i="16"/>
  <c r="AN441" i="16"/>
  <c r="AO441" i="16"/>
  <c r="AP441" i="16"/>
  <c r="AQ441" i="16"/>
  <c r="AR441" i="16"/>
  <c r="AS441" i="16"/>
  <c r="AT441" i="16"/>
  <c r="AU441" i="16"/>
  <c r="AV441" i="16"/>
  <c r="AW441" i="16"/>
  <c r="AX441" i="16"/>
  <c r="AY441" i="16"/>
  <c r="AZ441" i="16"/>
  <c r="BA441" i="16"/>
  <c r="BB441" i="16"/>
  <c r="BC441" i="16"/>
  <c r="BD441" i="16"/>
  <c r="BE441" i="16"/>
  <c r="BF441" i="16"/>
  <c r="BG441" i="16"/>
  <c r="BH441" i="16"/>
  <c r="BI441" i="16"/>
  <c r="BJ441" i="16"/>
  <c r="BK441" i="16"/>
  <c r="BL441" i="16"/>
  <c r="BM441" i="16"/>
  <c r="BN441" i="16"/>
  <c r="BO441" i="16"/>
  <c r="BP441" i="16"/>
  <c r="AA442" i="16"/>
  <c r="AB442" i="16"/>
  <c r="AC442" i="16"/>
  <c r="AD442" i="16"/>
  <c r="AE442" i="16"/>
  <c r="AF442" i="16"/>
  <c r="AG442" i="16"/>
  <c r="AH442" i="16"/>
  <c r="AI442" i="16"/>
  <c r="AJ442" i="16"/>
  <c r="AK442" i="16"/>
  <c r="AL442" i="16"/>
  <c r="AM442" i="16"/>
  <c r="AN442" i="16"/>
  <c r="AO442" i="16"/>
  <c r="AP442" i="16"/>
  <c r="AQ442" i="16"/>
  <c r="AR442" i="16"/>
  <c r="AS442" i="16"/>
  <c r="AT442" i="16"/>
  <c r="AU442" i="16"/>
  <c r="AV442" i="16"/>
  <c r="AW442" i="16"/>
  <c r="AX442" i="16"/>
  <c r="AY442" i="16"/>
  <c r="AZ442" i="16"/>
  <c r="BA442" i="16"/>
  <c r="BB442" i="16"/>
  <c r="BC442" i="16"/>
  <c r="BD442" i="16"/>
  <c r="BE442" i="16"/>
  <c r="BF442" i="16"/>
  <c r="BG442" i="16"/>
  <c r="BH442" i="16"/>
  <c r="BI442" i="16"/>
  <c r="BJ442" i="16"/>
  <c r="BK442" i="16"/>
  <c r="BL442" i="16"/>
  <c r="BM442" i="16"/>
  <c r="BN442" i="16"/>
  <c r="BO442" i="16"/>
  <c r="BP442" i="16"/>
  <c r="AA443" i="16"/>
  <c r="AB443" i="16"/>
  <c r="AC443" i="16"/>
  <c r="AD443" i="16"/>
  <c r="AE443" i="16"/>
  <c r="AF443" i="16"/>
  <c r="AG443" i="16"/>
  <c r="AH443" i="16"/>
  <c r="AI443" i="16"/>
  <c r="AJ443" i="16"/>
  <c r="AK443" i="16"/>
  <c r="AL443" i="16"/>
  <c r="AM443" i="16"/>
  <c r="AN443" i="16"/>
  <c r="AO443" i="16"/>
  <c r="AP443" i="16"/>
  <c r="AQ443" i="16"/>
  <c r="AR443" i="16"/>
  <c r="AS443" i="16"/>
  <c r="AT443" i="16"/>
  <c r="AU443" i="16"/>
  <c r="AV443" i="16"/>
  <c r="AW443" i="16"/>
  <c r="AX443" i="16"/>
  <c r="AY443" i="16"/>
  <c r="AZ443" i="16"/>
  <c r="BA443" i="16"/>
  <c r="BB443" i="16"/>
  <c r="BC443" i="16"/>
  <c r="BD443" i="16"/>
  <c r="BE443" i="16"/>
  <c r="BF443" i="16"/>
  <c r="BG443" i="16"/>
  <c r="BH443" i="16"/>
  <c r="BI443" i="16"/>
  <c r="BJ443" i="16"/>
  <c r="BK443" i="16"/>
  <c r="BL443" i="16"/>
  <c r="BM443" i="16"/>
  <c r="BN443" i="16"/>
  <c r="BO443" i="16"/>
  <c r="BP443" i="16"/>
  <c r="AA444" i="16"/>
  <c r="AB444" i="16"/>
  <c r="AC444" i="16"/>
  <c r="AD444" i="16"/>
  <c r="AE444" i="16"/>
  <c r="AF444" i="16"/>
  <c r="AG444" i="16"/>
  <c r="AH444" i="16"/>
  <c r="AI444" i="16"/>
  <c r="AJ444" i="16"/>
  <c r="AK444" i="16"/>
  <c r="AL444" i="16"/>
  <c r="AM444" i="16"/>
  <c r="AN444" i="16"/>
  <c r="AO444" i="16"/>
  <c r="AP444" i="16"/>
  <c r="AQ444" i="16"/>
  <c r="AR444" i="16"/>
  <c r="AS444" i="16"/>
  <c r="AT444" i="16"/>
  <c r="AU444" i="16"/>
  <c r="AV444" i="16"/>
  <c r="AW444" i="16"/>
  <c r="AX444" i="16"/>
  <c r="AY444" i="16"/>
  <c r="AZ444" i="16"/>
  <c r="BA444" i="16"/>
  <c r="BB444" i="16"/>
  <c r="BC444" i="16"/>
  <c r="BD444" i="16"/>
  <c r="BE444" i="16"/>
  <c r="BF444" i="16"/>
  <c r="BG444" i="16"/>
  <c r="BH444" i="16"/>
  <c r="BI444" i="16"/>
  <c r="BJ444" i="16"/>
  <c r="BK444" i="16"/>
  <c r="BL444" i="16"/>
  <c r="BM444" i="16"/>
  <c r="BN444" i="16"/>
  <c r="BO444" i="16"/>
  <c r="BP444" i="16"/>
  <c r="AA445" i="16"/>
  <c r="AB445" i="16"/>
  <c r="AC445" i="16"/>
  <c r="AD445" i="16"/>
  <c r="AE445" i="16"/>
  <c r="AF445" i="16"/>
  <c r="AG445" i="16"/>
  <c r="AH445" i="16"/>
  <c r="AI445" i="16"/>
  <c r="AJ445" i="16"/>
  <c r="AK445" i="16"/>
  <c r="AL445" i="16"/>
  <c r="AM445" i="16"/>
  <c r="AN445" i="16"/>
  <c r="AO445" i="16"/>
  <c r="AP445" i="16"/>
  <c r="AQ445" i="16"/>
  <c r="AR445" i="16"/>
  <c r="AS445" i="16"/>
  <c r="AT445" i="16"/>
  <c r="AU445" i="16"/>
  <c r="AV445" i="16"/>
  <c r="AW445" i="16"/>
  <c r="AX445" i="16"/>
  <c r="AY445" i="16"/>
  <c r="AZ445" i="16"/>
  <c r="BA445" i="16"/>
  <c r="BB445" i="16"/>
  <c r="BC445" i="16"/>
  <c r="BD445" i="16"/>
  <c r="BE445" i="16"/>
  <c r="BF445" i="16"/>
  <c r="BG445" i="16"/>
  <c r="BH445" i="16"/>
  <c r="BI445" i="16"/>
  <c r="BJ445" i="16"/>
  <c r="BK445" i="16"/>
  <c r="BL445" i="16"/>
  <c r="BM445" i="16"/>
  <c r="BN445" i="16"/>
  <c r="BO445" i="16"/>
  <c r="BP445" i="16"/>
  <c r="AA446" i="16"/>
  <c r="AB446" i="16"/>
  <c r="AC446" i="16"/>
  <c r="AD446" i="16"/>
  <c r="AE446" i="16"/>
  <c r="AF446" i="16"/>
  <c r="AG446" i="16"/>
  <c r="AH446" i="16"/>
  <c r="AI446" i="16"/>
  <c r="AJ446" i="16"/>
  <c r="AK446" i="16"/>
  <c r="AL446" i="16"/>
  <c r="AM446" i="16"/>
  <c r="AN446" i="16"/>
  <c r="AO446" i="16"/>
  <c r="AP446" i="16"/>
  <c r="AQ446" i="16"/>
  <c r="AR446" i="16"/>
  <c r="AS446" i="16"/>
  <c r="AT446" i="16"/>
  <c r="AU446" i="16"/>
  <c r="AV446" i="16"/>
  <c r="AW446" i="16"/>
  <c r="AX446" i="16"/>
  <c r="AY446" i="16"/>
  <c r="AZ446" i="16"/>
  <c r="BA446" i="16"/>
  <c r="BB446" i="16"/>
  <c r="BC446" i="16"/>
  <c r="BD446" i="16"/>
  <c r="BE446" i="16"/>
  <c r="BF446" i="16"/>
  <c r="BG446" i="16"/>
  <c r="BH446" i="16"/>
  <c r="BI446" i="16"/>
  <c r="BJ446" i="16"/>
  <c r="BK446" i="16"/>
  <c r="BL446" i="16"/>
  <c r="BM446" i="16"/>
  <c r="BN446" i="16"/>
  <c r="BO446" i="16"/>
  <c r="BP446" i="16"/>
  <c r="AA447" i="16"/>
  <c r="AB447" i="16"/>
  <c r="AC447" i="16"/>
  <c r="AD447" i="16"/>
  <c r="AE447" i="16"/>
  <c r="AF447" i="16"/>
  <c r="AG447" i="16"/>
  <c r="AH447" i="16"/>
  <c r="AI447" i="16"/>
  <c r="AJ447" i="16"/>
  <c r="AK447" i="16"/>
  <c r="AL447" i="16"/>
  <c r="AM447" i="16"/>
  <c r="AN447" i="16"/>
  <c r="AO447" i="16"/>
  <c r="AP447" i="16"/>
  <c r="AQ447" i="16"/>
  <c r="AR447" i="16"/>
  <c r="AS447" i="16"/>
  <c r="AT447" i="16"/>
  <c r="AU447" i="16"/>
  <c r="AV447" i="16"/>
  <c r="AW447" i="16"/>
  <c r="AX447" i="16"/>
  <c r="AY447" i="16"/>
  <c r="AZ447" i="16"/>
  <c r="BA447" i="16"/>
  <c r="BB447" i="16"/>
  <c r="BC447" i="16"/>
  <c r="BD447" i="16"/>
  <c r="BE447" i="16"/>
  <c r="BF447" i="16"/>
  <c r="BG447" i="16"/>
  <c r="BH447" i="16"/>
  <c r="BI447" i="16"/>
  <c r="BJ447" i="16"/>
  <c r="BK447" i="16"/>
  <c r="BL447" i="16"/>
  <c r="BM447" i="16"/>
  <c r="BN447" i="16"/>
  <c r="BO447" i="16"/>
  <c r="BP447" i="16"/>
  <c r="AA448" i="16"/>
  <c r="AB448" i="16"/>
  <c r="AC448" i="16"/>
  <c r="AD448" i="16"/>
  <c r="AE448" i="16"/>
  <c r="AF448" i="16"/>
  <c r="AG448" i="16"/>
  <c r="AH448" i="16"/>
  <c r="AI448" i="16"/>
  <c r="AJ448" i="16"/>
  <c r="AK448" i="16"/>
  <c r="AL448" i="16"/>
  <c r="AM448" i="16"/>
  <c r="AN448" i="16"/>
  <c r="AO448" i="16"/>
  <c r="AP448" i="16"/>
  <c r="AQ448" i="16"/>
  <c r="AR448" i="16"/>
  <c r="AS448" i="16"/>
  <c r="AT448" i="16"/>
  <c r="AU448" i="16"/>
  <c r="AV448" i="16"/>
  <c r="AW448" i="16"/>
  <c r="AX448" i="16"/>
  <c r="AY448" i="16"/>
  <c r="AZ448" i="16"/>
  <c r="BA448" i="16"/>
  <c r="BB448" i="16"/>
  <c r="BC448" i="16"/>
  <c r="BD448" i="16"/>
  <c r="BE448" i="16"/>
  <c r="BF448" i="16"/>
  <c r="BG448" i="16"/>
  <c r="BH448" i="16"/>
  <c r="BI448" i="16"/>
  <c r="BJ448" i="16"/>
  <c r="BK448" i="16"/>
  <c r="BL448" i="16"/>
  <c r="BM448" i="16"/>
  <c r="BN448" i="16"/>
  <c r="BO448" i="16"/>
  <c r="BP448" i="16"/>
  <c r="AA449" i="16"/>
  <c r="AB449" i="16"/>
  <c r="AC449" i="16"/>
  <c r="AD449" i="16"/>
  <c r="AE449" i="16"/>
  <c r="AF449" i="16"/>
  <c r="AG449" i="16"/>
  <c r="AH449" i="16"/>
  <c r="AI449" i="16"/>
  <c r="AJ449" i="16"/>
  <c r="AK449" i="16"/>
  <c r="AL449" i="16"/>
  <c r="AM449" i="16"/>
  <c r="AN449" i="16"/>
  <c r="AO449" i="16"/>
  <c r="AP449" i="16"/>
  <c r="AQ449" i="16"/>
  <c r="AR449" i="16"/>
  <c r="AS449" i="16"/>
  <c r="AT449" i="16"/>
  <c r="AU449" i="16"/>
  <c r="AV449" i="16"/>
  <c r="AW449" i="16"/>
  <c r="AX449" i="16"/>
  <c r="AY449" i="16"/>
  <c r="AZ449" i="16"/>
  <c r="BA449" i="16"/>
  <c r="BB449" i="16"/>
  <c r="BC449" i="16"/>
  <c r="BD449" i="16"/>
  <c r="BE449" i="16"/>
  <c r="BF449" i="16"/>
  <c r="BG449" i="16"/>
  <c r="BH449" i="16"/>
  <c r="BI449" i="16"/>
  <c r="BJ449" i="16"/>
  <c r="BK449" i="16"/>
  <c r="BL449" i="16"/>
  <c r="BM449" i="16"/>
  <c r="BN449" i="16"/>
  <c r="BO449" i="16"/>
  <c r="BP449" i="16"/>
  <c r="AA450" i="16"/>
  <c r="AB450" i="16"/>
  <c r="AC450" i="16"/>
  <c r="AD450" i="16"/>
  <c r="AE450" i="16"/>
  <c r="AF450" i="16"/>
  <c r="AG450" i="16"/>
  <c r="AH450" i="16"/>
  <c r="AI450" i="16"/>
  <c r="AJ450" i="16"/>
  <c r="AK450" i="16"/>
  <c r="AL450" i="16"/>
  <c r="AM450" i="16"/>
  <c r="AN450" i="16"/>
  <c r="AO450" i="16"/>
  <c r="AP450" i="16"/>
  <c r="AQ450" i="16"/>
  <c r="AR450" i="16"/>
  <c r="AS450" i="16"/>
  <c r="AT450" i="16"/>
  <c r="AU450" i="16"/>
  <c r="AV450" i="16"/>
  <c r="AW450" i="16"/>
  <c r="AX450" i="16"/>
  <c r="AY450" i="16"/>
  <c r="AZ450" i="16"/>
  <c r="BA450" i="16"/>
  <c r="BB450" i="16"/>
  <c r="BC450" i="16"/>
  <c r="BD450" i="16"/>
  <c r="BE450" i="16"/>
  <c r="BF450" i="16"/>
  <c r="BG450" i="16"/>
  <c r="BH450" i="16"/>
  <c r="BI450" i="16"/>
  <c r="BJ450" i="16"/>
  <c r="BK450" i="16"/>
  <c r="BL450" i="16"/>
  <c r="BM450" i="16"/>
  <c r="BN450" i="16"/>
  <c r="BO450" i="16"/>
  <c r="BP450" i="16"/>
  <c r="AA451" i="16"/>
  <c r="AB451" i="16"/>
  <c r="AC451" i="16"/>
  <c r="AD451" i="16"/>
  <c r="AE451" i="16"/>
  <c r="AF451" i="16"/>
  <c r="AG451" i="16"/>
  <c r="AH451" i="16"/>
  <c r="AI451" i="16"/>
  <c r="AJ451" i="16"/>
  <c r="AK451" i="16"/>
  <c r="AL451" i="16"/>
  <c r="AM451" i="16"/>
  <c r="AN451" i="16"/>
  <c r="AO451" i="16"/>
  <c r="AP451" i="16"/>
  <c r="AQ451" i="16"/>
  <c r="AR451" i="16"/>
  <c r="AS451" i="16"/>
  <c r="AT451" i="16"/>
  <c r="AU451" i="16"/>
  <c r="AV451" i="16"/>
  <c r="AW451" i="16"/>
  <c r="AX451" i="16"/>
  <c r="AY451" i="16"/>
  <c r="AZ451" i="16"/>
  <c r="BA451" i="16"/>
  <c r="BB451" i="16"/>
  <c r="BC451" i="16"/>
  <c r="BD451" i="16"/>
  <c r="BE451" i="16"/>
  <c r="BF451" i="16"/>
  <c r="BG451" i="16"/>
  <c r="BH451" i="16"/>
  <c r="BI451" i="16"/>
  <c r="BJ451" i="16"/>
  <c r="BK451" i="16"/>
  <c r="BL451" i="16"/>
  <c r="BM451" i="16"/>
  <c r="BN451" i="16"/>
  <c r="BO451" i="16"/>
  <c r="BP451" i="16"/>
  <c r="AA452" i="16"/>
  <c r="AB452" i="16"/>
  <c r="AC452" i="16"/>
  <c r="AD452" i="16"/>
  <c r="AE452" i="16"/>
  <c r="AF452" i="16"/>
  <c r="AG452" i="16"/>
  <c r="AH452" i="16"/>
  <c r="AI452" i="16"/>
  <c r="AJ452" i="16"/>
  <c r="AK452" i="16"/>
  <c r="AL452" i="16"/>
  <c r="AM452" i="16"/>
  <c r="AN452" i="16"/>
  <c r="AO452" i="16"/>
  <c r="AP452" i="16"/>
  <c r="AQ452" i="16"/>
  <c r="AR452" i="16"/>
  <c r="AS452" i="16"/>
  <c r="AT452" i="16"/>
  <c r="AU452" i="16"/>
  <c r="AV452" i="16"/>
  <c r="AW452" i="16"/>
  <c r="AX452" i="16"/>
  <c r="AY452" i="16"/>
  <c r="AZ452" i="16"/>
  <c r="BA452" i="16"/>
  <c r="BB452" i="16"/>
  <c r="BC452" i="16"/>
  <c r="BD452" i="16"/>
  <c r="BE452" i="16"/>
  <c r="BF452" i="16"/>
  <c r="BG452" i="16"/>
  <c r="BH452" i="16"/>
  <c r="BI452" i="16"/>
  <c r="BJ452" i="16"/>
  <c r="BK452" i="16"/>
  <c r="BL452" i="16"/>
  <c r="BM452" i="16"/>
  <c r="BN452" i="16"/>
  <c r="BO452" i="16"/>
  <c r="BP452" i="16"/>
  <c r="AA453" i="16"/>
  <c r="AB453" i="16"/>
  <c r="AC453" i="16"/>
  <c r="AD453" i="16"/>
  <c r="AE453" i="16"/>
  <c r="AF453" i="16"/>
  <c r="AG453" i="16"/>
  <c r="AH453" i="16"/>
  <c r="AI453" i="16"/>
  <c r="AJ453" i="16"/>
  <c r="AK453" i="16"/>
  <c r="AL453" i="16"/>
  <c r="AM453" i="16"/>
  <c r="AN453" i="16"/>
  <c r="AO453" i="16"/>
  <c r="AP453" i="16"/>
  <c r="AQ453" i="16"/>
  <c r="AR453" i="16"/>
  <c r="AS453" i="16"/>
  <c r="AT453" i="16"/>
  <c r="AU453" i="16"/>
  <c r="AV453" i="16"/>
  <c r="AW453" i="16"/>
  <c r="AX453" i="16"/>
  <c r="AY453" i="16"/>
  <c r="AZ453" i="16"/>
  <c r="BA453" i="16"/>
  <c r="BB453" i="16"/>
  <c r="BC453" i="16"/>
  <c r="BD453" i="16"/>
  <c r="BE453" i="16"/>
  <c r="BF453" i="16"/>
  <c r="BG453" i="16"/>
  <c r="BH453" i="16"/>
  <c r="BI453" i="16"/>
  <c r="BJ453" i="16"/>
  <c r="BK453" i="16"/>
  <c r="BL453" i="16"/>
  <c r="BM453" i="16"/>
  <c r="BN453" i="16"/>
  <c r="BO453" i="16"/>
  <c r="BP453" i="16"/>
  <c r="AA454" i="16"/>
  <c r="AB454" i="16"/>
  <c r="AC454" i="16"/>
  <c r="AD454" i="16"/>
  <c r="AE454" i="16"/>
  <c r="AF454" i="16"/>
  <c r="AG454" i="16"/>
  <c r="AH454" i="16"/>
  <c r="AI454" i="16"/>
  <c r="AJ454" i="16"/>
  <c r="AK454" i="16"/>
  <c r="AL454" i="16"/>
  <c r="AM454" i="16"/>
  <c r="AN454" i="16"/>
  <c r="AO454" i="16"/>
  <c r="AP454" i="16"/>
  <c r="AQ454" i="16"/>
  <c r="AR454" i="16"/>
  <c r="AS454" i="16"/>
  <c r="AT454" i="16"/>
  <c r="AU454" i="16"/>
  <c r="AV454" i="16"/>
  <c r="AW454" i="16"/>
  <c r="AX454" i="16"/>
  <c r="AY454" i="16"/>
  <c r="AZ454" i="16"/>
  <c r="BA454" i="16"/>
  <c r="BB454" i="16"/>
  <c r="BC454" i="16"/>
  <c r="BD454" i="16"/>
  <c r="BE454" i="16"/>
  <c r="BF454" i="16"/>
  <c r="BG454" i="16"/>
  <c r="BH454" i="16"/>
  <c r="BI454" i="16"/>
  <c r="BJ454" i="16"/>
  <c r="BK454" i="16"/>
  <c r="BL454" i="16"/>
  <c r="BM454" i="16"/>
  <c r="BN454" i="16"/>
  <c r="BO454" i="16"/>
  <c r="BP454" i="16"/>
  <c r="AA455" i="16"/>
  <c r="AB455" i="16"/>
  <c r="AC455" i="16"/>
  <c r="AD455" i="16"/>
  <c r="AE455" i="16"/>
  <c r="AF455" i="16"/>
  <c r="AG455" i="16"/>
  <c r="AH455" i="16"/>
  <c r="AI455" i="16"/>
  <c r="AJ455" i="16"/>
  <c r="AK455" i="16"/>
  <c r="AL455" i="16"/>
  <c r="AM455" i="16"/>
  <c r="AN455" i="16"/>
  <c r="AO455" i="16"/>
  <c r="AP455" i="16"/>
  <c r="AQ455" i="16"/>
  <c r="AR455" i="16"/>
  <c r="AS455" i="16"/>
  <c r="AT455" i="16"/>
  <c r="AU455" i="16"/>
  <c r="AV455" i="16"/>
  <c r="AW455" i="16"/>
  <c r="AX455" i="16"/>
  <c r="AY455" i="16"/>
  <c r="AZ455" i="16"/>
  <c r="BA455" i="16"/>
  <c r="BB455" i="16"/>
  <c r="BC455" i="16"/>
  <c r="BD455" i="16"/>
  <c r="BE455" i="16"/>
  <c r="BF455" i="16"/>
  <c r="BG455" i="16"/>
  <c r="BH455" i="16"/>
  <c r="BI455" i="16"/>
  <c r="BJ455" i="16"/>
  <c r="BK455" i="16"/>
  <c r="BL455" i="16"/>
  <c r="BM455" i="16"/>
  <c r="BN455" i="16"/>
  <c r="BO455" i="16"/>
  <c r="BP455" i="16"/>
  <c r="AA456" i="16"/>
  <c r="AB456" i="16"/>
  <c r="AC456" i="16"/>
  <c r="AD456" i="16"/>
  <c r="AE456" i="16"/>
  <c r="AF456" i="16"/>
  <c r="AG456" i="16"/>
  <c r="AH456" i="16"/>
  <c r="AI456" i="16"/>
  <c r="AJ456" i="16"/>
  <c r="AK456" i="16"/>
  <c r="AL456" i="16"/>
  <c r="AM456" i="16"/>
  <c r="AN456" i="16"/>
  <c r="AO456" i="16"/>
  <c r="AP456" i="16"/>
  <c r="AQ456" i="16"/>
  <c r="AR456" i="16"/>
  <c r="AS456" i="16"/>
  <c r="AT456" i="16"/>
  <c r="AU456" i="16"/>
  <c r="AV456" i="16"/>
  <c r="AW456" i="16"/>
  <c r="AX456" i="16"/>
  <c r="AY456" i="16"/>
  <c r="AZ456" i="16"/>
  <c r="BA456" i="16"/>
  <c r="BB456" i="16"/>
  <c r="BC456" i="16"/>
  <c r="BD456" i="16"/>
  <c r="BE456" i="16"/>
  <c r="BF456" i="16"/>
  <c r="BG456" i="16"/>
  <c r="BH456" i="16"/>
  <c r="BI456" i="16"/>
  <c r="BJ456" i="16"/>
  <c r="BK456" i="16"/>
  <c r="BL456" i="16"/>
  <c r="BM456" i="16"/>
  <c r="BN456" i="16"/>
  <c r="BO456" i="16"/>
  <c r="BP456" i="16"/>
  <c r="AA457" i="16"/>
  <c r="AB457" i="16"/>
  <c r="AC457" i="16"/>
  <c r="AD457" i="16"/>
  <c r="AE457" i="16"/>
  <c r="AF457" i="16"/>
  <c r="AG457" i="16"/>
  <c r="AH457" i="16"/>
  <c r="AI457" i="16"/>
  <c r="AJ457" i="16"/>
  <c r="AK457" i="16"/>
  <c r="AL457" i="16"/>
  <c r="AM457" i="16"/>
  <c r="AN457" i="16"/>
  <c r="AO457" i="16"/>
  <c r="AP457" i="16"/>
  <c r="AQ457" i="16"/>
  <c r="AR457" i="16"/>
  <c r="AS457" i="16"/>
  <c r="AT457" i="16"/>
  <c r="AU457" i="16"/>
  <c r="AV457" i="16"/>
  <c r="AW457" i="16"/>
  <c r="AX457" i="16"/>
  <c r="AY457" i="16"/>
  <c r="AZ457" i="16"/>
  <c r="BA457" i="16"/>
  <c r="BB457" i="16"/>
  <c r="BC457" i="16"/>
  <c r="BD457" i="16"/>
  <c r="BE457" i="16"/>
  <c r="BF457" i="16"/>
  <c r="BG457" i="16"/>
  <c r="BH457" i="16"/>
  <c r="BI457" i="16"/>
  <c r="BJ457" i="16"/>
  <c r="BK457" i="16"/>
  <c r="BL457" i="16"/>
  <c r="BM457" i="16"/>
  <c r="BN457" i="16"/>
  <c r="BO457" i="16"/>
  <c r="BP457" i="16"/>
  <c r="AA458" i="16"/>
  <c r="AB458" i="16"/>
  <c r="AC458" i="16"/>
  <c r="AD458" i="16"/>
  <c r="AE458" i="16"/>
  <c r="AF458" i="16"/>
  <c r="AG458" i="16"/>
  <c r="AH458" i="16"/>
  <c r="AI458" i="16"/>
  <c r="AJ458" i="16"/>
  <c r="AK458" i="16"/>
  <c r="AL458" i="16"/>
  <c r="AM458" i="16"/>
  <c r="AN458" i="16"/>
  <c r="AO458" i="16"/>
  <c r="AP458" i="16"/>
  <c r="AQ458" i="16"/>
  <c r="AR458" i="16"/>
  <c r="AS458" i="16"/>
  <c r="AT458" i="16"/>
  <c r="AU458" i="16"/>
  <c r="AV458" i="16"/>
  <c r="AW458" i="16"/>
  <c r="AX458" i="16"/>
  <c r="AY458" i="16"/>
  <c r="AZ458" i="16"/>
  <c r="BA458" i="16"/>
  <c r="BB458" i="16"/>
  <c r="BC458" i="16"/>
  <c r="BD458" i="16"/>
  <c r="BE458" i="16"/>
  <c r="BF458" i="16"/>
  <c r="BG458" i="16"/>
  <c r="BH458" i="16"/>
  <c r="BI458" i="16"/>
  <c r="BJ458" i="16"/>
  <c r="BK458" i="16"/>
  <c r="BL458" i="16"/>
  <c r="BM458" i="16"/>
  <c r="BN458" i="16"/>
  <c r="BO458" i="16"/>
  <c r="BP458" i="16"/>
  <c r="AA459" i="16"/>
  <c r="AB459" i="16"/>
  <c r="AC459" i="16"/>
  <c r="AD459" i="16"/>
  <c r="AE459" i="16"/>
  <c r="AF459" i="16"/>
  <c r="AG459" i="16"/>
  <c r="AH459" i="16"/>
  <c r="AI459" i="16"/>
  <c r="AJ459" i="16"/>
  <c r="AK459" i="16"/>
  <c r="AL459" i="16"/>
  <c r="AM459" i="16"/>
  <c r="AN459" i="16"/>
  <c r="AO459" i="16"/>
  <c r="AP459" i="16"/>
  <c r="AQ459" i="16"/>
  <c r="AR459" i="16"/>
  <c r="AS459" i="16"/>
  <c r="AT459" i="16"/>
  <c r="AU459" i="16"/>
  <c r="AV459" i="16"/>
  <c r="AW459" i="16"/>
  <c r="AX459" i="16"/>
  <c r="AY459" i="16"/>
  <c r="AZ459" i="16"/>
  <c r="BA459" i="16"/>
  <c r="BB459" i="16"/>
  <c r="BC459" i="16"/>
  <c r="BD459" i="16"/>
  <c r="BE459" i="16"/>
  <c r="BF459" i="16"/>
  <c r="BG459" i="16"/>
  <c r="BH459" i="16"/>
  <c r="BI459" i="16"/>
  <c r="BJ459" i="16"/>
  <c r="BK459" i="16"/>
  <c r="BL459" i="16"/>
  <c r="BM459" i="16"/>
  <c r="BN459" i="16"/>
  <c r="BO459" i="16"/>
  <c r="BP459" i="16"/>
  <c r="AA460" i="16"/>
  <c r="AB460" i="16"/>
  <c r="AC460" i="16"/>
  <c r="AD460" i="16"/>
  <c r="AE460" i="16"/>
  <c r="AF460" i="16"/>
  <c r="AG460" i="16"/>
  <c r="AH460" i="16"/>
  <c r="AI460" i="16"/>
  <c r="AJ460" i="16"/>
  <c r="AK460" i="16"/>
  <c r="AL460" i="16"/>
  <c r="AM460" i="16"/>
  <c r="AN460" i="16"/>
  <c r="AO460" i="16"/>
  <c r="AP460" i="16"/>
  <c r="AQ460" i="16"/>
  <c r="AR460" i="16"/>
  <c r="AS460" i="16"/>
  <c r="AT460" i="16"/>
  <c r="AU460" i="16"/>
  <c r="AV460" i="16"/>
  <c r="AW460" i="16"/>
  <c r="AX460" i="16"/>
  <c r="AY460" i="16"/>
  <c r="AZ460" i="16"/>
  <c r="BA460" i="16"/>
  <c r="BB460" i="16"/>
  <c r="BC460" i="16"/>
  <c r="BD460" i="16"/>
  <c r="BE460" i="16"/>
  <c r="BF460" i="16"/>
  <c r="BG460" i="16"/>
  <c r="BH460" i="16"/>
  <c r="BI460" i="16"/>
  <c r="BJ460" i="16"/>
  <c r="BK460" i="16"/>
  <c r="BL460" i="16"/>
  <c r="BM460" i="16"/>
  <c r="BN460" i="16"/>
  <c r="BO460" i="16"/>
  <c r="BP460" i="16"/>
  <c r="AA461" i="16"/>
  <c r="AB461" i="16"/>
  <c r="AC461" i="16"/>
  <c r="AD461" i="16"/>
  <c r="AE461" i="16"/>
  <c r="AF461" i="16"/>
  <c r="AG461" i="16"/>
  <c r="AH461" i="16"/>
  <c r="AI461" i="16"/>
  <c r="AJ461" i="16"/>
  <c r="AK461" i="16"/>
  <c r="AL461" i="16"/>
  <c r="AM461" i="16"/>
  <c r="AN461" i="16"/>
  <c r="AO461" i="16"/>
  <c r="AP461" i="16"/>
  <c r="AQ461" i="16"/>
  <c r="AR461" i="16"/>
  <c r="AS461" i="16"/>
  <c r="AT461" i="16"/>
  <c r="AU461" i="16"/>
  <c r="AV461" i="16"/>
  <c r="AW461" i="16"/>
  <c r="AX461" i="16"/>
  <c r="AY461" i="16"/>
  <c r="AZ461" i="16"/>
  <c r="BA461" i="16"/>
  <c r="BB461" i="16"/>
  <c r="BC461" i="16"/>
  <c r="BD461" i="16"/>
  <c r="BE461" i="16"/>
  <c r="BF461" i="16"/>
  <c r="BG461" i="16"/>
  <c r="BH461" i="16"/>
  <c r="BI461" i="16"/>
  <c r="BJ461" i="16"/>
  <c r="BK461" i="16"/>
  <c r="BL461" i="16"/>
  <c r="BM461" i="16"/>
  <c r="BN461" i="16"/>
  <c r="BO461" i="16"/>
  <c r="BP461" i="16"/>
  <c r="AA462" i="16"/>
  <c r="AB462" i="16"/>
  <c r="AC462" i="16"/>
  <c r="AD462" i="16"/>
  <c r="AE462" i="16"/>
  <c r="AF462" i="16"/>
  <c r="AG462" i="16"/>
  <c r="AH462" i="16"/>
  <c r="AI462" i="16"/>
  <c r="AJ462" i="16"/>
  <c r="AK462" i="16"/>
  <c r="AL462" i="16"/>
  <c r="AM462" i="16"/>
  <c r="AN462" i="16"/>
  <c r="AO462" i="16"/>
  <c r="AP462" i="16"/>
  <c r="AQ462" i="16"/>
  <c r="AR462" i="16"/>
  <c r="AS462" i="16"/>
  <c r="AT462" i="16"/>
  <c r="AU462" i="16"/>
  <c r="AV462" i="16"/>
  <c r="AW462" i="16"/>
  <c r="AX462" i="16"/>
  <c r="AY462" i="16"/>
  <c r="AZ462" i="16"/>
  <c r="BA462" i="16"/>
  <c r="BB462" i="16"/>
  <c r="BC462" i="16"/>
  <c r="BD462" i="16"/>
  <c r="BE462" i="16"/>
  <c r="BF462" i="16"/>
  <c r="BG462" i="16"/>
  <c r="BH462" i="16"/>
  <c r="BI462" i="16"/>
  <c r="BJ462" i="16"/>
  <c r="BK462" i="16"/>
  <c r="BL462" i="16"/>
  <c r="BM462" i="16"/>
  <c r="BN462" i="16"/>
  <c r="BO462" i="16"/>
  <c r="BP462" i="16"/>
  <c r="AA463" i="16"/>
  <c r="AB463" i="16"/>
  <c r="AC463" i="16"/>
  <c r="AD463" i="16"/>
  <c r="AE463" i="16"/>
  <c r="AF463" i="16"/>
  <c r="AG463" i="16"/>
  <c r="AH463" i="16"/>
  <c r="AI463" i="16"/>
  <c r="AJ463" i="16"/>
  <c r="AK463" i="16"/>
  <c r="AL463" i="16"/>
  <c r="AM463" i="16"/>
  <c r="AN463" i="16"/>
  <c r="AO463" i="16"/>
  <c r="AP463" i="16"/>
  <c r="AQ463" i="16"/>
  <c r="AR463" i="16"/>
  <c r="AS463" i="16"/>
  <c r="AT463" i="16"/>
  <c r="AU463" i="16"/>
  <c r="AV463" i="16"/>
  <c r="AW463" i="16"/>
  <c r="AX463" i="16"/>
  <c r="AY463" i="16"/>
  <c r="AZ463" i="16"/>
  <c r="BA463" i="16"/>
  <c r="BB463" i="16"/>
  <c r="BC463" i="16"/>
  <c r="BD463" i="16"/>
  <c r="BE463" i="16"/>
  <c r="BF463" i="16"/>
  <c r="BG463" i="16"/>
  <c r="BH463" i="16"/>
  <c r="BI463" i="16"/>
  <c r="BJ463" i="16"/>
  <c r="BK463" i="16"/>
  <c r="BL463" i="16"/>
  <c r="BM463" i="16"/>
  <c r="BN463" i="16"/>
  <c r="BO463" i="16"/>
  <c r="BP463" i="16"/>
  <c r="AA464" i="16"/>
  <c r="AB464" i="16"/>
  <c r="AC464" i="16"/>
  <c r="AD464" i="16"/>
  <c r="AE464" i="16"/>
  <c r="AF464" i="16"/>
  <c r="AG464" i="16"/>
  <c r="AH464" i="16"/>
  <c r="AI464" i="16"/>
  <c r="AJ464" i="16"/>
  <c r="AK464" i="16"/>
  <c r="AL464" i="16"/>
  <c r="AM464" i="16"/>
  <c r="AN464" i="16"/>
  <c r="AO464" i="16"/>
  <c r="AP464" i="16"/>
  <c r="AQ464" i="16"/>
  <c r="AR464" i="16"/>
  <c r="AS464" i="16"/>
  <c r="AT464" i="16"/>
  <c r="AU464" i="16"/>
  <c r="AV464" i="16"/>
  <c r="AW464" i="16"/>
  <c r="AX464" i="16"/>
  <c r="AY464" i="16"/>
  <c r="AZ464" i="16"/>
  <c r="BA464" i="16"/>
  <c r="BB464" i="16"/>
  <c r="BC464" i="16"/>
  <c r="BD464" i="16"/>
  <c r="BE464" i="16"/>
  <c r="BF464" i="16"/>
  <c r="BG464" i="16"/>
  <c r="BH464" i="16"/>
  <c r="BI464" i="16"/>
  <c r="BJ464" i="16"/>
  <c r="BK464" i="16"/>
  <c r="BL464" i="16"/>
  <c r="BM464" i="16"/>
  <c r="BN464" i="16"/>
  <c r="BO464" i="16"/>
  <c r="BP464" i="16"/>
  <c r="AA465" i="16"/>
  <c r="AB465" i="16"/>
  <c r="AC465" i="16"/>
  <c r="AD465" i="16"/>
  <c r="AE465" i="16"/>
  <c r="AF465" i="16"/>
  <c r="AG465" i="16"/>
  <c r="AH465" i="16"/>
  <c r="AI465" i="16"/>
  <c r="AJ465" i="16"/>
  <c r="AK465" i="16"/>
  <c r="AL465" i="16"/>
  <c r="AM465" i="16"/>
  <c r="AN465" i="16"/>
  <c r="AO465" i="16"/>
  <c r="AP465" i="16"/>
  <c r="AQ465" i="16"/>
  <c r="AR465" i="16"/>
  <c r="AS465" i="16"/>
  <c r="AT465" i="16"/>
  <c r="AU465" i="16"/>
  <c r="AV465" i="16"/>
  <c r="AW465" i="16"/>
  <c r="AX465" i="16"/>
  <c r="AY465" i="16"/>
  <c r="AZ465" i="16"/>
  <c r="BA465" i="16"/>
  <c r="BB465" i="16"/>
  <c r="BC465" i="16"/>
  <c r="BD465" i="16"/>
  <c r="BE465" i="16"/>
  <c r="BF465" i="16"/>
  <c r="BG465" i="16"/>
  <c r="BH465" i="16"/>
  <c r="BI465" i="16"/>
  <c r="BJ465" i="16"/>
  <c r="BK465" i="16"/>
  <c r="BL465" i="16"/>
  <c r="BM465" i="16"/>
  <c r="BN465" i="16"/>
  <c r="BO465" i="16"/>
  <c r="BP465" i="16"/>
  <c r="AA466" i="16"/>
  <c r="AB466" i="16"/>
  <c r="AC466" i="16"/>
  <c r="AD466" i="16"/>
  <c r="AE466" i="16"/>
  <c r="AF466" i="16"/>
  <c r="AG466" i="16"/>
  <c r="AH466" i="16"/>
  <c r="AI466" i="16"/>
  <c r="AJ466" i="16"/>
  <c r="AK466" i="16"/>
  <c r="AL466" i="16"/>
  <c r="AM466" i="16"/>
  <c r="AN466" i="16"/>
  <c r="AO466" i="16"/>
  <c r="AP466" i="16"/>
  <c r="AQ466" i="16"/>
  <c r="AR466" i="16"/>
  <c r="AS466" i="16"/>
  <c r="AT466" i="16"/>
  <c r="AU466" i="16"/>
  <c r="AV466" i="16"/>
  <c r="AW466" i="16"/>
  <c r="AX466" i="16"/>
  <c r="AY466" i="16"/>
  <c r="AZ466" i="16"/>
  <c r="BA466" i="16"/>
  <c r="BB466" i="16"/>
  <c r="BC466" i="16"/>
  <c r="BD466" i="16"/>
  <c r="BE466" i="16"/>
  <c r="BF466" i="16"/>
  <c r="BG466" i="16"/>
  <c r="BH466" i="16"/>
  <c r="BI466" i="16"/>
  <c r="BJ466" i="16"/>
  <c r="BK466" i="16"/>
  <c r="BL466" i="16"/>
  <c r="BM466" i="16"/>
  <c r="BN466" i="16"/>
  <c r="BO466" i="16"/>
  <c r="BP466" i="16"/>
  <c r="AA467" i="16"/>
  <c r="AB467" i="16"/>
  <c r="AC467" i="16"/>
  <c r="AD467" i="16"/>
  <c r="AE467" i="16"/>
  <c r="AF467" i="16"/>
  <c r="AG467" i="16"/>
  <c r="AH467" i="16"/>
  <c r="AI467" i="16"/>
  <c r="AJ467" i="16"/>
  <c r="AK467" i="16"/>
  <c r="AL467" i="16"/>
  <c r="AM467" i="16"/>
  <c r="AN467" i="16"/>
  <c r="AO467" i="16"/>
  <c r="AP467" i="16"/>
  <c r="AQ467" i="16"/>
  <c r="AR467" i="16"/>
  <c r="AS467" i="16"/>
  <c r="AT467" i="16"/>
  <c r="AU467" i="16"/>
  <c r="AV467" i="16"/>
  <c r="AW467" i="16"/>
  <c r="AX467" i="16"/>
  <c r="AY467" i="16"/>
  <c r="AZ467" i="16"/>
  <c r="BA467" i="16"/>
  <c r="BB467" i="16"/>
  <c r="BC467" i="16"/>
  <c r="BD467" i="16"/>
  <c r="BE467" i="16"/>
  <c r="BF467" i="16"/>
  <c r="BG467" i="16"/>
  <c r="BH467" i="16"/>
  <c r="BI467" i="16"/>
  <c r="BJ467" i="16"/>
  <c r="BK467" i="16"/>
  <c r="BL467" i="16"/>
  <c r="BM467" i="16"/>
  <c r="BN467" i="16"/>
  <c r="BO467" i="16"/>
  <c r="BP467" i="16"/>
  <c r="AA468" i="16"/>
  <c r="AB468" i="16"/>
  <c r="AC468" i="16"/>
  <c r="AD468" i="16"/>
  <c r="AE468" i="16"/>
  <c r="AF468" i="16"/>
  <c r="AG468" i="16"/>
  <c r="AH468" i="16"/>
  <c r="AI468" i="16"/>
  <c r="AJ468" i="16"/>
  <c r="AK468" i="16"/>
  <c r="AL468" i="16"/>
  <c r="AM468" i="16"/>
  <c r="AN468" i="16"/>
  <c r="AO468" i="16"/>
  <c r="AP468" i="16"/>
  <c r="AQ468" i="16"/>
  <c r="AR468" i="16"/>
  <c r="AS468" i="16"/>
  <c r="AT468" i="16"/>
  <c r="AU468" i="16"/>
  <c r="AV468" i="16"/>
  <c r="AW468" i="16"/>
  <c r="AX468" i="16"/>
  <c r="AY468" i="16"/>
  <c r="AZ468" i="16"/>
  <c r="BA468" i="16"/>
  <c r="BB468" i="16"/>
  <c r="BC468" i="16"/>
  <c r="BD468" i="16"/>
  <c r="BE468" i="16"/>
  <c r="BF468" i="16"/>
  <c r="BG468" i="16"/>
  <c r="BH468" i="16"/>
  <c r="BI468" i="16"/>
  <c r="BJ468" i="16"/>
  <c r="BK468" i="16"/>
  <c r="BL468" i="16"/>
  <c r="BM468" i="16"/>
  <c r="BN468" i="16"/>
  <c r="BO468" i="16"/>
  <c r="BP468" i="16"/>
  <c r="AA469" i="16"/>
  <c r="AB469" i="16"/>
  <c r="AC469" i="16"/>
  <c r="AD469" i="16"/>
  <c r="AE469" i="16"/>
  <c r="AF469" i="16"/>
  <c r="AG469" i="16"/>
  <c r="AH469" i="16"/>
  <c r="AI469" i="16"/>
  <c r="AJ469" i="16"/>
  <c r="AK469" i="16"/>
  <c r="AL469" i="16"/>
  <c r="AM469" i="16"/>
  <c r="AN469" i="16"/>
  <c r="AO469" i="16"/>
  <c r="AP469" i="16"/>
  <c r="AQ469" i="16"/>
  <c r="AR469" i="16"/>
  <c r="AS469" i="16"/>
  <c r="AT469" i="16"/>
  <c r="AU469" i="16"/>
  <c r="AV469" i="16"/>
  <c r="AW469" i="16"/>
  <c r="AX469" i="16"/>
  <c r="AY469" i="16"/>
  <c r="AZ469" i="16"/>
  <c r="BA469" i="16"/>
  <c r="BB469" i="16"/>
  <c r="BC469" i="16"/>
  <c r="BD469" i="16"/>
  <c r="BE469" i="16"/>
  <c r="BF469" i="16"/>
  <c r="BG469" i="16"/>
  <c r="BH469" i="16"/>
  <c r="BI469" i="16"/>
  <c r="BJ469" i="16"/>
  <c r="BK469" i="16"/>
  <c r="BL469" i="16"/>
  <c r="BM469" i="16"/>
  <c r="BN469" i="16"/>
  <c r="BO469" i="16"/>
  <c r="BP469" i="16"/>
  <c r="AA470" i="16"/>
  <c r="AB470" i="16"/>
  <c r="AC470" i="16"/>
  <c r="AD470" i="16"/>
  <c r="AE470" i="16"/>
  <c r="AF470" i="16"/>
  <c r="AG470" i="16"/>
  <c r="AH470" i="16"/>
  <c r="AI470" i="16"/>
  <c r="AJ470" i="16"/>
  <c r="AK470" i="16"/>
  <c r="AL470" i="16"/>
  <c r="AM470" i="16"/>
  <c r="AN470" i="16"/>
  <c r="AO470" i="16"/>
  <c r="AP470" i="16"/>
  <c r="AQ470" i="16"/>
  <c r="AR470" i="16"/>
  <c r="AS470" i="16"/>
  <c r="AT470" i="16"/>
  <c r="AU470" i="16"/>
  <c r="AV470" i="16"/>
  <c r="AW470" i="16"/>
  <c r="AX470" i="16"/>
  <c r="AY470" i="16"/>
  <c r="AZ470" i="16"/>
  <c r="BA470" i="16"/>
  <c r="BB470" i="16"/>
  <c r="BC470" i="16"/>
  <c r="BD470" i="16"/>
  <c r="BE470" i="16"/>
  <c r="BF470" i="16"/>
  <c r="BG470" i="16"/>
  <c r="BH470" i="16"/>
  <c r="BI470" i="16"/>
  <c r="BJ470" i="16"/>
  <c r="BK470" i="16"/>
  <c r="BL470" i="16"/>
  <c r="BM470" i="16"/>
  <c r="BN470" i="16"/>
  <c r="BO470" i="16"/>
  <c r="BP470" i="16"/>
  <c r="AA471" i="16"/>
  <c r="AB471" i="16"/>
  <c r="AC471" i="16"/>
  <c r="AD471" i="16"/>
  <c r="AE471" i="16"/>
  <c r="AF471" i="16"/>
  <c r="AG471" i="16"/>
  <c r="AH471" i="16"/>
  <c r="AI471" i="16"/>
  <c r="AJ471" i="16"/>
  <c r="AK471" i="16"/>
  <c r="AL471" i="16"/>
  <c r="AM471" i="16"/>
  <c r="AN471" i="16"/>
  <c r="AO471" i="16"/>
  <c r="AP471" i="16"/>
  <c r="AQ471" i="16"/>
  <c r="AR471" i="16"/>
  <c r="AS471" i="16"/>
  <c r="AT471" i="16"/>
  <c r="AU471" i="16"/>
  <c r="AV471" i="16"/>
  <c r="AW471" i="16"/>
  <c r="AX471" i="16"/>
  <c r="AY471" i="16"/>
  <c r="AZ471" i="16"/>
  <c r="BA471" i="16"/>
  <c r="BB471" i="16"/>
  <c r="BC471" i="16"/>
  <c r="BD471" i="16"/>
  <c r="BE471" i="16"/>
  <c r="BF471" i="16"/>
  <c r="BG471" i="16"/>
  <c r="BH471" i="16"/>
  <c r="BI471" i="16"/>
  <c r="BJ471" i="16"/>
  <c r="BK471" i="16"/>
  <c r="BL471" i="16"/>
  <c r="BM471" i="16"/>
  <c r="BN471" i="16"/>
  <c r="BO471" i="16"/>
  <c r="BP471" i="16"/>
  <c r="AA472" i="16"/>
  <c r="AB472" i="16"/>
  <c r="AC472" i="16"/>
  <c r="AD472" i="16"/>
  <c r="AE472" i="16"/>
  <c r="AF472" i="16"/>
  <c r="AG472" i="16"/>
  <c r="AH472" i="16"/>
  <c r="AI472" i="16"/>
  <c r="AJ472" i="16"/>
  <c r="AK472" i="16"/>
  <c r="AL472" i="16"/>
  <c r="AM472" i="16"/>
  <c r="AN472" i="16"/>
  <c r="AO472" i="16"/>
  <c r="AP472" i="16"/>
  <c r="AQ472" i="16"/>
  <c r="AR472" i="16"/>
  <c r="AS472" i="16"/>
  <c r="AT472" i="16"/>
  <c r="AU472" i="16"/>
  <c r="AV472" i="16"/>
  <c r="AW472" i="16"/>
  <c r="AX472" i="16"/>
  <c r="AY472" i="16"/>
  <c r="AZ472" i="16"/>
  <c r="BA472" i="16"/>
  <c r="BB472" i="16"/>
  <c r="BC472" i="16"/>
  <c r="BD472" i="16"/>
  <c r="BE472" i="16"/>
  <c r="BF472" i="16"/>
  <c r="BG472" i="16"/>
  <c r="BH472" i="16"/>
  <c r="BI472" i="16"/>
  <c r="BJ472" i="16"/>
  <c r="BK472" i="16"/>
  <c r="BL472" i="16"/>
  <c r="BM472" i="16"/>
  <c r="BN472" i="16"/>
  <c r="BO472" i="16"/>
  <c r="BP472" i="16"/>
  <c r="AA473" i="16"/>
  <c r="AB473" i="16"/>
  <c r="AC473" i="16"/>
  <c r="AD473" i="16"/>
  <c r="AE473" i="16"/>
  <c r="AF473" i="16"/>
  <c r="AG473" i="16"/>
  <c r="AH473" i="16"/>
  <c r="AI473" i="16"/>
  <c r="AJ473" i="16"/>
  <c r="AK473" i="16"/>
  <c r="AL473" i="16"/>
  <c r="AM473" i="16"/>
  <c r="AN473" i="16"/>
  <c r="AO473" i="16"/>
  <c r="AP473" i="16"/>
  <c r="AQ473" i="16"/>
  <c r="AR473" i="16"/>
  <c r="AS473" i="16"/>
  <c r="AT473" i="16"/>
  <c r="AU473" i="16"/>
  <c r="AV473" i="16"/>
  <c r="AW473" i="16"/>
  <c r="AX473" i="16"/>
  <c r="AY473" i="16"/>
  <c r="AZ473" i="16"/>
  <c r="BA473" i="16"/>
  <c r="BB473" i="16"/>
  <c r="BC473" i="16"/>
  <c r="BD473" i="16"/>
  <c r="BE473" i="16"/>
  <c r="BF473" i="16"/>
  <c r="BG473" i="16"/>
  <c r="BH473" i="16"/>
  <c r="BI473" i="16"/>
  <c r="BJ473" i="16"/>
  <c r="BK473" i="16"/>
  <c r="BL473" i="16"/>
  <c r="BM473" i="16"/>
  <c r="BN473" i="16"/>
  <c r="BO473" i="16"/>
  <c r="BP473" i="16"/>
  <c r="AA474" i="16"/>
  <c r="AB474" i="16"/>
  <c r="AC474" i="16"/>
  <c r="AD474" i="16"/>
  <c r="AE474" i="16"/>
  <c r="AF474" i="16"/>
  <c r="AG474" i="16"/>
  <c r="AH474" i="16"/>
  <c r="AI474" i="16"/>
  <c r="AJ474" i="16"/>
  <c r="AK474" i="16"/>
  <c r="AL474" i="16"/>
  <c r="AM474" i="16"/>
  <c r="AN474" i="16"/>
  <c r="AO474" i="16"/>
  <c r="AP474" i="16"/>
  <c r="AQ474" i="16"/>
  <c r="AR474" i="16"/>
  <c r="AS474" i="16"/>
  <c r="AT474" i="16"/>
  <c r="AU474" i="16"/>
  <c r="AV474" i="16"/>
  <c r="AW474" i="16"/>
  <c r="AX474" i="16"/>
  <c r="AY474" i="16"/>
  <c r="AZ474" i="16"/>
  <c r="BA474" i="16"/>
  <c r="BB474" i="16"/>
  <c r="BC474" i="16"/>
  <c r="BD474" i="16"/>
  <c r="BE474" i="16"/>
  <c r="BF474" i="16"/>
  <c r="BG474" i="16"/>
  <c r="BH474" i="16"/>
  <c r="BI474" i="16"/>
  <c r="BJ474" i="16"/>
  <c r="BK474" i="16"/>
  <c r="BL474" i="16"/>
  <c r="BM474" i="16"/>
  <c r="BN474" i="16"/>
  <c r="BO474" i="16"/>
  <c r="BP474" i="16"/>
  <c r="AA475" i="16"/>
  <c r="AB475" i="16"/>
  <c r="AC475" i="16"/>
  <c r="AD475" i="16"/>
  <c r="AE475" i="16"/>
  <c r="AF475" i="16"/>
  <c r="AG475" i="16"/>
  <c r="AH475" i="16"/>
  <c r="AI475" i="16"/>
  <c r="AJ475" i="16"/>
  <c r="AK475" i="16"/>
  <c r="AL475" i="16"/>
  <c r="AM475" i="16"/>
  <c r="AN475" i="16"/>
  <c r="AO475" i="16"/>
  <c r="AP475" i="16"/>
  <c r="AQ475" i="16"/>
  <c r="AR475" i="16"/>
  <c r="AS475" i="16"/>
  <c r="AT475" i="16"/>
  <c r="AU475" i="16"/>
  <c r="AV475" i="16"/>
  <c r="AW475" i="16"/>
  <c r="AX475" i="16"/>
  <c r="AY475" i="16"/>
  <c r="AZ475" i="16"/>
  <c r="BA475" i="16"/>
  <c r="BB475" i="16"/>
  <c r="BC475" i="16"/>
  <c r="BD475" i="16"/>
  <c r="BE475" i="16"/>
  <c r="BF475" i="16"/>
  <c r="BG475" i="16"/>
  <c r="BH475" i="16"/>
  <c r="BI475" i="16"/>
  <c r="BJ475" i="16"/>
  <c r="BK475" i="16"/>
  <c r="BL475" i="16"/>
  <c r="BM475" i="16"/>
  <c r="BN475" i="16"/>
  <c r="BO475" i="16"/>
  <c r="BP475" i="16"/>
  <c r="AA476" i="16"/>
  <c r="AB476" i="16"/>
  <c r="AC476" i="16"/>
  <c r="AD476" i="16"/>
  <c r="AE476" i="16"/>
  <c r="AF476" i="16"/>
  <c r="AG476" i="16"/>
  <c r="AH476" i="16"/>
  <c r="AI476" i="16"/>
  <c r="AJ476" i="16"/>
  <c r="AK476" i="16"/>
  <c r="AL476" i="16"/>
  <c r="AM476" i="16"/>
  <c r="AN476" i="16"/>
  <c r="AO476" i="16"/>
  <c r="AP476" i="16"/>
  <c r="AQ476" i="16"/>
  <c r="AR476" i="16"/>
  <c r="AS476" i="16"/>
  <c r="AT476" i="16"/>
  <c r="AU476" i="16"/>
  <c r="AV476" i="16"/>
  <c r="AW476" i="16"/>
  <c r="AX476" i="16"/>
  <c r="AY476" i="16"/>
  <c r="AZ476" i="16"/>
  <c r="BA476" i="16"/>
  <c r="BB476" i="16"/>
  <c r="BC476" i="16"/>
  <c r="BD476" i="16"/>
  <c r="BE476" i="16"/>
  <c r="BF476" i="16"/>
  <c r="BG476" i="16"/>
  <c r="BH476" i="16"/>
  <c r="BI476" i="16"/>
  <c r="BJ476" i="16"/>
  <c r="BK476" i="16"/>
  <c r="BL476" i="16"/>
  <c r="BM476" i="16"/>
  <c r="BN476" i="16"/>
  <c r="BO476" i="16"/>
  <c r="BP476" i="16"/>
  <c r="AA477" i="16"/>
  <c r="AB477" i="16"/>
  <c r="AC477" i="16"/>
  <c r="AD477" i="16"/>
  <c r="AE477" i="16"/>
  <c r="AF477" i="16"/>
  <c r="AG477" i="16"/>
  <c r="AH477" i="16"/>
  <c r="AI477" i="16"/>
  <c r="AJ477" i="16"/>
  <c r="AK477" i="16"/>
  <c r="AL477" i="16"/>
  <c r="AM477" i="16"/>
  <c r="AN477" i="16"/>
  <c r="AO477" i="16"/>
  <c r="AP477" i="16"/>
  <c r="AQ477" i="16"/>
  <c r="AR477" i="16"/>
  <c r="AS477" i="16"/>
  <c r="AT477" i="16"/>
  <c r="AU477" i="16"/>
  <c r="AV477" i="16"/>
  <c r="AW477" i="16"/>
  <c r="AX477" i="16"/>
  <c r="AY477" i="16"/>
  <c r="AZ477" i="16"/>
  <c r="BA477" i="16"/>
  <c r="BB477" i="16"/>
  <c r="BC477" i="16"/>
  <c r="BD477" i="16"/>
  <c r="BE477" i="16"/>
  <c r="BF477" i="16"/>
  <c r="BG477" i="16"/>
  <c r="BH477" i="16"/>
  <c r="BI477" i="16"/>
  <c r="BJ477" i="16"/>
  <c r="BK477" i="16"/>
  <c r="BL477" i="16"/>
  <c r="BM477" i="16"/>
  <c r="BN477" i="16"/>
  <c r="BO477" i="16"/>
  <c r="BP477" i="16"/>
  <c r="AA478" i="16"/>
  <c r="AB478" i="16"/>
  <c r="AC478" i="16"/>
  <c r="AD478" i="16"/>
  <c r="AE478" i="16"/>
  <c r="AF478" i="16"/>
  <c r="AG478" i="16"/>
  <c r="AH478" i="16"/>
  <c r="AI478" i="16"/>
  <c r="AJ478" i="16"/>
  <c r="AK478" i="16"/>
  <c r="AL478" i="16"/>
  <c r="AM478" i="16"/>
  <c r="AN478" i="16"/>
  <c r="AO478" i="16"/>
  <c r="AP478" i="16"/>
  <c r="AQ478" i="16"/>
  <c r="AR478" i="16"/>
  <c r="AS478" i="16"/>
  <c r="AT478" i="16"/>
  <c r="AU478" i="16"/>
  <c r="AV478" i="16"/>
  <c r="AW478" i="16"/>
  <c r="AX478" i="16"/>
  <c r="AY478" i="16"/>
  <c r="AZ478" i="16"/>
  <c r="BA478" i="16"/>
  <c r="BB478" i="16"/>
  <c r="BC478" i="16"/>
  <c r="BD478" i="16"/>
  <c r="BE478" i="16"/>
  <c r="BF478" i="16"/>
  <c r="BG478" i="16"/>
  <c r="BH478" i="16"/>
  <c r="BI478" i="16"/>
  <c r="BJ478" i="16"/>
  <c r="BK478" i="16"/>
  <c r="BL478" i="16"/>
  <c r="BM478" i="16"/>
  <c r="BN478" i="16"/>
  <c r="BO478" i="16"/>
  <c r="BP478" i="16"/>
  <c r="AA479" i="16"/>
  <c r="AB479" i="16"/>
  <c r="AC479" i="16"/>
  <c r="AD479" i="16"/>
  <c r="AE479" i="16"/>
  <c r="AF479" i="16"/>
  <c r="AG479" i="16"/>
  <c r="AH479" i="16"/>
  <c r="AI479" i="16"/>
  <c r="AJ479" i="16"/>
  <c r="AK479" i="16"/>
  <c r="AL479" i="16"/>
  <c r="AM479" i="16"/>
  <c r="AN479" i="16"/>
  <c r="AO479" i="16"/>
  <c r="AP479" i="16"/>
  <c r="AQ479" i="16"/>
  <c r="AR479" i="16"/>
  <c r="AS479" i="16"/>
  <c r="AT479" i="16"/>
  <c r="AU479" i="16"/>
  <c r="AV479" i="16"/>
  <c r="AW479" i="16"/>
  <c r="AX479" i="16"/>
  <c r="AY479" i="16"/>
  <c r="AZ479" i="16"/>
  <c r="BA479" i="16"/>
  <c r="BB479" i="16"/>
  <c r="BC479" i="16"/>
  <c r="BD479" i="16"/>
  <c r="BE479" i="16"/>
  <c r="BF479" i="16"/>
  <c r="BG479" i="16"/>
  <c r="BH479" i="16"/>
  <c r="BI479" i="16"/>
  <c r="BJ479" i="16"/>
  <c r="BK479" i="16"/>
  <c r="BL479" i="16"/>
  <c r="BM479" i="16"/>
  <c r="BN479" i="16"/>
  <c r="BO479" i="16"/>
  <c r="BP479" i="16"/>
  <c r="AA480" i="16"/>
  <c r="AB480" i="16"/>
  <c r="AC480" i="16"/>
  <c r="AD480" i="16"/>
  <c r="AE480" i="16"/>
  <c r="AF480" i="16"/>
  <c r="AG480" i="16"/>
  <c r="AH480" i="16"/>
  <c r="AI480" i="16"/>
  <c r="AJ480" i="16"/>
  <c r="AK480" i="16"/>
  <c r="AL480" i="16"/>
  <c r="AM480" i="16"/>
  <c r="AN480" i="16"/>
  <c r="AO480" i="16"/>
  <c r="AP480" i="16"/>
  <c r="AQ480" i="16"/>
  <c r="AR480" i="16"/>
  <c r="AS480" i="16"/>
  <c r="AT480" i="16"/>
  <c r="AU480" i="16"/>
  <c r="AV480" i="16"/>
  <c r="AW480" i="16"/>
  <c r="AX480" i="16"/>
  <c r="AY480" i="16"/>
  <c r="AZ480" i="16"/>
  <c r="BA480" i="16"/>
  <c r="BB480" i="16"/>
  <c r="BC480" i="16"/>
  <c r="BD480" i="16"/>
  <c r="BE480" i="16"/>
  <c r="BF480" i="16"/>
  <c r="BG480" i="16"/>
  <c r="BH480" i="16"/>
  <c r="BI480" i="16"/>
  <c r="BJ480" i="16"/>
  <c r="BK480" i="16"/>
  <c r="BL480" i="16"/>
  <c r="BM480" i="16"/>
  <c r="BN480" i="16"/>
  <c r="BO480" i="16"/>
  <c r="BP480" i="16"/>
  <c r="AA481" i="16"/>
  <c r="AB481" i="16"/>
  <c r="AC481" i="16"/>
  <c r="AD481" i="16"/>
  <c r="AE481" i="16"/>
  <c r="AF481" i="16"/>
  <c r="AG481" i="16"/>
  <c r="AH481" i="16"/>
  <c r="AI481" i="16"/>
  <c r="AJ481" i="16"/>
  <c r="AK481" i="16"/>
  <c r="AL481" i="16"/>
  <c r="AM481" i="16"/>
  <c r="AN481" i="16"/>
  <c r="AO481" i="16"/>
  <c r="AP481" i="16"/>
  <c r="AQ481" i="16"/>
  <c r="AR481" i="16"/>
  <c r="AS481" i="16"/>
  <c r="AT481" i="16"/>
  <c r="AU481" i="16"/>
  <c r="AV481" i="16"/>
  <c r="AW481" i="16"/>
  <c r="AX481" i="16"/>
  <c r="AY481" i="16"/>
  <c r="AZ481" i="16"/>
  <c r="BA481" i="16"/>
  <c r="BB481" i="16"/>
  <c r="BC481" i="16"/>
  <c r="BD481" i="16"/>
  <c r="BE481" i="16"/>
  <c r="BF481" i="16"/>
  <c r="BG481" i="16"/>
  <c r="BH481" i="16"/>
  <c r="BI481" i="16"/>
  <c r="BJ481" i="16"/>
  <c r="BK481" i="16"/>
  <c r="BL481" i="16"/>
  <c r="BM481" i="16"/>
  <c r="BN481" i="16"/>
  <c r="BO481" i="16"/>
  <c r="BP481" i="16"/>
  <c r="AA482" i="16"/>
  <c r="AB482" i="16"/>
  <c r="AC482" i="16"/>
  <c r="AD482" i="16"/>
  <c r="AE482" i="16"/>
  <c r="AF482" i="16"/>
  <c r="AG482" i="16"/>
  <c r="AH482" i="16"/>
  <c r="AI482" i="16"/>
  <c r="AJ482" i="16"/>
  <c r="AK482" i="16"/>
  <c r="AL482" i="16"/>
  <c r="AM482" i="16"/>
  <c r="AN482" i="16"/>
  <c r="AO482" i="16"/>
  <c r="AP482" i="16"/>
  <c r="AQ482" i="16"/>
  <c r="AR482" i="16"/>
  <c r="AS482" i="16"/>
  <c r="AT482" i="16"/>
  <c r="AU482" i="16"/>
  <c r="AV482" i="16"/>
  <c r="AW482" i="16"/>
  <c r="AX482" i="16"/>
  <c r="AY482" i="16"/>
  <c r="AZ482" i="16"/>
  <c r="BA482" i="16"/>
  <c r="BB482" i="16"/>
  <c r="BC482" i="16"/>
  <c r="BD482" i="16"/>
  <c r="BE482" i="16"/>
  <c r="BF482" i="16"/>
  <c r="BG482" i="16"/>
  <c r="BH482" i="16"/>
  <c r="BI482" i="16"/>
  <c r="BJ482" i="16"/>
  <c r="BK482" i="16"/>
  <c r="BL482" i="16"/>
  <c r="BM482" i="16"/>
  <c r="BN482" i="16"/>
  <c r="BO482" i="16"/>
  <c r="BP482" i="16"/>
  <c r="AA483" i="16"/>
  <c r="AB483" i="16"/>
  <c r="AC483" i="16"/>
  <c r="AD483" i="16"/>
  <c r="AE483" i="16"/>
  <c r="AF483" i="16"/>
  <c r="AG483" i="16"/>
  <c r="AH483" i="16"/>
  <c r="AI483" i="16"/>
  <c r="AJ483" i="16"/>
  <c r="AK483" i="16"/>
  <c r="AL483" i="16"/>
  <c r="AM483" i="16"/>
  <c r="AN483" i="16"/>
  <c r="AO483" i="16"/>
  <c r="AP483" i="16"/>
  <c r="AQ483" i="16"/>
  <c r="AR483" i="16"/>
  <c r="AS483" i="16"/>
  <c r="AT483" i="16"/>
  <c r="AU483" i="16"/>
  <c r="AV483" i="16"/>
  <c r="AW483" i="16"/>
  <c r="AX483" i="16"/>
  <c r="AY483" i="16"/>
  <c r="AZ483" i="16"/>
  <c r="BA483" i="16"/>
  <c r="BB483" i="16"/>
  <c r="BC483" i="16"/>
  <c r="BD483" i="16"/>
  <c r="BE483" i="16"/>
  <c r="BF483" i="16"/>
  <c r="BG483" i="16"/>
  <c r="BH483" i="16"/>
  <c r="BI483" i="16"/>
  <c r="BJ483" i="16"/>
  <c r="BK483" i="16"/>
  <c r="BL483" i="16"/>
  <c r="BM483" i="16"/>
  <c r="BN483" i="16"/>
  <c r="BO483" i="16"/>
  <c r="BP483" i="16"/>
  <c r="AA484" i="16"/>
  <c r="AB484" i="16"/>
  <c r="AC484" i="16"/>
  <c r="AD484" i="16"/>
  <c r="AE484" i="16"/>
  <c r="AF484" i="16"/>
  <c r="AG484" i="16"/>
  <c r="AH484" i="16"/>
  <c r="AI484" i="16"/>
  <c r="AJ484" i="16"/>
  <c r="AK484" i="16"/>
  <c r="AL484" i="16"/>
  <c r="AM484" i="16"/>
  <c r="AN484" i="16"/>
  <c r="AO484" i="16"/>
  <c r="AP484" i="16"/>
  <c r="AQ484" i="16"/>
  <c r="AR484" i="16"/>
  <c r="AS484" i="16"/>
  <c r="AT484" i="16"/>
  <c r="AU484" i="16"/>
  <c r="AV484" i="16"/>
  <c r="AW484" i="16"/>
  <c r="AX484" i="16"/>
  <c r="AY484" i="16"/>
  <c r="AZ484" i="16"/>
  <c r="BA484" i="16"/>
  <c r="BB484" i="16"/>
  <c r="BC484" i="16"/>
  <c r="BD484" i="16"/>
  <c r="BE484" i="16"/>
  <c r="BF484" i="16"/>
  <c r="BG484" i="16"/>
  <c r="BH484" i="16"/>
  <c r="BI484" i="16"/>
  <c r="BJ484" i="16"/>
  <c r="BK484" i="16"/>
  <c r="BL484" i="16"/>
  <c r="BM484" i="16"/>
  <c r="BN484" i="16"/>
  <c r="BO484" i="16"/>
  <c r="BP484" i="16"/>
  <c r="AA485" i="16"/>
  <c r="AB485" i="16"/>
  <c r="AC485" i="16"/>
  <c r="AD485" i="16"/>
  <c r="AE485" i="16"/>
  <c r="AF485" i="16"/>
  <c r="AG485" i="16"/>
  <c r="AH485" i="16"/>
  <c r="AI485" i="16"/>
  <c r="AJ485" i="16"/>
  <c r="AK485" i="16"/>
  <c r="AL485" i="16"/>
  <c r="AM485" i="16"/>
  <c r="AN485" i="16"/>
  <c r="AO485" i="16"/>
  <c r="AP485" i="16"/>
  <c r="AQ485" i="16"/>
  <c r="AR485" i="16"/>
  <c r="AS485" i="16"/>
  <c r="AT485" i="16"/>
  <c r="AU485" i="16"/>
  <c r="AV485" i="16"/>
  <c r="AW485" i="16"/>
  <c r="AX485" i="16"/>
  <c r="AY485" i="16"/>
  <c r="AZ485" i="16"/>
  <c r="BA485" i="16"/>
  <c r="BB485" i="16"/>
  <c r="BC485" i="16"/>
  <c r="BD485" i="16"/>
  <c r="BE485" i="16"/>
  <c r="BF485" i="16"/>
  <c r="BG485" i="16"/>
  <c r="BH485" i="16"/>
  <c r="BI485" i="16"/>
  <c r="BJ485" i="16"/>
  <c r="BK485" i="16"/>
  <c r="BL485" i="16"/>
  <c r="BM485" i="16"/>
  <c r="BN485" i="16"/>
  <c r="BO485" i="16"/>
  <c r="BP485" i="16"/>
  <c r="AA486" i="16"/>
  <c r="AB486" i="16"/>
  <c r="AC486" i="16"/>
  <c r="AD486" i="16"/>
  <c r="AE486" i="16"/>
  <c r="AF486" i="16"/>
  <c r="AG486" i="16"/>
  <c r="AH486" i="16"/>
  <c r="AI486" i="16"/>
  <c r="AJ486" i="16"/>
  <c r="AK486" i="16"/>
  <c r="AL486" i="16"/>
  <c r="AM486" i="16"/>
  <c r="AN486" i="16"/>
  <c r="AO486" i="16"/>
  <c r="AP486" i="16"/>
  <c r="AQ486" i="16"/>
  <c r="AR486" i="16"/>
  <c r="AS486" i="16"/>
  <c r="AT486" i="16"/>
  <c r="AU486" i="16"/>
  <c r="AV486" i="16"/>
  <c r="AW486" i="16"/>
  <c r="AX486" i="16"/>
  <c r="AY486" i="16"/>
  <c r="AZ486" i="16"/>
  <c r="BA486" i="16"/>
  <c r="BB486" i="16"/>
  <c r="BC486" i="16"/>
  <c r="BD486" i="16"/>
  <c r="BE486" i="16"/>
  <c r="BF486" i="16"/>
  <c r="BG486" i="16"/>
  <c r="BH486" i="16"/>
  <c r="BI486" i="16"/>
  <c r="BJ486" i="16"/>
  <c r="BK486" i="16"/>
  <c r="BL486" i="16"/>
  <c r="BM486" i="16"/>
  <c r="BN486" i="16"/>
  <c r="BO486" i="16"/>
  <c r="BP486" i="16"/>
  <c r="AA487" i="16"/>
  <c r="AB487" i="16"/>
  <c r="AC487" i="16"/>
  <c r="AD487" i="16"/>
  <c r="AE487" i="16"/>
  <c r="AF487" i="16"/>
  <c r="AG487" i="16"/>
  <c r="AH487" i="16"/>
  <c r="AI487" i="16"/>
  <c r="AJ487" i="16"/>
  <c r="AK487" i="16"/>
  <c r="AL487" i="16"/>
  <c r="AM487" i="16"/>
  <c r="AN487" i="16"/>
  <c r="AO487" i="16"/>
  <c r="AP487" i="16"/>
  <c r="AQ487" i="16"/>
  <c r="AR487" i="16"/>
  <c r="AS487" i="16"/>
  <c r="AT487" i="16"/>
  <c r="AU487" i="16"/>
  <c r="AV487" i="16"/>
  <c r="AW487" i="16"/>
  <c r="AX487" i="16"/>
  <c r="AY487" i="16"/>
  <c r="AZ487" i="16"/>
  <c r="BA487" i="16"/>
  <c r="BB487" i="16"/>
  <c r="BC487" i="16"/>
  <c r="BD487" i="16"/>
  <c r="BE487" i="16"/>
  <c r="BF487" i="16"/>
  <c r="BG487" i="16"/>
  <c r="BH487" i="16"/>
  <c r="BI487" i="16"/>
  <c r="BJ487" i="16"/>
  <c r="BK487" i="16"/>
  <c r="BL487" i="16"/>
  <c r="BM487" i="16"/>
  <c r="BN487" i="16"/>
  <c r="BO487" i="16"/>
  <c r="BP487" i="16"/>
  <c r="AA488" i="16"/>
  <c r="AB488" i="16"/>
  <c r="AC488" i="16"/>
  <c r="AD488" i="16"/>
  <c r="AE488" i="16"/>
  <c r="AF488" i="16"/>
  <c r="AG488" i="16"/>
  <c r="AH488" i="16"/>
  <c r="AI488" i="16"/>
  <c r="AJ488" i="16"/>
  <c r="AK488" i="16"/>
  <c r="AL488" i="16"/>
  <c r="AM488" i="16"/>
  <c r="AN488" i="16"/>
  <c r="AO488" i="16"/>
  <c r="AP488" i="16"/>
  <c r="AQ488" i="16"/>
  <c r="AR488" i="16"/>
  <c r="AS488" i="16"/>
  <c r="AT488" i="16"/>
  <c r="AU488" i="16"/>
  <c r="AV488" i="16"/>
  <c r="AW488" i="16"/>
  <c r="AX488" i="16"/>
  <c r="AY488" i="16"/>
  <c r="AZ488" i="16"/>
  <c r="BA488" i="16"/>
  <c r="BB488" i="16"/>
  <c r="BC488" i="16"/>
  <c r="BD488" i="16"/>
  <c r="BE488" i="16"/>
  <c r="BF488" i="16"/>
  <c r="BG488" i="16"/>
  <c r="BH488" i="16"/>
  <c r="BI488" i="16"/>
  <c r="BJ488" i="16"/>
  <c r="BK488" i="16"/>
  <c r="BL488" i="16"/>
  <c r="BM488" i="16"/>
  <c r="BN488" i="16"/>
  <c r="BO488" i="16"/>
  <c r="BP488" i="16"/>
  <c r="AA489" i="16"/>
  <c r="AB489" i="16"/>
  <c r="AC489" i="16"/>
  <c r="AD489" i="16"/>
  <c r="AE489" i="16"/>
  <c r="AF489" i="16"/>
  <c r="AG489" i="16"/>
  <c r="AH489" i="16"/>
  <c r="AI489" i="16"/>
  <c r="AJ489" i="16"/>
  <c r="AK489" i="16"/>
  <c r="AL489" i="16"/>
  <c r="AM489" i="16"/>
  <c r="AN489" i="16"/>
  <c r="AO489" i="16"/>
  <c r="AP489" i="16"/>
  <c r="AQ489" i="16"/>
  <c r="AR489" i="16"/>
  <c r="AS489" i="16"/>
  <c r="AT489" i="16"/>
  <c r="AU489" i="16"/>
  <c r="AV489" i="16"/>
  <c r="AW489" i="16"/>
  <c r="AX489" i="16"/>
  <c r="AY489" i="16"/>
  <c r="AZ489" i="16"/>
  <c r="BA489" i="16"/>
  <c r="BB489" i="16"/>
  <c r="BC489" i="16"/>
  <c r="BD489" i="16"/>
  <c r="BE489" i="16"/>
  <c r="BF489" i="16"/>
  <c r="BG489" i="16"/>
  <c r="BH489" i="16"/>
  <c r="BI489" i="16"/>
  <c r="BJ489" i="16"/>
  <c r="BK489" i="16"/>
  <c r="BL489" i="16"/>
  <c r="BM489" i="16"/>
  <c r="BN489" i="16"/>
  <c r="BO489" i="16"/>
  <c r="BP489" i="16"/>
  <c r="AA490" i="16"/>
  <c r="AB490" i="16"/>
  <c r="AC490" i="16"/>
  <c r="AD490" i="16"/>
  <c r="AE490" i="16"/>
  <c r="AF490" i="16"/>
  <c r="AG490" i="16"/>
  <c r="AH490" i="16"/>
  <c r="AI490" i="16"/>
  <c r="AJ490" i="16"/>
  <c r="AK490" i="16"/>
  <c r="AL490" i="16"/>
  <c r="AM490" i="16"/>
  <c r="AN490" i="16"/>
  <c r="AO490" i="16"/>
  <c r="AP490" i="16"/>
  <c r="AQ490" i="16"/>
  <c r="AR490" i="16"/>
  <c r="AS490" i="16"/>
  <c r="AT490" i="16"/>
  <c r="AU490" i="16"/>
  <c r="AV490" i="16"/>
  <c r="AW490" i="16"/>
  <c r="AX490" i="16"/>
  <c r="AY490" i="16"/>
  <c r="AZ490" i="16"/>
  <c r="BA490" i="16"/>
  <c r="BB490" i="16"/>
  <c r="BC490" i="16"/>
  <c r="BD490" i="16"/>
  <c r="BE490" i="16"/>
  <c r="BF490" i="16"/>
  <c r="BG490" i="16"/>
  <c r="BH490" i="16"/>
  <c r="BI490" i="16"/>
  <c r="BJ490" i="16"/>
  <c r="BK490" i="16"/>
  <c r="BL490" i="16"/>
  <c r="BM490" i="16"/>
  <c r="BN490" i="16"/>
  <c r="BO490" i="16"/>
  <c r="BP490" i="16"/>
  <c r="AA491" i="16"/>
  <c r="AB491" i="16"/>
  <c r="AC491" i="16"/>
  <c r="AD491" i="16"/>
  <c r="AE491" i="16"/>
  <c r="AF491" i="16"/>
  <c r="AG491" i="16"/>
  <c r="AH491" i="16"/>
  <c r="AI491" i="16"/>
  <c r="AJ491" i="16"/>
  <c r="AK491" i="16"/>
  <c r="AL491" i="16"/>
  <c r="AM491" i="16"/>
  <c r="AN491" i="16"/>
  <c r="AO491" i="16"/>
  <c r="AP491" i="16"/>
  <c r="AQ491" i="16"/>
  <c r="AR491" i="16"/>
  <c r="AS491" i="16"/>
  <c r="AT491" i="16"/>
  <c r="AU491" i="16"/>
  <c r="AV491" i="16"/>
  <c r="AW491" i="16"/>
  <c r="AX491" i="16"/>
  <c r="AY491" i="16"/>
  <c r="AZ491" i="16"/>
  <c r="BA491" i="16"/>
  <c r="BB491" i="16"/>
  <c r="BC491" i="16"/>
  <c r="BD491" i="16"/>
  <c r="BE491" i="16"/>
  <c r="BF491" i="16"/>
  <c r="BG491" i="16"/>
  <c r="BH491" i="16"/>
  <c r="BI491" i="16"/>
  <c r="BJ491" i="16"/>
  <c r="BK491" i="16"/>
  <c r="BL491" i="16"/>
  <c r="BM491" i="16"/>
  <c r="BN491" i="16"/>
  <c r="BO491" i="16"/>
  <c r="BP491" i="16"/>
  <c r="AA492" i="16"/>
  <c r="AB492" i="16"/>
  <c r="AC492" i="16"/>
  <c r="AD492" i="16"/>
  <c r="AE492" i="16"/>
  <c r="AF492" i="16"/>
  <c r="AG492" i="16"/>
  <c r="AH492" i="16"/>
  <c r="AI492" i="16"/>
  <c r="AJ492" i="16"/>
  <c r="AK492" i="16"/>
  <c r="AL492" i="16"/>
  <c r="AM492" i="16"/>
  <c r="AN492" i="16"/>
  <c r="AO492" i="16"/>
  <c r="AP492" i="16"/>
  <c r="AQ492" i="16"/>
  <c r="AR492" i="16"/>
  <c r="AS492" i="16"/>
  <c r="AT492" i="16"/>
  <c r="AU492" i="16"/>
  <c r="AV492" i="16"/>
  <c r="AW492" i="16"/>
  <c r="AX492" i="16"/>
  <c r="AY492" i="16"/>
  <c r="AZ492" i="16"/>
  <c r="BA492" i="16"/>
  <c r="BB492" i="16"/>
  <c r="BC492" i="16"/>
  <c r="BD492" i="16"/>
  <c r="BE492" i="16"/>
  <c r="BF492" i="16"/>
  <c r="BG492" i="16"/>
  <c r="BH492" i="16"/>
  <c r="BI492" i="16"/>
  <c r="BJ492" i="16"/>
  <c r="BK492" i="16"/>
  <c r="BL492" i="16"/>
  <c r="BM492" i="16"/>
  <c r="BN492" i="16"/>
  <c r="BO492" i="16"/>
  <c r="BP492" i="16"/>
  <c r="AA493" i="16"/>
  <c r="AB493" i="16"/>
  <c r="AC493" i="16"/>
  <c r="AD493" i="16"/>
  <c r="AE493" i="16"/>
  <c r="AF493" i="16"/>
  <c r="AG493" i="16"/>
  <c r="AH493" i="16"/>
  <c r="AI493" i="16"/>
  <c r="AJ493" i="16"/>
  <c r="AK493" i="16"/>
  <c r="AL493" i="16"/>
  <c r="AM493" i="16"/>
  <c r="AN493" i="16"/>
  <c r="AO493" i="16"/>
  <c r="AP493" i="16"/>
  <c r="AQ493" i="16"/>
  <c r="AR493" i="16"/>
  <c r="AS493" i="16"/>
  <c r="AT493" i="16"/>
  <c r="AU493" i="16"/>
  <c r="AV493" i="16"/>
  <c r="AW493" i="16"/>
  <c r="AX493" i="16"/>
  <c r="AY493" i="16"/>
  <c r="AZ493" i="16"/>
  <c r="BA493" i="16"/>
  <c r="BB493" i="16"/>
  <c r="BC493" i="16"/>
  <c r="BD493" i="16"/>
  <c r="BE493" i="16"/>
  <c r="BF493" i="16"/>
  <c r="BG493" i="16"/>
  <c r="BH493" i="16"/>
  <c r="BI493" i="16"/>
  <c r="BJ493" i="16"/>
  <c r="BK493" i="16"/>
  <c r="BL493" i="16"/>
  <c r="BM493" i="16"/>
  <c r="BN493" i="16"/>
  <c r="BO493" i="16"/>
  <c r="BP493" i="16"/>
  <c r="AA494" i="16"/>
  <c r="AB494" i="16"/>
  <c r="AC494" i="16"/>
  <c r="AD494" i="16"/>
  <c r="AE494" i="16"/>
  <c r="AF494" i="16"/>
  <c r="AG494" i="16"/>
  <c r="AH494" i="16"/>
  <c r="AI494" i="16"/>
  <c r="AJ494" i="16"/>
  <c r="AK494" i="16"/>
  <c r="AL494" i="16"/>
  <c r="AM494" i="16"/>
  <c r="AN494" i="16"/>
  <c r="AO494" i="16"/>
  <c r="AP494" i="16"/>
  <c r="AQ494" i="16"/>
  <c r="AR494" i="16"/>
  <c r="AS494" i="16"/>
  <c r="AT494" i="16"/>
  <c r="AU494" i="16"/>
  <c r="AV494" i="16"/>
  <c r="AW494" i="16"/>
  <c r="AX494" i="16"/>
  <c r="AY494" i="16"/>
  <c r="AZ494" i="16"/>
  <c r="BA494" i="16"/>
  <c r="BB494" i="16"/>
  <c r="BC494" i="16"/>
  <c r="BD494" i="16"/>
  <c r="BE494" i="16"/>
  <c r="BF494" i="16"/>
  <c r="BG494" i="16"/>
  <c r="BH494" i="16"/>
  <c r="BI494" i="16"/>
  <c r="BJ494" i="16"/>
  <c r="BK494" i="16"/>
  <c r="BL494" i="16"/>
  <c r="BM494" i="16"/>
  <c r="BN494" i="16"/>
  <c r="BO494" i="16"/>
  <c r="BP494" i="16"/>
  <c r="AA495" i="16"/>
  <c r="AB495" i="16"/>
  <c r="AC495" i="16"/>
  <c r="AD495" i="16"/>
  <c r="AE495" i="16"/>
  <c r="AF495" i="16"/>
  <c r="AG495" i="16"/>
  <c r="AH495" i="16"/>
  <c r="AI495" i="16"/>
  <c r="AJ495" i="16"/>
  <c r="AK495" i="16"/>
  <c r="AL495" i="16"/>
  <c r="AM495" i="16"/>
  <c r="AN495" i="16"/>
  <c r="AO495" i="16"/>
  <c r="AP495" i="16"/>
  <c r="AQ495" i="16"/>
  <c r="AR495" i="16"/>
  <c r="AS495" i="16"/>
  <c r="AT495" i="16"/>
  <c r="AU495" i="16"/>
  <c r="AV495" i="16"/>
  <c r="AW495" i="16"/>
  <c r="AX495" i="16"/>
  <c r="AY495" i="16"/>
  <c r="AZ495" i="16"/>
  <c r="BA495" i="16"/>
  <c r="BB495" i="16"/>
  <c r="BC495" i="16"/>
  <c r="BD495" i="16"/>
  <c r="BE495" i="16"/>
  <c r="BF495" i="16"/>
  <c r="BG495" i="16"/>
  <c r="BH495" i="16"/>
  <c r="BI495" i="16"/>
  <c r="BJ495" i="16"/>
  <c r="BK495" i="16"/>
  <c r="BL495" i="16"/>
  <c r="BM495" i="16"/>
  <c r="BN495" i="16"/>
  <c r="BO495" i="16"/>
  <c r="BP495" i="16"/>
  <c r="AA496" i="16"/>
  <c r="AB496" i="16"/>
  <c r="AC496" i="16"/>
  <c r="AD496" i="16"/>
  <c r="AE496" i="16"/>
  <c r="AF496" i="16"/>
  <c r="AG496" i="16"/>
  <c r="AH496" i="16"/>
  <c r="AI496" i="16"/>
  <c r="AJ496" i="16"/>
  <c r="AK496" i="16"/>
  <c r="AL496" i="16"/>
  <c r="AM496" i="16"/>
  <c r="AN496" i="16"/>
  <c r="AO496" i="16"/>
  <c r="AP496" i="16"/>
  <c r="AQ496" i="16"/>
  <c r="AR496" i="16"/>
  <c r="AS496" i="16"/>
  <c r="AT496" i="16"/>
  <c r="AU496" i="16"/>
  <c r="AV496" i="16"/>
  <c r="AW496" i="16"/>
  <c r="AX496" i="16"/>
  <c r="AY496" i="16"/>
  <c r="AZ496" i="16"/>
  <c r="BA496" i="16"/>
  <c r="BB496" i="16"/>
  <c r="BC496" i="16"/>
  <c r="BD496" i="16"/>
  <c r="BE496" i="16"/>
  <c r="BF496" i="16"/>
  <c r="BG496" i="16"/>
  <c r="BH496" i="16"/>
  <c r="BI496" i="16"/>
  <c r="BJ496" i="16"/>
  <c r="BK496" i="16"/>
  <c r="BL496" i="16"/>
  <c r="BM496" i="16"/>
  <c r="BN496" i="16"/>
  <c r="BO496" i="16"/>
  <c r="BP496" i="16"/>
  <c r="AA497" i="16"/>
  <c r="AB497" i="16"/>
  <c r="AC497" i="16"/>
  <c r="AD497" i="16"/>
  <c r="AE497" i="16"/>
  <c r="AF497" i="16"/>
  <c r="AG497" i="16"/>
  <c r="AH497" i="16"/>
  <c r="AI497" i="16"/>
  <c r="AJ497" i="16"/>
  <c r="AK497" i="16"/>
  <c r="AL497" i="16"/>
  <c r="AM497" i="16"/>
  <c r="AN497" i="16"/>
  <c r="AO497" i="16"/>
  <c r="AP497" i="16"/>
  <c r="AQ497" i="16"/>
  <c r="AR497" i="16"/>
  <c r="AS497" i="16"/>
  <c r="AT497" i="16"/>
  <c r="AU497" i="16"/>
  <c r="AV497" i="16"/>
  <c r="AW497" i="16"/>
  <c r="AX497" i="16"/>
  <c r="AY497" i="16"/>
  <c r="AZ497" i="16"/>
  <c r="BA497" i="16"/>
  <c r="BB497" i="16"/>
  <c r="BC497" i="16"/>
  <c r="BD497" i="16"/>
  <c r="BE497" i="16"/>
  <c r="BF497" i="16"/>
  <c r="BG497" i="16"/>
  <c r="BH497" i="16"/>
  <c r="BI497" i="16"/>
  <c r="BJ497" i="16"/>
  <c r="BK497" i="16"/>
  <c r="BL497" i="16"/>
  <c r="BM497" i="16"/>
  <c r="BN497" i="16"/>
  <c r="BO497" i="16"/>
  <c r="BP497" i="16"/>
  <c r="AA498" i="16"/>
  <c r="AB498" i="16"/>
  <c r="AC498" i="16"/>
  <c r="AD498" i="16"/>
  <c r="AE498" i="16"/>
  <c r="AF498" i="16"/>
  <c r="AG498" i="16"/>
  <c r="AH498" i="16"/>
  <c r="AI498" i="16"/>
  <c r="AJ498" i="16"/>
  <c r="AK498" i="16"/>
  <c r="AL498" i="16"/>
  <c r="AM498" i="16"/>
  <c r="AN498" i="16"/>
  <c r="AO498" i="16"/>
  <c r="AP498" i="16"/>
  <c r="AQ498" i="16"/>
  <c r="AR498" i="16"/>
  <c r="AS498" i="16"/>
  <c r="AT498" i="16"/>
  <c r="AU498" i="16"/>
  <c r="AV498" i="16"/>
  <c r="AW498" i="16"/>
  <c r="AX498" i="16"/>
  <c r="AY498" i="16"/>
  <c r="AZ498" i="16"/>
  <c r="BA498" i="16"/>
  <c r="BB498" i="16"/>
  <c r="BC498" i="16"/>
  <c r="BD498" i="16"/>
  <c r="BE498" i="16"/>
  <c r="BF498" i="16"/>
  <c r="BG498" i="16"/>
  <c r="BH498" i="16"/>
  <c r="BI498" i="16"/>
  <c r="BJ498" i="16"/>
  <c r="BK498" i="16"/>
  <c r="BL498" i="16"/>
  <c r="BM498" i="16"/>
  <c r="BN498" i="16"/>
  <c r="BO498" i="16"/>
  <c r="BP498" i="16"/>
  <c r="AA499" i="16"/>
  <c r="AB499" i="16"/>
  <c r="AC499" i="16"/>
  <c r="AD499" i="16"/>
  <c r="AE499" i="16"/>
  <c r="AF499" i="16"/>
  <c r="AG499" i="16"/>
  <c r="AH499" i="16"/>
  <c r="AI499" i="16"/>
  <c r="AJ499" i="16"/>
  <c r="AK499" i="16"/>
  <c r="AL499" i="16"/>
  <c r="AM499" i="16"/>
  <c r="AN499" i="16"/>
  <c r="AO499" i="16"/>
  <c r="AP499" i="16"/>
  <c r="AQ499" i="16"/>
  <c r="AR499" i="16"/>
  <c r="AS499" i="16"/>
  <c r="AT499" i="16"/>
  <c r="AU499" i="16"/>
  <c r="AV499" i="16"/>
  <c r="AW499" i="16"/>
  <c r="AX499" i="16"/>
  <c r="AY499" i="16"/>
  <c r="AZ499" i="16"/>
  <c r="BA499" i="16"/>
  <c r="BB499" i="16"/>
  <c r="BC499" i="16"/>
  <c r="BD499" i="16"/>
  <c r="BE499" i="16"/>
  <c r="BF499" i="16"/>
  <c r="BG499" i="16"/>
  <c r="BH499" i="16"/>
  <c r="BI499" i="16"/>
  <c r="BJ499" i="16"/>
  <c r="BK499" i="16"/>
  <c r="BL499" i="16"/>
  <c r="BM499" i="16"/>
  <c r="BN499" i="16"/>
  <c r="BO499" i="16"/>
  <c r="BP499" i="16"/>
  <c r="AA500" i="16"/>
  <c r="AB500" i="16"/>
  <c r="AC500" i="16"/>
  <c r="AD500" i="16"/>
  <c r="AE500" i="16"/>
  <c r="AF500" i="16"/>
  <c r="AG500" i="16"/>
  <c r="AH500" i="16"/>
  <c r="AI500" i="16"/>
  <c r="AJ500" i="16"/>
  <c r="AK500" i="16"/>
  <c r="AL500" i="16"/>
  <c r="AM500" i="16"/>
  <c r="AN500" i="16"/>
  <c r="AO500" i="16"/>
  <c r="AP500" i="16"/>
  <c r="AQ500" i="16"/>
  <c r="AR500" i="16"/>
  <c r="AS500" i="16"/>
  <c r="AT500" i="16"/>
  <c r="AU500" i="16"/>
  <c r="AV500" i="16"/>
  <c r="AW500" i="16"/>
  <c r="AX500" i="16"/>
  <c r="AY500" i="16"/>
  <c r="AZ500" i="16"/>
  <c r="BA500" i="16"/>
  <c r="BB500" i="16"/>
  <c r="BC500" i="16"/>
  <c r="BD500" i="16"/>
  <c r="BE500" i="16"/>
  <c r="BF500" i="16"/>
  <c r="BG500" i="16"/>
  <c r="BH500" i="16"/>
  <c r="BI500" i="16"/>
  <c r="BJ500" i="16"/>
  <c r="BK500" i="16"/>
  <c r="BL500" i="16"/>
  <c r="BM500" i="16"/>
  <c r="BN500" i="16"/>
  <c r="BO500" i="16"/>
  <c r="BP500" i="16"/>
  <c r="AA501" i="16"/>
  <c r="AB501" i="16"/>
  <c r="AC501" i="16"/>
  <c r="AD501" i="16"/>
  <c r="AE501" i="16"/>
  <c r="AF501" i="16"/>
  <c r="AG501" i="16"/>
  <c r="AH501" i="16"/>
  <c r="AI501" i="16"/>
  <c r="AJ501" i="16"/>
  <c r="AK501" i="16"/>
  <c r="AL501" i="16"/>
  <c r="AM501" i="16"/>
  <c r="AN501" i="16"/>
  <c r="AO501" i="16"/>
  <c r="AP501" i="16"/>
  <c r="AQ501" i="16"/>
  <c r="AR501" i="16"/>
  <c r="AS501" i="16"/>
  <c r="AT501" i="16"/>
  <c r="AU501" i="16"/>
  <c r="AV501" i="16"/>
  <c r="AW501" i="16"/>
  <c r="AX501" i="16"/>
  <c r="AY501" i="16"/>
  <c r="AZ501" i="16"/>
  <c r="BA501" i="16"/>
  <c r="BB501" i="16"/>
  <c r="BC501" i="16"/>
  <c r="BD501" i="16"/>
  <c r="BE501" i="16"/>
  <c r="BF501" i="16"/>
  <c r="BG501" i="16"/>
  <c r="BH501" i="16"/>
  <c r="BI501" i="16"/>
  <c r="BJ501" i="16"/>
  <c r="BK501" i="16"/>
  <c r="BL501" i="16"/>
  <c r="BM501" i="16"/>
  <c r="BN501" i="16"/>
  <c r="BO501" i="16"/>
  <c r="BP501" i="16"/>
  <c r="AA502" i="16"/>
  <c r="AB502" i="16"/>
  <c r="AC502" i="16"/>
  <c r="AD502" i="16"/>
  <c r="AE502" i="16"/>
  <c r="AF502" i="16"/>
  <c r="AG502" i="16"/>
  <c r="AH502" i="16"/>
  <c r="AI502" i="16"/>
  <c r="AJ502" i="16"/>
  <c r="AK502" i="16"/>
  <c r="AL502" i="16"/>
  <c r="AM502" i="16"/>
  <c r="AN502" i="16"/>
  <c r="AO502" i="16"/>
  <c r="AP502" i="16"/>
  <c r="AQ502" i="16"/>
  <c r="AR502" i="16"/>
  <c r="AS502" i="16"/>
  <c r="AT502" i="16"/>
  <c r="AU502" i="16"/>
  <c r="AV502" i="16"/>
  <c r="AW502" i="16"/>
  <c r="AX502" i="16"/>
  <c r="AY502" i="16"/>
  <c r="AZ502" i="16"/>
  <c r="BA502" i="16"/>
  <c r="BB502" i="16"/>
  <c r="BC502" i="16"/>
  <c r="BD502" i="16"/>
  <c r="BE502" i="16"/>
  <c r="BF502" i="16"/>
  <c r="BG502" i="16"/>
  <c r="BH502" i="16"/>
  <c r="BI502" i="16"/>
  <c r="BJ502" i="16"/>
  <c r="BK502" i="16"/>
  <c r="BL502" i="16"/>
  <c r="BM502" i="16"/>
  <c r="BN502" i="16"/>
  <c r="BO502" i="16"/>
  <c r="BP502" i="16"/>
  <c r="AA503" i="16"/>
  <c r="AB503" i="16"/>
  <c r="AC503" i="16"/>
  <c r="AD503" i="16"/>
  <c r="AE503" i="16"/>
  <c r="AF503" i="16"/>
  <c r="AG503" i="16"/>
  <c r="AH503" i="16"/>
  <c r="AI503" i="16"/>
  <c r="AJ503" i="16"/>
  <c r="AK503" i="16"/>
  <c r="AL503" i="16"/>
  <c r="AM503" i="16"/>
  <c r="AN503" i="16"/>
  <c r="AO503" i="16"/>
  <c r="AP503" i="16"/>
  <c r="AQ503" i="16"/>
  <c r="AR503" i="16"/>
  <c r="AS503" i="16"/>
  <c r="AT503" i="16"/>
  <c r="AU503" i="16"/>
  <c r="AV503" i="16"/>
  <c r="AW503" i="16"/>
  <c r="AX503" i="16"/>
  <c r="AY503" i="16"/>
  <c r="AZ503" i="16"/>
  <c r="BA503" i="16"/>
  <c r="BB503" i="16"/>
  <c r="BC503" i="16"/>
  <c r="BD503" i="16"/>
  <c r="BE503" i="16"/>
  <c r="BF503" i="16"/>
  <c r="BG503" i="16"/>
  <c r="BH503" i="16"/>
  <c r="BI503" i="16"/>
  <c r="BJ503" i="16"/>
  <c r="BK503" i="16"/>
  <c r="BL503" i="16"/>
  <c r="BM503" i="16"/>
  <c r="BN503" i="16"/>
  <c r="BO503" i="16"/>
  <c r="BP503" i="16"/>
  <c r="AA504" i="16"/>
  <c r="AB504" i="16"/>
  <c r="AC504" i="16"/>
  <c r="AD504" i="16"/>
  <c r="AE504" i="16"/>
  <c r="AF504" i="16"/>
  <c r="AG504" i="16"/>
  <c r="AH504" i="16"/>
  <c r="AI504" i="16"/>
  <c r="AJ504" i="16"/>
  <c r="AK504" i="16"/>
  <c r="AL504" i="16"/>
  <c r="AM504" i="16"/>
  <c r="AN504" i="16"/>
  <c r="AO504" i="16"/>
  <c r="AP504" i="16"/>
  <c r="AQ504" i="16"/>
  <c r="AR504" i="16"/>
  <c r="AS504" i="16"/>
  <c r="AT504" i="16"/>
  <c r="AU504" i="16"/>
  <c r="AV504" i="16"/>
  <c r="AW504" i="16"/>
  <c r="AX504" i="16"/>
  <c r="AY504" i="16"/>
  <c r="AZ504" i="16"/>
  <c r="BA504" i="16"/>
  <c r="BB504" i="16"/>
  <c r="BC504" i="16"/>
  <c r="BD504" i="16"/>
  <c r="BE504" i="16"/>
  <c r="BF504" i="16"/>
  <c r="BG504" i="16"/>
  <c r="BH504" i="16"/>
  <c r="BI504" i="16"/>
  <c r="BJ504" i="16"/>
  <c r="BK504" i="16"/>
  <c r="BL504" i="16"/>
  <c r="BM504" i="16"/>
  <c r="BN504" i="16"/>
  <c r="BO504" i="16"/>
  <c r="BP504" i="16"/>
  <c r="AA505" i="16"/>
  <c r="AB505" i="16"/>
  <c r="AC505" i="16"/>
  <c r="AD505" i="16"/>
  <c r="AE505" i="16"/>
  <c r="AF505" i="16"/>
  <c r="AG505" i="16"/>
  <c r="AH505" i="16"/>
  <c r="AI505" i="16"/>
  <c r="AJ505" i="16"/>
  <c r="AK505" i="16"/>
  <c r="AL505" i="16"/>
  <c r="AM505" i="16"/>
  <c r="AN505" i="16"/>
  <c r="AO505" i="16"/>
  <c r="AP505" i="16"/>
  <c r="AQ505" i="16"/>
  <c r="AR505" i="16"/>
  <c r="AS505" i="16"/>
  <c r="AT505" i="16"/>
  <c r="AU505" i="16"/>
  <c r="AV505" i="16"/>
  <c r="AW505" i="16"/>
  <c r="AX505" i="16"/>
  <c r="AY505" i="16"/>
  <c r="AZ505" i="16"/>
  <c r="BA505" i="16"/>
  <c r="BB505" i="16"/>
  <c r="BC505" i="16"/>
  <c r="BD505" i="16"/>
  <c r="BE505" i="16"/>
  <c r="BF505" i="16"/>
  <c r="BG505" i="16"/>
  <c r="BH505" i="16"/>
  <c r="BI505" i="16"/>
  <c r="BJ505" i="16"/>
  <c r="BK505" i="16"/>
  <c r="BL505" i="16"/>
  <c r="BM505" i="16"/>
  <c r="BN505" i="16"/>
  <c r="BO505" i="16"/>
  <c r="BP505" i="16"/>
  <c r="AA506" i="16"/>
  <c r="AB506" i="16"/>
  <c r="AC506" i="16"/>
  <c r="AD506" i="16"/>
  <c r="AE506" i="16"/>
  <c r="AF506" i="16"/>
  <c r="AG506" i="16"/>
  <c r="AH506" i="16"/>
  <c r="AI506" i="16"/>
  <c r="AJ506" i="16"/>
  <c r="AK506" i="16"/>
  <c r="AL506" i="16"/>
  <c r="AM506" i="16"/>
  <c r="AN506" i="16"/>
  <c r="AO506" i="16"/>
  <c r="AP506" i="16"/>
  <c r="AQ506" i="16"/>
  <c r="AR506" i="16"/>
  <c r="AS506" i="16"/>
  <c r="AT506" i="16"/>
  <c r="AU506" i="16"/>
  <c r="AV506" i="16"/>
  <c r="AW506" i="16"/>
  <c r="AX506" i="16"/>
  <c r="AY506" i="16"/>
  <c r="AZ506" i="16"/>
  <c r="BA506" i="16"/>
  <c r="BB506" i="16"/>
  <c r="BC506" i="16"/>
  <c r="BD506" i="16"/>
  <c r="BE506" i="16"/>
  <c r="BF506" i="16"/>
  <c r="BG506" i="16"/>
  <c r="BH506" i="16"/>
  <c r="BI506" i="16"/>
  <c r="BJ506" i="16"/>
  <c r="BK506" i="16"/>
  <c r="BL506" i="16"/>
  <c r="BM506" i="16"/>
  <c r="BN506" i="16"/>
  <c r="BO506" i="16"/>
  <c r="BP506" i="16"/>
  <c r="AA507" i="16"/>
  <c r="AB507" i="16"/>
  <c r="AC507" i="16"/>
  <c r="AD507" i="16"/>
  <c r="AE507" i="16"/>
  <c r="AF507" i="16"/>
  <c r="AG507" i="16"/>
  <c r="AH507" i="16"/>
  <c r="AI507" i="16"/>
  <c r="AJ507" i="16"/>
  <c r="AK507" i="16"/>
  <c r="AL507" i="16"/>
  <c r="AM507" i="16"/>
  <c r="AN507" i="16"/>
  <c r="AO507" i="16"/>
  <c r="AP507" i="16"/>
  <c r="AQ507" i="16"/>
  <c r="AR507" i="16"/>
  <c r="AS507" i="16"/>
  <c r="AT507" i="16"/>
  <c r="AU507" i="16"/>
  <c r="AV507" i="16"/>
  <c r="AW507" i="16"/>
  <c r="AX507" i="16"/>
  <c r="AY507" i="16"/>
  <c r="AZ507" i="16"/>
  <c r="BA507" i="16"/>
  <c r="BB507" i="16"/>
  <c r="BC507" i="16"/>
  <c r="BD507" i="16"/>
  <c r="BE507" i="16"/>
  <c r="BF507" i="16"/>
  <c r="BG507" i="16"/>
  <c r="BH507" i="16"/>
  <c r="BI507" i="16"/>
  <c r="BJ507" i="16"/>
  <c r="BK507" i="16"/>
  <c r="BL507" i="16"/>
  <c r="BM507" i="16"/>
  <c r="BN507" i="16"/>
  <c r="BO507" i="16"/>
  <c r="BP507" i="16"/>
  <c r="AA508" i="16"/>
  <c r="AB508" i="16"/>
  <c r="AC508" i="16"/>
  <c r="AD508" i="16"/>
  <c r="AE508" i="16"/>
  <c r="AF508" i="16"/>
  <c r="AG508" i="16"/>
  <c r="AH508" i="16"/>
  <c r="AI508" i="16"/>
  <c r="AJ508" i="16"/>
  <c r="AK508" i="16"/>
  <c r="AL508" i="16"/>
  <c r="AM508" i="16"/>
  <c r="AN508" i="16"/>
  <c r="AO508" i="16"/>
  <c r="AP508" i="16"/>
  <c r="AQ508" i="16"/>
  <c r="AR508" i="16"/>
  <c r="AS508" i="16"/>
  <c r="AT508" i="16"/>
  <c r="AU508" i="16"/>
  <c r="AV508" i="16"/>
  <c r="AW508" i="16"/>
  <c r="AX508" i="16"/>
  <c r="AY508" i="16"/>
  <c r="AZ508" i="16"/>
  <c r="BA508" i="16"/>
  <c r="BB508" i="16"/>
  <c r="BC508" i="16"/>
  <c r="BD508" i="16"/>
  <c r="BE508" i="16"/>
  <c r="BF508" i="16"/>
  <c r="BG508" i="16"/>
  <c r="BH508" i="16"/>
  <c r="BI508" i="16"/>
  <c r="BJ508" i="16"/>
  <c r="BK508" i="16"/>
  <c r="BL508" i="16"/>
  <c r="BM508" i="16"/>
  <c r="BN508" i="16"/>
  <c r="BO508" i="16"/>
  <c r="BP508" i="16"/>
  <c r="AA509" i="16"/>
  <c r="AB509" i="16"/>
  <c r="AC509" i="16"/>
  <c r="AD509" i="16"/>
  <c r="AE509" i="16"/>
  <c r="AF509" i="16"/>
  <c r="AG509" i="16"/>
  <c r="AH509" i="16"/>
  <c r="AI509" i="16"/>
  <c r="AJ509" i="16"/>
  <c r="AK509" i="16"/>
  <c r="AL509" i="16"/>
  <c r="AM509" i="16"/>
  <c r="AN509" i="16"/>
  <c r="AO509" i="16"/>
  <c r="AP509" i="16"/>
  <c r="AQ509" i="16"/>
  <c r="AR509" i="16"/>
  <c r="AS509" i="16"/>
  <c r="AT509" i="16"/>
  <c r="AU509" i="16"/>
  <c r="AV509" i="16"/>
  <c r="AW509" i="16"/>
  <c r="AX509" i="16"/>
  <c r="AY509" i="16"/>
  <c r="AZ509" i="16"/>
  <c r="BA509" i="16"/>
  <c r="BB509" i="16"/>
  <c r="BC509" i="16"/>
  <c r="BD509" i="16"/>
  <c r="BE509" i="16"/>
  <c r="BF509" i="16"/>
  <c r="BG509" i="16"/>
  <c r="BH509" i="16"/>
  <c r="BI509" i="16"/>
  <c r="BJ509" i="16"/>
  <c r="BK509" i="16"/>
  <c r="BL509" i="16"/>
  <c r="BM509" i="16"/>
  <c r="BN509" i="16"/>
  <c r="BO509" i="16"/>
  <c r="BP509" i="16"/>
  <c r="AA510" i="16"/>
  <c r="AB510" i="16"/>
  <c r="AC510" i="16"/>
  <c r="AD510" i="16"/>
  <c r="AE510" i="16"/>
  <c r="AF510" i="16"/>
  <c r="AG510" i="16"/>
  <c r="AH510" i="16"/>
  <c r="AI510" i="16"/>
  <c r="AJ510" i="16"/>
  <c r="AK510" i="16"/>
  <c r="AL510" i="16"/>
  <c r="AM510" i="16"/>
  <c r="AN510" i="16"/>
  <c r="AO510" i="16"/>
  <c r="AP510" i="16"/>
  <c r="AQ510" i="16"/>
  <c r="AR510" i="16"/>
  <c r="AS510" i="16"/>
  <c r="AT510" i="16"/>
  <c r="AU510" i="16"/>
  <c r="AV510" i="16"/>
  <c r="AW510" i="16"/>
  <c r="AX510" i="16"/>
  <c r="AY510" i="16"/>
  <c r="AZ510" i="16"/>
  <c r="BA510" i="16"/>
  <c r="BB510" i="16"/>
  <c r="BC510" i="16"/>
  <c r="BD510" i="16"/>
  <c r="BE510" i="16"/>
  <c r="BF510" i="16"/>
  <c r="BG510" i="16"/>
  <c r="BH510" i="16"/>
  <c r="BI510" i="16"/>
  <c r="BJ510" i="16"/>
  <c r="BK510" i="16"/>
  <c r="BL510" i="16"/>
  <c r="BM510" i="16"/>
  <c r="BN510" i="16"/>
  <c r="BO510" i="16"/>
  <c r="BP510" i="16"/>
  <c r="AA511" i="16"/>
  <c r="AB511" i="16"/>
  <c r="AC511" i="16"/>
  <c r="AD511" i="16"/>
  <c r="AE511" i="16"/>
  <c r="AF511" i="16"/>
  <c r="AG511" i="16"/>
  <c r="AH511" i="16"/>
  <c r="AI511" i="16"/>
  <c r="AJ511" i="16"/>
  <c r="AK511" i="16"/>
  <c r="AL511" i="16"/>
  <c r="AM511" i="16"/>
  <c r="AN511" i="16"/>
  <c r="AO511" i="16"/>
  <c r="AP511" i="16"/>
  <c r="AQ511" i="16"/>
  <c r="AR511" i="16"/>
  <c r="AS511" i="16"/>
  <c r="AT511" i="16"/>
  <c r="AU511" i="16"/>
  <c r="AV511" i="16"/>
  <c r="AW511" i="16"/>
  <c r="AX511" i="16"/>
  <c r="AY511" i="16"/>
  <c r="AZ511" i="16"/>
  <c r="BA511" i="16"/>
  <c r="BB511" i="16"/>
  <c r="BC511" i="16"/>
  <c r="BD511" i="16"/>
  <c r="BE511" i="16"/>
  <c r="BF511" i="16"/>
  <c r="BG511" i="16"/>
  <c r="BH511" i="16"/>
  <c r="BI511" i="16"/>
  <c r="BJ511" i="16"/>
  <c r="BK511" i="16"/>
  <c r="BL511" i="16"/>
  <c r="BM511" i="16"/>
  <c r="BN511" i="16"/>
  <c r="BO511" i="16"/>
  <c r="BP511" i="16"/>
  <c r="AA512" i="16"/>
  <c r="AB512" i="16"/>
  <c r="AC512" i="16"/>
  <c r="AD512" i="16"/>
  <c r="AE512" i="16"/>
  <c r="AF512" i="16"/>
  <c r="AG512" i="16"/>
  <c r="AH512" i="16"/>
  <c r="AI512" i="16"/>
  <c r="AJ512" i="16"/>
  <c r="AK512" i="16"/>
  <c r="AL512" i="16"/>
  <c r="AM512" i="16"/>
  <c r="AN512" i="16"/>
  <c r="AO512" i="16"/>
  <c r="AP512" i="16"/>
  <c r="AQ512" i="16"/>
  <c r="AR512" i="16"/>
  <c r="AS512" i="16"/>
  <c r="AT512" i="16"/>
  <c r="AU512" i="16"/>
  <c r="AV512" i="16"/>
  <c r="AW512" i="16"/>
  <c r="AX512" i="16"/>
  <c r="AY512" i="16"/>
  <c r="AZ512" i="16"/>
  <c r="BA512" i="16"/>
  <c r="BB512" i="16"/>
  <c r="BC512" i="16"/>
  <c r="BD512" i="16"/>
  <c r="BE512" i="16"/>
  <c r="BF512" i="16"/>
  <c r="BG512" i="16"/>
  <c r="BH512" i="16"/>
  <c r="BI512" i="16"/>
  <c r="BJ512" i="16"/>
  <c r="BK512" i="16"/>
  <c r="BL512" i="16"/>
  <c r="BM512" i="16"/>
  <c r="BN512" i="16"/>
  <c r="BO512" i="16"/>
  <c r="BP512" i="16"/>
  <c r="AA513" i="16"/>
  <c r="AB513" i="16"/>
  <c r="AC513" i="16"/>
  <c r="AD513" i="16"/>
  <c r="AE513" i="16"/>
  <c r="AF513" i="16"/>
  <c r="AG513" i="16"/>
  <c r="AH513" i="16"/>
  <c r="AI513" i="16"/>
  <c r="AJ513" i="16"/>
  <c r="AK513" i="16"/>
  <c r="AL513" i="16"/>
  <c r="AM513" i="16"/>
  <c r="AN513" i="16"/>
  <c r="AO513" i="16"/>
  <c r="AP513" i="16"/>
  <c r="AQ513" i="16"/>
  <c r="AR513" i="16"/>
  <c r="AS513" i="16"/>
  <c r="AT513" i="16"/>
  <c r="AU513" i="16"/>
  <c r="AV513" i="16"/>
  <c r="AW513" i="16"/>
  <c r="AX513" i="16"/>
  <c r="AY513" i="16"/>
  <c r="AZ513" i="16"/>
  <c r="BA513" i="16"/>
  <c r="BB513" i="16"/>
  <c r="BC513" i="16"/>
  <c r="BD513" i="16"/>
  <c r="BE513" i="16"/>
  <c r="BF513" i="16"/>
  <c r="BG513" i="16"/>
  <c r="BH513" i="16"/>
  <c r="BI513" i="16"/>
  <c r="BJ513" i="16"/>
  <c r="BK513" i="16"/>
  <c r="BL513" i="16"/>
  <c r="BM513" i="16"/>
  <c r="BN513" i="16"/>
  <c r="BO513" i="16"/>
  <c r="BP513" i="16"/>
  <c r="AA514" i="16"/>
  <c r="AB514" i="16"/>
  <c r="AC514" i="16"/>
  <c r="AD514" i="16"/>
  <c r="AE514" i="16"/>
  <c r="AF514" i="16"/>
  <c r="AG514" i="16"/>
  <c r="AH514" i="16"/>
  <c r="AI514" i="16"/>
  <c r="AJ514" i="16"/>
  <c r="AK514" i="16"/>
  <c r="AL514" i="16"/>
  <c r="AM514" i="16"/>
  <c r="AN514" i="16"/>
  <c r="AO514" i="16"/>
  <c r="AP514" i="16"/>
  <c r="AQ514" i="16"/>
  <c r="AR514" i="16"/>
  <c r="AS514" i="16"/>
  <c r="AT514" i="16"/>
  <c r="AU514" i="16"/>
  <c r="AV514" i="16"/>
  <c r="AW514" i="16"/>
  <c r="AX514" i="16"/>
  <c r="AY514" i="16"/>
  <c r="AZ514" i="16"/>
  <c r="BA514" i="16"/>
  <c r="BB514" i="16"/>
  <c r="BC514" i="16"/>
  <c r="BD514" i="16"/>
  <c r="BE514" i="16"/>
  <c r="BF514" i="16"/>
  <c r="BG514" i="16"/>
  <c r="BH514" i="16"/>
  <c r="BI514" i="16"/>
  <c r="BJ514" i="16"/>
  <c r="BK514" i="16"/>
  <c r="BL514" i="16"/>
  <c r="BM514" i="16"/>
  <c r="BN514" i="16"/>
  <c r="BO514" i="16"/>
  <c r="BP514" i="16"/>
  <c r="AA515" i="16"/>
  <c r="AB515" i="16"/>
  <c r="AC515" i="16"/>
  <c r="AD515" i="16"/>
  <c r="AE515" i="16"/>
  <c r="AF515" i="16"/>
  <c r="AG515" i="16"/>
  <c r="AH515" i="16"/>
  <c r="AI515" i="16"/>
  <c r="AJ515" i="16"/>
  <c r="AK515" i="16"/>
  <c r="AL515" i="16"/>
  <c r="AM515" i="16"/>
  <c r="AN515" i="16"/>
  <c r="AO515" i="16"/>
  <c r="AP515" i="16"/>
  <c r="AQ515" i="16"/>
  <c r="AR515" i="16"/>
  <c r="AS515" i="16"/>
  <c r="AT515" i="16"/>
  <c r="AU515" i="16"/>
  <c r="AV515" i="16"/>
  <c r="AW515" i="16"/>
  <c r="AX515" i="16"/>
  <c r="AY515" i="16"/>
  <c r="AZ515" i="16"/>
  <c r="BA515" i="16"/>
  <c r="BB515" i="16"/>
  <c r="BC515" i="16"/>
  <c r="BD515" i="16"/>
  <c r="BE515" i="16"/>
  <c r="BF515" i="16"/>
  <c r="BG515" i="16"/>
  <c r="BH515" i="16"/>
  <c r="BI515" i="16"/>
  <c r="BJ515" i="16"/>
  <c r="BK515" i="16"/>
  <c r="BL515" i="16"/>
  <c r="BM515" i="16"/>
  <c r="BN515" i="16"/>
  <c r="BO515" i="16"/>
  <c r="BP515" i="16"/>
  <c r="AA516" i="16"/>
  <c r="AB516" i="16"/>
  <c r="AC516" i="16"/>
  <c r="AD516" i="16"/>
  <c r="AE516" i="16"/>
  <c r="AF516" i="16"/>
  <c r="AG516" i="16"/>
  <c r="AH516" i="16"/>
  <c r="AI516" i="16"/>
  <c r="AJ516" i="16"/>
  <c r="AK516" i="16"/>
  <c r="AL516" i="16"/>
  <c r="AM516" i="16"/>
  <c r="AN516" i="16"/>
  <c r="AO516" i="16"/>
  <c r="AP516" i="16"/>
  <c r="AQ516" i="16"/>
  <c r="AR516" i="16"/>
  <c r="AS516" i="16"/>
  <c r="AT516" i="16"/>
  <c r="AU516" i="16"/>
  <c r="AV516" i="16"/>
  <c r="AW516" i="16"/>
  <c r="AX516" i="16"/>
  <c r="AY516" i="16"/>
  <c r="AZ516" i="16"/>
  <c r="BA516" i="16"/>
  <c r="BB516" i="16"/>
  <c r="BC516" i="16"/>
  <c r="BD516" i="16"/>
  <c r="BE516" i="16"/>
  <c r="BF516" i="16"/>
  <c r="BG516" i="16"/>
  <c r="BH516" i="16"/>
  <c r="BI516" i="16"/>
  <c r="BJ516" i="16"/>
  <c r="BK516" i="16"/>
  <c r="BL516" i="16"/>
  <c r="BM516" i="16"/>
  <c r="BN516" i="16"/>
  <c r="BO516" i="16"/>
  <c r="BP516" i="16"/>
  <c r="AB50" i="16"/>
  <c r="AC50" i="16"/>
  <c r="AD50" i="16"/>
  <c r="BE50" i="16"/>
  <c r="BF50" i="16"/>
  <c r="BG50" i="16"/>
  <c r="BH50" i="16"/>
  <c r="BI50" i="16"/>
  <c r="BJ50" i="16"/>
  <c r="BK50" i="16"/>
  <c r="BL50" i="16"/>
  <c r="BM50" i="16"/>
  <c r="BN50" i="16"/>
  <c r="BO50" i="16"/>
  <c r="BP50" i="16"/>
  <c r="AB51" i="16"/>
  <c r="AC51" i="16"/>
  <c r="AD51" i="16"/>
  <c r="BA51" i="16"/>
  <c r="BB51" i="16"/>
  <c r="BC51" i="16"/>
  <c r="BD51" i="16"/>
  <c r="BE51" i="16"/>
  <c r="BF51" i="16"/>
  <c r="BG51" i="16"/>
  <c r="BH51" i="16"/>
  <c r="BI51" i="16"/>
  <c r="BJ51" i="16"/>
  <c r="BK51" i="16"/>
  <c r="BL51" i="16"/>
  <c r="BM51" i="16"/>
  <c r="BN51" i="16"/>
  <c r="BO51" i="16"/>
  <c r="BP51" i="16"/>
  <c r="AA52" i="16"/>
  <c r="AB52" i="16"/>
  <c r="AC52" i="16"/>
  <c r="AD52" i="16"/>
  <c r="BE52" i="16"/>
  <c r="BF52" i="16"/>
  <c r="BG52" i="16"/>
  <c r="BH52" i="16"/>
  <c r="BI52" i="16"/>
  <c r="BJ52" i="16"/>
  <c r="BK52" i="16"/>
  <c r="BL52" i="16"/>
  <c r="BM52" i="16"/>
  <c r="BN52" i="16"/>
  <c r="BO52" i="16"/>
  <c r="BP52" i="16"/>
  <c r="AA53" i="16"/>
  <c r="AB53" i="16"/>
  <c r="AC53" i="16"/>
  <c r="AD53" i="16"/>
  <c r="BE53" i="16"/>
  <c r="BF53" i="16"/>
  <c r="BG53" i="16"/>
  <c r="BH53" i="16"/>
  <c r="BI53" i="16"/>
  <c r="BJ53" i="16"/>
  <c r="BK53" i="16"/>
  <c r="BL53" i="16"/>
  <c r="BM53" i="16"/>
  <c r="BN53" i="16"/>
  <c r="BO53" i="16"/>
  <c r="BP53" i="16"/>
  <c r="AA54" i="16"/>
  <c r="AB54" i="16"/>
  <c r="AC54" i="16"/>
  <c r="AD54" i="16"/>
  <c r="AE54" i="16"/>
  <c r="AF54" i="16"/>
  <c r="AG54" i="16"/>
  <c r="AH54" i="16"/>
  <c r="BP54" i="16"/>
  <c r="AA55" i="16"/>
  <c r="AB55" i="16"/>
  <c r="AC55" i="16"/>
  <c r="AD55" i="16"/>
  <c r="AE55" i="16"/>
  <c r="AF55" i="16"/>
  <c r="AG55" i="16"/>
  <c r="AH55" i="16"/>
  <c r="AI55" i="16"/>
  <c r="AJ55" i="16"/>
  <c r="AK55" i="16"/>
  <c r="AL55" i="16"/>
  <c r="BC55" i="16"/>
  <c r="BD55" i="16"/>
  <c r="BE55" i="16"/>
  <c r="BF55" i="16"/>
  <c r="BG55" i="16"/>
  <c r="BH55" i="16"/>
  <c r="BI55" i="16"/>
  <c r="BJ55" i="16"/>
  <c r="BK55" i="16"/>
  <c r="BL55" i="16"/>
  <c r="BM55" i="16"/>
  <c r="BN55" i="16"/>
  <c r="BO55" i="16"/>
  <c r="BP55" i="16"/>
  <c r="AA56" i="16"/>
  <c r="AB56" i="16"/>
  <c r="AC56" i="16"/>
  <c r="AD56" i="16"/>
  <c r="AE56" i="16"/>
  <c r="AF56" i="16"/>
  <c r="AG56" i="16"/>
  <c r="AH56" i="16"/>
  <c r="AI56" i="16"/>
  <c r="AJ56" i="16"/>
  <c r="AK56" i="16"/>
  <c r="AL56" i="16"/>
  <c r="BC56" i="16"/>
  <c r="BD56" i="16"/>
  <c r="BE56" i="16"/>
  <c r="BF56" i="16"/>
  <c r="BG56" i="16"/>
  <c r="BH56" i="16"/>
  <c r="BI56" i="16"/>
  <c r="BJ56" i="16"/>
  <c r="BK56" i="16"/>
  <c r="BL56" i="16"/>
  <c r="BM56" i="16"/>
  <c r="BN56" i="16"/>
  <c r="BO56" i="16"/>
  <c r="BP56" i="16"/>
  <c r="AA57" i="16"/>
  <c r="AB57" i="16"/>
  <c r="AC57" i="16"/>
  <c r="AD57" i="16"/>
  <c r="AE57" i="16"/>
  <c r="AF57" i="16"/>
  <c r="AG57" i="16"/>
  <c r="AH57" i="16"/>
  <c r="AI57" i="16"/>
  <c r="BI57" i="16"/>
  <c r="BJ57" i="16"/>
  <c r="BK57" i="16"/>
  <c r="BL57" i="16"/>
  <c r="BM57" i="16"/>
  <c r="BN57" i="16"/>
  <c r="BO57" i="16"/>
  <c r="BP57" i="16"/>
  <c r="AA58" i="16"/>
  <c r="AB58" i="16"/>
  <c r="AC58" i="16"/>
  <c r="AD58" i="16"/>
  <c r="AE58" i="16"/>
  <c r="AV58" i="16"/>
  <c r="AW58" i="16"/>
  <c r="AX58" i="16"/>
  <c r="AY58" i="16"/>
  <c r="AZ58" i="16"/>
  <c r="BA58" i="16"/>
  <c r="BB58" i="16"/>
  <c r="BC58" i="16"/>
  <c r="BD58" i="16"/>
  <c r="BE58" i="16"/>
  <c r="BF58" i="16"/>
  <c r="BG58" i="16"/>
  <c r="BH58" i="16"/>
  <c r="BI58" i="16"/>
  <c r="BJ58" i="16"/>
  <c r="BK58" i="16"/>
  <c r="BL58" i="16"/>
  <c r="BM58" i="16"/>
  <c r="BN58" i="16"/>
  <c r="BO58" i="16"/>
  <c r="BP58" i="16"/>
  <c r="AA59" i="16"/>
  <c r="AB59" i="16"/>
  <c r="AC59" i="16"/>
  <c r="AD59" i="16"/>
  <c r="AE59" i="16"/>
  <c r="BK59" i="16"/>
  <c r="BL59" i="16"/>
  <c r="BM59" i="16"/>
  <c r="BN59" i="16"/>
  <c r="BO59" i="16"/>
  <c r="BP59" i="16"/>
  <c r="AA60" i="16"/>
  <c r="AB60" i="16"/>
  <c r="AC60" i="16"/>
  <c r="AD60" i="16"/>
  <c r="AE60" i="16"/>
  <c r="AF60" i="16"/>
  <c r="AG60" i="16"/>
  <c r="AH60" i="16"/>
  <c r="AI60" i="16"/>
  <c r="BJ60" i="16"/>
  <c r="BK60" i="16"/>
  <c r="BL60" i="16"/>
  <c r="BM60" i="16"/>
  <c r="BN60" i="16"/>
  <c r="BO60" i="16"/>
  <c r="BP60" i="16"/>
  <c r="AA61" i="16"/>
  <c r="AB61" i="16"/>
  <c r="AC61" i="16"/>
  <c r="AD61" i="16"/>
  <c r="AE61" i="16"/>
  <c r="AF61" i="16"/>
  <c r="AG61" i="16"/>
  <c r="AH61" i="16"/>
  <c r="AI61" i="16"/>
  <c r="BH61" i="16"/>
  <c r="BI61" i="16"/>
  <c r="BJ61" i="16"/>
  <c r="BK61" i="16"/>
  <c r="BL61" i="16"/>
  <c r="BM61" i="16"/>
  <c r="BN61" i="16"/>
  <c r="BO61" i="16"/>
  <c r="BP61" i="16"/>
  <c r="AB49" i="16"/>
  <c r="AC49" i="16"/>
  <c r="AD49" i="16"/>
  <c r="BE49" i="16"/>
  <c r="BF49" i="16"/>
  <c r="BG49" i="16"/>
  <c r="BH49" i="16"/>
  <c r="BI49" i="16"/>
  <c r="BJ49" i="16"/>
  <c r="BK49" i="16"/>
  <c r="BL49" i="16"/>
  <c r="BM49" i="16"/>
  <c r="BN49" i="16"/>
  <c r="BO49" i="16"/>
  <c r="CB49" i="16"/>
  <c r="CC49" i="16"/>
  <c r="CD49" i="16"/>
  <c r="CE49" i="16"/>
  <c r="CF49" i="16"/>
  <c r="CG49" i="16"/>
  <c r="CH49" i="16"/>
  <c r="CI49" i="16"/>
  <c r="CB50" i="16"/>
  <c r="CC50" i="16"/>
  <c r="CD50" i="16"/>
  <c r="CE50" i="16"/>
  <c r="CF50" i="16"/>
  <c r="CG50" i="16"/>
  <c r="CH50" i="16"/>
  <c r="CI50" i="16"/>
  <c r="CB51" i="16"/>
  <c r="CC51" i="16"/>
  <c r="CD51" i="16"/>
  <c r="CE51" i="16"/>
  <c r="CF51" i="16"/>
  <c r="CG51" i="16"/>
  <c r="CH51" i="16"/>
  <c r="CI51" i="16"/>
  <c r="CB52" i="16"/>
  <c r="CC52" i="16"/>
  <c r="CD52" i="16"/>
  <c r="CE52" i="16"/>
  <c r="CF52" i="16"/>
  <c r="CG52" i="16"/>
  <c r="CH52" i="16"/>
  <c r="CI52" i="16"/>
  <c r="CB53" i="16"/>
  <c r="CC53" i="16"/>
  <c r="CD53" i="16"/>
  <c r="CE53" i="16"/>
  <c r="CF53" i="16"/>
  <c r="CG53" i="16"/>
  <c r="CH53" i="16"/>
  <c r="CI53" i="16"/>
  <c r="CB54" i="16"/>
  <c r="CC54" i="16"/>
  <c r="CD54" i="16"/>
  <c r="CE54" i="16"/>
  <c r="CF54" i="16"/>
  <c r="CG54" i="16"/>
  <c r="CH54" i="16"/>
  <c r="CI54" i="16"/>
  <c r="CB55" i="16"/>
  <c r="CC55" i="16"/>
  <c r="CD55" i="16"/>
  <c r="CE55" i="16"/>
  <c r="CF55" i="16"/>
  <c r="CG55" i="16"/>
  <c r="CH55" i="16"/>
  <c r="CI55" i="16"/>
  <c r="CB56" i="16"/>
  <c r="CC56" i="16"/>
  <c r="CD56" i="16"/>
  <c r="CE56" i="16"/>
  <c r="CF56" i="16"/>
  <c r="CG56" i="16"/>
  <c r="CH56" i="16"/>
  <c r="CI56" i="16"/>
  <c r="CB57" i="16"/>
  <c r="CC57" i="16"/>
  <c r="CD57" i="16"/>
  <c r="CE57" i="16"/>
  <c r="CF57" i="16"/>
  <c r="CG57" i="16"/>
  <c r="CH57" i="16"/>
  <c r="CI57" i="16"/>
  <c r="CB58" i="16"/>
  <c r="CC58" i="16"/>
  <c r="CD58" i="16"/>
  <c r="CE58" i="16"/>
  <c r="CF58" i="16"/>
  <c r="CG58" i="16"/>
  <c r="CH58" i="16"/>
  <c r="CI58" i="16"/>
  <c r="CB59" i="16"/>
  <c r="CC59" i="16"/>
  <c r="CD59" i="16"/>
  <c r="CE59" i="16"/>
  <c r="CF59" i="16"/>
  <c r="CG59" i="16"/>
  <c r="CH59" i="16"/>
  <c r="CI59" i="16"/>
  <c r="CB60" i="16"/>
  <c r="CC60" i="16"/>
  <c r="CD60" i="16"/>
  <c r="CE60" i="16"/>
  <c r="CF60" i="16"/>
  <c r="CG60" i="16"/>
  <c r="CH60" i="16"/>
  <c r="CI60" i="16"/>
  <c r="CB61" i="16"/>
  <c r="CC61" i="16"/>
  <c r="CD61" i="16"/>
  <c r="CE61" i="16"/>
  <c r="CF61" i="16"/>
  <c r="CG61" i="16"/>
  <c r="CH61" i="16"/>
  <c r="CI61" i="16"/>
  <c r="CB62" i="16"/>
  <c r="CC62" i="16"/>
  <c r="CD62" i="16"/>
  <c r="CE62" i="16"/>
  <c r="CF62" i="16"/>
  <c r="CG62" i="16"/>
  <c r="CH62" i="16"/>
  <c r="CI62" i="16"/>
  <c r="CB63" i="16"/>
  <c r="CC63" i="16"/>
  <c r="CD63" i="16"/>
  <c r="CE63" i="16"/>
  <c r="CF63" i="16"/>
  <c r="CG63" i="16"/>
  <c r="CH63" i="16"/>
  <c r="CI63" i="16"/>
  <c r="CB64" i="16"/>
  <c r="CC64" i="16"/>
  <c r="CD64" i="16"/>
  <c r="CE64" i="16"/>
  <c r="CF64" i="16"/>
  <c r="CG64" i="16"/>
  <c r="CH64" i="16"/>
  <c r="CI64" i="16"/>
  <c r="CB65" i="16"/>
  <c r="CC65" i="16"/>
  <c r="CD65" i="16"/>
  <c r="CE65" i="16"/>
  <c r="CF65" i="16"/>
  <c r="CG65" i="16"/>
  <c r="CH65" i="16"/>
  <c r="CI65" i="16"/>
  <c r="CB66" i="16"/>
  <c r="CC66" i="16"/>
  <c r="CD66" i="16"/>
  <c r="CE66" i="16"/>
  <c r="CF66" i="16"/>
  <c r="CG66" i="16"/>
  <c r="CH66" i="16"/>
  <c r="CI66" i="16"/>
  <c r="CB67" i="16"/>
  <c r="CC67" i="16"/>
  <c r="CD67" i="16"/>
  <c r="CE67" i="16"/>
  <c r="CF67" i="16"/>
  <c r="CG67" i="16"/>
  <c r="CH67" i="16"/>
  <c r="CI67" i="16"/>
  <c r="CB68" i="16"/>
  <c r="CC68" i="16"/>
  <c r="CD68" i="16"/>
  <c r="CE68" i="16"/>
  <c r="CF68" i="16"/>
  <c r="CG68" i="16"/>
  <c r="CH68" i="16"/>
  <c r="CI68" i="16"/>
  <c r="CB69" i="16"/>
  <c r="CC69" i="16"/>
  <c r="CD69" i="16"/>
  <c r="CE69" i="16"/>
  <c r="CF69" i="16"/>
  <c r="CG69" i="16"/>
  <c r="CH69" i="16"/>
  <c r="CI69" i="16"/>
  <c r="CB70" i="16"/>
  <c r="CC70" i="16"/>
  <c r="CD70" i="16"/>
  <c r="CE70" i="16"/>
  <c r="CF70" i="16"/>
  <c r="CG70" i="16"/>
  <c r="CH70" i="16"/>
  <c r="CI70" i="16"/>
  <c r="CB71" i="16"/>
  <c r="CC71" i="16"/>
  <c r="CD71" i="16"/>
  <c r="CE71" i="16"/>
  <c r="CF71" i="16"/>
  <c r="CG71" i="16"/>
  <c r="CH71" i="16"/>
  <c r="CI71" i="16"/>
  <c r="CB72" i="16"/>
  <c r="CC72" i="16"/>
  <c r="CD72" i="16"/>
  <c r="CE72" i="16"/>
  <c r="CF72" i="16"/>
  <c r="CG72" i="16"/>
  <c r="CH72" i="16"/>
  <c r="CI72" i="16"/>
  <c r="CB73" i="16"/>
  <c r="CC73" i="16"/>
  <c r="CD73" i="16"/>
  <c r="CE73" i="16"/>
  <c r="CF73" i="16"/>
  <c r="CG73" i="16"/>
  <c r="CH73" i="16"/>
  <c r="CI73" i="16"/>
  <c r="CB74" i="16"/>
  <c r="CC74" i="16"/>
  <c r="CD74" i="16"/>
  <c r="CE74" i="16"/>
  <c r="CF74" i="16"/>
  <c r="CG74" i="16"/>
  <c r="CH74" i="16"/>
  <c r="CI74" i="16"/>
  <c r="CB75" i="16"/>
  <c r="CC75" i="16"/>
  <c r="CD75" i="16"/>
  <c r="CE75" i="16"/>
  <c r="CF75" i="16"/>
  <c r="CG75" i="16"/>
  <c r="CH75" i="16"/>
  <c r="CI75" i="16"/>
  <c r="CB76" i="16"/>
  <c r="CC76" i="16"/>
  <c r="CD76" i="16"/>
  <c r="CE76" i="16"/>
  <c r="CF76" i="16"/>
  <c r="CG76" i="16"/>
  <c r="CH76" i="16"/>
  <c r="CI76" i="16"/>
  <c r="CB77" i="16"/>
  <c r="CC77" i="16"/>
  <c r="CD77" i="16"/>
  <c r="CE77" i="16"/>
  <c r="CF77" i="16"/>
  <c r="CG77" i="16"/>
  <c r="CH77" i="16"/>
  <c r="CI77" i="16"/>
  <c r="CB78" i="16"/>
  <c r="CC78" i="16"/>
  <c r="CD78" i="16"/>
  <c r="CE78" i="16"/>
  <c r="CF78" i="16"/>
  <c r="CG78" i="16"/>
  <c r="CH78" i="16"/>
  <c r="CI78" i="16"/>
  <c r="CB79" i="16"/>
  <c r="CC79" i="16"/>
  <c r="CD79" i="16"/>
  <c r="CE79" i="16"/>
  <c r="CF79" i="16"/>
  <c r="CG79" i="16"/>
  <c r="CH79" i="16"/>
  <c r="CI79" i="16"/>
  <c r="CB80" i="16"/>
  <c r="CC80" i="16"/>
  <c r="CD80" i="16"/>
  <c r="CE80" i="16"/>
  <c r="CF80" i="16"/>
  <c r="CG80" i="16"/>
  <c r="CH80" i="16"/>
  <c r="CI80" i="16"/>
  <c r="CB81" i="16"/>
  <c r="CC81" i="16"/>
  <c r="CD81" i="16"/>
  <c r="CE81" i="16"/>
  <c r="CF81" i="16"/>
  <c r="CG81" i="16"/>
  <c r="CH81" i="16"/>
  <c r="CI81" i="16"/>
  <c r="CB82" i="16"/>
  <c r="CC82" i="16"/>
  <c r="CD82" i="16"/>
  <c r="CE82" i="16"/>
  <c r="CF82" i="16"/>
  <c r="CG82" i="16"/>
  <c r="CH82" i="16"/>
  <c r="CI82" i="16"/>
  <c r="CB83" i="16"/>
  <c r="CC83" i="16"/>
  <c r="CD83" i="16"/>
  <c r="CE83" i="16"/>
  <c r="CF83" i="16"/>
  <c r="CG83" i="16"/>
  <c r="CH83" i="16"/>
  <c r="CI83" i="16"/>
  <c r="CB84" i="16"/>
  <c r="CC84" i="16"/>
  <c r="CD84" i="16"/>
  <c r="CE84" i="16"/>
  <c r="CF84" i="16"/>
  <c r="CG84" i="16"/>
  <c r="CH84" i="16"/>
  <c r="CI84" i="16"/>
  <c r="CB85" i="16"/>
  <c r="CC85" i="16"/>
  <c r="CD85" i="16"/>
  <c r="CE85" i="16"/>
  <c r="CF85" i="16"/>
  <c r="CG85" i="16"/>
  <c r="CH85" i="16"/>
  <c r="CI85" i="16"/>
  <c r="CB86" i="16"/>
  <c r="CC86" i="16"/>
  <c r="CD86" i="16"/>
  <c r="CE86" i="16"/>
  <c r="CF86" i="16"/>
  <c r="CG86" i="16"/>
  <c r="CH86" i="16"/>
  <c r="CI86" i="16"/>
  <c r="CB87" i="16"/>
  <c r="CC87" i="16"/>
  <c r="CD87" i="16"/>
  <c r="CE87" i="16"/>
  <c r="CF87" i="16"/>
  <c r="CG87" i="16"/>
  <c r="CH87" i="16"/>
  <c r="CI87" i="16"/>
  <c r="CB88" i="16"/>
  <c r="CC88" i="16"/>
  <c r="CD88" i="16"/>
  <c r="CE88" i="16"/>
  <c r="CF88" i="16"/>
  <c r="CG88" i="16"/>
  <c r="CH88" i="16"/>
  <c r="CI88" i="16"/>
  <c r="CB89" i="16"/>
  <c r="CC89" i="16"/>
  <c r="CD89" i="16"/>
  <c r="CE89" i="16"/>
  <c r="CF89" i="16"/>
  <c r="CG89" i="16"/>
  <c r="CH89" i="16"/>
  <c r="CI89" i="16"/>
  <c r="CB90" i="16"/>
  <c r="CC90" i="16"/>
  <c r="CD90" i="16"/>
  <c r="CE90" i="16"/>
  <c r="CF90" i="16"/>
  <c r="CG90" i="16"/>
  <c r="CH90" i="16"/>
  <c r="CI90" i="16"/>
  <c r="CB91" i="16"/>
  <c r="CC91" i="16"/>
  <c r="CD91" i="16"/>
  <c r="CE91" i="16"/>
  <c r="CF91" i="16"/>
  <c r="CG91" i="16"/>
  <c r="CH91" i="16"/>
  <c r="CI91" i="16"/>
  <c r="CD92" i="16"/>
  <c r="CE92" i="16"/>
  <c r="CF92" i="16"/>
  <c r="CG92" i="16"/>
  <c r="CH92" i="16"/>
  <c r="CI92" i="16"/>
  <c r="CB93" i="16"/>
  <c r="CC93" i="16"/>
  <c r="CD93" i="16"/>
  <c r="CE93" i="16"/>
  <c r="CF93" i="16"/>
  <c r="CG93" i="16"/>
  <c r="CH93" i="16"/>
  <c r="CI93" i="16"/>
  <c r="CB94" i="16"/>
  <c r="CC94" i="16"/>
  <c r="CD94" i="16"/>
  <c r="CE94" i="16"/>
  <c r="CF94" i="16"/>
  <c r="CG94" i="16"/>
  <c r="CH94" i="16"/>
  <c r="CI94" i="16"/>
  <c r="CB95" i="16"/>
  <c r="CC95" i="16"/>
  <c r="CD95" i="16"/>
  <c r="CE95" i="16"/>
  <c r="CF95" i="16"/>
  <c r="CG95" i="16"/>
  <c r="CH95" i="16"/>
  <c r="CI95" i="16"/>
  <c r="CB96" i="16"/>
  <c r="CC96" i="16"/>
  <c r="CD96" i="16"/>
  <c r="CE96" i="16"/>
  <c r="CF96" i="16"/>
  <c r="CG96" i="16"/>
  <c r="CH96" i="16"/>
  <c r="CI96" i="16"/>
  <c r="CB97" i="16"/>
  <c r="CC97" i="16"/>
  <c r="CD97" i="16"/>
  <c r="CE97" i="16"/>
  <c r="CF97" i="16"/>
  <c r="CG97" i="16"/>
  <c r="CH97" i="16"/>
  <c r="CI97" i="16"/>
  <c r="CB98" i="16"/>
  <c r="CC98" i="16"/>
  <c r="CD98" i="16"/>
  <c r="CE98" i="16"/>
  <c r="CF98" i="16"/>
  <c r="CG98" i="16"/>
  <c r="CH98" i="16"/>
  <c r="CI98" i="16"/>
  <c r="CB99" i="16"/>
  <c r="CC99" i="16"/>
  <c r="CD99" i="16"/>
  <c r="CE99" i="16"/>
  <c r="CF99" i="16"/>
  <c r="CG99" i="16"/>
  <c r="CH99" i="16"/>
  <c r="CI99" i="16"/>
  <c r="CB100" i="16"/>
  <c r="CC100" i="16"/>
  <c r="CD100" i="16"/>
  <c r="CE100" i="16"/>
  <c r="CF100" i="16"/>
  <c r="CG100" i="16"/>
  <c r="CH100" i="16"/>
  <c r="CI100" i="16"/>
  <c r="CB101" i="16"/>
  <c r="CC101" i="16"/>
  <c r="CD101" i="16"/>
  <c r="CE101" i="16"/>
  <c r="CF101" i="16"/>
  <c r="CG101" i="16"/>
  <c r="CH101" i="16"/>
  <c r="CI101" i="16"/>
  <c r="CB102" i="16"/>
  <c r="CC102" i="16"/>
  <c r="CD102" i="16"/>
  <c r="CE102" i="16"/>
  <c r="CF102" i="16"/>
  <c r="CG102" i="16"/>
  <c r="CH102" i="16"/>
  <c r="CI102" i="16"/>
  <c r="CB103" i="16"/>
  <c r="CC103" i="16"/>
  <c r="CD103" i="16"/>
  <c r="CE103" i="16"/>
  <c r="CF103" i="16"/>
  <c r="CG103" i="16"/>
  <c r="CH103" i="16"/>
  <c r="CI103" i="16"/>
  <c r="CB104" i="16"/>
  <c r="CC104" i="16"/>
  <c r="CD104" i="16"/>
  <c r="CE104" i="16"/>
  <c r="CF104" i="16"/>
  <c r="CG104" i="16"/>
  <c r="CH104" i="16"/>
  <c r="CI104" i="16"/>
  <c r="CB105" i="16"/>
  <c r="CC105" i="16"/>
  <c r="CD105" i="16"/>
  <c r="CE105" i="16"/>
  <c r="CF105" i="16"/>
  <c r="CG105" i="16"/>
  <c r="CH105" i="16"/>
  <c r="CI105" i="16"/>
  <c r="CE106" i="16"/>
  <c r="CF106" i="16"/>
  <c r="CG106" i="16"/>
  <c r="CH106" i="16"/>
  <c r="CI106" i="16"/>
  <c r="CB107" i="16"/>
  <c r="CC107" i="16"/>
  <c r="CD107" i="16"/>
  <c r="CE107" i="16"/>
  <c r="CF107" i="16"/>
  <c r="CG107" i="16"/>
  <c r="CH107" i="16"/>
  <c r="CI107" i="16"/>
  <c r="CB108" i="16"/>
  <c r="CC108" i="16"/>
  <c r="CD108" i="16"/>
  <c r="CE108" i="16"/>
  <c r="CF108" i="16"/>
  <c r="CG108" i="16"/>
  <c r="CH108" i="16"/>
  <c r="CI108" i="16"/>
  <c r="CB109" i="16"/>
  <c r="CC109" i="16"/>
  <c r="CD109" i="16"/>
  <c r="CE109" i="16"/>
  <c r="CF109" i="16"/>
  <c r="CG109" i="16"/>
  <c r="CH109" i="16"/>
  <c r="CI109" i="16"/>
  <c r="CB110" i="16"/>
  <c r="CC110" i="16"/>
  <c r="CD110" i="16"/>
  <c r="CE110" i="16"/>
  <c r="CF110" i="16"/>
  <c r="CG110" i="16"/>
  <c r="CH110" i="16"/>
  <c r="CI110" i="16"/>
  <c r="CB111" i="16"/>
  <c r="CC111" i="16"/>
  <c r="CD111" i="16"/>
  <c r="CE111" i="16"/>
  <c r="CF111" i="16"/>
  <c r="CG111" i="16"/>
  <c r="CH111" i="16"/>
  <c r="CI111" i="16"/>
  <c r="CB112" i="16"/>
  <c r="CC112" i="16"/>
  <c r="CD112" i="16"/>
  <c r="CE112" i="16"/>
  <c r="CF112" i="16"/>
  <c r="CG112" i="16"/>
  <c r="CH112" i="16"/>
  <c r="CI112" i="16"/>
  <c r="CB113" i="16"/>
  <c r="CC113" i="16"/>
  <c r="CD113" i="16"/>
  <c r="CE113" i="16"/>
  <c r="CF113" i="16"/>
  <c r="CG113" i="16"/>
  <c r="CH113" i="16"/>
  <c r="CI113" i="16"/>
  <c r="CB116" i="16"/>
  <c r="CC116" i="16"/>
  <c r="CD116" i="16"/>
  <c r="CE116" i="16"/>
  <c r="CF116" i="16"/>
  <c r="CG116" i="16"/>
  <c r="CH116" i="16"/>
  <c r="CI116" i="16"/>
  <c r="CB117" i="16"/>
  <c r="CC117" i="16"/>
  <c r="CD117" i="16"/>
  <c r="CE117" i="16"/>
  <c r="CF117" i="16"/>
  <c r="CG117" i="16"/>
  <c r="CH117" i="16"/>
  <c r="CI117" i="16"/>
  <c r="CB118" i="16"/>
  <c r="CC118" i="16"/>
  <c r="CD118" i="16"/>
  <c r="CE118" i="16"/>
  <c r="CF118" i="16"/>
  <c r="CG118" i="16"/>
  <c r="CH118" i="16"/>
  <c r="CI118" i="16"/>
  <c r="CB119" i="16"/>
  <c r="CC119" i="16"/>
  <c r="CD119" i="16"/>
  <c r="CE119" i="16"/>
  <c r="CF119" i="16"/>
  <c r="CG119" i="16"/>
  <c r="CH119" i="16"/>
  <c r="CI119" i="16"/>
  <c r="CB120" i="16"/>
  <c r="CC120" i="16"/>
  <c r="CD120" i="16"/>
  <c r="CE120" i="16"/>
  <c r="CF120" i="16"/>
  <c r="CG120" i="16"/>
  <c r="CH120" i="16"/>
  <c r="CI120" i="16"/>
  <c r="CB121" i="16"/>
  <c r="CC121" i="16"/>
  <c r="CD121" i="16"/>
  <c r="CE121" i="16"/>
  <c r="CF121" i="16"/>
  <c r="CG121" i="16"/>
  <c r="CH121" i="16"/>
  <c r="CI121" i="16"/>
  <c r="CB122" i="16"/>
  <c r="CC122" i="16"/>
  <c r="CD122" i="16"/>
  <c r="CE122" i="16"/>
  <c r="CF122" i="16"/>
  <c r="CG122" i="16"/>
  <c r="CH122" i="16"/>
  <c r="CI122" i="16"/>
  <c r="CB123" i="16"/>
  <c r="CC123" i="16"/>
  <c r="CD123" i="16"/>
  <c r="CE123" i="16"/>
  <c r="CF123" i="16"/>
  <c r="CG123" i="16"/>
  <c r="CH123" i="16"/>
  <c r="CI123" i="16"/>
  <c r="CB124" i="16"/>
  <c r="CC124" i="16"/>
  <c r="CD124" i="16"/>
  <c r="CE124" i="16"/>
  <c r="CF124" i="16"/>
  <c r="CG124" i="16"/>
  <c r="CH124" i="16"/>
  <c r="CI124" i="16"/>
  <c r="CB125" i="16"/>
  <c r="CC125" i="16"/>
  <c r="CD125" i="16"/>
  <c r="CE125" i="16"/>
  <c r="CF125" i="16"/>
  <c r="CG125" i="16"/>
  <c r="CH125" i="16"/>
  <c r="CI125" i="16"/>
  <c r="CB126" i="16"/>
  <c r="CC126" i="16"/>
  <c r="CD126" i="16"/>
  <c r="CE126" i="16"/>
  <c r="CF126" i="16"/>
  <c r="CG126" i="16"/>
  <c r="CH126" i="16"/>
  <c r="CI126" i="16"/>
  <c r="CB127" i="16"/>
  <c r="CC127" i="16"/>
  <c r="CD127" i="16"/>
  <c r="CE127" i="16"/>
  <c r="CF127" i="16"/>
  <c r="CG127" i="16"/>
  <c r="CH127" i="16"/>
  <c r="CI127" i="16"/>
  <c r="CB128" i="16"/>
  <c r="CC128" i="16"/>
  <c r="CD128" i="16"/>
  <c r="CE128" i="16"/>
  <c r="CF128" i="16"/>
  <c r="CG128" i="16"/>
  <c r="CH128" i="16"/>
  <c r="CI128" i="16"/>
  <c r="CB129" i="16"/>
  <c r="CC129" i="16"/>
  <c r="CD129" i="16"/>
  <c r="CE129" i="16"/>
  <c r="CF129" i="16"/>
  <c r="CG129" i="16"/>
  <c r="CH129" i="16"/>
  <c r="CI129" i="16"/>
  <c r="CB130" i="16"/>
  <c r="CC130" i="16"/>
  <c r="CD130" i="16"/>
  <c r="CE130" i="16"/>
  <c r="CF130" i="16"/>
  <c r="CG130" i="16"/>
  <c r="CH130" i="16"/>
  <c r="CI130" i="16"/>
  <c r="CB131" i="16"/>
  <c r="CC131" i="16"/>
  <c r="CD131" i="16"/>
  <c r="CE131" i="16"/>
  <c r="CF131" i="16"/>
  <c r="CG131" i="16"/>
  <c r="CH131" i="16"/>
  <c r="CI131" i="16"/>
  <c r="CB132" i="16"/>
  <c r="CC132" i="16"/>
  <c r="CD132" i="16"/>
  <c r="CE132" i="16"/>
  <c r="CF132" i="16"/>
  <c r="CG132" i="16"/>
  <c r="CH132" i="16"/>
  <c r="CI132" i="16"/>
  <c r="CB133" i="16"/>
  <c r="CC133" i="16"/>
  <c r="CD133" i="16"/>
  <c r="CE133" i="16"/>
  <c r="CF133" i="16"/>
  <c r="CG133" i="16"/>
  <c r="CH133" i="16"/>
  <c r="CI133" i="16"/>
  <c r="CB134" i="16"/>
  <c r="CC134" i="16"/>
  <c r="CD134" i="16"/>
  <c r="CE134" i="16"/>
  <c r="CF134" i="16"/>
  <c r="CG134" i="16"/>
  <c r="CH134" i="16"/>
  <c r="CI134" i="16"/>
  <c r="CB135" i="16"/>
  <c r="CC135" i="16"/>
  <c r="CD135" i="16"/>
  <c r="CE135" i="16"/>
  <c r="CF135" i="16"/>
  <c r="CG135" i="16"/>
  <c r="CH135" i="16"/>
  <c r="CI135" i="16"/>
  <c r="CD136" i="16"/>
  <c r="CE136" i="16"/>
  <c r="CF136" i="16"/>
  <c r="CG136" i="16"/>
  <c r="CH136" i="16"/>
  <c r="CI136" i="16"/>
  <c r="CD137" i="16"/>
  <c r="CE137" i="16"/>
  <c r="CF137" i="16"/>
  <c r="CG137" i="16"/>
  <c r="CH137" i="16"/>
  <c r="CI137" i="16"/>
  <c r="CB138" i="16"/>
  <c r="CC138" i="16"/>
  <c r="CD138" i="16"/>
  <c r="CE138" i="16"/>
  <c r="CF138" i="16"/>
  <c r="CG138" i="16"/>
  <c r="CH138" i="16"/>
  <c r="CI138" i="16"/>
  <c r="CB139" i="16"/>
  <c r="CC139" i="16"/>
  <c r="CD139" i="16"/>
  <c r="CE139" i="16"/>
  <c r="CF139" i="16"/>
  <c r="CG139" i="16"/>
  <c r="CH139" i="16"/>
  <c r="CI139" i="16"/>
  <c r="CB140" i="16"/>
  <c r="CC140" i="16"/>
  <c r="CD140" i="16"/>
  <c r="CE140" i="16"/>
  <c r="CF140" i="16"/>
  <c r="CG140" i="16"/>
  <c r="CH140" i="16"/>
  <c r="CI140" i="16"/>
  <c r="CB141" i="16"/>
  <c r="CC141" i="16"/>
  <c r="CD141" i="16"/>
  <c r="CE141" i="16"/>
  <c r="CF141" i="16"/>
  <c r="CG141" i="16"/>
  <c r="CH141" i="16"/>
  <c r="CI141" i="16"/>
  <c r="CB142" i="16"/>
  <c r="CC142" i="16"/>
  <c r="CD142" i="16"/>
  <c r="CE142" i="16"/>
  <c r="CF142" i="16"/>
  <c r="CG142" i="16"/>
  <c r="CH142" i="16"/>
  <c r="CI142" i="16"/>
  <c r="CB143" i="16"/>
  <c r="CC143" i="16"/>
  <c r="CD143" i="16"/>
  <c r="CE143" i="16"/>
  <c r="CF143" i="16"/>
  <c r="CG143" i="16"/>
  <c r="CH143" i="16"/>
  <c r="CI143" i="16"/>
  <c r="CB144" i="16"/>
  <c r="CC144" i="16"/>
  <c r="CD144" i="16"/>
  <c r="CE144" i="16"/>
  <c r="CF144" i="16"/>
  <c r="CG144" i="16"/>
  <c r="CH144" i="16"/>
  <c r="CI144" i="16"/>
  <c r="CB145" i="16"/>
  <c r="CC145" i="16"/>
  <c r="CD145" i="16"/>
  <c r="CE145" i="16"/>
  <c r="CF145" i="16"/>
  <c r="CG145" i="16"/>
  <c r="CH145" i="16"/>
  <c r="CI145" i="16"/>
  <c r="CB146" i="16"/>
  <c r="CC146" i="16"/>
  <c r="CD146" i="16"/>
  <c r="CE146" i="16"/>
  <c r="CF146" i="16"/>
  <c r="CG146" i="16"/>
  <c r="CH146" i="16"/>
  <c r="CI146" i="16"/>
  <c r="CB147" i="16"/>
  <c r="CC147" i="16"/>
  <c r="CD147" i="16"/>
  <c r="CE147" i="16"/>
  <c r="CF147" i="16"/>
  <c r="CG147" i="16"/>
  <c r="CH147" i="16"/>
  <c r="CI147" i="16"/>
  <c r="CB148" i="16"/>
  <c r="CC148" i="16"/>
  <c r="CD148" i="16"/>
  <c r="CE148" i="16"/>
  <c r="CF148" i="16"/>
  <c r="CG148" i="16"/>
  <c r="CH148" i="16"/>
  <c r="CI148" i="16"/>
  <c r="CB149" i="16"/>
  <c r="CC149" i="16"/>
  <c r="CD149" i="16"/>
  <c r="CE149" i="16"/>
  <c r="CF149" i="16"/>
  <c r="CG149" i="16"/>
  <c r="CH149" i="16"/>
  <c r="CI149" i="16"/>
  <c r="CB150" i="16"/>
  <c r="CC150" i="16"/>
  <c r="CD150" i="16"/>
  <c r="CE150" i="16"/>
  <c r="CF150" i="16"/>
  <c r="CG150" i="16"/>
  <c r="CH150" i="16"/>
  <c r="CI150" i="16"/>
  <c r="CB151" i="16"/>
  <c r="CC151" i="16"/>
  <c r="CD151" i="16"/>
  <c r="CE151" i="16"/>
  <c r="CF151" i="16"/>
  <c r="CG151" i="16"/>
  <c r="CH151" i="16"/>
  <c r="CI151" i="16"/>
  <c r="CB152" i="16"/>
  <c r="CC152" i="16"/>
  <c r="CD152" i="16"/>
  <c r="CE152" i="16"/>
  <c r="CF152" i="16"/>
  <c r="CG152" i="16"/>
  <c r="CH152" i="16"/>
  <c r="CI152" i="16"/>
  <c r="CB153" i="16"/>
  <c r="CC153" i="16"/>
  <c r="CD153" i="16"/>
  <c r="CE153" i="16"/>
  <c r="CF153" i="16"/>
  <c r="CG153" i="16"/>
  <c r="CH153" i="16"/>
  <c r="CI153" i="16"/>
  <c r="CB154" i="16"/>
  <c r="CC154" i="16"/>
  <c r="CD154" i="16"/>
  <c r="CE154" i="16"/>
  <c r="CF154" i="16"/>
  <c r="CG154" i="16"/>
  <c r="CH154" i="16"/>
  <c r="CI154" i="16"/>
  <c r="CB155" i="16"/>
  <c r="CC155" i="16"/>
  <c r="CD155" i="16"/>
  <c r="CE155" i="16"/>
  <c r="CF155" i="16"/>
  <c r="CG155" i="16"/>
  <c r="CH155" i="16"/>
  <c r="CI155" i="16"/>
  <c r="CB156" i="16"/>
  <c r="CC156" i="16"/>
  <c r="CD156" i="16"/>
  <c r="CE156" i="16"/>
  <c r="CF156" i="16"/>
  <c r="CG156" i="16"/>
  <c r="CH156" i="16"/>
  <c r="CI156" i="16"/>
  <c r="CB157" i="16"/>
  <c r="CC157" i="16"/>
  <c r="CD157" i="16"/>
  <c r="CE157" i="16"/>
  <c r="CF157" i="16"/>
  <c r="CG157" i="16"/>
  <c r="CH157" i="16"/>
  <c r="CI157" i="16"/>
  <c r="CB158" i="16"/>
  <c r="CC158" i="16"/>
  <c r="CD158" i="16"/>
  <c r="CE158" i="16"/>
  <c r="CF158" i="16"/>
  <c r="CG158" i="16"/>
  <c r="CH158" i="16"/>
  <c r="CI158" i="16"/>
  <c r="CB159" i="16"/>
  <c r="CC159" i="16"/>
  <c r="CD159" i="16"/>
  <c r="CE159" i="16"/>
  <c r="CF159" i="16"/>
  <c r="CG159" i="16"/>
  <c r="CH159" i="16"/>
  <c r="CI159" i="16"/>
  <c r="CB160" i="16"/>
  <c r="CC160" i="16"/>
  <c r="CD160" i="16"/>
  <c r="CE160" i="16"/>
  <c r="CF160" i="16"/>
  <c r="CG160" i="16"/>
  <c r="CH160" i="16"/>
  <c r="CI160" i="16"/>
  <c r="CB161" i="16"/>
  <c r="CC161" i="16"/>
  <c r="CD161" i="16"/>
  <c r="CE161" i="16"/>
  <c r="CF161" i="16"/>
  <c r="CG161" i="16"/>
  <c r="CH161" i="16"/>
  <c r="CI161" i="16"/>
  <c r="CB162" i="16"/>
  <c r="CC162" i="16"/>
  <c r="CD162" i="16"/>
  <c r="CE162" i="16"/>
  <c r="CF162" i="16"/>
  <c r="CG162" i="16"/>
  <c r="CH162" i="16"/>
  <c r="CI162" i="16"/>
  <c r="CB163" i="16"/>
  <c r="CC163" i="16"/>
  <c r="CD163" i="16"/>
  <c r="CE163" i="16"/>
  <c r="CF163" i="16"/>
  <c r="CG163" i="16"/>
  <c r="CH163" i="16"/>
  <c r="CI163" i="16"/>
  <c r="CB164" i="16"/>
  <c r="CC164" i="16"/>
  <c r="CD164" i="16"/>
  <c r="CE164" i="16"/>
  <c r="CF164" i="16"/>
  <c r="CG164" i="16"/>
  <c r="CH164" i="16"/>
  <c r="CI164" i="16"/>
  <c r="CB165" i="16"/>
  <c r="CC165" i="16"/>
  <c r="CD165" i="16"/>
  <c r="CE165" i="16"/>
  <c r="CF165" i="16"/>
  <c r="CG165" i="16"/>
  <c r="CH165" i="16"/>
  <c r="CI165" i="16"/>
  <c r="CB166" i="16"/>
  <c r="CC166" i="16"/>
  <c r="CD166" i="16"/>
  <c r="CE166" i="16"/>
  <c r="CF166" i="16"/>
  <c r="CG166" i="16"/>
  <c r="CH166" i="16"/>
  <c r="CI166" i="16"/>
  <c r="CB167" i="16"/>
  <c r="CC167" i="16"/>
  <c r="CD167" i="16"/>
  <c r="CE167" i="16"/>
  <c r="CF167" i="16"/>
  <c r="CG167" i="16"/>
  <c r="CH167" i="16"/>
  <c r="CI167" i="16"/>
  <c r="CB168" i="16"/>
  <c r="CC168" i="16"/>
  <c r="CD168" i="16"/>
  <c r="CE168" i="16"/>
  <c r="CF168" i="16"/>
  <c r="CG168" i="16"/>
  <c r="CH168" i="16"/>
  <c r="CI168" i="16"/>
  <c r="CB169" i="16"/>
  <c r="CC169" i="16"/>
  <c r="CD169" i="16"/>
  <c r="CE169" i="16"/>
  <c r="CF169" i="16"/>
  <c r="CG169" i="16"/>
  <c r="CH169" i="16"/>
  <c r="CI169" i="16"/>
  <c r="CB170" i="16"/>
  <c r="CC170" i="16"/>
  <c r="CD170" i="16"/>
  <c r="CE170" i="16"/>
  <c r="CF170" i="16"/>
  <c r="CG170" i="16"/>
  <c r="CH170" i="16"/>
  <c r="CI170" i="16"/>
  <c r="CB171" i="16"/>
  <c r="CC171" i="16"/>
  <c r="CD171" i="16"/>
  <c r="CE171" i="16"/>
  <c r="CF171" i="16"/>
  <c r="CG171" i="16"/>
  <c r="CH171" i="16"/>
  <c r="CI171" i="16"/>
  <c r="CB172" i="16"/>
  <c r="CC172" i="16"/>
  <c r="CD172" i="16"/>
  <c r="CE172" i="16"/>
  <c r="CF172" i="16"/>
  <c r="CG172" i="16"/>
  <c r="CH172" i="16"/>
  <c r="CI172" i="16"/>
  <c r="CB173" i="16"/>
  <c r="CC173" i="16"/>
  <c r="CD173" i="16"/>
  <c r="CE173" i="16"/>
  <c r="CF173" i="16"/>
  <c r="CG173" i="16"/>
  <c r="CH173" i="16"/>
  <c r="CI173" i="16"/>
  <c r="CB174" i="16"/>
  <c r="CC174" i="16"/>
  <c r="CD174" i="16"/>
  <c r="CE174" i="16"/>
  <c r="CF174" i="16"/>
  <c r="CG174" i="16"/>
  <c r="CH174" i="16"/>
  <c r="CI174" i="16"/>
  <c r="CB175" i="16"/>
  <c r="CC175" i="16"/>
  <c r="CD175" i="16"/>
  <c r="CE175" i="16"/>
  <c r="CF175" i="16"/>
  <c r="CG175" i="16"/>
  <c r="CH175" i="16"/>
  <c r="CI175" i="16"/>
  <c r="CB176" i="16"/>
  <c r="CC176" i="16"/>
  <c r="CD176" i="16"/>
  <c r="CE176" i="16"/>
  <c r="CF176" i="16"/>
  <c r="CG176" i="16"/>
  <c r="CH176" i="16"/>
  <c r="CI176" i="16"/>
  <c r="CB177" i="16"/>
  <c r="CC177" i="16"/>
  <c r="CD177" i="16"/>
  <c r="CE177" i="16"/>
  <c r="CF177" i="16"/>
  <c r="CG177" i="16"/>
  <c r="CH177" i="16"/>
  <c r="CI177" i="16"/>
  <c r="CB178" i="16"/>
  <c r="CC178" i="16"/>
  <c r="CD178" i="16"/>
  <c r="CE178" i="16"/>
  <c r="CF178" i="16"/>
  <c r="CG178" i="16"/>
  <c r="CH178" i="16"/>
  <c r="CI178" i="16"/>
  <c r="CB179" i="16"/>
  <c r="CC179" i="16"/>
  <c r="CD179" i="16"/>
  <c r="CE179" i="16"/>
  <c r="CF179" i="16"/>
  <c r="CG179" i="16"/>
  <c r="CH179" i="16"/>
  <c r="CI179" i="16"/>
  <c r="CB180" i="16"/>
  <c r="CC180" i="16"/>
  <c r="CD180" i="16"/>
  <c r="CE180" i="16"/>
  <c r="CF180" i="16"/>
  <c r="CG180" i="16"/>
  <c r="CH180" i="16"/>
  <c r="CI180" i="16"/>
  <c r="CB181" i="16"/>
  <c r="CC181" i="16"/>
  <c r="CD181" i="16"/>
  <c r="CE181" i="16"/>
  <c r="CF181" i="16"/>
  <c r="CG181" i="16"/>
  <c r="CH181" i="16"/>
  <c r="CI181" i="16"/>
  <c r="CB182" i="16"/>
  <c r="CC182" i="16"/>
  <c r="CD182" i="16"/>
  <c r="CE182" i="16"/>
  <c r="CF182" i="16"/>
  <c r="CG182" i="16"/>
  <c r="CH182" i="16"/>
  <c r="CI182" i="16"/>
  <c r="CB183" i="16"/>
  <c r="CC183" i="16"/>
  <c r="CD183" i="16"/>
  <c r="CE183" i="16"/>
  <c r="CF183" i="16"/>
  <c r="CG183" i="16"/>
  <c r="CH183" i="16"/>
  <c r="CI183" i="16"/>
  <c r="CB184" i="16"/>
  <c r="CC184" i="16"/>
  <c r="CD184" i="16"/>
  <c r="CE184" i="16"/>
  <c r="CF184" i="16"/>
  <c r="CG184" i="16"/>
  <c r="CH184" i="16"/>
  <c r="CI184" i="16"/>
  <c r="CB185" i="16"/>
  <c r="CC185" i="16"/>
  <c r="CD185" i="16"/>
  <c r="CE185" i="16"/>
  <c r="CF185" i="16"/>
  <c r="CG185" i="16"/>
  <c r="CH185" i="16"/>
  <c r="CI185" i="16"/>
  <c r="CB186" i="16"/>
  <c r="CC186" i="16"/>
  <c r="CD186" i="16"/>
  <c r="CE186" i="16"/>
  <c r="CF186" i="16"/>
  <c r="CG186" i="16"/>
  <c r="CH186" i="16"/>
  <c r="CI186" i="16"/>
  <c r="CB187" i="16"/>
  <c r="CC187" i="16"/>
  <c r="CD187" i="16"/>
  <c r="CE187" i="16"/>
  <c r="CF187" i="16"/>
  <c r="CG187" i="16"/>
  <c r="CH187" i="16"/>
  <c r="CI187" i="16"/>
  <c r="CB188" i="16"/>
  <c r="CC188" i="16"/>
  <c r="CD188" i="16"/>
  <c r="CE188" i="16"/>
  <c r="CF188" i="16"/>
  <c r="CG188" i="16"/>
  <c r="CH188" i="16"/>
  <c r="CI188" i="16"/>
  <c r="CB189" i="16"/>
  <c r="CC189" i="16"/>
  <c r="CD189" i="16"/>
  <c r="CE189" i="16"/>
  <c r="CF189" i="16"/>
  <c r="CG189" i="16"/>
  <c r="CH189" i="16"/>
  <c r="CI189" i="16"/>
  <c r="CB190" i="16"/>
  <c r="CC190" i="16"/>
  <c r="CD190" i="16"/>
  <c r="CE190" i="16"/>
  <c r="CF190" i="16"/>
  <c r="CG190" i="16"/>
  <c r="CH190" i="16"/>
  <c r="CI190" i="16"/>
  <c r="CB191" i="16"/>
  <c r="CC191" i="16"/>
  <c r="CD191" i="16"/>
  <c r="CE191" i="16"/>
  <c r="CF191" i="16"/>
  <c r="CG191" i="16"/>
  <c r="CH191" i="16"/>
  <c r="CI191" i="16"/>
  <c r="CB192" i="16"/>
  <c r="CC192" i="16"/>
  <c r="CD192" i="16"/>
  <c r="CE192" i="16"/>
  <c r="CF192" i="16"/>
  <c r="CG192" i="16"/>
  <c r="CH192" i="16"/>
  <c r="CI192" i="16"/>
  <c r="CB193" i="16"/>
  <c r="CC193" i="16"/>
  <c r="CD193" i="16"/>
  <c r="CE193" i="16"/>
  <c r="CF193" i="16"/>
  <c r="CG193" i="16"/>
  <c r="CH193" i="16"/>
  <c r="CI193" i="16"/>
  <c r="CB194" i="16"/>
  <c r="CC194" i="16"/>
  <c r="CD194" i="16"/>
  <c r="CE194" i="16"/>
  <c r="CF194" i="16"/>
  <c r="CG194" i="16"/>
  <c r="CH194" i="16"/>
  <c r="CI194" i="16"/>
  <c r="CB195" i="16"/>
  <c r="CC195" i="16"/>
  <c r="CD195" i="16"/>
  <c r="CE195" i="16"/>
  <c r="CF195" i="16"/>
  <c r="CG195" i="16"/>
  <c r="CH195" i="16"/>
  <c r="CI195" i="16"/>
  <c r="CB196" i="16"/>
  <c r="CC196" i="16"/>
  <c r="CD196" i="16"/>
  <c r="CE196" i="16"/>
  <c r="CF196" i="16"/>
  <c r="CG196" i="16"/>
  <c r="CH196" i="16"/>
  <c r="CI196" i="16"/>
  <c r="CB197" i="16"/>
  <c r="CC197" i="16"/>
  <c r="CD197" i="16"/>
  <c r="CE197" i="16"/>
  <c r="CF197" i="16"/>
  <c r="CG197" i="16"/>
  <c r="CH197" i="16"/>
  <c r="CI197" i="16"/>
  <c r="CB198" i="16"/>
  <c r="CC198" i="16"/>
  <c r="CD198" i="16"/>
  <c r="CE198" i="16"/>
  <c r="CF198" i="16"/>
  <c r="CG198" i="16"/>
  <c r="CH198" i="16"/>
  <c r="CI198" i="16"/>
  <c r="CB199" i="16"/>
  <c r="CC199" i="16"/>
  <c r="CD199" i="16"/>
  <c r="CE199" i="16"/>
  <c r="CF199" i="16"/>
  <c r="CG199" i="16"/>
  <c r="CH199" i="16"/>
  <c r="CI199" i="16"/>
  <c r="CB200" i="16"/>
  <c r="CC200" i="16"/>
  <c r="CD200" i="16"/>
  <c r="CE200" i="16"/>
  <c r="CF200" i="16"/>
  <c r="CG200" i="16"/>
  <c r="CH200" i="16"/>
  <c r="CI200" i="16"/>
  <c r="CB201" i="16"/>
  <c r="CC201" i="16"/>
  <c r="CD201" i="16"/>
  <c r="CE201" i="16"/>
  <c r="CF201" i="16"/>
  <c r="CG201" i="16"/>
  <c r="CH201" i="16"/>
  <c r="CI201" i="16"/>
  <c r="CB204" i="16"/>
  <c r="CC204" i="16"/>
  <c r="CD204" i="16"/>
  <c r="CE204" i="16"/>
  <c r="CF204" i="16"/>
  <c r="CG204" i="16"/>
  <c r="CH204" i="16"/>
  <c r="CI204" i="16"/>
  <c r="CB205" i="16"/>
  <c r="CC205" i="16"/>
  <c r="CD205" i="16"/>
  <c r="CE205" i="16"/>
  <c r="CF205" i="16"/>
  <c r="CG205" i="16"/>
  <c r="CH205" i="16"/>
  <c r="CI205" i="16"/>
  <c r="CB206" i="16"/>
  <c r="CC206" i="16"/>
  <c r="CD206" i="16"/>
  <c r="CE206" i="16"/>
  <c r="CF206" i="16"/>
  <c r="CG206" i="16"/>
  <c r="CH206" i="16"/>
  <c r="CI206" i="16"/>
  <c r="CB207" i="16"/>
  <c r="CC207" i="16"/>
  <c r="CD207" i="16"/>
  <c r="CE207" i="16"/>
  <c r="CF207" i="16"/>
  <c r="CG207" i="16"/>
  <c r="CH207" i="16"/>
  <c r="CI207" i="16"/>
  <c r="CB208" i="16"/>
  <c r="CC208" i="16"/>
  <c r="CD208" i="16"/>
  <c r="CE208" i="16"/>
  <c r="CF208" i="16"/>
  <c r="CG208" i="16"/>
  <c r="CH208" i="16"/>
  <c r="CI208" i="16"/>
  <c r="CB209" i="16"/>
  <c r="CC209" i="16"/>
  <c r="CD209" i="16"/>
  <c r="CE209" i="16"/>
  <c r="CF209" i="16"/>
  <c r="CG209" i="16"/>
  <c r="CH209" i="16"/>
  <c r="CI209" i="16"/>
  <c r="CB210" i="16"/>
  <c r="CC210" i="16"/>
  <c r="CD210" i="16"/>
  <c r="CE210" i="16"/>
  <c r="CF210" i="16"/>
  <c r="CG210" i="16"/>
  <c r="CH210" i="16"/>
  <c r="CI210" i="16"/>
  <c r="CB211" i="16"/>
  <c r="CC211" i="16"/>
  <c r="CD211" i="16"/>
  <c r="CE211" i="16"/>
  <c r="CF211" i="16"/>
  <c r="CG211" i="16"/>
  <c r="CH211" i="16"/>
  <c r="CI211" i="16"/>
  <c r="CB212" i="16"/>
  <c r="CC212" i="16"/>
  <c r="CD212" i="16"/>
  <c r="CE212" i="16"/>
  <c r="CF212" i="16"/>
  <c r="CG212" i="16"/>
  <c r="CH212" i="16"/>
  <c r="CI212" i="16"/>
  <c r="CB213" i="16"/>
  <c r="CC213" i="16"/>
  <c r="CD213" i="16"/>
  <c r="CE213" i="16"/>
  <c r="CF213" i="16"/>
  <c r="CG213" i="16"/>
  <c r="CH213" i="16"/>
  <c r="CI213" i="16"/>
  <c r="CB214" i="16"/>
  <c r="CC214" i="16"/>
  <c r="CD214" i="16"/>
  <c r="CE214" i="16"/>
  <c r="CF214" i="16"/>
  <c r="CG214" i="16"/>
  <c r="CH214" i="16"/>
  <c r="CI214" i="16"/>
  <c r="CB215" i="16"/>
  <c r="CC215" i="16"/>
  <c r="CD215" i="16"/>
  <c r="CE215" i="16"/>
  <c r="CF215" i="16"/>
  <c r="CG215" i="16"/>
  <c r="CH215" i="16"/>
  <c r="CI215" i="16"/>
  <c r="CB216" i="16"/>
  <c r="CC216" i="16"/>
  <c r="CD216" i="16"/>
  <c r="CE216" i="16"/>
  <c r="CF216" i="16"/>
  <c r="CG216" i="16"/>
  <c r="CH216" i="16"/>
  <c r="CI216" i="16"/>
  <c r="CB217" i="16"/>
  <c r="CC217" i="16"/>
  <c r="CD217" i="16"/>
  <c r="CE217" i="16"/>
  <c r="CF217" i="16"/>
  <c r="CG217" i="16"/>
  <c r="CH217" i="16"/>
  <c r="CI217" i="16"/>
  <c r="CB218" i="16"/>
  <c r="CC218" i="16"/>
  <c r="CD218" i="16"/>
  <c r="CE218" i="16"/>
  <c r="CF218" i="16"/>
  <c r="CG218" i="16"/>
  <c r="CH218" i="16"/>
  <c r="CI218" i="16"/>
  <c r="CB219" i="16"/>
  <c r="CC219" i="16"/>
  <c r="CD219" i="16"/>
  <c r="CE219" i="16"/>
  <c r="CF219" i="16"/>
  <c r="CG219" i="16"/>
  <c r="CH219" i="16"/>
  <c r="CI219" i="16"/>
  <c r="CB220" i="16"/>
  <c r="CC220" i="16"/>
  <c r="CD220" i="16"/>
  <c r="CE220" i="16"/>
  <c r="CF220" i="16"/>
  <c r="CG220" i="16"/>
  <c r="CH220" i="16"/>
  <c r="CI220" i="16"/>
  <c r="CB221" i="16"/>
  <c r="CC221" i="16"/>
  <c r="CD221" i="16"/>
  <c r="CE221" i="16"/>
  <c r="CF221" i="16"/>
  <c r="CG221" i="16"/>
  <c r="CH221" i="16"/>
  <c r="CI221" i="16"/>
  <c r="CB222" i="16"/>
  <c r="CC222" i="16"/>
  <c r="CD222" i="16"/>
  <c r="CE222" i="16"/>
  <c r="CF222" i="16"/>
  <c r="CG222" i="16"/>
  <c r="CH222" i="16"/>
  <c r="CI222" i="16"/>
  <c r="CB223" i="16"/>
  <c r="CC223" i="16"/>
  <c r="CD223" i="16"/>
  <c r="CE223" i="16"/>
  <c r="CF223" i="16"/>
  <c r="CG223" i="16"/>
  <c r="CH223" i="16"/>
  <c r="CI223" i="16"/>
  <c r="CB224" i="16"/>
  <c r="CC224" i="16"/>
  <c r="CD224" i="16"/>
  <c r="CE224" i="16"/>
  <c r="CF224" i="16"/>
  <c r="CG224" i="16"/>
  <c r="CH224" i="16"/>
  <c r="CI224" i="16"/>
  <c r="CB225" i="16"/>
  <c r="CC225" i="16"/>
  <c r="CD225" i="16"/>
  <c r="CE225" i="16"/>
  <c r="CF225" i="16"/>
  <c r="CG225" i="16"/>
  <c r="CH225" i="16"/>
  <c r="CI225" i="16"/>
  <c r="CB226" i="16"/>
  <c r="CC226" i="16"/>
  <c r="CD226" i="16"/>
  <c r="CE226" i="16"/>
  <c r="CF226" i="16"/>
  <c r="CG226" i="16"/>
  <c r="CH226" i="16"/>
  <c r="CI226" i="16"/>
  <c r="CB227" i="16"/>
  <c r="CC227" i="16"/>
  <c r="CD227" i="16"/>
  <c r="CE227" i="16"/>
  <c r="CF227" i="16"/>
  <c r="CG227" i="16"/>
  <c r="CH227" i="16"/>
  <c r="CI227" i="16"/>
  <c r="CB228" i="16"/>
  <c r="CC228" i="16"/>
  <c r="CD228" i="16"/>
  <c r="CE228" i="16"/>
  <c r="CF228" i="16"/>
  <c r="CG228" i="16"/>
  <c r="CH228" i="16"/>
  <c r="CI228" i="16"/>
  <c r="CB229" i="16"/>
  <c r="CC229" i="16"/>
  <c r="CD229" i="16"/>
  <c r="CE229" i="16"/>
  <c r="CF229" i="16"/>
  <c r="CG229" i="16"/>
  <c r="CH229" i="16"/>
  <c r="CI229" i="16"/>
  <c r="CB230" i="16"/>
  <c r="CC230" i="16"/>
  <c r="CD230" i="16"/>
  <c r="CE230" i="16"/>
  <c r="CF230" i="16"/>
  <c r="CG230" i="16"/>
  <c r="CH230" i="16"/>
  <c r="CI230" i="16"/>
  <c r="CB231" i="16"/>
  <c r="CC231" i="16"/>
  <c r="CD231" i="16"/>
  <c r="CE231" i="16"/>
  <c r="CF231" i="16"/>
  <c r="CG231" i="16"/>
  <c r="CH231" i="16"/>
  <c r="CI231" i="16"/>
  <c r="CB232" i="16"/>
  <c r="CC232" i="16"/>
  <c r="CD232" i="16"/>
  <c r="CE232" i="16"/>
  <c r="CF232" i="16"/>
  <c r="CG232" i="16"/>
  <c r="CH232" i="16"/>
  <c r="CI232" i="16"/>
  <c r="CB233" i="16"/>
  <c r="CC233" i="16"/>
  <c r="CD233" i="16"/>
  <c r="CE233" i="16"/>
  <c r="CF233" i="16"/>
  <c r="CG233" i="16"/>
  <c r="CH233" i="16"/>
  <c r="CI233" i="16"/>
  <c r="CB234" i="16"/>
  <c r="CC234" i="16"/>
  <c r="CD234" i="16"/>
  <c r="CE234" i="16"/>
  <c r="CF234" i="16"/>
  <c r="CG234" i="16"/>
  <c r="CH234" i="16"/>
  <c r="CI234" i="16"/>
  <c r="CB235" i="16"/>
  <c r="CC235" i="16"/>
  <c r="CD235" i="16"/>
  <c r="CE235" i="16"/>
  <c r="CF235" i="16"/>
  <c r="CG235" i="16"/>
  <c r="CH235" i="16"/>
  <c r="CI235" i="16"/>
  <c r="CB236" i="16"/>
  <c r="CC236" i="16"/>
  <c r="CD236" i="16"/>
  <c r="CE236" i="16"/>
  <c r="CF236" i="16"/>
  <c r="CG236" i="16"/>
  <c r="CH236" i="16"/>
  <c r="CI236" i="16"/>
  <c r="CB237" i="16"/>
  <c r="CC237" i="16"/>
  <c r="CD237" i="16"/>
  <c r="CE237" i="16"/>
  <c r="CF237" i="16"/>
  <c r="CG237" i="16"/>
  <c r="CH237" i="16"/>
  <c r="CI237" i="16"/>
  <c r="CB238" i="16"/>
  <c r="CC238" i="16"/>
  <c r="CD238" i="16"/>
  <c r="CE238" i="16"/>
  <c r="CF238" i="16"/>
  <c r="CG238" i="16"/>
  <c r="CH238" i="16"/>
  <c r="CI238" i="16"/>
  <c r="CB239" i="16"/>
  <c r="CC239" i="16"/>
  <c r="CD239" i="16"/>
  <c r="CE239" i="16"/>
  <c r="CF239" i="16"/>
  <c r="CG239" i="16"/>
  <c r="CH239" i="16"/>
  <c r="CI239" i="16"/>
  <c r="CB240" i="16"/>
  <c r="CC240" i="16"/>
  <c r="CD240" i="16"/>
  <c r="CE240" i="16"/>
  <c r="CF240" i="16"/>
  <c r="CG240" i="16"/>
  <c r="CH240" i="16"/>
  <c r="CI240" i="16"/>
  <c r="CB241" i="16"/>
  <c r="CC241" i="16"/>
  <c r="CD241" i="16"/>
  <c r="CE241" i="16"/>
  <c r="CF241" i="16"/>
  <c r="CG241" i="16"/>
  <c r="CH241" i="16"/>
  <c r="CI241" i="16"/>
  <c r="CB242" i="16"/>
  <c r="CC242" i="16"/>
  <c r="CD242" i="16"/>
  <c r="CE242" i="16"/>
  <c r="CF242" i="16"/>
  <c r="CG242" i="16"/>
  <c r="CH242" i="16"/>
  <c r="CI242" i="16"/>
  <c r="CB243" i="16"/>
  <c r="CC243" i="16"/>
  <c r="CD243" i="16"/>
  <c r="CE243" i="16"/>
  <c r="CF243" i="16"/>
  <c r="CG243" i="16"/>
  <c r="CH243" i="16"/>
  <c r="CI243" i="16"/>
  <c r="CB244" i="16"/>
  <c r="CC244" i="16"/>
  <c r="CD244" i="16"/>
  <c r="CE244" i="16"/>
  <c r="CF244" i="16"/>
  <c r="CG244" i="16"/>
  <c r="CH244" i="16"/>
  <c r="CI244" i="16"/>
  <c r="CB245" i="16"/>
  <c r="CC245" i="16"/>
  <c r="CD245" i="16"/>
  <c r="CE245" i="16"/>
  <c r="CF245" i="16"/>
  <c r="CG245" i="16"/>
  <c r="CH245" i="16"/>
  <c r="CI245" i="16"/>
  <c r="CB246" i="16"/>
  <c r="CC246" i="16"/>
  <c r="CD246" i="16"/>
  <c r="CE246" i="16"/>
  <c r="CF246" i="16"/>
  <c r="CG246" i="16"/>
  <c r="CH246" i="16"/>
  <c r="CI246" i="16"/>
  <c r="CB247" i="16"/>
  <c r="CC247" i="16"/>
  <c r="CD247" i="16"/>
  <c r="CE247" i="16"/>
  <c r="CF247" i="16"/>
  <c r="CG247" i="16"/>
  <c r="CH247" i="16"/>
  <c r="CI247" i="16"/>
  <c r="CB248" i="16"/>
  <c r="CC248" i="16"/>
  <c r="CD248" i="16"/>
  <c r="CE248" i="16"/>
  <c r="CF248" i="16"/>
  <c r="CG248" i="16"/>
  <c r="CH248" i="16"/>
  <c r="CI248" i="16"/>
  <c r="CB249" i="16"/>
  <c r="CC249" i="16"/>
  <c r="CD249" i="16"/>
  <c r="CE249" i="16"/>
  <c r="CF249" i="16"/>
  <c r="CG249" i="16"/>
  <c r="CH249" i="16"/>
  <c r="CI249" i="16"/>
  <c r="CB250" i="16"/>
  <c r="CC250" i="16"/>
  <c r="CD250" i="16"/>
  <c r="CE250" i="16"/>
  <c r="CF250" i="16"/>
  <c r="CG250" i="16"/>
  <c r="CH250" i="16"/>
  <c r="CI250" i="16"/>
  <c r="CB251" i="16"/>
  <c r="CC251" i="16"/>
  <c r="CD251" i="16"/>
  <c r="CE251" i="16"/>
  <c r="CF251" i="16"/>
  <c r="CG251" i="16"/>
  <c r="CH251" i="16"/>
  <c r="CI251" i="16"/>
  <c r="CB252" i="16"/>
  <c r="CC252" i="16"/>
  <c r="CD252" i="16"/>
  <c r="CE252" i="16"/>
  <c r="CF252" i="16"/>
  <c r="CG252" i="16"/>
  <c r="CH252" i="16"/>
  <c r="CI252" i="16"/>
  <c r="CB253" i="16"/>
  <c r="CC253" i="16"/>
  <c r="CD253" i="16"/>
  <c r="CE253" i="16"/>
  <c r="CF253" i="16"/>
  <c r="CG253" i="16"/>
  <c r="CH253" i="16"/>
  <c r="CI253" i="16"/>
  <c r="CB254" i="16"/>
  <c r="CC254" i="16"/>
  <c r="CD254" i="16"/>
  <c r="CE254" i="16"/>
  <c r="CF254" i="16"/>
  <c r="CG254" i="16"/>
  <c r="CH254" i="16"/>
  <c r="CI254" i="16"/>
  <c r="CB255" i="16"/>
  <c r="CC255" i="16"/>
  <c r="CD255" i="16"/>
  <c r="CE255" i="16"/>
  <c r="CF255" i="16"/>
  <c r="CG255" i="16"/>
  <c r="CH255" i="16"/>
  <c r="CI255" i="16"/>
  <c r="CB256" i="16"/>
  <c r="CC256" i="16"/>
  <c r="CD256" i="16"/>
  <c r="CE256" i="16"/>
  <c r="CF256" i="16"/>
  <c r="CG256" i="16"/>
  <c r="CH256" i="16"/>
  <c r="CI256" i="16"/>
  <c r="CB257" i="16"/>
  <c r="CC257" i="16"/>
  <c r="CD257" i="16"/>
  <c r="CE257" i="16"/>
  <c r="CF257" i="16"/>
  <c r="CG257" i="16"/>
  <c r="CH257" i="16"/>
  <c r="CI257" i="16"/>
  <c r="CB258" i="16"/>
  <c r="CC258" i="16"/>
  <c r="CD258" i="16"/>
  <c r="CE258" i="16"/>
  <c r="CF258" i="16"/>
  <c r="CG258" i="16"/>
  <c r="CH258" i="16"/>
  <c r="CI258" i="16"/>
  <c r="CB259" i="16"/>
  <c r="CC259" i="16"/>
  <c r="CD259" i="16"/>
  <c r="CE259" i="16"/>
  <c r="CF259" i="16"/>
  <c r="CG259" i="16"/>
  <c r="CH259" i="16"/>
  <c r="CI259" i="16"/>
  <c r="CB260" i="16"/>
  <c r="CC260" i="16"/>
  <c r="CD260" i="16"/>
  <c r="CE260" i="16"/>
  <c r="CF260" i="16"/>
  <c r="CG260" i="16"/>
  <c r="CH260" i="16"/>
  <c r="CI260" i="16"/>
  <c r="CB261" i="16"/>
  <c r="CC261" i="16"/>
  <c r="CD261" i="16"/>
  <c r="CE261" i="16"/>
  <c r="CF261" i="16"/>
  <c r="CG261" i="16"/>
  <c r="CH261" i="16"/>
  <c r="CI261" i="16"/>
  <c r="CB262" i="16"/>
  <c r="CC262" i="16"/>
  <c r="CD262" i="16"/>
  <c r="CE262" i="16"/>
  <c r="CF262" i="16"/>
  <c r="CG262" i="16"/>
  <c r="CH262" i="16"/>
  <c r="CI262" i="16"/>
  <c r="CB263" i="16"/>
  <c r="CC263" i="16"/>
  <c r="CD263" i="16"/>
  <c r="CE263" i="16"/>
  <c r="CF263" i="16"/>
  <c r="CG263" i="16"/>
  <c r="CH263" i="16"/>
  <c r="CI263" i="16"/>
  <c r="CB264" i="16"/>
  <c r="CC264" i="16"/>
  <c r="CD264" i="16"/>
  <c r="CE264" i="16"/>
  <c r="CF264" i="16"/>
  <c r="CG264" i="16"/>
  <c r="CH264" i="16"/>
  <c r="CI264" i="16"/>
  <c r="CB265" i="16"/>
  <c r="CC265" i="16"/>
  <c r="CD265" i="16"/>
  <c r="CE265" i="16"/>
  <c r="CF265" i="16"/>
  <c r="CG265" i="16"/>
  <c r="CH265" i="16"/>
  <c r="CI265" i="16"/>
  <c r="CB266" i="16"/>
  <c r="CC266" i="16"/>
  <c r="CD266" i="16"/>
  <c r="CE266" i="16"/>
  <c r="CF266" i="16"/>
  <c r="CG266" i="16"/>
  <c r="CH266" i="16"/>
  <c r="CI266" i="16"/>
  <c r="CB267" i="16"/>
  <c r="CC267" i="16"/>
  <c r="CD267" i="16"/>
  <c r="CE267" i="16"/>
  <c r="CF267" i="16"/>
  <c r="CG267" i="16"/>
  <c r="CH267" i="16"/>
  <c r="CI267" i="16"/>
  <c r="CB268" i="16"/>
  <c r="CC268" i="16"/>
  <c r="CD268" i="16"/>
  <c r="CE268" i="16"/>
  <c r="CF268" i="16"/>
  <c r="CG268" i="16"/>
  <c r="CH268" i="16"/>
  <c r="CI268" i="16"/>
  <c r="CB269" i="16"/>
  <c r="CC269" i="16"/>
  <c r="CD269" i="16"/>
  <c r="CE269" i="16"/>
  <c r="CF269" i="16"/>
  <c r="CG269" i="16"/>
  <c r="CH269" i="16"/>
  <c r="CI269" i="16"/>
  <c r="CB270" i="16"/>
  <c r="CC270" i="16"/>
  <c r="CD270" i="16"/>
  <c r="CE270" i="16"/>
  <c r="CF270" i="16"/>
  <c r="CG270" i="16"/>
  <c r="CH270" i="16"/>
  <c r="CI270" i="16"/>
  <c r="CB271" i="16"/>
  <c r="CC271" i="16"/>
  <c r="CD271" i="16"/>
  <c r="CE271" i="16"/>
  <c r="CF271" i="16"/>
  <c r="CG271" i="16"/>
  <c r="CH271" i="16"/>
  <c r="CI271" i="16"/>
  <c r="CB272" i="16"/>
  <c r="CC272" i="16"/>
  <c r="CD272" i="16"/>
  <c r="CE272" i="16"/>
  <c r="CF272" i="16"/>
  <c r="CG272" i="16"/>
  <c r="CH272" i="16"/>
  <c r="CI272" i="16"/>
  <c r="CB273" i="16"/>
  <c r="CC273" i="16"/>
  <c r="CD273" i="16"/>
  <c r="CE273" i="16"/>
  <c r="CF273" i="16"/>
  <c r="CG273" i="16"/>
  <c r="CH273" i="16"/>
  <c r="CI273" i="16"/>
  <c r="CB274" i="16"/>
  <c r="CC274" i="16"/>
  <c r="CD274" i="16"/>
  <c r="CE274" i="16"/>
  <c r="CF274" i="16"/>
  <c r="CG274" i="16"/>
  <c r="CH274" i="16"/>
  <c r="CI274" i="16"/>
  <c r="CB275" i="16"/>
  <c r="CC275" i="16"/>
  <c r="CD275" i="16"/>
  <c r="CE275" i="16"/>
  <c r="CF275" i="16"/>
  <c r="CG275" i="16"/>
  <c r="CH275" i="16"/>
  <c r="CI275" i="16"/>
  <c r="CB276" i="16"/>
  <c r="CC276" i="16"/>
  <c r="CD276" i="16"/>
  <c r="CE276" i="16"/>
  <c r="CF276" i="16"/>
  <c r="CG276" i="16"/>
  <c r="CH276" i="16"/>
  <c r="CI276" i="16"/>
  <c r="CB277" i="16"/>
  <c r="CC277" i="16"/>
  <c r="CD277" i="16"/>
  <c r="CE277" i="16"/>
  <c r="CF277" i="16"/>
  <c r="CG277" i="16"/>
  <c r="CH277" i="16"/>
  <c r="CI277" i="16"/>
  <c r="CB278" i="16"/>
  <c r="CC278" i="16"/>
  <c r="CD278" i="16"/>
  <c r="CE278" i="16"/>
  <c r="CF278" i="16"/>
  <c r="CG278" i="16"/>
  <c r="CH278" i="16"/>
  <c r="CI278" i="16"/>
  <c r="CB279" i="16"/>
  <c r="CC279" i="16"/>
  <c r="CD279" i="16"/>
  <c r="CE279" i="16"/>
  <c r="CF279" i="16"/>
  <c r="CG279" i="16"/>
  <c r="CH279" i="16"/>
  <c r="CI279" i="16"/>
  <c r="CB280" i="16"/>
  <c r="CC280" i="16"/>
  <c r="CD280" i="16"/>
  <c r="CE280" i="16"/>
  <c r="CF280" i="16"/>
  <c r="CG280" i="16"/>
  <c r="CH280" i="16"/>
  <c r="CI280" i="16"/>
  <c r="CB281" i="16"/>
  <c r="CC281" i="16"/>
  <c r="CD281" i="16"/>
  <c r="CE281" i="16"/>
  <c r="CF281" i="16"/>
  <c r="CG281" i="16"/>
  <c r="CH281" i="16"/>
  <c r="CI281" i="16"/>
  <c r="CB282" i="16"/>
  <c r="CC282" i="16"/>
  <c r="CD282" i="16"/>
  <c r="CE282" i="16"/>
  <c r="CF282" i="16"/>
  <c r="CG282" i="16"/>
  <c r="CH282" i="16"/>
  <c r="CI282" i="16"/>
  <c r="CB283" i="16"/>
  <c r="CC283" i="16"/>
  <c r="CD283" i="16"/>
  <c r="CE283" i="16"/>
  <c r="CF283" i="16"/>
  <c r="CG283" i="16"/>
  <c r="CH283" i="16"/>
  <c r="CI283" i="16"/>
  <c r="CB284" i="16"/>
  <c r="CC284" i="16"/>
  <c r="CD284" i="16"/>
  <c r="CE284" i="16"/>
  <c r="CF284" i="16"/>
  <c r="CG284" i="16"/>
  <c r="CH284" i="16"/>
  <c r="CI284" i="16"/>
  <c r="CB285" i="16"/>
  <c r="CC285" i="16"/>
  <c r="CD285" i="16"/>
  <c r="CE285" i="16"/>
  <c r="CF285" i="16"/>
  <c r="CG285" i="16"/>
  <c r="CH285" i="16"/>
  <c r="CI285" i="16"/>
  <c r="CB286" i="16"/>
  <c r="CC286" i="16"/>
  <c r="CD286" i="16"/>
  <c r="CE286" i="16"/>
  <c r="CF286" i="16"/>
  <c r="CG286" i="16"/>
  <c r="CH286" i="16"/>
  <c r="CI286" i="16"/>
  <c r="CB287" i="16"/>
  <c r="CC287" i="16"/>
  <c r="CD287" i="16"/>
  <c r="CE287" i="16"/>
  <c r="CF287" i="16"/>
  <c r="CG287" i="16"/>
  <c r="CH287" i="16"/>
  <c r="CI287" i="16"/>
  <c r="CB288" i="16"/>
  <c r="CC288" i="16"/>
  <c r="CD288" i="16"/>
  <c r="CE288" i="16"/>
  <c r="CF288" i="16"/>
  <c r="CG288" i="16"/>
  <c r="CH288" i="16"/>
  <c r="CI288" i="16"/>
  <c r="CB289" i="16"/>
  <c r="CC289" i="16"/>
  <c r="CD289" i="16"/>
  <c r="CE289" i="16"/>
  <c r="CF289" i="16"/>
  <c r="CG289" i="16"/>
  <c r="CH289" i="16"/>
  <c r="CI289" i="16"/>
  <c r="CB290" i="16"/>
  <c r="CC290" i="16"/>
  <c r="CD290" i="16"/>
  <c r="CE290" i="16"/>
  <c r="CF290" i="16"/>
  <c r="CG290" i="16"/>
  <c r="CH290" i="16"/>
  <c r="CI290" i="16"/>
  <c r="CB291" i="16"/>
  <c r="CC291" i="16"/>
  <c r="CD291" i="16"/>
  <c r="CE291" i="16"/>
  <c r="CF291" i="16"/>
  <c r="CG291" i="16"/>
  <c r="CH291" i="16"/>
  <c r="CI291" i="16"/>
  <c r="CB292" i="16"/>
  <c r="CC292" i="16"/>
  <c r="CD292" i="16"/>
  <c r="CE292" i="16"/>
  <c r="CF292" i="16"/>
  <c r="CG292" i="16"/>
  <c r="CH292" i="16"/>
  <c r="CI292" i="16"/>
  <c r="CB293" i="16"/>
  <c r="CC293" i="16"/>
  <c r="CD293" i="16"/>
  <c r="CE293" i="16"/>
  <c r="CF293" i="16"/>
  <c r="CG293" i="16"/>
  <c r="CH293" i="16"/>
  <c r="CI293" i="16"/>
  <c r="CB294" i="16"/>
  <c r="CC294" i="16"/>
  <c r="CD294" i="16"/>
  <c r="CE294" i="16"/>
  <c r="CF294" i="16"/>
  <c r="CG294" i="16"/>
  <c r="CH294" i="16"/>
  <c r="CI294" i="16"/>
  <c r="CB295" i="16"/>
  <c r="CC295" i="16"/>
  <c r="CD295" i="16"/>
  <c r="CE295" i="16"/>
  <c r="CF295" i="16"/>
  <c r="CG295" i="16"/>
  <c r="CH295" i="16"/>
  <c r="CI295" i="16"/>
  <c r="CB296" i="16"/>
  <c r="CC296" i="16"/>
  <c r="CD296" i="16"/>
  <c r="CE296" i="16"/>
  <c r="CF296" i="16"/>
  <c r="CG296" i="16"/>
  <c r="CH296" i="16"/>
  <c r="CI296" i="16"/>
  <c r="CB297" i="16"/>
  <c r="CC297" i="16"/>
  <c r="CD297" i="16"/>
  <c r="CE297" i="16"/>
  <c r="CF297" i="16"/>
  <c r="CG297" i="16"/>
  <c r="CH297" i="16"/>
  <c r="CI297" i="16"/>
  <c r="CB298" i="16"/>
  <c r="CC298" i="16"/>
  <c r="CD298" i="16"/>
  <c r="CE298" i="16"/>
  <c r="CF298" i="16"/>
  <c r="CG298" i="16"/>
  <c r="CH298" i="16"/>
  <c r="CI298" i="16"/>
  <c r="CB299" i="16"/>
  <c r="CC299" i="16"/>
  <c r="CD299" i="16"/>
  <c r="CE299" i="16"/>
  <c r="CF299" i="16"/>
  <c r="CG299" i="16"/>
  <c r="CH299" i="16"/>
  <c r="CI299" i="16"/>
  <c r="CB300" i="16"/>
  <c r="CC300" i="16"/>
  <c r="CD300" i="16"/>
  <c r="CE300" i="16"/>
  <c r="CF300" i="16"/>
  <c r="CG300" i="16"/>
  <c r="CH300" i="16"/>
  <c r="CI300" i="16"/>
  <c r="CB301" i="16"/>
  <c r="CC301" i="16"/>
  <c r="CD301" i="16"/>
  <c r="CE301" i="16"/>
  <c r="CF301" i="16"/>
  <c r="CG301" i="16"/>
  <c r="CH301" i="16"/>
  <c r="CI301" i="16"/>
  <c r="CB302" i="16"/>
  <c r="CC302" i="16"/>
  <c r="CD302" i="16"/>
  <c r="CE302" i="16"/>
  <c r="CF302" i="16"/>
  <c r="CG302" i="16"/>
  <c r="CH302" i="16"/>
  <c r="CI302" i="16"/>
  <c r="CB303" i="16"/>
  <c r="CC303" i="16"/>
  <c r="CD303" i="16"/>
  <c r="CE303" i="16"/>
  <c r="CF303" i="16"/>
  <c r="CG303" i="16"/>
  <c r="CH303" i="16"/>
  <c r="CI303" i="16"/>
  <c r="CB304" i="16"/>
  <c r="CC304" i="16"/>
  <c r="CD304" i="16"/>
  <c r="CE304" i="16"/>
  <c r="CF304" i="16"/>
  <c r="CG304" i="16"/>
  <c r="CH304" i="16"/>
  <c r="CI304" i="16"/>
  <c r="CB305" i="16"/>
  <c r="CC305" i="16"/>
  <c r="CD305" i="16"/>
  <c r="CE305" i="16"/>
  <c r="CF305" i="16"/>
  <c r="CG305" i="16"/>
  <c r="CH305" i="16"/>
  <c r="CI305" i="16"/>
  <c r="CB306" i="16"/>
  <c r="CC306" i="16"/>
  <c r="CD306" i="16"/>
  <c r="CE306" i="16"/>
  <c r="CF306" i="16"/>
  <c r="CG306" i="16"/>
  <c r="CH306" i="16"/>
  <c r="CI306" i="16"/>
  <c r="CB307" i="16"/>
  <c r="CC307" i="16"/>
  <c r="CD307" i="16"/>
  <c r="CE307" i="16"/>
  <c r="CF307" i="16"/>
  <c r="CG307" i="16"/>
  <c r="CH307" i="16"/>
  <c r="CI307" i="16"/>
  <c r="CB308" i="16"/>
  <c r="CC308" i="16"/>
  <c r="CD308" i="16"/>
  <c r="CE308" i="16"/>
  <c r="CF308" i="16"/>
  <c r="CG308" i="16"/>
  <c r="CH308" i="16"/>
  <c r="CI308" i="16"/>
  <c r="CB309" i="16"/>
  <c r="CC309" i="16"/>
  <c r="CD309" i="16"/>
  <c r="CE309" i="16"/>
  <c r="CF309" i="16"/>
  <c r="CG309" i="16"/>
  <c r="CH309" i="16"/>
  <c r="CI309" i="16"/>
  <c r="CB310" i="16"/>
  <c r="CC310" i="16"/>
  <c r="CD310" i="16"/>
  <c r="CE310" i="16"/>
  <c r="CF310" i="16"/>
  <c r="CG310" i="16"/>
  <c r="CH310" i="16"/>
  <c r="CI310" i="16"/>
  <c r="CB311" i="16"/>
  <c r="CC311" i="16"/>
  <c r="CD311" i="16"/>
  <c r="CE311" i="16"/>
  <c r="CF311" i="16"/>
  <c r="CG311" i="16"/>
  <c r="CH311" i="16"/>
  <c r="CI311" i="16"/>
  <c r="CB312" i="16"/>
  <c r="CC312" i="16"/>
  <c r="CD312" i="16"/>
  <c r="CE312" i="16"/>
  <c r="CF312" i="16"/>
  <c r="CG312" i="16"/>
  <c r="CH312" i="16"/>
  <c r="CI312" i="16"/>
  <c r="CB313" i="16"/>
  <c r="CC313" i="16"/>
  <c r="CD313" i="16"/>
  <c r="CE313" i="16"/>
  <c r="CF313" i="16"/>
  <c r="CG313" i="16"/>
  <c r="CH313" i="16"/>
  <c r="CI313" i="16"/>
  <c r="CB314" i="16"/>
  <c r="CC314" i="16"/>
  <c r="CD314" i="16"/>
  <c r="CE314" i="16"/>
  <c r="CF314" i="16"/>
  <c r="CG314" i="16"/>
  <c r="CH314" i="16"/>
  <c r="CI314" i="16"/>
  <c r="CB315" i="16"/>
  <c r="CC315" i="16"/>
  <c r="CD315" i="16"/>
  <c r="CE315" i="16"/>
  <c r="CF315" i="16"/>
  <c r="CG315" i="16"/>
  <c r="CH315" i="16"/>
  <c r="CI315" i="16"/>
  <c r="CB316" i="16"/>
  <c r="CC316" i="16"/>
  <c r="CD316" i="16"/>
  <c r="CE316" i="16"/>
  <c r="CF316" i="16"/>
  <c r="CG316" i="16"/>
  <c r="CH316" i="16"/>
  <c r="CI316" i="16"/>
  <c r="CB317" i="16"/>
  <c r="CC317" i="16"/>
  <c r="CD317" i="16"/>
  <c r="CE317" i="16"/>
  <c r="CF317" i="16"/>
  <c r="CG317" i="16"/>
  <c r="CH317" i="16"/>
  <c r="CI317" i="16"/>
  <c r="CB318" i="16"/>
  <c r="CC318" i="16"/>
  <c r="CD318" i="16"/>
  <c r="CE318" i="16"/>
  <c r="CF318" i="16"/>
  <c r="CG318" i="16"/>
  <c r="CH318" i="16"/>
  <c r="CI318" i="16"/>
  <c r="CB319" i="16"/>
  <c r="CC319" i="16"/>
  <c r="CD319" i="16"/>
  <c r="CE319" i="16"/>
  <c r="CF319" i="16"/>
  <c r="CG319" i="16"/>
  <c r="CH319" i="16"/>
  <c r="CI319" i="16"/>
  <c r="CB320" i="16"/>
  <c r="CC320" i="16"/>
  <c r="CD320" i="16"/>
  <c r="CE320" i="16"/>
  <c r="CF320" i="16"/>
  <c r="CG320" i="16"/>
  <c r="CH320" i="16"/>
  <c r="CI320" i="16"/>
  <c r="CB321" i="16"/>
  <c r="CC321" i="16"/>
  <c r="CD321" i="16"/>
  <c r="CE321" i="16"/>
  <c r="CF321" i="16"/>
  <c r="CG321" i="16"/>
  <c r="CH321" i="16"/>
  <c r="CI321" i="16"/>
  <c r="CB322" i="16"/>
  <c r="CC322" i="16"/>
  <c r="CD322" i="16"/>
  <c r="CE322" i="16"/>
  <c r="CF322" i="16"/>
  <c r="CG322" i="16"/>
  <c r="CH322" i="16"/>
  <c r="CI322" i="16"/>
  <c r="CB323" i="16"/>
  <c r="CC323" i="16"/>
  <c r="CD323" i="16"/>
  <c r="CE323" i="16"/>
  <c r="CF323" i="16"/>
  <c r="CG323" i="16"/>
  <c r="CH323" i="16"/>
  <c r="CI323" i="16"/>
  <c r="CB324" i="16"/>
  <c r="CC324" i="16"/>
  <c r="CD324" i="16"/>
  <c r="CE324" i="16"/>
  <c r="CF324" i="16"/>
  <c r="CG324" i="16"/>
  <c r="CH324" i="16"/>
  <c r="CI324" i="16"/>
  <c r="CB325" i="16"/>
  <c r="CC325" i="16"/>
  <c r="CD325" i="16"/>
  <c r="CE325" i="16"/>
  <c r="CF325" i="16"/>
  <c r="CG325" i="16"/>
  <c r="CH325" i="16"/>
  <c r="CI325" i="16"/>
  <c r="CB326" i="16"/>
  <c r="CC326" i="16"/>
  <c r="CD326" i="16"/>
  <c r="CE326" i="16"/>
  <c r="CF326" i="16"/>
  <c r="CG326" i="16"/>
  <c r="CH326" i="16"/>
  <c r="CI326" i="16"/>
  <c r="CB327" i="16"/>
  <c r="CC327" i="16"/>
  <c r="CD327" i="16"/>
  <c r="CE327" i="16"/>
  <c r="CF327" i="16"/>
  <c r="CG327" i="16"/>
  <c r="CH327" i="16"/>
  <c r="CI327" i="16"/>
  <c r="CB328" i="16"/>
  <c r="CC328" i="16"/>
  <c r="CD328" i="16"/>
  <c r="CE328" i="16"/>
  <c r="CF328" i="16"/>
  <c r="CG328" i="16"/>
  <c r="CH328" i="16"/>
  <c r="CI328" i="16"/>
  <c r="CB329" i="16"/>
  <c r="CC329" i="16"/>
  <c r="CD329" i="16"/>
  <c r="CE329" i="16"/>
  <c r="CF329" i="16"/>
  <c r="CG329" i="16"/>
  <c r="CH329" i="16"/>
  <c r="CI329" i="16"/>
  <c r="CB330" i="16"/>
  <c r="CC330" i="16"/>
  <c r="CD330" i="16"/>
  <c r="CE330" i="16"/>
  <c r="CF330" i="16"/>
  <c r="CG330" i="16"/>
  <c r="CH330" i="16"/>
  <c r="CI330" i="16"/>
  <c r="CB331" i="16"/>
  <c r="CC331" i="16"/>
  <c r="CD331" i="16"/>
  <c r="CE331" i="16"/>
  <c r="CF331" i="16"/>
  <c r="CG331" i="16"/>
  <c r="CH331" i="16"/>
  <c r="CI331" i="16"/>
  <c r="CB332" i="16"/>
  <c r="CC332" i="16"/>
  <c r="CD332" i="16"/>
  <c r="CE332" i="16"/>
  <c r="CF332" i="16"/>
  <c r="CG332" i="16"/>
  <c r="CH332" i="16"/>
  <c r="CI332" i="16"/>
  <c r="CB333" i="16"/>
  <c r="CC333" i="16"/>
  <c r="CD333" i="16"/>
  <c r="CE333" i="16"/>
  <c r="CF333" i="16"/>
  <c r="CG333" i="16"/>
  <c r="CH333" i="16"/>
  <c r="CI333" i="16"/>
  <c r="CB334" i="16"/>
  <c r="CC334" i="16"/>
  <c r="CD334" i="16"/>
  <c r="CE334" i="16"/>
  <c r="CF334" i="16"/>
  <c r="CG334" i="16"/>
  <c r="CH334" i="16"/>
  <c r="CI334" i="16"/>
  <c r="CB335" i="16"/>
  <c r="CC335" i="16"/>
  <c r="CD335" i="16"/>
  <c r="CE335" i="16"/>
  <c r="CF335" i="16"/>
  <c r="CG335" i="16"/>
  <c r="CH335" i="16"/>
  <c r="CI335" i="16"/>
  <c r="CB336" i="16"/>
  <c r="CC336" i="16"/>
  <c r="CD336" i="16"/>
  <c r="CE336" i="16"/>
  <c r="CF336" i="16"/>
  <c r="CG336" i="16"/>
  <c r="CH336" i="16"/>
  <c r="CI336" i="16"/>
  <c r="CB337" i="16"/>
  <c r="CC337" i="16"/>
  <c r="CD337" i="16"/>
  <c r="CE337" i="16"/>
  <c r="CF337" i="16"/>
  <c r="CG337" i="16"/>
  <c r="CH337" i="16"/>
  <c r="CI337" i="16"/>
  <c r="CB338" i="16"/>
  <c r="CC338" i="16"/>
  <c r="CD338" i="16"/>
  <c r="CE338" i="16"/>
  <c r="CF338" i="16"/>
  <c r="CG338" i="16"/>
  <c r="CH338" i="16"/>
  <c r="CI338" i="16"/>
  <c r="CB339" i="16"/>
  <c r="CC339" i="16"/>
  <c r="CD339" i="16"/>
  <c r="CE339" i="16"/>
  <c r="CF339" i="16"/>
  <c r="CG339" i="16"/>
  <c r="CH339" i="16"/>
  <c r="CI339" i="16"/>
  <c r="CB340" i="16"/>
  <c r="CC340" i="16"/>
  <c r="CD340" i="16"/>
  <c r="CE340" i="16"/>
  <c r="CF340" i="16"/>
  <c r="CG340" i="16"/>
  <c r="CH340" i="16"/>
  <c r="CI340" i="16"/>
  <c r="CB341" i="16"/>
  <c r="CC341" i="16"/>
  <c r="CD341" i="16"/>
  <c r="CE341" i="16"/>
  <c r="CF341" i="16"/>
  <c r="CG341" i="16"/>
  <c r="CH341" i="16"/>
  <c r="CI341" i="16"/>
  <c r="CB342" i="16"/>
  <c r="CC342" i="16"/>
  <c r="CD342" i="16"/>
  <c r="CE342" i="16"/>
  <c r="CF342" i="16"/>
  <c r="CG342" i="16"/>
  <c r="CH342" i="16"/>
  <c r="CI342" i="16"/>
  <c r="CB343" i="16"/>
  <c r="CC343" i="16"/>
  <c r="CD343" i="16"/>
  <c r="CE343" i="16"/>
  <c r="CF343" i="16"/>
  <c r="CG343" i="16"/>
  <c r="CH343" i="16"/>
  <c r="CI343" i="16"/>
  <c r="CB344" i="16"/>
  <c r="CC344" i="16"/>
  <c r="CD344" i="16"/>
  <c r="CE344" i="16"/>
  <c r="CF344" i="16"/>
  <c r="CG344" i="16"/>
  <c r="CH344" i="16"/>
  <c r="CI344" i="16"/>
  <c r="CB345" i="16"/>
  <c r="CC345" i="16"/>
  <c r="CD345" i="16"/>
  <c r="CE345" i="16"/>
  <c r="CF345" i="16"/>
  <c r="CG345" i="16"/>
  <c r="CH345" i="16"/>
  <c r="CI345" i="16"/>
  <c r="CB346" i="16"/>
  <c r="CC346" i="16"/>
  <c r="CD346" i="16"/>
  <c r="CE346" i="16"/>
  <c r="CF346" i="16"/>
  <c r="CG346" i="16"/>
  <c r="CH346" i="16"/>
  <c r="CI346" i="16"/>
  <c r="CB347" i="16"/>
  <c r="CC347" i="16"/>
  <c r="CD347" i="16"/>
  <c r="CE347" i="16"/>
  <c r="CF347" i="16"/>
  <c r="CG347" i="16"/>
  <c r="CH347" i="16"/>
  <c r="CI347" i="16"/>
  <c r="CB348" i="16"/>
  <c r="CC348" i="16"/>
  <c r="CD348" i="16"/>
  <c r="CE348" i="16"/>
  <c r="CF348" i="16"/>
  <c r="CG348" i="16"/>
  <c r="CH348" i="16"/>
  <c r="CI348" i="16"/>
  <c r="CB349" i="16"/>
  <c r="CC349" i="16"/>
  <c r="CD349" i="16"/>
  <c r="CE349" i="16"/>
  <c r="CF349" i="16"/>
  <c r="CG349" i="16"/>
  <c r="CH349" i="16"/>
  <c r="CI349" i="16"/>
  <c r="CB350" i="16"/>
  <c r="CC350" i="16"/>
  <c r="CD350" i="16"/>
  <c r="CE350" i="16"/>
  <c r="CF350" i="16"/>
  <c r="CG350" i="16"/>
  <c r="CH350" i="16"/>
  <c r="CI350" i="16"/>
  <c r="CB351" i="16"/>
  <c r="CC351" i="16"/>
  <c r="CD351" i="16"/>
  <c r="CE351" i="16"/>
  <c r="CF351" i="16"/>
  <c r="CG351" i="16"/>
  <c r="CH351" i="16"/>
  <c r="CI351" i="16"/>
  <c r="CB352" i="16"/>
  <c r="CC352" i="16"/>
  <c r="CD352" i="16"/>
  <c r="CE352" i="16"/>
  <c r="CF352" i="16"/>
  <c r="CG352" i="16"/>
  <c r="CH352" i="16"/>
  <c r="CI352" i="16"/>
  <c r="CB353" i="16"/>
  <c r="CC353" i="16"/>
  <c r="CD353" i="16"/>
  <c r="CE353" i="16"/>
  <c r="CF353" i="16"/>
  <c r="CG353" i="16"/>
  <c r="CH353" i="16"/>
  <c r="CI353" i="16"/>
  <c r="CB354" i="16"/>
  <c r="CC354" i="16"/>
  <c r="CD354" i="16"/>
  <c r="CE354" i="16"/>
  <c r="CF354" i="16"/>
  <c r="CG354" i="16"/>
  <c r="CH354" i="16"/>
  <c r="CI354" i="16"/>
  <c r="CB355" i="16"/>
  <c r="CC355" i="16"/>
  <c r="CD355" i="16"/>
  <c r="CE355" i="16"/>
  <c r="CF355" i="16"/>
  <c r="CG355" i="16"/>
  <c r="CH355" i="16"/>
  <c r="CI355" i="16"/>
  <c r="CB356" i="16"/>
  <c r="CC356" i="16"/>
  <c r="CD356" i="16"/>
  <c r="CE356" i="16"/>
  <c r="CF356" i="16"/>
  <c r="CG356" i="16"/>
  <c r="CH356" i="16"/>
  <c r="CI356" i="16"/>
  <c r="CB357" i="16"/>
  <c r="CC357" i="16"/>
  <c r="CD357" i="16"/>
  <c r="CE357" i="16"/>
  <c r="CF357" i="16"/>
  <c r="CG357" i="16"/>
  <c r="CH357" i="16"/>
  <c r="CI357" i="16"/>
  <c r="CB358" i="16"/>
  <c r="CC358" i="16"/>
  <c r="CD358" i="16"/>
  <c r="CE358" i="16"/>
  <c r="CF358" i="16"/>
  <c r="CG358" i="16"/>
  <c r="CH358" i="16"/>
  <c r="CI358" i="16"/>
  <c r="CB359" i="16"/>
  <c r="CC359" i="16"/>
  <c r="CD359" i="16"/>
  <c r="CE359" i="16"/>
  <c r="CF359" i="16"/>
  <c r="CG359" i="16"/>
  <c r="CH359" i="16"/>
  <c r="CI359" i="16"/>
  <c r="CB360" i="16"/>
  <c r="CC360" i="16"/>
  <c r="CD360" i="16"/>
  <c r="CE360" i="16"/>
  <c r="CF360" i="16"/>
  <c r="CG360" i="16"/>
  <c r="CH360" i="16"/>
  <c r="CI360" i="16"/>
  <c r="CB361" i="16"/>
  <c r="CC361" i="16"/>
  <c r="CD361" i="16"/>
  <c r="CE361" i="16"/>
  <c r="CF361" i="16"/>
  <c r="CG361" i="16"/>
  <c r="CH361" i="16"/>
  <c r="CI361" i="16"/>
  <c r="CB362" i="16"/>
  <c r="CC362" i="16"/>
  <c r="CD362" i="16"/>
  <c r="CE362" i="16"/>
  <c r="CF362" i="16"/>
  <c r="CG362" i="16"/>
  <c r="CH362" i="16"/>
  <c r="CI362" i="16"/>
  <c r="CB363" i="16"/>
  <c r="CC363" i="16"/>
  <c r="CD363" i="16"/>
  <c r="CE363" i="16"/>
  <c r="CF363" i="16"/>
  <c r="CG363" i="16"/>
  <c r="CH363" i="16"/>
  <c r="CI363" i="16"/>
  <c r="CB364" i="16"/>
  <c r="CC364" i="16"/>
  <c r="CD364" i="16"/>
  <c r="CE364" i="16"/>
  <c r="CF364" i="16"/>
  <c r="CG364" i="16"/>
  <c r="CH364" i="16"/>
  <c r="CI364" i="16"/>
  <c r="CB365" i="16"/>
  <c r="CC365" i="16"/>
  <c r="CD365" i="16"/>
  <c r="CE365" i="16"/>
  <c r="CF365" i="16"/>
  <c r="CG365" i="16"/>
  <c r="CH365" i="16"/>
  <c r="CI365" i="16"/>
  <c r="CB366" i="16"/>
  <c r="CC366" i="16"/>
  <c r="CD366" i="16"/>
  <c r="CE366" i="16"/>
  <c r="CF366" i="16"/>
  <c r="CG366" i="16"/>
  <c r="CH366" i="16"/>
  <c r="CI366" i="16"/>
  <c r="CB367" i="16"/>
  <c r="CC367" i="16"/>
  <c r="CD367" i="16"/>
  <c r="CE367" i="16"/>
  <c r="CF367" i="16"/>
  <c r="CG367" i="16"/>
  <c r="CH367" i="16"/>
  <c r="CI367" i="16"/>
  <c r="CB368" i="16"/>
  <c r="CC368" i="16"/>
  <c r="CD368" i="16"/>
  <c r="CE368" i="16"/>
  <c r="CF368" i="16"/>
  <c r="CG368" i="16"/>
  <c r="CH368" i="16"/>
  <c r="CI368" i="16"/>
  <c r="CB369" i="16"/>
  <c r="CC369" i="16"/>
  <c r="CD369" i="16"/>
  <c r="CE369" i="16"/>
  <c r="CF369" i="16"/>
  <c r="CG369" i="16"/>
  <c r="CH369" i="16"/>
  <c r="CI369" i="16"/>
  <c r="CB370" i="16"/>
  <c r="CC370" i="16"/>
  <c r="CD370" i="16"/>
  <c r="CE370" i="16"/>
  <c r="CF370" i="16"/>
  <c r="CG370" i="16"/>
  <c r="CH370" i="16"/>
  <c r="CI370" i="16"/>
  <c r="CB371" i="16"/>
  <c r="CC371" i="16"/>
  <c r="CD371" i="16"/>
  <c r="CE371" i="16"/>
  <c r="CF371" i="16"/>
  <c r="CG371" i="16"/>
  <c r="CH371" i="16"/>
  <c r="CI371" i="16"/>
  <c r="CB372" i="16"/>
  <c r="CC372" i="16"/>
  <c r="CD372" i="16"/>
  <c r="CE372" i="16"/>
  <c r="CF372" i="16"/>
  <c r="CG372" i="16"/>
  <c r="CH372" i="16"/>
  <c r="CI372" i="16"/>
  <c r="CB373" i="16"/>
  <c r="CC373" i="16"/>
  <c r="CD373" i="16"/>
  <c r="CE373" i="16"/>
  <c r="CF373" i="16"/>
  <c r="CG373" i="16"/>
  <c r="CH373" i="16"/>
  <c r="CI373" i="16"/>
  <c r="CB374" i="16"/>
  <c r="CC374" i="16"/>
  <c r="CD374" i="16"/>
  <c r="CE374" i="16"/>
  <c r="CF374" i="16"/>
  <c r="CG374" i="16"/>
  <c r="CH374" i="16"/>
  <c r="CI374" i="16"/>
  <c r="CB375" i="16"/>
  <c r="CC375" i="16"/>
  <c r="CD375" i="16"/>
  <c r="CE375" i="16"/>
  <c r="CF375" i="16"/>
  <c r="CG375" i="16"/>
  <c r="CH375" i="16"/>
  <c r="CI375" i="16"/>
  <c r="CB376" i="16"/>
  <c r="CC376" i="16"/>
  <c r="CD376" i="16"/>
  <c r="CE376" i="16"/>
  <c r="CF376" i="16"/>
  <c r="CG376" i="16"/>
  <c r="CH376" i="16"/>
  <c r="CI376" i="16"/>
  <c r="CB377" i="16"/>
  <c r="CC377" i="16"/>
  <c r="CD377" i="16"/>
  <c r="CE377" i="16"/>
  <c r="CF377" i="16"/>
  <c r="CG377" i="16"/>
  <c r="CH377" i="16"/>
  <c r="CI377" i="16"/>
  <c r="CB378" i="16"/>
  <c r="CC378" i="16"/>
  <c r="CD378" i="16"/>
  <c r="CE378" i="16"/>
  <c r="CF378" i="16"/>
  <c r="CG378" i="16"/>
  <c r="CH378" i="16"/>
  <c r="CI378" i="16"/>
  <c r="CB379" i="16"/>
  <c r="CC379" i="16"/>
  <c r="CD379" i="16"/>
  <c r="CE379" i="16"/>
  <c r="CF379" i="16"/>
  <c r="CG379" i="16"/>
  <c r="CH379" i="16"/>
  <c r="CI379" i="16"/>
  <c r="CB380" i="16"/>
  <c r="CC380" i="16"/>
  <c r="CD380" i="16"/>
  <c r="CE380" i="16"/>
  <c r="CF380" i="16"/>
  <c r="CG380" i="16"/>
  <c r="CH380" i="16"/>
  <c r="CI380" i="16"/>
  <c r="CB381" i="16"/>
  <c r="CC381" i="16"/>
  <c r="CD381" i="16"/>
  <c r="CE381" i="16"/>
  <c r="CF381" i="16"/>
  <c r="CG381" i="16"/>
  <c r="CH381" i="16"/>
  <c r="CI381" i="16"/>
  <c r="CB382" i="16"/>
  <c r="CC382" i="16"/>
  <c r="CD382" i="16"/>
  <c r="CE382" i="16"/>
  <c r="CF382" i="16"/>
  <c r="CG382" i="16"/>
  <c r="CH382" i="16"/>
  <c r="CI382" i="16"/>
  <c r="CB383" i="16"/>
  <c r="CC383" i="16"/>
  <c r="CD383" i="16"/>
  <c r="CE383" i="16"/>
  <c r="CF383" i="16"/>
  <c r="CG383" i="16"/>
  <c r="CH383" i="16"/>
  <c r="CI383" i="16"/>
  <c r="CB384" i="16"/>
  <c r="CC384" i="16"/>
  <c r="CD384" i="16"/>
  <c r="CE384" i="16"/>
  <c r="CF384" i="16"/>
  <c r="CG384" i="16"/>
  <c r="CH384" i="16"/>
  <c r="CI384" i="16"/>
  <c r="CB385" i="16"/>
  <c r="CC385" i="16"/>
  <c r="CD385" i="16"/>
  <c r="CE385" i="16"/>
  <c r="CF385" i="16"/>
  <c r="CG385" i="16"/>
  <c r="CH385" i="16"/>
  <c r="CI385" i="16"/>
  <c r="CB386" i="16"/>
  <c r="CC386" i="16"/>
  <c r="CD386" i="16"/>
  <c r="CE386" i="16"/>
  <c r="CF386" i="16"/>
  <c r="CG386" i="16"/>
  <c r="CH386" i="16"/>
  <c r="CI386" i="16"/>
  <c r="CB387" i="16"/>
  <c r="CC387" i="16"/>
  <c r="CD387" i="16"/>
  <c r="CE387" i="16"/>
  <c r="CF387" i="16"/>
  <c r="CG387" i="16"/>
  <c r="CH387" i="16"/>
  <c r="CI387" i="16"/>
  <c r="CB388" i="16"/>
  <c r="CC388" i="16"/>
  <c r="CD388" i="16"/>
  <c r="CE388" i="16"/>
  <c r="CF388" i="16"/>
  <c r="CG388" i="16"/>
  <c r="CH388" i="16"/>
  <c r="CI388" i="16"/>
  <c r="CB389" i="16"/>
  <c r="CC389" i="16"/>
  <c r="CD389" i="16"/>
  <c r="CE389" i="16"/>
  <c r="CF389" i="16"/>
  <c r="CG389" i="16"/>
  <c r="CH389" i="16"/>
  <c r="CI389" i="16"/>
  <c r="CB390" i="16"/>
  <c r="CC390" i="16"/>
  <c r="CD390" i="16"/>
  <c r="CE390" i="16"/>
  <c r="CF390" i="16"/>
  <c r="CG390" i="16"/>
  <c r="CH390" i="16"/>
  <c r="CI390" i="16"/>
  <c r="CB391" i="16"/>
  <c r="CC391" i="16"/>
  <c r="CD391" i="16"/>
  <c r="CE391" i="16"/>
  <c r="CF391" i="16"/>
  <c r="CG391" i="16"/>
  <c r="CH391" i="16"/>
  <c r="CI391" i="16"/>
  <c r="CB392" i="16"/>
  <c r="CC392" i="16"/>
  <c r="CD392" i="16"/>
  <c r="CE392" i="16"/>
  <c r="CF392" i="16"/>
  <c r="CG392" i="16"/>
  <c r="CH392" i="16"/>
  <c r="CI392" i="16"/>
  <c r="CB393" i="16"/>
  <c r="CC393" i="16"/>
  <c r="CD393" i="16"/>
  <c r="CE393" i="16"/>
  <c r="CF393" i="16"/>
  <c r="CG393" i="16"/>
  <c r="CH393" i="16"/>
  <c r="CI393" i="16"/>
  <c r="CB394" i="16"/>
  <c r="CC394" i="16"/>
  <c r="CD394" i="16"/>
  <c r="CE394" i="16"/>
  <c r="CF394" i="16"/>
  <c r="CG394" i="16"/>
  <c r="CH394" i="16"/>
  <c r="CI394" i="16"/>
  <c r="CB395" i="16"/>
  <c r="CC395" i="16"/>
  <c r="CD395" i="16"/>
  <c r="CE395" i="16"/>
  <c r="CF395" i="16"/>
  <c r="CG395" i="16"/>
  <c r="CH395" i="16"/>
  <c r="CI395" i="16"/>
  <c r="CB396" i="16"/>
  <c r="CC396" i="16"/>
  <c r="CD396" i="16"/>
  <c r="CE396" i="16"/>
  <c r="CF396" i="16"/>
  <c r="CG396" i="16"/>
  <c r="CH396" i="16"/>
  <c r="CI396" i="16"/>
  <c r="CB397" i="16"/>
  <c r="CC397" i="16"/>
  <c r="CD397" i="16"/>
  <c r="CE397" i="16"/>
  <c r="CF397" i="16"/>
  <c r="CG397" i="16"/>
  <c r="CH397" i="16"/>
  <c r="CI397" i="16"/>
  <c r="CB398" i="16"/>
  <c r="CC398" i="16"/>
  <c r="CD398" i="16"/>
  <c r="CE398" i="16"/>
  <c r="CF398" i="16"/>
  <c r="CG398" i="16"/>
  <c r="CH398" i="16"/>
  <c r="CI398" i="16"/>
  <c r="CB399" i="16"/>
  <c r="CC399" i="16"/>
  <c r="CD399" i="16"/>
  <c r="CE399" i="16"/>
  <c r="CF399" i="16"/>
  <c r="CG399" i="16"/>
  <c r="CH399" i="16"/>
  <c r="CI399" i="16"/>
  <c r="CB400" i="16"/>
  <c r="CC400" i="16"/>
  <c r="CD400" i="16"/>
  <c r="CE400" i="16"/>
  <c r="CF400" i="16"/>
  <c r="CG400" i="16"/>
  <c r="CH400" i="16"/>
  <c r="CI400" i="16"/>
  <c r="CB401" i="16"/>
  <c r="CC401" i="16"/>
  <c r="CD401" i="16"/>
  <c r="CE401" i="16"/>
  <c r="CF401" i="16"/>
  <c r="CG401" i="16"/>
  <c r="CH401" i="16"/>
  <c r="CI401" i="16"/>
  <c r="CB402" i="16"/>
  <c r="CC402" i="16"/>
  <c r="CD402" i="16"/>
  <c r="CE402" i="16"/>
  <c r="CF402" i="16"/>
  <c r="CG402" i="16"/>
  <c r="CH402" i="16"/>
  <c r="CI402" i="16"/>
  <c r="CB403" i="16"/>
  <c r="CC403" i="16"/>
  <c r="CD403" i="16"/>
  <c r="CE403" i="16"/>
  <c r="CF403" i="16"/>
  <c r="CG403" i="16"/>
  <c r="CH403" i="16"/>
  <c r="CI403" i="16"/>
  <c r="CB404" i="16"/>
  <c r="CC404" i="16"/>
  <c r="CD404" i="16"/>
  <c r="CE404" i="16"/>
  <c r="CF404" i="16"/>
  <c r="CG404" i="16"/>
  <c r="CH404" i="16"/>
  <c r="CI404" i="16"/>
  <c r="CB405" i="16"/>
  <c r="CC405" i="16"/>
  <c r="CD405" i="16"/>
  <c r="CE405" i="16"/>
  <c r="CF405" i="16"/>
  <c r="CG405" i="16"/>
  <c r="CH405" i="16"/>
  <c r="CI405" i="16"/>
  <c r="CB406" i="16"/>
  <c r="CC406" i="16"/>
  <c r="CD406" i="16"/>
  <c r="CE406" i="16"/>
  <c r="CF406" i="16"/>
  <c r="CG406" i="16"/>
  <c r="CH406" i="16"/>
  <c r="CI406" i="16"/>
  <c r="CB407" i="16"/>
  <c r="CC407" i="16"/>
  <c r="CD407" i="16"/>
  <c r="CE407" i="16"/>
  <c r="CF407" i="16"/>
  <c r="CG407" i="16"/>
  <c r="CH407" i="16"/>
  <c r="CI407" i="16"/>
  <c r="CB408" i="16"/>
  <c r="CC408" i="16"/>
  <c r="CD408" i="16"/>
  <c r="CE408" i="16"/>
  <c r="CF408" i="16"/>
  <c r="CG408" i="16"/>
  <c r="CH408" i="16"/>
  <c r="CI408" i="16"/>
  <c r="CB409" i="16"/>
  <c r="CC409" i="16"/>
  <c r="CD409" i="16"/>
  <c r="CE409" i="16"/>
  <c r="CF409" i="16"/>
  <c r="CG409" i="16"/>
  <c r="CH409" i="16"/>
  <c r="CI409" i="16"/>
  <c r="CB410" i="16"/>
  <c r="CC410" i="16"/>
  <c r="CD410" i="16"/>
  <c r="CE410" i="16"/>
  <c r="CF410" i="16"/>
  <c r="CG410" i="16"/>
  <c r="CH410" i="16"/>
  <c r="CI410" i="16"/>
  <c r="CB411" i="16"/>
  <c r="CC411" i="16"/>
  <c r="CD411" i="16"/>
  <c r="CE411" i="16"/>
  <c r="CF411" i="16"/>
  <c r="CG411" i="16"/>
  <c r="CH411" i="16"/>
  <c r="CI411" i="16"/>
  <c r="CB412" i="16"/>
  <c r="CC412" i="16"/>
  <c r="CD412" i="16"/>
  <c r="CE412" i="16"/>
  <c r="CF412" i="16"/>
  <c r="CG412" i="16"/>
  <c r="CH412" i="16"/>
  <c r="CI412" i="16"/>
  <c r="CB413" i="16"/>
  <c r="CC413" i="16"/>
  <c r="CD413" i="16"/>
  <c r="CE413" i="16"/>
  <c r="CF413" i="16"/>
  <c r="CG413" i="16"/>
  <c r="CH413" i="16"/>
  <c r="CI413" i="16"/>
  <c r="CB414" i="16"/>
  <c r="CC414" i="16"/>
  <c r="CD414" i="16"/>
  <c r="CE414" i="16"/>
  <c r="CF414" i="16"/>
  <c r="CG414" i="16"/>
  <c r="CH414" i="16"/>
  <c r="CI414" i="16"/>
  <c r="CB415" i="16"/>
  <c r="CC415" i="16"/>
  <c r="CD415" i="16"/>
  <c r="CE415" i="16"/>
  <c r="CF415" i="16"/>
  <c r="CG415" i="16"/>
  <c r="CH415" i="16"/>
  <c r="CI415" i="16"/>
  <c r="CB416" i="16"/>
  <c r="CC416" i="16"/>
  <c r="CD416" i="16"/>
  <c r="CE416" i="16"/>
  <c r="CF416" i="16"/>
  <c r="CG416" i="16"/>
  <c r="CH416" i="16"/>
  <c r="CI416" i="16"/>
  <c r="CB417" i="16"/>
  <c r="CC417" i="16"/>
  <c r="CD417" i="16"/>
  <c r="CE417" i="16"/>
  <c r="CF417" i="16"/>
  <c r="CG417" i="16"/>
  <c r="CH417" i="16"/>
  <c r="CI417" i="16"/>
  <c r="CB418" i="16"/>
  <c r="CC418" i="16"/>
  <c r="CD418" i="16"/>
  <c r="CE418" i="16"/>
  <c r="CF418" i="16"/>
  <c r="CG418" i="16"/>
  <c r="CH418" i="16"/>
  <c r="CI418" i="16"/>
  <c r="CB419" i="16"/>
  <c r="CC419" i="16"/>
  <c r="CD419" i="16"/>
  <c r="CE419" i="16"/>
  <c r="CF419" i="16"/>
  <c r="CG419" i="16"/>
  <c r="CH419" i="16"/>
  <c r="CI419" i="16"/>
  <c r="CB420" i="16"/>
  <c r="CC420" i="16"/>
  <c r="CD420" i="16"/>
  <c r="CE420" i="16"/>
  <c r="CF420" i="16"/>
  <c r="CG420" i="16"/>
  <c r="CH420" i="16"/>
  <c r="CI420" i="16"/>
  <c r="CB421" i="16"/>
  <c r="CC421" i="16"/>
  <c r="CD421" i="16"/>
  <c r="CE421" i="16"/>
  <c r="CF421" i="16"/>
  <c r="CG421" i="16"/>
  <c r="CH421" i="16"/>
  <c r="CI421" i="16"/>
  <c r="CB422" i="16"/>
  <c r="CC422" i="16"/>
  <c r="CD422" i="16"/>
  <c r="CE422" i="16"/>
  <c r="CF422" i="16"/>
  <c r="CG422" i="16"/>
  <c r="CH422" i="16"/>
  <c r="CI422" i="16"/>
  <c r="CB423" i="16"/>
  <c r="CC423" i="16"/>
  <c r="CD423" i="16"/>
  <c r="CE423" i="16"/>
  <c r="CF423" i="16"/>
  <c r="CG423" i="16"/>
  <c r="CH423" i="16"/>
  <c r="CI423" i="16"/>
  <c r="CB424" i="16"/>
  <c r="CC424" i="16"/>
  <c r="CD424" i="16"/>
  <c r="CE424" i="16"/>
  <c r="CF424" i="16"/>
  <c r="CG424" i="16"/>
  <c r="CH424" i="16"/>
  <c r="CI424" i="16"/>
  <c r="CB425" i="16"/>
  <c r="CC425" i="16"/>
  <c r="CD425" i="16"/>
  <c r="CE425" i="16"/>
  <c r="CF425" i="16"/>
  <c r="CG425" i="16"/>
  <c r="CH425" i="16"/>
  <c r="CI425" i="16"/>
  <c r="CB426" i="16"/>
  <c r="CC426" i="16"/>
  <c r="CD426" i="16"/>
  <c r="CE426" i="16"/>
  <c r="CF426" i="16"/>
  <c r="CG426" i="16"/>
  <c r="CH426" i="16"/>
  <c r="CI426" i="16"/>
  <c r="CB427" i="16"/>
  <c r="CC427" i="16"/>
  <c r="CD427" i="16"/>
  <c r="CE427" i="16"/>
  <c r="CF427" i="16"/>
  <c r="CG427" i="16"/>
  <c r="CH427" i="16"/>
  <c r="CI427" i="16"/>
  <c r="CB428" i="16"/>
  <c r="CC428" i="16"/>
  <c r="CD428" i="16"/>
  <c r="CE428" i="16"/>
  <c r="CF428" i="16"/>
  <c r="CG428" i="16"/>
  <c r="CH428" i="16"/>
  <c r="CI428" i="16"/>
  <c r="CB429" i="16"/>
  <c r="CC429" i="16"/>
  <c r="CD429" i="16"/>
  <c r="CE429" i="16"/>
  <c r="CF429" i="16"/>
  <c r="CG429" i="16"/>
  <c r="CH429" i="16"/>
  <c r="CI429" i="16"/>
  <c r="CB430" i="16"/>
  <c r="CC430" i="16"/>
  <c r="CD430" i="16"/>
  <c r="CE430" i="16"/>
  <c r="CF430" i="16"/>
  <c r="CG430" i="16"/>
  <c r="CH430" i="16"/>
  <c r="CI430" i="16"/>
  <c r="CB431" i="16"/>
  <c r="CC431" i="16"/>
  <c r="CD431" i="16"/>
  <c r="CE431" i="16"/>
  <c r="CF431" i="16"/>
  <c r="CG431" i="16"/>
  <c r="CH431" i="16"/>
  <c r="CI431" i="16"/>
  <c r="CB432" i="16"/>
  <c r="CC432" i="16"/>
  <c r="CD432" i="16"/>
  <c r="CE432" i="16"/>
  <c r="CF432" i="16"/>
  <c r="CG432" i="16"/>
  <c r="CH432" i="16"/>
  <c r="CI432" i="16"/>
  <c r="CB433" i="16"/>
  <c r="CC433" i="16"/>
  <c r="CD433" i="16"/>
  <c r="CE433" i="16"/>
  <c r="CF433" i="16"/>
  <c r="CG433" i="16"/>
  <c r="CH433" i="16"/>
  <c r="CI433" i="16"/>
  <c r="CB434" i="16"/>
  <c r="CC434" i="16"/>
  <c r="CD434" i="16"/>
  <c r="CE434" i="16"/>
  <c r="CF434" i="16"/>
  <c r="CG434" i="16"/>
  <c r="CH434" i="16"/>
  <c r="CI434" i="16"/>
  <c r="CB435" i="16"/>
  <c r="CC435" i="16"/>
  <c r="CD435" i="16"/>
  <c r="CE435" i="16"/>
  <c r="CF435" i="16"/>
  <c r="CG435" i="16"/>
  <c r="CH435" i="16"/>
  <c r="CI435" i="16"/>
  <c r="CB436" i="16"/>
  <c r="CC436" i="16"/>
  <c r="CD436" i="16"/>
  <c r="CE436" i="16"/>
  <c r="CF436" i="16"/>
  <c r="CG436" i="16"/>
  <c r="CH436" i="16"/>
  <c r="CI436" i="16"/>
  <c r="CB437" i="16"/>
  <c r="CC437" i="16"/>
  <c r="CD437" i="16"/>
  <c r="CE437" i="16"/>
  <c r="CF437" i="16"/>
  <c r="CG437" i="16"/>
  <c r="CH437" i="16"/>
  <c r="CI437" i="16"/>
  <c r="CB438" i="16"/>
  <c r="CC438" i="16"/>
  <c r="CD438" i="16"/>
  <c r="CE438" i="16"/>
  <c r="CF438" i="16"/>
  <c r="CG438" i="16"/>
  <c r="CH438" i="16"/>
  <c r="CI438" i="16"/>
  <c r="CB439" i="16"/>
  <c r="CC439" i="16"/>
  <c r="CD439" i="16"/>
  <c r="CE439" i="16"/>
  <c r="CF439" i="16"/>
  <c r="CG439" i="16"/>
  <c r="CH439" i="16"/>
  <c r="CI439" i="16"/>
  <c r="CB440" i="16"/>
  <c r="CC440" i="16"/>
  <c r="CD440" i="16"/>
  <c r="CE440" i="16"/>
  <c r="CF440" i="16"/>
  <c r="CG440" i="16"/>
  <c r="CH440" i="16"/>
  <c r="CI440" i="16"/>
  <c r="CB441" i="16"/>
  <c r="CC441" i="16"/>
  <c r="CD441" i="16"/>
  <c r="CE441" i="16"/>
  <c r="CF441" i="16"/>
  <c r="CG441" i="16"/>
  <c r="CH441" i="16"/>
  <c r="CI441" i="16"/>
  <c r="CB442" i="16"/>
  <c r="CC442" i="16"/>
  <c r="CD442" i="16"/>
  <c r="CE442" i="16"/>
  <c r="CF442" i="16"/>
  <c r="CG442" i="16"/>
  <c r="CH442" i="16"/>
  <c r="CI442" i="16"/>
  <c r="CB443" i="16"/>
  <c r="CC443" i="16"/>
  <c r="CD443" i="16"/>
  <c r="CE443" i="16"/>
  <c r="CF443" i="16"/>
  <c r="CG443" i="16"/>
  <c r="CH443" i="16"/>
  <c r="CI443" i="16"/>
  <c r="CB444" i="16"/>
  <c r="CC444" i="16"/>
  <c r="CD444" i="16"/>
  <c r="CE444" i="16"/>
  <c r="CF444" i="16"/>
  <c r="CG444" i="16"/>
  <c r="CH444" i="16"/>
  <c r="CI444" i="16"/>
  <c r="CB445" i="16"/>
  <c r="CC445" i="16"/>
  <c r="CD445" i="16"/>
  <c r="CE445" i="16"/>
  <c r="CF445" i="16"/>
  <c r="CG445" i="16"/>
  <c r="CH445" i="16"/>
  <c r="CI445" i="16"/>
  <c r="CB446" i="16"/>
  <c r="CC446" i="16"/>
  <c r="CD446" i="16"/>
  <c r="CE446" i="16"/>
  <c r="CF446" i="16"/>
  <c r="CG446" i="16"/>
  <c r="CH446" i="16"/>
  <c r="CI446" i="16"/>
  <c r="CB447" i="16"/>
  <c r="CC447" i="16"/>
  <c r="CD447" i="16"/>
  <c r="CE447" i="16"/>
  <c r="CF447" i="16"/>
  <c r="CG447" i="16"/>
  <c r="CH447" i="16"/>
  <c r="CI447" i="16"/>
  <c r="CB448" i="16"/>
  <c r="CC448" i="16"/>
  <c r="CD448" i="16"/>
  <c r="CE448" i="16"/>
  <c r="CF448" i="16"/>
  <c r="CG448" i="16"/>
  <c r="CH448" i="16"/>
  <c r="CI448" i="16"/>
  <c r="CB449" i="16"/>
  <c r="CC449" i="16"/>
  <c r="CD449" i="16"/>
  <c r="CE449" i="16"/>
  <c r="CF449" i="16"/>
  <c r="CG449" i="16"/>
  <c r="CH449" i="16"/>
  <c r="CI449" i="16"/>
  <c r="CB450" i="16"/>
  <c r="CC450" i="16"/>
  <c r="CD450" i="16"/>
  <c r="CE450" i="16"/>
  <c r="CF450" i="16"/>
  <c r="CG450" i="16"/>
  <c r="CH450" i="16"/>
  <c r="CI450" i="16"/>
  <c r="CB451" i="16"/>
  <c r="CC451" i="16"/>
  <c r="CD451" i="16"/>
  <c r="CE451" i="16"/>
  <c r="CF451" i="16"/>
  <c r="CG451" i="16"/>
  <c r="CH451" i="16"/>
  <c r="CI451" i="16"/>
  <c r="CB452" i="16"/>
  <c r="CC452" i="16"/>
  <c r="CD452" i="16"/>
  <c r="CE452" i="16"/>
  <c r="CF452" i="16"/>
  <c r="CG452" i="16"/>
  <c r="CH452" i="16"/>
  <c r="CI452" i="16"/>
  <c r="CB453" i="16"/>
  <c r="CC453" i="16"/>
  <c r="CD453" i="16"/>
  <c r="CE453" i="16"/>
  <c r="CF453" i="16"/>
  <c r="CG453" i="16"/>
  <c r="CH453" i="16"/>
  <c r="CI453" i="16"/>
  <c r="CB454" i="16"/>
  <c r="CC454" i="16"/>
  <c r="CD454" i="16"/>
  <c r="CE454" i="16"/>
  <c r="CF454" i="16"/>
  <c r="CG454" i="16"/>
  <c r="CH454" i="16"/>
  <c r="CI454" i="16"/>
  <c r="CB455" i="16"/>
  <c r="CC455" i="16"/>
  <c r="CD455" i="16"/>
  <c r="CE455" i="16"/>
  <c r="CF455" i="16"/>
  <c r="CG455" i="16"/>
  <c r="CH455" i="16"/>
  <c r="CI455" i="16"/>
  <c r="CB456" i="16"/>
  <c r="CC456" i="16"/>
  <c r="CD456" i="16"/>
  <c r="CE456" i="16"/>
  <c r="CF456" i="16"/>
  <c r="CG456" i="16"/>
  <c r="CH456" i="16"/>
  <c r="CI456" i="16"/>
  <c r="CB457" i="16"/>
  <c r="CC457" i="16"/>
  <c r="CD457" i="16"/>
  <c r="CE457" i="16"/>
  <c r="CF457" i="16"/>
  <c r="CG457" i="16"/>
  <c r="CH457" i="16"/>
  <c r="CI457" i="16"/>
  <c r="CB458" i="16"/>
  <c r="CC458" i="16"/>
  <c r="CD458" i="16"/>
  <c r="CE458" i="16"/>
  <c r="CF458" i="16"/>
  <c r="CG458" i="16"/>
  <c r="CH458" i="16"/>
  <c r="CI458" i="16"/>
  <c r="CB459" i="16"/>
  <c r="CC459" i="16"/>
  <c r="CD459" i="16"/>
  <c r="CE459" i="16"/>
  <c r="CF459" i="16"/>
  <c r="CG459" i="16"/>
  <c r="CH459" i="16"/>
  <c r="CI459" i="16"/>
  <c r="CB460" i="16"/>
  <c r="CC460" i="16"/>
  <c r="CD460" i="16"/>
  <c r="CE460" i="16"/>
  <c r="CF460" i="16"/>
  <c r="CG460" i="16"/>
  <c r="CH460" i="16"/>
  <c r="CI460" i="16"/>
  <c r="CB461" i="16"/>
  <c r="CC461" i="16"/>
  <c r="CD461" i="16"/>
  <c r="CE461" i="16"/>
  <c r="CF461" i="16"/>
  <c r="CG461" i="16"/>
  <c r="CH461" i="16"/>
  <c r="CI461" i="16"/>
  <c r="CB462" i="16"/>
  <c r="CC462" i="16"/>
  <c r="CD462" i="16"/>
  <c r="CE462" i="16"/>
  <c r="CF462" i="16"/>
  <c r="CG462" i="16"/>
  <c r="CH462" i="16"/>
  <c r="CI462" i="16"/>
  <c r="CB463" i="16"/>
  <c r="CC463" i="16"/>
  <c r="CD463" i="16"/>
  <c r="CE463" i="16"/>
  <c r="CF463" i="16"/>
  <c r="CG463" i="16"/>
  <c r="CH463" i="16"/>
  <c r="CI463" i="16"/>
  <c r="CB464" i="16"/>
  <c r="CC464" i="16"/>
  <c r="CD464" i="16"/>
  <c r="CE464" i="16"/>
  <c r="CF464" i="16"/>
  <c r="CG464" i="16"/>
  <c r="CH464" i="16"/>
  <c r="CI464" i="16"/>
  <c r="CB465" i="16"/>
  <c r="CC465" i="16"/>
  <c r="CD465" i="16"/>
  <c r="CE465" i="16"/>
  <c r="CF465" i="16"/>
  <c r="CG465" i="16"/>
  <c r="CH465" i="16"/>
  <c r="CI465" i="16"/>
  <c r="CB466" i="16"/>
  <c r="CC466" i="16"/>
  <c r="CD466" i="16"/>
  <c r="CE466" i="16"/>
  <c r="CF466" i="16"/>
  <c r="CG466" i="16"/>
  <c r="CH466" i="16"/>
  <c r="CI466" i="16"/>
  <c r="CB467" i="16"/>
  <c r="CC467" i="16"/>
  <c r="CD467" i="16"/>
  <c r="CE467" i="16"/>
  <c r="CF467" i="16"/>
  <c r="CG467" i="16"/>
  <c r="CH467" i="16"/>
  <c r="CI467" i="16"/>
  <c r="CB468" i="16"/>
  <c r="CC468" i="16"/>
  <c r="CD468" i="16"/>
  <c r="CE468" i="16"/>
  <c r="CF468" i="16"/>
  <c r="CG468" i="16"/>
  <c r="CH468" i="16"/>
  <c r="CI468" i="16"/>
  <c r="CB469" i="16"/>
  <c r="CC469" i="16"/>
  <c r="CD469" i="16"/>
  <c r="CE469" i="16"/>
  <c r="CF469" i="16"/>
  <c r="CG469" i="16"/>
  <c r="CH469" i="16"/>
  <c r="CI469" i="16"/>
  <c r="CB470" i="16"/>
  <c r="CC470" i="16"/>
  <c r="CD470" i="16"/>
  <c r="CE470" i="16"/>
  <c r="CF470" i="16"/>
  <c r="CG470" i="16"/>
  <c r="CH470" i="16"/>
  <c r="CI470" i="16"/>
  <c r="CB471" i="16"/>
  <c r="CC471" i="16"/>
  <c r="CD471" i="16"/>
  <c r="CE471" i="16"/>
  <c r="CF471" i="16"/>
  <c r="CG471" i="16"/>
  <c r="CH471" i="16"/>
  <c r="CI471" i="16"/>
  <c r="CB472" i="16"/>
  <c r="CC472" i="16"/>
  <c r="CD472" i="16"/>
  <c r="CE472" i="16"/>
  <c r="CF472" i="16"/>
  <c r="CG472" i="16"/>
  <c r="CH472" i="16"/>
  <c r="CI472" i="16"/>
  <c r="CB473" i="16"/>
  <c r="CC473" i="16"/>
  <c r="CD473" i="16"/>
  <c r="CE473" i="16"/>
  <c r="CF473" i="16"/>
  <c r="CG473" i="16"/>
  <c r="CH473" i="16"/>
  <c r="CI473" i="16"/>
  <c r="CB474" i="16"/>
  <c r="CC474" i="16"/>
  <c r="CD474" i="16"/>
  <c r="CE474" i="16"/>
  <c r="CF474" i="16"/>
  <c r="CG474" i="16"/>
  <c r="CH474" i="16"/>
  <c r="CI474" i="16"/>
  <c r="CB475" i="16"/>
  <c r="CC475" i="16"/>
  <c r="CD475" i="16"/>
  <c r="CE475" i="16"/>
  <c r="CF475" i="16"/>
  <c r="CG475" i="16"/>
  <c r="CH475" i="16"/>
  <c r="CI475" i="16"/>
  <c r="CB476" i="16"/>
  <c r="CC476" i="16"/>
  <c r="CD476" i="16"/>
  <c r="CE476" i="16"/>
  <c r="CF476" i="16"/>
  <c r="CG476" i="16"/>
  <c r="CH476" i="16"/>
  <c r="CI476" i="16"/>
  <c r="CB477" i="16"/>
  <c r="CC477" i="16"/>
  <c r="CD477" i="16"/>
  <c r="CE477" i="16"/>
  <c r="CF477" i="16"/>
  <c r="CG477" i="16"/>
  <c r="CH477" i="16"/>
  <c r="CI477" i="16"/>
  <c r="CB478" i="16"/>
  <c r="CC478" i="16"/>
  <c r="CD478" i="16"/>
  <c r="CE478" i="16"/>
  <c r="CF478" i="16"/>
  <c r="CG478" i="16"/>
  <c r="CH478" i="16"/>
  <c r="CI478" i="16"/>
  <c r="CB479" i="16"/>
  <c r="CC479" i="16"/>
  <c r="CD479" i="16"/>
  <c r="CE479" i="16"/>
  <c r="CF479" i="16"/>
  <c r="CG479" i="16"/>
  <c r="CH479" i="16"/>
  <c r="CI479" i="16"/>
  <c r="CB480" i="16"/>
  <c r="CC480" i="16"/>
  <c r="CD480" i="16"/>
  <c r="CE480" i="16"/>
  <c r="CF480" i="16"/>
  <c r="CG480" i="16"/>
  <c r="CH480" i="16"/>
  <c r="CI480" i="16"/>
  <c r="CB481" i="16"/>
  <c r="CC481" i="16"/>
  <c r="CD481" i="16"/>
  <c r="CE481" i="16"/>
  <c r="CF481" i="16"/>
  <c r="CG481" i="16"/>
  <c r="CH481" i="16"/>
  <c r="CI481" i="16"/>
  <c r="CB482" i="16"/>
  <c r="CC482" i="16"/>
  <c r="CD482" i="16"/>
  <c r="CE482" i="16"/>
  <c r="CF482" i="16"/>
  <c r="CG482" i="16"/>
  <c r="CH482" i="16"/>
  <c r="CI482" i="16"/>
  <c r="CB483" i="16"/>
  <c r="CC483" i="16"/>
  <c r="CD483" i="16"/>
  <c r="CE483" i="16"/>
  <c r="CF483" i="16"/>
  <c r="CG483" i="16"/>
  <c r="CH483" i="16"/>
  <c r="CI483" i="16"/>
  <c r="CB484" i="16"/>
  <c r="CC484" i="16"/>
  <c r="CD484" i="16"/>
  <c r="CE484" i="16"/>
  <c r="CF484" i="16"/>
  <c r="CG484" i="16"/>
  <c r="CH484" i="16"/>
  <c r="CI484" i="16"/>
  <c r="CB485" i="16"/>
  <c r="CC485" i="16"/>
  <c r="CD485" i="16"/>
  <c r="CE485" i="16"/>
  <c r="CF485" i="16"/>
  <c r="CG485" i="16"/>
  <c r="CH485" i="16"/>
  <c r="CI485" i="16"/>
  <c r="CB486" i="16"/>
  <c r="CC486" i="16"/>
  <c r="CD486" i="16"/>
  <c r="CE486" i="16"/>
  <c r="CF486" i="16"/>
  <c r="CG486" i="16"/>
  <c r="CH486" i="16"/>
  <c r="CI486" i="16"/>
  <c r="CB487" i="16"/>
  <c r="CC487" i="16"/>
  <c r="CD487" i="16"/>
  <c r="CE487" i="16"/>
  <c r="CF487" i="16"/>
  <c r="CG487" i="16"/>
  <c r="CH487" i="16"/>
  <c r="CI487" i="16"/>
  <c r="CB488" i="16"/>
  <c r="CC488" i="16"/>
  <c r="CD488" i="16"/>
  <c r="CE488" i="16"/>
  <c r="CF488" i="16"/>
  <c r="CG488" i="16"/>
  <c r="CH488" i="16"/>
  <c r="CI488" i="16"/>
  <c r="CB489" i="16"/>
  <c r="CC489" i="16"/>
  <c r="CD489" i="16"/>
  <c r="CE489" i="16"/>
  <c r="CF489" i="16"/>
  <c r="CG489" i="16"/>
  <c r="CH489" i="16"/>
  <c r="CI489" i="16"/>
  <c r="CB490" i="16"/>
  <c r="CC490" i="16"/>
  <c r="CD490" i="16"/>
  <c r="CE490" i="16"/>
  <c r="CF490" i="16"/>
  <c r="CG490" i="16"/>
  <c r="CH490" i="16"/>
  <c r="CI490" i="16"/>
  <c r="CB491" i="16"/>
  <c r="CC491" i="16"/>
  <c r="CD491" i="16"/>
  <c r="CE491" i="16"/>
  <c r="CF491" i="16"/>
  <c r="CG491" i="16"/>
  <c r="CH491" i="16"/>
  <c r="CI491" i="16"/>
  <c r="CB492" i="16"/>
  <c r="CC492" i="16"/>
  <c r="CD492" i="16"/>
  <c r="CE492" i="16"/>
  <c r="CF492" i="16"/>
  <c r="CG492" i="16"/>
  <c r="CH492" i="16"/>
  <c r="CI492" i="16"/>
  <c r="CB493" i="16"/>
  <c r="CC493" i="16"/>
  <c r="CD493" i="16"/>
  <c r="CE493" i="16"/>
  <c r="CF493" i="16"/>
  <c r="CG493" i="16"/>
  <c r="CH493" i="16"/>
  <c r="CI493" i="16"/>
  <c r="CB494" i="16"/>
  <c r="CC494" i="16"/>
  <c r="CD494" i="16"/>
  <c r="CE494" i="16"/>
  <c r="CF494" i="16"/>
  <c r="CG494" i="16"/>
  <c r="CH494" i="16"/>
  <c r="CI494" i="16"/>
  <c r="CB495" i="16"/>
  <c r="CC495" i="16"/>
  <c r="CD495" i="16"/>
  <c r="CE495" i="16"/>
  <c r="CF495" i="16"/>
  <c r="CG495" i="16"/>
  <c r="CH495" i="16"/>
  <c r="CI495" i="16"/>
  <c r="CB496" i="16"/>
  <c r="CC496" i="16"/>
  <c r="CD496" i="16"/>
  <c r="CE496" i="16"/>
  <c r="CF496" i="16"/>
  <c r="CG496" i="16"/>
  <c r="CH496" i="16"/>
  <c r="CI496" i="16"/>
  <c r="CB497" i="16"/>
  <c r="CC497" i="16"/>
  <c r="CD497" i="16"/>
  <c r="CE497" i="16"/>
  <c r="CF497" i="16"/>
  <c r="CG497" i="16"/>
  <c r="CH497" i="16"/>
  <c r="CI497" i="16"/>
  <c r="CB498" i="16"/>
  <c r="CC498" i="16"/>
  <c r="CD498" i="16"/>
  <c r="CE498" i="16"/>
  <c r="CF498" i="16"/>
  <c r="CG498" i="16"/>
  <c r="CH498" i="16"/>
  <c r="CI498" i="16"/>
  <c r="CB499" i="16"/>
  <c r="CC499" i="16"/>
  <c r="CD499" i="16"/>
  <c r="CE499" i="16"/>
  <c r="CF499" i="16"/>
  <c r="CG499" i="16"/>
  <c r="CH499" i="16"/>
  <c r="CI499" i="16"/>
  <c r="CB500" i="16"/>
  <c r="CC500" i="16"/>
  <c r="CD500" i="16"/>
  <c r="CE500" i="16"/>
  <c r="CF500" i="16"/>
  <c r="CG500" i="16"/>
  <c r="CH500" i="16"/>
  <c r="CI500" i="16"/>
  <c r="CB501" i="16"/>
  <c r="CC501" i="16"/>
  <c r="CD501" i="16"/>
  <c r="CE501" i="16"/>
  <c r="CF501" i="16"/>
  <c r="CG501" i="16"/>
  <c r="CH501" i="16"/>
  <c r="CI501" i="16"/>
  <c r="CB502" i="16"/>
  <c r="CC502" i="16"/>
  <c r="CD502" i="16"/>
  <c r="CE502" i="16"/>
  <c r="CF502" i="16"/>
  <c r="CG502" i="16"/>
  <c r="CH502" i="16"/>
  <c r="CI502" i="16"/>
  <c r="CB503" i="16"/>
  <c r="CC503" i="16"/>
  <c r="CD503" i="16"/>
  <c r="CE503" i="16"/>
  <c r="CF503" i="16"/>
  <c r="CG503" i="16"/>
  <c r="CH503" i="16"/>
  <c r="CI503" i="16"/>
  <c r="CB504" i="16"/>
  <c r="CC504" i="16"/>
  <c r="CD504" i="16"/>
  <c r="CE504" i="16"/>
  <c r="CF504" i="16"/>
  <c r="CG504" i="16"/>
  <c r="CH504" i="16"/>
  <c r="CI504" i="16"/>
  <c r="CB505" i="16"/>
  <c r="CC505" i="16"/>
  <c r="CD505" i="16"/>
  <c r="CE505" i="16"/>
  <c r="CF505" i="16"/>
  <c r="CG505" i="16"/>
  <c r="CH505" i="16"/>
  <c r="CI505" i="16"/>
  <c r="CB506" i="16"/>
  <c r="CC506" i="16"/>
  <c r="CD506" i="16"/>
  <c r="CE506" i="16"/>
  <c r="CF506" i="16"/>
  <c r="CG506" i="16"/>
  <c r="CH506" i="16"/>
  <c r="CI506" i="16"/>
  <c r="CB507" i="16"/>
  <c r="CC507" i="16"/>
  <c r="CD507" i="16"/>
  <c r="CE507" i="16"/>
  <c r="CF507" i="16"/>
  <c r="CG507" i="16"/>
  <c r="CH507" i="16"/>
  <c r="CI507" i="16"/>
  <c r="CB508" i="16"/>
  <c r="CC508" i="16"/>
  <c r="CD508" i="16"/>
  <c r="CE508" i="16"/>
  <c r="CF508" i="16"/>
  <c r="CG508" i="16"/>
  <c r="CH508" i="16"/>
  <c r="CI508" i="16"/>
  <c r="CB509" i="16"/>
  <c r="CC509" i="16"/>
  <c r="CD509" i="16"/>
  <c r="CE509" i="16"/>
  <c r="CF509" i="16"/>
  <c r="CG509" i="16"/>
  <c r="CH509" i="16"/>
  <c r="CI509" i="16"/>
  <c r="CB510" i="16"/>
  <c r="CC510" i="16"/>
  <c r="CD510" i="16"/>
  <c r="CE510" i="16"/>
  <c r="CF510" i="16"/>
  <c r="CG510" i="16"/>
  <c r="CH510" i="16"/>
  <c r="CI510" i="16"/>
  <c r="CB511" i="16"/>
  <c r="CC511" i="16"/>
  <c r="CD511" i="16"/>
  <c r="CE511" i="16"/>
  <c r="CF511" i="16"/>
  <c r="CG511" i="16"/>
  <c r="CH511" i="16"/>
  <c r="CI511" i="16"/>
  <c r="CB512" i="16"/>
  <c r="CC512" i="16"/>
  <c r="CD512" i="16"/>
  <c r="CE512" i="16"/>
  <c r="CF512" i="16"/>
  <c r="CG512" i="16"/>
  <c r="CH512" i="16"/>
  <c r="CI512" i="16"/>
  <c r="CB513" i="16"/>
  <c r="CC513" i="16"/>
  <c r="CD513" i="16"/>
  <c r="CE513" i="16"/>
  <c r="CF513" i="16"/>
  <c r="CG513" i="16"/>
  <c r="CH513" i="16"/>
  <c r="CI513" i="16"/>
  <c r="CB514" i="16"/>
  <c r="CC514" i="16"/>
  <c r="CD514" i="16"/>
  <c r="CE514" i="16"/>
  <c r="CF514" i="16"/>
  <c r="CG514" i="16"/>
  <c r="CH514" i="16"/>
  <c r="CI514" i="16"/>
  <c r="CB515" i="16"/>
  <c r="CC515" i="16"/>
  <c r="CD515" i="16"/>
  <c r="CE515" i="16"/>
  <c r="CF515" i="16"/>
  <c r="CG515" i="16"/>
  <c r="CH515" i="16"/>
  <c r="CI515" i="16"/>
  <c r="CB516" i="16"/>
  <c r="CC516" i="16"/>
  <c r="CD516" i="16"/>
  <c r="CE516" i="16"/>
  <c r="CF516" i="16"/>
  <c r="CG516" i="16"/>
  <c r="CH516" i="16"/>
  <c r="CI516" i="16"/>
  <c r="BS49" i="16"/>
  <c r="BT49" i="16"/>
  <c r="BU49" i="16"/>
  <c r="BV49" i="16"/>
  <c r="BW49" i="16"/>
  <c r="BX49" i="16"/>
  <c r="BY49" i="16"/>
  <c r="BZ49" i="16"/>
  <c r="CA49" i="16"/>
  <c r="BS50" i="16"/>
  <c r="BT50" i="16"/>
  <c r="BU50" i="16"/>
  <c r="BV50" i="16"/>
  <c r="BW50" i="16"/>
  <c r="BX50" i="16"/>
  <c r="BY50" i="16"/>
  <c r="BZ50" i="16"/>
  <c r="CA50" i="16"/>
  <c r="BS51" i="16"/>
  <c r="BT51" i="16"/>
  <c r="BU51" i="16"/>
  <c r="BV51" i="16"/>
  <c r="BW51" i="16"/>
  <c r="BX51" i="16"/>
  <c r="BY51" i="16"/>
  <c r="BZ51" i="16"/>
  <c r="CA51" i="16"/>
  <c r="BS52" i="16"/>
  <c r="BT52" i="16"/>
  <c r="BU52" i="16"/>
  <c r="BV52" i="16"/>
  <c r="BW52" i="16"/>
  <c r="BX52" i="16"/>
  <c r="BY52" i="16"/>
  <c r="BZ52" i="16"/>
  <c r="CA52" i="16"/>
  <c r="BS53" i="16"/>
  <c r="BT53" i="16"/>
  <c r="BU53" i="16"/>
  <c r="BV53" i="16"/>
  <c r="BW53" i="16"/>
  <c r="BX53" i="16"/>
  <c r="BY53" i="16"/>
  <c r="BZ53" i="16"/>
  <c r="CA53" i="16"/>
  <c r="BS54" i="16"/>
  <c r="BT54" i="16"/>
  <c r="BU54" i="16"/>
  <c r="BV54" i="16"/>
  <c r="BW54" i="16"/>
  <c r="BX54" i="16"/>
  <c r="BY54" i="16"/>
  <c r="BZ54" i="16"/>
  <c r="CA54" i="16"/>
  <c r="BS55" i="16"/>
  <c r="BT55" i="16"/>
  <c r="BU55" i="16"/>
  <c r="BV55" i="16"/>
  <c r="BW55" i="16"/>
  <c r="BX55" i="16"/>
  <c r="BY55" i="16"/>
  <c r="BZ55" i="16"/>
  <c r="CA55" i="16"/>
  <c r="BS56" i="16"/>
  <c r="BT56" i="16"/>
  <c r="BU56" i="16"/>
  <c r="BV56" i="16"/>
  <c r="BW56" i="16"/>
  <c r="BX56" i="16"/>
  <c r="BY56" i="16"/>
  <c r="BZ56" i="16"/>
  <c r="CA56" i="16"/>
  <c r="BS57" i="16"/>
  <c r="BT57" i="16"/>
  <c r="BU57" i="16"/>
  <c r="BV57" i="16"/>
  <c r="BW57" i="16"/>
  <c r="BX57" i="16"/>
  <c r="BY57" i="16"/>
  <c r="BZ57" i="16"/>
  <c r="CA57" i="16"/>
  <c r="BS58" i="16"/>
  <c r="BT58" i="16"/>
  <c r="BU58" i="16"/>
  <c r="BV58" i="16"/>
  <c r="BW58" i="16"/>
  <c r="BX58" i="16"/>
  <c r="BY58" i="16"/>
  <c r="BZ58" i="16"/>
  <c r="CA58" i="16"/>
  <c r="BS59" i="16"/>
  <c r="BT59" i="16"/>
  <c r="BU59" i="16"/>
  <c r="BV59" i="16"/>
  <c r="BW59" i="16"/>
  <c r="BX59" i="16"/>
  <c r="BY59" i="16"/>
  <c r="BZ59" i="16"/>
  <c r="CA59" i="16"/>
  <c r="BS60" i="16"/>
  <c r="BT60" i="16"/>
  <c r="BU60" i="16"/>
  <c r="BV60" i="16"/>
  <c r="BW60" i="16"/>
  <c r="BX60" i="16"/>
  <c r="BY60" i="16"/>
  <c r="BZ60" i="16"/>
  <c r="CA60" i="16"/>
  <c r="BS61" i="16"/>
  <c r="BT61" i="16"/>
  <c r="BU61" i="16"/>
  <c r="BV61" i="16"/>
  <c r="BW61" i="16"/>
  <c r="BX61" i="16"/>
  <c r="BY61" i="16"/>
  <c r="BZ61" i="16"/>
  <c r="CA61" i="16"/>
  <c r="BS62" i="16"/>
  <c r="BT62" i="16"/>
  <c r="BU62" i="16"/>
  <c r="BV62" i="16"/>
  <c r="BW62" i="16"/>
  <c r="BX62" i="16"/>
  <c r="BY62" i="16"/>
  <c r="BZ62" i="16"/>
  <c r="CA62" i="16"/>
  <c r="BS63" i="16"/>
  <c r="BT63" i="16"/>
  <c r="BU63" i="16"/>
  <c r="BV63" i="16"/>
  <c r="BW63" i="16"/>
  <c r="BX63" i="16"/>
  <c r="BY63" i="16"/>
  <c r="BZ63" i="16"/>
  <c r="CA63" i="16"/>
  <c r="BS66" i="16"/>
  <c r="BT66" i="16"/>
  <c r="BU66" i="16"/>
  <c r="BV66" i="16"/>
  <c r="BW66" i="16"/>
  <c r="BX66" i="16"/>
  <c r="BY66" i="16"/>
  <c r="BZ66" i="16"/>
  <c r="CA66" i="16"/>
  <c r="BS67" i="16"/>
  <c r="BT67" i="16"/>
  <c r="BU67" i="16"/>
  <c r="BV67" i="16"/>
  <c r="BW67" i="16"/>
  <c r="BX67" i="16"/>
  <c r="BY67" i="16"/>
  <c r="BZ67" i="16"/>
  <c r="CA67" i="16"/>
  <c r="BS68" i="16"/>
  <c r="BT68" i="16"/>
  <c r="BU68" i="16"/>
  <c r="BV68" i="16"/>
  <c r="BW68" i="16"/>
  <c r="BX68" i="16"/>
  <c r="BY68" i="16"/>
  <c r="BZ68" i="16"/>
  <c r="CA68" i="16"/>
  <c r="BS69" i="16"/>
  <c r="BT69" i="16"/>
  <c r="BU69" i="16"/>
  <c r="BV69" i="16"/>
  <c r="BW69" i="16"/>
  <c r="BX69" i="16"/>
  <c r="BY69" i="16"/>
  <c r="BZ69" i="16"/>
  <c r="CA69" i="16"/>
  <c r="BS70" i="16"/>
  <c r="BT70" i="16"/>
  <c r="BU70" i="16"/>
  <c r="BV70" i="16"/>
  <c r="BW70" i="16"/>
  <c r="BX70" i="16"/>
  <c r="BY70" i="16"/>
  <c r="BZ70" i="16"/>
  <c r="CA70" i="16"/>
  <c r="BS71" i="16"/>
  <c r="BT71" i="16"/>
  <c r="BU71" i="16"/>
  <c r="BV71" i="16"/>
  <c r="BW71" i="16"/>
  <c r="BX71" i="16"/>
  <c r="BY71" i="16"/>
  <c r="BZ71" i="16"/>
  <c r="CA71" i="16"/>
  <c r="BS72" i="16"/>
  <c r="BT72" i="16"/>
  <c r="BU72" i="16"/>
  <c r="BV72" i="16"/>
  <c r="BW72" i="16"/>
  <c r="BX72" i="16"/>
  <c r="BY72" i="16"/>
  <c r="BZ72" i="16"/>
  <c r="CA72" i="16"/>
  <c r="BS73" i="16"/>
  <c r="BT73" i="16"/>
  <c r="BU73" i="16"/>
  <c r="BV73" i="16"/>
  <c r="BW73" i="16"/>
  <c r="BX73" i="16"/>
  <c r="BY73" i="16"/>
  <c r="BZ73" i="16"/>
  <c r="CA73" i="16"/>
  <c r="BS74" i="16"/>
  <c r="BT74" i="16"/>
  <c r="BU74" i="16"/>
  <c r="BV74" i="16"/>
  <c r="BW74" i="16"/>
  <c r="BX74" i="16"/>
  <c r="BY74" i="16"/>
  <c r="BZ74" i="16"/>
  <c r="CA74" i="16"/>
  <c r="BS75" i="16"/>
  <c r="BT75" i="16"/>
  <c r="BU75" i="16"/>
  <c r="BV75" i="16"/>
  <c r="BW75" i="16"/>
  <c r="BX75" i="16"/>
  <c r="BY75" i="16"/>
  <c r="BZ75" i="16"/>
  <c r="CA75" i="16"/>
  <c r="BS76" i="16"/>
  <c r="BT76" i="16"/>
  <c r="BU76" i="16"/>
  <c r="BV76" i="16"/>
  <c r="BW76" i="16"/>
  <c r="BX76" i="16"/>
  <c r="BY76" i="16"/>
  <c r="BZ76" i="16"/>
  <c r="CA76" i="16"/>
  <c r="BS77" i="16"/>
  <c r="BT77" i="16"/>
  <c r="BU77" i="16"/>
  <c r="BV77" i="16"/>
  <c r="BW77" i="16"/>
  <c r="BX77" i="16"/>
  <c r="BY77" i="16"/>
  <c r="BZ77" i="16"/>
  <c r="CA77" i="16"/>
  <c r="BS78" i="16"/>
  <c r="BT78" i="16"/>
  <c r="BU78" i="16"/>
  <c r="BV78" i="16"/>
  <c r="BW78" i="16"/>
  <c r="BX78" i="16"/>
  <c r="BY78" i="16"/>
  <c r="BZ78" i="16"/>
  <c r="CA78" i="16"/>
  <c r="BS79" i="16"/>
  <c r="BT79" i="16"/>
  <c r="BU79" i="16"/>
  <c r="BV79" i="16"/>
  <c r="BW79" i="16"/>
  <c r="BX79" i="16"/>
  <c r="BY79" i="16"/>
  <c r="BZ79" i="16"/>
  <c r="CA79" i="16"/>
  <c r="BS80" i="16"/>
  <c r="BT80" i="16"/>
  <c r="BU80" i="16"/>
  <c r="BV80" i="16"/>
  <c r="BW80" i="16"/>
  <c r="BX80" i="16"/>
  <c r="BY80" i="16"/>
  <c r="BZ80" i="16"/>
  <c r="CA80" i="16"/>
  <c r="BS81" i="16"/>
  <c r="BT81" i="16"/>
  <c r="BU81" i="16"/>
  <c r="BV81" i="16"/>
  <c r="BW81" i="16"/>
  <c r="BX81" i="16"/>
  <c r="BY81" i="16"/>
  <c r="BZ81" i="16"/>
  <c r="CA81" i="16"/>
  <c r="BS82" i="16"/>
  <c r="BT82" i="16"/>
  <c r="BU82" i="16"/>
  <c r="BV82" i="16"/>
  <c r="BW82" i="16"/>
  <c r="BX82" i="16"/>
  <c r="BY82" i="16"/>
  <c r="BZ82" i="16"/>
  <c r="CA82" i="16"/>
  <c r="BZ83" i="16"/>
  <c r="CA83" i="16"/>
  <c r="BS84" i="16"/>
  <c r="BT84" i="16"/>
  <c r="BU84" i="16"/>
  <c r="BV84" i="16"/>
  <c r="BW84" i="16"/>
  <c r="BX84" i="16"/>
  <c r="BY84" i="16"/>
  <c r="BZ84" i="16"/>
  <c r="CA84" i="16"/>
  <c r="BS85" i="16"/>
  <c r="BT85" i="16"/>
  <c r="BU85" i="16"/>
  <c r="BV85" i="16"/>
  <c r="BW85" i="16"/>
  <c r="BX85" i="16"/>
  <c r="BY85" i="16"/>
  <c r="BZ85" i="16"/>
  <c r="CA85" i="16"/>
  <c r="BS86" i="16"/>
  <c r="BT86" i="16"/>
  <c r="BU86" i="16"/>
  <c r="BV86" i="16"/>
  <c r="BW86" i="16"/>
  <c r="BX86" i="16"/>
  <c r="BY86" i="16"/>
  <c r="BZ86" i="16"/>
  <c r="CA86" i="16"/>
  <c r="BS87" i="16"/>
  <c r="BT87" i="16"/>
  <c r="BU87" i="16"/>
  <c r="BV87" i="16"/>
  <c r="BW87" i="16"/>
  <c r="BX87" i="16"/>
  <c r="BY87" i="16"/>
  <c r="BZ87" i="16"/>
  <c r="CA87" i="16"/>
  <c r="BS88" i="16"/>
  <c r="BT88" i="16"/>
  <c r="BU88" i="16"/>
  <c r="BV88" i="16"/>
  <c r="BW88" i="16"/>
  <c r="BX88" i="16"/>
  <c r="BY88" i="16"/>
  <c r="BZ88" i="16"/>
  <c r="CA88" i="16"/>
  <c r="BS89" i="16"/>
  <c r="BT89" i="16"/>
  <c r="BU89" i="16"/>
  <c r="BV89" i="16"/>
  <c r="BW89" i="16"/>
  <c r="BX89" i="16"/>
  <c r="BY89" i="16"/>
  <c r="BZ89" i="16"/>
  <c r="CA89" i="16"/>
  <c r="BS90" i="16"/>
  <c r="BT90" i="16"/>
  <c r="BU90" i="16"/>
  <c r="BV90" i="16"/>
  <c r="BW90" i="16"/>
  <c r="BX90" i="16"/>
  <c r="BY90" i="16"/>
  <c r="BZ90" i="16"/>
  <c r="CA90" i="16"/>
  <c r="BS91" i="16"/>
  <c r="BT91" i="16"/>
  <c r="BU91" i="16"/>
  <c r="BV91" i="16"/>
  <c r="BW91" i="16"/>
  <c r="BX91" i="16"/>
  <c r="BY91" i="16"/>
  <c r="BZ91" i="16"/>
  <c r="CA91" i="16"/>
  <c r="BS93" i="16"/>
  <c r="BT93" i="16"/>
  <c r="BU93" i="16"/>
  <c r="BV93" i="16"/>
  <c r="BW93" i="16"/>
  <c r="BX93" i="16"/>
  <c r="BY93" i="16"/>
  <c r="BZ93" i="16"/>
  <c r="CA93" i="16"/>
  <c r="BS94" i="16"/>
  <c r="BT94" i="16"/>
  <c r="BU94" i="16"/>
  <c r="BV94" i="16"/>
  <c r="BW94" i="16"/>
  <c r="BX94" i="16"/>
  <c r="BY94" i="16"/>
  <c r="BZ94" i="16"/>
  <c r="CA94" i="16"/>
  <c r="BS95" i="16"/>
  <c r="BT95" i="16"/>
  <c r="BU95" i="16"/>
  <c r="BV95" i="16"/>
  <c r="BW95" i="16"/>
  <c r="BX95" i="16"/>
  <c r="BY95" i="16"/>
  <c r="BZ95" i="16"/>
  <c r="CA95" i="16"/>
  <c r="BS96" i="16"/>
  <c r="BT96" i="16"/>
  <c r="BU96" i="16"/>
  <c r="BV96" i="16"/>
  <c r="BW96" i="16"/>
  <c r="BX96" i="16"/>
  <c r="BY96" i="16"/>
  <c r="BZ96" i="16"/>
  <c r="CA96" i="16"/>
  <c r="BS97" i="16"/>
  <c r="BT97" i="16"/>
  <c r="BU97" i="16"/>
  <c r="BV97" i="16"/>
  <c r="BW97" i="16"/>
  <c r="BX97" i="16"/>
  <c r="BY97" i="16"/>
  <c r="BZ97" i="16"/>
  <c r="CA97" i="16"/>
  <c r="BS98" i="16"/>
  <c r="BT98" i="16"/>
  <c r="BU98" i="16"/>
  <c r="BV98" i="16"/>
  <c r="BW98" i="16"/>
  <c r="BX98" i="16"/>
  <c r="BY98" i="16"/>
  <c r="BZ98" i="16"/>
  <c r="CA98" i="16"/>
  <c r="BS99" i="16"/>
  <c r="BT99" i="16"/>
  <c r="BU99" i="16"/>
  <c r="BV99" i="16"/>
  <c r="BW99" i="16"/>
  <c r="BX99" i="16"/>
  <c r="BY99" i="16"/>
  <c r="BZ99" i="16"/>
  <c r="CA99" i="16"/>
  <c r="BS100" i="16"/>
  <c r="BT100" i="16"/>
  <c r="BU100" i="16"/>
  <c r="BV100" i="16"/>
  <c r="BW100" i="16"/>
  <c r="BX100" i="16"/>
  <c r="BY100" i="16"/>
  <c r="BZ100" i="16"/>
  <c r="CA100" i="16"/>
  <c r="BS101" i="16"/>
  <c r="BT101" i="16"/>
  <c r="BU101" i="16"/>
  <c r="BV101" i="16"/>
  <c r="BW101" i="16"/>
  <c r="BX101" i="16"/>
  <c r="BY101" i="16"/>
  <c r="BZ101" i="16"/>
  <c r="CA101" i="16"/>
  <c r="BS102" i="16"/>
  <c r="BT102" i="16"/>
  <c r="BU102" i="16"/>
  <c r="BV102" i="16"/>
  <c r="BW102" i="16"/>
  <c r="BX102" i="16"/>
  <c r="BY102" i="16"/>
  <c r="BZ102" i="16"/>
  <c r="CA102" i="16"/>
  <c r="BS103" i="16"/>
  <c r="BT103" i="16"/>
  <c r="BU103" i="16"/>
  <c r="BV103" i="16"/>
  <c r="BW103" i="16"/>
  <c r="BX103" i="16"/>
  <c r="BY103" i="16"/>
  <c r="BZ103" i="16"/>
  <c r="CA103" i="16"/>
  <c r="BS104" i="16"/>
  <c r="BT104" i="16"/>
  <c r="BU104" i="16"/>
  <c r="BV104" i="16"/>
  <c r="BW104" i="16"/>
  <c r="BX104" i="16"/>
  <c r="BY104" i="16"/>
  <c r="BZ104" i="16"/>
  <c r="CA104" i="16"/>
  <c r="BS105" i="16"/>
  <c r="BT105" i="16"/>
  <c r="BU105" i="16"/>
  <c r="BV105" i="16"/>
  <c r="BW105" i="16"/>
  <c r="BX105" i="16"/>
  <c r="BY105" i="16"/>
  <c r="BZ105" i="16"/>
  <c r="CA105" i="16"/>
  <c r="BS107" i="16"/>
  <c r="BT107" i="16"/>
  <c r="BU107" i="16"/>
  <c r="BV107" i="16"/>
  <c r="BW107" i="16"/>
  <c r="BX107" i="16"/>
  <c r="BY107" i="16"/>
  <c r="BZ107" i="16"/>
  <c r="CA107" i="16"/>
  <c r="BS108" i="16"/>
  <c r="BT108" i="16"/>
  <c r="BU108" i="16"/>
  <c r="BV108" i="16"/>
  <c r="BW108" i="16"/>
  <c r="BX108" i="16"/>
  <c r="BY108" i="16"/>
  <c r="BZ108" i="16"/>
  <c r="CA108" i="16"/>
  <c r="BS109" i="16"/>
  <c r="BT109" i="16"/>
  <c r="BU109" i="16"/>
  <c r="BV109" i="16"/>
  <c r="BW109" i="16"/>
  <c r="BX109" i="16"/>
  <c r="BY109" i="16"/>
  <c r="BZ109" i="16"/>
  <c r="CA109" i="16"/>
  <c r="BS110" i="16"/>
  <c r="BT110" i="16"/>
  <c r="BU110" i="16"/>
  <c r="BV110" i="16"/>
  <c r="BW110" i="16"/>
  <c r="BX110" i="16"/>
  <c r="BY110" i="16"/>
  <c r="BZ110" i="16"/>
  <c r="CA110" i="16"/>
  <c r="BS111" i="16"/>
  <c r="BT111" i="16"/>
  <c r="BU111" i="16"/>
  <c r="BV111" i="16"/>
  <c r="BW111" i="16"/>
  <c r="BX111" i="16"/>
  <c r="BY111" i="16"/>
  <c r="BZ111" i="16"/>
  <c r="CA111" i="16"/>
  <c r="BS112" i="16"/>
  <c r="BT112" i="16"/>
  <c r="BU112" i="16"/>
  <c r="BV112" i="16"/>
  <c r="BW112" i="16"/>
  <c r="BX112" i="16"/>
  <c r="BY112" i="16"/>
  <c r="BZ112" i="16"/>
  <c r="CA112" i="16"/>
  <c r="BS113" i="16"/>
  <c r="BT113" i="16"/>
  <c r="BU113" i="16"/>
  <c r="BV113" i="16"/>
  <c r="BW113" i="16"/>
  <c r="BX113" i="16"/>
  <c r="BY113" i="16"/>
  <c r="BZ113" i="16"/>
  <c r="CA113" i="16"/>
  <c r="BS116" i="16"/>
  <c r="BT116" i="16"/>
  <c r="BU116" i="16"/>
  <c r="BV116" i="16"/>
  <c r="BW116" i="16"/>
  <c r="BX116" i="16"/>
  <c r="BY116" i="16"/>
  <c r="BZ116" i="16"/>
  <c r="CA116" i="16"/>
  <c r="BS117" i="16"/>
  <c r="BT117" i="16"/>
  <c r="BU117" i="16"/>
  <c r="BV117" i="16"/>
  <c r="BW117" i="16"/>
  <c r="BX117" i="16"/>
  <c r="BY117" i="16"/>
  <c r="BZ117" i="16"/>
  <c r="CA117" i="16"/>
  <c r="BS118" i="16"/>
  <c r="BT118" i="16"/>
  <c r="BU118" i="16"/>
  <c r="BV118" i="16"/>
  <c r="BW118" i="16"/>
  <c r="BX118" i="16"/>
  <c r="BY118" i="16"/>
  <c r="BZ118" i="16"/>
  <c r="CA118" i="16"/>
  <c r="BS119" i="16"/>
  <c r="BT119" i="16"/>
  <c r="BU119" i="16"/>
  <c r="BV119" i="16"/>
  <c r="BW119" i="16"/>
  <c r="BX119" i="16"/>
  <c r="BY119" i="16"/>
  <c r="BZ119" i="16"/>
  <c r="CA119" i="16"/>
  <c r="BS120" i="16"/>
  <c r="BT120" i="16"/>
  <c r="BU120" i="16"/>
  <c r="BV120" i="16"/>
  <c r="BW120" i="16"/>
  <c r="BX120" i="16"/>
  <c r="BY120" i="16"/>
  <c r="BZ120" i="16"/>
  <c r="CA120" i="16"/>
  <c r="BS121" i="16"/>
  <c r="BT121" i="16"/>
  <c r="BU121" i="16"/>
  <c r="BV121" i="16"/>
  <c r="BW121" i="16"/>
  <c r="BX121" i="16"/>
  <c r="BY121" i="16"/>
  <c r="BZ121" i="16"/>
  <c r="CA121" i="16"/>
  <c r="BS122" i="16"/>
  <c r="BT122" i="16"/>
  <c r="BU122" i="16"/>
  <c r="BV122" i="16"/>
  <c r="BW122" i="16"/>
  <c r="BX122" i="16"/>
  <c r="BY122" i="16"/>
  <c r="BZ122" i="16"/>
  <c r="CA122" i="16"/>
  <c r="BS123" i="16"/>
  <c r="BT123" i="16"/>
  <c r="BU123" i="16"/>
  <c r="BV123" i="16"/>
  <c r="BW123" i="16"/>
  <c r="BX123" i="16"/>
  <c r="BY123" i="16"/>
  <c r="BZ123" i="16"/>
  <c r="CA123" i="16"/>
  <c r="BS124" i="16"/>
  <c r="BT124" i="16"/>
  <c r="BU124" i="16"/>
  <c r="BV124" i="16"/>
  <c r="BW124" i="16"/>
  <c r="BX124" i="16"/>
  <c r="BY124" i="16"/>
  <c r="BZ124" i="16"/>
  <c r="CA124" i="16"/>
  <c r="BS125" i="16"/>
  <c r="BT125" i="16"/>
  <c r="BU125" i="16"/>
  <c r="BV125" i="16"/>
  <c r="BW125" i="16"/>
  <c r="BX125" i="16"/>
  <c r="BY125" i="16"/>
  <c r="BZ125" i="16"/>
  <c r="CA125" i="16"/>
  <c r="BS126" i="16"/>
  <c r="BT126" i="16"/>
  <c r="BU126" i="16"/>
  <c r="BV126" i="16"/>
  <c r="BW126" i="16"/>
  <c r="BX126" i="16"/>
  <c r="BY126" i="16"/>
  <c r="BZ126" i="16"/>
  <c r="CA126" i="16"/>
  <c r="BS127" i="16"/>
  <c r="BT127" i="16"/>
  <c r="BU127" i="16"/>
  <c r="BV127" i="16"/>
  <c r="BW127" i="16"/>
  <c r="BX127" i="16"/>
  <c r="BY127" i="16"/>
  <c r="BZ127" i="16"/>
  <c r="CA127" i="16"/>
  <c r="BS128" i="16"/>
  <c r="BT128" i="16"/>
  <c r="BU128" i="16"/>
  <c r="BV128" i="16"/>
  <c r="BW128" i="16"/>
  <c r="BX128" i="16"/>
  <c r="BY128" i="16"/>
  <c r="BZ128" i="16"/>
  <c r="CA128" i="16"/>
  <c r="BS129" i="16"/>
  <c r="BT129" i="16"/>
  <c r="BU129" i="16"/>
  <c r="BV129" i="16"/>
  <c r="BW129" i="16"/>
  <c r="BX129" i="16"/>
  <c r="BY129" i="16"/>
  <c r="BZ129" i="16"/>
  <c r="CA129" i="16"/>
  <c r="BS130" i="16"/>
  <c r="BT130" i="16"/>
  <c r="BU130" i="16"/>
  <c r="BV130" i="16"/>
  <c r="BW130" i="16"/>
  <c r="BX130" i="16"/>
  <c r="BY130" i="16"/>
  <c r="BZ130" i="16"/>
  <c r="CA130" i="16"/>
  <c r="BS131" i="16"/>
  <c r="BT131" i="16"/>
  <c r="BU131" i="16"/>
  <c r="BV131" i="16"/>
  <c r="BW131" i="16"/>
  <c r="BX131" i="16"/>
  <c r="BY131" i="16"/>
  <c r="BZ131" i="16"/>
  <c r="CA131" i="16"/>
  <c r="BS132" i="16"/>
  <c r="BT132" i="16"/>
  <c r="BU132" i="16"/>
  <c r="BV132" i="16"/>
  <c r="BW132" i="16"/>
  <c r="BX132" i="16"/>
  <c r="BY132" i="16"/>
  <c r="BZ132" i="16"/>
  <c r="CA132" i="16"/>
  <c r="BS133" i="16"/>
  <c r="BT133" i="16"/>
  <c r="BU133" i="16"/>
  <c r="BV133" i="16"/>
  <c r="BW133" i="16"/>
  <c r="BX133" i="16"/>
  <c r="BY133" i="16"/>
  <c r="BZ133" i="16"/>
  <c r="CA133" i="16"/>
  <c r="BS134" i="16"/>
  <c r="BT134" i="16"/>
  <c r="BU134" i="16"/>
  <c r="BV134" i="16"/>
  <c r="BW134" i="16"/>
  <c r="BX134" i="16"/>
  <c r="BY134" i="16"/>
  <c r="BZ134" i="16"/>
  <c r="CA134" i="16"/>
  <c r="BS135" i="16"/>
  <c r="BT135" i="16"/>
  <c r="BU135" i="16"/>
  <c r="BV135" i="16"/>
  <c r="BW135" i="16"/>
  <c r="BX135" i="16"/>
  <c r="BY135" i="16"/>
  <c r="BZ135" i="16"/>
  <c r="CA135" i="16"/>
  <c r="BS138" i="16"/>
  <c r="BT138" i="16"/>
  <c r="BU138" i="16"/>
  <c r="BV138" i="16"/>
  <c r="BW138" i="16"/>
  <c r="BX138" i="16"/>
  <c r="BY138" i="16"/>
  <c r="BZ138" i="16"/>
  <c r="CA138" i="16"/>
  <c r="BS139" i="16"/>
  <c r="BT139" i="16"/>
  <c r="BU139" i="16"/>
  <c r="BV139" i="16"/>
  <c r="BW139" i="16"/>
  <c r="BX139" i="16"/>
  <c r="BY139" i="16"/>
  <c r="BZ139" i="16"/>
  <c r="CA139" i="16"/>
  <c r="BS140" i="16"/>
  <c r="BT140" i="16"/>
  <c r="BU140" i="16"/>
  <c r="BV140" i="16"/>
  <c r="BW140" i="16"/>
  <c r="BX140" i="16"/>
  <c r="BY140" i="16"/>
  <c r="BZ140" i="16"/>
  <c r="CA140" i="16"/>
  <c r="BS141" i="16"/>
  <c r="BT141" i="16"/>
  <c r="BU141" i="16"/>
  <c r="BV141" i="16"/>
  <c r="BW141" i="16"/>
  <c r="BX141" i="16"/>
  <c r="BY141" i="16"/>
  <c r="BZ141" i="16"/>
  <c r="CA141" i="16"/>
  <c r="BS142" i="16"/>
  <c r="BT142" i="16"/>
  <c r="BU142" i="16"/>
  <c r="BV142" i="16"/>
  <c r="BW142" i="16"/>
  <c r="BX142" i="16"/>
  <c r="BY142" i="16"/>
  <c r="BZ142" i="16"/>
  <c r="CA142" i="16"/>
  <c r="BS143" i="16"/>
  <c r="BT143" i="16"/>
  <c r="BU143" i="16"/>
  <c r="BV143" i="16"/>
  <c r="BW143" i="16"/>
  <c r="BX143" i="16"/>
  <c r="BY143" i="16"/>
  <c r="BZ143" i="16"/>
  <c r="CA143" i="16"/>
  <c r="BS144" i="16"/>
  <c r="BT144" i="16"/>
  <c r="BU144" i="16"/>
  <c r="BV144" i="16"/>
  <c r="BW144" i="16"/>
  <c r="BX144" i="16"/>
  <c r="BY144" i="16"/>
  <c r="BZ144" i="16"/>
  <c r="CA144" i="16"/>
  <c r="BS145" i="16"/>
  <c r="BT145" i="16"/>
  <c r="BU145" i="16"/>
  <c r="BV145" i="16"/>
  <c r="BW145" i="16"/>
  <c r="BX145" i="16"/>
  <c r="BY145" i="16"/>
  <c r="BZ145" i="16"/>
  <c r="CA145" i="16"/>
  <c r="BS146" i="16"/>
  <c r="BT146" i="16"/>
  <c r="BU146" i="16"/>
  <c r="BV146" i="16"/>
  <c r="BW146" i="16"/>
  <c r="BX146" i="16"/>
  <c r="BY146" i="16"/>
  <c r="BZ146" i="16"/>
  <c r="CA146" i="16"/>
  <c r="BS147" i="16"/>
  <c r="BT147" i="16"/>
  <c r="BU147" i="16"/>
  <c r="BV147" i="16"/>
  <c r="BW147" i="16"/>
  <c r="BX147" i="16"/>
  <c r="BY147" i="16"/>
  <c r="BZ147" i="16"/>
  <c r="CA147" i="16"/>
  <c r="BS148" i="16"/>
  <c r="BT148" i="16"/>
  <c r="BU148" i="16"/>
  <c r="BV148" i="16"/>
  <c r="BW148" i="16"/>
  <c r="BX148" i="16"/>
  <c r="BY148" i="16"/>
  <c r="BZ148" i="16"/>
  <c r="CA148" i="16"/>
  <c r="CA149" i="16"/>
  <c r="BS150" i="16"/>
  <c r="BT150" i="16"/>
  <c r="BU150" i="16"/>
  <c r="BV150" i="16"/>
  <c r="BW150" i="16"/>
  <c r="BX150" i="16"/>
  <c r="BY150" i="16"/>
  <c r="BZ150" i="16"/>
  <c r="CA150" i="16"/>
  <c r="BS151" i="16"/>
  <c r="BT151" i="16"/>
  <c r="BU151" i="16"/>
  <c r="BV151" i="16"/>
  <c r="BW151" i="16"/>
  <c r="BX151" i="16"/>
  <c r="BY151" i="16"/>
  <c r="BZ151" i="16"/>
  <c r="CA151" i="16"/>
  <c r="BS152" i="16"/>
  <c r="BT152" i="16"/>
  <c r="BU152" i="16"/>
  <c r="BV152" i="16"/>
  <c r="BW152" i="16"/>
  <c r="BX152" i="16"/>
  <c r="BY152" i="16"/>
  <c r="BZ152" i="16"/>
  <c r="CA152" i="16"/>
  <c r="BS153" i="16"/>
  <c r="BT153" i="16"/>
  <c r="BU153" i="16"/>
  <c r="BV153" i="16"/>
  <c r="BW153" i="16"/>
  <c r="BX153" i="16"/>
  <c r="BY153" i="16"/>
  <c r="BZ153" i="16"/>
  <c r="CA153" i="16"/>
  <c r="BS154" i="16"/>
  <c r="BT154" i="16"/>
  <c r="BU154" i="16"/>
  <c r="BV154" i="16"/>
  <c r="BW154" i="16"/>
  <c r="BX154" i="16"/>
  <c r="BY154" i="16"/>
  <c r="BZ154" i="16"/>
  <c r="CA154" i="16"/>
  <c r="BS155" i="16"/>
  <c r="BT155" i="16"/>
  <c r="BU155" i="16"/>
  <c r="BV155" i="16"/>
  <c r="BW155" i="16"/>
  <c r="BX155" i="16"/>
  <c r="BY155" i="16"/>
  <c r="BZ155" i="16"/>
  <c r="CA155" i="16"/>
  <c r="BS156" i="16"/>
  <c r="BT156" i="16"/>
  <c r="BU156" i="16"/>
  <c r="BV156" i="16"/>
  <c r="BW156" i="16"/>
  <c r="BX156" i="16"/>
  <c r="BY156" i="16"/>
  <c r="BZ156" i="16"/>
  <c r="CA156" i="16"/>
  <c r="BS157" i="16"/>
  <c r="BT157" i="16"/>
  <c r="BU157" i="16"/>
  <c r="BV157" i="16"/>
  <c r="BW157" i="16"/>
  <c r="BX157" i="16"/>
  <c r="BY157" i="16"/>
  <c r="BZ157" i="16"/>
  <c r="CA157" i="16"/>
  <c r="BS158" i="16"/>
  <c r="BT158" i="16"/>
  <c r="BU158" i="16"/>
  <c r="BV158" i="16"/>
  <c r="BW158" i="16"/>
  <c r="BX158" i="16"/>
  <c r="BY158" i="16"/>
  <c r="BZ158" i="16"/>
  <c r="CA158" i="16"/>
  <c r="BS159" i="16"/>
  <c r="BT159" i="16"/>
  <c r="BU159" i="16"/>
  <c r="BV159" i="16"/>
  <c r="BW159" i="16"/>
  <c r="BX159" i="16"/>
  <c r="BY159" i="16"/>
  <c r="BZ159" i="16"/>
  <c r="CA159" i="16"/>
  <c r="BS160" i="16"/>
  <c r="BT160" i="16"/>
  <c r="BU160" i="16"/>
  <c r="BV160" i="16"/>
  <c r="BW160" i="16"/>
  <c r="BX160" i="16"/>
  <c r="BY160" i="16"/>
  <c r="BZ160" i="16"/>
  <c r="CA160" i="16"/>
  <c r="BS161" i="16"/>
  <c r="BT161" i="16"/>
  <c r="BU161" i="16"/>
  <c r="BV161" i="16"/>
  <c r="BW161" i="16"/>
  <c r="BX161" i="16"/>
  <c r="BY161" i="16"/>
  <c r="BZ161" i="16"/>
  <c r="CA161" i="16"/>
  <c r="BS162" i="16"/>
  <c r="BT162" i="16"/>
  <c r="BU162" i="16"/>
  <c r="BV162" i="16"/>
  <c r="BW162" i="16"/>
  <c r="BX162" i="16"/>
  <c r="BY162" i="16"/>
  <c r="BZ162" i="16"/>
  <c r="CA162" i="16"/>
  <c r="BS163" i="16"/>
  <c r="BT163" i="16"/>
  <c r="BU163" i="16"/>
  <c r="BV163" i="16"/>
  <c r="BW163" i="16"/>
  <c r="BX163" i="16"/>
  <c r="BY163" i="16"/>
  <c r="BZ163" i="16"/>
  <c r="CA163" i="16"/>
  <c r="BS164" i="16"/>
  <c r="BT164" i="16"/>
  <c r="BU164" i="16"/>
  <c r="BV164" i="16"/>
  <c r="BW164" i="16"/>
  <c r="BX164" i="16"/>
  <c r="BY164" i="16"/>
  <c r="BZ164" i="16"/>
  <c r="CA164" i="16"/>
  <c r="BS165" i="16"/>
  <c r="BT165" i="16"/>
  <c r="BU165" i="16"/>
  <c r="BV165" i="16"/>
  <c r="BW165" i="16"/>
  <c r="BX165" i="16"/>
  <c r="BY165" i="16"/>
  <c r="BZ165" i="16"/>
  <c r="CA165" i="16"/>
  <c r="BS166" i="16"/>
  <c r="BT166" i="16"/>
  <c r="BU166" i="16"/>
  <c r="BV166" i="16"/>
  <c r="BW166" i="16"/>
  <c r="BX166" i="16"/>
  <c r="BY166" i="16"/>
  <c r="BZ166" i="16"/>
  <c r="CA166" i="16"/>
  <c r="BS167" i="16"/>
  <c r="BT167" i="16"/>
  <c r="BU167" i="16"/>
  <c r="BV167" i="16"/>
  <c r="BW167" i="16"/>
  <c r="BX167" i="16"/>
  <c r="BY167" i="16"/>
  <c r="BZ167" i="16"/>
  <c r="CA167" i="16"/>
  <c r="BS168" i="16"/>
  <c r="BT168" i="16"/>
  <c r="BU168" i="16"/>
  <c r="BV168" i="16"/>
  <c r="BW168" i="16"/>
  <c r="BX168" i="16"/>
  <c r="BY168" i="16"/>
  <c r="BZ168" i="16"/>
  <c r="CA168" i="16"/>
  <c r="BS169" i="16"/>
  <c r="BT169" i="16"/>
  <c r="BU169" i="16"/>
  <c r="BV169" i="16"/>
  <c r="BW169" i="16"/>
  <c r="BX169" i="16"/>
  <c r="BY169" i="16"/>
  <c r="BZ169" i="16"/>
  <c r="CA169" i="16"/>
  <c r="BS170" i="16"/>
  <c r="BT170" i="16"/>
  <c r="BU170" i="16"/>
  <c r="BV170" i="16"/>
  <c r="BW170" i="16"/>
  <c r="BX170" i="16"/>
  <c r="BY170" i="16"/>
  <c r="BZ170" i="16"/>
  <c r="CA170" i="16"/>
  <c r="BS171" i="16"/>
  <c r="BT171" i="16"/>
  <c r="BU171" i="16"/>
  <c r="BV171" i="16"/>
  <c r="BW171" i="16"/>
  <c r="BX171" i="16"/>
  <c r="BY171" i="16"/>
  <c r="BZ171" i="16"/>
  <c r="CA171" i="16"/>
  <c r="BS172" i="16"/>
  <c r="BT172" i="16"/>
  <c r="BU172" i="16"/>
  <c r="BV172" i="16"/>
  <c r="BW172" i="16"/>
  <c r="BX172" i="16"/>
  <c r="BY172" i="16"/>
  <c r="BZ172" i="16"/>
  <c r="CA172" i="16"/>
  <c r="BS173" i="16"/>
  <c r="BT173" i="16"/>
  <c r="BU173" i="16"/>
  <c r="BV173" i="16"/>
  <c r="BW173" i="16"/>
  <c r="BX173" i="16"/>
  <c r="BY173" i="16"/>
  <c r="BZ173" i="16"/>
  <c r="CA173" i="16"/>
  <c r="BS174" i="16"/>
  <c r="BT174" i="16"/>
  <c r="BU174" i="16"/>
  <c r="BV174" i="16"/>
  <c r="BW174" i="16"/>
  <c r="BX174" i="16"/>
  <c r="BY174" i="16"/>
  <c r="BZ174" i="16"/>
  <c r="CA174" i="16"/>
  <c r="BS175" i="16"/>
  <c r="BT175" i="16"/>
  <c r="BU175" i="16"/>
  <c r="BV175" i="16"/>
  <c r="BW175" i="16"/>
  <c r="BX175" i="16"/>
  <c r="BY175" i="16"/>
  <c r="BZ175" i="16"/>
  <c r="CA175" i="16"/>
  <c r="BS176" i="16"/>
  <c r="BT176" i="16"/>
  <c r="BU176" i="16"/>
  <c r="BV176" i="16"/>
  <c r="BW176" i="16"/>
  <c r="BX176" i="16"/>
  <c r="BY176" i="16"/>
  <c r="BZ176" i="16"/>
  <c r="CA176" i="16"/>
  <c r="BS177" i="16"/>
  <c r="BT177" i="16"/>
  <c r="BU177" i="16"/>
  <c r="BV177" i="16"/>
  <c r="BW177" i="16"/>
  <c r="BX177" i="16"/>
  <c r="BY177" i="16"/>
  <c r="BZ177" i="16"/>
  <c r="CA177" i="16"/>
  <c r="BS178" i="16"/>
  <c r="BT178" i="16"/>
  <c r="BU178" i="16"/>
  <c r="BV178" i="16"/>
  <c r="BW178" i="16"/>
  <c r="BX178" i="16"/>
  <c r="BY178" i="16"/>
  <c r="BZ178" i="16"/>
  <c r="CA178" i="16"/>
  <c r="BS179" i="16"/>
  <c r="BT179" i="16"/>
  <c r="BU179" i="16"/>
  <c r="BV179" i="16"/>
  <c r="BW179" i="16"/>
  <c r="BX179" i="16"/>
  <c r="BY179" i="16"/>
  <c r="BZ179" i="16"/>
  <c r="CA179" i="16"/>
  <c r="BS180" i="16"/>
  <c r="BT180" i="16"/>
  <c r="BU180" i="16"/>
  <c r="BV180" i="16"/>
  <c r="BW180" i="16"/>
  <c r="BX180" i="16"/>
  <c r="BY180" i="16"/>
  <c r="BZ180" i="16"/>
  <c r="CA180" i="16"/>
  <c r="BS181" i="16"/>
  <c r="BT181" i="16"/>
  <c r="BU181" i="16"/>
  <c r="BV181" i="16"/>
  <c r="BW181" i="16"/>
  <c r="BX181" i="16"/>
  <c r="BY181" i="16"/>
  <c r="BZ181" i="16"/>
  <c r="CA181" i="16"/>
  <c r="BS182" i="16"/>
  <c r="BT182" i="16"/>
  <c r="BU182" i="16"/>
  <c r="BV182" i="16"/>
  <c r="BW182" i="16"/>
  <c r="BX182" i="16"/>
  <c r="BY182" i="16"/>
  <c r="BZ182" i="16"/>
  <c r="CA182" i="16"/>
  <c r="BS183" i="16"/>
  <c r="BT183" i="16"/>
  <c r="BU183" i="16"/>
  <c r="BV183" i="16"/>
  <c r="BW183" i="16"/>
  <c r="BX183" i="16"/>
  <c r="BY183" i="16"/>
  <c r="BZ183" i="16"/>
  <c r="CA183" i="16"/>
  <c r="BS184" i="16"/>
  <c r="BT184" i="16"/>
  <c r="BU184" i="16"/>
  <c r="BV184" i="16"/>
  <c r="BW184" i="16"/>
  <c r="BX184" i="16"/>
  <c r="BY184" i="16"/>
  <c r="BZ184" i="16"/>
  <c r="CA184" i="16"/>
  <c r="BS185" i="16"/>
  <c r="BT185" i="16"/>
  <c r="BU185" i="16"/>
  <c r="BV185" i="16"/>
  <c r="BW185" i="16"/>
  <c r="BX185" i="16"/>
  <c r="BY185" i="16"/>
  <c r="BZ185" i="16"/>
  <c r="CA185" i="16"/>
  <c r="BS186" i="16"/>
  <c r="BT186" i="16"/>
  <c r="BU186" i="16"/>
  <c r="BV186" i="16"/>
  <c r="BW186" i="16"/>
  <c r="BX186" i="16"/>
  <c r="BY186" i="16"/>
  <c r="BZ186" i="16"/>
  <c r="CA186" i="16"/>
  <c r="BS187" i="16"/>
  <c r="BT187" i="16"/>
  <c r="BU187" i="16"/>
  <c r="BV187" i="16"/>
  <c r="BW187" i="16"/>
  <c r="BX187" i="16"/>
  <c r="BY187" i="16"/>
  <c r="BZ187" i="16"/>
  <c r="CA187" i="16"/>
  <c r="BS188" i="16"/>
  <c r="BT188" i="16"/>
  <c r="BU188" i="16"/>
  <c r="BV188" i="16"/>
  <c r="BW188" i="16"/>
  <c r="BX188" i="16"/>
  <c r="BY188" i="16"/>
  <c r="BZ188" i="16"/>
  <c r="CA188" i="16"/>
  <c r="BS189" i="16"/>
  <c r="BT189" i="16"/>
  <c r="BU189" i="16"/>
  <c r="BV189" i="16"/>
  <c r="BW189" i="16"/>
  <c r="BX189" i="16"/>
  <c r="BY189" i="16"/>
  <c r="BZ189" i="16"/>
  <c r="CA189" i="16"/>
  <c r="BU190" i="16"/>
  <c r="BV190" i="16"/>
  <c r="BW190" i="16"/>
  <c r="BX190" i="16"/>
  <c r="BY190" i="16"/>
  <c r="BZ190" i="16"/>
  <c r="CA190" i="16"/>
  <c r="BS191" i="16"/>
  <c r="BT191" i="16"/>
  <c r="BU191" i="16"/>
  <c r="BV191" i="16"/>
  <c r="BW191" i="16"/>
  <c r="BX191" i="16"/>
  <c r="BY191" i="16"/>
  <c r="BZ191" i="16"/>
  <c r="CA191" i="16"/>
  <c r="BS192" i="16"/>
  <c r="BT192" i="16"/>
  <c r="BU192" i="16"/>
  <c r="BV192" i="16"/>
  <c r="BW192" i="16"/>
  <c r="BX192" i="16"/>
  <c r="BY192" i="16"/>
  <c r="BZ192" i="16"/>
  <c r="CA192" i="16"/>
  <c r="BS193" i="16"/>
  <c r="BT193" i="16"/>
  <c r="BU193" i="16"/>
  <c r="BV193" i="16"/>
  <c r="BW193" i="16"/>
  <c r="BX193" i="16"/>
  <c r="BY193" i="16"/>
  <c r="BZ193" i="16"/>
  <c r="CA193" i="16"/>
  <c r="BS194" i="16"/>
  <c r="BT194" i="16"/>
  <c r="BU194" i="16"/>
  <c r="BV194" i="16"/>
  <c r="BW194" i="16"/>
  <c r="BX194" i="16"/>
  <c r="BY194" i="16"/>
  <c r="BZ194" i="16"/>
  <c r="CA194" i="16"/>
  <c r="BS195" i="16"/>
  <c r="BT195" i="16"/>
  <c r="BU195" i="16"/>
  <c r="BV195" i="16"/>
  <c r="BW195" i="16"/>
  <c r="BX195" i="16"/>
  <c r="BY195" i="16"/>
  <c r="BZ195" i="16"/>
  <c r="CA195" i="16"/>
  <c r="BS196" i="16"/>
  <c r="BT196" i="16"/>
  <c r="BU196" i="16"/>
  <c r="BV196" i="16"/>
  <c r="BW196" i="16"/>
  <c r="BX196" i="16"/>
  <c r="BY196" i="16"/>
  <c r="BZ196" i="16"/>
  <c r="CA196" i="16"/>
  <c r="BS197" i="16"/>
  <c r="BT197" i="16"/>
  <c r="BU197" i="16"/>
  <c r="BV197" i="16"/>
  <c r="BW197" i="16"/>
  <c r="BX197" i="16"/>
  <c r="BY197" i="16"/>
  <c r="BZ197" i="16"/>
  <c r="CA197" i="16"/>
  <c r="BS198" i="16"/>
  <c r="BT198" i="16"/>
  <c r="BU198" i="16"/>
  <c r="BV198" i="16"/>
  <c r="BW198" i="16"/>
  <c r="BX198" i="16"/>
  <c r="BY198" i="16"/>
  <c r="BZ198" i="16"/>
  <c r="CA198" i="16"/>
  <c r="BS199" i="16"/>
  <c r="BT199" i="16"/>
  <c r="BU199" i="16"/>
  <c r="BV199" i="16"/>
  <c r="BW199" i="16"/>
  <c r="BX199" i="16"/>
  <c r="BY199" i="16"/>
  <c r="BZ199" i="16"/>
  <c r="CA199" i="16"/>
  <c r="BS200" i="16"/>
  <c r="BT200" i="16"/>
  <c r="BU200" i="16"/>
  <c r="BV200" i="16"/>
  <c r="BW200" i="16"/>
  <c r="BX200" i="16"/>
  <c r="BY200" i="16"/>
  <c r="BZ200" i="16"/>
  <c r="CA200" i="16"/>
  <c r="BS201" i="16"/>
  <c r="BT201" i="16"/>
  <c r="BU201" i="16"/>
  <c r="BV201" i="16"/>
  <c r="BW201" i="16"/>
  <c r="BX201" i="16"/>
  <c r="BY201" i="16"/>
  <c r="BZ201" i="16"/>
  <c r="CA201" i="16"/>
  <c r="BS204" i="16"/>
  <c r="BT204" i="16"/>
  <c r="BU204" i="16"/>
  <c r="BV204" i="16"/>
  <c r="BW204" i="16"/>
  <c r="BX204" i="16"/>
  <c r="BY204" i="16"/>
  <c r="BZ204" i="16"/>
  <c r="CA204" i="16"/>
  <c r="BS205" i="16"/>
  <c r="BT205" i="16"/>
  <c r="BU205" i="16"/>
  <c r="BV205" i="16"/>
  <c r="BW205" i="16"/>
  <c r="BX205" i="16"/>
  <c r="BY205" i="16"/>
  <c r="BZ205" i="16"/>
  <c r="CA205" i="16"/>
  <c r="BZ206" i="16"/>
  <c r="CA206" i="16"/>
  <c r="BS207" i="16"/>
  <c r="BT207" i="16"/>
  <c r="BU207" i="16"/>
  <c r="BV207" i="16"/>
  <c r="BW207" i="16"/>
  <c r="BX207" i="16"/>
  <c r="BY207" i="16"/>
  <c r="BZ207" i="16"/>
  <c r="CA207" i="16"/>
  <c r="BS208" i="16"/>
  <c r="BT208" i="16"/>
  <c r="BU208" i="16"/>
  <c r="BV208" i="16"/>
  <c r="BW208" i="16"/>
  <c r="BX208" i="16"/>
  <c r="BY208" i="16"/>
  <c r="BZ208" i="16"/>
  <c r="CA208" i="16"/>
  <c r="BT209" i="16"/>
  <c r="BU209" i="16"/>
  <c r="BV209" i="16"/>
  <c r="BW209" i="16"/>
  <c r="BX209" i="16"/>
  <c r="BY209" i="16"/>
  <c r="BZ209" i="16"/>
  <c r="CA209" i="16"/>
  <c r="BT210" i="16"/>
  <c r="BU210" i="16"/>
  <c r="BV210" i="16"/>
  <c r="BW210" i="16"/>
  <c r="BX210" i="16"/>
  <c r="BY210" i="16"/>
  <c r="BZ210" i="16"/>
  <c r="CA210" i="16"/>
  <c r="BS211" i="16"/>
  <c r="BT211" i="16"/>
  <c r="BU211" i="16"/>
  <c r="BV211" i="16"/>
  <c r="BW211" i="16"/>
  <c r="BX211" i="16"/>
  <c r="BY211" i="16"/>
  <c r="BZ211" i="16"/>
  <c r="CA211" i="16"/>
  <c r="BS212" i="16"/>
  <c r="BT212" i="16"/>
  <c r="BU212" i="16"/>
  <c r="BV212" i="16"/>
  <c r="BW212" i="16"/>
  <c r="BX212" i="16"/>
  <c r="BY212" i="16"/>
  <c r="BZ212" i="16"/>
  <c r="CA212" i="16"/>
  <c r="BS213" i="16"/>
  <c r="BT213" i="16"/>
  <c r="BU213" i="16"/>
  <c r="BV213" i="16"/>
  <c r="BW213" i="16"/>
  <c r="BX213" i="16"/>
  <c r="BY213" i="16"/>
  <c r="BZ213" i="16"/>
  <c r="CA213" i="16"/>
  <c r="BS214" i="16"/>
  <c r="BT214" i="16"/>
  <c r="BU214" i="16"/>
  <c r="BV214" i="16"/>
  <c r="BW214" i="16"/>
  <c r="BX214" i="16"/>
  <c r="BY214" i="16"/>
  <c r="BZ214" i="16"/>
  <c r="CA214" i="16"/>
  <c r="BS215" i="16"/>
  <c r="BT215" i="16"/>
  <c r="BU215" i="16"/>
  <c r="BV215" i="16"/>
  <c r="BW215" i="16"/>
  <c r="BX215" i="16"/>
  <c r="BY215" i="16"/>
  <c r="BZ215" i="16"/>
  <c r="CA215" i="16"/>
  <c r="BS216" i="16"/>
  <c r="BT216" i="16"/>
  <c r="BU216" i="16"/>
  <c r="BV216" i="16"/>
  <c r="BW216" i="16"/>
  <c r="BX216" i="16"/>
  <c r="BY216" i="16"/>
  <c r="BZ216" i="16"/>
  <c r="CA216" i="16"/>
  <c r="BS217" i="16"/>
  <c r="BT217" i="16"/>
  <c r="BU217" i="16"/>
  <c r="BV217" i="16"/>
  <c r="BW217" i="16"/>
  <c r="BX217" i="16"/>
  <c r="BY217" i="16"/>
  <c r="BZ217" i="16"/>
  <c r="CA217" i="16"/>
  <c r="BS218" i="16"/>
  <c r="BT218" i="16"/>
  <c r="BU218" i="16"/>
  <c r="BV218" i="16"/>
  <c r="BW218" i="16"/>
  <c r="BX218" i="16"/>
  <c r="BY218" i="16"/>
  <c r="BZ218" i="16"/>
  <c r="CA218" i="16"/>
  <c r="BS219" i="16"/>
  <c r="BT219" i="16"/>
  <c r="BU219" i="16"/>
  <c r="BV219" i="16"/>
  <c r="BW219" i="16"/>
  <c r="BX219" i="16"/>
  <c r="BY219" i="16"/>
  <c r="BZ219" i="16"/>
  <c r="CA219" i="16"/>
  <c r="BS220" i="16"/>
  <c r="BT220" i="16"/>
  <c r="BU220" i="16"/>
  <c r="BV220" i="16"/>
  <c r="BW220" i="16"/>
  <c r="BX220" i="16"/>
  <c r="BY220" i="16"/>
  <c r="BZ220" i="16"/>
  <c r="CA220" i="16"/>
  <c r="BS221" i="16"/>
  <c r="BT221" i="16"/>
  <c r="BU221" i="16"/>
  <c r="BV221" i="16"/>
  <c r="BW221" i="16"/>
  <c r="BX221" i="16"/>
  <c r="BY221" i="16"/>
  <c r="BZ221" i="16"/>
  <c r="CA221" i="16"/>
  <c r="BS222" i="16"/>
  <c r="BT222" i="16"/>
  <c r="BU222" i="16"/>
  <c r="BV222" i="16"/>
  <c r="BW222" i="16"/>
  <c r="BX222" i="16"/>
  <c r="BY222" i="16"/>
  <c r="BZ222" i="16"/>
  <c r="CA222" i="16"/>
  <c r="BS223" i="16"/>
  <c r="BT223" i="16"/>
  <c r="BU223" i="16"/>
  <c r="BV223" i="16"/>
  <c r="BW223" i="16"/>
  <c r="BX223" i="16"/>
  <c r="BY223" i="16"/>
  <c r="BZ223" i="16"/>
  <c r="CA223" i="16"/>
  <c r="BS225" i="16"/>
  <c r="BT225" i="16"/>
  <c r="BU225" i="16"/>
  <c r="BV225" i="16"/>
  <c r="BW225" i="16"/>
  <c r="BX225" i="16"/>
  <c r="BY225" i="16"/>
  <c r="BZ225" i="16"/>
  <c r="CA225" i="16"/>
  <c r="BS226" i="16"/>
  <c r="BT226" i="16"/>
  <c r="BU226" i="16"/>
  <c r="BV226" i="16"/>
  <c r="BW226" i="16"/>
  <c r="BX226" i="16"/>
  <c r="BY226" i="16"/>
  <c r="BZ226" i="16"/>
  <c r="CA226" i="16"/>
  <c r="BS227" i="16"/>
  <c r="BT227" i="16"/>
  <c r="BU227" i="16"/>
  <c r="BV227" i="16"/>
  <c r="BW227" i="16"/>
  <c r="BX227" i="16"/>
  <c r="BY227" i="16"/>
  <c r="BZ227" i="16"/>
  <c r="CA227" i="16"/>
  <c r="BS228" i="16"/>
  <c r="BT228" i="16"/>
  <c r="BU228" i="16"/>
  <c r="BV228" i="16"/>
  <c r="BW228" i="16"/>
  <c r="BX228" i="16"/>
  <c r="BY228" i="16"/>
  <c r="BZ228" i="16"/>
  <c r="CA228" i="16"/>
  <c r="BS229" i="16"/>
  <c r="BT229" i="16"/>
  <c r="BU229" i="16"/>
  <c r="BV229" i="16"/>
  <c r="BW229" i="16"/>
  <c r="BX229" i="16"/>
  <c r="BY229" i="16"/>
  <c r="BZ229" i="16"/>
  <c r="CA229" i="16"/>
  <c r="BS230" i="16"/>
  <c r="BT230" i="16"/>
  <c r="BU230" i="16"/>
  <c r="BV230" i="16"/>
  <c r="BW230" i="16"/>
  <c r="BX230" i="16"/>
  <c r="BY230" i="16"/>
  <c r="BZ230" i="16"/>
  <c r="CA230" i="16"/>
  <c r="BS231" i="16"/>
  <c r="BT231" i="16"/>
  <c r="BU231" i="16"/>
  <c r="BV231" i="16"/>
  <c r="BW231" i="16"/>
  <c r="BX231" i="16"/>
  <c r="BY231" i="16"/>
  <c r="BZ231" i="16"/>
  <c r="CA231" i="16"/>
  <c r="BS232" i="16"/>
  <c r="BT232" i="16"/>
  <c r="BU232" i="16"/>
  <c r="BV232" i="16"/>
  <c r="BW232" i="16"/>
  <c r="BX232" i="16"/>
  <c r="BY232" i="16"/>
  <c r="BZ232" i="16"/>
  <c r="CA232" i="16"/>
  <c r="BS233" i="16"/>
  <c r="BT233" i="16"/>
  <c r="BU233" i="16"/>
  <c r="BV233" i="16"/>
  <c r="BW233" i="16"/>
  <c r="BX233" i="16"/>
  <c r="BY233" i="16"/>
  <c r="BZ233" i="16"/>
  <c r="CA233" i="16"/>
  <c r="BS234" i="16"/>
  <c r="BT234" i="16"/>
  <c r="BU234" i="16"/>
  <c r="BV234" i="16"/>
  <c r="BW234" i="16"/>
  <c r="BX234" i="16"/>
  <c r="BY234" i="16"/>
  <c r="BZ234" i="16"/>
  <c r="CA234" i="16"/>
  <c r="BS235" i="16"/>
  <c r="BT235" i="16"/>
  <c r="BU235" i="16"/>
  <c r="BV235" i="16"/>
  <c r="BW235" i="16"/>
  <c r="BX235" i="16"/>
  <c r="BY235" i="16"/>
  <c r="BZ235" i="16"/>
  <c r="CA235" i="16"/>
  <c r="BS236" i="16"/>
  <c r="BT236" i="16"/>
  <c r="BU236" i="16"/>
  <c r="BV236" i="16"/>
  <c r="BW236" i="16"/>
  <c r="BX236" i="16"/>
  <c r="BY236" i="16"/>
  <c r="BZ236" i="16"/>
  <c r="CA236" i="16"/>
  <c r="BS237" i="16"/>
  <c r="BT237" i="16"/>
  <c r="BU237" i="16"/>
  <c r="BV237" i="16"/>
  <c r="BW237" i="16"/>
  <c r="BX237" i="16"/>
  <c r="BY237" i="16"/>
  <c r="BZ237" i="16"/>
  <c r="CA237" i="16"/>
  <c r="BS238" i="16"/>
  <c r="BT238" i="16"/>
  <c r="BU238" i="16"/>
  <c r="BV238" i="16"/>
  <c r="BW238" i="16"/>
  <c r="BX238" i="16"/>
  <c r="BY238" i="16"/>
  <c r="BZ238" i="16"/>
  <c r="CA238" i="16"/>
  <c r="BS239" i="16"/>
  <c r="BT239" i="16"/>
  <c r="BU239" i="16"/>
  <c r="BV239" i="16"/>
  <c r="BW239" i="16"/>
  <c r="BX239" i="16"/>
  <c r="BY239" i="16"/>
  <c r="BZ239" i="16"/>
  <c r="CA239" i="16"/>
  <c r="BS240" i="16"/>
  <c r="BT240" i="16"/>
  <c r="BU240" i="16"/>
  <c r="BV240" i="16"/>
  <c r="BW240" i="16"/>
  <c r="BX240" i="16"/>
  <c r="BY240" i="16"/>
  <c r="BZ240" i="16"/>
  <c r="CA240" i="16"/>
  <c r="BS241" i="16"/>
  <c r="BT241" i="16"/>
  <c r="BU241" i="16"/>
  <c r="BV241" i="16"/>
  <c r="BW241" i="16"/>
  <c r="BX241" i="16"/>
  <c r="BY241" i="16"/>
  <c r="BZ241" i="16"/>
  <c r="CA241" i="16"/>
  <c r="BS242" i="16"/>
  <c r="BT242" i="16"/>
  <c r="BU242" i="16"/>
  <c r="BV242" i="16"/>
  <c r="BW242" i="16"/>
  <c r="BX242" i="16"/>
  <c r="BY242" i="16"/>
  <c r="BZ242" i="16"/>
  <c r="CA242" i="16"/>
  <c r="BS243" i="16"/>
  <c r="BT243" i="16"/>
  <c r="BU243" i="16"/>
  <c r="BV243" i="16"/>
  <c r="BW243" i="16"/>
  <c r="BX243" i="16"/>
  <c r="BY243" i="16"/>
  <c r="BZ243" i="16"/>
  <c r="CA243" i="16"/>
  <c r="BS244" i="16"/>
  <c r="BT244" i="16"/>
  <c r="BU244" i="16"/>
  <c r="BV244" i="16"/>
  <c r="BW244" i="16"/>
  <c r="BX244" i="16"/>
  <c r="BY244" i="16"/>
  <c r="BZ244" i="16"/>
  <c r="CA244" i="16"/>
  <c r="BS245" i="16"/>
  <c r="BT245" i="16"/>
  <c r="BU245" i="16"/>
  <c r="BV245" i="16"/>
  <c r="BW245" i="16"/>
  <c r="BX245" i="16"/>
  <c r="BY245" i="16"/>
  <c r="BZ245" i="16"/>
  <c r="CA245" i="16"/>
  <c r="BS246" i="16"/>
  <c r="BT246" i="16"/>
  <c r="BU246" i="16"/>
  <c r="BV246" i="16"/>
  <c r="BW246" i="16"/>
  <c r="BX246" i="16"/>
  <c r="BY246" i="16"/>
  <c r="BZ246" i="16"/>
  <c r="CA246" i="16"/>
  <c r="BS247" i="16"/>
  <c r="BT247" i="16"/>
  <c r="BU247" i="16"/>
  <c r="BV247" i="16"/>
  <c r="BW247" i="16"/>
  <c r="BX247" i="16"/>
  <c r="BY247" i="16"/>
  <c r="BZ247" i="16"/>
  <c r="CA247" i="16"/>
  <c r="BS248" i="16"/>
  <c r="BT248" i="16"/>
  <c r="BU248" i="16"/>
  <c r="BV248" i="16"/>
  <c r="BW248" i="16"/>
  <c r="BX248" i="16"/>
  <c r="BY248" i="16"/>
  <c r="BZ248" i="16"/>
  <c r="CA248" i="16"/>
  <c r="BS249" i="16"/>
  <c r="BT249" i="16"/>
  <c r="BU249" i="16"/>
  <c r="BV249" i="16"/>
  <c r="BW249" i="16"/>
  <c r="BX249" i="16"/>
  <c r="BY249" i="16"/>
  <c r="BZ249" i="16"/>
  <c r="CA249" i="16"/>
  <c r="BS250" i="16"/>
  <c r="BT250" i="16"/>
  <c r="BU250" i="16"/>
  <c r="BV250" i="16"/>
  <c r="BW250" i="16"/>
  <c r="BX250" i="16"/>
  <c r="BY250" i="16"/>
  <c r="BZ250" i="16"/>
  <c r="CA250" i="16"/>
  <c r="BS251" i="16"/>
  <c r="BT251" i="16"/>
  <c r="BU251" i="16"/>
  <c r="BV251" i="16"/>
  <c r="BW251" i="16"/>
  <c r="BX251" i="16"/>
  <c r="BY251" i="16"/>
  <c r="BZ251" i="16"/>
  <c r="CA251" i="16"/>
  <c r="BS252" i="16"/>
  <c r="BT252" i="16"/>
  <c r="BU252" i="16"/>
  <c r="BV252" i="16"/>
  <c r="BW252" i="16"/>
  <c r="BX252" i="16"/>
  <c r="BY252" i="16"/>
  <c r="BZ252" i="16"/>
  <c r="CA252" i="16"/>
  <c r="BS253" i="16"/>
  <c r="BT253" i="16"/>
  <c r="BU253" i="16"/>
  <c r="BV253" i="16"/>
  <c r="BW253" i="16"/>
  <c r="BX253" i="16"/>
  <c r="BY253" i="16"/>
  <c r="BZ253" i="16"/>
  <c r="CA253" i="16"/>
  <c r="BS254" i="16"/>
  <c r="BT254" i="16"/>
  <c r="BU254" i="16"/>
  <c r="BV254" i="16"/>
  <c r="BW254" i="16"/>
  <c r="BX254" i="16"/>
  <c r="BY254" i="16"/>
  <c r="BZ254" i="16"/>
  <c r="CA254" i="16"/>
  <c r="BS255" i="16"/>
  <c r="BT255" i="16"/>
  <c r="BU255" i="16"/>
  <c r="BV255" i="16"/>
  <c r="BW255" i="16"/>
  <c r="BX255" i="16"/>
  <c r="BY255" i="16"/>
  <c r="BZ255" i="16"/>
  <c r="CA255" i="16"/>
  <c r="BS256" i="16"/>
  <c r="BT256" i="16"/>
  <c r="BU256" i="16"/>
  <c r="BV256" i="16"/>
  <c r="BW256" i="16"/>
  <c r="BX256" i="16"/>
  <c r="BY256" i="16"/>
  <c r="BZ256" i="16"/>
  <c r="CA256" i="16"/>
  <c r="BS257" i="16"/>
  <c r="BT257" i="16"/>
  <c r="BU257" i="16"/>
  <c r="BV257" i="16"/>
  <c r="BW257" i="16"/>
  <c r="BX257" i="16"/>
  <c r="BY257" i="16"/>
  <c r="BZ257" i="16"/>
  <c r="CA257" i="16"/>
  <c r="BS258" i="16"/>
  <c r="BT258" i="16"/>
  <c r="BU258" i="16"/>
  <c r="BV258" i="16"/>
  <c r="BW258" i="16"/>
  <c r="BX258" i="16"/>
  <c r="BY258" i="16"/>
  <c r="BZ258" i="16"/>
  <c r="CA258" i="16"/>
  <c r="BS259" i="16"/>
  <c r="BT259" i="16"/>
  <c r="BU259" i="16"/>
  <c r="BV259" i="16"/>
  <c r="BW259" i="16"/>
  <c r="BX259" i="16"/>
  <c r="BY259" i="16"/>
  <c r="BZ259" i="16"/>
  <c r="CA259" i="16"/>
  <c r="BS260" i="16"/>
  <c r="BT260" i="16"/>
  <c r="BU260" i="16"/>
  <c r="BV260" i="16"/>
  <c r="BW260" i="16"/>
  <c r="BX260" i="16"/>
  <c r="BY260" i="16"/>
  <c r="BZ260" i="16"/>
  <c r="CA260" i="16"/>
  <c r="BS261" i="16"/>
  <c r="BT261" i="16"/>
  <c r="BU261" i="16"/>
  <c r="BV261" i="16"/>
  <c r="BW261" i="16"/>
  <c r="BX261" i="16"/>
  <c r="BY261" i="16"/>
  <c r="BZ261" i="16"/>
  <c r="CA261" i="16"/>
  <c r="BS262" i="16"/>
  <c r="BT262" i="16"/>
  <c r="BU262" i="16"/>
  <c r="BV262" i="16"/>
  <c r="BW262" i="16"/>
  <c r="BX262" i="16"/>
  <c r="BY262" i="16"/>
  <c r="BZ262" i="16"/>
  <c r="CA262" i="16"/>
  <c r="BS263" i="16"/>
  <c r="BT263" i="16"/>
  <c r="BU263" i="16"/>
  <c r="BV263" i="16"/>
  <c r="BW263" i="16"/>
  <c r="BX263" i="16"/>
  <c r="BY263" i="16"/>
  <c r="BZ263" i="16"/>
  <c r="CA263" i="16"/>
  <c r="BS264" i="16"/>
  <c r="BT264" i="16"/>
  <c r="BU264" i="16"/>
  <c r="BV264" i="16"/>
  <c r="BW264" i="16"/>
  <c r="BX264" i="16"/>
  <c r="BY264" i="16"/>
  <c r="BZ264" i="16"/>
  <c r="CA264" i="16"/>
  <c r="BS265" i="16"/>
  <c r="BT265" i="16"/>
  <c r="BU265" i="16"/>
  <c r="BV265" i="16"/>
  <c r="BW265" i="16"/>
  <c r="BX265" i="16"/>
  <c r="BY265" i="16"/>
  <c r="BZ265" i="16"/>
  <c r="CA265" i="16"/>
  <c r="BS266" i="16"/>
  <c r="BT266" i="16"/>
  <c r="BU266" i="16"/>
  <c r="BV266" i="16"/>
  <c r="BW266" i="16"/>
  <c r="BX266" i="16"/>
  <c r="BY266" i="16"/>
  <c r="BZ266" i="16"/>
  <c r="CA266" i="16"/>
  <c r="BS267" i="16"/>
  <c r="BT267" i="16"/>
  <c r="BU267" i="16"/>
  <c r="BV267" i="16"/>
  <c r="BW267" i="16"/>
  <c r="BX267" i="16"/>
  <c r="BY267" i="16"/>
  <c r="BZ267" i="16"/>
  <c r="CA267" i="16"/>
  <c r="BS268" i="16"/>
  <c r="BT268" i="16"/>
  <c r="BU268" i="16"/>
  <c r="BV268" i="16"/>
  <c r="BW268" i="16"/>
  <c r="BX268" i="16"/>
  <c r="BY268" i="16"/>
  <c r="BZ268" i="16"/>
  <c r="CA268" i="16"/>
  <c r="BS269" i="16"/>
  <c r="BT269" i="16"/>
  <c r="BU269" i="16"/>
  <c r="BV269" i="16"/>
  <c r="BW269" i="16"/>
  <c r="BX269" i="16"/>
  <c r="BY269" i="16"/>
  <c r="BZ269" i="16"/>
  <c r="CA269" i="16"/>
  <c r="BS270" i="16"/>
  <c r="BT270" i="16"/>
  <c r="BU270" i="16"/>
  <c r="BV270" i="16"/>
  <c r="BW270" i="16"/>
  <c r="BX270" i="16"/>
  <c r="BY270" i="16"/>
  <c r="BZ270" i="16"/>
  <c r="CA270" i="16"/>
  <c r="BS271" i="16"/>
  <c r="BT271" i="16"/>
  <c r="BU271" i="16"/>
  <c r="BV271" i="16"/>
  <c r="BW271" i="16"/>
  <c r="BX271" i="16"/>
  <c r="BY271" i="16"/>
  <c r="BZ271" i="16"/>
  <c r="CA271" i="16"/>
  <c r="BS272" i="16"/>
  <c r="BT272" i="16"/>
  <c r="BU272" i="16"/>
  <c r="BV272" i="16"/>
  <c r="BW272" i="16"/>
  <c r="BX272" i="16"/>
  <c r="BY272" i="16"/>
  <c r="BZ272" i="16"/>
  <c r="CA272" i="16"/>
  <c r="BS273" i="16"/>
  <c r="BT273" i="16"/>
  <c r="BU273" i="16"/>
  <c r="BV273" i="16"/>
  <c r="BW273" i="16"/>
  <c r="BX273" i="16"/>
  <c r="BY273" i="16"/>
  <c r="BZ273" i="16"/>
  <c r="CA273" i="16"/>
  <c r="BS274" i="16"/>
  <c r="BT274" i="16"/>
  <c r="BU274" i="16"/>
  <c r="BV274" i="16"/>
  <c r="BW274" i="16"/>
  <c r="BX274" i="16"/>
  <c r="BY274" i="16"/>
  <c r="BZ274" i="16"/>
  <c r="CA274" i="16"/>
  <c r="BS275" i="16"/>
  <c r="BT275" i="16"/>
  <c r="BU275" i="16"/>
  <c r="BV275" i="16"/>
  <c r="BW275" i="16"/>
  <c r="BX275" i="16"/>
  <c r="BY275" i="16"/>
  <c r="BZ275" i="16"/>
  <c r="CA275" i="16"/>
  <c r="BS276" i="16"/>
  <c r="BT276" i="16"/>
  <c r="BU276" i="16"/>
  <c r="BV276" i="16"/>
  <c r="BW276" i="16"/>
  <c r="BX276" i="16"/>
  <c r="BY276" i="16"/>
  <c r="BZ276" i="16"/>
  <c r="CA276" i="16"/>
  <c r="BS277" i="16"/>
  <c r="BT277" i="16"/>
  <c r="BU277" i="16"/>
  <c r="BV277" i="16"/>
  <c r="BW277" i="16"/>
  <c r="BX277" i="16"/>
  <c r="BY277" i="16"/>
  <c r="BZ277" i="16"/>
  <c r="CA277" i="16"/>
  <c r="BS278" i="16"/>
  <c r="BT278" i="16"/>
  <c r="BU278" i="16"/>
  <c r="BV278" i="16"/>
  <c r="BW278" i="16"/>
  <c r="BX278" i="16"/>
  <c r="BY278" i="16"/>
  <c r="BZ278" i="16"/>
  <c r="CA278" i="16"/>
  <c r="BS279" i="16"/>
  <c r="BT279" i="16"/>
  <c r="BU279" i="16"/>
  <c r="BV279" i="16"/>
  <c r="BW279" i="16"/>
  <c r="BX279" i="16"/>
  <c r="BY279" i="16"/>
  <c r="BZ279" i="16"/>
  <c r="CA279" i="16"/>
  <c r="BS280" i="16"/>
  <c r="BT280" i="16"/>
  <c r="BU280" i="16"/>
  <c r="BV280" i="16"/>
  <c r="BW280" i="16"/>
  <c r="BX280" i="16"/>
  <c r="BY280" i="16"/>
  <c r="BZ280" i="16"/>
  <c r="CA280" i="16"/>
  <c r="BS281" i="16"/>
  <c r="BT281" i="16"/>
  <c r="BU281" i="16"/>
  <c r="BV281" i="16"/>
  <c r="BW281" i="16"/>
  <c r="BX281" i="16"/>
  <c r="BY281" i="16"/>
  <c r="BZ281" i="16"/>
  <c r="CA281" i="16"/>
  <c r="BS282" i="16"/>
  <c r="BT282" i="16"/>
  <c r="BU282" i="16"/>
  <c r="BV282" i="16"/>
  <c r="BW282" i="16"/>
  <c r="BX282" i="16"/>
  <c r="BY282" i="16"/>
  <c r="BZ282" i="16"/>
  <c r="CA282" i="16"/>
  <c r="BS283" i="16"/>
  <c r="BT283" i="16"/>
  <c r="BU283" i="16"/>
  <c r="BV283" i="16"/>
  <c r="BW283" i="16"/>
  <c r="BX283" i="16"/>
  <c r="BY283" i="16"/>
  <c r="BZ283" i="16"/>
  <c r="CA283" i="16"/>
  <c r="BS284" i="16"/>
  <c r="BT284" i="16"/>
  <c r="BU284" i="16"/>
  <c r="BV284" i="16"/>
  <c r="BW284" i="16"/>
  <c r="BX284" i="16"/>
  <c r="BY284" i="16"/>
  <c r="BZ284" i="16"/>
  <c r="CA284" i="16"/>
  <c r="BS285" i="16"/>
  <c r="BT285" i="16"/>
  <c r="BU285" i="16"/>
  <c r="BV285" i="16"/>
  <c r="BW285" i="16"/>
  <c r="BX285" i="16"/>
  <c r="BY285" i="16"/>
  <c r="BZ285" i="16"/>
  <c r="CA285" i="16"/>
  <c r="BS286" i="16"/>
  <c r="BT286" i="16"/>
  <c r="BU286" i="16"/>
  <c r="BV286" i="16"/>
  <c r="BW286" i="16"/>
  <c r="BX286" i="16"/>
  <c r="BY286" i="16"/>
  <c r="BZ286" i="16"/>
  <c r="CA286" i="16"/>
  <c r="BS287" i="16"/>
  <c r="BT287" i="16"/>
  <c r="BU287" i="16"/>
  <c r="BV287" i="16"/>
  <c r="BW287" i="16"/>
  <c r="BX287" i="16"/>
  <c r="BY287" i="16"/>
  <c r="BZ287" i="16"/>
  <c r="CA287" i="16"/>
  <c r="BS288" i="16"/>
  <c r="BT288" i="16"/>
  <c r="BU288" i="16"/>
  <c r="BV288" i="16"/>
  <c r="BW288" i="16"/>
  <c r="BX288" i="16"/>
  <c r="BY288" i="16"/>
  <c r="BZ288" i="16"/>
  <c r="CA288" i="16"/>
  <c r="BS289" i="16"/>
  <c r="BT289" i="16"/>
  <c r="BU289" i="16"/>
  <c r="BV289" i="16"/>
  <c r="BW289" i="16"/>
  <c r="BX289" i="16"/>
  <c r="BY289" i="16"/>
  <c r="BZ289" i="16"/>
  <c r="CA289" i="16"/>
  <c r="BS290" i="16"/>
  <c r="BT290" i="16"/>
  <c r="BU290" i="16"/>
  <c r="BV290" i="16"/>
  <c r="BW290" i="16"/>
  <c r="BX290" i="16"/>
  <c r="BY290" i="16"/>
  <c r="BZ290" i="16"/>
  <c r="CA290" i="16"/>
  <c r="BS291" i="16"/>
  <c r="BT291" i="16"/>
  <c r="BU291" i="16"/>
  <c r="BV291" i="16"/>
  <c r="BW291" i="16"/>
  <c r="BX291" i="16"/>
  <c r="BY291" i="16"/>
  <c r="BZ291" i="16"/>
  <c r="CA291" i="16"/>
  <c r="BS292" i="16"/>
  <c r="BT292" i="16"/>
  <c r="BU292" i="16"/>
  <c r="BV292" i="16"/>
  <c r="BW292" i="16"/>
  <c r="BX292" i="16"/>
  <c r="BY292" i="16"/>
  <c r="BZ292" i="16"/>
  <c r="CA292" i="16"/>
  <c r="BS293" i="16"/>
  <c r="BT293" i="16"/>
  <c r="BU293" i="16"/>
  <c r="BV293" i="16"/>
  <c r="BW293" i="16"/>
  <c r="BX293" i="16"/>
  <c r="BY293" i="16"/>
  <c r="BZ293" i="16"/>
  <c r="CA293" i="16"/>
  <c r="BS294" i="16"/>
  <c r="BT294" i="16"/>
  <c r="BU294" i="16"/>
  <c r="BV294" i="16"/>
  <c r="BW294" i="16"/>
  <c r="BX294" i="16"/>
  <c r="BY294" i="16"/>
  <c r="BZ294" i="16"/>
  <c r="CA294" i="16"/>
  <c r="BS295" i="16"/>
  <c r="BT295" i="16"/>
  <c r="BU295" i="16"/>
  <c r="BV295" i="16"/>
  <c r="BW295" i="16"/>
  <c r="BX295" i="16"/>
  <c r="BY295" i="16"/>
  <c r="BZ295" i="16"/>
  <c r="CA295" i="16"/>
  <c r="BS296" i="16"/>
  <c r="BT296" i="16"/>
  <c r="BU296" i="16"/>
  <c r="BV296" i="16"/>
  <c r="BW296" i="16"/>
  <c r="BX296" i="16"/>
  <c r="BY296" i="16"/>
  <c r="BZ296" i="16"/>
  <c r="CA296" i="16"/>
  <c r="BS297" i="16"/>
  <c r="BT297" i="16"/>
  <c r="BU297" i="16"/>
  <c r="BV297" i="16"/>
  <c r="BW297" i="16"/>
  <c r="BX297" i="16"/>
  <c r="BY297" i="16"/>
  <c r="BZ297" i="16"/>
  <c r="CA297" i="16"/>
  <c r="BS298" i="16"/>
  <c r="BT298" i="16"/>
  <c r="BU298" i="16"/>
  <c r="BV298" i="16"/>
  <c r="BW298" i="16"/>
  <c r="BX298" i="16"/>
  <c r="BY298" i="16"/>
  <c r="BZ298" i="16"/>
  <c r="CA298" i="16"/>
  <c r="BS299" i="16"/>
  <c r="BT299" i="16"/>
  <c r="BU299" i="16"/>
  <c r="BV299" i="16"/>
  <c r="BW299" i="16"/>
  <c r="BX299" i="16"/>
  <c r="BY299" i="16"/>
  <c r="BZ299" i="16"/>
  <c r="CA299" i="16"/>
  <c r="BS300" i="16"/>
  <c r="BT300" i="16"/>
  <c r="BU300" i="16"/>
  <c r="BV300" i="16"/>
  <c r="BW300" i="16"/>
  <c r="BX300" i="16"/>
  <c r="BY300" i="16"/>
  <c r="BZ300" i="16"/>
  <c r="CA300" i="16"/>
  <c r="BS301" i="16"/>
  <c r="BT301" i="16"/>
  <c r="BU301" i="16"/>
  <c r="BV301" i="16"/>
  <c r="BW301" i="16"/>
  <c r="BX301" i="16"/>
  <c r="BY301" i="16"/>
  <c r="BZ301" i="16"/>
  <c r="CA301" i="16"/>
  <c r="BS302" i="16"/>
  <c r="BT302" i="16"/>
  <c r="BU302" i="16"/>
  <c r="BV302" i="16"/>
  <c r="BW302" i="16"/>
  <c r="BX302" i="16"/>
  <c r="BY302" i="16"/>
  <c r="BZ302" i="16"/>
  <c r="CA302" i="16"/>
  <c r="BS303" i="16"/>
  <c r="BT303" i="16"/>
  <c r="BU303" i="16"/>
  <c r="BV303" i="16"/>
  <c r="BW303" i="16"/>
  <c r="BX303" i="16"/>
  <c r="BY303" i="16"/>
  <c r="BZ303" i="16"/>
  <c r="CA303" i="16"/>
  <c r="BS304" i="16"/>
  <c r="BT304" i="16"/>
  <c r="BU304" i="16"/>
  <c r="BV304" i="16"/>
  <c r="BW304" i="16"/>
  <c r="BX304" i="16"/>
  <c r="BY304" i="16"/>
  <c r="BZ304" i="16"/>
  <c r="CA304" i="16"/>
  <c r="BS305" i="16"/>
  <c r="BT305" i="16"/>
  <c r="BU305" i="16"/>
  <c r="BV305" i="16"/>
  <c r="BW305" i="16"/>
  <c r="BX305" i="16"/>
  <c r="BY305" i="16"/>
  <c r="BZ305" i="16"/>
  <c r="CA305" i="16"/>
  <c r="BS306" i="16"/>
  <c r="BT306" i="16"/>
  <c r="BU306" i="16"/>
  <c r="BV306" i="16"/>
  <c r="BW306" i="16"/>
  <c r="BX306" i="16"/>
  <c r="BY306" i="16"/>
  <c r="BZ306" i="16"/>
  <c r="CA306" i="16"/>
  <c r="BS307" i="16"/>
  <c r="BT307" i="16"/>
  <c r="BU307" i="16"/>
  <c r="BV307" i="16"/>
  <c r="BW307" i="16"/>
  <c r="BX307" i="16"/>
  <c r="BY307" i="16"/>
  <c r="BZ307" i="16"/>
  <c r="CA307" i="16"/>
  <c r="BS308" i="16"/>
  <c r="BT308" i="16"/>
  <c r="BU308" i="16"/>
  <c r="BV308" i="16"/>
  <c r="BW308" i="16"/>
  <c r="BX308" i="16"/>
  <c r="BY308" i="16"/>
  <c r="BZ308" i="16"/>
  <c r="CA308" i="16"/>
  <c r="BS309" i="16"/>
  <c r="BT309" i="16"/>
  <c r="BU309" i="16"/>
  <c r="BV309" i="16"/>
  <c r="BW309" i="16"/>
  <c r="BX309" i="16"/>
  <c r="BY309" i="16"/>
  <c r="BZ309" i="16"/>
  <c r="CA309" i="16"/>
  <c r="BS310" i="16"/>
  <c r="BT310" i="16"/>
  <c r="BU310" i="16"/>
  <c r="BV310" i="16"/>
  <c r="BW310" i="16"/>
  <c r="BX310" i="16"/>
  <c r="BY310" i="16"/>
  <c r="BZ310" i="16"/>
  <c r="CA310" i="16"/>
  <c r="BS311" i="16"/>
  <c r="BT311" i="16"/>
  <c r="BU311" i="16"/>
  <c r="BV311" i="16"/>
  <c r="BW311" i="16"/>
  <c r="BX311" i="16"/>
  <c r="BY311" i="16"/>
  <c r="BZ311" i="16"/>
  <c r="CA311" i="16"/>
  <c r="BS312" i="16"/>
  <c r="BT312" i="16"/>
  <c r="BU312" i="16"/>
  <c r="BV312" i="16"/>
  <c r="BW312" i="16"/>
  <c r="BX312" i="16"/>
  <c r="BY312" i="16"/>
  <c r="BZ312" i="16"/>
  <c r="CA312" i="16"/>
  <c r="BS313" i="16"/>
  <c r="BT313" i="16"/>
  <c r="BU313" i="16"/>
  <c r="BV313" i="16"/>
  <c r="BW313" i="16"/>
  <c r="BX313" i="16"/>
  <c r="BY313" i="16"/>
  <c r="BZ313" i="16"/>
  <c r="CA313" i="16"/>
  <c r="BS314" i="16"/>
  <c r="BT314" i="16"/>
  <c r="BU314" i="16"/>
  <c r="BV314" i="16"/>
  <c r="BW314" i="16"/>
  <c r="BX314" i="16"/>
  <c r="BY314" i="16"/>
  <c r="BZ314" i="16"/>
  <c r="CA314" i="16"/>
  <c r="BS315" i="16"/>
  <c r="BT315" i="16"/>
  <c r="BU315" i="16"/>
  <c r="BV315" i="16"/>
  <c r="BW315" i="16"/>
  <c r="BX315" i="16"/>
  <c r="BY315" i="16"/>
  <c r="BZ315" i="16"/>
  <c r="CA315" i="16"/>
  <c r="BS316" i="16"/>
  <c r="BT316" i="16"/>
  <c r="BU316" i="16"/>
  <c r="BV316" i="16"/>
  <c r="BW316" i="16"/>
  <c r="BX316" i="16"/>
  <c r="BY316" i="16"/>
  <c r="BZ316" i="16"/>
  <c r="CA316" i="16"/>
  <c r="BS317" i="16"/>
  <c r="BT317" i="16"/>
  <c r="BU317" i="16"/>
  <c r="BV317" i="16"/>
  <c r="BW317" i="16"/>
  <c r="BX317" i="16"/>
  <c r="BY317" i="16"/>
  <c r="BZ317" i="16"/>
  <c r="CA317" i="16"/>
  <c r="BS318" i="16"/>
  <c r="BT318" i="16"/>
  <c r="BU318" i="16"/>
  <c r="BV318" i="16"/>
  <c r="BW318" i="16"/>
  <c r="BX318" i="16"/>
  <c r="BY318" i="16"/>
  <c r="BZ318" i="16"/>
  <c r="CA318" i="16"/>
  <c r="BS319" i="16"/>
  <c r="BT319" i="16"/>
  <c r="BU319" i="16"/>
  <c r="BV319" i="16"/>
  <c r="BW319" i="16"/>
  <c r="BX319" i="16"/>
  <c r="BY319" i="16"/>
  <c r="BZ319" i="16"/>
  <c r="CA319" i="16"/>
  <c r="BS320" i="16"/>
  <c r="BT320" i="16"/>
  <c r="BU320" i="16"/>
  <c r="BV320" i="16"/>
  <c r="BW320" i="16"/>
  <c r="BX320" i="16"/>
  <c r="BY320" i="16"/>
  <c r="BZ320" i="16"/>
  <c r="CA320" i="16"/>
  <c r="BS321" i="16"/>
  <c r="BT321" i="16"/>
  <c r="BU321" i="16"/>
  <c r="BV321" i="16"/>
  <c r="BW321" i="16"/>
  <c r="BX321" i="16"/>
  <c r="BY321" i="16"/>
  <c r="BZ321" i="16"/>
  <c r="CA321" i="16"/>
  <c r="BS322" i="16"/>
  <c r="BT322" i="16"/>
  <c r="BU322" i="16"/>
  <c r="BV322" i="16"/>
  <c r="BW322" i="16"/>
  <c r="BX322" i="16"/>
  <c r="BY322" i="16"/>
  <c r="BZ322" i="16"/>
  <c r="CA322" i="16"/>
  <c r="BS323" i="16"/>
  <c r="BT323" i="16"/>
  <c r="BU323" i="16"/>
  <c r="BV323" i="16"/>
  <c r="BW323" i="16"/>
  <c r="BX323" i="16"/>
  <c r="BY323" i="16"/>
  <c r="BZ323" i="16"/>
  <c r="CA323" i="16"/>
  <c r="BS324" i="16"/>
  <c r="BT324" i="16"/>
  <c r="BU324" i="16"/>
  <c r="BV324" i="16"/>
  <c r="BW324" i="16"/>
  <c r="BX324" i="16"/>
  <c r="BY324" i="16"/>
  <c r="BZ324" i="16"/>
  <c r="CA324" i="16"/>
  <c r="BS325" i="16"/>
  <c r="BT325" i="16"/>
  <c r="BU325" i="16"/>
  <c r="BV325" i="16"/>
  <c r="BW325" i="16"/>
  <c r="BX325" i="16"/>
  <c r="BY325" i="16"/>
  <c r="BZ325" i="16"/>
  <c r="CA325" i="16"/>
  <c r="BS326" i="16"/>
  <c r="BT326" i="16"/>
  <c r="BU326" i="16"/>
  <c r="BV326" i="16"/>
  <c r="BW326" i="16"/>
  <c r="BX326" i="16"/>
  <c r="BY326" i="16"/>
  <c r="BZ326" i="16"/>
  <c r="CA326" i="16"/>
  <c r="BS327" i="16"/>
  <c r="BT327" i="16"/>
  <c r="BU327" i="16"/>
  <c r="BV327" i="16"/>
  <c r="BW327" i="16"/>
  <c r="BX327" i="16"/>
  <c r="BY327" i="16"/>
  <c r="BZ327" i="16"/>
  <c r="CA327" i="16"/>
  <c r="BS328" i="16"/>
  <c r="BT328" i="16"/>
  <c r="BU328" i="16"/>
  <c r="BV328" i="16"/>
  <c r="BW328" i="16"/>
  <c r="BX328" i="16"/>
  <c r="BY328" i="16"/>
  <c r="BZ328" i="16"/>
  <c r="CA328" i="16"/>
  <c r="BS329" i="16"/>
  <c r="BT329" i="16"/>
  <c r="BU329" i="16"/>
  <c r="BV329" i="16"/>
  <c r="BW329" i="16"/>
  <c r="BX329" i="16"/>
  <c r="BY329" i="16"/>
  <c r="BZ329" i="16"/>
  <c r="CA329" i="16"/>
  <c r="BS330" i="16"/>
  <c r="BT330" i="16"/>
  <c r="BU330" i="16"/>
  <c r="BV330" i="16"/>
  <c r="BW330" i="16"/>
  <c r="BX330" i="16"/>
  <c r="BY330" i="16"/>
  <c r="BZ330" i="16"/>
  <c r="CA330" i="16"/>
  <c r="BS331" i="16"/>
  <c r="BT331" i="16"/>
  <c r="BU331" i="16"/>
  <c r="BV331" i="16"/>
  <c r="BW331" i="16"/>
  <c r="BX331" i="16"/>
  <c r="BY331" i="16"/>
  <c r="BZ331" i="16"/>
  <c r="CA331" i="16"/>
  <c r="BS332" i="16"/>
  <c r="BT332" i="16"/>
  <c r="BU332" i="16"/>
  <c r="BV332" i="16"/>
  <c r="BW332" i="16"/>
  <c r="BX332" i="16"/>
  <c r="BY332" i="16"/>
  <c r="BZ332" i="16"/>
  <c r="CA332" i="16"/>
  <c r="BS333" i="16"/>
  <c r="BT333" i="16"/>
  <c r="BU333" i="16"/>
  <c r="BV333" i="16"/>
  <c r="BW333" i="16"/>
  <c r="BX333" i="16"/>
  <c r="BY333" i="16"/>
  <c r="BZ333" i="16"/>
  <c r="CA333" i="16"/>
  <c r="BS334" i="16"/>
  <c r="BT334" i="16"/>
  <c r="BU334" i="16"/>
  <c r="BV334" i="16"/>
  <c r="BW334" i="16"/>
  <c r="BX334" i="16"/>
  <c r="BY334" i="16"/>
  <c r="BZ334" i="16"/>
  <c r="CA334" i="16"/>
  <c r="BS335" i="16"/>
  <c r="BT335" i="16"/>
  <c r="BU335" i="16"/>
  <c r="BV335" i="16"/>
  <c r="BW335" i="16"/>
  <c r="BX335" i="16"/>
  <c r="BY335" i="16"/>
  <c r="BZ335" i="16"/>
  <c r="CA335" i="16"/>
  <c r="BS336" i="16"/>
  <c r="BT336" i="16"/>
  <c r="BU336" i="16"/>
  <c r="BV336" i="16"/>
  <c r="BW336" i="16"/>
  <c r="BX336" i="16"/>
  <c r="BY336" i="16"/>
  <c r="BZ336" i="16"/>
  <c r="CA336" i="16"/>
  <c r="BS337" i="16"/>
  <c r="BT337" i="16"/>
  <c r="BU337" i="16"/>
  <c r="BV337" i="16"/>
  <c r="BW337" i="16"/>
  <c r="BX337" i="16"/>
  <c r="BY337" i="16"/>
  <c r="BZ337" i="16"/>
  <c r="CA337" i="16"/>
  <c r="BS338" i="16"/>
  <c r="BT338" i="16"/>
  <c r="BU338" i="16"/>
  <c r="BV338" i="16"/>
  <c r="BW338" i="16"/>
  <c r="BX338" i="16"/>
  <c r="BY338" i="16"/>
  <c r="BZ338" i="16"/>
  <c r="CA338" i="16"/>
  <c r="BS339" i="16"/>
  <c r="BT339" i="16"/>
  <c r="BU339" i="16"/>
  <c r="BV339" i="16"/>
  <c r="BW339" i="16"/>
  <c r="BX339" i="16"/>
  <c r="BY339" i="16"/>
  <c r="BZ339" i="16"/>
  <c r="CA339" i="16"/>
  <c r="BS340" i="16"/>
  <c r="BT340" i="16"/>
  <c r="BU340" i="16"/>
  <c r="BV340" i="16"/>
  <c r="BW340" i="16"/>
  <c r="BX340" i="16"/>
  <c r="BY340" i="16"/>
  <c r="BZ340" i="16"/>
  <c r="CA340" i="16"/>
  <c r="BS341" i="16"/>
  <c r="BT341" i="16"/>
  <c r="BU341" i="16"/>
  <c r="BV341" i="16"/>
  <c r="BW341" i="16"/>
  <c r="BX341" i="16"/>
  <c r="BY341" i="16"/>
  <c r="BZ341" i="16"/>
  <c r="CA341" i="16"/>
  <c r="BS342" i="16"/>
  <c r="BT342" i="16"/>
  <c r="BU342" i="16"/>
  <c r="BV342" i="16"/>
  <c r="BW342" i="16"/>
  <c r="BX342" i="16"/>
  <c r="BY342" i="16"/>
  <c r="BZ342" i="16"/>
  <c r="CA342" i="16"/>
  <c r="BS343" i="16"/>
  <c r="BT343" i="16"/>
  <c r="BU343" i="16"/>
  <c r="BV343" i="16"/>
  <c r="BW343" i="16"/>
  <c r="BX343" i="16"/>
  <c r="BY343" i="16"/>
  <c r="BZ343" i="16"/>
  <c r="CA343" i="16"/>
  <c r="BS344" i="16"/>
  <c r="BT344" i="16"/>
  <c r="BU344" i="16"/>
  <c r="BV344" i="16"/>
  <c r="BW344" i="16"/>
  <c r="BX344" i="16"/>
  <c r="BY344" i="16"/>
  <c r="BZ344" i="16"/>
  <c r="CA344" i="16"/>
  <c r="BS345" i="16"/>
  <c r="BT345" i="16"/>
  <c r="BU345" i="16"/>
  <c r="BV345" i="16"/>
  <c r="BW345" i="16"/>
  <c r="BX345" i="16"/>
  <c r="BY345" i="16"/>
  <c r="BZ345" i="16"/>
  <c r="CA345" i="16"/>
  <c r="BS346" i="16"/>
  <c r="BT346" i="16"/>
  <c r="BU346" i="16"/>
  <c r="BV346" i="16"/>
  <c r="BW346" i="16"/>
  <c r="BX346" i="16"/>
  <c r="BY346" i="16"/>
  <c r="BZ346" i="16"/>
  <c r="CA346" i="16"/>
  <c r="BS347" i="16"/>
  <c r="BT347" i="16"/>
  <c r="BU347" i="16"/>
  <c r="BV347" i="16"/>
  <c r="BW347" i="16"/>
  <c r="BX347" i="16"/>
  <c r="BY347" i="16"/>
  <c r="BZ347" i="16"/>
  <c r="CA347" i="16"/>
  <c r="BS348" i="16"/>
  <c r="BT348" i="16"/>
  <c r="BU348" i="16"/>
  <c r="BV348" i="16"/>
  <c r="BW348" i="16"/>
  <c r="BX348" i="16"/>
  <c r="BY348" i="16"/>
  <c r="BZ348" i="16"/>
  <c r="CA348" i="16"/>
  <c r="BS349" i="16"/>
  <c r="BT349" i="16"/>
  <c r="BU349" i="16"/>
  <c r="BV349" i="16"/>
  <c r="BW349" i="16"/>
  <c r="BX349" i="16"/>
  <c r="BY349" i="16"/>
  <c r="BZ349" i="16"/>
  <c r="CA349" i="16"/>
  <c r="BS350" i="16"/>
  <c r="BT350" i="16"/>
  <c r="BU350" i="16"/>
  <c r="BV350" i="16"/>
  <c r="BW350" i="16"/>
  <c r="BX350" i="16"/>
  <c r="BY350" i="16"/>
  <c r="BZ350" i="16"/>
  <c r="CA350" i="16"/>
  <c r="BS351" i="16"/>
  <c r="BT351" i="16"/>
  <c r="BU351" i="16"/>
  <c r="BV351" i="16"/>
  <c r="BW351" i="16"/>
  <c r="BX351" i="16"/>
  <c r="BY351" i="16"/>
  <c r="BZ351" i="16"/>
  <c r="CA351" i="16"/>
  <c r="BS352" i="16"/>
  <c r="BT352" i="16"/>
  <c r="BU352" i="16"/>
  <c r="BV352" i="16"/>
  <c r="BW352" i="16"/>
  <c r="BX352" i="16"/>
  <c r="BY352" i="16"/>
  <c r="BZ352" i="16"/>
  <c r="CA352" i="16"/>
  <c r="BS353" i="16"/>
  <c r="BT353" i="16"/>
  <c r="BU353" i="16"/>
  <c r="BV353" i="16"/>
  <c r="BW353" i="16"/>
  <c r="BX353" i="16"/>
  <c r="BY353" i="16"/>
  <c r="BZ353" i="16"/>
  <c r="CA353" i="16"/>
  <c r="BS354" i="16"/>
  <c r="BT354" i="16"/>
  <c r="BU354" i="16"/>
  <c r="BV354" i="16"/>
  <c r="BW354" i="16"/>
  <c r="BX354" i="16"/>
  <c r="BY354" i="16"/>
  <c r="BZ354" i="16"/>
  <c r="CA354" i="16"/>
  <c r="BS355" i="16"/>
  <c r="BT355" i="16"/>
  <c r="BU355" i="16"/>
  <c r="BV355" i="16"/>
  <c r="BW355" i="16"/>
  <c r="BX355" i="16"/>
  <c r="BY355" i="16"/>
  <c r="BZ355" i="16"/>
  <c r="CA355" i="16"/>
  <c r="BS356" i="16"/>
  <c r="BT356" i="16"/>
  <c r="BU356" i="16"/>
  <c r="BV356" i="16"/>
  <c r="BW356" i="16"/>
  <c r="BX356" i="16"/>
  <c r="BY356" i="16"/>
  <c r="BZ356" i="16"/>
  <c r="CA356" i="16"/>
  <c r="BS357" i="16"/>
  <c r="BT357" i="16"/>
  <c r="BU357" i="16"/>
  <c r="BV357" i="16"/>
  <c r="BW357" i="16"/>
  <c r="BX357" i="16"/>
  <c r="BY357" i="16"/>
  <c r="BZ357" i="16"/>
  <c r="CA357" i="16"/>
  <c r="BS358" i="16"/>
  <c r="BT358" i="16"/>
  <c r="BU358" i="16"/>
  <c r="BV358" i="16"/>
  <c r="BW358" i="16"/>
  <c r="BX358" i="16"/>
  <c r="BY358" i="16"/>
  <c r="BZ358" i="16"/>
  <c r="CA358" i="16"/>
  <c r="BS359" i="16"/>
  <c r="BT359" i="16"/>
  <c r="BU359" i="16"/>
  <c r="BV359" i="16"/>
  <c r="BW359" i="16"/>
  <c r="BX359" i="16"/>
  <c r="BY359" i="16"/>
  <c r="BZ359" i="16"/>
  <c r="CA359" i="16"/>
  <c r="BS360" i="16"/>
  <c r="BT360" i="16"/>
  <c r="BU360" i="16"/>
  <c r="BV360" i="16"/>
  <c r="BW360" i="16"/>
  <c r="BX360" i="16"/>
  <c r="BY360" i="16"/>
  <c r="BZ360" i="16"/>
  <c r="CA360" i="16"/>
  <c r="BS361" i="16"/>
  <c r="BT361" i="16"/>
  <c r="BU361" i="16"/>
  <c r="BV361" i="16"/>
  <c r="BW361" i="16"/>
  <c r="BX361" i="16"/>
  <c r="BY361" i="16"/>
  <c r="BZ361" i="16"/>
  <c r="CA361" i="16"/>
  <c r="BS362" i="16"/>
  <c r="BT362" i="16"/>
  <c r="BU362" i="16"/>
  <c r="BV362" i="16"/>
  <c r="BW362" i="16"/>
  <c r="BX362" i="16"/>
  <c r="BY362" i="16"/>
  <c r="BZ362" i="16"/>
  <c r="CA362" i="16"/>
  <c r="BS363" i="16"/>
  <c r="BT363" i="16"/>
  <c r="BU363" i="16"/>
  <c r="BV363" i="16"/>
  <c r="BW363" i="16"/>
  <c r="BX363" i="16"/>
  <c r="BY363" i="16"/>
  <c r="BZ363" i="16"/>
  <c r="CA363" i="16"/>
  <c r="BS364" i="16"/>
  <c r="BT364" i="16"/>
  <c r="BU364" i="16"/>
  <c r="BV364" i="16"/>
  <c r="BW364" i="16"/>
  <c r="BX364" i="16"/>
  <c r="BY364" i="16"/>
  <c r="BZ364" i="16"/>
  <c r="CA364" i="16"/>
  <c r="BS365" i="16"/>
  <c r="BT365" i="16"/>
  <c r="BU365" i="16"/>
  <c r="BV365" i="16"/>
  <c r="BW365" i="16"/>
  <c r="BX365" i="16"/>
  <c r="BY365" i="16"/>
  <c r="BZ365" i="16"/>
  <c r="CA365" i="16"/>
  <c r="BS366" i="16"/>
  <c r="BT366" i="16"/>
  <c r="BU366" i="16"/>
  <c r="BV366" i="16"/>
  <c r="BW366" i="16"/>
  <c r="BX366" i="16"/>
  <c r="BY366" i="16"/>
  <c r="BZ366" i="16"/>
  <c r="CA366" i="16"/>
  <c r="BS367" i="16"/>
  <c r="BT367" i="16"/>
  <c r="BU367" i="16"/>
  <c r="BV367" i="16"/>
  <c r="BW367" i="16"/>
  <c r="BX367" i="16"/>
  <c r="BY367" i="16"/>
  <c r="BZ367" i="16"/>
  <c r="CA367" i="16"/>
  <c r="BS368" i="16"/>
  <c r="BT368" i="16"/>
  <c r="BU368" i="16"/>
  <c r="BV368" i="16"/>
  <c r="BW368" i="16"/>
  <c r="BX368" i="16"/>
  <c r="BY368" i="16"/>
  <c r="BZ368" i="16"/>
  <c r="CA368" i="16"/>
  <c r="BS369" i="16"/>
  <c r="BT369" i="16"/>
  <c r="BU369" i="16"/>
  <c r="BV369" i="16"/>
  <c r="BW369" i="16"/>
  <c r="BX369" i="16"/>
  <c r="BY369" i="16"/>
  <c r="BZ369" i="16"/>
  <c r="CA369" i="16"/>
  <c r="BS370" i="16"/>
  <c r="BT370" i="16"/>
  <c r="BU370" i="16"/>
  <c r="BV370" i="16"/>
  <c r="BW370" i="16"/>
  <c r="BX370" i="16"/>
  <c r="BY370" i="16"/>
  <c r="BZ370" i="16"/>
  <c r="CA370" i="16"/>
  <c r="BS371" i="16"/>
  <c r="BT371" i="16"/>
  <c r="BU371" i="16"/>
  <c r="BV371" i="16"/>
  <c r="BW371" i="16"/>
  <c r="BX371" i="16"/>
  <c r="BY371" i="16"/>
  <c r="BZ371" i="16"/>
  <c r="CA371" i="16"/>
  <c r="BS372" i="16"/>
  <c r="BT372" i="16"/>
  <c r="BU372" i="16"/>
  <c r="BV372" i="16"/>
  <c r="BW372" i="16"/>
  <c r="BX372" i="16"/>
  <c r="BY372" i="16"/>
  <c r="BZ372" i="16"/>
  <c r="CA372" i="16"/>
  <c r="BS373" i="16"/>
  <c r="BT373" i="16"/>
  <c r="BU373" i="16"/>
  <c r="BV373" i="16"/>
  <c r="BW373" i="16"/>
  <c r="BX373" i="16"/>
  <c r="BY373" i="16"/>
  <c r="BZ373" i="16"/>
  <c r="CA373" i="16"/>
  <c r="BS374" i="16"/>
  <c r="BT374" i="16"/>
  <c r="BU374" i="16"/>
  <c r="BV374" i="16"/>
  <c r="BW374" i="16"/>
  <c r="BX374" i="16"/>
  <c r="BY374" i="16"/>
  <c r="BZ374" i="16"/>
  <c r="CA374" i="16"/>
  <c r="BS375" i="16"/>
  <c r="BT375" i="16"/>
  <c r="BU375" i="16"/>
  <c r="BV375" i="16"/>
  <c r="BW375" i="16"/>
  <c r="BX375" i="16"/>
  <c r="BY375" i="16"/>
  <c r="BZ375" i="16"/>
  <c r="CA375" i="16"/>
  <c r="BS376" i="16"/>
  <c r="BT376" i="16"/>
  <c r="BU376" i="16"/>
  <c r="BV376" i="16"/>
  <c r="BW376" i="16"/>
  <c r="BX376" i="16"/>
  <c r="BY376" i="16"/>
  <c r="BZ376" i="16"/>
  <c r="CA376" i="16"/>
  <c r="BS377" i="16"/>
  <c r="BT377" i="16"/>
  <c r="BU377" i="16"/>
  <c r="BV377" i="16"/>
  <c r="BW377" i="16"/>
  <c r="BX377" i="16"/>
  <c r="BY377" i="16"/>
  <c r="BZ377" i="16"/>
  <c r="CA377" i="16"/>
  <c r="BS378" i="16"/>
  <c r="BT378" i="16"/>
  <c r="BU378" i="16"/>
  <c r="BV378" i="16"/>
  <c r="BW378" i="16"/>
  <c r="BX378" i="16"/>
  <c r="BY378" i="16"/>
  <c r="BZ378" i="16"/>
  <c r="CA378" i="16"/>
  <c r="BS379" i="16"/>
  <c r="BT379" i="16"/>
  <c r="BU379" i="16"/>
  <c r="BV379" i="16"/>
  <c r="BW379" i="16"/>
  <c r="BX379" i="16"/>
  <c r="BY379" i="16"/>
  <c r="BZ379" i="16"/>
  <c r="CA379" i="16"/>
  <c r="BS380" i="16"/>
  <c r="BT380" i="16"/>
  <c r="BU380" i="16"/>
  <c r="BV380" i="16"/>
  <c r="BW380" i="16"/>
  <c r="BX380" i="16"/>
  <c r="BY380" i="16"/>
  <c r="BZ380" i="16"/>
  <c r="CA380" i="16"/>
  <c r="BS381" i="16"/>
  <c r="BT381" i="16"/>
  <c r="BU381" i="16"/>
  <c r="BV381" i="16"/>
  <c r="BW381" i="16"/>
  <c r="BX381" i="16"/>
  <c r="BY381" i="16"/>
  <c r="BZ381" i="16"/>
  <c r="CA381" i="16"/>
  <c r="BS382" i="16"/>
  <c r="BT382" i="16"/>
  <c r="BU382" i="16"/>
  <c r="BV382" i="16"/>
  <c r="BW382" i="16"/>
  <c r="BX382" i="16"/>
  <c r="BY382" i="16"/>
  <c r="BZ382" i="16"/>
  <c r="CA382" i="16"/>
  <c r="BS383" i="16"/>
  <c r="BT383" i="16"/>
  <c r="BU383" i="16"/>
  <c r="BV383" i="16"/>
  <c r="BW383" i="16"/>
  <c r="BX383" i="16"/>
  <c r="BY383" i="16"/>
  <c r="BZ383" i="16"/>
  <c r="CA383" i="16"/>
  <c r="BS384" i="16"/>
  <c r="BT384" i="16"/>
  <c r="BU384" i="16"/>
  <c r="BV384" i="16"/>
  <c r="BW384" i="16"/>
  <c r="BX384" i="16"/>
  <c r="BY384" i="16"/>
  <c r="BZ384" i="16"/>
  <c r="CA384" i="16"/>
  <c r="BS385" i="16"/>
  <c r="BT385" i="16"/>
  <c r="BU385" i="16"/>
  <c r="BV385" i="16"/>
  <c r="BW385" i="16"/>
  <c r="BX385" i="16"/>
  <c r="BY385" i="16"/>
  <c r="BZ385" i="16"/>
  <c r="CA385" i="16"/>
  <c r="BS386" i="16"/>
  <c r="BT386" i="16"/>
  <c r="BU386" i="16"/>
  <c r="BV386" i="16"/>
  <c r="BW386" i="16"/>
  <c r="BX386" i="16"/>
  <c r="BY386" i="16"/>
  <c r="BZ386" i="16"/>
  <c r="CA386" i="16"/>
  <c r="BS387" i="16"/>
  <c r="BT387" i="16"/>
  <c r="BU387" i="16"/>
  <c r="BV387" i="16"/>
  <c r="BW387" i="16"/>
  <c r="BX387" i="16"/>
  <c r="BY387" i="16"/>
  <c r="BZ387" i="16"/>
  <c r="CA387" i="16"/>
  <c r="BS388" i="16"/>
  <c r="BT388" i="16"/>
  <c r="BU388" i="16"/>
  <c r="BV388" i="16"/>
  <c r="BW388" i="16"/>
  <c r="BX388" i="16"/>
  <c r="BY388" i="16"/>
  <c r="BZ388" i="16"/>
  <c r="CA388" i="16"/>
  <c r="BS389" i="16"/>
  <c r="BT389" i="16"/>
  <c r="BU389" i="16"/>
  <c r="BV389" i="16"/>
  <c r="BW389" i="16"/>
  <c r="BX389" i="16"/>
  <c r="BY389" i="16"/>
  <c r="BZ389" i="16"/>
  <c r="CA389" i="16"/>
  <c r="BS390" i="16"/>
  <c r="BT390" i="16"/>
  <c r="BU390" i="16"/>
  <c r="BV390" i="16"/>
  <c r="BW390" i="16"/>
  <c r="BX390" i="16"/>
  <c r="BY390" i="16"/>
  <c r="BZ390" i="16"/>
  <c r="CA390" i="16"/>
  <c r="BS391" i="16"/>
  <c r="BT391" i="16"/>
  <c r="BU391" i="16"/>
  <c r="BV391" i="16"/>
  <c r="BW391" i="16"/>
  <c r="BX391" i="16"/>
  <c r="BY391" i="16"/>
  <c r="BZ391" i="16"/>
  <c r="CA391" i="16"/>
  <c r="BS392" i="16"/>
  <c r="BT392" i="16"/>
  <c r="BU392" i="16"/>
  <c r="BV392" i="16"/>
  <c r="BW392" i="16"/>
  <c r="BX392" i="16"/>
  <c r="BY392" i="16"/>
  <c r="BZ392" i="16"/>
  <c r="CA392" i="16"/>
  <c r="BS393" i="16"/>
  <c r="BT393" i="16"/>
  <c r="BU393" i="16"/>
  <c r="BV393" i="16"/>
  <c r="BW393" i="16"/>
  <c r="BX393" i="16"/>
  <c r="BY393" i="16"/>
  <c r="BZ393" i="16"/>
  <c r="CA393" i="16"/>
  <c r="BS394" i="16"/>
  <c r="BT394" i="16"/>
  <c r="BU394" i="16"/>
  <c r="BV394" i="16"/>
  <c r="BW394" i="16"/>
  <c r="BX394" i="16"/>
  <c r="BY394" i="16"/>
  <c r="BZ394" i="16"/>
  <c r="CA394" i="16"/>
  <c r="BS395" i="16"/>
  <c r="BT395" i="16"/>
  <c r="BU395" i="16"/>
  <c r="BV395" i="16"/>
  <c r="BW395" i="16"/>
  <c r="BX395" i="16"/>
  <c r="BY395" i="16"/>
  <c r="BZ395" i="16"/>
  <c r="CA395" i="16"/>
  <c r="BS396" i="16"/>
  <c r="BT396" i="16"/>
  <c r="BU396" i="16"/>
  <c r="BV396" i="16"/>
  <c r="BW396" i="16"/>
  <c r="BX396" i="16"/>
  <c r="BY396" i="16"/>
  <c r="BZ396" i="16"/>
  <c r="CA396" i="16"/>
  <c r="BS397" i="16"/>
  <c r="BT397" i="16"/>
  <c r="BU397" i="16"/>
  <c r="BV397" i="16"/>
  <c r="BW397" i="16"/>
  <c r="BX397" i="16"/>
  <c r="BY397" i="16"/>
  <c r="BZ397" i="16"/>
  <c r="CA397" i="16"/>
  <c r="BS398" i="16"/>
  <c r="BT398" i="16"/>
  <c r="BU398" i="16"/>
  <c r="BV398" i="16"/>
  <c r="BW398" i="16"/>
  <c r="BX398" i="16"/>
  <c r="BY398" i="16"/>
  <c r="BZ398" i="16"/>
  <c r="CA398" i="16"/>
  <c r="BS399" i="16"/>
  <c r="BT399" i="16"/>
  <c r="BU399" i="16"/>
  <c r="BV399" i="16"/>
  <c r="BW399" i="16"/>
  <c r="BX399" i="16"/>
  <c r="BY399" i="16"/>
  <c r="BZ399" i="16"/>
  <c r="CA399" i="16"/>
  <c r="BS400" i="16"/>
  <c r="BT400" i="16"/>
  <c r="BU400" i="16"/>
  <c r="BV400" i="16"/>
  <c r="BW400" i="16"/>
  <c r="BX400" i="16"/>
  <c r="BY400" i="16"/>
  <c r="BZ400" i="16"/>
  <c r="CA400" i="16"/>
  <c r="BS401" i="16"/>
  <c r="BT401" i="16"/>
  <c r="BU401" i="16"/>
  <c r="BV401" i="16"/>
  <c r="BW401" i="16"/>
  <c r="BX401" i="16"/>
  <c r="BY401" i="16"/>
  <c r="BZ401" i="16"/>
  <c r="CA401" i="16"/>
  <c r="BS402" i="16"/>
  <c r="BT402" i="16"/>
  <c r="BU402" i="16"/>
  <c r="BV402" i="16"/>
  <c r="BW402" i="16"/>
  <c r="BX402" i="16"/>
  <c r="BY402" i="16"/>
  <c r="BZ402" i="16"/>
  <c r="CA402" i="16"/>
  <c r="BS403" i="16"/>
  <c r="BT403" i="16"/>
  <c r="BU403" i="16"/>
  <c r="BV403" i="16"/>
  <c r="BW403" i="16"/>
  <c r="BX403" i="16"/>
  <c r="BY403" i="16"/>
  <c r="BZ403" i="16"/>
  <c r="CA403" i="16"/>
  <c r="BS404" i="16"/>
  <c r="BT404" i="16"/>
  <c r="BU404" i="16"/>
  <c r="BV404" i="16"/>
  <c r="BW404" i="16"/>
  <c r="BX404" i="16"/>
  <c r="BY404" i="16"/>
  <c r="BZ404" i="16"/>
  <c r="CA404" i="16"/>
  <c r="BS405" i="16"/>
  <c r="BT405" i="16"/>
  <c r="BU405" i="16"/>
  <c r="BV405" i="16"/>
  <c r="BW405" i="16"/>
  <c r="BX405" i="16"/>
  <c r="BY405" i="16"/>
  <c r="BZ405" i="16"/>
  <c r="CA405" i="16"/>
  <c r="BS406" i="16"/>
  <c r="BT406" i="16"/>
  <c r="BU406" i="16"/>
  <c r="BV406" i="16"/>
  <c r="BW406" i="16"/>
  <c r="BX406" i="16"/>
  <c r="BY406" i="16"/>
  <c r="BZ406" i="16"/>
  <c r="CA406" i="16"/>
  <c r="BS407" i="16"/>
  <c r="BT407" i="16"/>
  <c r="BU407" i="16"/>
  <c r="BV407" i="16"/>
  <c r="BW407" i="16"/>
  <c r="BX407" i="16"/>
  <c r="BY407" i="16"/>
  <c r="BZ407" i="16"/>
  <c r="CA407" i="16"/>
  <c r="BS408" i="16"/>
  <c r="BT408" i="16"/>
  <c r="BU408" i="16"/>
  <c r="BV408" i="16"/>
  <c r="BW408" i="16"/>
  <c r="BX408" i="16"/>
  <c r="BY408" i="16"/>
  <c r="BZ408" i="16"/>
  <c r="CA408" i="16"/>
  <c r="BS409" i="16"/>
  <c r="BT409" i="16"/>
  <c r="BU409" i="16"/>
  <c r="BV409" i="16"/>
  <c r="BW409" i="16"/>
  <c r="BX409" i="16"/>
  <c r="BY409" i="16"/>
  <c r="BZ409" i="16"/>
  <c r="CA409" i="16"/>
  <c r="BS410" i="16"/>
  <c r="BT410" i="16"/>
  <c r="BU410" i="16"/>
  <c r="BV410" i="16"/>
  <c r="BW410" i="16"/>
  <c r="BX410" i="16"/>
  <c r="BY410" i="16"/>
  <c r="BZ410" i="16"/>
  <c r="CA410" i="16"/>
  <c r="BS411" i="16"/>
  <c r="BT411" i="16"/>
  <c r="BU411" i="16"/>
  <c r="BV411" i="16"/>
  <c r="BW411" i="16"/>
  <c r="BX411" i="16"/>
  <c r="BY411" i="16"/>
  <c r="BZ411" i="16"/>
  <c r="CA411" i="16"/>
  <c r="BS412" i="16"/>
  <c r="BT412" i="16"/>
  <c r="BU412" i="16"/>
  <c r="BV412" i="16"/>
  <c r="BW412" i="16"/>
  <c r="BX412" i="16"/>
  <c r="BY412" i="16"/>
  <c r="BZ412" i="16"/>
  <c r="CA412" i="16"/>
  <c r="BS413" i="16"/>
  <c r="BT413" i="16"/>
  <c r="BU413" i="16"/>
  <c r="BV413" i="16"/>
  <c r="BW413" i="16"/>
  <c r="BX413" i="16"/>
  <c r="BY413" i="16"/>
  <c r="BZ413" i="16"/>
  <c r="CA413" i="16"/>
  <c r="BS414" i="16"/>
  <c r="BT414" i="16"/>
  <c r="BU414" i="16"/>
  <c r="BV414" i="16"/>
  <c r="BW414" i="16"/>
  <c r="BX414" i="16"/>
  <c r="BY414" i="16"/>
  <c r="BZ414" i="16"/>
  <c r="CA414" i="16"/>
  <c r="BS415" i="16"/>
  <c r="BT415" i="16"/>
  <c r="BU415" i="16"/>
  <c r="BV415" i="16"/>
  <c r="BW415" i="16"/>
  <c r="BX415" i="16"/>
  <c r="BY415" i="16"/>
  <c r="BZ415" i="16"/>
  <c r="CA415" i="16"/>
  <c r="BS416" i="16"/>
  <c r="BT416" i="16"/>
  <c r="BU416" i="16"/>
  <c r="BV416" i="16"/>
  <c r="BW416" i="16"/>
  <c r="BX416" i="16"/>
  <c r="BY416" i="16"/>
  <c r="BZ416" i="16"/>
  <c r="CA416" i="16"/>
  <c r="BS417" i="16"/>
  <c r="BT417" i="16"/>
  <c r="BU417" i="16"/>
  <c r="BV417" i="16"/>
  <c r="BW417" i="16"/>
  <c r="BX417" i="16"/>
  <c r="BY417" i="16"/>
  <c r="BZ417" i="16"/>
  <c r="CA417" i="16"/>
  <c r="BS418" i="16"/>
  <c r="BT418" i="16"/>
  <c r="BU418" i="16"/>
  <c r="BV418" i="16"/>
  <c r="BW418" i="16"/>
  <c r="BX418" i="16"/>
  <c r="BY418" i="16"/>
  <c r="BZ418" i="16"/>
  <c r="CA418" i="16"/>
  <c r="BS419" i="16"/>
  <c r="BT419" i="16"/>
  <c r="BU419" i="16"/>
  <c r="BV419" i="16"/>
  <c r="BW419" i="16"/>
  <c r="BX419" i="16"/>
  <c r="BY419" i="16"/>
  <c r="BZ419" i="16"/>
  <c r="CA419" i="16"/>
  <c r="BS420" i="16"/>
  <c r="BT420" i="16"/>
  <c r="BU420" i="16"/>
  <c r="BV420" i="16"/>
  <c r="BW420" i="16"/>
  <c r="BX420" i="16"/>
  <c r="BY420" i="16"/>
  <c r="BZ420" i="16"/>
  <c r="CA420" i="16"/>
  <c r="BS421" i="16"/>
  <c r="BT421" i="16"/>
  <c r="BU421" i="16"/>
  <c r="BV421" i="16"/>
  <c r="BW421" i="16"/>
  <c r="BX421" i="16"/>
  <c r="BY421" i="16"/>
  <c r="BZ421" i="16"/>
  <c r="CA421" i="16"/>
  <c r="BS422" i="16"/>
  <c r="BT422" i="16"/>
  <c r="BU422" i="16"/>
  <c r="BV422" i="16"/>
  <c r="BW422" i="16"/>
  <c r="BX422" i="16"/>
  <c r="BY422" i="16"/>
  <c r="BZ422" i="16"/>
  <c r="CA422" i="16"/>
  <c r="BS423" i="16"/>
  <c r="BT423" i="16"/>
  <c r="BU423" i="16"/>
  <c r="BV423" i="16"/>
  <c r="BW423" i="16"/>
  <c r="BX423" i="16"/>
  <c r="BY423" i="16"/>
  <c r="BZ423" i="16"/>
  <c r="CA423" i="16"/>
  <c r="BS424" i="16"/>
  <c r="BT424" i="16"/>
  <c r="BU424" i="16"/>
  <c r="BV424" i="16"/>
  <c r="BW424" i="16"/>
  <c r="BX424" i="16"/>
  <c r="BY424" i="16"/>
  <c r="BZ424" i="16"/>
  <c r="CA424" i="16"/>
  <c r="BS425" i="16"/>
  <c r="BT425" i="16"/>
  <c r="BU425" i="16"/>
  <c r="BV425" i="16"/>
  <c r="BW425" i="16"/>
  <c r="BX425" i="16"/>
  <c r="BY425" i="16"/>
  <c r="BZ425" i="16"/>
  <c r="CA425" i="16"/>
  <c r="BS426" i="16"/>
  <c r="BT426" i="16"/>
  <c r="BU426" i="16"/>
  <c r="BV426" i="16"/>
  <c r="BW426" i="16"/>
  <c r="BX426" i="16"/>
  <c r="BY426" i="16"/>
  <c r="BZ426" i="16"/>
  <c r="CA426" i="16"/>
  <c r="BS427" i="16"/>
  <c r="BT427" i="16"/>
  <c r="BU427" i="16"/>
  <c r="BV427" i="16"/>
  <c r="BW427" i="16"/>
  <c r="BX427" i="16"/>
  <c r="BY427" i="16"/>
  <c r="BZ427" i="16"/>
  <c r="CA427" i="16"/>
  <c r="BS428" i="16"/>
  <c r="BT428" i="16"/>
  <c r="BU428" i="16"/>
  <c r="BV428" i="16"/>
  <c r="BW428" i="16"/>
  <c r="BX428" i="16"/>
  <c r="BY428" i="16"/>
  <c r="BZ428" i="16"/>
  <c r="CA428" i="16"/>
  <c r="BS429" i="16"/>
  <c r="BT429" i="16"/>
  <c r="BU429" i="16"/>
  <c r="BV429" i="16"/>
  <c r="BW429" i="16"/>
  <c r="BX429" i="16"/>
  <c r="BY429" i="16"/>
  <c r="BZ429" i="16"/>
  <c r="CA429" i="16"/>
  <c r="BS430" i="16"/>
  <c r="BT430" i="16"/>
  <c r="BU430" i="16"/>
  <c r="BV430" i="16"/>
  <c r="BW430" i="16"/>
  <c r="BX430" i="16"/>
  <c r="BY430" i="16"/>
  <c r="BZ430" i="16"/>
  <c r="CA430" i="16"/>
  <c r="BS431" i="16"/>
  <c r="BT431" i="16"/>
  <c r="BU431" i="16"/>
  <c r="BV431" i="16"/>
  <c r="BW431" i="16"/>
  <c r="BX431" i="16"/>
  <c r="BY431" i="16"/>
  <c r="BZ431" i="16"/>
  <c r="CA431" i="16"/>
  <c r="BS432" i="16"/>
  <c r="BT432" i="16"/>
  <c r="BU432" i="16"/>
  <c r="BV432" i="16"/>
  <c r="BW432" i="16"/>
  <c r="BX432" i="16"/>
  <c r="BY432" i="16"/>
  <c r="BZ432" i="16"/>
  <c r="CA432" i="16"/>
  <c r="BS433" i="16"/>
  <c r="BT433" i="16"/>
  <c r="BU433" i="16"/>
  <c r="BV433" i="16"/>
  <c r="BW433" i="16"/>
  <c r="BX433" i="16"/>
  <c r="BY433" i="16"/>
  <c r="BZ433" i="16"/>
  <c r="CA433" i="16"/>
  <c r="BS434" i="16"/>
  <c r="BT434" i="16"/>
  <c r="BU434" i="16"/>
  <c r="BV434" i="16"/>
  <c r="BW434" i="16"/>
  <c r="BX434" i="16"/>
  <c r="BY434" i="16"/>
  <c r="BZ434" i="16"/>
  <c r="CA434" i="16"/>
  <c r="BS435" i="16"/>
  <c r="BT435" i="16"/>
  <c r="BU435" i="16"/>
  <c r="BV435" i="16"/>
  <c r="BW435" i="16"/>
  <c r="BX435" i="16"/>
  <c r="BY435" i="16"/>
  <c r="BZ435" i="16"/>
  <c r="CA435" i="16"/>
  <c r="BS436" i="16"/>
  <c r="BT436" i="16"/>
  <c r="BU436" i="16"/>
  <c r="BV436" i="16"/>
  <c r="BW436" i="16"/>
  <c r="BX436" i="16"/>
  <c r="BY436" i="16"/>
  <c r="BZ436" i="16"/>
  <c r="CA436" i="16"/>
  <c r="BS437" i="16"/>
  <c r="BT437" i="16"/>
  <c r="BU437" i="16"/>
  <c r="BV437" i="16"/>
  <c r="BW437" i="16"/>
  <c r="BX437" i="16"/>
  <c r="BY437" i="16"/>
  <c r="BZ437" i="16"/>
  <c r="CA437" i="16"/>
  <c r="BS438" i="16"/>
  <c r="BT438" i="16"/>
  <c r="BU438" i="16"/>
  <c r="BV438" i="16"/>
  <c r="BW438" i="16"/>
  <c r="BX438" i="16"/>
  <c r="BY438" i="16"/>
  <c r="BZ438" i="16"/>
  <c r="CA438" i="16"/>
  <c r="BS439" i="16"/>
  <c r="BT439" i="16"/>
  <c r="BU439" i="16"/>
  <c r="BV439" i="16"/>
  <c r="BW439" i="16"/>
  <c r="BX439" i="16"/>
  <c r="BY439" i="16"/>
  <c r="BZ439" i="16"/>
  <c r="CA439" i="16"/>
  <c r="BS440" i="16"/>
  <c r="BT440" i="16"/>
  <c r="BU440" i="16"/>
  <c r="BV440" i="16"/>
  <c r="BW440" i="16"/>
  <c r="BX440" i="16"/>
  <c r="BY440" i="16"/>
  <c r="BZ440" i="16"/>
  <c r="CA440" i="16"/>
  <c r="BS441" i="16"/>
  <c r="BT441" i="16"/>
  <c r="BU441" i="16"/>
  <c r="BV441" i="16"/>
  <c r="BW441" i="16"/>
  <c r="BX441" i="16"/>
  <c r="BY441" i="16"/>
  <c r="BZ441" i="16"/>
  <c r="CA441" i="16"/>
  <c r="BS442" i="16"/>
  <c r="BT442" i="16"/>
  <c r="BU442" i="16"/>
  <c r="BV442" i="16"/>
  <c r="BW442" i="16"/>
  <c r="BX442" i="16"/>
  <c r="BY442" i="16"/>
  <c r="BZ442" i="16"/>
  <c r="CA442" i="16"/>
  <c r="BS443" i="16"/>
  <c r="BT443" i="16"/>
  <c r="BU443" i="16"/>
  <c r="BV443" i="16"/>
  <c r="BW443" i="16"/>
  <c r="BX443" i="16"/>
  <c r="BY443" i="16"/>
  <c r="BZ443" i="16"/>
  <c r="CA443" i="16"/>
  <c r="BS444" i="16"/>
  <c r="BT444" i="16"/>
  <c r="BU444" i="16"/>
  <c r="BV444" i="16"/>
  <c r="BW444" i="16"/>
  <c r="BX444" i="16"/>
  <c r="BY444" i="16"/>
  <c r="BZ444" i="16"/>
  <c r="CA444" i="16"/>
  <c r="BS445" i="16"/>
  <c r="BT445" i="16"/>
  <c r="BU445" i="16"/>
  <c r="BV445" i="16"/>
  <c r="BW445" i="16"/>
  <c r="BX445" i="16"/>
  <c r="BY445" i="16"/>
  <c r="BZ445" i="16"/>
  <c r="CA445" i="16"/>
  <c r="BS446" i="16"/>
  <c r="BT446" i="16"/>
  <c r="BU446" i="16"/>
  <c r="BV446" i="16"/>
  <c r="BW446" i="16"/>
  <c r="BX446" i="16"/>
  <c r="BY446" i="16"/>
  <c r="BZ446" i="16"/>
  <c r="CA446" i="16"/>
  <c r="BS447" i="16"/>
  <c r="BT447" i="16"/>
  <c r="BU447" i="16"/>
  <c r="BV447" i="16"/>
  <c r="BW447" i="16"/>
  <c r="BX447" i="16"/>
  <c r="BY447" i="16"/>
  <c r="BZ447" i="16"/>
  <c r="CA447" i="16"/>
  <c r="BS448" i="16"/>
  <c r="BT448" i="16"/>
  <c r="BU448" i="16"/>
  <c r="BV448" i="16"/>
  <c r="BW448" i="16"/>
  <c r="BX448" i="16"/>
  <c r="BY448" i="16"/>
  <c r="BZ448" i="16"/>
  <c r="CA448" i="16"/>
  <c r="BS449" i="16"/>
  <c r="BT449" i="16"/>
  <c r="BU449" i="16"/>
  <c r="BV449" i="16"/>
  <c r="BW449" i="16"/>
  <c r="BX449" i="16"/>
  <c r="BY449" i="16"/>
  <c r="BZ449" i="16"/>
  <c r="CA449" i="16"/>
  <c r="BS450" i="16"/>
  <c r="BT450" i="16"/>
  <c r="BU450" i="16"/>
  <c r="BV450" i="16"/>
  <c r="BW450" i="16"/>
  <c r="BX450" i="16"/>
  <c r="BY450" i="16"/>
  <c r="BZ450" i="16"/>
  <c r="CA450" i="16"/>
  <c r="BS451" i="16"/>
  <c r="BT451" i="16"/>
  <c r="BU451" i="16"/>
  <c r="BV451" i="16"/>
  <c r="BW451" i="16"/>
  <c r="BX451" i="16"/>
  <c r="BY451" i="16"/>
  <c r="BZ451" i="16"/>
  <c r="CA451" i="16"/>
  <c r="BS452" i="16"/>
  <c r="BT452" i="16"/>
  <c r="BU452" i="16"/>
  <c r="BV452" i="16"/>
  <c r="BW452" i="16"/>
  <c r="BX452" i="16"/>
  <c r="BY452" i="16"/>
  <c r="BZ452" i="16"/>
  <c r="CA452" i="16"/>
  <c r="BS453" i="16"/>
  <c r="BT453" i="16"/>
  <c r="BU453" i="16"/>
  <c r="BV453" i="16"/>
  <c r="BW453" i="16"/>
  <c r="BX453" i="16"/>
  <c r="BY453" i="16"/>
  <c r="BZ453" i="16"/>
  <c r="CA453" i="16"/>
  <c r="BS454" i="16"/>
  <c r="BT454" i="16"/>
  <c r="BU454" i="16"/>
  <c r="BV454" i="16"/>
  <c r="BW454" i="16"/>
  <c r="BX454" i="16"/>
  <c r="BY454" i="16"/>
  <c r="BZ454" i="16"/>
  <c r="CA454" i="16"/>
  <c r="BS455" i="16"/>
  <c r="BT455" i="16"/>
  <c r="BU455" i="16"/>
  <c r="BV455" i="16"/>
  <c r="BW455" i="16"/>
  <c r="BX455" i="16"/>
  <c r="BY455" i="16"/>
  <c r="BZ455" i="16"/>
  <c r="CA455" i="16"/>
  <c r="BS456" i="16"/>
  <c r="BT456" i="16"/>
  <c r="BU456" i="16"/>
  <c r="BV456" i="16"/>
  <c r="BW456" i="16"/>
  <c r="BX456" i="16"/>
  <c r="BY456" i="16"/>
  <c r="BZ456" i="16"/>
  <c r="CA456" i="16"/>
  <c r="BS457" i="16"/>
  <c r="BT457" i="16"/>
  <c r="BU457" i="16"/>
  <c r="BV457" i="16"/>
  <c r="BW457" i="16"/>
  <c r="BX457" i="16"/>
  <c r="BY457" i="16"/>
  <c r="BZ457" i="16"/>
  <c r="CA457" i="16"/>
  <c r="BS458" i="16"/>
  <c r="BT458" i="16"/>
  <c r="BU458" i="16"/>
  <c r="BV458" i="16"/>
  <c r="BW458" i="16"/>
  <c r="BX458" i="16"/>
  <c r="BY458" i="16"/>
  <c r="BZ458" i="16"/>
  <c r="CA458" i="16"/>
  <c r="BS459" i="16"/>
  <c r="BT459" i="16"/>
  <c r="BU459" i="16"/>
  <c r="BV459" i="16"/>
  <c r="BW459" i="16"/>
  <c r="BX459" i="16"/>
  <c r="BY459" i="16"/>
  <c r="BZ459" i="16"/>
  <c r="CA459" i="16"/>
  <c r="BS460" i="16"/>
  <c r="BT460" i="16"/>
  <c r="BU460" i="16"/>
  <c r="BV460" i="16"/>
  <c r="BW460" i="16"/>
  <c r="BX460" i="16"/>
  <c r="BY460" i="16"/>
  <c r="BZ460" i="16"/>
  <c r="CA460" i="16"/>
  <c r="BS461" i="16"/>
  <c r="BT461" i="16"/>
  <c r="BU461" i="16"/>
  <c r="BV461" i="16"/>
  <c r="BW461" i="16"/>
  <c r="BX461" i="16"/>
  <c r="BY461" i="16"/>
  <c r="BZ461" i="16"/>
  <c r="CA461" i="16"/>
  <c r="BS462" i="16"/>
  <c r="BT462" i="16"/>
  <c r="BU462" i="16"/>
  <c r="BV462" i="16"/>
  <c r="BW462" i="16"/>
  <c r="BX462" i="16"/>
  <c r="BY462" i="16"/>
  <c r="BZ462" i="16"/>
  <c r="CA462" i="16"/>
  <c r="BS463" i="16"/>
  <c r="BT463" i="16"/>
  <c r="BU463" i="16"/>
  <c r="BV463" i="16"/>
  <c r="BW463" i="16"/>
  <c r="BX463" i="16"/>
  <c r="BY463" i="16"/>
  <c r="BZ463" i="16"/>
  <c r="CA463" i="16"/>
  <c r="BS464" i="16"/>
  <c r="BT464" i="16"/>
  <c r="BU464" i="16"/>
  <c r="BV464" i="16"/>
  <c r="BW464" i="16"/>
  <c r="BX464" i="16"/>
  <c r="BY464" i="16"/>
  <c r="BZ464" i="16"/>
  <c r="CA464" i="16"/>
  <c r="BS465" i="16"/>
  <c r="BT465" i="16"/>
  <c r="BU465" i="16"/>
  <c r="BV465" i="16"/>
  <c r="BW465" i="16"/>
  <c r="BX465" i="16"/>
  <c r="BY465" i="16"/>
  <c r="BZ465" i="16"/>
  <c r="CA465" i="16"/>
  <c r="BS466" i="16"/>
  <c r="BT466" i="16"/>
  <c r="BU466" i="16"/>
  <c r="BV466" i="16"/>
  <c r="BW466" i="16"/>
  <c r="BX466" i="16"/>
  <c r="BY466" i="16"/>
  <c r="BZ466" i="16"/>
  <c r="CA466" i="16"/>
  <c r="BS467" i="16"/>
  <c r="BT467" i="16"/>
  <c r="BU467" i="16"/>
  <c r="BV467" i="16"/>
  <c r="BW467" i="16"/>
  <c r="BX467" i="16"/>
  <c r="BY467" i="16"/>
  <c r="BZ467" i="16"/>
  <c r="CA467" i="16"/>
  <c r="BS468" i="16"/>
  <c r="BT468" i="16"/>
  <c r="BU468" i="16"/>
  <c r="BV468" i="16"/>
  <c r="BW468" i="16"/>
  <c r="BX468" i="16"/>
  <c r="BY468" i="16"/>
  <c r="BZ468" i="16"/>
  <c r="CA468" i="16"/>
  <c r="BS469" i="16"/>
  <c r="BT469" i="16"/>
  <c r="BU469" i="16"/>
  <c r="BV469" i="16"/>
  <c r="BW469" i="16"/>
  <c r="BX469" i="16"/>
  <c r="BY469" i="16"/>
  <c r="BZ469" i="16"/>
  <c r="CA469" i="16"/>
  <c r="BS470" i="16"/>
  <c r="BT470" i="16"/>
  <c r="BU470" i="16"/>
  <c r="BV470" i="16"/>
  <c r="BW470" i="16"/>
  <c r="BX470" i="16"/>
  <c r="BY470" i="16"/>
  <c r="BZ470" i="16"/>
  <c r="CA470" i="16"/>
  <c r="BS471" i="16"/>
  <c r="BT471" i="16"/>
  <c r="BU471" i="16"/>
  <c r="BV471" i="16"/>
  <c r="BW471" i="16"/>
  <c r="BX471" i="16"/>
  <c r="BY471" i="16"/>
  <c r="BZ471" i="16"/>
  <c r="CA471" i="16"/>
  <c r="BS472" i="16"/>
  <c r="BT472" i="16"/>
  <c r="BU472" i="16"/>
  <c r="BV472" i="16"/>
  <c r="BW472" i="16"/>
  <c r="BX472" i="16"/>
  <c r="BY472" i="16"/>
  <c r="BZ472" i="16"/>
  <c r="CA472" i="16"/>
  <c r="BS473" i="16"/>
  <c r="BT473" i="16"/>
  <c r="BU473" i="16"/>
  <c r="BV473" i="16"/>
  <c r="BW473" i="16"/>
  <c r="BX473" i="16"/>
  <c r="BY473" i="16"/>
  <c r="BZ473" i="16"/>
  <c r="CA473" i="16"/>
  <c r="BS474" i="16"/>
  <c r="BT474" i="16"/>
  <c r="BU474" i="16"/>
  <c r="BV474" i="16"/>
  <c r="BW474" i="16"/>
  <c r="BX474" i="16"/>
  <c r="BY474" i="16"/>
  <c r="BZ474" i="16"/>
  <c r="CA474" i="16"/>
  <c r="BS475" i="16"/>
  <c r="BT475" i="16"/>
  <c r="BU475" i="16"/>
  <c r="BV475" i="16"/>
  <c r="BW475" i="16"/>
  <c r="BX475" i="16"/>
  <c r="BY475" i="16"/>
  <c r="BZ475" i="16"/>
  <c r="CA475" i="16"/>
  <c r="BS476" i="16"/>
  <c r="BT476" i="16"/>
  <c r="BU476" i="16"/>
  <c r="BV476" i="16"/>
  <c r="BW476" i="16"/>
  <c r="BX476" i="16"/>
  <c r="BY476" i="16"/>
  <c r="BZ476" i="16"/>
  <c r="CA476" i="16"/>
  <c r="BS477" i="16"/>
  <c r="BT477" i="16"/>
  <c r="BU477" i="16"/>
  <c r="BV477" i="16"/>
  <c r="BW477" i="16"/>
  <c r="BX477" i="16"/>
  <c r="BY477" i="16"/>
  <c r="BZ477" i="16"/>
  <c r="CA477" i="16"/>
  <c r="BS478" i="16"/>
  <c r="BT478" i="16"/>
  <c r="BU478" i="16"/>
  <c r="BV478" i="16"/>
  <c r="BW478" i="16"/>
  <c r="BX478" i="16"/>
  <c r="BY478" i="16"/>
  <c r="BZ478" i="16"/>
  <c r="CA478" i="16"/>
  <c r="BS479" i="16"/>
  <c r="BT479" i="16"/>
  <c r="BU479" i="16"/>
  <c r="BV479" i="16"/>
  <c r="BW479" i="16"/>
  <c r="BX479" i="16"/>
  <c r="BY479" i="16"/>
  <c r="BZ479" i="16"/>
  <c r="CA479" i="16"/>
  <c r="BS480" i="16"/>
  <c r="BT480" i="16"/>
  <c r="BU480" i="16"/>
  <c r="BV480" i="16"/>
  <c r="BW480" i="16"/>
  <c r="BX480" i="16"/>
  <c r="BY480" i="16"/>
  <c r="BZ480" i="16"/>
  <c r="CA480" i="16"/>
  <c r="BS481" i="16"/>
  <c r="BT481" i="16"/>
  <c r="BU481" i="16"/>
  <c r="BV481" i="16"/>
  <c r="BW481" i="16"/>
  <c r="BX481" i="16"/>
  <c r="BY481" i="16"/>
  <c r="BZ481" i="16"/>
  <c r="CA481" i="16"/>
  <c r="BS482" i="16"/>
  <c r="BT482" i="16"/>
  <c r="BU482" i="16"/>
  <c r="BV482" i="16"/>
  <c r="BW482" i="16"/>
  <c r="BX482" i="16"/>
  <c r="BY482" i="16"/>
  <c r="BZ482" i="16"/>
  <c r="CA482" i="16"/>
  <c r="BS483" i="16"/>
  <c r="BT483" i="16"/>
  <c r="BU483" i="16"/>
  <c r="BV483" i="16"/>
  <c r="BW483" i="16"/>
  <c r="BX483" i="16"/>
  <c r="BY483" i="16"/>
  <c r="BZ483" i="16"/>
  <c r="CA483" i="16"/>
  <c r="BS484" i="16"/>
  <c r="BT484" i="16"/>
  <c r="BU484" i="16"/>
  <c r="BV484" i="16"/>
  <c r="BW484" i="16"/>
  <c r="BX484" i="16"/>
  <c r="BY484" i="16"/>
  <c r="BZ484" i="16"/>
  <c r="CA484" i="16"/>
  <c r="BS485" i="16"/>
  <c r="BT485" i="16"/>
  <c r="BU485" i="16"/>
  <c r="BV485" i="16"/>
  <c r="BW485" i="16"/>
  <c r="BX485" i="16"/>
  <c r="BY485" i="16"/>
  <c r="BZ485" i="16"/>
  <c r="CA485" i="16"/>
  <c r="BS486" i="16"/>
  <c r="BT486" i="16"/>
  <c r="BU486" i="16"/>
  <c r="BV486" i="16"/>
  <c r="BW486" i="16"/>
  <c r="BX486" i="16"/>
  <c r="BY486" i="16"/>
  <c r="BZ486" i="16"/>
  <c r="CA486" i="16"/>
  <c r="BS487" i="16"/>
  <c r="BT487" i="16"/>
  <c r="BU487" i="16"/>
  <c r="BV487" i="16"/>
  <c r="BW487" i="16"/>
  <c r="BX487" i="16"/>
  <c r="BY487" i="16"/>
  <c r="BZ487" i="16"/>
  <c r="CA487" i="16"/>
  <c r="BS488" i="16"/>
  <c r="BT488" i="16"/>
  <c r="BU488" i="16"/>
  <c r="BV488" i="16"/>
  <c r="BW488" i="16"/>
  <c r="BX488" i="16"/>
  <c r="BY488" i="16"/>
  <c r="BZ488" i="16"/>
  <c r="CA488" i="16"/>
  <c r="BS489" i="16"/>
  <c r="BT489" i="16"/>
  <c r="BU489" i="16"/>
  <c r="BV489" i="16"/>
  <c r="BW489" i="16"/>
  <c r="BX489" i="16"/>
  <c r="BY489" i="16"/>
  <c r="BZ489" i="16"/>
  <c r="CA489" i="16"/>
  <c r="BS490" i="16"/>
  <c r="BT490" i="16"/>
  <c r="BU490" i="16"/>
  <c r="BV490" i="16"/>
  <c r="BW490" i="16"/>
  <c r="BX490" i="16"/>
  <c r="BY490" i="16"/>
  <c r="BZ490" i="16"/>
  <c r="CA490" i="16"/>
  <c r="BS491" i="16"/>
  <c r="BT491" i="16"/>
  <c r="BU491" i="16"/>
  <c r="BV491" i="16"/>
  <c r="BW491" i="16"/>
  <c r="BX491" i="16"/>
  <c r="BY491" i="16"/>
  <c r="BZ491" i="16"/>
  <c r="CA491" i="16"/>
  <c r="BS492" i="16"/>
  <c r="BT492" i="16"/>
  <c r="BU492" i="16"/>
  <c r="BV492" i="16"/>
  <c r="BW492" i="16"/>
  <c r="BX492" i="16"/>
  <c r="BY492" i="16"/>
  <c r="BZ492" i="16"/>
  <c r="CA492" i="16"/>
  <c r="BS493" i="16"/>
  <c r="BT493" i="16"/>
  <c r="BU493" i="16"/>
  <c r="BV493" i="16"/>
  <c r="BW493" i="16"/>
  <c r="BX493" i="16"/>
  <c r="BY493" i="16"/>
  <c r="BZ493" i="16"/>
  <c r="CA493" i="16"/>
  <c r="BS494" i="16"/>
  <c r="BT494" i="16"/>
  <c r="BU494" i="16"/>
  <c r="BV494" i="16"/>
  <c r="BW494" i="16"/>
  <c r="BX494" i="16"/>
  <c r="BY494" i="16"/>
  <c r="BZ494" i="16"/>
  <c r="CA494" i="16"/>
  <c r="BS495" i="16"/>
  <c r="BT495" i="16"/>
  <c r="BU495" i="16"/>
  <c r="BV495" i="16"/>
  <c r="BW495" i="16"/>
  <c r="BX495" i="16"/>
  <c r="BY495" i="16"/>
  <c r="BZ495" i="16"/>
  <c r="CA495" i="16"/>
  <c r="BS496" i="16"/>
  <c r="BT496" i="16"/>
  <c r="BU496" i="16"/>
  <c r="BV496" i="16"/>
  <c r="BW496" i="16"/>
  <c r="BX496" i="16"/>
  <c r="BY496" i="16"/>
  <c r="BZ496" i="16"/>
  <c r="CA496" i="16"/>
  <c r="BS497" i="16"/>
  <c r="BT497" i="16"/>
  <c r="BU497" i="16"/>
  <c r="BV497" i="16"/>
  <c r="BW497" i="16"/>
  <c r="BX497" i="16"/>
  <c r="BY497" i="16"/>
  <c r="BZ497" i="16"/>
  <c r="CA497" i="16"/>
  <c r="BS498" i="16"/>
  <c r="BT498" i="16"/>
  <c r="BU498" i="16"/>
  <c r="BV498" i="16"/>
  <c r="BW498" i="16"/>
  <c r="BX498" i="16"/>
  <c r="BY498" i="16"/>
  <c r="BZ498" i="16"/>
  <c r="CA498" i="16"/>
  <c r="BS499" i="16"/>
  <c r="BT499" i="16"/>
  <c r="BU499" i="16"/>
  <c r="BV499" i="16"/>
  <c r="BW499" i="16"/>
  <c r="BX499" i="16"/>
  <c r="BY499" i="16"/>
  <c r="BZ499" i="16"/>
  <c r="CA499" i="16"/>
  <c r="BS500" i="16"/>
  <c r="BT500" i="16"/>
  <c r="BU500" i="16"/>
  <c r="BV500" i="16"/>
  <c r="BW500" i="16"/>
  <c r="BX500" i="16"/>
  <c r="BY500" i="16"/>
  <c r="BZ500" i="16"/>
  <c r="CA500" i="16"/>
  <c r="BS501" i="16"/>
  <c r="BT501" i="16"/>
  <c r="BU501" i="16"/>
  <c r="BV501" i="16"/>
  <c r="BW501" i="16"/>
  <c r="BX501" i="16"/>
  <c r="BY501" i="16"/>
  <c r="BZ501" i="16"/>
  <c r="CA501" i="16"/>
  <c r="BS502" i="16"/>
  <c r="BT502" i="16"/>
  <c r="BU502" i="16"/>
  <c r="BV502" i="16"/>
  <c r="BW502" i="16"/>
  <c r="BX502" i="16"/>
  <c r="BY502" i="16"/>
  <c r="BZ502" i="16"/>
  <c r="CA502" i="16"/>
  <c r="BS503" i="16"/>
  <c r="BT503" i="16"/>
  <c r="BU503" i="16"/>
  <c r="BV503" i="16"/>
  <c r="BW503" i="16"/>
  <c r="BX503" i="16"/>
  <c r="BY503" i="16"/>
  <c r="BZ503" i="16"/>
  <c r="CA503" i="16"/>
  <c r="BS504" i="16"/>
  <c r="BT504" i="16"/>
  <c r="BU504" i="16"/>
  <c r="BV504" i="16"/>
  <c r="BW504" i="16"/>
  <c r="BX504" i="16"/>
  <c r="BY504" i="16"/>
  <c r="BZ504" i="16"/>
  <c r="CA504" i="16"/>
  <c r="BS505" i="16"/>
  <c r="BT505" i="16"/>
  <c r="BU505" i="16"/>
  <c r="BV505" i="16"/>
  <c r="BW505" i="16"/>
  <c r="BX505" i="16"/>
  <c r="BY505" i="16"/>
  <c r="BZ505" i="16"/>
  <c r="CA505" i="16"/>
  <c r="BS506" i="16"/>
  <c r="BT506" i="16"/>
  <c r="BU506" i="16"/>
  <c r="BV506" i="16"/>
  <c r="BW506" i="16"/>
  <c r="BX506" i="16"/>
  <c r="BY506" i="16"/>
  <c r="BZ506" i="16"/>
  <c r="CA506" i="16"/>
  <c r="BS507" i="16"/>
  <c r="BT507" i="16"/>
  <c r="BU507" i="16"/>
  <c r="BV507" i="16"/>
  <c r="BW507" i="16"/>
  <c r="BX507" i="16"/>
  <c r="BY507" i="16"/>
  <c r="BZ507" i="16"/>
  <c r="CA507" i="16"/>
  <c r="BS508" i="16"/>
  <c r="BT508" i="16"/>
  <c r="BU508" i="16"/>
  <c r="BV508" i="16"/>
  <c r="BW508" i="16"/>
  <c r="BX508" i="16"/>
  <c r="BY508" i="16"/>
  <c r="BZ508" i="16"/>
  <c r="CA508" i="16"/>
  <c r="BS509" i="16"/>
  <c r="BT509" i="16"/>
  <c r="BU509" i="16"/>
  <c r="BV509" i="16"/>
  <c r="BW509" i="16"/>
  <c r="BX509" i="16"/>
  <c r="BY509" i="16"/>
  <c r="BZ509" i="16"/>
  <c r="CA509" i="16"/>
  <c r="BS510" i="16"/>
  <c r="BT510" i="16"/>
  <c r="BU510" i="16"/>
  <c r="BV510" i="16"/>
  <c r="BW510" i="16"/>
  <c r="BX510" i="16"/>
  <c r="BY510" i="16"/>
  <c r="BZ510" i="16"/>
  <c r="CA510" i="16"/>
  <c r="BS511" i="16"/>
  <c r="BT511" i="16"/>
  <c r="BU511" i="16"/>
  <c r="BV511" i="16"/>
  <c r="BW511" i="16"/>
  <c r="BX511" i="16"/>
  <c r="BY511" i="16"/>
  <c r="BZ511" i="16"/>
  <c r="CA511" i="16"/>
  <c r="BS512" i="16"/>
  <c r="BT512" i="16"/>
  <c r="BU512" i="16"/>
  <c r="BV512" i="16"/>
  <c r="BW512" i="16"/>
  <c r="BX512" i="16"/>
  <c r="BY512" i="16"/>
  <c r="BZ512" i="16"/>
  <c r="CA512" i="16"/>
  <c r="BS513" i="16"/>
  <c r="BT513" i="16"/>
  <c r="BU513" i="16"/>
  <c r="BV513" i="16"/>
  <c r="BW513" i="16"/>
  <c r="BX513" i="16"/>
  <c r="BY513" i="16"/>
  <c r="BZ513" i="16"/>
  <c r="CA513" i="16"/>
  <c r="BS514" i="16"/>
  <c r="BT514" i="16"/>
  <c r="BU514" i="16"/>
  <c r="BV514" i="16"/>
  <c r="BW514" i="16"/>
  <c r="BX514" i="16"/>
  <c r="BY514" i="16"/>
  <c r="BZ514" i="16"/>
  <c r="CA514" i="16"/>
  <c r="BS515" i="16"/>
  <c r="BT515" i="16"/>
  <c r="BU515" i="16"/>
  <c r="BV515" i="16"/>
  <c r="BW515" i="16"/>
  <c r="BX515" i="16"/>
  <c r="BY515" i="16"/>
  <c r="BZ515" i="16"/>
  <c r="CA515" i="16"/>
  <c r="BS516" i="16"/>
  <c r="BT516" i="16"/>
  <c r="BU516" i="16"/>
  <c r="BV516" i="16"/>
  <c r="BW516" i="16"/>
  <c r="BX516" i="16"/>
  <c r="BY516" i="16"/>
  <c r="BZ516" i="16"/>
  <c r="CA516" i="16"/>
  <c r="BQ60" i="16"/>
  <c r="BR60" i="16"/>
  <c r="BQ61" i="16"/>
  <c r="BR61" i="16"/>
  <c r="BQ62" i="16"/>
  <c r="BR62" i="16"/>
  <c r="BQ63" i="16"/>
  <c r="BR63" i="16"/>
  <c r="BQ66" i="16"/>
  <c r="BR66" i="16"/>
  <c r="BQ67" i="16"/>
  <c r="BR67" i="16"/>
  <c r="BQ68" i="16"/>
  <c r="BR68" i="16"/>
  <c r="BQ69" i="16"/>
  <c r="BR69" i="16"/>
  <c r="BQ70" i="16"/>
  <c r="BR70" i="16"/>
  <c r="BQ71" i="16"/>
  <c r="BR71" i="16"/>
  <c r="BQ72" i="16"/>
  <c r="BR72" i="16"/>
  <c r="BQ73" i="16"/>
  <c r="BR73" i="16"/>
  <c r="BQ74" i="16"/>
  <c r="BR74" i="16"/>
  <c r="BQ75" i="16"/>
  <c r="BR75" i="16"/>
  <c r="BQ76" i="16"/>
  <c r="BR76" i="16"/>
  <c r="BQ77" i="16"/>
  <c r="BR77" i="16"/>
  <c r="BQ78" i="16"/>
  <c r="BR78" i="16"/>
  <c r="BQ79" i="16"/>
  <c r="BR79" i="16"/>
  <c r="BR80" i="16"/>
  <c r="BQ81" i="16"/>
  <c r="BR81" i="16"/>
  <c r="BQ82" i="16"/>
  <c r="BR82" i="16"/>
  <c r="BQ84" i="16"/>
  <c r="BR84" i="16"/>
  <c r="BQ85" i="16"/>
  <c r="BR85" i="16"/>
  <c r="BQ86" i="16"/>
  <c r="BR86" i="16"/>
  <c r="BQ87" i="16"/>
  <c r="BR87" i="16"/>
  <c r="BQ88" i="16"/>
  <c r="BR88" i="16"/>
  <c r="BQ89" i="16"/>
  <c r="BR89" i="16"/>
  <c r="BQ90" i="16"/>
  <c r="BR90" i="16"/>
  <c r="BQ91" i="16"/>
  <c r="BR91" i="16"/>
  <c r="BR93" i="16"/>
  <c r="BQ94" i="16"/>
  <c r="BR94" i="16"/>
  <c r="BQ95" i="16"/>
  <c r="BR95" i="16"/>
  <c r="BQ96" i="16"/>
  <c r="BR96" i="16"/>
  <c r="BQ97" i="16"/>
  <c r="BR97" i="16"/>
  <c r="BQ98" i="16"/>
  <c r="BR98" i="16"/>
  <c r="BQ99" i="16"/>
  <c r="BR99" i="16"/>
  <c r="BQ100" i="16"/>
  <c r="BR100" i="16"/>
  <c r="BQ101" i="16"/>
  <c r="BR101" i="16"/>
  <c r="BQ102" i="16"/>
  <c r="BR102" i="16"/>
  <c r="BQ103" i="16"/>
  <c r="BR103" i="16"/>
  <c r="BQ104" i="16"/>
  <c r="BR104" i="16"/>
  <c r="BQ105" i="16"/>
  <c r="BR105" i="16"/>
  <c r="BQ107" i="16"/>
  <c r="BR107" i="16"/>
  <c r="BQ108" i="16"/>
  <c r="BR108" i="16"/>
  <c r="BQ109" i="16"/>
  <c r="BR109" i="16"/>
  <c r="BQ110" i="16"/>
  <c r="BR110" i="16"/>
  <c r="BQ111" i="16"/>
  <c r="BR111" i="16"/>
  <c r="BQ112" i="16"/>
  <c r="BR112" i="16"/>
  <c r="BQ113" i="16"/>
  <c r="BR113" i="16"/>
  <c r="BQ116" i="16"/>
  <c r="BR116" i="16"/>
  <c r="BR117" i="16"/>
  <c r="BQ118" i="16"/>
  <c r="BR118" i="16"/>
  <c r="BQ119" i="16"/>
  <c r="BR119" i="16"/>
  <c r="BQ120" i="16"/>
  <c r="BR120" i="16"/>
  <c r="BQ121" i="16"/>
  <c r="BR121" i="16"/>
  <c r="BQ122" i="16"/>
  <c r="BR122" i="16"/>
  <c r="BQ123" i="16"/>
  <c r="BR123" i="16"/>
  <c r="BQ124" i="16"/>
  <c r="BR124" i="16"/>
  <c r="BQ125" i="16"/>
  <c r="BR125" i="16"/>
  <c r="BQ126" i="16"/>
  <c r="BR126" i="16"/>
  <c r="BQ127" i="16"/>
  <c r="BR127" i="16"/>
  <c r="BQ128" i="16"/>
  <c r="BR128" i="16"/>
  <c r="BQ129" i="16"/>
  <c r="BR129" i="16"/>
  <c r="BQ130" i="16"/>
  <c r="BR130" i="16"/>
  <c r="BQ131" i="16"/>
  <c r="BR131" i="16"/>
  <c r="BQ132" i="16"/>
  <c r="BR132" i="16"/>
  <c r="BQ133" i="16"/>
  <c r="BR133" i="16"/>
  <c r="BQ134" i="16"/>
  <c r="BR134" i="16"/>
  <c r="BR135" i="16"/>
  <c r="BQ138" i="16"/>
  <c r="BR138" i="16"/>
  <c r="BQ139" i="16"/>
  <c r="BR139" i="16"/>
  <c r="BQ140" i="16"/>
  <c r="BR140" i="16"/>
  <c r="BQ141" i="16"/>
  <c r="BR141" i="16"/>
  <c r="BQ142" i="16"/>
  <c r="BR142" i="16"/>
  <c r="BQ143" i="16"/>
  <c r="BR143" i="16"/>
  <c r="BQ144" i="16"/>
  <c r="BR144" i="16"/>
  <c r="BQ145" i="16"/>
  <c r="BR145" i="16"/>
  <c r="BQ146" i="16"/>
  <c r="BR146" i="16"/>
  <c r="BQ147" i="16"/>
  <c r="BR147" i="16"/>
  <c r="BQ148" i="16"/>
  <c r="BR148" i="16"/>
  <c r="BQ150" i="16"/>
  <c r="BR150" i="16"/>
  <c r="BQ151" i="16"/>
  <c r="BR151" i="16"/>
  <c r="BQ152" i="16"/>
  <c r="BR152" i="16"/>
  <c r="BQ153" i="16"/>
  <c r="BR153" i="16"/>
  <c r="BQ154" i="16"/>
  <c r="BR154" i="16"/>
  <c r="BQ155" i="16"/>
  <c r="BR155" i="16"/>
  <c r="BQ156" i="16"/>
  <c r="BR156" i="16"/>
  <c r="BQ157" i="16"/>
  <c r="BR157" i="16"/>
  <c r="BQ158" i="16"/>
  <c r="BR158" i="16"/>
  <c r="BQ159" i="16"/>
  <c r="BR159" i="16"/>
  <c r="BQ160" i="16"/>
  <c r="BR160" i="16"/>
  <c r="BQ161" i="16"/>
  <c r="BR161" i="16"/>
  <c r="BQ162" i="16"/>
  <c r="BR162" i="16"/>
  <c r="BQ163" i="16"/>
  <c r="BR163" i="16"/>
  <c r="BQ164" i="16"/>
  <c r="BR164" i="16"/>
  <c r="BQ165" i="16"/>
  <c r="BR165" i="16"/>
  <c r="BQ166" i="16"/>
  <c r="BR166" i="16"/>
  <c r="BQ167" i="16"/>
  <c r="BR167" i="16"/>
  <c r="BQ168" i="16"/>
  <c r="BR168" i="16"/>
  <c r="BQ169" i="16"/>
  <c r="BR169" i="16"/>
  <c r="BQ170" i="16"/>
  <c r="BR170" i="16"/>
  <c r="BQ171" i="16"/>
  <c r="BR171" i="16"/>
  <c r="BQ172" i="16"/>
  <c r="BR172" i="16"/>
  <c r="BQ173" i="16"/>
  <c r="BR173" i="16"/>
  <c r="BQ174" i="16"/>
  <c r="BR174" i="16"/>
  <c r="BQ175" i="16"/>
  <c r="BR175" i="16"/>
  <c r="BQ176" i="16"/>
  <c r="BR176" i="16"/>
  <c r="BQ177" i="16"/>
  <c r="BR177" i="16"/>
  <c r="BQ178" i="16"/>
  <c r="BR178" i="16"/>
  <c r="BQ179" i="16"/>
  <c r="BR179" i="16"/>
  <c r="BQ180" i="16"/>
  <c r="BR180" i="16"/>
  <c r="BQ181" i="16"/>
  <c r="BR181" i="16"/>
  <c r="BQ182" i="16"/>
  <c r="BR182" i="16"/>
  <c r="BQ183" i="16"/>
  <c r="BR183" i="16"/>
  <c r="BQ184" i="16"/>
  <c r="BR184" i="16"/>
  <c r="BQ185" i="16"/>
  <c r="BR185" i="16"/>
  <c r="BQ186" i="16"/>
  <c r="BR186" i="16"/>
  <c r="BQ187" i="16"/>
  <c r="BR187" i="16"/>
  <c r="BQ188" i="16"/>
  <c r="BR188" i="16"/>
  <c r="BQ189" i="16"/>
  <c r="BR189" i="16"/>
  <c r="BQ191" i="16"/>
  <c r="BR191" i="16"/>
  <c r="BQ192" i="16"/>
  <c r="BR192" i="16"/>
  <c r="BQ193" i="16"/>
  <c r="BR193" i="16"/>
  <c r="BQ194" i="16"/>
  <c r="BR194" i="16"/>
  <c r="BQ195" i="16"/>
  <c r="BR195" i="16"/>
  <c r="BQ196" i="16"/>
  <c r="BR196" i="16"/>
  <c r="BQ197" i="16"/>
  <c r="BR197" i="16"/>
  <c r="BQ198" i="16"/>
  <c r="BR198" i="16"/>
  <c r="BQ199" i="16"/>
  <c r="BR199" i="16"/>
  <c r="BQ200" i="16"/>
  <c r="BR200" i="16"/>
  <c r="BQ201" i="16"/>
  <c r="BR201" i="16"/>
  <c r="BQ204" i="16"/>
  <c r="BR204" i="16"/>
  <c r="BQ205" i="16"/>
  <c r="BR205" i="16"/>
  <c r="BQ207" i="16"/>
  <c r="BR207" i="16"/>
  <c r="BQ208" i="16"/>
  <c r="BR208" i="16"/>
  <c r="BQ211" i="16"/>
  <c r="BR211" i="16"/>
  <c r="BQ212" i="16"/>
  <c r="BR212" i="16"/>
  <c r="BQ213" i="16"/>
  <c r="BR213" i="16"/>
  <c r="BQ214" i="16"/>
  <c r="BR214" i="16"/>
  <c r="BQ215" i="16"/>
  <c r="BR215" i="16"/>
  <c r="BQ216" i="16"/>
  <c r="BR216" i="16"/>
  <c r="BQ217" i="16"/>
  <c r="BR217" i="16"/>
  <c r="BQ218" i="16"/>
  <c r="BR218" i="16"/>
  <c r="BQ219" i="16"/>
  <c r="BR219" i="16"/>
  <c r="BQ220" i="16"/>
  <c r="BR220" i="16"/>
  <c r="BQ221" i="16"/>
  <c r="BR221" i="16"/>
  <c r="BQ222" i="16"/>
  <c r="BR222" i="16"/>
  <c r="BQ223" i="16"/>
  <c r="BR223" i="16"/>
  <c r="BQ225" i="16"/>
  <c r="BR225" i="16"/>
  <c r="BQ226" i="16"/>
  <c r="BR226" i="16"/>
  <c r="BQ227" i="16"/>
  <c r="BR227" i="16"/>
  <c r="BQ228" i="16"/>
  <c r="BR228" i="16"/>
  <c r="BQ229" i="16"/>
  <c r="BR229" i="16"/>
  <c r="BQ230" i="16"/>
  <c r="BR230" i="16"/>
  <c r="BQ231" i="16"/>
  <c r="BR231" i="16"/>
  <c r="BQ232" i="16"/>
  <c r="BR232" i="16"/>
  <c r="BQ233" i="16"/>
  <c r="BR233" i="16"/>
  <c r="BQ234" i="16"/>
  <c r="BR234" i="16"/>
  <c r="BQ235" i="16"/>
  <c r="BR235" i="16"/>
  <c r="BQ236" i="16"/>
  <c r="BR236" i="16"/>
  <c r="BQ237" i="16"/>
  <c r="BR237" i="16"/>
  <c r="BQ238" i="16"/>
  <c r="BR238" i="16"/>
  <c r="BQ239" i="16"/>
  <c r="BR239" i="16"/>
  <c r="BQ240" i="16"/>
  <c r="BR240" i="16"/>
  <c r="BQ241" i="16"/>
  <c r="BR241" i="16"/>
  <c r="BQ242" i="16"/>
  <c r="BR242" i="16"/>
  <c r="BQ243" i="16"/>
  <c r="BR243" i="16"/>
  <c r="BQ244" i="16"/>
  <c r="BR244" i="16"/>
  <c r="BQ245" i="16"/>
  <c r="BR245" i="16"/>
  <c r="BQ246" i="16"/>
  <c r="BR246" i="16"/>
  <c r="BQ247" i="16"/>
  <c r="BR247" i="16"/>
  <c r="BQ248" i="16"/>
  <c r="BR248" i="16"/>
  <c r="BQ249" i="16"/>
  <c r="BR249" i="16"/>
  <c r="BQ250" i="16"/>
  <c r="BR250" i="16"/>
  <c r="BQ251" i="16"/>
  <c r="BR251" i="16"/>
  <c r="BQ252" i="16"/>
  <c r="BR252" i="16"/>
  <c r="BQ253" i="16"/>
  <c r="BR253" i="16"/>
  <c r="BQ254" i="16"/>
  <c r="BR254" i="16"/>
  <c r="BQ255" i="16"/>
  <c r="BR255" i="16"/>
  <c r="BQ256" i="16"/>
  <c r="BR256" i="16"/>
  <c r="BQ257" i="16"/>
  <c r="BR257" i="16"/>
  <c r="BQ258" i="16"/>
  <c r="BR258" i="16"/>
  <c r="BQ259" i="16"/>
  <c r="BR259" i="16"/>
  <c r="BQ260" i="16"/>
  <c r="BR260" i="16"/>
  <c r="BQ261" i="16"/>
  <c r="BR261" i="16"/>
  <c r="BQ262" i="16"/>
  <c r="BR262" i="16"/>
  <c r="BQ263" i="16"/>
  <c r="BR263" i="16"/>
  <c r="BQ264" i="16"/>
  <c r="BR264" i="16"/>
  <c r="BQ265" i="16"/>
  <c r="BR265" i="16"/>
  <c r="BQ266" i="16"/>
  <c r="BR266" i="16"/>
  <c r="BQ267" i="16"/>
  <c r="BR267" i="16"/>
  <c r="BQ268" i="16"/>
  <c r="BR268" i="16"/>
  <c r="BQ269" i="16"/>
  <c r="BR269" i="16"/>
  <c r="BQ270" i="16"/>
  <c r="BR270" i="16"/>
  <c r="BQ271" i="16"/>
  <c r="BR271" i="16"/>
  <c r="BQ272" i="16"/>
  <c r="BR272" i="16"/>
  <c r="BQ273" i="16"/>
  <c r="BR273" i="16"/>
  <c r="BQ274" i="16"/>
  <c r="BR274" i="16"/>
  <c r="BQ275" i="16"/>
  <c r="BR275" i="16"/>
  <c r="BQ276" i="16"/>
  <c r="BR276" i="16"/>
  <c r="BQ277" i="16"/>
  <c r="BR277" i="16"/>
  <c r="BQ278" i="16"/>
  <c r="BR278" i="16"/>
  <c r="BQ279" i="16"/>
  <c r="BR279" i="16"/>
  <c r="BQ280" i="16"/>
  <c r="BR280" i="16"/>
  <c r="BQ281" i="16"/>
  <c r="BR281" i="16"/>
  <c r="BQ282" i="16"/>
  <c r="BR282" i="16"/>
  <c r="BQ283" i="16"/>
  <c r="BR283" i="16"/>
  <c r="BQ284" i="16"/>
  <c r="BR284" i="16"/>
  <c r="BQ285" i="16"/>
  <c r="BR285" i="16"/>
  <c r="BQ286" i="16"/>
  <c r="BR286" i="16"/>
  <c r="BQ287" i="16"/>
  <c r="BR287" i="16"/>
  <c r="BQ288" i="16"/>
  <c r="BR288" i="16"/>
  <c r="BQ289" i="16"/>
  <c r="BR289" i="16"/>
  <c r="BQ290" i="16"/>
  <c r="BR290" i="16"/>
  <c r="BQ291" i="16"/>
  <c r="BR291" i="16"/>
  <c r="BQ292" i="16"/>
  <c r="BR292" i="16"/>
  <c r="BQ293" i="16"/>
  <c r="BR293" i="16"/>
  <c r="BQ294" i="16"/>
  <c r="BR294" i="16"/>
  <c r="BQ295" i="16"/>
  <c r="BR295" i="16"/>
  <c r="BQ296" i="16"/>
  <c r="BR296" i="16"/>
  <c r="BQ297" i="16"/>
  <c r="BR297" i="16"/>
  <c r="BQ298" i="16"/>
  <c r="BR298" i="16"/>
  <c r="BQ299" i="16"/>
  <c r="BR299" i="16"/>
  <c r="BQ300" i="16"/>
  <c r="BR300" i="16"/>
  <c r="BQ301" i="16"/>
  <c r="BR301" i="16"/>
  <c r="BQ302" i="16"/>
  <c r="BR302" i="16"/>
  <c r="BQ303" i="16"/>
  <c r="BR303" i="16"/>
  <c r="BQ304" i="16"/>
  <c r="BR304" i="16"/>
  <c r="BQ305" i="16"/>
  <c r="BR305" i="16"/>
  <c r="BQ306" i="16"/>
  <c r="BR306" i="16"/>
  <c r="BQ307" i="16"/>
  <c r="BR307" i="16"/>
  <c r="BQ308" i="16"/>
  <c r="BR308" i="16"/>
  <c r="BQ309" i="16"/>
  <c r="BR309" i="16"/>
  <c r="BQ310" i="16"/>
  <c r="BR310" i="16"/>
  <c r="BQ311" i="16"/>
  <c r="BR311" i="16"/>
  <c r="BQ312" i="16"/>
  <c r="BR312" i="16"/>
  <c r="BQ313" i="16"/>
  <c r="BR313" i="16"/>
  <c r="BQ314" i="16"/>
  <c r="BR314" i="16"/>
  <c r="BQ315" i="16"/>
  <c r="BR315" i="16"/>
  <c r="BQ316" i="16"/>
  <c r="BR316" i="16"/>
  <c r="BQ317" i="16"/>
  <c r="BR317" i="16"/>
  <c r="BQ318" i="16"/>
  <c r="BR318" i="16"/>
  <c r="BQ319" i="16"/>
  <c r="BR319" i="16"/>
  <c r="BQ320" i="16"/>
  <c r="BR320" i="16"/>
  <c r="BQ321" i="16"/>
  <c r="BR321" i="16"/>
  <c r="BQ322" i="16"/>
  <c r="BR322" i="16"/>
  <c r="BQ323" i="16"/>
  <c r="BR323" i="16"/>
  <c r="BQ324" i="16"/>
  <c r="BR324" i="16"/>
  <c r="BQ325" i="16"/>
  <c r="BR325" i="16"/>
  <c r="BQ326" i="16"/>
  <c r="BR326" i="16"/>
  <c r="BQ327" i="16"/>
  <c r="BR327" i="16"/>
  <c r="BQ328" i="16"/>
  <c r="BR328" i="16"/>
  <c r="BQ329" i="16"/>
  <c r="BR329" i="16"/>
  <c r="BQ330" i="16"/>
  <c r="BR330" i="16"/>
  <c r="BQ331" i="16"/>
  <c r="BR331" i="16"/>
  <c r="BQ332" i="16"/>
  <c r="BR332" i="16"/>
  <c r="BQ333" i="16"/>
  <c r="BR333" i="16"/>
  <c r="BQ334" i="16"/>
  <c r="BR334" i="16"/>
  <c r="BQ335" i="16"/>
  <c r="BR335" i="16"/>
  <c r="BQ336" i="16"/>
  <c r="BR336" i="16"/>
  <c r="BQ337" i="16"/>
  <c r="BR337" i="16"/>
  <c r="BQ338" i="16"/>
  <c r="BR338" i="16"/>
  <c r="BQ339" i="16"/>
  <c r="BR339" i="16"/>
  <c r="BQ340" i="16"/>
  <c r="BR340" i="16"/>
  <c r="BQ341" i="16"/>
  <c r="BR341" i="16"/>
  <c r="BQ342" i="16"/>
  <c r="BR342" i="16"/>
  <c r="BQ343" i="16"/>
  <c r="BR343" i="16"/>
  <c r="BQ344" i="16"/>
  <c r="BR344" i="16"/>
  <c r="BQ345" i="16"/>
  <c r="BR345" i="16"/>
  <c r="BQ346" i="16"/>
  <c r="BR346" i="16"/>
  <c r="BQ347" i="16"/>
  <c r="BR347" i="16"/>
  <c r="BQ348" i="16"/>
  <c r="BR348" i="16"/>
  <c r="BQ349" i="16"/>
  <c r="BR349" i="16"/>
  <c r="BQ350" i="16"/>
  <c r="BR350" i="16"/>
  <c r="BQ351" i="16"/>
  <c r="BR351" i="16"/>
  <c r="BQ352" i="16"/>
  <c r="BR352" i="16"/>
  <c r="BQ353" i="16"/>
  <c r="BR353" i="16"/>
  <c r="BQ354" i="16"/>
  <c r="BR354" i="16"/>
  <c r="BQ355" i="16"/>
  <c r="BR355" i="16"/>
  <c r="BQ356" i="16"/>
  <c r="BR356" i="16"/>
  <c r="BQ357" i="16"/>
  <c r="BR357" i="16"/>
  <c r="BQ358" i="16"/>
  <c r="BR358" i="16"/>
  <c r="BQ359" i="16"/>
  <c r="BR359" i="16"/>
  <c r="BQ360" i="16"/>
  <c r="BR360" i="16"/>
  <c r="BQ361" i="16"/>
  <c r="BR361" i="16"/>
  <c r="BQ362" i="16"/>
  <c r="BR362" i="16"/>
  <c r="BQ363" i="16"/>
  <c r="BR363" i="16"/>
  <c r="BQ364" i="16"/>
  <c r="BR364" i="16"/>
  <c r="BQ365" i="16"/>
  <c r="BR365" i="16"/>
  <c r="BQ366" i="16"/>
  <c r="BR366" i="16"/>
  <c r="BQ367" i="16"/>
  <c r="BR367" i="16"/>
  <c r="BQ368" i="16"/>
  <c r="BR368" i="16"/>
  <c r="BQ369" i="16"/>
  <c r="BR369" i="16"/>
  <c r="BQ370" i="16"/>
  <c r="BR370" i="16"/>
  <c r="BQ371" i="16"/>
  <c r="BR371" i="16"/>
  <c r="BQ372" i="16"/>
  <c r="BR372" i="16"/>
  <c r="BQ373" i="16"/>
  <c r="BR373" i="16"/>
  <c r="BQ374" i="16"/>
  <c r="BR374" i="16"/>
  <c r="BQ375" i="16"/>
  <c r="BR375" i="16"/>
  <c r="BQ376" i="16"/>
  <c r="BR376" i="16"/>
  <c r="BQ377" i="16"/>
  <c r="BR377" i="16"/>
  <c r="BQ378" i="16"/>
  <c r="BR378" i="16"/>
  <c r="BQ379" i="16"/>
  <c r="BR379" i="16"/>
  <c r="BQ380" i="16"/>
  <c r="BR380" i="16"/>
  <c r="BQ381" i="16"/>
  <c r="BR381" i="16"/>
  <c r="BQ382" i="16"/>
  <c r="BR382" i="16"/>
  <c r="BQ383" i="16"/>
  <c r="BR383" i="16"/>
  <c r="BQ384" i="16"/>
  <c r="BR384" i="16"/>
  <c r="BQ385" i="16"/>
  <c r="BR385" i="16"/>
  <c r="BQ386" i="16"/>
  <c r="BR386" i="16"/>
  <c r="BQ387" i="16"/>
  <c r="BR387" i="16"/>
  <c r="BQ388" i="16"/>
  <c r="BR388" i="16"/>
  <c r="BQ389" i="16"/>
  <c r="BR389" i="16"/>
  <c r="BQ390" i="16"/>
  <c r="BR390" i="16"/>
  <c r="BQ391" i="16"/>
  <c r="BR391" i="16"/>
  <c r="BQ392" i="16"/>
  <c r="BR392" i="16"/>
  <c r="BQ393" i="16"/>
  <c r="BR393" i="16"/>
  <c r="BQ394" i="16"/>
  <c r="BR394" i="16"/>
  <c r="BQ395" i="16"/>
  <c r="BR395" i="16"/>
  <c r="BQ396" i="16"/>
  <c r="BR396" i="16"/>
  <c r="BQ397" i="16"/>
  <c r="BR397" i="16"/>
  <c r="BQ398" i="16"/>
  <c r="BR398" i="16"/>
  <c r="BQ399" i="16"/>
  <c r="BR399" i="16"/>
  <c r="BQ400" i="16"/>
  <c r="BR400" i="16"/>
  <c r="BQ401" i="16"/>
  <c r="BR401" i="16"/>
  <c r="BQ402" i="16"/>
  <c r="BR402" i="16"/>
  <c r="BQ403" i="16"/>
  <c r="BR403" i="16"/>
  <c r="BQ404" i="16"/>
  <c r="BR404" i="16"/>
  <c r="BQ405" i="16"/>
  <c r="BR405" i="16"/>
  <c r="BQ406" i="16"/>
  <c r="BR406" i="16"/>
  <c r="BQ407" i="16"/>
  <c r="BR407" i="16"/>
  <c r="BQ408" i="16"/>
  <c r="BR408" i="16"/>
  <c r="BQ409" i="16"/>
  <c r="BR409" i="16"/>
  <c r="BQ410" i="16"/>
  <c r="BR410" i="16"/>
  <c r="BQ411" i="16"/>
  <c r="BR411" i="16"/>
  <c r="BQ412" i="16"/>
  <c r="BR412" i="16"/>
  <c r="BQ413" i="16"/>
  <c r="BR413" i="16"/>
  <c r="BQ414" i="16"/>
  <c r="BR414" i="16"/>
  <c r="BQ415" i="16"/>
  <c r="BR415" i="16"/>
  <c r="BQ416" i="16"/>
  <c r="BR416" i="16"/>
  <c r="BQ417" i="16"/>
  <c r="BR417" i="16"/>
  <c r="BQ418" i="16"/>
  <c r="BR418" i="16"/>
  <c r="BQ419" i="16"/>
  <c r="BR419" i="16"/>
  <c r="BQ420" i="16"/>
  <c r="BR420" i="16"/>
  <c r="BQ421" i="16"/>
  <c r="BR421" i="16"/>
  <c r="BQ422" i="16"/>
  <c r="BR422" i="16"/>
  <c r="BQ423" i="16"/>
  <c r="BR423" i="16"/>
  <c r="BQ424" i="16"/>
  <c r="BR424" i="16"/>
  <c r="BQ425" i="16"/>
  <c r="BR425" i="16"/>
  <c r="BQ426" i="16"/>
  <c r="BR426" i="16"/>
  <c r="BQ427" i="16"/>
  <c r="BR427" i="16"/>
  <c r="BQ428" i="16"/>
  <c r="BR428" i="16"/>
  <c r="BQ429" i="16"/>
  <c r="BR429" i="16"/>
  <c r="BQ430" i="16"/>
  <c r="BR430" i="16"/>
  <c r="BQ431" i="16"/>
  <c r="BR431" i="16"/>
  <c r="BQ432" i="16"/>
  <c r="BR432" i="16"/>
  <c r="BQ433" i="16"/>
  <c r="BR433" i="16"/>
  <c r="BQ434" i="16"/>
  <c r="BR434" i="16"/>
  <c r="BQ435" i="16"/>
  <c r="BR435" i="16"/>
  <c r="BQ436" i="16"/>
  <c r="BR436" i="16"/>
  <c r="BQ437" i="16"/>
  <c r="BR437" i="16"/>
  <c r="BQ438" i="16"/>
  <c r="BR438" i="16"/>
  <c r="BQ439" i="16"/>
  <c r="BR439" i="16"/>
  <c r="BQ440" i="16"/>
  <c r="BR440" i="16"/>
  <c r="BQ441" i="16"/>
  <c r="BR441" i="16"/>
  <c r="BQ442" i="16"/>
  <c r="BR442" i="16"/>
  <c r="BQ443" i="16"/>
  <c r="BR443" i="16"/>
  <c r="BQ444" i="16"/>
  <c r="BR444" i="16"/>
  <c r="BQ445" i="16"/>
  <c r="BR445" i="16"/>
  <c r="BQ446" i="16"/>
  <c r="BR446" i="16"/>
  <c r="BQ447" i="16"/>
  <c r="BR447" i="16"/>
  <c r="BQ448" i="16"/>
  <c r="BR448" i="16"/>
  <c r="BQ449" i="16"/>
  <c r="BR449" i="16"/>
  <c r="BQ450" i="16"/>
  <c r="BR450" i="16"/>
  <c r="BQ451" i="16"/>
  <c r="BR451" i="16"/>
  <c r="BQ452" i="16"/>
  <c r="BR452" i="16"/>
  <c r="BQ453" i="16"/>
  <c r="BR453" i="16"/>
  <c r="BQ454" i="16"/>
  <c r="BR454" i="16"/>
  <c r="BQ455" i="16"/>
  <c r="BR455" i="16"/>
  <c r="BQ456" i="16"/>
  <c r="BR456" i="16"/>
  <c r="BQ457" i="16"/>
  <c r="BR457" i="16"/>
  <c r="BQ458" i="16"/>
  <c r="BR458" i="16"/>
  <c r="BQ459" i="16"/>
  <c r="BR459" i="16"/>
  <c r="BQ460" i="16"/>
  <c r="BR460" i="16"/>
  <c r="BQ461" i="16"/>
  <c r="BR461" i="16"/>
  <c r="BQ462" i="16"/>
  <c r="BR462" i="16"/>
  <c r="BQ463" i="16"/>
  <c r="BR463" i="16"/>
  <c r="BQ464" i="16"/>
  <c r="BR464" i="16"/>
  <c r="BQ465" i="16"/>
  <c r="BR465" i="16"/>
  <c r="BQ466" i="16"/>
  <c r="BR466" i="16"/>
  <c r="BQ467" i="16"/>
  <c r="BR467" i="16"/>
  <c r="BQ468" i="16"/>
  <c r="BR468" i="16"/>
  <c r="BQ469" i="16"/>
  <c r="BR469" i="16"/>
  <c r="BQ470" i="16"/>
  <c r="BR470" i="16"/>
  <c r="BQ471" i="16"/>
  <c r="BR471" i="16"/>
  <c r="BQ472" i="16"/>
  <c r="BR472" i="16"/>
  <c r="BQ473" i="16"/>
  <c r="BR473" i="16"/>
  <c r="BQ474" i="16"/>
  <c r="BR474" i="16"/>
  <c r="BQ475" i="16"/>
  <c r="BR475" i="16"/>
  <c r="BQ476" i="16"/>
  <c r="BR476" i="16"/>
  <c r="BQ477" i="16"/>
  <c r="BR477" i="16"/>
  <c r="BQ478" i="16"/>
  <c r="BR478" i="16"/>
  <c r="BQ479" i="16"/>
  <c r="BR479" i="16"/>
  <c r="BQ480" i="16"/>
  <c r="BR480" i="16"/>
  <c r="BQ481" i="16"/>
  <c r="BR481" i="16"/>
  <c r="BQ482" i="16"/>
  <c r="BR482" i="16"/>
  <c r="BQ483" i="16"/>
  <c r="BR483" i="16"/>
  <c r="BQ484" i="16"/>
  <c r="BR484" i="16"/>
  <c r="BQ485" i="16"/>
  <c r="BR485" i="16"/>
  <c r="BQ486" i="16"/>
  <c r="BR486" i="16"/>
  <c r="BQ487" i="16"/>
  <c r="BR487" i="16"/>
  <c r="BQ488" i="16"/>
  <c r="BR488" i="16"/>
  <c r="BQ489" i="16"/>
  <c r="BR489" i="16"/>
  <c r="BQ490" i="16"/>
  <c r="BR490" i="16"/>
  <c r="BQ491" i="16"/>
  <c r="BR491" i="16"/>
  <c r="BQ492" i="16"/>
  <c r="BR492" i="16"/>
  <c r="BQ493" i="16"/>
  <c r="BR493" i="16"/>
  <c r="BQ494" i="16"/>
  <c r="BR494" i="16"/>
  <c r="BQ495" i="16"/>
  <c r="BR495" i="16"/>
  <c r="BQ496" i="16"/>
  <c r="BR496" i="16"/>
  <c r="BQ497" i="16"/>
  <c r="BR497" i="16"/>
  <c r="BQ498" i="16"/>
  <c r="BR498" i="16"/>
  <c r="BQ499" i="16"/>
  <c r="BR499" i="16"/>
  <c r="BQ500" i="16"/>
  <c r="BR500" i="16"/>
  <c r="BQ501" i="16"/>
  <c r="BR501" i="16"/>
  <c r="BQ502" i="16"/>
  <c r="BR502" i="16"/>
  <c r="BQ503" i="16"/>
  <c r="BR503" i="16"/>
  <c r="BQ504" i="16"/>
  <c r="BR504" i="16"/>
  <c r="BQ505" i="16"/>
  <c r="BR505" i="16"/>
  <c r="BQ506" i="16"/>
  <c r="BR506" i="16"/>
  <c r="BQ507" i="16"/>
  <c r="BR507" i="16"/>
  <c r="BQ508" i="16"/>
  <c r="BR508" i="16"/>
  <c r="BQ509" i="16"/>
  <c r="BR509" i="16"/>
  <c r="BQ510" i="16"/>
  <c r="BR510" i="16"/>
  <c r="BQ511" i="16"/>
  <c r="BR511" i="16"/>
  <c r="BQ512" i="16"/>
  <c r="BR512" i="16"/>
  <c r="BQ513" i="16"/>
  <c r="BR513" i="16"/>
  <c r="BQ514" i="16"/>
  <c r="BR514" i="16"/>
  <c r="BQ515" i="16"/>
  <c r="BR515" i="16"/>
  <c r="BQ516" i="16"/>
  <c r="BR516" i="16"/>
  <c r="BP49" i="16"/>
  <c r="BQ49" i="16"/>
  <c r="BR49" i="16"/>
  <c r="BQ50" i="16"/>
  <c r="BR50" i="16"/>
  <c r="BQ51" i="16"/>
  <c r="BR51" i="16"/>
  <c r="BQ52" i="16"/>
  <c r="BR52" i="16"/>
  <c r="BQ53" i="16"/>
  <c r="BR53" i="16"/>
  <c r="BQ54" i="16"/>
  <c r="BR54" i="16"/>
  <c r="BQ55" i="16"/>
  <c r="BR55" i="16"/>
  <c r="BQ56" i="16"/>
  <c r="BR56" i="16"/>
  <c r="BQ57" i="16"/>
  <c r="BR57" i="16"/>
  <c r="BQ58" i="16"/>
  <c r="BR58" i="16"/>
  <c r="BQ59" i="16"/>
  <c r="BR59" i="16"/>
  <c r="A65" i="9"/>
  <c r="A6" i="9"/>
  <c r="A7" i="9"/>
  <c r="A8" i="9"/>
  <c r="A64" i="9"/>
  <c r="W139" i="8"/>
  <c r="C138" i="8"/>
  <c r="B138" i="8"/>
  <c r="W138" i="8"/>
  <c r="G138" i="8"/>
  <c r="F138" i="8"/>
  <c r="I138" i="8"/>
  <c r="H138" i="8"/>
  <c r="O138" i="8"/>
  <c r="N138" i="8"/>
  <c r="M138" i="8"/>
  <c r="L138" i="8"/>
  <c r="AE142" i="8"/>
  <c r="AD142" i="8"/>
  <c r="AB142" i="8"/>
  <c r="AA142" i="8"/>
  <c r="Y142" i="8"/>
  <c r="X142" i="8"/>
  <c r="S138" i="8"/>
  <c r="R138" i="8"/>
  <c r="J138" i="8"/>
  <c r="E138" i="8"/>
  <c r="D138" i="8"/>
  <c r="A66" i="24" l="1"/>
  <c r="I10" i="14"/>
  <c r="B6" i="16"/>
  <c r="C42" i="24"/>
  <c r="B74" i="24"/>
  <c r="Y225" i="16"/>
  <c r="Y205" i="16"/>
  <c r="Y186" i="16"/>
  <c r="Y157" i="16"/>
  <c r="Y173" i="16"/>
  <c r="Y140" i="16"/>
  <c r="Y148" i="16"/>
  <c r="Y123" i="16"/>
  <c r="Y122" i="16"/>
  <c r="Y89" i="16"/>
  <c r="Y71" i="16"/>
  <c r="Y79" i="16"/>
  <c r="Y65" i="16"/>
  <c r="Y55" i="16"/>
  <c r="Y227" i="16"/>
  <c r="Y199" i="16"/>
  <c r="Y207" i="16"/>
  <c r="Y180" i="16"/>
  <c r="Y159" i="16"/>
  <c r="Y167" i="16"/>
  <c r="Y150" i="16"/>
  <c r="Y133" i="16"/>
  <c r="Y108" i="16"/>
  <c r="Y116" i="16"/>
  <c r="Y83" i="16"/>
  <c r="Y91" i="16"/>
  <c r="Y99" i="16"/>
  <c r="Y73" i="16"/>
  <c r="Y81" i="16"/>
  <c r="Y67" i="16"/>
  <c r="Y228" i="16"/>
  <c r="Y208" i="16"/>
  <c r="Y189" i="16"/>
  <c r="Y160" i="16"/>
  <c r="Y168" i="16"/>
  <c r="Y143" i="16"/>
  <c r="Y109" i="16"/>
  <c r="Y84" i="16"/>
  <c r="Y100" i="16"/>
  <c r="Y74" i="16"/>
  <c r="Y68" i="16"/>
  <c r="Y58" i="16"/>
  <c r="Y221" i="16"/>
  <c r="Y200" i="16"/>
  <c r="Y181" i="16"/>
  <c r="Y176" i="16"/>
  <c r="Y151" i="16"/>
  <c r="Y134" i="16"/>
  <c r="Y117" i="16"/>
  <c r="Y49" i="16"/>
  <c r="X49" i="16" s="1"/>
  <c r="Y214" i="16"/>
  <c r="Y222" i="16"/>
  <c r="Y194" i="16"/>
  <c r="Y210" i="16"/>
  <c r="Y183" i="16"/>
  <c r="Y191" i="16"/>
  <c r="Y170" i="16"/>
  <c r="Y178" i="16"/>
  <c r="Y153" i="16"/>
  <c r="Y128" i="16"/>
  <c r="Y136" i="16"/>
  <c r="Y119" i="16"/>
  <c r="Y86" i="16"/>
  <c r="Y94" i="16"/>
  <c r="Y102" i="16"/>
  <c r="Y62" i="16"/>
  <c r="Y70" i="16"/>
  <c r="Y51" i="16"/>
  <c r="Y195" i="16"/>
  <c r="Y211" i="16"/>
  <c r="Y192" i="16"/>
  <c r="Y171" i="16"/>
  <c r="Y138" i="16"/>
  <c r="Y112" i="16"/>
  <c r="Y120" i="16"/>
  <c r="Y87" i="16"/>
  <c r="Y103" i="16"/>
  <c r="Y223" i="16"/>
  <c r="Y196" i="16"/>
  <c r="Y204" i="16"/>
  <c r="Y212" i="16"/>
  <c r="Y156" i="16"/>
  <c r="Y172" i="16"/>
  <c r="Y139" i="16"/>
  <c r="Y147" i="16"/>
  <c r="Y105" i="16"/>
  <c r="Y113" i="16"/>
  <c r="Y121" i="16"/>
  <c r="Y88" i="16"/>
  <c r="Y104" i="16"/>
  <c r="Y78" i="16"/>
  <c r="Y54" i="16"/>
  <c r="Y198" i="16"/>
  <c r="Y179" i="16"/>
  <c r="Y187" i="16"/>
  <c r="Y158" i="16"/>
  <c r="Y174" i="16"/>
  <c r="Y141" i="16"/>
  <c r="Y149" i="16"/>
  <c r="Y124" i="16"/>
  <c r="Y107" i="16"/>
  <c r="Y82" i="16"/>
  <c r="Y90" i="16"/>
  <c r="Y98" i="16"/>
  <c r="Y72" i="16"/>
  <c r="Y80" i="16"/>
  <c r="Y66" i="16"/>
  <c r="Y56" i="16"/>
  <c r="Y161" i="16"/>
  <c r="Y177" i="16"/>
  <c r="Y63" i="16"/>
  <c r="Y201" i="16"/>
  <c r="Y69" i="16"/>
  <c r="Y209" i="16"/>
  <c r="Y93" i="16"/>
  <c r="Y193" i="16"/>
  <c r="Y144" i="16"/>
  <c r="Y127" i="16"/>
  <c r="Y61" i="16"/>
  <c r="Y169" i="16"/>
  <c r="Y152" i="16"/>
  <c r="Y75" i="16"/>
  <c r="Y190" i="16"/>
  <c r="Y135" i="16"/>
  <c r="Y85" i="16"/>
  <c r="S74" i="24"/>
  <c r="C74" i="24"/>
  <c r="D74" i="24"/>
  <c r="L74" i="24"/>
  <c r="T74" i="24"/>
  <c r="M74" i="24"/>
  <c r="A67" i="24"/>
  <c r="AB126" i="24"/>
  <c r="X126" i="24"/>
  <c r="D126" i="24"/>
  <c r="AC126" i="24"/>
  <c r="L126" i="24"/>
  <c r="AK126" i="24"/>
  <c r="M126" i="24"/>
  <c r="AL126" i="24"/>
  <c r="N126" i="24"/>
  <c r="AM126" i="24"/>
  <c r="O126" i="24"/>
  <c r="AN126" i="24"/>
  <c r="W126" i="24"/>
  <c r="C126" i="24"/>
  <c r="F132" i="24"/>
  <c r="F74" i="24"/>
  <c r="N74" i="24"/>
  <c r="V74" i="24"/>
  <c r="AD74" i="24"/>
  <c r="AL74" i="24"/>
  <c r="AT74" i="24"/>
  <c r="A92" i="24"/>
  <c r="A132" i="24"/>
  <c r="A90" i="24"/>
  <c r="A81" i="24"/>
  <c r="A70" i="24"/>
  <c r="A87" i="24"/>
  <c r="H74" i="24"/>
  <c r="P74" i="24"/>
  <c r="X74" i="24"/>
  <c r="AF74" i="24"/>
  <c r="AN74" i="24"/>
  <c r="A65" i="24"/>
  <c r="A68" i="24"/>
  <c r="E132" i="24"/>
  <c r="O74" i="24"/>
  <c r="AE74" i="24"/>
  <c r="AU74" i="24"/>
  <c r="I74" i="24"/>
  <c r="Q74" i="24"/>
  <c r="Y74" i="24"/>
  <c r="AG74" i="24"/>
  <c r="AO74" i="24"/>
  <c r="B132" i="24"/>
  <c r="J74" i="24"/>
  <c r="R74" i="24"/>
  <c r="Z74" i="24"/>
  <c r="AH74" i="24"/>
  <c r="AP74" i="24"/>
  <c r="E74" i="24"/>
  <c r="U74" i="24"/>
  <c r="AK74" i="24"/>
  <c r="C132" i="24"/>
  <c r="G74" i="24"/>
  <c r="W74" i="24"/>
  <c r="AM74" i="24"/>
  <c r="D132" i="24"/>
  <c r="K74" i="24"/>
  <c r="AA74" i="24"/>
  <c r="AQ74" i="24"/>
  <c r="AO126" i="24"/>
  <c r="AG126" i="24"/>
  <c r="Y126" i="24"/>
  <c r="Q126" i="24"/>
  <c r="I126" i="24"/>
  <c r="AS126" i="24"/>
  <c r="AJ126" i="24"/>
  <c r="AA126" i="24"/>
  <c r="R126" i="24"/>
  <c r="H126" i="24"/>
  <c r="AR126" i="24"/>
  <c r="AI126" i="24"/>
  <c r="Z126" i="24"/>
  <c r="P126" i="24"/>
  <c r="G126" i="24"/>
  <c r="E126" i="24"/>
  <c r="S126" i="24"/>
  <c r="AD126" i="24"/>
  <c r="AP126" i="24"/>
  <c r="F126" i="24"/>
  <c r="T126" i="24"/>
  <c r="AE126" i="24"/>
  <c r="AQ126" i="24"/>
  <c r="J126" i="24"/>
  <c r="U126" i="24"/>
  <c r="AF126" i="24"/>
  <c r="AT126" i="24"/>
  <c r="K126" i="24"/>
  <c r="V126" i="24"/>
  <c r="AH126" i="24"/>
  <c r="AU126" i="24"/>
  <c r="M49" i="16"/>
  <c r="CK232" i="16"/>
  <c r="CL232" i="16"/>
  <c r="CM232" i="16"/>
  <c r="CN232" i="16"/>
  <c r="CO232" i="16"/>
  <c r="CP232" i="16"/>
  <c r="CQ232" i="16"/>
  <c r="CR232" i="16"/>
  <c r="CS232" i="16"/>
  <c r="CT232" i="16"/>
  <c r="CU232" i="16"/>
  <c r="CV232" i="16"/>
  <c r="CW232" i="16"/>
  <c r="CX232" i="16"/>
  <c r="CK233" i="16"/>
  <c r="CL233" i="16"/>
  <c r="CM233" i="16"/>
  <c r="CN233" i="16"/>
  <c r="CO233" i="16"/>
  <c r="CP233" i="16"/>
  <c r="CQ233" i="16"/>
  <c r="CR233" i="16"/>
  <c r="CS233" i="16"/>
  <c r="CT233" i="16"/>
  <c r="CU233" i="16"/>
  <c r="CV233" i="16"/>
  <c r="CW233" i="16"/>
  <c r="CX233" i="16"/>
  <c r="CK234" i="16"/>
  <c r="CL234" i="16"/>
  <c r="CM234" i="16"/>
  <c r="CN234" i="16"/>
  <c r="CO234" i="16"/>
  <c r="CP234" i="16"/>
  <c r="CQ234" i="16"/>
  <c r="CR234" i="16"/>
  <c r="CS234" i="16"/>
  <c r="CT234" i="16"/>
  <c r="CU234" i="16"/>
  <c r="CV234" i="16"/>
  <c r="CW234" i="16"/>
  <c r="CX234" i="16"/>
  <c r="CK235" i="16"/>
  <c r="CL235" i="16"/>
  <c r="CM235" i="16"/>
  <c r="CN235" i="16"/>
  <c r="CO235" i="16"/>
  <c r="CP235" i="16"/>
  <c r="CQ235" i="16"/>
  <c r="CR235" i="16"/>
  <c r="CS235" i="16"/>
  <c r="CT235" i="16"/>
  <c r="CU235" i="16"/>
  <c r="CV235" i="16"/>
  <c r="CW235" i="16"/>
  <c r="CX235" i="16"/>
  <c r="CK236" i="16"/>
  <c r="CL236" i="16"/>
  <c r="CM236" i="16"/>
  <c r="CN236" i="16"/>
  <c r="CO236" i="16"/>
  <c r="CP236" i="16"/>
  <c r="CQ236" i="16"/>
  <c r="CR236" i="16"/>
  <c r="CS236" i="16"/>
  <c r="CT236" i="16"/>
  <c r="CU236" i="16"/>
  <c r="CV236" i="16"/>
  <c r="CW236" i="16"/>
  <c r="CX236" i="16"/>
  <c r="CK237" i="16"/>
  <c r="CL237" i="16"/>
  <c r="CM237" i="16"/>
  <c r="CN237" i="16"/>
  <c r="CO237" i="16"/>
  <c r="CP237" i="16"/>
  <c r="CQ237" i="16"/>
  <c r="CR237" i="16"/>
  <c r="CS237" i="16"/>
  <c r="CT237" i="16"/>
  <c r="CU237" i="16"/>
  <c r="CV237" i="16"/>
  <c r="CW237" i="16"/>
  <c r="CX237" i="16"/>
  <c r="CK238" i="16"/>
  <c r="CL238" i="16"/>
  <c r="CM238" i="16"/>
  <c r="CN238" i="16"/>
  <c r="CO238" i="16"/>
  <c r="CP238" i="16"/>
  <c r="CQ238" i="16"/>
  <c r="CR238" i="16"/>
  <c r="CS238" i="16"/>
  <c r="CT238" i="16"/>
  <c r="CU238" i="16"/>
  <c r="CV238" i="16"/>
  <c r="CW238" i="16"/>
  <c r="CX238" i="16"/>
  <c r="CK239" i="16"/>
  <c r="CL239" i="16"/>
  <c r="CM239" i="16"/>
  <c r="CN239" i="16"/>
  <c r="CO239" i="16"/>
  <c r="CP239" i="16"/>
  <c r="CQ239" i="16"/>
  <c r="CR239" i="16"/>
  <c r="CS239" i="16"/>
  <c r="CT239" i="16"/>
  <c r="CU239" i="16"/>
  <c r="CV239" i="16"/>
  <c r="CW239" i="16"/>
  <c r="CX239" i="16"/>
  <c r="CK240" i="16"/>
  <c r="CL240" i="16"/>
  <c r="CM240" i="16"/>
  <c r="CN240" i="16"/>
  <c r="CO240" i="16"/>
  <c r="CP240" i="16"/>
  <c r="CQ240" i="16"/>
  <c r="CR240" i="16"/>
  <c r="CS240" i="16"/>
  <c r="CT240" i="16"/>
  <c r="CU240" i="16"/>
  <c r="CV240" i="16"/>
  <c r="CW240" i="16"/>
  <c r="CX240" i="16"/>
  <c r="CK241" i="16"/>
  <c r="CL241" i="16"/>
  <c r="CM241" i="16"/>
  <c r="CN241" i="16"/>
  <c r="CO241" i="16"/>
  <c r="CP241" i="16"/>
  <c r="CQ241" i="16"/>
  <c r="CR241" i="16"/>
  <c r="CS241" i="16"/>
  <c r="CT241" i="16"/>
  <c r="CU241" i="16"/>
  <c r="CV241" i="16"/>
  <c r="CW241" i="16"/>
  <c r="CX241" i="16"/>
  <c r="CK242" i="16"/>
  <c r="CL242" i="16"/>
  <c r="CM242" i="16"/>
  <c r="CN242" i="16"/>
  <c r="CO242" i="16"/>
  <c r="CP242" i="16"/>
  <c r="CQ242" i="16"/>
  <c r="CR242" i="16"/>
  <c r="CS242" i="16"/>
  <c r="CT242" i="16"/>
  <c r="CU242" i="16"/>
  <c r="CV242" i="16"/>
  <c r="CW242" i="16"/>
  <c r="CX242" i="16"/>
  <c r="CK243" i="16"/>
  <c r="CL243" i="16"/>
  <c r="CM243" i="16"/>
  <c r="CN243" i="16"/>
  <c r="CO243" i="16"/>
  <c r="CP243" i="16"/>
  <c r="CQ243" i="16"/>
  <c r="CR243" i="16"/>
  <c r="CS243" i="16"/>
  <c r="CT243" i="16"/>
  <c r="CU243" i="16"/>
  <c r="CV243" i="16"/>
  <c r="CW243" i="16"/>
  <c r="CX243" i="16"/>
  <c r="CK244" i="16"/>
  <c r="CL244" i="16"/>
  <c r="CM244" i="16"/>
  <c r="CN244" i="16"/>
  <c r="CO244" i="16"/>
  <c r="CP244" i="16"/>
  <c r="CQ244" i="16"/>
  <c r="CR244" i="16"/>
  <c r="CS244" i="16"/>
  <c r="CT244" i="16"/>
  <c r="CU244" i="16"/>
  <c r="CV244" i="16"/>
  <c r="CW244" i="16"/>
  <c r="CX244" i="16"/>
  <c r="CK245" i="16"/>
  <c r="CL245" i="16"/>
  <c r="CM245" i="16"/>
  <c r="CN245" i="16"/>
  <c r="CO245" i="16"/>
  <c r="CP245" i="16"/>
  <c r="CQ245" i="16"/>
  <c r="CR245" i="16"/>
  <c r="CS245" i="16"/>
  <c r="CT245" i="16"/>
  <c r="CU245" i="16"/>
  <c r="CV245" i="16"/>
  <c r="CW245" i="16"/>
  <c r="CX245" i="16"/>
  <c r="CK246" i="16"/>
  <c r="CL246" i="16"/>
  <c r="CM246" i="16"/>
  <c r="CN246" i="16"/>
  <c r="CO246" i="16"/>
  <c r="CP246" i="16"/>
  <c r="CQ246" i="16"/>
  <c r="CR246" i="16"/>
  <c r="CS246" i="16"/>
  <c r="CT246" i="16"/>
  <c r="CU246" i="16"/>
  <c r="CV246" i="16"/>
  <c r="CW246" i="16"/>
  <c r="CX246" i="16"/>
  <c r="CK247" i="16"/>
  <c r="CL247" i="16"/>
  <c r="CM247" i="16"/>
  <c r="CN247" i="16"/>
  <c r="CO247" i="16"/>
  <c r="CP247" i="16"/>
  <c r="CQ247" i="16"/>
  <c r="CR247" i="16"/>
  <c r="CS247" i="16"/>
  <c r="CT247" i="16"/>
  <c r="CU247" i="16"/>
  <c r="CV247" i="16"/>
  <c r="CW247" i="16"/>
  <c r="CX247" i="16"/>
  <c r="CK248" i="16"/>
  <c r="CL248" i="16"/>
  <c r="CM248" i="16"/>
  <c r="CN248" i="16"/>
  <c r="CO248" i="16"/>
  <c r="CP248" i="16"/>
  <c r="CQ248" i="16"/>
  <c r="CR248" i="16"/>
  <c r="CS248" i="16"/>
  <c r="CU248" i="16"/>
  <c r="CV248" i="16"/>
  <c r="CW248" i="16"/>
  <c r="CX248" i="16"/>
  <c r="CK249" i="16"/>
  <c r="CL249" i="16"/>
  <c r="CM249" i="16"/>
  <c r="CN249" i="16"/>
  <c r="CO249" i="16"/>
  <c r="CP249" i="16"/>
  <c r="CQ249" i="16"/>
  <c r="CR249" i="16"/>
  <c r="CS249" i="16"/>
  <c r="CT249" i="16"/>
  <c r="CU249" i="16"/>
  <c r="CV249" i="16"/>
  <c r="CW249" i="16"/>
  <c r="CX249" i="16"/>
  <c r="CK250" i="16"/>
  <c r="CL250" i="16"/>
  <c r="CM250" i="16"/>
  <c r="CN250" i="16"/>
  <c r="CO250" i="16"/>
  <c r="CP250" i="16"/>
  <c r="CQ250" i="16"/>
  <c r="CR250" i="16"/>
  <c r="CS250" i="16"/>
  <c r="CT250" i="16"/>
  <c r="CU250" i="16"/>
  <c r="CV250" i="16"/>
  <c r="CW250" i="16"/>
  <c r="CX250" i="16"/>
  <c r="CK251" i="16"/>
  <c r="CL251" i="16"/>
  <c r="CM251" i="16"/>
  <c r="CN251" i="16"/>
  <c r="CO251" i="16"/>
  <c r="CP251" i="16"/>
  <c r="CQ251" i="16"/>
  <c r="CR251" i="16"/>
  <c r="CS251" i="16"/>
  <c r="CT251" i="16"/>
  <c r="CU251" i="16"/>
  <c r="CV251" i="16"/>
  <c r="CW251" i="16"/>
  <c r="CX251" i="16"/>
  <c r="CK252" i="16"/>
  <c r="CL252" i="16"/>
  <c r="CM252" i="16"/>
  <c r="CN252" i="16"/>
  <c r="CO252" i="16"/>
  <c r="CP252" i="16"/>
  <c r="CQ252" i="16"/>
  <c r="CR252" i="16"/>
  <c r="CS252" i="16"/>
  <c r="CT252" i="16"/>
  <c r="CU252" i="16"/>
  <c r="CV252" i="16"/>
  <c r="CW252" i="16"/>
  <c r="CX252" i="16"/>
  <c r="CK253" i="16"/>
  <c r="CL253" i="16"/>
  <c r="CM253" i="16"/>
  <c r="CN253" i="16"/>
  <c r="CO253" i="16"/>
  <c r="CP253" i="16"/>
  <c r="CQ253" i="16"/>
  <c r="CR253" i="16"/>
  <c r="CS253" i="16"/>
  <c r="CT253" i="16"/>
  <c r="CU253" i="16"/>
  <c r="CV253" i="16"/>
  <c r="CW253" i="16"/>
  <c r="CX253" i="16"/>
  <c r="CK254" i="16"/>
  <c r="CL254" i="16"/>
  <c r="CM254" i="16"/>
  <c r="CN254" i="16"/>
  <c r="CO254" i="16"/>
  <c r="CP254" i="16"/>
  <c r="CQ254" i="16"/>
  <c r="CR254" i="16"/>
  <c r="CS254" i="16"/>
  <c r="CT254" i="16"/>
  <c r="CU254" i="16"/>
  <c r="CV254" i="16"/>
  <c r="CW254" i="16"/>
  <c r="CX254" i="16"/>
  <c r="CK255" i="16"/>
  <c r="CL255" i="16"/>
  <c r="CM255" i="16"/>
  <c r="CN255" i="16"/>
  <c r="CP255" i="16"/>
  <c r="CQ255" i="16"/>
  <c r="CR255" i="16"/>
  <c r="CS255" i="16"/>
  <c r="CT255" i="16"/>
  <c r="CU255" i="16"/>
  <c r="CV255" i="16"/>
  <c r="CW255" i="16"/>
  <c r="CX255" i="16"/>
  <c r="CK256" i="16"/>
  <c r="CL256" i="16"/>
  <c r="CM256" i="16"/>
  <c r="CN256" i="16"/>
  <c r="CO256" i="16"/>
  <c r="CP256" i="16"/>
  <c r="CQ256" i="16"/>
  <c r="CR256" i="16"/>
  <c r="CS256" i="16"/>
  <c r="CT256" i="16"/>
  <c r="CU256" i="16"/>
  <c r="CV256" i="16"/>
  <c r="CW256" i="16"/>
  <c r="CX256" i="16"/>
  <c r="CK257" i="16"/>
  <c r="CL257" i="16"/>
  <c r="CM257" i="16"/>
  <c r="CN257" i="16"/>
  <c r="CO257" i="16"/>
  <c r="CP257" i="16"/>
  <c r="CQ257" i="16"/>
  <c r="CR257" i="16"/>
  <c r="CS257" i="16"/>
  <c r="CT257" i="16"/>
  <c r="CU257" i="16"/>
  <c r="CV257" i="16"/>
  <c r="CW257" i="16"/>
  <c r="CX257" i="16"/>
  <c r="CL258" i="16"/>
  <c r="CM258" i="16"/>
  <c r="CN258" i="16"/>
  <c r="CO258" i="16"/>
  <c r="CP258" i="16"/>
  <c r="CQ258" i="16"/>
  <c r="CR258" i="16"/>
  <c r="CS258" i="16"/>
  <c r="CT258" i="16"/>
  <c r="CU258" i="16"/>
  <c r="CV258" i="16"/>
  <c r="CW258" i="16"/>
  <c r="CX258" i="16"/>
  <c r="CK259" i="16"/>
  <c r="CL259" i="16"/>
  <c r="CM259" i="16"/>
  <c r="CN259" i="16"/>
  <c r="CO259" i="16"/>
  <c r="CP259" i="16"/>
  <c r="CQ259" i="16"/>
  <c r="CR259" i="16"/>
  <c r="CS259" i="16"/>
  <c r="CT259" i="16"/>
  <c r="CU259" i="16"/>
  <c r="CV259" i="16"/>
  <c r="CW259" i="16"/>
  <c r="CX259" i="16"/>
  <c r="CK260" i="16"/>
  <c r="CL260" i="16"/>
  <c r="CM260" i="16"/>
  <c r="CN260" i="16"/>
  <c r="CO260" i="16"/>
  <c r="CP260" i="16"/>
  <c r="CQ260" i="16"/>
  <c r="CR260" i="16"/>
  <c r="CS260" i="16"/>
  <c r="CT260" i="16"/>
  <c r="CU260" i="16"/>
  <c r="CV260" i="16"/>
  <c r="CW260" i="16"/>
  <c r="CX260" i="16"/>
  <c r="CK261" i="16"/>
  <c r="CL261" i="16"/>
  <c r="CM261" i="16"/>
  <c r="CN261" i="16"/>
  <c r="CO261" i="16"/>
  <c r="CP261" i="16"/>
  <c r="CQ261" i="16"/>
  <c r="CR261" i="16"/>
  <c r="CS261" i="16"/>
  <c r="CT261" i="16"/>
  <c r="CU261" i="16"/>
  <c r="CV261" i="16"/>
  <c r="CW261" i="16"/>
  <c r="CX261" i="16"/>
  <c r="CK262" i="16"/>
  <c r="CL262" i="16"/>
  <c r="CM262" i="16"/>
  <c r="CN262" i="16"/>
  <c r="CO262" i="16"/>
  <c r="CP262" i="16"/>
  <c r="CQ262" i="16"/>
  <c r="CR262" i="16"/>
  <c r="CS262" i="16"/>
  <c r="CT262" i="16"/>
  <c r="CU262" i="16"/>
  <c r="CV262" i="16"/>
  <c r="CW262" i="16"/>
  <c r="CX262" i="16"/>
  <c r="CK263" i="16"/>
  <c r="CL263" i="16"/>
  <c r="CM263" i="16"/>
  <c r="CN263" i="16"/>
  <c r="CO263" i="16"/>
  <c r="CP263" i="16"/>
  <c r="CQ263" i="16"/>
  <c r="CR263" i="16"/>
  <c r="CS263" i="16"/>
  <c r="CT263" i="16"/>
  <c r="CU263" i="16"/>
  <c r="CV263" i="16"/>
  <c r="CW263" i="16"/>
  <c r="CX263" i="16"/>
  <c r="CK264" i="16"/>
  <c r="CL264" i="16"/>
  <c r="CM264" i="16"/>
  <c r="CN264" i="16"/>
  <c r="CO264" i="16"/>
  <c r="CP264" i="16"/>
  <c r="CQ264" i="16"/>
  <c r="CR264" i="16"/>
  <c r="CS264" i="16"/>
  <c r="CT264" i="16"/>
  <c r="CU264" i="16"/>
  <c r="CV264" i="16"/>
  <c r="CW264" i="16"/>
  <c r="CX264" i="16"/>
  <c r="CK265" i="16"/>
  <c r="CL265" i="16"/>
  <c r="CM265" i="16"/>
  <c r="CN265" i="16"/>
  <c r="CO265" i="16"/>
  <c r="CP265" i="16"/>
  <c r="CQ265" i="16"/>
  <c r="CR265" i="16"/>
  <c r="CS265" i="16"/>
  <c r="CT265" i="16"/>
  <c r="CU265" i="16"/>
  <c r="CV265" i="16"/>
  <c r="CW265" i="16"/>
  <c r="CX265" i="16"/>
  <c r="CK266" i="16"/>
  <c r="CL266" i="16"/>
  <c r="CM266" i="16"/>
  <c r="CN266" i="16"/>
  <c r="CO266" i="16"/>
  <c r="CP266" i="16"/>
  <c r="CQ266" i="16"/>
  <c r="CR266" i="16"/>
  <c r="CS266" i="16"/>
  <c r="CT266" i="16"/>
  <c r="CU266" i="16"/>
  <c r="CV266" i="16"/>
  <c r="CW266" i="16"/>
  <c r="CX266" i="16"/>
  <c r="CK267" i="16"/>
  <c r="CL267" i="16"/>
  <c r="CM267" i="16"/>
  <c r="CN267" i="16"/>
  <c r="CO267" i="16"/>
  <c r="CP267" i="16"/>
  <c r="CQ267" i="16"/>
  <c r="CR267" i="16"/>
  <c r="CS267" i="16"/>
  <c r="CT267" i="16"/>
  <c r="CU267" i="16"/>
  <c r="CV267" i="16"/>
  <c r="CW267" i="16"/>
  <c r="CX267" i="16"/>
  <c r="CK268" i="16"/>
  <c r="CL268" i="16"/>
  <c r="CM268" i="16"/>
  <c r="CN268" i="16"/>
  <c r="CO268" i="16"/>
  <c r="CP268" i="16"/>
  <c r="CQ268" i="16"/>
  <c r="CR268" i="16"/>
  <c r="CS268" i="16"/>
  <c r="CT268" i="16"/>
  <c r="CU268" i="16"/>
  <c r="CV268" i="16"/>
  <c r="CW268" i="16"/>
  <c r="CX268" i="16"/>
  <c r="CK269" i="16"/>
  <c r="CL269" i="16"/>
  <c r="CM269" i="16"/>
  <c r="CN269" i="16"/>
  <c r="CO269" i="16"/>
  <c r="CP269" i="16"/>
  <c r="CQ269" i="16"/>
  <c r="CR269" i="16"/>
  <c r="CS269" i="16"/>
  <c r="CT269" i="16"/>
  <c r="CU269" i="16"/>
  <c r="CV269" i="16"/>
  <c r="CW269" i="16"/>
  <c r="CX269" i="16"/>
  <c r="CK270" i="16"/>
  <c r="CL270" i="16"/>
  <c r="CM270" i="16"/>
  <c r="CN270" i="16"/>
  <c r="CO270" i="16"/>
  <c r="CP270" i="16"/>
  <c r="CQ270" i="16"/>
  <c r="CR270" i="16"/>
  <c r="CS270" i="16"/>
  <c r="CT270" i="16"/>
  <c r="CU270" i="16"/>
  <c r="CV270" i="16"/>
  <c r="CW270" i="16"/>
  <c r="CX270" i="16"/>
  <c r="CK271" i="16"/>
  <c r="CL271" i="16"/>
  <c r="CM271" i="16"/>
  <c r="CN271" i="16"/>
  <c r="CO271" i="16"/>
  <c r="CP271" i="16"/>
  <c r="CQ271" i="16"/>
  <c r="CR271" i="16"/>
  <c r="CS271" i="16"/>
  <c r="CT271" i="16"/>
  <c r="CU271" i="16"/>
  <c r="CV271" i="16"/>
  <c r="CW271" i="16"/>
  <c r="CX271" i="16"/>
  <c r="CK272" i="16"/>
  <c r="CL272" i="16"/>
  <c r="CM272" i="16"/>
  <c r="CN272" i="16"/>
  <c r="CO272" i="16"/>
  <c r="CP272" i="16"/>
  <c r="CQ272" i="16"/>
  <c r="CR272" i="16"/>
  <c r="CS272" i="16"/>
  <c r="CT272" i="16"/>
  <c r="CU272" i="16"/>
  <c r="CV272" i="16"/>
  <c r="CW272" i="16"/>
  <c r="CX272" i="16"/>
  <c r="CK273" i="16"/>
  <c r="CL273" i="16"/>
  <c r="CM273" i="16"/>
  <c r="CN273" i="16"/>
  <c r="CO273" i="16"/>
  <c r="CP273" i="16"/>
  <c r="CQ273" i="16"/>
  <c r="CR273" i="16"/>
  <c r="CS273" i="16"/>
  <c r="CT273" i="16"/>
  <c r="CU273" i="16"/>
  <c r="CV273" i="16"/>
  <c r="CW273" i="16"/>
  <c r="CX273" i="16"/>
  <c r="CK274" i="16"/>
  <c r="CL274" i="16"/>
  <c r="CM274" i="16"/>
  <c r="CN274" i="16"/>
  <c r="CO274" i="16"/>
  <c r="CP274" i="16"/>
  <c r="CQ274" i="16"/>
  <c r="CR274" i="16"/>
  <c r="CS274" i="16"/>
  <c r="CT274" i="16"/>
  <c r="CU274" i="16"/>
  <c r="CV274" i="16"/>
  <c r="CW274" i="16"/>
  <c r="CX274" i="16"/>
  <c r="CK275" i="16"/>
  <c r="CL275" i="16"/>
  <c r="CM275" i="16"/>
  <c r="CN275" i="16"/>
  <c r="CP275" i="16"/>
  <c r="CQ275" i="16"/>
  <c r="CR275" i="16"/>
  <c r="CS275" i="16"/>
  <c r="CT275" i="16"/>
  <c r="CU275" i="16"/>
  <c r="CV275" i="16"/>
  <c r="CW275" i="16"/>
  <c r="CX275" i="16"/>
  <c r="CK276" i="16"/>
  <c r="CL276" i="16"/>
  <c r="CM276" i="16"/>
  <c r="CN276" i="16"/>
  <c r="CO276" i="16"/>
  <c r="CP276" i="16"/>
  <c r="CQ276" i="16"/>
  <c r="CR276" i="16"/>
  <c r="CS276" i="16"/>
  <c r="CT276" i="16"/>
  <c r="CU276" i="16"/>
  <c r="CV276" i="16"/>
  <c r="CW276" i="16"/>
  <c r="CX276" i="16"/>
  <c r="CK277" i="16"/>
  <c r="CL277" i="16"/>
  <c r="CM277" i="16"/>
  <c r="CN277" i="16"/>
  <c r="CO277" i="16"/>
  <c r="CP277" i="16"/>
  <c r="CQ277" i="16"/>
  <c r="CR277" i="16"/>
  <c r="CS277" i="16"/>
  <c r="CT277" i="16"/>
  <c r="CU277" i="16"/>
  <c r="CV277" i="16"/>
  <c r="CW277" i="16"/>
  <c r="CX277" i="16"/>
  <c r="CK278" i="16"/>
  <c r="CL278" i="16"/>
  <c r="CM278" i="16"/>
  <c r="CN278" i="16"/>
  <c r="CO278" i="16"/>
  <c r="CP278" i="16"/>
  <c r="CQ278" i="16"/>
  <c r="CR278" i="16"/>
  <c r="CS278" i="16"/>
  <c r="CT278" i="16"/>
  <c r="CU278" i="16"/>
  <c r="CV278" i="16"/>
  <c r="CW278" i="16"/>
  <c r="CX278" i="16"/>
  <c r="CK279" i="16"/>
  <c r="CL279" i="16"/>
  <c r="CM279" i="16"/>
  <c r="CN279" i="16"/>
  <c r="CO279" i="16"/>
  <c r="CP279" i="16"/>
  <c r="CQ279" i="16"/>
  <c r="CR279" i="16"/>
  <c r="CS279" i="16"/>
  <c r="CT279" i="16"/>
  <c r="CU279" i="16"/>
  <c r="CV279" i="16"/>
  <c r="CW279" i="16"/>
  <c r="CX279" i="16"/>
  <c r="CK280" i="16"/>
  <c r="CL280" i="16"/>
  <c r="CM280" i="16"/>
  <c r="CN280" i="16"/>
  <c r="CO280" i="16"/>
  <c r="CP280" i="16"/>
  <c r="CQ280" i="16"/>
  <c r="CR280" i="16"/>
  <c r="CS280" i="16"/>
  <c r="CT280" i="16"/>
  <c r="CU280" i="16"/>
  <c r="CV280" i="16"/>
  <c r="CW280" i="16"/>
  <c r="CX280" i="16"/>
  <c r="CK281" i="16"/>
  <c r="CL281" i="16"/>
  <c r="CM281" i="16"/>
  <c r="CN281" i="16"/>
  <c r="CO281" i="16"/>
  <c r="CP281" i="16"/>
  <c r="CQ281" i="16"/>
  <c r="CR281" i="16"/>
  <c r="CS281" i="16"/>
  <c r="CT281" i="16"/>
  <c r="CU281" i="16"/>
  <c r="CV281" i="16"/>
  <c r="CW281" i="16"/>
  <c r="CX281" i="16"/>
  <c r="CK282" i="16"/>
  <c r="CL282" i="16"/>
  <c r="CM282" i="16"/>
  <c r="CN282" i="16"/>
  <c r="CO282" i="16"/>
  <c r="CP282" i="16"/>
  <c r="CQ282" i="16"/>
  <c r="CR282" i="16"/>
  <c r="CS282" i="16"/>
  <c r="CT282" i="16"/>
  <c r="CU282" i="16"/>
  <c r="CV282" i="16"/>
  <c r="CW282" i="16"/>
  <c r="CX282" i="16"/>
  <c r="CK283" i="16"/>
  <c r="CL283" i="16"/>
  <c r="CM283" i="16"/>
  <c r="CN283" i="16"/>
  <c r="CO283" i="16"/>
  <c r="CP283" i="16"/>
  <c r="CQ283" i="16"/>
  <c r="CR283" i="16"/>
  <c r="CS283" i="16"/>
  <c r="CT283" i="16"/>
  <c r="CU283" i="16"/>
  <c r="CV283" i="16"/>
  <c r="CW283" i="16"/>
  <c r="CX283" i="16"/>
  <c r="CK284" i="16"/>
  <c r="CL284" i="16"/>
  <c r="CM284" i="16"/>
  <c r="CN284" i="16"/>
  <c r="CO284" i="16"/>
  <c r="CP284" i="16"/>
  <c r="CQ284" i="16"/>
  <c r="CR284" i="16"/>
  <c r="CS284" i="16"/>
  <c r="CT284" i="16"/>
  <c r="CU284" i="16"/>
  <c r="CV284" i="16"/>
  <c r="CW284" i="16"/>
  <c r="CX284" i="16"/>
  <c r="CK285" i="16"/>
  <c r="CL285" i="16"/>
  <c r="CM285" i="16"/>
  <c r="CN285" i="16"/>
  <c r="CO285" i="16"/>
  <c r="CP285" i="16"/>
  <c r="CQ285" i="16"/>
  <c r="CR285" i="16"/>
  <c r="CS285" i="16"/>
  <c r="CT285" i="16"/>
  <c r="CU285" i="16"/>
  <c r="CV285" i="16"/>
  <c r="CW285" i="16"/>
  <c r="CX285" i="16"/>
  <c r="CK286" i="16"/>
  <c r="CL286" i="16"/>
  <c r="CM286" i="16"/>
  <c r="CN286" i="16"/>
  <c r="CO286" i="16"/>
  <c r="CP286" i="16"/>
  <c r="CQ286" i="16"/>
  <c r="CR286" i="16"/>
  <c r="CS286" i="16"/>
  <c r="CT286" i="16"/>
  <c r="CU286" i="16"/>
  <c r="CV286" i="16"/>
  <c r="CW286" i="16"/>
  <c r="CX286" i="16"/>
  <c r="CK287" i="16"/>
  <c r="CL287" i="16"/>
  <c r="CM287" i="16"/>
  <c r="CN287" i="16"/>
  <c r="CO287" i="16"/>
  <c r="CP287" i="16"/>
  <c r="CQ287" i="16"/>
  <c r="CR287" i="16"/>
  <c r="CS287" i="16"/>
  <c r="CT287" i="16"/>
  <c r="CU287" i="16"/>
  <c r="CV287" i="16"/>
  <c r="CW287" i="16"/>
  <c r="CX287" i="16"/>
  <c r="CK288" i="16"/>
  <c r="CL288" i="16"/>
  <c r="CM288" i="16"/>
  <c r="CN288" i="16"/>
  <c r="CO288" i="16"/>
  <c r="CP288" i="16"/>
  <c r="CQ288" i="16"/>
  <c r="CR288" i="16"/>
  <c r="CS288" i="16"/>
  <c r="CT288" i="16"/>
  <c r="CU288" i="16"/>
  <c r="CV288" i="16"/>
  <c r="CW288" i="16"/>
  <c r="CX288" i="16"/>
  <c r="CK289" i="16"/>
  <c r="CL289" i="16"/>
  <c r="CM289" i="16"/>
  <c r="CN289" i="16"/>
  <c r="CO289" i="16"/>
  <c r="CP289" i="16"/>
  <c r="CQ289" i="16"/>
  <c r="CR289" i="16"/>
  <c r="CS289" i="16"/>
  <c r="CT289" i="16"/>
  <c r="CU289" i="16"/>
  <c r="CV289" i="16"/>
  <c r="CW289" i="16"/>
  <c r="CX289" i="16"/>
  <c r="CK290" i="16"/>
  <c r="CL290" i="16"/>
  <c r="CM290" i="16"/>
  <c r="CN290" i="16"/>
  <c r="CO290" i="16"/>
  <c r="CP290" i="16"/>
  <c r="CQ290" i="16"/>
  <c r="CR290" i="16"/>
  <c r="CS290" i="16"/>
  <c r="CT290" i="16"/>
  <c r="CU290" i="16"/>
  <c r="CV290" i="16"/>
  <c r="CW290" i="16"/>
  <c r="CX290" i="16"/>
  <c r="CK291" i="16"/>
  <c r="CL291" i="16"/>
  <c r="CM291" i="16"/>
  <c r="CN291" i="16"/>
  <c r="CO291" i="16"/>
  <c r="CP291" i="16"/>
  <c r="CQ291" i="16"/>
  <c r="CR291" i="16"/>
  <c r="CS291" i="16"/>
  <c r="CT291" i="16"/>
  <c r="CU291" i="16"/>
  <c r="CV291" i="16"/>
  <c r="CW291" i="16"/>
  <c r="CX291" i="16"/>
  <c r="CK292" i="16"/>
  <c r="CL292" i="16"/>
  <c r="CM292" i="16"/>
  <c r="CN292" i="16"/>
  <c r="CO292" i="16"/>
  <c r="CP292" i="16"/>
  <c r="CQ292" i="16"/>
  <c r="CR292" i="16"/>
  <c r="CS292" i="16"/>
  <c r="CT292" i="16"/>
  <c r="CU292" i="16"/>
  <c r="CV292" i="16"/>
  <c r="CW292" i="16"/>
  <c r="CX292" i="16"/>
  <c r="CK293" i="16"/>
  <c r="CL293" i="16"/>
  <c r="CM293" i="16"/>
  <c r="CN293" i="16"/>
  <c r="CO293" i="16"/>
  <c r="CP293" i="16"/>
  <c r="CQ293" i="16"/>
  <c r="CR293" i="16"/>
  <c r="CS293" i="16"/>
  <c r="CT293" i="16"/>
  <c r="CU293" i="16"/>
  <c r="CV293" i="16"/>
  <c r="CW293" i="16"/>
  <c r="CX293" i="16"/>
  <c r="CK294" i="16"/>
  <c r="CL294" i="16"/>
  <c r="CM294" i="16"/>
  <c r="CN294" i="16"/>
  <c r="CO294" i="16"/>
  <c r="CP294" i="16"/>
  <c r="CQ294" i="16"/>
  <c r="CR294" i="16"/>
  <c r="CS294" i="16"/>
  <c r="CT294" i="16"/>
  <c r="CU294" i="16"/>
  <c r="CV294" i="16"/>
  <c r="CW294" i="16"/>
  <c r="CX294" i="16"/>
  <c r="CK295" i="16"/>
  <c r="CL295" i="16"/>
  <c r="CM295" i="16"/>
  <c r="CN295" i="16"/>
  <c r="CP295" i="16"/>
  <c r="CQ295" i="16"/>
  <c r="CR295" i="16"/>
  <c r="CS295" i="16"/>
  <c r="CT295" i="16"/>
  <c r="CU295" i="16"/>
  <c r="CV295" i="16"/>
  <c r="CW295" i="16"/>
  <c r="CX295" i="16"/>
  <c r="CK296" i="16"/>
  <c r="CL296" i="16"/>
  <c r="CM296" i="16"/>
  <c r="CN296" i="16"/>
  <c r="CO296" i="16"/>
  <c r="CP296" i="16"/>
  <c r="CQ296" i="16"/>
  <c r="CR296" i="16"/>
  <c r="CS296" i="16"/>
  <c r="CT296" i="16"/>
  <c r="CU296" i="16"/>
  <c r="CV296" i="16"/>
  <c r="CW296" i="16"/>
  <c r="CX296" i="16"/>
  <c r="CK297" i="16"/>
  <c r="CL297" i="16"/>
  <c r="CM297" i="16"/>
  <c r="CN297" i="16"/>
  <c r="CO297" i="16"/>
  <c r="CP297" i="16"/>
  <c r="CQ297" i="16"/>
  <c r="CR297" i="16"/>
  <c r="CS297" i="16"/>
  <c r="CT297" i="16"/>
  <c r="CU297" i="16"/>
  <c r="CV297" i="16"/>
  <c r="CW297" i="16"/>
  <c r="CX297" i="16"/>
  <c r="CK298" i="16"/>
  <c r="CL298" i="16"/>
  <c r="CM298" i="16"/>
  <c r="CN298" i="16"/>
  <c r="CO298" i="16"/>
  <c r="CP298" i="16"/>
  <c r="CQ298" i="16"/>
  <c r="CR298" i="16"/>
  <c r="CS298" i="16"/>
  <c r="CT298" i="16"/>
  <c r="CU298" i="16"/>
  <c r="CV298" i="16"/>
  <c r="CW298" i="16"/>
  <c r="CX298" i="16"/>
  <c r="CK299" i="16"/>
  <c r="CL299" i="16"/>
  <c r="CM299" i="16"/>
  <c r="CN299" i="16"/>
  <c r="CO299" i="16"/>
  <c r="CP299" i="16"/>
  <c r="CQ299" i="16"/>
  <c r="CR299" i="16"/>
  <c r="CS299" i="16"/>
  <c r="CT299" i="16"/>
  <c r="CU299" i="16"/>
  <c r="CV299" i="16"/>
  <c r="CW299" i="16"/>
  <c r="CX299" i="16"/>
  <c r="CK300" i="16"/>
  <c r="CL300" i="16"/>
  <c r="CM300" i="16"/>
  <c r="CN300" i="16"/>
  <c r="CO300" i="16"/>
  <c r="CP300" i="16"/>
  <c r="CQ300" i="16"/>
  <c r="CR300" i="16"/>
  <c r="CS300" i="16"/>
  <c r="CT300" i="16"/>
  <c r="CU300" i="16"/>
  <c r="CV300" i="16"/>
  <c r="CW300" i="16"/>
  <c r="CX300" i="16"/>
  <c r="CK301" i="16"/>
  <c r="CL301" i="16"/>
  <c r="CM301" i="16"/>
  <c r="CN301" i="16"/>
  <c r="CO301" i="16"/>
  <c r="CP301" i="16"/>
  <c r="CQ301" i="16"/>
  <c r="CR301" i="16"/>
  <c r="CS301" i="16"/>
  <c r="CT301" i="16"/>
  <c r="CU301" i="16"/>
  <c r="CV301" i="16"/>
  <c r="CW301" i="16"/>
  <c r="CX301" i="16"/>
  <c r="CK302" i="16"/>
  <c r="CL302" i="16"/>
  <c r="CM302" i="16"/>
  <c r="CN302" i="16"/>
  <c r="CO302" i="16"/>
  <c r="CP302" i="16"/>
  <c r="CQ302" i="16"/>
  <c r="CR302" i="16"/>
  <c r="CS302" i="16"/>
  <c r="CT302" i="16"/>
  <c r="CU302" i="16"/>
  <c r="CV302" i="16"/>
  <c r="CW302" i="16"/>
  <c r="CX302" i="16"/>
  <c r="CK303" i="16"/>
  <c r="CL303" i="16"/>
  <c r="CM303" i="16"/>
  <c r="CN303" i="16"/>
  <c r="CO303" i="16"/>
  <c r="CP303" i="16"/>
  <c r="CQ303" i="16"/>
  <c r="CR303" i="16"/>
  <c r="CS303" i="16"/>
  <c r="CT303" i="16"/>
  <c r="CU303" i="16"/>
  <c r="CV303" i="16"/>
  <c r="CW303" i="16"/>
  <c r="CX303" i="16"/>
  <c r="CK304" i="16"/>
  <c r="CL304" i="16"/>
  <c r="CM304" i="16"/>
  <c r="CN304" i="16"/>
  <c r="CO304" i="16"/>
  <c r="CP304" i="16"/>
  <c r="CQ304" i="16"/>
  <c r="CR304" i="16"/>
  <c r="CS304" i="16"/>
  <c r="CT304" i="16"/>
  <c r="CU304" i="16"/>
  <c r="CV304" i="16"/>
  <c r="CW304" i="16"/>
  <c r="CX304" i="16"/>
  <c r="CK305" i="16"/>
  <c r="CL305" i="16"/>
  <c r="CM305" i="16"/>
  <c r="CN305" i="16"/>
  <c r="CO305" i="16"/>
  <c r="CP305" i="16"/>
  <c r="CQ305" i="16"/>
  <c r="CR305" i="16"/>
  <c r="CS305" i="16"/>
  <c r="CT305" i="16"/>
  <c r="CU305" i="16"/>
  <c r="CV305" i="16"/>
  <c r="CW305" i="16"/>
  <c r="CX305" i="16"/>
  <c r="CK306" i="16"/>
  <c r="CL306" i="16"/>
  <c r="CM306" i="16"/>
  <c r="CN306" i="16"/>
  <c r="CO306" i="16"/>
  <c r="CP306" i="16"/>
  <c r="CQ306" i="16"/>
  <c r="CR306" i="16"/>
  <c r="CS306" i="16"/>
  <c r="CT306" i="16"/>
  <c r="CU306" i="16"/>
  <c r="CV306" i="16"/>
  <c r="CW306" i="16"/>
  <c r="CX306" i="16"/>
  <c r="CK307" i="16"/>
  <c r="CL307" i="16"/>
  <c r="CM307" i="16"/>
  <c r="CN307" i="16"/>
  <c r="CO307" i="16"/>
  <c r="CP307" i="16"/>
  <c r="CQ307" i="16"/>
  <c r="CR307" i="16"/>
  <c r="CS307" i="16"/>
  <c r="CT307" i="16"/>
  <c r="CU307" i="16"/>
  <c r="CV307" i="16"/>
  <c r="CW307" i="16"/>
  <c r="CX307" i="16"/>
  <c r="CK308" i="16"/>
  <c r="CL308" i="16"/>
  <c r="CM308" i="16"/>
  <c r="CN308" i="16"/>
  <c r="CO308" i="16"/>
  <c r="CP308" i="16"/>
  <c r="CQ308" i="16"/>
  <c r="CR308" i="16"/>
  <c r="CS308" i="16"/>
  <c r="CT308" i="16"/>
  <c r="CU308" i="16"/>
  <c r="CV308" i="16"/>
  <c r="CW308" i="16"/>
  <c r="CX308" i="16"/>
  <c r="CK309" i="16"/>
  <c r="CL309" i="16"/>
  <c r="CM309" i="16"/>
  <c r="CN309" i="16"/>
  <c r="CO309" i="16"/>
  <c r="CP309" i="16"/>
  <c r="CQ309" i="16"/>
  <c r="CR309" i="16"/>
  <c r="CS309" i="16"/>
  <c r="CT309" i="16"/>
  <c r="CU309" i="16"/>
  <c r="CV309" i="16"/>
  <c r="CW309" i="16"/>
  <c r="CX309" i="16"/>
  <c r="CK310" i="16"/>
  <c r="CL310" i="16"/>
  <c r="CM310" i="16"/>
  <c r="CN310" i="16"/>
  <c r="CO310" i="16"/>
  <c r="CP310" i="16"/>
  <c r="CQ310" i="16"/>
  <c r="CR310" i="16"/>
  <c r="CS310" i="16"/>
  <c r="CT310" i="16"/>
  <c r="CU310" i="16"/>
  <c r="CV310" i="16"/>
  <c r="CW310" i="16"/>
  <c r="CX310" i="16"/>
  <c r="CK311" i="16"/>
  <c r="CL311" i="16"/>
  <c r="CM311" i="16"/>
  <c r="CN311" i="16"/>
  <c r="CO311" i="16"/>
  <c r="CP311" i="16"/>
  <c r="CQ311" i="16"/>
  <c r="CR311" i="16"/>
  <c r="CS311" i="16"/>
  <c r="CT311" i="16"/>
  <c r="CU311" i="16"/>
  <c r="CV311" i="16"/>
  <c r="CW311" i="16"/>
  <c r="CX311" i="16"/>
  <c r="CK312" i="16"/>
  <c r="CL312" i="16"/>
  <c r="CM312" i="16"/>
  <c r="CN312" i="16"/>
  <c r="CO312" i="16"/>
  <c r="CP312" i="16"/>
  <c r="CQ312" i="16"/>
  <c r="CR312" i="16"/>
  <c r="CS312" i="16"/>
  <c r="CT312" i="16"/>
  <c r="CU312" i="16"/>
  <c r="CV312" i="16"/>
  <c r="CW312" i="16"/>
  <c r="CX312" i="16"/>
  <c r="CK313" i="16"/>
  <c r="CL313" i="16"/>
  <c r="CM313" i="16"/>
  <c r="CN313" i="16"/>
  <c r="CO313" i="16"/>
  <c r="CP313" i="16"/>
  <c r="CQ313" i="16"/>
  <c r="CR313" i="16"/>
  <c r="CS313" i="16"/>
  <c r="CT313" i="16"/>
  <c r="CU313" i="16"/>
  <c r="CV313" i="16"/>
  <c r="CW313" i="16"/>
  <c r="CX313" i="16"/>
  <c r="CK314" i="16"/>
  <c r="CL314" i="16"/>
  <c r="CM314" i="16"/>
  <c r="CN314" i="16"/>
  <c r="CO314" i="16"/>
  <c r="CP314" i="16"/>
  <c r="CQ314" i="16"/>
  <c r="CR314" i="16"/>
  <c r="CS314" i="16"/>
  <c r="CT314" i="16"/>
  <c r="CU314" i="16"/>
  <c r="CV314" i="16"/>
  <c r="CW314" i="16"/>
  <c r="CX314" i="16"/>
  <c r="CK315" i="16"/>
  <c r="CL315" i="16"/>
  <c r="CM315" i="16"/>
  <c r="CN315" i="16"/>
  <c r="CO315" i="16"/>
  <c r="CP315" i="16"/>
  <c r="CQ315" i="16"/>
  <c r="CR315" i="16"/>
  <c r="CS315" i="16"/>
  <c r="CT315" i="16"/>
  <c r="CU315" i="16"/>
  <c r="CV315" i="16"/>
  <c r="CW315" i="16"/>
  <c r="CX315" i="16"/>
  <c r="CK316" i="16"/>
  <c r="CL316" i="16"/>
  <c r="CM316" i="16"/>
  <c r="CN316" i="16"/>
  <c r="CO316" i="16"/>
  <c r="CP316" i="16"/>
  <c r="CQ316" i="16"/>
  <c r="CR316" i="16"/>
  <c r="CS316" i="16"/>
  <c r="CT316" i="16"/>
  <c r="CU316" i="16"/>
  <c r="CV316" i="16"/>
  <c r="CW316" i="16"/>
  <c r="CX316" i="16"/>
  <c r="CK317" i="16"/>
  <c r="CL317" i="16"/>
  <c r="CM317" i="16"/>
  <c r="CN317" i="16"/>
  <c r="CO317" i="16"/>
  <c r="CP317" i="16"/>
  <c r="CQ317" i="16"/>
  <c r="CR317" i="16"/>
  <c r="CS317" i="16"/>
  <c r="CT317" i="16"/>
  <c r="CU317" i="16"/>
  <c r="CV317" i="16"/>
  <c r="CW317" i="16"/>
  <c r="CX317" i="16"/>
  <c r="CK318" i="16"/>
  <c r="CL318" i="16"/>
  <c r="CM318" i="16"/>
  <c r="CN318" i="16"/>
  <c r="CO318" i="16"/>
  <c r="CP318" i="16"/>
  <c r="CQ318" i="16"/>
  <c r="CR318" i="16"/>
  <c r="CS318" i="16"/>
  <c r="CT318" i="16"/>
  <c r="CU318" i="16"/>
  <c r="CV318" i="16"/>
  <c r="CW318" i="16"/>
  <c r="CX318" i="16"/>
  <c r="CK319" i="16"/>
  <c r="CL319" i="16"/>
  <c r="CM319" i="16"/>
  <c r="CN319" i="16"/>
  <c r="CO319" i="16"/>
  <c r="CP319" i="16"/>
  <c r="CQ319" i="16"/>
  <c r="CR319" i="16"/>
  <c r="CS319" i="16"/>
  <c r="CT319" i="16"/>
  <c r="CU319" i="16"/>
  <c r="CV319" i="16"/>
  <c r="CW319" i="16"/>
  <c r="CX319" i="16"/>
  <c r="CK320" i="16"/>
  <c r="CL320" i="16"/>
  <c r="CM320" i="16"/>
  <c r="CN320" i="16"/>
  <c r="CO320" i="16"/>
  <c r="CP320" i="16"/>
  <c r="CQ320" i="16"/>
  <c r="CR320" i="16"/>
  <c r="CS320" i="16"/>
  <c r="CT320" i="16"/>
  <c r="CU320" i="16"/>
  <c r="CV320" i="16"/>
  <c r="CW320" i="16"/>
  <c r="CX320" i="16"/>
  <c r="CK321" i="16"/>
  <c r="CL321" i="16"/>
  <c r="CM321" i="16"/>
  <c r="CN321" i="16"/>
  <c r="CO321" i="16"/>
  <c r="CP321" i="16"/>
  <c r="CQ321" i="16"/>
  <c r="CR321" i="16"/>
  <c r="CS321" i="16"/>
  <c r="CT321" i="16"/>
  <c r="CU321" i="16"/>
  <c r="CV321" i="16"/>
  <c r="CW321" i="16"/>
  <c r="CX321" i="16"/>
  <c r="CK322" i="16"/>
  <c r="CL322" i="16"/>
  <c r="CM322" i="16"/>
  <c r="CN322" i="16"/>
  <c r="CO322" i="16"/>
  <c r="CP322" i="16"/>
  <c r="CQ322" i="16"/>
  <c r="CR322" i="16"/>
  <c r="CS322" i="16"/>
  <c r="CT322" i="16"/>
  <c r="CU322" i="16"/>
  <c r="CV322" i="16"/>
  <c r="CW322" i="16"/>
  <c r="CX322" i="16"/>
  <c r="CK323" i="16"/>
  <c r="CL323" i="16"/>
  <c r="CM323" i="16"/>
  <c r="CN323" i="16"/>
  <c r="CO323" i="16"/>
  <c r="CP323" i="16"/>
  <c r="CQ323" i="16"/>
  <c r="CR323" i="16"/>
  <c r="CS323" i="16"/>
  <c r="CT323" i="16"/>
  <c r="CU323" i="16"/>
  <c r="CV323" i="16"/>
  <c r="CW323" i="16"/>
  <c r="CX323" i="16"/>
  <c r="CK324" i="16"/>
  <c r="CL324" i="16"/>
  <c r="CM324" i="16"/>
  <c r="CN324" i="16"/>
  <c r="CO324" i="16"/>
  <c r="CP324" i="16"/>
  <c r="CQ324" i="16"/>
  <c r="CR324" i="16"/>
  <c r="CS324" i="16"/>
  <c r="CT324" i="16"/>
  <c r="CU324" i="16"/>
  <c r="CV324" i="16"/>
  <c r="CW324" i="16"/>
  <c r="CX324" i="16"/>
  <c r="CK325" i="16"/>
  <c r="CL325" i="16"/>
  <c r="CM325" i="16"/>
  <c r="CN325" i="16"/>
  <c r="CO325" i="16"/>
  <c r="CP325" i="16"/>
  <c r="CQ325" i="16"/>
  <c r="CR325" i="16"/>
  <c r="CS325" i="16"/>
  <c r="CT325" i="16"/>
  <c r="CU325" i="16"/>
  <c r="CV325" i="16"/>
  <c r="CW325" i="16"/>
  <c r="CX325" i="16"/>
  <c r="CK326" i="16"/>
  <c r="CL326" i="16"/>
  <c r="CM326" i="16"/>
  <c r="CN326" i="16"/>
  <c r="CO326" i="16"/>
  <c r="CP326" i="16"/>
  <c r="CQ326" i="16"/>
  <c r="CR326" i="16"/>
  <c r="CS326" i="16"/>
  <c r="CT326" i="16"/>
  <c r="CU326" i="16"/>
  <c r="CV326" i="16"/>
  <c r="CW326" i="16"/>
  <c r="CX326" i="16"/>
  <c r="CK327" i="16"/>
  <c r="CL327" i="16"/>
  <c r="CM327" i="16"/>
  <c r="CN327" i="16"/>
  <c r="CO327" i="16"/>
  <c r="CP327" i="16"/>
  <c r="CQ327" i="16"/>
  <c r="CR327" i="16"/>
  <c r="CS327" i="16"/>
  <c r="CT327" i="16"/>
  <c r="CU327" i="16"/>
  <c r="CV327" i="16"/>
  <c r="CW327" i="16"/>
  <c r="CX327" i="16"/>
  <c r="CK328" i="16"/>
  <c r="CL328" i="16"/>
  <c r="CM328" i="16"/>
  <c r="CN328" i="16"/>
  <c r="CO328" i="16"/>
  <c r="CP328" i="16"/>
  <c r="CQ328" i="16"/>
  <c r="CR328" i="16"/>
  <c r="CS328" i="16"/>
  <c r="CT328" i="16"/>
  <c r="CU328" i="16"/>
  <c r="CV328" i="16"/>
  <c r="CW328" i="16"/>
  <c r="CX328" i="16"/>
  <c r="CK329" i="16"/>
  <c r="CL329" i="16"/>
  <c r="CM329" i="16"/>
  <c r="CN329" i="16"/>
  <c r="CO329" i="16"/>
  <c r="CP329" i="16"/>
  <c r="CQ329" i="16"/>
  <c r="CR329" i="16"/>
  <c r="CS329" i="16"/>
  <c r="CT329" i="16"/>
  <c r="CU329" i="16"/>
  <c r="CV329" i="16"/>
  <c r="CW329" i="16"/>
  <c r="CX329" i="16"/>
  <c r="CK330" i="16"/>
  <c r="CL330" i="16"/>
  <c r="CM330" i="16"/>
  <c r="CN330" i="16"/>
  <c r="CO330" i="16"/>
  <c r="CP330" i="16"/>
  <c r="CQ330" i="16"/>
  <c r="CR330" i="16"/>
  <c r="CS330" i="16"/>
  <c r="CT330" i="16"/>
  <c r="CU330" i="16"/>
  <c r="CV330" i="16"/>
  <c r="CW330" i="16"/>
  <c r="CX330" i="16"/>
  <c r="CK331" i="16"/>
  <c r="CL331" i="16"/>
  <c r="CM331" i="16"/>
  <c r="CN331" i="16"/>
  <c r="CO331" i="16"/>
  <c r="CP331" i="16"/>
  <c r="CQ331" i="16"/>
  <c r="CR331" i="16"/>
  <c r="CS331" i="16"/>
  <c r="CT331" i="16"/>
  <c r="CU331" i="16"/>
  <c r="CV331" i="16"/>
  <c r="CW331" i="16"/>
  <c r="CX331" i="16"/>
  <c r="CK332" i="16"/>
  <c r="CL332" i="16"/>
  <c r="CM332" i="16"/>
  <c r="CN332" i="16"/>
  <c r="CO332" i="16"/>
  <c r="CP332" i="16"/>
  <c r="CQ332" i="16"/>
  <c r="CR332" i="16"/>
  <c r="CS332" i="16"/>
  <c r="CT332" i="16"/>
  <c r="CU332" i="16"/>
  <c r="CV332" i="16"/>
  <c r="CW332" i="16"/>
  <c r="CX332" i="16"/>
  <c r="CK333" i="16"/>
  <c r="CL333" i="16"/>
  <c r="CM333" i="16"/>
  <c r="CN333" i="16"/>
  <c r="CO333" i="16"/>
  <c r="CP333" i="16"/>
  <c r="CQ333" i="16"/>
  <c r="CR333" i="16"/>
  <c r="CS333" i="16"/>
  <c r="CT333" i="16"/>
  <c r="CU333" i="16"/>
  <c r="CV333" i="16"/>
  <c r="CW333" i="16"/>
  <c r="CX333" i="16"/>
  <c r="CK334" i="16"/>
  <c r="CL334" i="16"/>
  <c r="CM334" i="16"/>
  <c r="CN334" i="16"/>
  <c r="CO334" i="16"/>
  <c r="CP334" i="16"/>
  <c r="CQ334" i="16"/>
  <c r="CR334" i="16"/>
  <c r="CS334" i="16"/>
  <c r="CT334" i="16"/>
  <c r="CU334" i="16"/>
  <c r="CV334" i="16"/>
  <c r="CW334" i="16"/>
  <c r="CX334" i="16"/>
  <c r="CK335" i="16"/>
  <c r="CL335" i="16"/>
  <c r="CM335" i="16"/>
  <c r="CN335" i="16"/>
  <c r="CO335" i="16"/>
  <c r="CP335" i="16"/>
  <c r="CQ335" i="16"/>
  <c r="CR335" i="16"/>
  <c r="CS335" i="16"/>
  <c r="CT335" i="16"/>
  <c r="CU335" i="16"/>
  <c r="CV335" i="16"/>
  <c r="CW335" i="16"/>
  <c r="CX335" i="16"/>
  <c r="CK336" i="16"/>
  <c r="CL336" i="16"/>
  <c r="CM336" i="16"/>
  <c r="CN336" i="16"/>
  <c r="CO336" i="16"/>
  <c r="CP336" i="16"/>
  <c r="CQ336" i="16"/>
  <c r="CR336" i="16"/>
  <c r="CS336" i="16"/>
  <c r="CT336" i="16"/>
  <c r="CU336" i="16"/>
  <c r="CV336" i="16"/>
  <c r="CW336" i="16"/>
  <c r="CX336" i="16"/>
  <c r="CK337" i="16"/>
  <c r="CL337" i="16"/>
  <c r="CM337" i="16"/>
  <c r="CN337" i="16"/>
  <c r="CO337" i="16"/>
  <c r="CP337" i="16"/>
  <c r="CQ337" i="16"/>
  <c r="CR337" i="16"/>
  <c r="CS337" i="16"/>
  <c r="CT337" i="16"/>
  <c r="CU337" i="16"/>
  <c r="CV337" i="16"/>
  <c r="CW337" i="16"/>
  <c r="CX337" i="16"/>
  <c r="CK338" i="16"/>
  <c r="CL338" i="16"/>
  <c r="CM338" i="16"/>
  <c r="CN338" i="16"/>
  <c r="CO338" i="16"/>
  <c r="CP338" i="16"/>
  <c r="CQ338" i="16"/>
  <c r="CR338" i="16"/>
  <c r="CS338" i="16"/>
  <c r="CT338" i="16"/>
  <c r="CU338" i="16"/>
  <c r="CV338" i="16"/>
  <c r="CW338" i="16"/>
  <c r="CX338" i="16"/>
  <c r="CK339" i="16"/>
  <c r="CL339" i="16"/>
  <c r="CM339" i="16"/>
  <c r="CN339" i="16"/>
  <c r="CO339" i="16"/>
  <c r="CP339" i="16"/>
  <c r="CQ339" i="16"/>
  <c r="CR339" i="16"/>
  <c r="CS339" i="16"/>
  <c r="CT339" i="16"/>
  <c r="CU339" i="16"/>
  <c r="CV339" i="16"/>
  <c r="CW339" i="16"/>
  <c r="CX339" i="16"/>
  <c r="CK340" i="16"/>
  <c r="CL340" i="16"/>
  <c r="CM340" i="16"/>
  <c r="CN340" i="16"/>
  <c r="CO340" i="16"/>
  <c r="CP340" i="16"/>
  <c r="CQ340" i="16"/>
  <c r="CR340" i="16"/>
  <c r="CS340" i="16"/>
  <c r="CT340" i="16"/>
  <c r="CU340" i="16"/>
  <c r="CV340" i="16"/>
  <c r="CW340" i="16"/>
  <c r="CX340" i="16"/>
  <c r="CK341" i="16"/>
  <c r="CL341" i="16"/>
  <c r="CM341" i="16"/>
  <c r="CN341" i="16"/>
  <c r="CO341" i="16"/>
  <c r="CP341" i="16"/>
  <c r="CQ341" i="16"/>
  <c r="CR341" i="16"/>
  <c r="CS341" i="16"/>
  <c r="CT341" i="16"/>
  <c r="CU341" i="16"/>
  <c r="CV341" i="16"/>
  <c r="CW341" i="16"/>
  <c r="CX341" i="16"/>
  <c r="CK342" i="16"/>
  <c r="CL342" i="16"/>
  <c r="CM342" i="16"/>
  <c r="CN342" i="16"/>
  <c r="CO342" i="16"/>
  <c r="CP342" i="16"/>
  <c r="CQ342" i="16"/>
  <c r="CR342" i="16"/>
  <c r="CS342" i="16"/>
  <c r="CT342" i="16"/>
  <c r="CU342" i="16"/>
  <c r="CV342" i="16"/>
  <c r="CW342" i="16"/>
  <c r="CX342" i="16"/>
  <c r="CK343" i="16"/>
  <c r="CL343" i="16"/>
  <c r="CM343" i="16"/>
  <c r="CN343" i="16"/>
  <c r="CO343" i="16"/>
  <c r="CP343" i="16"/>
  <c r="CQ343" i="16"/>
  <c r="CR343" i="16"/>
  <c r="CS343" i="16"/>
  <c r="CT343" i="16"/>
  <c r="CU343" i="16"/>
  <c r="CV343" i="16"/>
  <c r="CW343" i="16"/>
  <c r="CX343" i="16"/>
  <c r="CK344" i="16"/>
  <c r="CL344" i="16"/>
  <c r="CM344" i="16"/>
  <c r="CN344" i="16"/>
  <c r="CO344" i="16"/>
  <c r="CP344" i="16"/>
  <c r="CQ344" i="16"/>
  <c r="CR344" i="16"/>
  <c r="CS344" i="16"/>
  <c r="CT344" i="16"/>
  <c r="CU344" i="16"/>
  <c r="CV344" i="16"/>
  <c r="CW344" i="16"/>
  <c r="CX344" i="16"/>
  <c r="CK345" i="16"/>
  <c r="CL345" i="16"/>
  <c r="CM345" i="16"/>
  <c r="CN345" i="16"/>
  <c r="CO345" i="16"/>
  <c r="CP345" i="16"/>
  <c r="CQ345" i="16"/>
  <c r="CR345" i="16"/>
  <c r="CS345" i="16"/>
  <c r="CT345" i="16"/>
  <c r="CU345" i="16"/>
  <c r="CV345" i="16"/>
  <c r="CW345" i="16"/>
  <c r="CX345" i="16"/>
  <c r="CK346" i="16"/>
  <c r="CL346" i="16"/>
  <c r="CM346" i="16"/>
  <c r="CN346" i="16"/>
  <c r="CO346" i="16"/>
  <c r="CP346" i="16"/>
  <c r="CQ346" i="16"/>
  <c r="CR346" i="16"/>
  <c r="CS346" i="16"/>
  <c r="CT346" i="16"/>
  <c r="CU346" i="16"/>
  <c r="CV346" i="16"/>
  <c r="CW346" i="16"/>
  <c r="CX346" i="16"/>
  <c r="CK347" i="16"/>
  <c r="CL347" i="16"/>
  <c r="CM347" i="16"/>
  <c r="CN347" i="16"/>
  <c r="CO347" i="16"/>
  <c r="CP347" i="16"/>
  <c r="CQ347" i="16"/>
  <c r="CR347" i="16"/>
  <c r="CS347" i="16"/>
  <c r="CT347" i="16"/>
  <c r="CU347" i="16"/>
  <c r="CV347" i="16"/>
  <c r="CW347" i="16"/>
  <c r="CX347" i="16"/>
  <c r="CK348" i="16"/>
  <c r="CL348" i="16"/>
  <c r="CM348" i="16"/>
  <c r="CN348" i="16"/>
  <c r="CO348" i="16"/>
  <c r="CP348" i="16"/>
  <c r="CQ348" i="16"/>
  <c r="CR348" i="16"/>
  <c r="CS348" i="16"/>
  <c r="CT348" i="16"/>
  <c r="CU348" i="16"/>
  <c r="CV348" i="16"/>
  <c r="CW348" i="16"/>
  <c r="CX348" i="16"/>
  <c r="CK349" i="16"/>
  <c r="CL349" i="16"/>
  <c r="CM349" i="16"/>
  <c r="CN349" i="16"/>
  <c r="CO349" i="16"/>
  <c r="CP349" i="16"/>
  <c r="CQ349" i="16"/>
  <c r="CR349" i="16"/>
  <c r="CS349" i="16"/>
  <c r="CT349" i="16"/>
  <c r="CU349" i="16"/>
  <c r="CV349" i="16"/>
  <c r="CW349" i="16"/>
  <c r="CX349" i="16"/>
  <c r="CK350" i="16"/>
  <c r="CL350" i="16"/>
  <c r="CM350" i="16"/>
  <c r="CN350" i="16"/>
  <c r="CO350" i="16"/>
  <c r="CP350" i="16"/>
  <c r="CQ350" i="16"/>
  <c r="CR350" i="16"/>
  <c r="CS350" i="16"/>
  <c r="CT350" i="16"/>
  <c r="CU350" i="16"/>
  <c r="CV350" i="16"/>
  <c r="CW350" i="16"/>
  <c r="CX350" i="16"/>
  <c r="CK351" i="16"/>
  <c r="CL351" i="16"/>
  <c r="CM351" i="16"/>
  <c r="CN351" i="16"/>
  <c r="CO351" i="16"/>
  <c r="CP351" i="16"/>
  <c r="CQ351" i="16"/>
  <c r="CR351" i="16"/>
  <c r="CS351" i="16"/>
  <c r="CT351" i="16"/>
  <c r="CU351" i="16"/>
  <c r="CV351" i="16"/>
  <c r="CW351" i="16"/>
  <c r="CX351" i="16"/>
  <c r="CK352" i="16"/>
  <c r="CL352" i="16"/>
  <c r="CM352" i="16"/>
  <c r="CN352" i="16"/>
  <c r="CO352" i="16"/>
  <c r="CP352" i="16"/>
  <c r="CQ352" i="16"/>
  <c r="CR352" i="16"/>
  <c r="CS352" i="16"/>
  <c r="CT352" i="16"/>
  <c r="CU352" i="16"/>
  <c r="CV352" i="16"/>
  <c r="CW352" i="16"/>
  <c r="CX352" i="16"/>
  <c r="CK353" i="16"/>
  <c r="CL353" i="16"/>
  <c r="CM353" i="16"/>
  <c r="CN353" i="16"/>
  <c r="CO353" i="16"/>
  <c r="CP353" i="16"/>
  <c r="CQ353" i="16"/>
  <c r="CR353" i="16"/>
  <c r="CS353" i="16"/>
  <c r="CT353" i="16"/>
  <c r="CU353" i="16"/>
  <c r="CV353" i="16"/>
  <c r="CW353" i="16"/>
  <c r="CX353" i="16"/>
  <c r="CK354" i="16"/>
  <c r="CL354" i="16"/>
  <c r="CM354" i="16"/>
  <c r="CN354" i="16"/>
  <c r="CO354" i="16"/>
  <c r="CP354" i="16"/>
  <c r="CQ354" i="16"/>
  <c r="CR354" i="16"/>
  <c r="CS354" i="16"/>
  <c r="CT354" i="16"/>
  <c r="CU354" i="16"/>
  <c r="CV354" i="16"/>
  <c r="CW354" i="16"/>
  <c r="CX354" i="16"/>
  <c r="CK355" i="16"/>
  <c r="CL355" i="16"/>
  <c r="CM355" i="16"/>
  <c r="CN355" i="16"/>
  <c r="CP355" i="16"/>
  <c r="CQ355" i="16"/>
  <c r="CR355" i="16"/>
  <c r="CS355" i="16"/>
  <c r="CT355" i="16"/>
  <c r="CU355" i="16"/>
  <c r="CV355" i="16"/>
  <c r="CW355" i="16"/>
  <c r="CX355" i="16"/>
  <c r="CK356" i="16"/>
  <c r="CL356" i="16"/>
  <c r="CM356" i="16"/>
  <c r="CN356" i="16"/>
  <c r="CO356" i="16"/>
  <c r="CP356" i="16"/>
  <c r="CQ356" i="16"/>
  <c r="CR356" i="16"/>
  <c r="CS356" i="16"/>
  <c r="CT356" i="16"/>
  <c r="CU356" i="16"/>
  <c r="CV356" i="16"/>
  <c r="CW356" i="16"/>
  <c r="CX356" i="16"/>
  <c r="CK357" i="16"/>
  <c r="CL357" i="16"/>
  <c r="CM357" i="16"/>
  <c r="CN357" i="16"/>
  <c r="CO357" i="16"/>
  <c r="CP357" i="16"/>
  <c r="CQ357" i="16"/>
  <c r="CR357" i="16"/>
  <c r="CS357" i="16"/>
  <c r="CT357" i="16"/>
  <c r="CU357" i="16"/>
  <c r="CV357" i="16"/>
  <c r="CW357" i="16"/>
  <c r="CX357" i="16"/>
  <c r="CK358" i="16"/>
  <c r="CL358" i="16"/>
  <c r="CM358" i="16"/>
  <c r="CN358" i="16"/>
  <c r="CO358" i="16"/>
  <c r="CP358" i="16"/>
  <c r="CQ358" i="16"/>
  <c r="CR358" i="16"/>
  <c r="CS358" i="16"/>
  <c r="CT358" i="16"/>
  <c r="CU358" i="16"/>
  <c r="CV358" i="16"/>
  <c r="CW358" i="16"/>
  <c r="CX358" i="16"/>
  <c r="CK359" i="16"/>
  <c r="CL359" i="16"/>
  <c r="CM359" i="16"/>
  <c r="CN359" i="16"/>
  <c r="CO359" i="16"/>
  <c r="CP359" i="16"/>
  <c r="CQ359" i="16"/>
  <c r="CR359" i="16"/>
  <c r="CS359" i="16"/>
  <c r="CT359" i="16"/>
  <c r="CU359" i="16"/>
  <c r="CV359" i="16"/>
  <c r="CW359" i="16"/>
  <c r="CX359" i="16"/>
  <c r="CK360" i="16"/>
  <c r="CL360" i="16"/>
  <c r="CM360" i="16"/>
  <c r="CN360" i="16"/>
  <c r="CO360" i="16"/>
  <c r="CP360" i="16"/>
  <c r="CQ360" i="16"/>
  <c r="CR360" i="16"/>
  <c r="CS360" i="16"/>
  <c r="CT360" i="16"/>
  <c r="CU360" i="16"/>
  <c r="CV360" i="16"/>
  <c r="CW360" i="16"/>
  <c r="CX360" i="16"/>
  <c r="CK361" i="16"/>
  <c r="CL361" i="16"/>
  <c r="CM361" i="16"/>
  <c r="CN361" i="16"/>
  <c r="CO361" i="16"/>
  <c r="CP361" i="16"/>
  <c r="CQ361" i="16"/>
  <c r="CR361" i="16"/>
  <c r="CS361" i="16"/>
  <c r="CT361" i="16"/>
  <c r="CU361" i="16"/>
  <c r="CV361" i="16"/>
  <c r="CW361" i="16"/>
  <c r="CX361" i="16"/>
  <c r="CK362" i="16"/>
  <c r="CL362" i="16"/>
  <c r="CM362" i="16"/>
  <c r="CN362" i="16"/>
  <c r="CO362" i="16"/>
  <c r="CP362" i="16"/>
  <c r="CQ362" i="16"/>
  <c r="CR362" i="16"/>
  <c r="CS362" i="16"/>
  <c r="CT362" i="16"/>
  <c r="CU362" i="16"/>
  <c r="CV362" i="16"/>
  <c r="CW362" i="16"/>
  <c r="CX362" i="16"/>
  <c r="CK363" i="16"/>
  <c r="CL363" i="16"/>
  <c r="CM363" i="16"/>
  <c r="CN363" i="16"/>
  <c r="CO363" i="16"/>
  <c r="CP363" i="16"/>
  <c r="CQ363" i="16"/>
  <c r="CR363" i="16"/>
  <c r="CS363" i="16"/>
  <c r="CT363" i="16"/>
  <c r="CU363" i="16"/>
  <c r="CV363" i="16"/>
  <c r="CW363" i="16"/>
  <c r="CX363" i="16"/>
  <c r="CK364" i="16"/>
  <c r="CL364" i="16"/>
  <c r="CM364" i="16"/>
  <c r="CN364" i="16"/>
  <c r="CO364" i="16"/>
  <c r="CP364" i="16"/>
  <c r="CQ364" i="16"/>
  <c r="CR364" i="16"/>
  <c r="CS364" i="16"/>
  <c r="CT364" i="16"/>
  <c r="CU364" i="16"/>
  <c r="CV364" i="16"/>
  <c r="CW364" i="16"/>
  <c r="CX364" i="16"/>
  <c r="CK365" i="16"/>
  <c r="CL365" i="16"/>
  <c r="CM365" i="16"/>
  <c r="CN365" i="16"/>
  <c r="CO365" i="16"/>
  <c r="CP365" i="16"/>
  <c r="CQ365" i="16"/>
  <c r="CR365" i="16"/>
  <c r="CS365" i="16"/>
  <c r="CT365" i="16"/>
  <c r="CU365" i="16"/>
  <c r="CV365" i="16"/>
  <c r="CW365" i="16"/>
  <c r="CX365" i="16"/>
  <c r="CK366" i="16"/>
  <c r="CL366" i="16"/>
  <c r="CM366" i="16"/>
  <c r="CN366" i="16"/>
  <c r="CO366" i="16"/>
  <c r="CP366" i="16"/>
  <c r="CQ366" i="16"/>
  <c r="CR366" i="16"/>
  <c r="CS366" i="16"/>
  <c r="CT366" i="16"/>
  <c r="CU366" i="16"/>
  <c r="CV366" i="16"/>
  <c r="CW366" i="16"/>
  <c r="CX366" i="16"/>
  <c r="CK367" i="16"/>
  <c r="CL367" i="16"/>
  <c r="CM367" i="16"/>
  <c r="CN367" i="16"/>
  <c r="CO367" i="16"/>
  <c r="CP367" i="16"/>
  <c r="CQ367" i="16"/>
  <c r="CR367" i="16"/>
  <c r="CS367" i="16"/>
  <c r="CT367" i="16"/>
  <c r="CU367" i="16"/>
  <c r="CV367" i="16"/>
  <c r="CW367" i="16"/>
  <c r="CX367" i="16"/>
  <c r="CK368" i="16"/>
  <c r="CL368" i="16"/>
  <c r="CM368" i="16"/>
  <c r="CN368" i="16"/>
  <c r="CO368" i="16"/>
  <c r="CP368" i="16"/>
  <c r="CQ368" i="16"/>
  <c r="CR368" i="16"/>
  <c r="CS368" i="16"/>
  <c r="CT368" i="16"/>
  <c r="CU368" i="16"/>
  <c r="CV368" i="16"/>
  <c r="CW368" i="16"/>
  <c r="CX368" i="16"/>
  <c r="CK369" i="16"/>
  <c r="CL369" i="16"/>
  <c r="CM369" i="16"/>
  <c r="CN369" i="16"/>
  <c r="CO369" i="16"/>
  <c r="CP369" i="16"/>
  <c r="CQ369" i="16"/>
  <c r="CR369" i="16"/>
  <c r="CS369" i="16"/>
  <c r="CT369" i="16"/>
  <c r="CU369" i="16"/>
  <c r="CV369" i="16"/>
  <c r="CW369" i="16"/>
  <c r="CX369" i="16"/>
  <c r="CK370" i="16"/>
  <c r="CL370" i="16"/>
  <c r="CM370" i="16"/>
  <c r="CN370" i="16"/>
  <c r="CO370" i="16"/>
  <c r="CP370" i="16"/>
  <c r="CQ370" i="16"/>
  <c r="CR370" i="16"/>
  <c r="CS370" i="16"/>
  <c r="CT370" i="16"/>
  <c r="CU370" i="16"/>
  <c r="CV370" i="16"/>
  <c r="CW370" i="16"/>
  <c r="CX370" i="16"/>
  <c r="CK371" i="16"/>
  <c r="CL371" i="16"/>
  <c r="CM371" i="16"/>
  <c r="CN371" i="16"/>
  <c r="CO371" i="16"/>
  <c r="CP371" i="16"/>
  <c r="CQ371" i="16"/>
  <c r="CR371" i="16"/>
  <c r="CS371" i="16"/>
  <c r="CT371" i="16"/>
  <c r="CU371" i="16"/>
  <c r="CV371" i="16"/>
  <c r="CW371" i="16"/>
  <c r="CX371" i="16"/>
  <c r="CK372" i="16"/>
  <c r="CL372" i="16"/>
  <c r="CM372" i="16"/>
  <c r="CN372" i="16"/>
  <c r="CO372" i="16"/>
  <c r="CP372" i="16"/>
  <c r="CQ372" i="16"/>
  <c r="CR372" i="16"/>
  <c r="CS372" i="16"/>
  <c r="CT372" i="16"/>
  <c r="CU372" i="16"/>
  <c r="CV372" i="16"/>
  <c r="CW372" i="16"/>
  <c r="CX372" i="16"/>
  <c r="CK373" i="16"/>
  <c r="CL373" i="16"/>
  <c r="CM373" i="16"/>
  <c r="CN373" i="16"/>
  <c r="CO373" i="16"/>
  <c r="CP373" i="16"/>
  <c r="CQ373" i="16"/>
  <c r="CR373" i="16"/>
  <c r="CS373" i="16"/>
  <c r="CT373" i="16"/>
  <c r="CU373" i="16"/>
  <c r="CV373" i="16"/>
  <c r="CW373" i="16"/>
  <c r="CX373" i="16"/>
  <c r="CK374" i="16"/>
  <c r="CL374" i="16"/>
  <c r="CM374" i="16"/>
  <c r="CN374" i="16"/>
  <c r="CO374" i="16"/>
  <c r="CP374" i="16"/>
  <c r="CQ374" i="16"/>
  <c r="CR374" i="16"/>
  <c r="CS374" i="16"/>
  <c r="CT374" i="16"/>
  <c r="CU374" i="16"/>
  <c r="CV374" i="16"/>
  <c r="CW374" i="16"/>
  <c r="CX374" i="16"/>
  <c r="CK375" i="16"/>
  <c r="CL375" i="16"/>
  <c r="CM375" i="16"/>
  <c r="CN375" i="16"/>
  <c r="CO375" i="16"/>
  <c r="CP375" i="16"/>
  <c r="CQ375" i="16"/>
  <c r="CR375" i="16"/>
  <c r="CS375" i="16"/>
  <c r="CT375" i="16"/>
  <c r="CU375" i="16"/>
  <c r="CV375" i="16"/>
  <c r="CW375" i="16"/>
  <c r="CX375" i="16"/>
  <c r="CK376" i="16"/>
  <c r="CL376" i="16"/>
  <c r="CM376" i="16"/>
  <c r="CN376" i="16"/>
  <c r="CO376" i="16"/>
  <c r="CP376" i="16"/>
  <c r="CQ376" i="16"/>
  <c r="CR376" i="16"/>
  <c r="CS376" i="16"/>
  <c r="CT376" i="16"/>
  <c r="CU376" i="16"/>
  <c r="CV376" i="16"/>
  <c r="CW376" i="16"/>
  <c r="CX376" i="16"/>
  <c r="CK377" i="16"/>
  <c r="CL377" i="16"/>
  <c r="CM377" i="16"/>
  <c r="CN377" i="16"/>
  <c r="CO377" i="16"/>
  <c r="CP377" i="16"/>
  <c r="CQ377" i="16"/>
  <c r="CR377" i="16"/>
  <c r="CS377" i="16"/>
  <c r="CT377" i="16"/>
  <c r="CU377" i="16"/>
  <c r="CV377" i="16"/>
  <c r="CW377" i="16"/>
  <c r="CX377" i="16"/>
  <c r="CK378" i="16"/>
  <c r="CL378" i="16"/>
  <c r="CM378" i="16"/>
  <c r="CN378" i="16"/>
  <c r="CO378" i="16"/>
  <c r="CP378" i="16"/>
  <c r="CQ378" i="16"/>
  <c r="CR378" i="16"/>
  <c r="CS378" i="16"/>
  <c r="CT378" i="16"/>
  <c r="CU378" i="16"/>
  <c r="CV378" i="16"/>
  <c r="CW378" i="16"/>
  <c r="CX378" i="16"/>
  <c r="CK379" i="16"/>
  <c r="CL379" i="16"/>
  <c r="CM379" i="16"/>
  <c r="CN379" i="16"/>
  <c r="CO379" i="16"/>
  <c r="CP379" i="16"/>
  <c r="CQ379" i="16"/>
  <c r="CR379" i="16"/>
  <c r="CS379" i="16"/>
  <c r="CT379" i="16"/>
  <c r="CU379" i="16"/>
  <c r="CV379" i="16"/>
  <c r="CW379" i="16"/>
  <c r="CX379" i="16"/>
  <c r="CK380" i="16"/>
  <c r="CL380" i="16"/>
  <c r="CM380" i="16"/>
  <c r="CN380" i="16"/>
  <c r="CO380" i="16"/>
  <c r="CP380" i="16"/>
  <c r="CQ380" i="16"/>
  <c r="CR380" i="16"/>
  <c r="CS380" i="16"/>
  <c r="CT380" i="16"/>
  <c r="CU380" i="16"/>
  <c r="CV380" i="16"/>
  <c r="CW380" i="16"/>
  <c r="CX380" i="16"/>
  <c r="CK381" i="16"/>
  <c r="CL381" i="16"/>
  <c r="CM381" i="16"/>
  <c r="CN381" i="16"/>
  <c r="CO381" i="16"/>
  <c r="CP381" i="16"/>
  <c r="CQ381" i="16"/>
  <c r="CR381" i="16"/>
  <c r="CS381" i="16"/>
  <c r="CT381" i="16"/>
  <c r="CU381" i="16"/>
  <c r="CV381" i="16"/>
  <c r="CW381" i="16"/>
  <c r="CX381" i="16"/>
  <c r="CK382" i="16"/>
  <c r="CL382" i="16"/>
  <c r="CM382" i="16"/>
  <c r="CN382" i="16"/>
  <c r="CO382" i="16"/>
  <c r="CP382" i="16"/>
  <c r="CQ382" i="16"/>
  <c r="CR382" i="16"/>
  <c r="CS382" i="16"/>
  <c r="CT382" i="16"/>
  <c r="CU382" i="16"/>
  <c r="CV382" i="16"/>
  <c r="CW382" i="16"/>
  <c r="CX382" i="16"/>
  <c r="CK383" i="16"/>
  <c r="CL383" i="16"/>
  <c r="CM383" i="16"/>
  <c r="CN383" i="16"/>
  <c r="CO383" i="16"/>
  <c r="CP383" i="16"/>
  <c r="CQ383" i="16"/>
  <c r="CR383" i="16"/>
  <c r="CS383" i="16"/>
  <c r="CT383" i="16"/>
  <c r="CU383" i="16"/>
  <c r="CV383" i="16"/>
  <c r="CW383" i="16"/>
  <c r="CX383" i="16"/>
  <c r="CK384" i="16"/>
  <c r="CL384" i="16"/>
  <c r="CM384" i="16"/>
  <c r="CN384" i="16"/>
  <c r="CO384" i="16"/>
  <c r="CP384" i="16"/>
  <c r="CQ384" i="16"/>
  <c r="CR384" i="16"/>
  <c r="CS384" i="16"/>
  <c r="CT384" i="16"/>
  <c r="CU384" i="16"/>
  <c r="CV384" i="16"/>
  <c r="CW384" i="16"/>
  <c r="CX384" i="16"/>
  <c r="CK385" i="16"/>
  <c r="CL385" i="16"/>
  <c r="CM385" i="16"/>
  <c r="CN385" i="16"/>
  <c r="CO385" i="16"/>
  <c r="CP385" i="16"/>
  <c r="CQ385" i="16"/>
  <c r="CR385" i="16"/>
  <c r="CS385" i="16"/>
  <c r="CT385" i="16"/>
  <c r="CU385" i="16"/>
  <c r="CV385" i="16"/>
  <c r="CW385" i="16"/>
  <c r="CX385" i="16"/>
  <c r="CK386" i="16"/>
  <c r="CL386" i="16"/>
  <c r="CM386" i="16"/>
  <c r="CN386" i="16"/>
  <c r="CO386" i="16"/>
  <c r="CP386" i="16"/>
  <c r="CQ386" i="16"/>
  <c r="CR386" i="16"/>
  <c r="CS386" i="16"/>
  <c r="CT386" i="16"/>
  <c r="CU386" i="16"/>
  <c r="CV386" i="16"/>
  <c r="CW386" i="16"/>
  <c r="CX386" i="16"/>
  <c r="CK387" i="16"/>
  <c r="CL387" i="16"/>
  <c r="CM387" i="16"/>
  <c r="CN387" i="16"/>
  <c r="CO387" i="16"/>
  <c r="CP387" i="16"/>
  <c r="CQ387" i="16"/>
  <c r="CR387" i="16"/>
  <c r="CS387" i="16"/>
  <c r="CT387" i="16"/>
  <c r="CU387" i="16"/>
  <c r="CV387" i="16"/>
  <c r="CW387" i="16"/>
  <c r="CX387" i="16"/>
  <c r="CK388" i="16"/>
  <c r="CL388" i="16"/>
  <c r="CM388" i="16"/>
  <c r="CN388" i="16"/>
  <c r="CO388" i="16"/>
  <c r="CP388" i="16"/>
  <c r="CQ388" i="16"/>
  <c r="CR388" i="16"/>
  <c r="CS388" i="16"/>
  <c r="CT388" i="16"/>
  <c r="CU388" i="16"/>
  <c r="CV388" i="16"/>
  <c r="CW388" i="16"/>
  <c r="CX388" i="16"/>
  <c r="CK389" i="16"/>
  <c r="CL389" i="16"/>
  <c r="CM389" i="16"/>
  <c r="CN389" i="16"/>
  <c r="CO389" i="16"/>
  <c r="CP389" i="16"/>
  <c r="CQ389" i="16"/>
  <c r="CR389" i="16"/>
  <c r="CS389" i="16"/>
  <c r="CT389" i="16"/>
  <c r="CU389" i="16"/>
  <c r="CV389" i="16"/>
  <c r="CW389" i="16"/>
  <c r="CX389" i="16"/>
  <c r="CK390" i="16"/>
  <c r="CL390" i="16"/>
  <c r="CM390" i="16"/>
  <c r="CN390" i="16"/>
  <c r="CO390" i="16"/>
  <c r="CP390" i="16"/>
  <c r="CQ390" i="16"/>
  <c r="CR390" i="16"/>
  <c r="CS390" i="16"/>
  <c r="CT390" i="16"/>
  <c r="CU390" i="16"/>
  <c r="CV390" i="16"/>
  <c r="CW390" i="16"/>
  <c r="CX390" i="16"/>
  <c r="CK391" i="16"/>
  <c r="CL391" i="16"/>
  <c r="CM391" i="16"/>
  <c r="CN391" i="16"/>
  <c r="CO391" i="16"/>
  <c r="CP391" i="16"/>
  <c r="CQ391" i="16"/>
  <c r="CR391" i="16"/>
  <c r="CS391" i="16"/>
  <c r="CT391" i="16"/>
  <c r="CU391" i="16"/>
  <c r="CV391" i="16"/>
  <c r="CW391" i="16"/>
  <c r="CX391" i="16"/>
  <c r="CK392" i="16"/>
  <c r="CL392" i="16"/>
  <c r="CM392" i="16"/>
  <c r="CN392" i="16"/>
  <c r="CO392" i="16"/>
  <c r="CP392" i="16"/>
  <c r="CQ392" i="16"/>
  <c r="CR392" i="16"/>
  <c r="CS392" i="16"/>
  <c r="CT392" i="16"/>
  <c r="CU392" i="16"/>
  <c r="CV392" i="16"/>
  <c r="CW392" i="16"/>
  <c r="CX392" i="16"/>
  <c r="CK393" i="16"/>
  <c r="CL393" i="16"/>
  <c r="CM393" i="16"/>
  <c r="CN393" i="16"/>
  <c r="CO393" i="16"/>
  <c r="CP393" i="16"/>
  <c r="CQ393" i="16"/>
  <c r="CR393" i="16"/>
  <c r="CS393" i="16"/>
  <c r="CT393" i="16"/>
  <c r="CU393" i="16"/>
  <c r="CV393" i="16"/>
  <c r="CW393" i="16"/>
  <c r="CX393" i="16"/>
  <c r="CK394" i="16"/>
  <c r="CL394" i="16"/>
  <c r="CM394" i="16"/>
  <c r="CN394" i="16"/>
  <c r="CO394" i="16"/>
  <c r="CP394" i="16"/>
  <c r="CQ394" i="16"/>
  <c r="CR394" i="16"/>
  <c r="CS394" i="16"/>
  <c r="CT394" i="16"/>
  <c r="CU394" i="16"/>
  <c r="CV394" i="16"/>
  <c r="CW394" i="16"/>
  <c r="CX394" i="16"/>
  <c r="CK395" i="16"/>
  <c r="CL395" i="16"/>
  <c r="CM395" i="16"/>
  <c r="CN395" i="16"/>
  <c r="CO395" i="16"/>
  <c r="CP395" i="16"/>
  <c r="CQ395" i="16"/>
  <c r="CR395" i="16"/>
  <c r="CS395" i="16"/>
  <c r="CT395" i="16"/>
  <c r="CU395" i="16"/>
  <c r="CV395" i="16"/>
  <c r="CW395" i="16"/>
  <c r="CX395" i="16"/>
  <c r="CK396" i="16"/>
  <c r="CL396" i="16"/>
  <c r="CM396" i="16"/>
  <c r="CN396" i="16"/>
  <c r="CO396" i="16"/>
  <c r="CP396" i="16"/>
  <c r="CQ396" i="16"/>
  <c r="CR396" i="16"/>
  <c r="CS396" i="16"/>
  <c r="CT396" i="16"/>
  <c r="CU396" i="16"/>
  <c r="CV396" i="16"/>
  <c r="CW396" i="16"/>
  <c r="CX396" i="16"/>
  <c r="CK397" i="16"/>
  <c r="CL397" i="16"/>
  <c r="CM397" i="16"/>
  <c r="CN397" i="16"/>
  <c r="CO397" i="16"/>
  <c r="CP397" i="16"/>
  <c r="CQ397" i="16"/>
  <c r="CR397" i="16"/>
  <c r="CS397" i="16"/>
  <c r="CT397" i="16"/>
  <c r="CU397" i="16"/>
  <c r="CV397" i="16"/>
  <c r="CW397" i="16"/>
  <c r="CX397" i="16"/>
  <c r="CK398" i="16"/>
  <c r="CL398" i="16"/>
  <c r="CM398" i="16"/>
  <c r="CN398" i="16"/>
  <c r="CO398" i="16"/>
  <c r="CP398" i="16"/>
  <c r="CQ398" i="16"/>
  <c r="CR398" i="16"/>
  <c r="CS398" i="16"/>
  <c r="CT398" i="16"/>
  <c r="CU398" i="16"/>
  <c r="CV398" i="16"/>
  <c r="CW398" i="16"/>
  <c r="CX398" i="16"/>
  <c r="CK399" i="16"/>
  <c r="CL399" i="16"/>
  <c r="CM399" i="16"/>
  <c r="CN399" i="16"/>
  <c r="CO399" i="16"/>
  <c r="CP399" i="16"/>
  <c r="CQ399" i="16"/>
  <c r="CR399" i="16"/>
  <c r="CS399" i="16"/>
  <c r="CT399" i="16"/>
  <c r="CU399" i="16"/>
  <c r="CV399" i="16"/>
  <c r="CW399" i="16"/>
  <c r="CX399" i="16"/>
  <c r="CK400" i="16"/>
  <c r="CL400" i="16"/>
  <c r="CM400" i="16"/>
  <c r="CN400" i="16"/>
  <c r="CO400" i="16"/>
  <c r="CP400" i="16"/>
  <c r="CQ400" i="16"/>
  <c r="CR400" i="16"/>
  <c r="CS400" i="16"/>
  <c r="CT400" i="16"/>
  <c r="CU400" i="16"/>
  <c r="CV400" i="16"/>
  <c r="CW400" i="16"/>
  <c r="CX400" i="16"/>
  <c r="CK401" i="16"/>
  <c r="CL401" i="16"/>
  <c r="CM401" i="16"/>
  <c r="CN401" i="16"/>
  <c r="CO401" i="16"/>
  <c r="CP401" i="16"/>
  <c r="CQ401" i="16"/>
  <c r="CR401" i="16"/>
  <c r="CS401" i="16"/>
  <c r="CT401" i="16"/>
  <c r="CU401" i="16"/>
  <c r="CV401" i="16"/>
  <c r="CW401" i="16"/>
  <c r="CX401" i="16"/>
  <c r="CK402" i="16"/>
  <c r="CL402" i="16"/>
  <c r="CM402" i="16"/>
  <c r="CN402" i="16"/>
  <c r="CO402" i="16"/>
  <c r="CP402" i="16"/>
  <c r="CQ402" i="16"/>
  <c r="CR402" i="16"/>
  <c r="CS402" i="16"/>
  <c r="CT402" i="16"/>
  <c r="CU402" i="16"/>
  <c r="CV402" i="16"/>
  <c r="CW402" i="16"/>
  <c r="CX402" i="16"/>
  <c r="CK403" i="16"/>
  <c r="CL403" i="16"/>
  <c r="CM403" i="16"/>
  <c r="CN403" i="16"/>
  <c r="CO403" i="16"/>
  <c r="CP403" i="16"/>
  <c r="CQ403" i="16"/>
  <c r="CR403" i="16"/>
  <c r="CS403" i="16"/>
  <c r="CT403" i="16"/>
  <c r="CU403" i="16"/>
  <c r="CV403" i="16"/>
  <c r="CW403" i="16"/>
  <c r="CX403" i="16"/>
  <c r="CK404" i="16"/>
  <c r="CL404" i="16"/>
  <c r="CM404" i="16"/>
  <c r="CN404" i="16"/>
  <c r="CO404" i="16"/>
  <c r="CP404" i="16"/>
  <c r="CQ404" i="16"/>
  <c r="CR404" i="16"/>
  <c r="CS404" i="16"/>
  <c r="CT404" i="16"/>
  <c r="CU404" i="16"/>
  <c r="CV404" i="16"/>
  <c r="CW404" i="16"/>
  <c r="CX404" i="16"/>
  <c r="CK405" i="16"/>
  <c r="CL405" i="16"/>
  <c r="CM405" i="16"/>
  <c r="CN405" i="16"/>
  <c r="CO405" i="16"/>
  <c r="CP405" i="16"/>
  <c r="CQ405" i="16"/>
  <c r="CR405" i="16"/>
  <c r="CS405" i="16"/>
  <c r="CT405" i="16"/>
  <c r="CU405" i="16"/>
  <c r="CV405" i="16"/>
  <c r="CW405" i="16"/>
  <c r="CX405" i="16"/>
  <c r="CK406" i="16"/>
  <c r="CL406" i="16"/>
  <c r="CM406" i="16"/>
  <c r="CN406" i="16"/>
  <c r="CO406" i="16"/>
  <c r="CP406" i="16"/>
  <c r="CQ406" i="16"/>
  <c r="CR406" i="16"/>
  <c r="CS406" i="16"/>
  <c r="CT406" i="16"/>
  <c r="CU406" i="16"/>
  <c r="CV406" i="16"/>
  <c r="CW406" i="16"/>
  <c r="CX406" i="16"/>
  <c r="CK407" i="16"/>
  <c r="CL407" i="16"/>
  <c r="CM407" i="16"/>
  <c r="CN407" i="16"/>
  <c r="CO407" i="16"/>
  <c r="CP407" i="16"/>
  <c r="CQ407" i="16"/>
  <c r="CR407" i="16"/>
  <c r="CS407" i="16"/>
  <c r="CT407" i="16"/>
  <c r="CU407" i="16"/>
  <c r="CV407" i="16"/>
  <c r="CW407" i="16"/>
  <c r="CX407" i="16"/>
  <c r="CK408" i="16"/>
  <c r="CL408" i="16"/>
  <c r="CM408" i="16"/>
  <c r="CN408" i="16"/>
  <c r="CO408" i="16"/>
  <c r="CP408" i="16"/>
  <c r="CQ408" i="16"/>
  <c r="CR408" i="16"/>
  <c r="CS408" i="16"/>
  <c r="CT408" i="16"/>
  <c r="CU408" i="16"/>
  <c r="CV408" i="16"/>
  <c r="CW408" i="16"/>
  <c r="CX408" i="16"/>
  <c r="CK409" i="16"/>
  <c r="CL409" i="16"/>
  <c r="CM409" i="16"/>
  <c r="CN409" i="16"/>
  <c r="CO409" i="16"/>
  <c r="CP409" i="16"/>
  <c r="CQ409" i="16"/>
  <c r="CR409" i="16"/>
  <c r="CS409" i="16"/>
  <c r="CT409" i="16"/>
  <c r="CU409" i="16"/>
  <c r="CV409" i="16"/>
  <c r="CW409" i="16"/>
  <c r="CX409" i="16"/>
  <c r="CK410" i="16"/>
  <c r="CL410" i="16"/>
  <c r="CM410" i="16"/>
  <c r="CN410" i="16"/>
  <c r="CO410" i="16"/>
  <c r="CP410" i="16"/>
  <c r="CQ410" i="16"/>
  <c r="CR410" i="16"/>
  <c r="CS410" i="16"/>
  <c r="CT410" i="16"/>
  <c r="CU410" i="16"/>
  <c r="CV410" i="16"/>
  <c r="CW410" i="16"/>
  <c r="CX410" i="16"/>
  <c r="CK411" i="16"/>
  <c r="CL411" i="16"/>
  <c r="CM411" i="16"/>
  <c r="CN411" i="16"/>
  <c r="CO411" i="16"/>
  <c r="CP411" i="16"/>
  <c r="CQ411" i="16"/>
  <c r="CR411" i="16"/>
  <c r="CS411" i="16"/>
  <c r="CT411" i="16"/>
  <c r="CU411" i="16"/>
  <c r="CV411" i="16"/>
  <c r="CW411" i="16"/>
  <c r="CX411" i="16"/>
  <c r="CK412" i="16"/>
  <c r="CL412" i="16"/>
  <c r="CM412" i="16"/>
  <c r="CN412" i="16"/>
  <c r="CO412" i="16"/>
  <c r="CP412" i="16"/>
  <c r="CQ412" i="16"/>
  <c r="CR412" i="16"/>
  <c r="CS412" i="16"/>
  <c r="CT412" i="16"/>
  <c r="CU412" i="16"/>
  <c r="CV412" i="16"/>
  <c r="CW412" i="16"/>
  <c r="CX412" i="16"/>
  <c r="CK413" i="16"/>
  <c r="CL413" i="16"/>
  <c r="CM413" i="16"/>
  <c r="CN413" i="16"/>
  <c r="CO413" i="16"/>
  <c r="CP413" i="16"/>
  <c r="CQ413" i="16"/>
  <c r="CR413" i="16"/>
  <c r="CS413" i="16"/>
  <c r="CT413" i="16"/>
  <c r="CU413" i="16"/>
  <c r="CV413" i="16"/>
  <c r="CW413" i="16"/>
  <c r="CX413" i="16"/>
  <c r="CK414" i="16"/>
  <c r="CL414" i="16"/>
  <c r="CM414" i="16"/>
  <c r="CN414" i="16"/>
  <c r="CO414" i="16"/>
  <c r="CP414" i="16"/>
  <c r="CQ414" i="16"/>
  <c r="CR414" i="16"/>
  <c r="CS414" i="16"/>
  <c r="CT414" i="16"/>
  <c r="CU414" i="16"/>
  <c r="CV414" i="16"/>
  <c r="CW414" i="16"/>
  <c r="CX414" i="16"/>
  <c r="CK415" i="16"/>
  <c r="CL415" i="16"/>
  <c r="CM415" i="16"/>
  <c r="CN415" i="16"/>
  <c r="CO415" i="16"/>
  <c r="CP415" i="16"/>
  <c r="CQ415" i="16"/>
  <c r="CR415" i="16"/>
  <c r="CS415" i="16"/>
  <c r="CT415" i="16"/>
  <c r="CU415" i="16"/>
  <c r="CV415" i="16"/>
  <c r="CW415" i="16"/>
  <c r="CX415" i="16"/>
  <c r="CK416" i="16"/>
  <c r="CL416" i="16"/>
  <c r="CM416" i="16"/>
  <c r="CN416" i="16"/>
  <c r="CO416" i="16"/>
  <c r="CP416" i="16"/>
  <c r="CQ416" i="16"/>
  <c r="CR416" i="16"/>
  <c r="CS416" i="16"/>
  <c r="CT416" i="16"/>
  <c r="CU416" i="16"/>
  <c r="CV416" i="16"/>
  <c r="CW416" i="16"/>
  <c r="CX416" i="16"/>
  <c r="CK417" i="16"/>
  <c r="CL417" i="16"/>
  <c r="CM417" i="16"/>
  <c r="CN417" i="16"/>
  <c r="CO417" i="16"/>
  <c r="CP417" i="16"/>
  <c r="CQ417" i="16"/>
  <c r="CR417" i="16"/>
  <c r="CS417" i="16"/>
  <c r="CT417" i="16"/>
  <c r="CU417" i="16"/>
  <c r="CV417" i="16"/>
  <c r="CW417" i="16"/>
  <c r="CX417" i="16"/>
  <c r="CK418" i="16"/>
  <c r="CL418" i="16"/>
  <c r="CM418" i="16"/>
  <c r="CN418" i="16"/>
  <c r="CO418" i="16"/>
  <c r="CP418" i="16"/>
  <c r="CQ418" i="16"/>
  <c r="CR418" i="16"/>
  <c r="CS418" i="16"/>
  <c r="CT418" i="16"/>
  <c r="CU418" i="16"/>
  <c r="CV418" i="16"/>
  <c r="CW418" i="16"/>
  <c r="CX418" i="16"/>
  <c r="CK419" i="16"/>
  <c r="CL419" i="16"/>
  <c r="CM419" i="16"/>
  <c r="CN419" i="16"/>
  <c r="CO419" i="16"/>
  <c r="CP419" i="16"/>
  <c r="CQ419" i="16"/>
  <c r="CR419" i="16"/>
  <c r="CS419" i="16"/>
  <c r="CT419" i="16"/>
  <c r="CU419" i="16"/>
  <c r="CV419" i="16"/>
  <c r="CW419" i="16"/>
  <c r="CX419" i="16"/>
  <c r="CK420" i="16"/>
  <c r="CL420" i="16"/>
  <c r="CM420" i="16"/>
  <c r="CN420" i="16"/>
  <c r="CO420" i="16"/>
  <c r="CP420" i="16"/>
  <c r="CQ420" i="16"/>
  <c r="CR420" i="16"/>
  <c r="CS420" i="16"/>
  <c r="CT420" i="16"/>
  <c r="CU420" i="16"/>
  <c r="CV420" i="16"/>
  <c r="CW420" i="16"/>
  <c r="CX420" i="16"/>
  <c r="CK421" i="16"/>
  <c r="CL421" i="16"/>
  <c r="CM421" i="16"/>
  <c r="CN421" i="16"/>
  <c r="CO421" i="16"/>
  <c r="CP421" i="16"/>
  <c r="CQ421" i="16"/>
  <c r="CR421" i="16"/>
  <c r="CS421" i="16"/>
  <c r="CT421" i="16"/>
  <c r="CU421" i="16"/>
  <c r="CV421" i="16"/>
  <c r="CW421" i="16"/>
  <c r="CX421" i="16"/>
  <c r="CK422" i="16"/>
  <c r="CL422" i="16"/>
  <c r="CM422" i="16"/>
  <c r="CN422" i="16"/>
  <c r="CO422" i="16"/>
  <c r="CP422" i="16"/>
  <c r="CQ422" i="16"/>
  <c r="CR422" i="16"/>
  <c r="CS422" i="16"/>
  <c r="CT422" i="16"/>
  <c r="CU422" i="16"/>
  <c r="CV422" i="16"/>
  <c r="CW422" i="16"/>
  <c r="CX422" i="16"/>
  <c r="CK423" i="16"/>
  <c r="CL423" i="16"/>
  <c r="CM423" i="16"/>
  <c r="CN423" i="16"/>
  <c r="CO423" i="16"/>
  <c r="CP423" i="16"/>
  <c r="CQ423" i="16"/>
  <c r="CR423" i="16"/>
  <c r="CS423" i="16"/>
  <c r="CT423" i="16"/>
  <c r="CU423" i="16"/>
  <c r="CV423" i="16"/>
  <c r="CW423" i="16"/>
  <c r="CX423" i="16"/>
  <c r="CK424" i="16"/>
  <c r="CL424" i="16"/>
  <c r="CM424" i="16"/>
  <c r="CN424" i="16"/>
  <c r="CO424" i="16"/>
  <c r="CP424" i="16"/>
  <c r="CQ424" i="16"/>
  <c r="CR424" i="16"/>
  <c r="CS424" i="16"/>
  <c r="CT424" i="16"/>
  <c r="CU424" i="16"/>
  <c r="CV424" i="16"/>
  <c r="CW424" i="16"/>
  <c r="CX424" i="16"/>
  <c r="CK425" i="16"/>
  <c r="CL425" i="16"/>
  <c r="CM425" i="16"/>
  <c r="CN425" i="16"/>
  <c r="CO425" i="16"/>
  <c r="CP425" i="16"/>
  <c r="CQ425" i="16"/>
  <c r="CR425" i="16"/>
  <c r="CS425" i="16"/>
  <c r="CT425" i="16"/>
  <c r="CU425" i="16"/>
  <c r="CV425" i="16"/>
  <c r="CW425" i="16"/>
  <c r="CX425" i="16"/>
  <c r="CK426" i="16"/>
  <c r="CL426" i="16"/>
  <c r="CM426" i="16"/>
  <c r="CN426" i="16"/>
  <c r="CO426" i="16"/>
  <c r="CP426" i="16"/>
  <c r="CQ426" i="16"/>
  <c r="CR426" i="16"/>
  <c r="CS426" i="16"/>
  <c r="CT426" i="16"/>
  <c r="CU426" i="16"/>
  <c r="CV426" i="16"/>
  <c r="CW426" i="16"/>
  <c r="CX426" i="16"/>
  <c r="CK427" i="16"/>
  <c r="CL427" i="16"/>
  <c r="CM427" i="16"/>
  <c r="CN427" i="16"/>
  <c r="CO427" i="16"/>
  <c r="CP427" i="16"/>
  <c r="CQ427" i="16"/>
  <c r="CR427" i="16"/>
  <c r="CS427" i="16"/>
  <c r="CT427" i="16"/>
  <c r="CU427" i="16"/>
  <c r="CV427" i="16"/>
  <c r="CW427" i="16"/>
  <c r="CX427" i="16"/>
  <c r="CK428" i="16"/>
  <c r="CL428" i="16"/>
  <c r="CM428" i="16"/>
  <c r="CN428" i="16"/>
  <c r="CO428" i="16"/>
  <c r="CP428" i="16"/>
  <c r="CQ428" i="16"/>
  <c r="CR428" i="16"/>
  <c r="CS428" i="16"/>
  <c r="CT428" i="16"/>
  <c r="CU428" i="16"/>
  <c r="CV428" i="16"/>
  <c r="CW428" i="16"/>
  <c r="CX428" i="16"/>
  <c r="CK429" i="16"/>
  <c r="CL429" i="16"/>
  <c r="CM429" i="16"/>
  <c r="CN429" i="16"/>
  <c r="CO429" i="16"/>
  <c r="CP429" i="16"/>
  <c r="CQ429" i="16"/>
  <c r="CR429" i="16"/>
  <c r="CS429" i="16"/>
  <c r="CT429" i="16"/>
  <c r="CU429" i="16"/>
  <c r="CV429" i="16"/>
  <c r="CW429" i="16"/>
  <c r="CX429" i="16"/>
  <c r="CK430" i="16"/>
  <c r="CL430" i="16"/>
  <c r="CM430" i="16"/>
  <c r="CN430" i="16"/>
  <c r="CO430" i="16"/>
  <c r="CP430" i="16"/>
  <c r="CQ430" i="16"/>
  <c r="CR430" i="16"/>
  <c r="CS430" i="16"/>
  <c r="CT430" i="16"/>
  <c r="CU430" i="16"/>
  <c r="CV430" i="16"/>
  <c r="CW430" i="16"/>
  <c r="CX430" i="16"/>
  <c r="CK431" i="16"/>
  <c r="CL431" i="16"/>
  <c r="CM431" i="16"/>
  <c r="CN431" i="16"/>
  <c r="CO431" i="16"/>
  <c r="CP431" i="16"/>
  <c r="CQ431" i="16"/>
  <c r="CR431" i="16"/>
  <c r="CS431" i="16"/>
  <c r="CT431" i="16"/>
  <c r="CU431" i="16"/>
  <c r="CV431" i="16"/>
  <c r="CW431" i="16"/>
  <c r="CX431" i="16"/>
  <c r="CK432" i="16"/>
  <c r="CL432" i="16"/>
  <c r="CM432" i="16"/>
  <c r="CN432" i="16"/>
  <c r="CO432" i="16"/>
  <c r="CP432" i="16"/>
  <c r="CQ432" i="16"/>
  <c r="CR432" i="16"/>
  <c r="CS432" i="16"/>
  <c r="CT432" i="16"/>
  <c r="CU432" i="16"/>
  <c r="CV432" i="16"/>
  <c r="CW432" i="16"/>
  <c r="CX432" i="16"/>
  <c r="CK433" i="16"/>
  <c r="CL433" i="16"/>
  <c r="CM433" i="16"/>
  <c r="CN433" i="16"/>
  <c r="CO433" i="16"/>
  <c r="CP433" i="16"/>
  <c r="CQ433" i="16"/>
  <c r="CR433" i="16"/>
  <c r="CS433" i="16"/>
  <c r="CT433" i="16"/>
  <c r="CU433" i="16"/>
  <c r="CV433" i="16"/>
  <c r="CW433" i="16"/>
  <c r="CX433" i="16"/>
  <c r="CK434" i="16"/>
  <c r="CL434" i="16"/>
  <c r="CM434" i="16"/>
  <c r="CN434" i="16"/>
  <c r="CO434" i="16"/>
  <c r="CP434" i="16"/>
  <c r="CQ434" i="16"/>
  <c r="CR434" i="16"/>
  <c r="CS434" i="16"/>
  <c r="CT434" i="16"/>
  <c r="CU434" i="16"/>
  <c r="CV434" i="16"/>
  <c r="CW434" i="16"/>
  <c r="CX434" i="16"/>
  <c r="CK435" i="16"/>
  <c r="CL435" i="16"/>
  <c r="CM435" i="16"/>
  <c r="CN435" i="16"/>
  <c r="CO435" i="16"/>
  <c r="CP435" i="16"/>
  <c r="CQ435" i="16"/>
  <c r="CR435" i="16"/>
  <c r="CS435" i="16"/>
  <c r="CT435" i="16"/>
  <c r="CU435" i="16"/>
  <c r="CV435" i="16"/>
  <c r="CW435" i="16"/>
  <c r="CX435" i="16"/>
  <c r="CK436" i="16"/>
  <c r="CL436" i="16"/>
  <c r="CM436" i="16"/>
  <c r="CN436" i="16"/>
  <c r="CO436" i="16"/>
  <c r="CP436" i="16"/>
  <c r="CQ436" i="16"/>
  <c r="CR436" i="16"/>
  <c r="CS436" i="16"/>
  <c r="CT436" i="16"/>
  <c r="CU436" i="16"/>
  <c r="CV436" i="16"/>
  <c r="CW436" i="16"/>
  <c r="CX436" i="16"/>
  <c r="CK437" i="16"/>
  <c r="CL437" i="16"/>
  <c r="CM437" i="16"/>
  <c r="CN437" i="16"/>
  <c r="CO437" i="16"/>
  <c r="CP437" i="16"/>
  <c r="CQ437" i="16"/>
  <c r="CR437" i="16"/>
  <c r="CS437" i="16"/>
  <c r="CT437" i="16"/>
  <c r="CU437" i="16"/>
  <c r="CV437" i="16"/>
  <c r="CW437" i="16"/>
  <c r="CX437" i="16"/>
  <c r="CK438" i="16"/>
  <c r="CL438" i="16"/>
  <c r="CM438" i="16"/>
  <c r="CN438" i="16"/>
  <c r="CO438" i="16"/>
  <c r="CP438" i="16"/>
  <c r="CQ438" i="16"/>
  <c r="CR438" i="16"/>
  <c r="CS438" i="16"/>
  <c r="CT438" i="16"/>
  <c r="CU438" i="16"/>
  <c r="CV438" i="16"/>
  <c r="CW438" i="16"/>
  <c r="CX438" i="16"/>
  <c r="CK439" i="16"/>
  <c r="CL439" i="16"/>
  <c r="CM439" i="16"/>
  <c r="CN439" i="16"/>
  <c r="CO439" i="16"/>
  <c r="CP439" i="16"/>
  <c r="CQ439" i="16"/>
  <c r="CR439" i="16"/>
  <c r="CS439" i="16"/>
  <c r="CT439" i="16"/>
  <c r="CU439" i="16"/>
  <c r="CV439" i="16"/>
  <c r="CW439" i="16"/>
  <c r="CX439" i="16"/>
  <c r="CK440" i="16"/>
  <c r="CL440" i="16"/>
  <c r="CM440" i="16"/>
  <c r="CN440" i="16"/>
  <c r="CO440" i="16"/>
  <c r="CP440" i="16"/>
  <c r="CQ440" i="16"/>
  <c r="CR440" i="16"/>
  <c r="CS440" i="16"/>
  <c r="CT440" i="16"/>
  <c r="CU440" i="16"/>
  <c r="CV440" i="16"/>
  <c r="CW440" i="16"/>
  <c r="CX440" i="16"/>
  <c r="CK441" i="16"/>
  <c r="CL441" i="16"/>
  <c r="CM441" i="16"/>
  <c r="CN441" i="16"/>
  <c r="CO441" i="16"/>
  <c r="CP441" i="16"/>
  <c r="CQ441" i="16"/>
  <c r="CR441" i="16"/>
  <c r="CS441" i="16"/>
  <c r="CT441" i="16"/>
  <c r="CU441" i="16"/>
  <c r="CV441" i="16"/>
  <c r="CW441" i="16"/>
  <c r="CX441" i="16"/>
  <c r="CK442" i="16"/>
  <c r="CL442" i="16"/>
  <c r="CM442" i="16"/>
  <c r="CN442" i="16"/>
  <c r="CO442" i="16"/>
  <c r="CP442" i="16"/>
  <c r="CQ442" i="16"/>
  <c r="CR442" i="16"/>
  <c r="CS442" i="16"/>
  <c r="CT442" i="16"/>
  <c r="CU442" i="16"/>
  <c r="CV442" i="16"/>
  <c r="CW442" i="16"/>
  <c r="CX442" i="16"/>
  <c r="CK443" i="16"/>
  <c r="CL443" i="16"/>
  <c r="CM443" i="16"/>
  <c r="CN443" i="16"/>
  <c r="CO443" i="16"/>
  <c r="CP443" i="16"/>
  <c r="CQ443" i="16"/>
  <c r="CR443" i="16"/>
  <c r="CS443" i="16"/>
  <c r="CT443" i="16"/>
  <c r="CU443" i="16"/>
  <c r="CV443" i="16"/>
  <c r="CW443" i="16"/>
  <c r="CX443" i="16"/>
  <c r="CK444" i="16"/>
  <c r="CL444" i="16"/>
  <c r="CM444" i="16"/>
  <c r="CN444" i="16"/>
  <c r="CO444" i="16"/>
  <c r="CP444" i="16"/>
  <c r="CQ444" i="16"/>
  <c r="CR444" i="16"/>
  <c r="CS444" i="16"/>
  <c r="CT444" i="16"/>
  <c r="CU444" i="16"/>
  <c r="CV444" i="16"/>
  <c r="CW444" i="16"/>
  <c r="CX444" i="16"/>
  <c r="CK445" i="16"/>
  <c r="CL445" i="16"/>
  <c r="CM445" i="16"/>
  <c r="CN445" i="16"/>
  <c r="CO445" i="16"/>
  <c r="CP445" i="16"/>
  <c r="CQ445" i="16"/>
  <c r="CR445" i="16"/>
  <c r="CS445" i="16"/>
  <c r="CT445" i="16"/>
  <c r="CU445" i="16"/>
  <c r="CV445" i="16"/>
  <c r="CW445" i="16"/>
  <c r="CX445" i="16"/>
  <c r="CK446" i="16"/>
  <c r="CL446" i="16"/>
  <c r="CM446" i="16"/>
  <c r="CN446" i="16"/>
  <c r="CO446" i="16"/>
  <c r="CP446" i="16"/>
  <c r="CQ446" i="16"/>
  <c r="CR446" i="16"/>
  <c r="CS446" i="16"/>
  <c r="CT446" i="16"/>
  <c r="CU446" i="16"/>
  <c r="CV446" i="16"/>
  <c r="CW446" i="16"/>
  <c r="CX446" i="16"/>
  <c r="CK447" i="16"/>
  <c r="CL447" i="16"/>
  <c r="CM447" i="16"/>
  <c r="CN447" i="16"/>
  <c r="CO447" i="16"/>
  <c r="CP447" i="16"/>
  <c r="CQ447" i="16"/>
  <c r="CR447" i="16"/>
  <c r="CS447" i="16"/>
  <c r="CT447" i="16"/>
  <c r="CU447" i="16"/>
  <c r="CV447" i="16"/>
  <c r="CW447" i="16"/>
  <c r="CX447" i="16"/>
  <c r="CK448" i="16"/>
  <c r="CL448" i="16"/>
  <c r="CM448" i="16"/>
  <c r="CN448" i="16"/>
  <c r="CO448" i="16"/>
  <c r="CP448" i="16"/>
  <c r="CQ448" i="16"/>
  <c r="CR448" i="16"/>
  <c r="CS448" i="16"/>
  <c r="CT448" i="16"/>
  <c r="CU448" i="16"/>
  <c r="CV448" i="16"/>
  <c r="CW448" i="16"/>
  <c r="CX448" i="16"/>
  <c r="CK449" i="16"/>
  <c r="CL449" i="16"/>
  <c r="CM449" i="16"/>
  <c r="CN449" i="16"/>
  <c r="CO449" i="16"/>
  <c r="CP449" i="16"/>
  <c r="CQ449" i="16"/>
  <c r="CR449" i="16"/>
  <c r="CS449" i="16"/>
  <c r="CT449" i="16"/>
  <c r="CU449" i="16"/>
  <c r="CV449" i="16"/>
  <c r="CW449" i="16"/>
  <c r="CX449" i="16"/>
  <c r="CK450" i="16"/>
  <c r="CL450" i="16"/>
  <c r="CM450" i="16"/>
  <c r="CN450" i="16"/>
  <c r="CO450" i="16"/>
  <c r="CP450" i="16"/>
  <c r="CQ450" i="16"/>
  <c r="CR450" i="16"/>
  <c r="CS450" i="16"/>
  <c r="CT450" i="16"/>
  <c r="CU450" i="16"/>
  <c r="CV450" i="16"/>
  <c r="CW450" i="16"/>
  <c r="CX450" i="16"/>
  <c r="CK451" i="16"/>
  <c r="CL451" i="16"/>
  <c r="CM451" i="16"/>
  <c r="CN451" i="16"/>
  <c r="CO451" i="16"/>
  <c r="CP451" i="16"/>
  <c r="CQ451" i="16"/>
  <c r="CR451" i="16"/>
  <c r="CS451" i="16"/>
  <c r="CT451" i="16"/>
  <c r="CU451" i="16"/>
  <c r="CV451" i="16"/>
  <c r="CW451" i="16"/>
  <c r="CX451" i="16"/>
  <c r="CK452" i="16"/>
  <c r="CL452" i="16"/>
  <c r="CM452" i="16"/>
  <c r="CN452" i="16"/>
  <c r="CO452" i="16"/>
  <c r="CP452" i="16"/>
  <c r="CQ452" i="16"/>
  <c r="CR452" i="16"/>
  <c r="CS452" i="16"/>
  <c r="CT452" i="16"/>
  <c r="CU452" i="16"/>
  <c r="CV452" i="16"/>
  <c r="CW452" i="16"/>
  <c r="CX452" i="16"/>
  <c r="CK453" i="16"/>
  <c r="CL453" i="16"/>
  <c r="CM453" i="16"/>
  <c r="CN453" i="16"/>
  <c r="CO453" i="16"/>
  <c r="CP453" i="16"/>
  <c r="CQ453" i="16"/>
  <c r="CR453" i="16"/>
  <c r="CS453" i="16"/>
  <c r="CT453" i="16"/>
  <c r="CU453" i="16"/>
  <c r="CV453" i="16"/>
  <c r="CW453" i="16"/>
  <c r="CX453" i="16"/>
  <c r="CK454" i="16"/>
  <c r="CL454" i="16"/>
  <c r="CM454" i="16"/>
  <c r="CN454" i="16"/>
  <c r="CO454" i="16"/>
  <c r="CP454" i="16"/>
  <c r="CQ454" i="16"/>
  <c r="CR454" i="16"/>
  <c r="CS454" i="16"/>
  <c r="CT454" i="16"/>
  <c r="CU454" i="16"/>
  <c r="CV454" i="16"/>
  <c r="CW454" i="16"/>
  <c r="CX454" i="16"/>
  <c r="CK455" i="16"/>
  <c r="CL455" i="16"/>
  <c r="CM455" i="16"/>
  <c r="CN455" i="16"/>
  <c r="CO455" i="16"/>
  <c r="CP455" i="16"/>
  <c r="CQ455" i="16"/>
  <c r="CR455" i="16"/>
  <c r="CS455" i="16"/>
  <c r="CT455" i="16"/>
  <c r="CU455" i="16"/>
  <c r="CV455" i="16"/>
  <c r="CW455" i="16"/>
  <c r="CX455" i="16"/>
  <c r="CK456" i="16"/>
  <c r="CL456" i="16"/>
  <c r="CM456" i="16"/>
  <c r="CN456" i="16"/>
  <c r="CO456" i="16"/>
  <c r="CP456" i="16"/>
  <c r="CQ456" i="16"/>
  <c r="CR456" i="16"/>
  <c r="CS456" i="16"/>
  <c r="CT456" i="16"/>
  <c r="CU456" i="16"/>
  <c r="CV456" i="16"/>
  <c r="CW456" i="16"/>
  <c r="CX456" i="16"/>
  <c r="CK457" i="16"/>
  <c r="CL457" i="16"/>
  <c r="CM457" i="16"/>
  <c r="CN457" i="16"/>
  <c r="CO457" i="16"/>
  <c r="CP457" i="16"/>
  <c r="CQ457" i="16"/>
  <c r="CR457" i="16"/>
  <c r="CS457" i="16"/>
  <c r="CT457" i="16"/>
  <c r="CU457" i="16"/>
  <c r="CV457" i="16"/>
  <c r="CW457" i="16"/>
  <c r="CX457" i="16"/>
  <c r="CK458" i="16"/>
  <c r="CL458" i="16"/>
  <c r="CM458" i="16"/>
  <c r="CN458" i="16"/>
  <c r="CO458" i="16"/>
  <c r="CP458" i="16"/>
  <c r="CQ458" i="16"/>
  <c r="CR458" i="16"/>
  <c r="CS458" i="16"/>
  <c r="CT458" i="16"/>
  <c r="CU458" i="16"/>
  <c r="CV458" i="16"/>
  <c r="CW458" i="16"/>
  <c r="CX458" i="16"/>
  <c r="CK459" i="16"/>
  <c r="CL459" i="16"/>
  <c r="CM459" i="16"/>
  <c r="CN459" i="16"/>
  <c r="CO459" i="16"/>
  <c r="CP459" i="16"/>
  <c r="CQ459" i="16"/>
  <c r="CR459" i="16"/>
  <c r="CS459" i="16"/>
  <c r="CT459" i="16"/>
  <c r="CU459" i="16"/>
  <c r="CV459" i="16"/>
  <c r="CW459" i="16"/>
  <c r="CX459" i="16"/>
  <c r="CK460" i="16"/>
  <c r="CL460" i="16"/>
  <c r="CM460" i="16"/>
  <c r="CN460" i="16"/>
  <c r="CO460" i="16"/>
  <c r="CP460" i="16"/>
  <c r="CQ460" i="16"/>
  <c r="CR460" i="16"/>
  <c r="CS460" i="16"/>
  <c r="CT460" i="16"/>
  <c r="CU460" i="16"/>
  <c r="CV460" i="16"/>
  <c r="CW460" i="16"/>
  <c r="CX460" i="16"/>
  <c r="CK461" i="16"/>
  <c r="CL461" i="16"/>
  <c r="CM461" i="16"/>
  <c r="CN461" i="16"/>
  <c r="CO461" i="16"/>
  <c r="CP461" i="16"/>
  <c r="CQ461" i="16"/>
  <c r="CR461" i="16"/>
  <c r="CS461" i="16"/>
  <c r="CT461" i="16"/>
  <c r="CU461" i="16"/>
  <c r="CV461" i="16"/>
  <c r="CW461" i="16"/>
  <c r="CX461" i="16"/>
  <c r="CK462" i="16"/>
  <c r="CL462" i="16"/>
  <c r="CM462" i="16"/>
  <c r="CN462" i="16"/>
  <c r="CO462" i="16"/>
  <c r="CP462" i="16"/>
  <c r="CQ462" i="16"/>
  <c r="CR462" i="16"/>
  <c r="CS462" i="16"/>
  <c r="CT462" i="16"/>
  <c r="CU462" i="16"/>
  <c r="CV462" i="16"/>
  <c r="CW462" i="16"/>
  <c r="CX462" i="16"/>
  <c r="CK463" i="16"/>
  <c r="CL463" i="16"/>
  <c r="CM463" i="16"/>
  <c r="CN463" i="16"/>
  <c r="CO463" i="16"/>
  <c r="CP463" i="16"/>
  <c r="CQ463" i="16"/>
  <c r="CR463" i="16"/>
  <c r="CS463" i="16"/>
  <c r="CT463" i="16"/>
  <c r="CU463" i="16"/>
  <c r="CV463" i="16"/>
  <c r="CW463" i="16"/>
  <c r="CX463" i="16"/>
  <c r="CK464" i="16"/>
  <c r="CL464" i="16"/>
  <c r="CM464" i="16"/>
  <c r="CN464" i="16"/>
  <c r="CO464" i="16"/>
  <c r="CP464" i="16"/>
  <c r="CQ464" i="16"/>
  <c r="CR464" i="16"/>
  <c r="CS464" i="16"/>
  <c r="CT464" i="16"/>
  <c r="CU464" i="16"/>
  <c r="CV464" i="16"/>
  <c r="CW464" i="16"/>
  <c r="CX464" i="16"/>
  <c r="CK465" i="16"/>
  <c r="CL465" i="16"/>
  <c r="CM465" i="16"/>
  <c r="CN465" i="16"/>
  <c r="CO465" i="16"/>
  <c r="CP465" i="16"/>
  <c r="CQ465" i="16"/>
  <c r="CR465" i="16"/>
  <c r="CS465" i="16"/>
  <c r="CT465" i="16"/>
  <c r="CU465" i="16"/>
  <c r="CV465" i="16"/>
  <c r="CW465" i="16"/>
  <c r="CX465" i="16"/>
  <c r="CK466" i="16"/>
  <c r="CL466" i="16"/>
  <c r="CM466" i="16"/>
  <c r="CN466" i="16"/>
  <c r="CO466" i="16"/>
  <c r="CP466" i="16"/>
  <c r="CQ466" i="16"/>
  <c r="CR466" i="16"/>
  <c r="CS466" i="16"/>
  <c r="CT466" i="16"/>
  <c r="CU466" i="16"/>
  <c r="CV466" i="16"/>
  <c r="CW466" i="16"/>
  <c r="CX466" i="16"/>
  <c r="CK467" i="16"/>
  <c r="CL467" i="16"/>
  <c r="CM467" i="16"/>
  <c r="CN467" i="16"/>
  <c r="CO467" i="16"/>
  <c r="CP467" i="16"/>
  <c r="CQ467" i="16"/>
  <c r="CR467" i="16"/>
  <c r="CS467" i="16"/>
  <c r="CT467" i="16"/>
  <c r="CU467" i="16"/>
  <c r="CV467" i="16"/>
  <c r="CW467" i="16"/>
  <c r="CX467" i="16"/>
  <c r="CK468" i="16"/>
  <c r="CL468" i="16"/>
  <c r="CM468" i="16"/>
  <c r="CN468" i="16"/>
  <c r="CO468" i="16"/>
  <c r="CP468" i="16"/>
  <c r="CQ468" i="16"/>
  <c r="CR468" i="16"/>
  <c r="CS468" i="16"/>
  <c r="CT468" i="16"/>
  <c r="CU468" i="16"/>
  <c r="CV468" i="16"/>
  <c r="CW468" i="16"/>
  <c r="CX468" i="16"/>
  <c r="CK469" i="16"/>
  <c r="CL469" i="16"/>
  <c r="CM469" i="16"/>
  <c r="CN469" i="16"/>
  <c r="CO469" i="16"/>
  <c r="CP469" i="16"/>
  <c r="CQ469" i="16"/>
  <c r="CR469" i="16"/>
  <c r="CS469" i="16"/>
  <c r="CT469" i="16"/>
  <c r="CU469" i="16"/>
  <c r="CV469" i="16"/>
  <c r="CW469" i="16"/>
  <c r="CX469" i="16"/>
  <c r="CK470" i="16"/>
  <c r="CL470" i="16"/>
  <c r="CM470" i="16"/>
  <c r="CN470" i="16"/>
  <c r="CO470" i="16"/>
  <c r="CP470" i="16"/>
  <c r="CQ470" i="16"/>
  <c r="CR470" i="16"/>
  <c r="CS470" i="16"/>
  <c r="CT470" i="16"/>
  <c r="CU470" i="16"/>
  <c r="CV470" i="16"/>
  <c r="CW470" i="16"/>
  <c r="CX470" i="16"/>
  <c r="CK471" i="16"/>
  <c r="CL471" i="16"/>
  <c r="CM471" i="16"/>
  <c r="CN471" i="16"/>
  <c r="CO471" i="16"/>
  <c r="CP471" i="16"/>
  <c r="CQ471" i="16"/>
  <c r="CR471" i="16"/>
  <c r="CS471" i="16"/>
  <c r="CT471" i="16"/>
  <c r="CU471" i="16"/>
  <c r="CV471" i="16"/>
  <c r="CW471" i="16"/>
  <c r="CX471" i="16"/>
  <c r="CK472" i="16"/>
  <c r="CL472" i="16"/>
  <c r="CM472" i="16"/>
  <c r="CN472" i="16"/>
  <c r="CO472" i="16"/>
  <c r="CP472" i="16"/>
  <c r="CQ472" i="16"/>
  <c r="CR472" i="16"/>
  <c r="CS472" i="16"/>
  <c r="CT472" i="16"/>
  <c r="CU472" i="16"/>
  <c r="CV472" i="16"/>
  <c r="CW472" i="16"/>
  <c r="CX472" i="16"/>
  <c r="CK473" i="16"/>
  <c r="CL473" i="16"/>
  <c r="CM473" i="16"/>
  <c r="CN473" i="16"/>
  <c r="CO473" i="16"/>
  <c r="CP473" i="16"/>
  <c r="CQ473" i="16"/>
  <c r="CR473" i="16"/>
  <c r="CS473" i="16"/>
  <c r="CT473" i="16"/>
  <c r="CU473" i="16"/>
  <c r="CV473" i="16"/>
  <c r="CW473" i="16"/>
  <c r="CX473" i="16"/>
  <c r="CK474" i="16"/>
  <c r="CL474" i="16"/>
  <c r="CM474" i="16"/>
  <c r="CN474" i="16"/>
  <c r="CO474" i="16"/>
  <c r="CP474" i="16"/>
  <c r="CQ474" i="16"/>
  <c r="CR474" i="16"/>
  <c r="CS474" i="16"/>
  <c r="CT474" i="16"/>
  <c r="CU474" i="16"/>
  <c r="CV474" i="16"/>
  <c r="CW474" i="16"/>
  <c r="CX474" i="16"/>
  <c r="CK475" i="16"/>
  <c r="CL475" i="16"/>
  <c r="CM475" i="16"/>
  <c r="CN475" i="16"/>
  <c r="CO475" i="16"/>
  <c r="CP475" i="16"/>
  <c r="CQ475" i="16"/>
  <c r="CR475" i="16"/>
  <c r="CS475" i="16"/>
  <c r="CT475" i="16"/>
  <c r="CU475" i="16"/>
  <c r="CV475" i="16"/>
  <c r="CW475" i="16"/>
  <c r="CK476" i="16"/>
  <c r="CL476" i="16"/>
  <c r="CM476" i="16"/>
  <c r="CN476" i="16"/>
  <c r="CO476" i="16"/>
  <c r="CP476" i="16"/>
  <c r="CQ476" i="16"/>
  <c r="CR476" i="16"/>
  <c r="CS476" i="16"/>
  <c r="CT476" i="16"/>
  <c r="CU476" i="16"/>
  <c r="CV476" i="16"/>
  <c r="CW476" i="16"/>
  <c r="CX476" i="16"/>
  <c r="CK477" i="16"/>
  <c r="CL477" i="16"/>
  <c r="CM477" i="16"/>
  <c r="CN477" i="16"/>
  <c r="CO477" i="16"/>
  <c r="CP477" i="16"/>
  <c r="CQ477" i="16"/>
  <c r="CR477" i="16"/>
  <c r="CS477" i="16"/>
  <c r="CT477" i="16"/>
  <c r="CU477" i="16"/>
  <c r="CV477" i="16"/>
  <c r="CW477" i="16"/>
  <c r="CX477" i="16"/>
  <c r="CK478" i="16"/>
  <c r="CL478" i="16"/>
  <c r="CM478" i="16"/>
  <c r="CN478" i="16"/>
  <c r="CO478" i="16"/>
  <c r="CP478" i="16"/>
  <c r="CQ478" i="16"/>
  <c r="CR478" i="16"/>
  <c r="CS478" i="16"/>
  <c r="CT478" i="16"/>
  <c r="CU478" i="16"/>
  <c r="CV478" i="16"/>
  <c r="CW478" i="16"/>
  <c r="CX478" i="16"/>
  <c r="CK479" i="16"/>
  <c r="CL479" i="16"/>
  <c r="CM479" i="16"/>
  <c r="CN479" i="16"/>
  <c r="CO479" i="16"/>
  <c r="CP479" i="16"/>
  <c r="CQ479" i="16"/>
  <c r="CR479" i="16"/>
  <c r="CS479" i="16"/>
  <c r="CT479" i="16"/>
  <c r="CU479" i="16"/>
  <c r="CV479" i="16"/>
  <c r="CW479" i="16"/>
  <c r="CX479" i="16"/>
  <c r="CK480" i="16"/>
  <c r="CL480" i="16"/>
  <c r="CM480" i="16"/>
  <c r="CN480" i="16"/>
  <c r="CO480" i="16"/>
  <c r="CP480" i="16"/>
  <c r="CQ480" i="16"/>
  <c r="CR480" i="16"/>
  <c r="CS480" i="16"/>
  <c r="CT480" i="16"/>
  <c r="CU480" i="16"/>
  <c r="CV480" i="16"/>
  <c r="CW480" i="16"/>
  <c r="CX480" i="16"/>
  <c r="CK481" i="16"/>
  <c r="CL481" i="16"/>
  <c r="CM481" i="16"/>
  <c r="CN481" i="16"/>
  <c r="CO481" i="16"/>
  <c r="CP481" i="16"/>
  <c r="CQ481" i="16"/>
  <c r="CR481" i="16"/>
  <c r="CS481" i="16"/>
  <c r="CT481" i="16"/>
  <c r="CU481" i="16"/>
  <c r="CV481" i="16"/>
  <c r="CW481" i="16"/>
  <c r="CX481" i="16"/>
  <c r="CK482" i="16"/>
  <c r="CL482" i="16"/>
  <c r="CM482" i="16"/>
  <c r="CN482" i="16"/>
  <c r="CO482" i="16"/>
  <c r="CP482" i="16"/>
  <c r="CQ482" i="16"/>
  <c r="CR482" i="16"/>
  <c r="CS482" i="16"/>
  <c r="CT482" i="16"/>
  <c r="CU482" i="16"/>
  <c r="CV482" i="16"/>
  <c r="CW482" i="16"/>
  <c r="CX482" i="16"/>
  <c r="CK483" i="16"/>
  <c r="CL483" i="16"/>
  <c r="CM483" i="16"/>
  <c r="CN483" i="16"/>
  <c r="CO483" i="16"/>
  <c r="CP483" i="16"/>
  <c r="CQ483" i="16"/>
  <c r="CR483" i="16"/>
  <c r="CS483" i="16"/>
  <c r="CT483" i="16"/>
  <c r="CU483" i="16"/>
  <c r="CV483" i="16"/>
  <c r="CW483" i="16"/>
  <c r="CX483" i="16"/>
  <c r="CK484" i="16"/>
  <c r="CL484" i="16"/>
  <c r="CM484" i="16"/>
  <c r="CN484" i="16"/>
  <c r="CO484" i="16"/>
  <c r="CP484" i="16"/>
  <c r="CQ484" i="16"/>
  <c r="CR484" i="16"/>
  <c r="CS484" i="16"/>
  <c r="CT484" i="16"/>
  <c r="CU484" i="16"/>
  <c r="CV484" i="16"/>
  <c r="CW484" i="16"/>
  <c r="CX484" i="16"/>
  <c r="CK485" i="16"/>
  <c r="CL485" i="16"/>
  <c r="CM485" i="16"/>
  <c r="CN485" i="16"/>
  <c r="CO485" i="16"/>
  <c r="CP485" i="16"/>
  <c r="CQ485" i="16"/>
  <c r="CR485" i="16"/>
  <c r="CS485" i="16"/>
  <c r="CT485" i="16"/>
  <c r="CU485" i="16"/>
  <c r="CV485" i="16"/>
  <c r="CW485" i="16"/>
  <c r="CX485" i="16"/>
  <c r="CK486" i="16"/>
  <c r="CL486" i="16"/>
  <c r="CM486" i="16"/>
  <c r="CN486" i="16"/>
  <c r="CO486" i="16"/>
  <c r="CP486" i="16"/>
  <c r="CQ486" i="16"/>
  <c r="CR486" i="16"/>
  <c r="CS486" i="16"/>
  <c r="CT486" i="16"/>
  <c r="CU486" i="16"/>
  <c r="CV486" i="16"/>
  <c r="CW486" i="16"/>
  <c r="CX486" i="16"/>
  <c r="CK487" i="16"/>
  <c r="CL487" i="16"/>
  <c r="CM487" i="16"/>
  <c r="CN487" i="16"/>
  <c r="CO487" i="16"/>
  <c r="CP487" i="16"/>
  <c r="CQ487" i="16"/>
  <c r="CR487" i="16"/>
  <c r="CS487" i="16"/>
  <c r="CT487" i="16"/>
  <c r="CU487" i="16"/>
  <c r="CV487" i="16"/>
  <c r="CW487" i="16"/>
  <c r="CX487" i="16"/>
  <c r="CK488" i="16"/>
  <c r="CL488" i="16"/>
  <c r="CM488" i="16"/>
  <c r="CN488" i="16"/>
  <c r="CO488" i="16"/>
  <c r="CP488" i="16"/>
  <c r="CQ488" i="16"/>
  <c r="CR488" i="16"/>
  <c r="CS488" i="16"/>
  <c r="CT488" i="16"/>
  <c r="CU488" i="16"/>
  <c r="CV488" i="16"/>
  <c r="CW488" i="16"/>
  <c r="CX488" i="16"/>
  <c r="CK489" i="16"/>
  <c r="CL489" i="16"/>
  <c r="CM489" i="16"/>
  <c r="CN489" i="16"/>
  <c r="CO489" i="16"/>
  <c r="CP489" i="16"/>
  <c r="CQ489" i="16"/>
  <c r="CR489" i="16"/>
  <c r="CS489" i="16"/>
  <c r="CT489" i="16"/>
  <c r="CU489" i="16"/>
  <c r="CV489" i="16"/>
  <c r="CW489" i="16"/>
  <c r="CX489" i="16"/>
  <c r="CK490" i="16"/>
  <c r="CL490" i="16"/>
  <c r="CM490" i="16"/>
  <c r="CN490" i="16"/>
  <c r="CO490" i="16"/>
  <c r="CP490" i="16"/>
  <c r="CQ490" i="16"/>
  <c r="CR490" i="16"/>
  <c r="CS490" i="16"/>
  <c r="CT490" i="16"/>
  <c r="CU490" i="16"/>
  <c r="CV490" i="16"/>
  <c r="CW490" i="16"/>
  <c r="CX490" i="16"/>
  <c r="CK491" i="16"/>
  <c r="CL491" i="16"/>
  <c r="CM491" i="16"/>
  <c r="CN491" i="16"/>
  <c r="CO491" i="16"/>
  <c r="CP491" i="16"/>
  <c r="CQ491" i="16"/>
  <c r="CR491" i="16"/>
  <c r="CS491" i="16"/>
  <c r="CT491" i="16"/>
  <c r="CU491" i="16"/>
  <c r="CV491" i="16"/>
  <c r="CW491" i="16"/>
  <c r="CX491" i="16"/>
  <c r="CK492" i="16"/>
  <c r="CL492" i="16"/>
  <c r="CM492" i="16"/>
  <c r="CN492" i="16"/>
  <c r="CO492" i="16"/>
  <c r="CP492" i="16"/>
  <c r="CQ492" i="16"/>
  <c r="CR492" i="16"/>
  <c r="CS492" i="16"/>
  <c r="CT492" i="16"/>
  <c r="CU492" i="16"/>
  <c r="CV492" i="16"/>
  <c r="CW492" i="16"/>
  <c r="CX492" i="16"/>
  <c r="CK493" i="16"/>
  <c r="CL493" i="16"/>
  <c r="CM493" i="16"/>
  <c r="CN493" i="16"/>
  <c r="CO493" i="16"/>
  <c r="CP493" i="16"/>
  <c r="CQ493" i="16"/>
  <c r="CR493" i="16"/>
  <c r="CS493" i="16"/>
  <c r="CT493" i="16"/>
  <c r="CU493" i="16"/>
  <c r="CV493" i="16"/>
  <c r="CW493" i="16"/>
  <c r="CX493" i="16"/>
  <c r="CK494" i="16"/>
  <c r="CL494" i="16"/>
  <c r="CM494" i="16"/>
  <c r="CN494" i="16"/>
  <c r="CO494" i="16"/>
  <c r="CP494" i="16"/>
  <c r="CQ494" i="16"/>
  <c r="CR494" i="16"/>
  <c r="CS494" i="16"/>
  <c r="CT494" i="16"/>
  <c r="CU494" i="16"/>
  <c r="CV494" i="16"/>
  <c r="CW494" i="16"/>
  <c r="CX494" i="16"/>
  <c r="CK495" i="16"/>
  <c r="CL495" i="16"/>
  <c r="CM495" i="16"/>
  <c r="CN495" i="16"/>
  <c r="CO495" i="16"/>
  <c r="CP495" i="16"/>
  <c r="CQ495" i="16"/>
  <c r="CR495" i="16"/>
  <c r="CS495" i="16"/>
  <c r="CT495" i="16"/>
  <c r="CU495" i="16"/>
  <c r="CV495" i="16"/>
  <c r="CW495" i="16"/>
  <c r="CX495" i="16"/>
  <c r="CK496" i="16"/>
  <c r="CL496" i="16"/>
  <c r="CM496" i="16"/>
  <c r="CN496" i="16"/>
  <c r="CO496" i="16"/>
  <c r="CP496" i="16"/>
  <c r="CQ496" i="16"/>
  <c r="CR496" i="16"/>
  <c r="CS496" i="16"/>
  <c r="CT496" i="16"/>
  <c r="CU496" i="16"/>
  <c r="CV496" i="16"/>
  <c r="CW496" i="16"/>
  <c r="CX496" i="16"/>
  <c r="CK497" i="16"/>
  <c r="CL497" i="16"/>
  <c r="CM497" i="16"/>
  <c r="CN497" i="16"/>
  <c r="CO497" i="16"/>
  <c r="CP497" i="16"/>
  <c r="CQ497" i="16"/>
  <c r="CR497" i="16"/>
  <c r="CS497" i="16"/>
  <c r="CT497" i="16"/>
  <c r="CU497" i="16"/>
  <c r="CV497" i="16"/>
  <c r="CW497" i="16"/>
  <c r="CX497" i="16"/>
  <c r="CK498" i="16"/>
  <c r="CL498" i="16"/>
  <c r="CM498" i="16"/>
  <c r="CN498" i="16"/>
  <c r="CO498" i="16"/>
  <c r="CP498" i="16"/>
  <c r="CQ498" i="16"/>
  <c r="CR498" i="16"/>
  <c r="CS498" i="16"/>
  <c r="CT498" i="16"/>
  <c r="CU498" i="16"/>
  <c r="CV498" i="16"/>
  <c r="CW498" i="16"/>
  <c r="CX498" i="16"/>
  <c r="CK499" i="16"/>
  <c r="CL499" i="16"/>
  <c r="CM499" i="16"/>
  <c r="CN499" i="16"/>
  <c r="CO499" i="16"/>
  <c r="CP499" i="16"/>
  <c r="CQ499" i="16"/>
  <c r="CR499" i="16"/>
  <c r="CS499" i="16"/>
  <c r="CT499" i="16"/>
  <c r="CU499" i="16"/>
  <c r="CV499" i="16"/>
  <c r="CW499" i="16"/>
  <c r="CX499" i="16"/>
  <c r="CK500" i="16"/>
  <c r="CL500" i="16"/>
  <c r="CM500" i="16"/>
  <c r="CN500" i="16"/>
  <c r="CO500" i="16"/>
  <c r="CP500" i="16"/>
  <c r="CQ500" i="16"/>
  <c r="CR500" i="16"/>
  <c r="CS500" i="16"/>
  <c r="CT500" i="16"/>
  <c r="CU500" i="16"/>
  <c r="CV500" i="16"/>
  <c r="CW500" i="16"/>
  <c r="CX500" i="16"/>
  <c r="CK501" i="16"/>
  <c r="CL501" i="16"/>
  <c r="CM501" i="16"/>
  <c r="CN501" i="16"/>
  <c r="CO501" i="16"/>
  <c r="CP501" i="16"/>
  <c r="CQ501" i="16"/>
  <c r="CR501" i="16"/>
  <c r="CS501" i="16"/>
  <c r="CT501" i="16"/>
  <c r="CU501" i="16"/>
  <c r="CV501" i="16"/>
  <c r="CW501" i="16"/>
  <c r="CX501" i="16"/>
  <c r="CK502" i="16"/>
  <c r="CL502" i="16"/>
  <c r="CM502" i="16"/>
  <c r="CN502" i="16"/>
  <c r="CO502" i="16"/>
  <c r="CP502" i="16"/>
  <c r="CQ502" i="16"/>
  <c r="CR502" i="16"/>
  <c r="CS502" i="16"/>
  <c r="CT502" i="16"/>
  <c r="CU502" i="16"/>
  <c r="CV502" i="16"/>
  <c r="CW502" i="16"/>
  <c r="CX502" i="16"/>
  <c r="CK503" i="16"/>
  <c r="CL503" i="16"/>
  <c r="CM503" i="16"/>
  <c r="CN503" i="16"/>
  <c r="CO503" i="16"/>
  <c r="CP503" i="16"/>
  <c r="CQ503" i="16"/>
  <c r="CR503" i="16"/>
  <c r="CS503" i="16"/>
  <c r="CT503" i="16"/>
  <c r="CU503" i="16"/>
  <c r="CV503" i="16"/>
  <c r="CW503" i="16"/>
  <c r="CX503" i="16"/>
  <c r="CK504" i="16"/>
  <c r="CL504" i="16"/>
  <c r="CM504" i="16"/>
  <c r="CN504" i="16"/>
  <c r="CO504" i="16"/>
  <c r="CP504" i="16"/>
  <c r="CQ504" i="16"/>
  <c r="CR504" i="16"/>
  <c r="CS504" i="16"/>
  <c r="CT504" i="16"/>
  <c r="CU504" i="16"/>
  <c r="CV504" i="16"/>
  <c r="CW504" i="16"/>
  <c r="CX504" i="16"/>
  <c r="CK505" i="16"/>
  <c r="CL505" i="16"/>
  <c r="CM505" i="16"/>
  <c r="CN505" i="16"/>
  <c r="CO505" i="16"/>
  <c r="CP505" i="16"/>
  <c r="CQ505" i="16"/>
  <c r="CR505" i="16"/>
  <c r="CS505" i="16"/>
  <c r="CT505" i="16"/>
  <c r="CU505" i="16"/>
  <c r="CV505" i="16"/>
  <c r="CW505" i="16"/>
  <c r="CX505" i="16"/>
  <c r="CK506" i="16"/>
  <c r="CL506" i="16"/>
  <c r="CM506" i="16"/>
  <c r="CN506" i="16"/>
  <c r="CO506" i="16"/>
  <c r="CP506" i="16"/>
  <c r="CQ506" i="16"/>
  <c r="CR506" i="16"/>
  <c r="CS506" i="16"/>
  <c r="CT506" i="16"/>
  <c r="CU506" i="16"/>
  <c r="CV506" i="16"/>
  <c r="CW506" i="16"/>
  <c r="CX506" i="16"/>
  <c r="CK507" i="16"/>
  <c r="CL507" i="16"/>
  <c r="CM507" i="16"/>
  <c r="CN507" i="16"/>
  <c r="CO507" i="16"/>
  <c r="CP507" i="16"/>
  <c r="CQ507" i="16"/>
  <c r="CR507" i="16"/>
  <c r="CS507" i="16"/>
  <c r="CT507" i="16"/>
  <c r="CU507" i="16"/>
  <c r="CV507" i="16"/>
  <c r="CW507" i="16"/>
  <c r="CX507" i="16"/>
  <c r="CK508" i="16"/>
  <c r="CL508" i="16"/>
  <c r="CM508" i="16"/>
  <c r="CN508" i="16"/>
  <c r="CO508" i="16"/>
  <c r="CP508" i="16"/>
  <c r="CQ508" i="16"/>
  <c r="CR508" i="16"/>
  <c r="CS508" i="16"/>
  <c r="CT508" i="16"/>
  <c r="CU508" i="16"/>
  <c r="CV508" i="16"/>
  <c r="CW508" i="16"/>
  <c r="CX508" i="16"/>
  <c r="CK509" i="16"/>
  <c r="CL509" i="16"/>
  <c r="CM509" i="16"/>
  <c r="CN509" i="16"/>
  <c r="CO509" i="16"/>
  <c r="CP509" i="16"/>
  <c r="CQ509" i="16"/>
  <c r="CR509" i="16"/>
  <c r="CS509" i="16"/>
  <c r="CT509" i="16"/>
  <c r="CU509" i="16"/>
  <c r="CV509" i="16"/>
  <c r="CW509" i="16"/>
  <c r="CX509" i="16"/>
  <c r="CK510" i="16"/>
  <c r="CL510" i="16"/>
  <c r="CM510" i="16"/>
  <c r="CN510" i="16"/>
  <c r="CO510" i="16"/>
  <c r="CP510" i="16"/>
  <c r="CQ510" i="16"/>
  <c r="CR510" i="16"/>
  <c r="CS510" i="16"/>
  <c r="CT510" i="16"/>
  <c r="CU510" i="16"/>
  <c r="CV510" i="16"/>
  <c r="CW510" i="16"/>
  <c r="CX510" i="16"/>
  <c r="CK511" i="16"/>
  <c r="CL511" i="16"/>
  <c r="CM511" i="16"/>
  <c r="CN511" i="16"/>
  <c r="CO511" i="16"/>
  <c r="CP511" i="16"/>
  <c r="CQ511" i="16"/>
  <c r="CR511" i="16"/>
  <c r="CS511" i="16"/>
  <c r="CT511" i="16"/>
  <c r="CU511" i="16"/>
  <c r="CV511" i="16"/>
  <c r="CW511" i="16"/>
  <c r="CX511" i="16"/>
  <c r="CK512" i="16"/>
  <c r="CL512" i="16"/>
  <c r="CM512" i="16"/>
  <c r="CN512" i="16"/>
  <c r="CO512" i="16"/>
  <c r="CP512" i="16"/>
  <c r="CQ512" i="16"/>
  <c r="CR512" i="16"/>
  <c r="CS512" i="16"/>
  <c r="CT512" i="16"/>
  <c r="CU512" i="16"/>
  <c r="CV512" i="16"/>
  <c r="CW512" i="16"/>
  <c r="CX512" i="16"/>
  <c r="CK513" i="16"/>
  <c r="CL513" i="16"/>
  <c r="CM513" i="16"/>
  <c r="CN513" i="16"/>
  <c r="CO513" i="16"/>
  <c r="CP513" i="16"/>
  <c r="CQ513" i="16"/>
  <c r="CR513" i="16"/>
  <c r="CS513" i="16"/>
  <c r="CT513" i="16"/>
  <c r="CU513" i="16"/>
  <c r="CV513" i="16"/>
  <c r="CW513" i="16"/>
  <c r="CX513" i="16"/>
  <c r="CK514" i="16"/>
  <c r="CL514" i="16"/>
  <c r="CM514" i="16"/>
  <c r="CN514" i="16"/>
  <c r="CO514" i="16"/>
  <c r="CP514" i="16"/>
  <c r="CQ514" i="16"/>
  <c r="CR514" i="16"/>
  <c r="CS514" i="16"/>
  <c r="CT514" i="16"/>
  <c r="CU514" i="16"/>
  <c r="CV514" i="16"/>
  <c r="CW514" i="16"/>
  <c r="CX514" i="16"/>
  <c r="CK515" i="16"/>
  <c r="CL515" i="16"/>
  <c r="CM515" i="16"/>
  <c r="CN515" i="16"/>
  <c r="CO515" i="16"/>
  <c r="CP515" i="16"/>
  <c r="CQ515" i="16"/>
  <c r="CR515" i="16"/>
  <c r="CS515" i="16"/>
  <c r="CT515" i="16"/>
  <c r="CU515" i="16"/>
  <c r="CV515" i="16"/>
  <c r="CW515" i="16"/>
  <c r="CX515" i="16"/>
  <c r="CK516" i="16"/>
  <c r="CL516" i="16"/>
  <c r="CM516" i="16"/>
  <c r="CN516" i="16"/>
  <c r="CO516" i="16"/>
  <c r="CP516" i="16"/>
  <c r="CQ516" i="16"/>
  <c r="CR516" i="16"/>
  <c r="CS516" i="16"/>
  <c r="CT516" i="16"/>
  <c r="CU516" i="16"/>
  <c r="CV516" i="16"/>
  <c r="CW516" i="16"/>
  <c r="CX516" i="16"/>
  <c r="X50" i="16"/>
  <c r="X52" i="16"/>
  <c r="X53" i="16"/>
  <c r="X57" i="16"/>
  <c r="X59" i="16"/>
  <c r="X60" i="16"/>
  <c r="X64" i="16"/>
  <c r="X76" i="16"/>
  <c r="X77" i="16"/>
  <c r="X92" i="16"/>
  <c r="X95" i="16"/>
  <c r="X96" i="16"/>
  <c r="X97" i="16"/>
  <c r="X101" i="16"/>
  <c r="X106" i="16"/>
  <c r="X110" i="16"/>
  <c r="X111" i="16"/>
  <c r="X114" i="16"/>
  <c r="X115" i="16"/>
  <c r="X118" i="16"/>
  <c r="X125" i="16"/>
  <c r="X126" i="16"/>
  <c r="X129" i="16"/>
  <c r="X130" i="16"/>
  <c r="X131" i="16"/>
  <c r="X132" i="16"/>
  <c r="X137" i="16"/>
  <c r="X142" i="16"/>
  <c r="X145" i="16"/>
  <c r="X146" i="16"/>
  <c r="X154" i="16"/>
  <c r="X155" i="16"/>
  <c r="X162" i="16"/>
  <c r="X163" i="16"/>
  <c r="X164" i="16"/>
  <c r="X165" i="16"/>
  <c r="X166" i="16"/>
  <c r="X175" i="16"/>
  <c r="X182" i="16"/>
  <c r="X184" i="16"/>
  <c r="X185" i="16"/>
  <c r="X188" i="16"/>
  <c r="X197" i="16"/>
  <c r="X202" i="16"/>
  <c r="X203" i="16"/>
  <c r="X206" i="16"/>
  <c r="X213" i="16"/>
  <c r="X215" i="16"/>
  <c r="X216" i="16"/>
  <c r="X217" i="16"/>
  <c r="X218" i="16"/>
  <c r="X219" i="16"/>
  <c r="X220" i="16"/>
  <c r="X224" i="16"/>
  <c r="X226" i="16"/>
  <c r="X229" i="16"/>
  <c r="X230" i="16"/>
  <c r="I284" i="14"/>
  <c r="I285" i="14"/>
  <c r="I286" i="14"/>
  <c r="I287" i="14"/>
  <c r="I288" i="14"/>
  <c r="I289" i="14"/>
  <c r="I290" i="14"/>
  <c r="I291" i="14"/>
  <c r="I113" i="14"/>
  <c r="I114" i="14"/>
  <c r="I115" i="14"/>
  <c r="I116" i="14"/>
  <c r="I117" i="14"/>
  <c r="I118" i="14"/>
  <c r="I119" i="14"/>
  <c r="I120" i="14"/>
  <c r="I121" i="14"/>
  <c r="I122" i="14"/>
  <c r="I123" i="14"/>
  <c r="I124" i="14"/>
  <c r="I125" i="14"/>
  <c r="I126" i="14"/>
  <c r="I127" i="14"/>
  <c r="I128" i="14"/>
  <c r="I129" i="14"/>
  <c r="I130" i="14"/>
  <c r="I131" i="14"/>
  <c r="I132" i="14"/>
  <c r="I133" i="14"/>
  <c r="I134" i="14"/>
  <c r="I135" i="14"/>
  <c r="I136" i="14"/>
  <c r="I137" i="14"/>
  <c r="I138" i="14"/>
  <c r="I139" i="14"/>
  <c r="I140" i="14"/>
  <c r="I141" i="14"/>
  <c r="I142" i="14"/>
  <c r="I143" i="14"/>
  <c r="I144" i="14"/>
  <c r="I145" i="14"/>
  <c r="I146" i="14"/>
  <c r="I147" i="14"/>
  <c r="I148" i="14"/>
  <c r="I149" i="14"/>
  <c r="I150" i="14"/>
  <c r="I151" i="14"/>
  <c r="I152" i="14"/>
  <c r="I153" i="14"/>
  <c r="I154" i="14"/>
  <c r="I155" i="14"/>
  <c r="I156" i="14"/>
  <c r="I157" i="14"/>
  <c r="I158" i="14"/>
  <c r="I159" i="14"/>
  <c r="I160" i="14"/>
  <c r="I161" i="14"/>
  <c r="I162" i="14"/>
  <c r="I163" i="14"/>
  <c r="I164" i="14"/>
  <c r="I165" i="14"/>
  <c r="I166" i="14"/>
  <c r="I167" i="14"/>
  <c r="I168" i="14"/>
  <c r="I169" i="14"/>
  <c r="I170" i="14"/>
  <c r="I171" i="14"/>
  <c r="I172" i="14"/>
  <c r="I173" i="14"/>
  <c r="I174" i="14"/>
  <c r="I175" i="14"/>
  <c r="I176" i="14"/>
  <c r="I177" i="14"/>
  <c r="I178" i="14"/>
  <c r="I179" i="14"/>
  <c r="I180" i="14"/>
  <c r="I181" i="14"/>
  <c r="I182" i="14"/>
  <c r="I183" i="14"/>
  <c r="I184" i="14"/>
  <c r="I185" i="14"/>
  <c r="I186" i="14"/>
  <c r="I187" i="14"/>
  <c r="I188" i="14"/>
  <c r="I189" i="14"/>
  <c r="I190" i="14"/>
  <c r="I191" i="14"/>
  <c r="I192" i="14"/>
  <c r="I193" i="14"/>
  <c r="I194" i="14"/>
  <c r="I195" i="14"/>
  <c r="I196" i="14"/>
  <c r="I197" i="14"/>
  <c r="I198" i="14"/>
  <c r="I199" i="14"/>
  <c r="I200" i="14"/>
  <c r="I201" i="14"/>
  <c r="I202" i="14"/>
  <c r="I203" i="14"/>
  <c r="I204" i="14"/>
  <c r="I205" i="14"/>
  <c r="I206" i="14"/>
  <c r="I207" i="14"/>
  <c r="I208" i="14"/>
  <c r="I209" i="14"/>
  <c r="I210" i="14"/>
  <c r="I211" i="14"/>
  <c r="I212" i="14"/>
  <c r="I213" i="14"/>
  <c r="I214" i="14"/>
  <c r="I215" i="14"/>
  <c r="I216" i="14"/>
  <c r="I217" i="14"/>
  <c r="I218" i="14"/>
  <c r="I219" i="14"/>
  <c r="I220" i="14"/>
  <c r="I221" i="14"/>
  <c r="I222" i="14"/>
  <c r="I223" i="14"/>
  <c r="I224" i="14"/>
  <c r="I225" i="14"/>
  <c r="I226" i="14"/>
  <c r="I227" i="14"/>
  <c r="I228" i="14"/>
  <c r="I229" i="14"/>
  <c r="I230" i="14"/>
  <c r="I231" i="14"/>
  <c r="I232" i="14"/>
  <c r="I233" i="14"/>
  <c r="I234" i="14"/>
  <c r="I235" i="14"/>
  <c r="I236" i="14"/>
  <c r="I237" i="14"/>
  <c r="I238" i="14"/>
  <c r="I239" i="14"/>
  <c r="I240" i="14"/>
  <c r="I241" i="14"/>
  <c r="I242" i="14"/>
  <c r="I243" i="14"/>
  <c r="I244" i="14"/>
  <c r="I245" i="14"/>
  <c r="I246" i="14"/>
  <c r="I247" i="14"/>
  <c r="I248" i="14"/>
  <c r="I249" i="14"/>
  <c r="I250" i="14"/>
  <c r="I251" i="14"/>
  <c r="I252" i="14"/>
  <c r="I253" i="14"/>
  <c r="I254" i="14"/>
  <c r="I255" i="14"/>
  <c r="I256" i="14"/>
  <c r="I257" i="14"/>
  <c r="I258" i="14"/>
  <c r="I259" i="14"/>
  <c r="I260" i="14"/>
  <c r="I261" i="14"/>
  <c r="I262" i="14"/>
  <c r="I263" i="14"/>
  <c r="I264" i="14"/>
  <c r="I265" i="14"/>
  <c r="I266" i="14"/>
  <c r="I267" i="14"/>
  <c r="I268" i="14"/>
  <c r="I269" i="14"/>
  <c r="I270" i="14"/>
  <c r="I271" i="14"/>
  <c r="I272" i="14"/>
  <c r="I273" i="14"/>
  <c r="I274" i="14"/>
  <c r="I275" i="14"/>
  <c r="I276" i="14"/>
  <c r="I277" i="14"/>
  <c r="I278" i="14"/>
  <c r="I279" i="14"/>
  <c r="I280" i="14"/>
  <c r="I281" i="14"/>
  <c r="I282" i="14"/>
  <c r="I283" i="14"/>
  <c r="I292" i="14"/>
  <c r="I293" i="14"/>
  <c r="I294" i="14"/>
  <c r="I295" i="14"/>
  <c r="I296" i="14"/>
  <c r="I297" i="14"/>
  <c r="I298" i="14"/>
  <c r="I299" i="14"/>
  <c r="I300" i="14"/>
  <c r="I301" i="14"/>
  <c r="I302" i="14"/>
  <c r="I99" i="14"/>
  <c r="I100" i="14"/>
  <c r="I101" i="14"/>
  <c r="I102" i="14"/>
  <c r="I103" i="14"/>
  <c r="I104" i="14"/>
  <c r="I105" i="14"/>
  <c r="I106" i="14"/>
  <c r="I107" i="14"/>
  <c r="I108" i="14"/>
  <c r="I109" i="14"/>
  <c r="I110" i="14"/>
  <c r="I111" i="14"/>
  <c r="I112" i="14"/>
  <c r="I18" i="14"/>
  <c r="Q8" i="14"/>
  <c r="X232" i="16"/>
  <c r="X234" i="16"/>
  <c r="X235" i="16"/>
  <c r="X236" i="16"/>
  <c r="X237" i="16"/>
  <c r="X238" i="16"/>
  <c r="X239" i="16"/>
  <c r="X240" i="16"/>
  <c r="X241" i="16"/>
  <c r="X242" i="16"/>
  <c r="X243" i="16"/>
  <c r="X244" i="16"/>
  <c r="X245" i="16"/>
  <c r="X246" i="16"/>
  <c r="X247" i="16"/>
  <c r="X248" i="16"/>
  <c r="CT248" i="16"/>
  <c r="X249" i="16"/>
  <c r="X250" i="16"/>
  <c r="X251" i="16"/>
  <c r="X252" i="16"/>
  <c r="X253" i="16"/>
  <c r="X254" i="16"/>
  <c r="X255" i="16"/>
  <c r="X256" i="16"/>
  <c r="X257" i="16"/>
  <c r="X258" i="16"/>
  <c r="CK258" i="16"/>
  <c r="X259" i="16"/>
  <c r="X260" i="16"/>
  <c r="X261" i="16"/>
  <c r="X262" i="16"/>
  <c r="X263" i="16"/>
  <c r="X264" i="16"/>
  <c r="X265" i="16"/>
  <c r="X266" i="16"/>
  <c r="X267" i="16"/>
  <c r="X268" i="16"/>
  <c r="X269" i="16"/>
  <c r="X270" i="16"/>
  <c r="X271" i="16"/>
  <c r="X272" i="16"/>
  <c r="X273" i="16"/>
  <c r="X274" i="16"/>
  <c r="X275" i="16"/>
  <c r="X276" i="16"/>
  <c r="X277" i="16"/>
  <c r="X278" i="16"/>
  <c r="X279" i="16"/>
  <c r="X280" i="16"/>
  <c r="X281" i="16"/>
  <c r="X282" i="16"/>
  <c r="X283" i="16"/>
  <c r="X284" i="16"/>
  <c r="X285" i="16"/>
  <c r="X286" i="16"/>
  <c r="X287" i="16"/>
  <c r="X288" i="16"/>
  <c r="X289" i="16"/>
  <c r="X290" i="16"/>
  <c r="X291" i="16"/>
  <c r="X292" i="16"/>
  <c r="X293" i="16"/>
  <c r="X294" i="16"/>
  <c r="X295" i="16"/>
  <c r="X296" i="16"/>
  <c r="X297" i="16"/>
  <c r="X298" i="16"/>
  <c r="X299" i="16"/>
  <c r="X300" i="16"/>
  <c r="X301" i="16"/>
  <c r="X302" i="16"/>
  <c r="X303" i="16"/>
  <c r="X304" i="16"/>
  <c r="X305" i="16"/>
  <c r="X306" i="16"/>
  <c r="X307" i="16"/>
  <c r="X308" i="16"/>
  <c r="X309" i="16"/>
  <c r="X310" i="16"/>
  <c r="X311" i="16"/>
  <c r="X312" i="16"/>
  <c r="X313" i="16"/>
  <c r="X314" i="16"/>
  <c r="X315" i="16"/>
  <c r="X316" i="16"/>
  <c r="X317" i="16"/>
  <c r="X318" i="16"/>
  <c r="X319" i="16"/>
  <c r="X320" i="16"/>
  <c r="X321" i="16"/>
  <c r="X322" i="16"/>
  <c r="X323" i="16"/>
  <c r="X324" i="16"/>
  <c r="X325" i="16"/>
  <c r="X326" i="16"/>
  <c r="X327" i="16"/>
  <c r="X328" i="16"/>
  <c r="X329" i="16"/>
  <c r="X330" i="16"/>
  <c r="X331" i="16"/>
  <c r="X332" i="16"/>
  <c r="X333" i="16"/>
  <c r="X334" i="16"/>
  <c r="X335" i="16"/>
  <c r="X336" i="16"/>
  <c r="X337" i="16"/>
  <c r="X338" i="16"/>
  <c r="X339" i="16"/>
  <c r="X340" i="16"/>
  <c r="X341" i="16"/>
  <c r="X342" i="16"/>
  <c r="X343" i="16"/>
  <c r="X344" i="16"/>
  <c r="X345" i="16"/>
  <c r="X346" i="16"/>
  <c r="X347" i="16"/>
  <c r="X348" i="16"/>
  <c r="X349" i="16"/>
  <c r="X350" i="16"/>
  <c r="X351" i="16"/>
  <c r="X352" i="16"/>
  <c r="X353" i="16"/>
  <c r="X354" i="16"/>
  <c r="X355" i="16"/>
  <c r="X356" i="16"/>
  <c r="X357" i="16"/>
  <c r="X358" i="16"/>
  <c r="X359" i="16"/>
  <c r="X360" i="16"/>
  <c r="X361" i="16"/>
  <c r="X362" i="16"/>
  <c r="X363" i="16"/>
  <c r="X364" i="16"/>
  <c r="X365" i="16"/>
  <c r="X366" i="16"/>
  <c r="X367" i="16"/>
  <c r="X368" i="16"/>
  <c r="X369" i="16"/>
  <c r="X370" i="16"/>
  <c r="X371" i="16"/>
  <c r="X372" i="16"/>
  <c r="X373" i="16"/>
  <c r="X374" i="16"/>
  <c r="X375" i="16"/>
  <c r="X376" i="16"/>
  <c r="X377" i="16"/>
  <c r="X378" i="16"/>
  <c r="X379" i="16"/>
  <c r="X380" i="16"/>
  <c r="X381" i="16"/>
  <c r="X382" i="16"/>
  <c r="X383" i="16"/>
  <c r="X384" i="16"/>
  <c r="X385" i="16"/>
  <c r="X386" i="16"/>
  <c r="X387" i="16"/>
  <c r="X388" i="16"/>
  <c r="X389" i="16"/>
  <c r="X390" i="16"/>
  <c r="X391" i="16"/>
  <c r="X392" i="16"/>
  <c r="X393" i="16"/>
  <c r="X394" i="16"/>
  <c r="X395" i="16"/>
  <c r="X396" i="16"/>
  <c r="X397" i="16"/>
  <c r="X398" i="16"/>
  <c r="X399" i="16"/>
  <c r="X400" i="16"/>
  <c r="X401" i="16"/>
  <c r="X402" i="16"/>
  <c r="X403" i="16"/>
  <c r="X404" i="16"/>
  <c r="X405" i="16"/>
  <c r="X406" i="16"/>
  <c r="X407" i="16"/>
  <c r="X408" i="16"/>
  <c r="X409" i="16"/>
  <c r="X410" i="16"/>
  <c r="X411" i="16"/>
  <c r="X412" i="16"/>
  <c r="X413" i="16"/>
  <c r="X414" i="16"/>
  <c r="X415" i="16"/>
  <c r="X416" i="16"/>
  <c r="X417" i="16"/>
  <c r="X418" i="16"/>
  <c r="X419" i="16"/>
  <c r="X420" i="16"/>
  <c r="X421" i="16"/>
  <c r="X422" i="16"/>
  <c r="X423" i="16"/>
  <c r="X424" i="16"/>
  <c r="X425" i="16"/>
  <c r="X426" i="16"/>
  <c r="X427" i="16"/>
  <c r="X428" i="16"/>
  <c r="X429" i="16"/>
  <c r="X430" i="16"/>
  <c r="X431" i="16"/>
  <c r="X432" i="16"/>
  <c r="X433" i="16"/>
  <c r="X434" i="16"/>
  <c r="X435" i="16"/>
  <c r="X436" i="16"/>
  <c r="X437" i="16"/>
  <c r="X438" i="16"/>
  <c r="X439" i="16"/>
  <c r="X440" i="16"/>
  <c r="X441" i="16"/>
  <c r="X442" i="16"/>
  <c r="X443" i="16"/>
  <c r="X444" i="16"/>
  <c r="X445" i="16"/>
  <c r="X446" i="16"/>
  <c r="X447" i="16"/>
  <c r="X448" i="16"/>
  <c r="X449" i="16"/>
  <c r="X450" i="16"/>
  <c r="X451" i="16"/>
  <c r="X452" i="16"/>
  <c r="X453" i="16"/>
  <c r="X454" i="16"/>
  <c r="X455" i="16"/>
  <c r="X456" i="16"/>
  <c r="X457" i="16"/>
  <c r="X458" i="16"/>
  <c r="X459" i="16"/>
  <c r="X460" i="16"/>
  <c r="X461" i="16"/>
  <c r="X462" i="16"/>
  <c r="X463" i="16"/>
  <c r="X464" i="16"/>
  <c r="X465" i="16"/>
  <c r="X466" i="16"/>
  <c r="X467" i="16"/>
  <c r="X468" i="16"/>
  <c r="X469" i="16"/>
  <c r="X470" i="16"/>
  <c r="X471" i="16"/>
  <c r="X472" i="16"/>
  <c r="X473" i="16"/>
  <c r="X474" i="16"/>
  <c r="X475" i="16"/>
  <c r="X476" i="16"/>
  <c r="X477" i="16"/>
  <c r="X478" i="16"/>
  <c r="X479" i="16"/>
  <c r="X480" i="16"/>
  <c r="X481" i="16"/>
  <c r="X482" i="16"/>
  <c r="X483" i="16"/>
  <c r="X484" i="16"/>
  <c r="X485" i="16"/>
  <c r="X486" i="16"/>
  <c r="X487" i="16"/>
  <c r="X488" i="16"/>
  <c r="X489" i="16"/>
  <c r="X490" i="16"/>
  <c r="X491" i="16"/>
  <c r="X492" i="16"/>
  <c r="X493" i="16"/>
  <c r="X494" i="16"/>
  <c r="X495" i="16"/>
  <c r="X496" i="16"/>
  <c r="X497" i="16"/>
  <c r="X498" i="16"/>
  <c r="X499" i="16"/>
  <c r="X500" i="16"/>
  <c r="X501" i="16"/>
  <c r="X502" i="16"/>
  <c r="X503" i="16"/>
  <c r="X504" i="16"/>
  <c r="X505" i="16"/>
  <c r="X506" i="16"/>
  <c r="X507" i="16"/>
  <c r="X508" i="16"/>
  <c r="X509" i="16"/>
  <c r="X510" i="16"/>
  <c r="X511" i="16"/>
  <c r="X512" i="16"/>
  <c r="X513" i="16"/>
  <c r="X514" i="16"/>
  <c r="X515" i="16"/>
  <c r="X516" i="16"/>
  <c r="M409" i="16"/>
  <c r="N516" i="16"/>
  <c r="M516" i="16"/>
  <c r="M261" i="16"/>
  <c r="N261" i="16"/>
  <c r="M262" i="16"/>
  <c r="N262" i="16"/>
  <c r="M263" i="16"/>
  <c r="N263" i="16"/>
  <c r="M264" i="16"/>
  <c r="N264" i="16"/>
  <c r="M265" i="16"/>
  <c r="N265" i="16"/>
  <c r="M266" i="16"/>
  <c r="N266" i="16"/>
  <c r="M267" i="16"/>
  <c r="N267" i="16"/>
  <c r="M268" i="16"/>
  <c r="N268" i="16"/>
  <c r="M269" i="16"/>
  <c r="N269" i="16"/>
  <c r="M270" i="16"/>
  <c r="N270" i="16"/>
  <c r="M271" i="16"/>
  <c r="N271" i="16"/>
  <c r="M272" i="16"/>
  <c r="N272" i="16"/>
  <c r="M273" i="16"/>
  <c r="N273" i="16"/>
  <c r="M274" i="16"/>
  <c r="N274" i="16"/>
  <c r="M275" i="16"/>
  <c r="N275" i="16"/>
  <c r="M276" i="16"/>
  <c r="N276" i="16"/>
  <c r="M277" i="16"/>
  <c r="N277" i="16"/>
  <c r="M278" i="16"/>
  <c r="N278" i="16"/>
  <c r="M279" i="16"/>
  <c r="N279" i="16"/>
  <c r="M280" i="16"/>
  <c r="N280" i="16"/>
  <c r="M281" i="16"/>
  <c r="N281" i="16"/>
  <c r="M282" i="16"/>
  <c r="N282" i="16"/>
  <c r="M283" i="16"/>
  <c r="N283" i="16"/>
  <c r="M284" i="16"/>
  <c r="N284" i="16"/>
  <c r="M285" i="16"/>
  <c r="N285" i="16"/>
  <c r="M286" i="16"/>
  <c r="N286" i="16"/>
  <c r="M287" i="16"/>
  <c r="N287" i="16"/>
  <c r="M288" i="16"/>
  <c r="N288" i="16"/>
  <c r="M289" i="16"/>
  <c r="N289" i="16"/>
  <c r="M290" i="16"/>
  <c r="N290" i="16"/>
  <c r="M291" i="16"/>
  <c r="N291" i="16"/>
  <c r="M292" i="16"/>
  <c r="N292" i="16"/>
  <c r="M293" i="16"/>
  <c r="N293" i="16"/>
  <c r="M294" i="16"/>
  <c r="N294" i="16"/>
  <c r="M295" i="16"/>
  <c r="N295" i="16"/>
  <c r="M296" i="16"/>
  <c r="N296" i="16"/>
  <c r="M297" i="16"/>
  <c r="N297" i="16"/>
  <c r="M298" i="16"/>
  <c r="N298" i="16"/>
  <c r="M299" i="16"/>
  <c r="N299" i="16"/>
  <c r="M300" i="16"/>
  <c r="N300" i="16"/>
  <c r="M301" i="16"/>
  <c r="N301" i="16"/>
  <c r="M302" i="16"/>
  <c r="N302" i="16"/>
  <c r="M303" i="16"/>
  <c r="N303" i="16"/>
  <c r="M304" i="16"/>
  <c r="N304" i="16"/>
  <c r="M305" i="16"/>
  <c r="N305" i="16"/>
  <c r="M306" i="16"/>
  <c r="N306" i="16"/>
  <c r="M307" i="16"/>
  <c r="N307" i="16"/>
  <c r="M308" i="16"/>
  <c r="N308" i="16"/>
  <c r="M309" i="16"/>
  <c r="N309" i="16"/>
  <c r="M310" i="16"/>
  <c r="N310" i="16"/>
  <c r="M311" i="16"/>
  <c r="N311" i="16"/>
  <c r="M312" i="16"/>
  <c r="N312" i="16"/>
  <c r="M313" i="16"/>
  <c r="N313" i="16"/>
  <c r="M314" i="16"/>
  <c r="N314" i="16"/>
  <c r="M315" i="16"/>
  <c r="N315" i="16"/>
  <c r="M316" i="16"/>
  <c r="N316" i="16"/>
  <c r="M317" i="16"/>
  <c r="N317" i="16"/>
  <c r="M318" i="16"/>
  <c r="N318" i="16"/>
  <c r="M319" i="16"/>
  <c r="N319" i="16"/>
  <c r="M320" i="16"/>
  <c r="N320" i="16"/>
  <c r="M321" i="16"/>
  <c r="N321" i="16"/>
  <c r="M322" i="16"/>
  <c r="N322" i="16"/>
  <c r="M323" i="16"/>
  <c r="N323" i="16"/>
  <c r="M324" i="16"/>
  <c r="N324" i="16"/>
  <c r="M325" i="16"/>
  <c r="N325" i="16"/>
  <c r="M326" i="16"/>
  <c r="N326" i="16"/>
  <c r="M327" i="16"/>
  <c r="N327" i="16"/>
  <c r="M328" i="16"/>
  <c r="N328" i="16"/>
  <c r="M329" i="16"/>
  <c r="N329" i="16"/>
  <c r="M330" i="16"/>
  <c r="N330" i="16"/>
  <c r="M331" i="16"/>
  <c r="N331" i="16"/>
  <c r="M332" i="16"/>
  <c r="N332" i="16"/>
  <c r="M333" i="16"/>
  <c r="N333" i="16"/>
  <c r="M334" i="16"/>
  <c r="N334" i="16"/>
  <c r="M335" i="16"/>
  <c r="N335" i="16"/>
  <c r="M336" i="16"/>
  <c r="N336" i="16"/>
  <c r="M337" i="16"/>
  <c r="N337" i="16"/>
  <c r="M338" i="16"/>
  <c r="N338" i="16"/>
  <c r="M339" i="16"/>
  <c r="N339" i="16"/>
  <c r="M340" i="16"/>
  <c r="N340" i="16"/>
  <c r="M341" i="16"/>
  <c r="N341" i="16"/>
  <c r="M342" i="16"/>
  <c r="N342" i="16"/>
  <c r="M343" i="16"/>
  <c r="N343" i="16"/>
  <c r="M344" i="16"/>
  <c r="N344" i="16"/>
  <c r="M345" i="16"/>
  <c r="N345" i="16"/>
  <c r="M346" i="16"/>
  <c r="N346" i="16"/>
  <c r="M347" i="16"/>
  <c r="N347" i="16"/>
  <c r="M348" i="16"/>
  <c r="N348" i="16"/>
  <c r="M349" i="16"/>
  <c r="N349" i="16"/>
  <c r="M350" i="16"/>
  <c r="N350" i="16"/>
  <c r="M351" i="16"/>
  <c r="N351" i="16"/>
  <c r="M352" i="16"/>
  <c r="N352" i="16"/>
  <c r="M353" i="16"/>
  <c r="N353" i="16"/>
  <c r="M354" i="16"/>
  <c r="N354" i="16"/>
  <c r="M355" i="16"/>
  <c r="N355" i="16"/>
  <c r="M356" i="16"/>
  <c r="N356" i="16"/>
  <c r="M357" i="16"/>
  <c r="N357" i="16"/>
  <c r="M358" i="16"/>
  <c r="N358" i="16"/>
  <c r="M359" i="16"/>
  <c r="N359" i="16"/>
  <c r="M360" i="16"/>
  <c r="N360" i="16"/>
  <c r="M361" i="16"/>
  <c r="N361" i="16"/>
  <c r="M362" i="16"/>
  <c r="N362" i="16"/>
  <c r="M363" i="16"/>
  <c r="N363" i="16"/>
  <c r="M364" i="16"/>
  <c r="N364" i="16"/>
  <c r="M365" i="16"/>
  <c r="N365" i="16"/>
  <c r="M366" i="16"/>
  <c r="N366" i="16"/>
  <c r="M367" i="16"/>
  <c r="N367" i="16"/>
  <c r="M368" i="16"/>
  <c r="N368" i="16"/>
  <c r="M369" i="16"/>
  <c r="N369" i="16"/>
  <c r="M370" i="16"/>
  <c r="N370" i="16"/>
  <c r="M371" i="16"/>
  <c r="N371" i="16"/>
  <c r="M372" i="16"/>
  <c r="N372" i="16"/>
  <c r="M373" i="16"/>
  <c r="N373" i="16"/>
  <c r="M374" i="16"/>
  <c r="N374" i="16"/>
  <c r="M375" i="16"/>
  <c r="N375" i="16"/>
  <c r="M376" i="16"/>
  <c r="N376" i="16"/>
  <c r="M377" i="16"/>
  <c r="N377" i="16"/>
  <c r="M378" i="16"/>
  <c r="N378" i="16"/>
  <c r="M379" i="16"/>
  <c r="N379" i="16"/>
  <c r="M380" i="16"/>
  <c r="N380" i="16"/>
  <c r="M381" i="16"/>
  <c r="N381" i="16"/>
  <c r="M382" i="16"/>
  <c r="N382" i="16"/>
  <c r="M383" i="16"/>
  <c r="N383" i="16"/>
  <c r="M384" i="16"/>
  <c r="N384" i="16"/>
  <c r="M385" i="16"/>
  <c r="N385" i="16"/>
  <c r="M386" i="16"/>
  <c r="N386" i="16"/>
  <c r="M387" i="16"/>
  <c r="N387" i="16"/>
  <c r="M388" i="16"/>
  <c r="N388" i="16"/>
  <c r="M389" i="16"/>
  <c r="N389" i="16"/>
  <c r="M390" i="16"/>
  <c r="N390" i="16"/>
  <c r="M391" i="16"/>
  <c r="N391" i="16"/>
  <c r="M392" i="16"/>
  <c r="N392" i="16"/>
  <c r="M393" i="16"/>
  <c r="N393" i="16"/>
  <c r="M394" i="16"/>
  <c r="N394" i="16"/>
  <c r="M395" i="16"/>
  <c r="N395" i="16"/>
  <c r="M396" i="16"/>
  <c r="N396" i="16"/>
  <c r="M397" i="16"/>
  <c r="N397" i="16"/>
  <c r="M398" i="16"/>
  <c r="N398" i="16"/>
  <c r="M399" i="16"/>
  <c r="N399" i="16"/>
  <c r="M400" i="16"/>
  <c r="N400" i="16"/>
  <c r="M401" i="16"/>
  <c r="N401" i="16"/>
  <c r="M402" i="16"/>
  <c r="N402" i="16"/>
  <c r="M403" i="16"/>
  <c r="N403" i="16"/>
  <c r="M404" i="16"/>
  <c r="N404" i="16"/>
  <c r="M405" i="16"/>
  <c r="N405" i="16"/>
  <c r="M406" i="16"/>
  <c r="N406" i="16"/>
  <c r="M407" i="16"/>
  <c r="N407" i="16"/>
  <c r="M408" i="16"/>
  <c r="N408" i="16"/>
  <c r="N409" i="16"/>
  <c r="M410" i="16"/>
  <c r="N410" i="16"/>
  <c r="M411" i="16"/>
  <c r="N411" i="16"/>
  <c r="M412" i="16"/>
  <c r="N412" i="16"/>
  <c r="M413" i="16"/>
  <c r="N413" i="16"/>
  <c r="M414" i="16"/>
  <c r="N414" i="16"/>
  <c r="M415" i="16"/>
  <c r="N415" i="16"/>
  <c r="M416" i="16"/>
  <c r="N416" i="16"/>
  <c r="M417" i="16"/>
  <c r="N417" i="16"/>
  <c r="M418" i="16"/>
  <c r="N418" i="16"/>
  <c r="M419" i="16"/>
  <c r="N419" i="16"/>
  <c r="M420" i="16"/>
  <c r="N420" i="16"/>
  <c r="M421" i="16"/>
  <c r="N421" i="16"/>
  <c r="M422" i="16"/>
  <c r="N422" i="16"/>
  <c r="M423" i="16"/>
  <c r="N423" i="16"/>
  <c r="M424" i="16"/>
  <c r="N424" i="16"/>
  <c r="M425" i="16"/>
  <c r="N425" i="16"/>
  <c r="M426" i="16"/>
  <c r="N426" i="16"/>
  <c r="M427" i="16"/>
  <c r="N427" i="16"/>
  <c r="M428" i="16"/>
  <c r="N428" i="16"/>
  <c r="M429" i="16"/>
  <c r="N429" i="16"/>
  <c r="M430" i="16"/>
  <c r="N430" i="16"/>
  <c r="M431" i="16"/>
  <c r="N431" i="16"/>
  <c r="M432" i="16"/>
  <c r="N432" i="16"/>
  <c r="M433" i="16"/>
  <c r="N433" i="16"/>
  <c r="M434" i="16"/>
  <c r="N434" i="16"/>
  <c r="M435" i="16"/>
  <c r="N435" i="16"/>
  <c r="M436" i="16"/>
  <c r="N436" i="16"/>
  <c r="M437" i="16"/>
  <c r="N437" i="16"/>
  <c r="M438" i="16"/>
  <c r="N438" i="16"/>
  <c r="M439" i="16"/>
  <c r="N439" i="16"/>
  <c r="M440" i="16"/>
  <c r="N440" i="16"/>
  <c r="M441" i="16"/>
  <c r="N441" i="16"/>
  <c r="M442" i="16"/>
  <c r="N442" i="16"/>
  <c r="M443" i="16"/>
  <c r="N443" i="16"/>
  <c r="M444" i="16"/>
  <c r="N444" i="16"/>
  <c r="M445" i="16"/>
  <c r="N445" i="16"/>
  <c r="M446" i="16"/>
  <c r="N446" i="16"/>
  <c r="M447" i="16"/>
  <c r="N447" i="16"/>
  <c r="M448" i="16"/>
  <c r="N448" i="16"/>
  <c r="M449" i="16"/>
  <c r="N449" i="16"/>
  <c r="M450" i="16"/>
  <c r="N450" i="16"/>
  <c r="M451" i="16"/>
  <c r="N451" i="16"/>
  <c r="M452" i="16"/>
  <c r="N452" i="16"/>
  <c r="M453" i="16"/>
  <c r="N453" i="16"/>
  <c r="M454" i="16"/>
  <c r="N454" i="16"/>
  <c r="M455" i="16"/>
  <c r="N455" i="16"/>
  <c r="M456" i="16"/>
  <c r="N456" i="16"/>
  <c r="M457" i="16"/>
  <c r="N457" i="16"/>
  <c r="M458" i="16"/>
  <c r="N458" i="16"/>
  <c r="M459" i="16"/>
  <c r="N459" i="16"/>
  <c r="M460" i="16"/>
  <c r="N460" i="16"/>
  <c r="M461" i="16"/>
  <c r="N461" i="16"/>
  <c r="M462" i="16"/>
  <c r="N462" i="16"/>
  <c r="M463" i="16"/>
  <c r="N463" i="16"/>
  <c r="M464" i="16"/>
  <c r="N464" i="16"/>
  <c r="M465" i="16"/>
  <c r="N465" i="16"/>
  <c r="M466" i="16"/>
  <c r="N466" i="16"/>
  <c r="M467" i="16"/>
  <c r="N467" i="16"/>
  <c r="M468" i="16"/>
  <c r="N468" i="16"/>
  <c r="M469" i="16"/>
  <c r="N469" i="16"/>
  <c r="M470" i="16"/>
  <c r="N470" i="16"/>
  <c r="M471" i="16"/>
  <c r="N471" i="16"/>
  <c r="M472" i="16"/>
  <c r="N472" i="16"/>
  <c r="M473" i="16"/>
  <c r="N473" i="16"/>
  <c r="M474" i="16"/>
  <c r="N474" i="16"/>
  <c r="M475" i="16"/>
  <c r="N475" i="16"/>
  <c r="M476" i="16"/>
  <c r="N476" i="16"/>
  <c r="M477" i="16"/>
  <c r="N477" i="16"/>
  <c r="M478" i="16"/>
  <c r="N478" i="16"/>
  <c r="M479" i="16"/>
  <c r="N479" i="16"/>
  <c r="M480" i="16"/>
  <c r="N480" i="16"/>
  <c r="M481" i="16"/>
  <c r="N481" i="16"/>
  <c r="M482" i="16"/>
  <c r="N482" i="16"/>
  <c r="M483" i="16"/>
  <c r="N483" i="16"/>
  <c r="M484" i="16"/>
  <c r="N484" i="16"/>
  <c r="M485" i="16"/>
  <c r="N485" i="16"/>
  <c r="M486" i="16"/>
  <c r="N486" i="16"/>
  <c r="M487" i="16"/>
  <c r="N487" i="16"/>
  <c r="M488" i="16"/>
  <c r="N488" i="16"/>
  <c r="M489" i="16"/>
  <c r="N489" i="16"/>
  <c r="M490" i="16"/>
  <c r="N490" i="16"/>
  <c r="M491" i="16"/>
  <c r="N491" i="16"/>
  <c r="M492" i="16"/>
  <c r="N492" i="16"/>
  <c r="M493" i="16"/>
  <c r="N493" i="16"/>
  <c r="M494" i="16"/>
  <c r="N494" i="16"/>
  <c r="M495" i="16"/>
  <c r="N495" i="16"/>
  <c r="M496" i="16"/>
  <c r="N496" i="16"/>
  <c r="M497" i="16"/>
  <c r="N497" i="16"/>
  <c r="M498" i="16"/>
  <c r="N498" i="16"/>
  <c r="M499" i="16"/>
  <c r="N499" i="16"/>
  <c r="M500" i="16"/>
  <c r="N500" i="16"/>
  <c r="M501" i="16"/>
  <c r="N501" i="16"/>
  <c r="M502" i="16"/>
  <c r="N502" i="16"/>
  <c r="M503" i="16"/>
  <c r="N503" i="16"/>
  <c r="M504" i="16"/>
  <c r="N504" i="16"/>
  <c r="M505" i="16"/>
  <c r="N505" i="16"/>
  <c r="M506" i="16"/>
  <c r="N506" i="16"/>
  <c r="M507" i="16"/>
  <c r="N507" i="16"/>
  <c r="M508" i="16"/>
  <c r="N508" i="16"/>
  <c r="M509" i="16"/>
  <c r="N509" i="16"/>
  <c r="M510" i="16"/>
  <c r="N510" i="16"/>
  <c r="M511" i="16"/>
  <c r="N511" i="16"/>
  <c r="M512" i="16"/>
  <c r="N512" i="16"/>
  <c r="M513" i="16"/>
  <c r="N513" i="16"/>
  <c r="M514" i="16"/>
  <c r="N514" i="16"/>
  <c r="M515" i="16"/>
  <c r="N515" i="16"/>
  <c r="M231" i="16"/>
  <c r="N231" i="16"/>
  <c r="M237" i="16"/>
  <c r="N237" i="16"/>
  <c r="M238" i="16"/>
  <c r="N238" i="16"/>
  <c r="M239" i="16"/>
  <c r="N239" i="16"/>
  <c r="M240" i="16"/>
  <c r="N240" i="16"/>
  <c r="M241" i="16"/>
  <c r="N241" i="16"/>
  <c r="M242" i="16"/>
  <c r="N242" i="16"/>
  <c r="M243" i="16"/>
  <c r="N243" i="16"/>
  <c r="M244" i="16"/>
  <c r="N244" i="16"/>
  <c r="M245" i="16"/>
  <c r="N245" i="16"/>
  <c r="M246" i="16"/>
  <c r="N246" i="16"/>
  <c r="M247" i="16"/>
  <c r="N247" i="16"/>
  <c r="M248" i="16"/>
  <c r="N248" i="16"/>
  <c r="M249" i="16"/>
  <c r="N249" i="16"/>
  <c r="M250" i="16"/>
  <c r="N250" i="16"/>
  <c r="M251" i="16"/>
  <c r="N251" i="16"/>
  <c r="M252" i="16"/>
  <c r="N252" i="16"/>
  <c r="M253" i="16"/>
  <c r="N253" i="16"/>
  <c r="M254" i="16"/>
  <c r="N254" i="16"/>
  <c r="M255" i="16"/>
  <c r="N255" i="16"/>
  <c r="M256" i="16"/>
  <c r="N256" i="16"/>
  <c r="M257" i="16"/>
  <c r="N257" i="16"/>
  <c r="M258" i="16"/>
  <c r="N258" i="16"/>
  <c r="M259" i="16"/>
  <c r="N259" i="16"/>
  <c r="M260" i="16"/>
  <c r="N260" i="16"/>
  <c r="J185" i="8"/>
  <c r="AB143" i="8" a="1"/>
  <c r="AB143" i="8" s="1"/>
  <c r="AA143" i="8" a="1"/>
  <c r="AA143" i="8" s="1"/>
  <c r="AE151" i="8" a="1"/>
  <c r="AE151" i="8" s="1"/>
  <c r="AD151" i="8" a="1"/>
  <c r="AD151" i="8" s="1"/>
  <c r="AE150" i="8" a="1"/>
  <c r="AE150" i="8" s="1"/>
  <c r="AD150" i="8" a="1"/>
  <c r="AD150" i="8" s="1"/>
  <c r="AE149" i="8" a="1"/>
  <c r="AE149" i="8" s="1"/>
  <c r="AD149" i="8" a="1"/>
  <c r="AD149" i="8" s="1"/>
  <c r="AE148" i="8" a="1"/>
  <c r="AE148" i="8" s="1"/>
  <c r="AD148" i="8" a="1"/>
  <c r="AD148" i="8" s="1"/>
  <c r="AE147" i="8" a="1"/>
  <c r="AE147" i="8" s="1"/>
  <c r="AD147" i="8" a="1"/>
  <c r="AD147" i="8" s="1"/>
  <c r="AE146" i="8" a="1"/>
  <c r="AE146" i="8" s="1"/>
  <c r="AD146" i="8" a="1"/>
  <c r="AD146" i="8" s="1"/>
  <c r="AE145" i="8" a="1"/>
  <c r="AE145" i="8" s="1"/>
  <c r="AD145" i="8" a="1"/>
  <c r="AD145" i="8" s="1"/>
  <c r="AE144" i="8" a="1"/>
  <c r="AE144" i="8" s="1"/>
  <c r="AD144" i="8" a="1"/>
  <c r="AD144" i="8" s="1"/>
  <c r="AE143" i="8" a="1"/>
  <c r="AE143" i="8" s="1"/>
  <c r="AD143" i="8" a="1"/>
  <c r="AD143" i="8" s="1"/>
  <c r="AB151" i="8" a="1"/>
  <c r="AB151" i="8" s="1"/>
  <c r="AA151" i="8" a="1"/>
  <c r="AA151" i="8" s="1"/>
  <c r="AB150" i="8" a="1"/>
  <c r="AB150" i="8" s="1"/>
  <c r="AA150" i="8" a="1"/>
  <c r="AA150" i="8" s="1"/>
  <c r="AB149" i="8" a="1"/>
  <c r="AB149" i="8" s="1"/>
  <c r="AA149" i="8" a="1"/>
  <c r="AA149" i="8" s="1"/>
  <c r="AB148" i="8" a="1"/>
  <c r="AB148" i="8" s="1"/>
  <c r="AA148" i="8" a="1"/>
  <c r="AA148" i="8" s="1"/>
  <c r="AB147" i="8" a="1"/>
  <c r="AB147" i="8" s="1"/>
  <c r="AA147" i="8" a="1"/>
  <c r="AA147" i="8" s="1"/>
  <c r="AB146" i="8" a="1"/>
  <c r="AB146" i="8" s="1"/>
  <c r="AA146" i="8" a="1"/>
  <c r="AA146" i="8" s="1"/>
  <c r="AB145" i="8" a="1"/>
  <c r="AB145" i="8" s="1"/>
  <c r="AA145" i="8" a="1"/>
  <c r="AA145" i="8" s="1"/>
  <c r="AB144" i="8" a="1"/>
  <c r="AB144" i="8" s="1"/>
  <c r="AA144" i="8" a="1"/>
  <c r="AA144" i="8" s="1"/>
  <c r="U185" i="8"/>
  <c r="I139" i="8"/>
  <c r="M139" i="8" s="1"/>
  <c r="O139" i="8" s="1"/>
  <c r="C131" i="8"/>
  <c r="D131" i="8"/>
  <c r="E131" i="8"/>
  <c r="F131" i="8"/>
  <c r="G131" i="8"/>
  <c r="H131" i="8"/>
  <c r="I131" i="8"/>
  <c r="J131" i="8"/>
  <c r="K131" i="8"/>
  <c r="L131" i="8"/>
  <c r="M131" i="8"/>
  <c r="N131" i="8"/>
  <c r="O131" i="8"/>
  <c r="P131" i="8"/>
  <c r="Q131" i="8"/>
  <c r="R131" i="8"/>
  <c r="S131" i="8"/>
  <c r="T131" i="8"/>
  <c r="U131" i="8"/>
  <c r="V131" i="8"/>
  <c r="W131" i="8"/>
  <c r="X131" i="8"/>
  <c r="Y131" i="8"/>
  <c r="Z131" i="8"/>
  <c r="AA131" i="8"/>
  <c r="AJ131" i="8"/>
  <c r="AK131" i="8"/>
  <c r="AL131" i="8"/>
  <c r="AM131" i="8"/>
  <c r="B131" i="8"/>
  <c r="AN76" i="8"/>
  <c r="AN77" i="8"/>
  <c r="AN78" i="8"/>
  <c r="AN79" i="8"/>
  <c r="AN80" i="8"/>
  <c r="AN81" i="8"/>
  <c r="AN82" i="8"/>
  <c r="AN83" i="8"/>
  <c r="AN84" i="8"/>
  <c r="AN85" i="8"/>
  <c r="AN86" i="8"/>
  <c r="AN87" i="8"/>
  <c r="AN88" i="8"/>
  <c r="AN89" i="8"/>
  <c r="AN90" i="8"/>
  <c r="AN91" i="8"/>
  <c r="AN92" i="8"/>
  <c r="AN93" i="8"/>
  <c r="AN94" i="8"/>
  <c r="AN95" i="8"/>
  <c r="AN96" i="8"/>
  <c r="AN97" i="8"/>
  <c r="AN98" i="8"/>
  <c r="AN99" i="8"/>
  <c r="AN100" i="8"/>
  <c r="AN101" i="8"/>
  <c r="AN102" i="8"/>
  <c r="AN103" i="8"/>
  <c r="AN104" i="8"/>
  <c r="AN105" i="8"/>
  <c r="AN106" i="8"/>
  <c r="AN107" i="8"/>
  <c r="AN108" i="8"/>
  <c r="AN109" i="8"/>
  <c r="AN110" i="8"/>
  <c r="AN111" i="8"/>
  <c r="AN112" i="8"/>
  <c r="AN113" i="8"/>
  <c r="AN114" i="8"/>
  <c r="AN115" i="8"/>
  <c r="AN116" i="8"/>
  <c r="AN117" i="8"/>
  <c r="AN118" i="8"/>
  <c r="AN119" i="8"/>
  <c r="AN120" i="8"/>
  <c r="AN121" i="8"/>
  <c r="AN122" i="8"/>
  <c r="AN123" i="8"/>
  <c r="AN124" i="8"/>
  <c r="AN125" i="8"/>
  <c r="AN126" i="8"/>
  <c r="AN127" i="8"/>
  <c r="AN128" i="8"/>
  <c r="AN129" i="8"/>
  <c r="AN130" i="8"/>
  <c r="AN75" i="8"/>
  <c r="C67" i="8"/>
  <c r="D67" i="8"/>
  <c r="E67" i="8"/>
  <c r="F67" i="8"/>
  <c r="G67" i="8"/>
  <c r="H67" i="8"/>
  <c r="I67" i="8"/>
  <c r="J67" i="8"/>
  <c r="K67" i="8"/>
  <c r="L67" i="8"/>
  <c r="M67" i="8"/>
  <c r="N67" i="8"/>
  <c r="O67" i="8"/>
  <c r="P67" i="8"/>
  <c r="Q67" i="8"/>
  <c r="R67" i="8"/>
  <c r="S67" i="8"/>
  <c r="T67" i="8"/>
  <c r="U67" i="8"/>
  <c r="V67" i="8"/>
  <c r="W67" i="8"/>
  <c r="X67" i="8"/>
  <c r="Y67" i="8"/>
  <c r="Z67" i="8"/>
  <c r="AA67" i="8"/>
  <c r="AJ67" i="8"/>
  <c r="AK67" i="8"/>
  <c r="AL67" i="8"/>
  <c r="AM67" i="8"/>
  <c r="B67" i="8"/>
  <c r="AN12" i="8"/>
  <c r="AN13" i="8"/>
  <c r="AN14" i="8"/>
  <c r="AN15" i="8"/>
  <c r="AN16" i="8"/>
  <c r="AN17" i="8"/>
  <c r="AN18" i="8"/>
  <c r="AN19" i="8"/>
  <c r="AN20" i="8"/>
  <c r="AN21" i="8"/>
  <c r="AN22" i="8"/>
  <c r="AN23" i="8"/>
  <c r="AN24" i="8"/>
  <c r="AN25" i="8"/>
  <c r="AN26" i="8"/>
  <c r="AN27" i="8"/>
  <c r="AN28" i="8"/>
  <c r="AN29" i="8"/>
  <c r="AN30" i="8"/>
  <c r="AN31" i="8"/>
  <c r="AN32" i="8"/>
  <c r="AN33" i="8"/>
  <c r="AN34" i="8"/>
  <c r="AN35" i="8"/>
  <c r="AN36" i="8"/>
  <c r="AN37" i="8"/>
  <c r="AN38" i="8"/>
  <c r="AN39" i="8"/>
  <c r="AN40" i="8"/>
  <c r="AN41" i="8"/>
  <c r="AN42" i="8"/>
  <c r="AN43" i="8"/>
  <c r="AN44" i="8"/>
  <c r="AN45" i="8"/>
  <c r="AN46" i="8"/>
  <c r="AN47" i="8"/>
  <c r="AN48" i="8"/>
  <c r="AN49" i="8"/>
  <c r="AN50" i="8"/>
  <c r="AN51" i="8"/>
  <c r="AN52" i="8"/>
  <c r="AN53" i="8"/>
  <c r="AN54" i="8"/>
  <c r="AN55" i="8"/>
  <c r="AN56" i="8"/>
  <c r="AN57" i="8"/>
  <c r="AN58" i="8"/>
  <c r="AN59" i="8"/>
  <c r="AN60" i="8"/>
  <c r="AN61" i="8"/>
  <c r="AN62" i="8"/>
  <c r="AN63" i="8"/>
  <c r="AN64" i="8"/>
  <c r="AN65" i="8"/>
  <c r="AN66" i="8"/>
  <c r="AN11" i="8"/>
  <c r="C19" i="23" a="1"/>
  <c r="C19" i="23" s="1"/>
  <c r="C20" i="23" l="1" a="1"/>
  <c r="C20" i="23" s="1"/>
  <c r="C26" i="23" a="1"/>
  <c r="C26" i="23" s="1"/>
  <c r="T147" i="8"/>
  <c r="B185" i="8"/>
  <c r="X138" i="8" s="1"/>
  <c r="T146" i="8"/>
  <c r="T181" i="8"/>
  <c r="T176" i="8"/>
  <c r="T148" i="8"/>
  <c r="T184" i="8"/>
  <c r="T180" i="8"/>
  <c r="T168" i="8"/>
  <c r="T164" i="8"/>
  <c r="T160" i="8"/>
  <c r="T156" i="8"/>
  <c r="T179" i="8"/>
  <c r="AC144" i="8"/>
  <c r="T157" i="8"/>
  <c r="X144" i="8" a="1"/>
  <c r="X144" i="8" s="1"/>
  <c r="T177" i="8"/>
  <c r="T173" i="8"/>
  <c r="T165" i="8"/>
  <c r="T161" i="8"/>
  <c r="T153" i="8"/>
  <c r="T145" i="8"/>
  <c r="T141" i="8"/>
  <c r="X150" i="8" a="1"/>
  <c r="X150" i="8" s="1"/>
  <c r="Y147" i="8" a="1"/>
  <c r="Y147" i="8" s="1"/>
  <c r="T183" i="8"/>
  <c r="T175" i="8"/>
  <c r="T171" i="8"/>
  <c r="T163" i="8"/>
  <c r="T159" i="8"/>
  <c r="T155" i="8"/>
  <c r="T151" i="8"/>
  <c r="T143" i="8"/>
  <c r="C125" i="23" a="1"/>
  <c r="C125" i="23" s="1"/>
  <c r="C51" i="23" a="1"/>
  <c r="C51" i="23" s="1"/>
  <c r="B51" i="23" s="1"/>
  <c r="C45" i="23" a="1"/>
  <c r="C45" i="23" s="1"/>
  <c r="B45" i="23" s="1"/>
  <c r="X148" i="8" a="1"/>
  <c r="X148" i="8" s="1"/>
  <c r="T178" i="8"/>
  <c r="T174" i="8"/>
  <c r="T170" i="8"/>
  <c r="T166" i="8"/>
  <c r="T158" i="8"/>
  <c r="T154" i="8"/>
  <c r="T150" i="8"/>
  <c r="R185" i="8"/>
  <c r="G132" i="24"/>
  <c r="I11" i="14"/>
  <c r="C6" i="14" s="1"/>
  <c r="T169" i="8"/>
  <c r="T149" i="8"/>
  <c r="T139" i="8"/>
  <c r="X151" i="8" a="1"/>
  <c r="X151" i="8" s="1"/>
  <c r="X149" i="8" a="1"/>
  <c r="X149" i="8" s="1"/>
  <c r="X147" i="8" a="1"/>
  <c r="X147" i="8" s="1"/>
  <c r="X145" i="8" a="1"/>
  <c r="X145" i="8" s="1"/>
  <c r="T167" i="8"/>
  <c r="Y151" i="8" a="1"/>
  <c r="Y151" i="8" s="1"/>
  <c r="Y149" i="8" a="1"/>
  <c r="Y149" i="8" s="1"/>
  <c r="Y145" i="8" a="1"/>
  <c r="Y145" i="8" s="1"/>
  <c r="Y148" i="8" a="1"/>
  <c r="Y148" i="8" s="1"/>
  <c r="T144" i="8"/>
  <c r="Y150" i="8" a="1"/>
  <c r="Y150" i="8" s="1"/>
  <c r="Y146" i="8" a="1"/>
  <c r="Y146" i="8" s="1"/>
  <c r="Y144" i="8" a="1"/>
  <c r="Y144" i="8" s="1"/>
  <c r="X146" i="8" a="1"/>
  <c r="X146" i="8" s="1"/>
  <c r="T182" i="8"/>
  <c r="T172" i="8"/>
  <c r="T162" i="8"/>
  <c r="T152" i="8"/>
  <c r="T142" i="8"/>
  <c r="S185" i="8"/>
  <c r="AN131" i="8"/>
  <c r="Y143" i="8" a="1"/>
  <c r="Y143" i="8" s="1"/>
  <c r="Z475" i="16"/>
  <c r="Z515" i="16"/>
  <c r="Z415" i="16"/>
  <c r="Z495" i="16"/>
  <c r="CX475" i="16"/>
  <c r="Z455" i="16"/>
  <c r="CO295" i="16"/>
  <c r="Z295" i="16"/>
  <c r="CO275" i="16"/>
  <c r="Z275" i="16"/>
  <c r="Z255" i="16"/>
  <c r="Z235" i="16"/>
  <c r="CO255" i="16"/>
  <c r="Z395" i="16"/>
  <c r="Z375" i="16"/>
  <c r="Z355" i="16"/>
  <c r="CO355" i="16"/>
  <c r="Z315" i="16"/>
  <c r="Z335" i="16"/>
  <c r="Z435" i="16"/>
  <c r="U268" i="16"/>
  <c r="Z514" i="16"/>
  <c r="Z494" i="16"/>
  <c r="Z474" i="16"/>
  <c r="Z454" i="16"/>
  <c r="Z434" i="16"/>
  <c r="Z414" i="16"/>
  <c r="Z394" i="16"/>
  <c r="Z374" i="16"/>
  <c r="Z354" i="16"/>
  <c r="Z334" i="16"/>
  <c r="Z314" i="16"/>
  <c r="Z294" i="16"/>
  <c r="Z274" i="16"/>
  <c r="Z254" i="16"/>
  <c r="Z234" i="16"/>
  <c r="U507" i="16"/>
  <c r="U487" i="16"/>
  <c r="U467" i="16"/>
  <c r="U447" i="16"/>
  <c r="U427" i="16"/>
  <c r="U407" i="16"/>
  <c r="U387" i="16"/>
  <c r="U367" i="16"/>
  <c r="U347" i="16"/>
  <c r="U327" i="16"/>
  <c r="U307" i="16"/>
  <c r="U287" i="16"/>
  <c r="U267" i="16"/>
  <c r="U247" i="16"/>
  <c r="U469" i="16"/>
  <c r="U288" i="16"/>
  <c r="Z513" i="16"/>
  <c r="Z493" i="16"/>
  <c r="Z473" i="16"/>
  <c r="Z453" i="16"/>
  <c r="Z433" i="16"/>
  <c r="Z413" i="16"/>
  <c r="Z393" i="16"/>
  <c r="Z373" i="16"/>
  <c r="Z353" i="16"/>
  <c r="Z333" i="16"/>
  <c r="Z313" i="16"/>
  <c r="Z293" i="16"/>
  <c r="Z273" i="16"/>
  <c r="Z253" i="16"/>
  <c r="Z233" i="16"/>
  <c r="U506" i="16"/>
  <c r="U486" i="16"/>
  <c r="U466" i="16"/>
  <c r="U446" i="16"/>
  <c r="U426" i="16"/>
  <c r="U406" i="16"/>
  <c r="U386" i="16"/>
  <c r="U366" i="16"/>
  <c r="U346" i="16"/>
  <c r="U326" i="16"/>
  <c r="U306" i="16"/>
  <c r="U286" i="16"/>
  <c r="U266" i="16"/>
  <c r="U246" i="16"/>
  <c r="Z336" i="16"/>
  <c r="U248" i="16"/>
  <c r="Z512" i="16"/>
  <c r="Z492" i="16"/>
  <c r="Z472" i="16"/>
  <c r="Z452" i="16"/>
  <c r="Z432" i="16"/>
  <c r="Z412" i="16"/>
  <c r="Z392" i="16"/>
  <c r="Z372" i="16"/>
  <c r="Z352" i="16"/>
  <c r="Z332" i="16"/>
  <c r="Z312" i="16"/>
  <c r="Z292" i="16"/>
  <c r="Z272" i="16"/>
  <c r="Z252" i="16"/>
  <c r="Z232" i="16"/>
  <c r="U505" i="16"/>
  <c r="U485" i="16"/>
  <c r="U465" i="16"/>
  <c r="U445" i="16"/>
  <c r="U425" i="16"/>
  <c r="U405" i="16"/>
  <c r="U385" i="16"/>
  <c r="U365" i="16"/>
  <c r="U345" i="16"/>
  <c r="U325" i="16"/>
  <c r="U305" i="16"/>
  <c r="U285" i="16"/>
  <c r="U265" i="16"/>
  <c r="U245" i="16"/>
  <c r="U328" i="16"/>
  <c r="Z511" i="16"/>
  <c r="Z491" i="16"/>
  <c r="Z471" i="16"/>
  <c r="Z451" i="16"/>
  <c r="Z431" i="16"/>
  <c r="Z411" i="16"/>
  <c r="Z391" i="16"/>
  <c r="Z371" i="16"/>
  <c r="Z351" i="16"/>
  <c r="Z331" i="16"/>
  <c r="Z311" i="16"/>
  <c r="Z291" i="16"/>
  <c r="Z271" i="16"/>
  <c r="Z251" i="16"/>
  <c r="U504" i="16"/>
  <c r="U484" i="16"/>
  <c r="U464" i="16"/>
  <c r="U444" i="16"/>
  <c r="U424" i="16"/>
  <c r="U404" i="16"/>
  <c r="U384" i="16"/>
  <c r="U364" i="16"/>
  <c r="U344" i="16"/>
  <c r="U324" i="16"/>
  <c r="U304" i="16"/>
  <c r="U284" i="16"/>
  <c r="U264" i="16"/>
  <c r="U244" i="16"/>
  <c r="U449" i="16"/>
  <c r="U368" i="16"/>
  <c r="Z510" i="16"/>
  <c r="Z490" i="16"/>
  <c r="Z470" i="16"/>
  <c r="Z450" i="16"/>
  <c r="Z430" i="16"/>
  <c r="Z410" i="16"/>
  <c r="Z390" i="16"/>
  <c r="Z370" i="16"/>
  <c r="Z350" i="16"/>
  <c r="Z330" i="16"/>
  <c r="Z310" i="16"/>
  <c r="Z290" i="16"/>
  <c r="Z270" i="16"/>
  <c r="Z250" i="16"/>
  <c r="U503" i="16"/>
  <c r="U483" i="16"/>
  <c r="U463" i="16"/>
  <c r="U443" i="16"/>
  <c r="U423" i="16"/>
  <c r="U403" i="16"/>
  <c r="U383" i="16"/>
  <c r="U363" i="16"/>
  <c r="U343" i="16"/>
  <c r="U323" i="16"/>
  <c r="U303" i="16"/>
  <c r="U283" i="16"/>
  <c r="U263" i="16"/>
  <c r="U243" i="16"/>
  <c r="Z396" i="16"/>
  <c r="U429" i="16"/>
  <c r="U308" i="16"/>
  <c r="Z509" i="16"/>
  <c r="Z489" i="16"/>
  <c r="Z469" i="16"/>
  <c r="Z449" i="16"/>
  <c r="Z429" i="16"/>
  <c r="Z409" i="16"/>
  <c r="Z389" i="16"/>
  <c r="Z369" i="16"/>
  <c r="Z349" i="16"/>
  <c r="Z329" i="16"/>
  <c r="Z309" i="16"/>
  <c r="Z289" i="16"/>
  <c r="Z269" i="16"/>
  <c r="Z249" i="16"/>
  <c r="U502" i="16"/>
  <c r="U482" i="16"/>
  <c r="U462" i="16"/>
  <c r="U442" i="16"/>
  <c r="U422" i="16"/>
  <c r="U402" i="16"/>
  <c r="U382" i="16"/>
  <c r="U362" i="16"/>
  <c r="U342" i="16"/>
  <c r="U322" i="16"/>
  <c r="U302" i="16"/>
  <c r="U282" i="16"/>
  <c r="U262" i="16"/>
  <c r="U242" i="16"/>
  <c r="Z496" i="16"/>
  <c r="Z296" i="16"/>
  <c r="U269" i="16"/>
  <c r="U468" i="16"/>
  <c r="Z508" i="16"/>
  <c r="Z488" i="16"/>
  <c r="Z468" i="16"/>
  <c r="Z448" i="16"/>
  <c r="Z428" i="16"/>
  <c r="Z408" i="16"/>
  <c r="Z388" i="16"/>
  <c r="Z368" i="16"/>
  <c r="Z348" i="16"/>
  <c r="Z328" i="16"/>
  <c r="Z308" i="16"/>
  <c r="Z288" i="16"/>
  <c r="Z268" i="16"/>
  <c r="Z248" i="16"/>
  <c r="U501" i="16"/>
  <c r="U481" i="16"/>
  <c r="U461" i="16"/>
  <c r="U441" i="16"/>
  <c r="U421" i="16"/>
  <c r="U401" i="16"/>
  <c r="U381" i="16"/>
  <c r="U361" i="16"/>
  <c r="U341" i="16"/>
  <c r="U321" i="16"/>
  <c r="U301" i="16"/>
  <c r="U281" i="16"/>
  <c r="U261" i="16"/>
  <c r="U241" i="16"/>
  <c r="U428" i="16"/>
  <c r="Z507" i="16"/>
  <c r="Z487" i="16"/>
  <c r="Z467" i="16"/>
  <c r="Z447" i="16"/>
  <c r="Z427" i="16"/>
  <c r="Z407" i="16"/>
  <c r="Z387" i="16"/>
  <c r="Z367" i="16"/>
  <c r="Z347" i="16"/>
  <c r="Z327" i="16"/>
  <c r="Z307" i="16"/>
  <c r="Z287" i="16"/>
  <c r="Z267" i="16"/>
  <c r="Z247" i="16"/>
  <c r="U500" i="16"/>
  <c r="U480" i="16"/>
  <c r="U460" i="16"/>
  <c r="U440" i="16"/>
  <c r="U420" i="16"/>
  <c r="U400" i="16"/>
  <c r="U380" i="16"/>
  <c r="U360" i="16"/>
  <c r="U340" i="16"/>
  <c r="U320" i="16"/>
  <c r="U300" i="16"/>
  <c r="U280" i="16"/>
  <c r="U260" i="16"/>
  <c r="U240" i="16"/>
  <c r="U489" i="16"/>
  <c r="U388" i="16"/>
  <c r="Z506" i="16"/>
  <c r="Z486" i="16"/>
  <c r="Z466" i="16"/>
  <c r="Z446" i="16"/>
  <c r="Z426" i="16"/>
  <c r="Z406" i="16"/>
  <c r="Z386" i="16"/>
  <c r="Z366" i="16"/>
  <c r="Z346" i="16"/>
  <c r="Z326" i="16"/>
  <c r="Z306" i="16"/>
  <c r="Z286" i="16"/>
  <c r="Z266" i="16"/>
  <c r="Z246" i="16"/>
  <c r="U499" i="16"/>
  <c r="U479" i="16"/>
  <c r="U459" i="16"/>
  <c r="U439" i="16"/>
  <c r="U419" i="16"/>
  <c r="U399" i="16"/>
  <c r="U379" i="16"/>
  <c r="U359" i="16"/>
  <c r="U339" i="16"/>
  <c r="U319" i="16"/>
  <c r="U299" i="16"/>
  <c r="U279" i="16"/>
  <c r="U259" i="16"/>
  <c r="U239" i="16"/>
  <c r="Z476" i="16"/>
  <c r="Z276" i="16"/>
  <c r="U329" i="16"/>
  <c r="U448" i="16"/>
  <c r="Z505" i="16"/>
  <c r="Z485" i="16"/>
  <c r="Z465" i="16"/>
  <c r="Z445" i="16"/>
  <c r="Z425" i="16"/>
  <c r="Z405" i="16"/>
  <c r="Z385" i="16"/>
  <c r="Z365" i="16"/>
  <c r="Z345" i="16"/>
  <c r="Z325" i="16"/>
  <c r="Z305" i="16"/>
  <c r="Z285" i="16"/>
  <c r="Z265" i="16"/>
  <c r="Z245" i="16"/>
  <c r="U498" i="16"/>
  <c r="U478" i="16"/>
  <c r="U458" i="16"/>
  <c r="U438" i="16"/>
  <c r="U418" i="16"/>
  <c r="U398" i="16"/>
  <c r="U378" i="16"/>
  <c r="U358" i="16"/>
  <c r="U338" i="16"/>
  <c r="U318" i="16"/>
  <c r="U298" i="16"/>
  <c r="U278" i="16"/>
  <c r="U258" i="16"/>
  <c r="U238" i="16"/>
  <c r="Z356" i="16"/>
  <c r="U369" i="16"/>
  <c r="U488" i="16"/>
  <c r="Z504" i="16"/>
  <c r="Z484" i="16"/>
  <c r="Z464" i="16"/>
  <c r="Z444" i="16"/>
  <c r="Z424" i="16"/>
  <c r="Z404" i="16"/>
  <c r="Z384" i="16"/>
  <c r="Z364" i="16"/>
  <c r="Z344" i="16"/>
  <c r="Z324" i="16"/>
  <c r="Z304" i="16"/>
  <c r="Z284" i="16"/>
  <c r="Z264" i="16"/>
  <c r="Z244" i="16"/>
  <c r="U497" i="16"/>
  <c r="U477" i="16"/>
  <c r="U457" i="16"/>
  <c r="U437" i="16"/>
  <c r="U417" i="16"/>
  <c r="U397" i="16"/>
  <c r="U377" i="16"/>
  <c r="U357" i="16"/>
  <c r="U337" i="16"/>
  <c r="U317" i="16"/>
  <c r="U297" i="16"/>
  <c r="U277" i="16"/>
  <c r="U257" i="16"/>
  <c r="U237" i="16"/>
  <c r="Z416" i="16"/>
  <c r="U309" i="16"/>
  <c r="U348" i="16"/>
  <c r="Z503" i="16"/>
  <c r="Z483" i="16"/>
  <c r="Z463" i="16"/>
  <c r="Z443" i="16"/>
  <c r="Z423" i="16"/>
  <c r="Z403" i="16"/>
  <c r="Z383" i="16"/>
  <c r="Z363" i="16"/>
  <c r="Z343" i="16"/>
  <c r="Z323" i="16"/>
  <c r="Z303" i="16"/>
  <c r="Z283" i="16"/>
  <c r="Z263" i="16"/>
  <c r="Z243" i="16"/>
  <c r="U516" i="16"/>
  <c r="U496" i="16"/>
  <c r="U476" i="16"/>
  <c r="U456" i="16"/>
  <c r="U436" i="16"/>
  <c r="U416" i="16"/>
  <c r="U396" i="16"/>
  <c r="U376" i="16"/>
  <c r="U356" i="16"/>
  <c r="U336" i="16"/>
  <c r="U316" i="16"/>
  <c r="U296" i="16"/>
  <c r="U276" i="16"/>
  <c r="U256" i="16"/>
  <c r="U236" i="16"/>
  <c r="U509" i="16"/>
  <c r="U408" i="16"/>
  <c r="Z502" i="16"/>
  <c r="Z482" i="16"/>
  <c r="Z462" i="16"/>
  <c r="Z442" i="16"/>
  <c r="Z422" i="16"/>
  <c r="Z402" i="16"/>
  <c r="Z382" i="16"/>
  <c r="Z362" i="16"/>
  <c r="Z342" i="16"/>
  <c r="Z322" i="16"/>
  <c r="Z302" i="16"/>
  <c r="Z282" i="16"/>
  <c r="Z262" i="16"/>
  <c r="Z242" i="16"/>
  <c r="U515" i="16"/>
  <c r="U495" i="16"/>
  <c r="U475" i="16"/>
  <c r="U455" i="16"/>
  <c r="U435" i="16"/>
  <c r="U415" i="16"/>
  <c r="U395" i="16"/>
  <c r="U375" i="16"/>
  <c r="U355" i="16"/>
  <c r="U335" i="16"/>
  <c r="U315" i="16"/>
  <c r="U295" i="16"/>
  <c r="U275" i="16"/>
  <c r="U255" i="16"/>
  <c r="U235" i="16"/>
  <c r="Z436" i="16"/>
  <c r="Z316" i="16"/>
  <c r="U249" i="16"/>
  <c r="U508" i="16"/>
  <c r="Z501" i="16"/>
  <c r="Z481" i="16"/>
  <c r="Z461" i="16"/>
  <c r="Z441" i="16"/>
  <c r="Z421" i="16"/>
  <c r="Z401" i="16"/>
  <c r="Z381" i="16"/>
  <c r="Z361" i="16"/>
  <c r="Z341" i="16"/>
  <c r="Z321" i="16"/>
  <c r="Z301" i="16"/>
  <c r="Z281" i="16"/>
  <c r="Z261" i="16"/>
  <c r="Z241" i="16"/>
  <c r="U514" i="16"/>
  <c r="U494" i="16"/>
  <c r="U474" i="16"/>
  <c r="U454" i="16"/>
  <c r="U434" i="16"/>
  <c r="U414" i="16"/>
  <c r="U394" i="16"/>
  <c r="U374" i="16"/>
  <c r="U354" i="16"/>
  <c r="U334" i="16"/>
  <c r="U314" i="16"/>
  <c r="U294" i="16"/>
  <c r="U274" i="16"/>
  <c r="U254" i="16"/>
  <c r="U234" i="16"/>
  <c r="Z376" i="16"/>
  <c r="Z236" i="16"/>
  <c r="U389" i="16"/>
  <c r="Z500" i="16"/>
  <c r="Z480" i="16"/>
  <c r="Z460" i="16"/>
  <c r="Z440" i="16"/>
  <c r="Z420" i="16"/>
  <c r="Z400" i="16"/>
  <c r="Z380" i="16"/>
  <c r="Z360" i="16"/>
  <c r="Z340" i="16"/>
  <c r="Z320" i="16"/>
  <c r="Z300" i="16"/>
  <c r="Z280" i="16"/>
  <c r="Z260" i="16"/>
  <c r="Z240" i="16"/>
  <c r="U513" i="16"/>
  <c r="U493" i="16"/>
  <c r="U473" i="16"/>
  <c r="U453" i="16"/>
  <c r="U433" i="16"/>
  <c r="U413" i="16"/>
  <c r="U393" i="16"/>
  <c r="U373" i="16"/>
  <c r="U353" i="16"/>
  <c r="U333" i="16"/>
  <c r="U313" i="16"/>
  <c r="U293" i="16"/>
  <c r="U273" i="16"/>
  <c r="U253" i="16"/>
  <c r="U233" i="16"/>
  <c r="U409" i="16"/>
  <c r="Z499" i="16"/>
  <c r="Z479" i="16"/>
  <c r="Z459" i="16"/>
  <c r="Z439" i="16"/>
  <c r="Z419" i="16"/>
  <c r="Z399" i="16"/>
  <c r="Z379" i="16"/>
  <c r="Z359" i="16"/>
  <c r="Z339" i="16"/>
  <c r="Z319" i="16"/>
  <c r="Z299" i="16"/>
  <c r="Z279" i="16"/>
  <c r="Z259" i="16"/>
  <c r="Z239" i="16"/>
  <c r="U512" i="16"/>
  <c r="U492" i="16"/>
  <c r="U472" i="16"/>
  <c r="U452" i="16"/>
  <c r="U432" i="16"/>
  <c r="U412" i="16"/>
  <c r="U392" i="16"/>
  <c r="U372" i="16"/>
  <c r="U352" i="16"/>
  <c r="U332" i="16"/>
  <c r="U312" i="16"/>
  <c r="U292" i="16"/>
  <c r="U272" i="16"/>
  <c r="U252" i="16"/>
  <c r="U232" i="16"/>
  <c r="Z516" i="16"/>
  <c r="U289" i="16"/>
  <c r="Z498" i="16"/>
  <c r="Z478" i="16"/>
  <c r="Z458" i="16"/>
  <c r="Z438" i="16"/>
  <c r="Z418" i="16"/>
  <c r="Z398" i="16"/>
  <c r="Z378" i="16"/>
  <c r="Z358" i="16"/>
  <c r="Z338" i="16"/>
  <c r="Z318" i="16"/>
  <c r="Z298" i="16"/>
  <c r="Z278" i="16"/>
  <c r="Z258" i="16"/>
  <c r="Z238" i="16"/>
  <c r="U511" i="16"/>
  <c r="U491" i="16"/>
  <c r="U471" i="16"/>
  <c r="U451" i="16"/>
  <c r="U431" i="16"/>
  <c r="U411" i="16"/>
  <c r="U391" i="16"/>
  <c r="U371" i="16"/>
  <c r="U351" i="16"/>
  <c r="U331" i="16"/>
  <c r="U311" i="16"/>
  <c r="U291" i="16"/>
  <c r="U271" i="16"/>
  <c r="U251" i="16"/>
  <c r="Z456" i="16"/>
  <c r="Z256" i="16"/>
  <c r="U349" i="16"/>
  <c r="Z497" i="16"/>
  <c r="Z477" i="16"/>
  <c r="Z457" i="16"/>
  <c r="Z437" i="16"/>
  <c r="Z417" i="16"/>
  <c r="Z397" i="16"/>
  <c r="Z377" i="16"/>
  <c r="Z357" i="16"/>
  <c r="Z337" i="16"/>
  <c r="Z317" i="16"/>
  <c r="Z297" i="16"/>
  <c r="Z277" i="16"/>
  <c r="Z257" i="16"/>
  <c r="Z237" i="16"/>
  <c r="U510" i="16"/>
  <c r="U490" i="16"/>
  <c r="U470" i="16"/>
  <c r="U450" i="16"/>
  <c r="U430" i="16"/>
  <c r="U410" i="16"/>
  <c r="U390" i="16"/>
  <c r="U370" i="16"/>
  <c r="U350" i="16"/>
  <c r="U330" i="16"/>
  <c r="U310" i="16"/>
  <c r="U290" i="16"/>
  <c r="U270" i="16"/>
  <c r="U250" i="16"/>
  <c r="AC143" i="8"/>
  <c r="AN67" i="8"/>
  <c r="AG150" i="8" l="1" a="1"/>
  <c r="AG150" i="8" s="1"/>
  <c r="AG148" i="8" a="1"/>
  <c r="AG148" i="8" s="1"/>
  <c r="AG146" i="8" a="1"/>
  <c r="AG146" i="8" s="1"/>
  <c r="AG151" i="8" a="1"/>
  <c r="AG151" i="8" s="1"/>
  <c r="T185" i="8"/>
  <c r="AG147" i="8" a="1"/>
  <c r="AG147" i="8" s="1"/>
  <c r="H132" i="24"/>
  <c r="AG143" i="8" a="1"/>
  <c r="AG143" i="8" s="1"/>
  <c r="AG144" i="8" a="1"/>
  <c r="AG144" i="8" s="1"/>
  <c r="AG145" i="8" a="1"/>
  <c r="AG145" i="8" s="1"/>
  <c r="AG149" i="8" a="1"/>
  <c r="AG149" i="8" s="1"/>
  <c r="L139" i="8"/>
  <c r="CK49" i="16"/>
  <c r="E185" i="8"/>
  <c r="Y139" i="8" s="1"/>
  <c r="I132" i="24" l="1"/>
  <c r="N139" i="8"/>
  <c r="AF143" i="8"/>
  <c r="J132" i="24" l="1"/>
  <c r="CN49" i="16"/>
  <c r="CM49" i="16"/>
  <c r="K132" i="24" l="1"/>
  <c r="CL49" i="16"/>
  <c r="K177" i="16"/>
  <c r="K176" i="16"/>
  <c r="K92" i="16"/>
  <c r="D185" i="8"/>
  <c r="Y138" i="8" s="1"/>
  <c r="F185" i="8"/>
  <c r="G185" i="8"/>
  <c r="K185" i="8"/>
  <c r="AE42" i="22"/>
  <c r="AF41" i="22" s="1"/>
  <c r="AF42" i="22" s="1"/>
  <c r="AG41" i="22" s="1"/>
  <c r="AG42" i="22" s="1"/>
  <c r="AH41" i="22" s="1"/>
  <c r="AH42" i="22" s="1"/>
  <c r="AI41" i="22" s="1"/>
  <c r="AI42" i="22" s="1"/>
  <c r="AJ41" i="22" s="1"/>
  <c r="AJ42" i="22" s="1"/>
  <c r="AK41" i="22" s="1"/>
  <c r="AK42" i="22" s="1"/>
  <c r="AL41" i="22" s="1"/>
  <c r="AL42" i="22" s="1"/>
  <c r="AM41" i="22" s="1"/>
  <c r="AM42" i="22" s="1"/>
  <c r="B7" i="16" l="1"/>
  <c r="B8" i="16"/>
  <c r="L132" i="24"/>
  <c r="M132" i="24" l="1"/>
  <c r="AE150" i="22" a="1"/>
  <c r="AP178" i="22"/>
  <c r="N56" i="16"/>
  <c r="N59" i="16"/>
  <c r="N61" i="16"/>
  <c r="N60" i="16"/>
  <c r="N58" i="16"/>
  <c r="N57" i="16"/>
  <c r="N55" i="16"/>
  <c r="N54" i="16"/>
  <c r="N53" i="16"/>
  <c r="N52" i="16"/>
  <c r="N132" i="24" l="1"/>
  <c r="CK59" i="16"/>
  <c r="AE150" i="22"/>
  <c r="AH150" i="22" s="1"/>
  <c r="AH156" i="22"/>
  <c r="AF159" i="22"/>
  <c r="AF152" i="22"/>
  <c r="AF157" i="22"/>
  <c r="AF158" i="22"/>
  <c r="AH159" i="22"/>
  <c r="AH151" i="22"/>
  <c r="AF155" i="22"/>
  <c r="AH155" i="22"/>
  <c r="AF156" i="22"/>
  <c r="AH157" i="22"/>
  <c r="AH158" i="22"/>
  <c r="AF151" i="22"/>
  <c r="AF154" i="22"/>
  <c r="AH154" i="22"/>
  <c r="AH152" i="22"/>
  <c r="AF153" i="22"/>
  <c r="AH153" i="22"/>
  <c r="I140" i="8"/>
  <c r="M140" i="8" s="1"/>
  <c r="I141" i="8"/>
  <c r="M141" i="8" s="1"/>
  <c r="O141" i="8" s="1"/>
  <c r="I142" i="8"/>
  <c r="M142" i="8" s="1"/>
  <c r="O142" i="8" s="1"/>
  <c r="I143" i="8"/>
  <c r="M143" i="8" s="1"/>
  <c r="O143" i="8" s="1"/>
  <c r="I145" i="8"/>
  <c r="M145" i="8" s="1"/>
  <c r="O145" i="8" s="1"/>
  <c r="I146" i="8"/>
  <c r="M146" i="8" s="1"/>
  <c r="O146" i="8" s="1"/>
  <c r="I147" i="8"/>
  <c r="M147" i="8" s="1"/>
  <c r="O147" i="8" s="1"/>
  <c r="I148" i="8"/>
  <c r="M148" i="8" s="1"/>
  <c r="O148" i="8" s="1"/>
  <c r="I150" i="8"/>
  <c r="M150" i="8" s="1"/>
  <c r="O150" i="8" s="1"/>
  <c r="I151" i="8"/>
  <c r="M151" i="8" s="1"/>
  <c r="O151" i="8" s="1"/>
  <c r="I152" i="8"/>
  <c r="M152" i="8" s="1"/>
  <c r="O152" i="8" s="1"/>
  <c r="I153" i="8"/>
  <c r="M153" i="8" s="1"/>
  <c r="O153" i="8" s="1"/>
  <c r="I155" i="8"/>
  <c r="M155" i="8" s="1"/>
  <c r="O155" i="8" s="1"/>
  <c r="I156" i="8"/>
  <c r="M156" i="8" s="1"/>
  <c r="O156" i="8" s="1"/>
  <c r="I157" i="8"/>
  <c r="M157" i="8" s="1"/>
  <c r="O157" i="8" s="1"/>
  <c r="I158" i="8"/>
  <c r="M158" i="8" s="1"/>
  <c r="O158" i="8" s="1"/>
  <c r="I160" i="8"/>
  <c r="M160" i="8" s="1"/>
  <c r="O160" i="8" s="1"/>
  <c r="I161" i="8"/>
  <c r="M161" i="8" s="1"/>
  <c r="O161" i="8" s="1"/>
  <c r="I162" i="8"/>
  <c r="M162" i="8" s="1"/>
  <c r="O162" i="8" s="1"/>
  <c r="I163" i="8"/>
  <c r="M163" i="8" s="1"/>
  <c r="O163" i="8" s="1"/>
  <c r="I165" i="8"/>
  <c r="M165" i="8" s="1"/>
  <c r="O165" i="8" s="1"/>
  <c r="I166" i="8"/>
  <c r="M166" i="8" s="1"/>
  <c r="O166" i="8" s="1"/>
  <c r="I167" i="8"/>
  <c r="M167" i="8" s="1"/>
  <c r="O167" i="8" s="1"/>
  <c r="I168" i="8"/>
  <c r="M168" i="8" s="1"/>
  <c r="O168" i="8" s="1"/>
  <c r="I170" i="8"/>
  <c r="M170" i="8" s="1"/>
  <c r="O170" i="8" s="1"/>
  <c r="I171" i="8"/>
  <c r="M171" i="8" s="1"/>
  <c r="O171" i="8" s="1"/>
  <c r="I172" i="8"/>
  <c r="M172" i="8" s="1"/>
  <c r="O172" i="8" s="1"/>
  <c r="I173" i="8"/>
  <c r="M173" i="8" s="1"/>
  <c r="O173" i="8" s="1"/>
  <c r="I175" i="8"/>
  <c r="M175" i="8" s="1"/>
  <c r="O175" i="8" s="1"/>
  <c r="I176" i="8"/>
  <c r="M176" i="8" s="1"/>
  <c r="O176" i="8" s="1"/>
  <c r="I177" i="8"/>
  <c r="M177" i="8" s="1"/>
  <c r="O177" i="8" s="1"/>
  <c r="I178" i="8"/>
  <c r="M178" i="8" s="1"/>
  <c r="O178" i="8" s="1"/>
  <c r="I180" i="8"/>
  <c r="M180" i="8" s="1"/>
  <c r="O180" i="8" s="1"/>
  <c r="I181" i="8"/>
  <c r="M181" i="8" s="1"/>
  <c r="O181" i="8" s="1"/>
  <c r="I182" i="8"/>
  <c r="M182" i="8" s="1"/>
  <c r="O182" i="8" s="1"/>
  <c r="I183" i="8"/>
  <c r="M183" i="8" s="1"/>
  <c r="O183" i="8" s="1"/>
  <c r="I184" i="8"/>
  <c r="M184" i="8" s="1"/>
  <c r="O184" i="8" s="1"/>
  <c r="H140" i="8"/>
  <c r="H142" i="8"/>
  <c r="L142" i="8" s="1"/>
  <c r="N142" i="8" s="1"/>
  <c r="H143" i="8"/>
  <c r="L143" i="8" s="1"/>
  <c r="N143" i="8" s="1"/>
  <c r="H145" i="8"/>
  <c r="L145" i="8" s="1"/>
  <c r="N145" i="8" s="1"/>
  <c r="H146" i="8"/>
  <c r="L146" i="8" s="1"/>
  <c r="N146" i="8" s="1"/>
  <c r="H147" i="8"/>
  <c r="L147" i="8" s="1"/>
  <c r="N147" i="8" s="1"/>
  <c r="H148" i="8"/>
  <c r="L148" i="8" s="1"/>
  <c r="N148" i="8" s="1"/>
  <c r="H150" i="8"/>
  <c r="L150" i="8" s="1"/>
  <c r="N150" i="8" s="1"/>
  <c r="H151" i="8"/>
  <c r="L151" i="8" s="1"/>
  <c r="N151" i="8" s="1"/>
  <c r="H152" i="8"/>
  <c r="L152" i="8" s="1"/>
  <c r="N152" i="8" s="1"/>
  <c r="H153" i="8"/>
  <c r="L153" i="8" s="1"/>
  <c r="N153" i="8" s="1"/>
  <c r="H155" i="8"/>
  <c r="L155" i="8" s="1"/>
  <c r="N155" i="8" s="1"/>
  <c r="H156" i="8"/>
  <c r="L156" i="8" s="1"/>
  <c r="N156" i="8" s="1"/>
  <c r="H157" i="8"/>
  <c r="L157" i="8" s="1"/>
  <c r="N157" i="8" s="1"/>
  <c r="H158" i="8"/>
  <c r="L158" i="8" s="1"/>
  <c r="N158" i="8" s="1"/>
  <c r="H160" i="8"/>
  <c r="L160" i="8" s="1"/>
  <c r="N160" i="8" s="1"/>
  <c r="H161" i="8"/>
  <c r="L161" i="8" s="1"/>
  <c r="N161" i="8" s="1"/>
  <c r="H162" i="8"/>
  <c r="L162" i="8" s="1"/>
  <c r="N162" i="8" s="1"/>
  <c r="H163" i="8"/>
  <c r="L163" i="8" s="1"/>
  <c r="N163" i="8" s="1"/>
  <c r="H165" i="8"/>
  <c r="L165" i="8" s="1"/>
  <c r="N165" i="8" s="1"/>
  <c r="H166" i="8"/>
  <c r="L166" i="8" s="1"/>
  <c r="N166" i="8" s="1"/>
  <c r="H167" i="8"/>
  <c r="L167" i="8" s="1"/>
  <c r="N167" i="8" s="1"/>
  <c r="H168" i="8"/>
  <c r="L168" i="8" s="1"/>
  <c r="N168" i="8" s="1"/>
  <c r="H170" i="8"/>
  <c r="L170" i="8" s="1"/>
  <c r="N170" i="8" s="1"/>
  <c r="H171" i="8"/>
  <c r="L171" i="8" s="1"/>
  <c r="N171" i="8" s="1"/>
  <c r="H172" i="8"/>
  <c r="L172" i="8" s="1"/>
  <c r="N172" i="8" s="1"/>
  <c r="H173" i="8"/>
  <c r="L173" i="8" s="1"/>
  <c r="N173" i="8" s="1"/>
  <c r="H175" i="8"/>
  <c r="L175" i="8" s="1"/>
  <c r="N175" i="8" s="1"/>
  <c r="H176" i="8"/>
  <c r="L176" i="8" s="1"/>
  <c r="N176" i="8" s="1"/>
  <c r="H177" i="8"/>
  <c r="L177" i="8" s="1"/>
  <c r="N177" i="8" s="1"/>
  <c r="H178" i="8"/>
  <c r="L178" i="8" s="1"/>
  <c r="N178" i="8" s="1"/>
  <c r="H180" i="8"/>
  <c r="L180" i="8" s="1"/>
  <c r="N180" i="8" s="1"/>
  <c r="H181" i="8"/>
  <c r="L181" i="8" s="1"/>
  <c r="N181" i="8" s="1"/>
  <c r="H182" i="8"/>
  <c r="L182" i="8" s="1"/>
  <c r="N182" i="8" s="1"/>
  <c r="H183" i="8"/>
  <c r="L183" i="8" s="1"/>
  <c r="N183" i="8" s="1"/>
  <c r="H184" i="8"/>
  <c r="L184" i="8" s="1"/>
  <c r="N184" i="8" s="1"/>
  <c r="M50" i="16"/>
  <c r="N50" i="16"/>
  <c r="M51" i="16"/>
  <c r="N51" i="16"/>
  <c r="M52" i="16"/>
  <c r="M53" i="16"/>
  <c r="M54" i="16"/>
  <c r="M55" i="16"/>
  <c r="M56" i="16"/>
  <c r="M57" i="16"/>
  <c r="M58" i="16"/>
  <c r="M59" i="16"/>
  <c r="M60" i="16"/>
  <c r="M61" i="16"/>
  <c r="M62" i="16"/>
  <c r="N62" i="16"/>
  <c r="M63" i="16"/>
  <c r="N63" i="16"/>
  <c r="M64" i="16"/>
  <c r="N64" i="16"/>
  <c r="M65" i="16"/>
  <c r="N65" i="16"/>
  <c r="M66" i="16"/>
  <c r="N66" i="16"/>
  <c r="M67" i="16"/>
  <c r="N67" i="16"/>
  <c r="M68" i="16"/>
  <c r="N68" i="16"/>
  <c r="M69" i="16"/>
  <c r="N69" i="16"/>
  <c r="M70" i="16"/>
  <c r="N70" i="16"/>
  <c r="M71" i="16"/>
  <c r="N71" i="16"/>
  <c r="M72" i="16"/>
  <c r="N72" i="16"/>
  <c r="M73" i="16"/>
  <c r="N73" i="16"/>
  <c r="M74" i="16"/>
  <c r="N74" i="16"/>
  <c r="M75" i="16"/>
  <c r="N75" i="16"/>
  <c r="M76" i="16"/>
  <c r="N76" i="16"/>
  <c r="M77" i="16"/>
  <c r="N77" i="16"/>
  <c r="M78" i="16"/>
  <c r="N78" i="16"/>
  <c r="M79" i="16"/>
  <c r="N79" i="16"/>
  <c r="M80" i="16"/>
  <c r="N80" i="16"/>
  <c r="M81" i="16"/>
  <c r="N81" i="16"/>
  <c r="M82" i="16"/>
  <c r="N82" i="16"/>
  <c r="M83" i="16"/>
  <c r="N83" i="16"/>
  <c r="M84" i="16"/>
  <c r="N84" i="16"/>
  <c r="M85" i="16"/>
  <c r="N85" i="16"/>
  <c r="M86" i="16"/>
  <c r="N86" i="16"/>
  <c r="M87" i="16"/>
  <c r="N87" i="16"/>
  <c r="M88" i="16"/>
  <c r="N88" i="16"/>
  <c r="M89" i="16"/>
  <c r="N89" i="16"/>
  <c r="M90" i="16"/>
  <c r="N90" i="16"/>
  <c r="M91" i="16"/>
  <c r="N91" i="16"/>
  <c r="M92" i="16"/>
  <c r="N92" i="16"/>
  <c r="M93" i="16"/>
  <c r="N93" i="16"/>
  <c r="M94" i="16"/>
  <c r="N94" i="16"/>
  <c r="M95" i="16"/>
  <c r="N95" i="16"/>
  <c r="M96" i="16"/>
  <c r="N96" i="16"/>
  <c r="M97" i="16"/>
  <c r="N97" i="16"/>
  <c r="M98" i="16"/>
  <c r="N98" i="16"/>
  <c r="M99" i="16"/>
  <c r="N99" i="16"/>
  <c r="M100" i="16"/>
  <c r="N100" i="16"/>
  <c r="M101" i="16"/>
  <c r="N101" i="16"/>
  <c r="M102" i="16"/>
  <c r="N102" i="16"/>
  <c r="M103" i="16"/>
  <c r="N103" i="16"/>
  <c r="M104" i="16"/>
  <c r="N104" i="16"/>
  <c r="M105" i="16"/>
  <c r="N105" i="16"/>
  <c r="M106" i="16"/>
  <c r="N106" i="16"/>
  <c r="M107" i="16"/>
  <c r="N107" i="16"/>
  <c r="M108" i="16"/>
  <c r="N108" i="16"/>
  <c r="M109" i="16"/>
  <c r="N109" i="16"/>
  <c r="M110" i="16"/>
  <c r="N110" i="16"/>
  <c r="M111" i="16"/>
  <c r="N111" i="16"/>
  <c r="M112" i="16"/>
  <c r="N112" i="16"/>
  <c r="M113" i="16"/>
  <c r="N113" i="16"/>
  <c r="M114" i="16"/>
  <c r="N114" i="16"/>
  <c r="M115" i="16"/>
  <c r="N115" i="16"/>
  <c r="M116" i="16"/>
  <c r="N116" i="16"/>
  <c r="M117" i="16"/>
  <c r="N117" i="16"/>
  <c r="M118" i="16"/>
  <c r="N118" i="16"/>
  <c r="M119" i="16"/>
  <c r="N119" i="16"/>
  <c r="M120" i="16"/>
  <c r="N120" i="16"/>
  <c r="M121" i="16"/>
  <c r="N121" i="16"/>
  <c r="M122" i="16"/>
  <c r="N122" i="16"/>
  <c r="M123" i="16"/>
  <c r="N123" i="16"/>
  <c r="M124" i="16"/>
  <c r="N124" i="16"/>
  <c r="M125" i="16"/>
  <c r="N125" i="16"/>
  <c r="M126" i="16"/>
  <c r="N126" i="16"/>
  <c r="M127" i="16"/>
  <c r="N127" i="16"/>
  <c r="M128" i="16"/>
  <c r="N128" i="16"/>
  <c r="M129" i="16"/>
  <c r="N129" i="16"/>
  <c r="M130" i="16"/>
  <c r="N130" i="16"/>
  <c r="M131" i="16"/>
  <c r="N131" i="16"/>
  <c r="M132" i="16"/>
  <c r="N132" i="16"/>
  <c r="M133" i="16"/>
  <c r="N133" i="16"/>
  <c r="M134" i="16"/>
  <c r="N134" i="16"/>
  <c r="M135" i="16"/>
  <c r="N135" i="16"/>
  <c r="M136" i="16"/>
  <c r="N136" i="16"/>
  <c r="M137" i="16"/>
  <c r="N137" i="16"/>
  <c r="M138" i="16"/>
  <c r="N138" i="16"/>
  <c r="M139" i="16"/>
  <c r="N139" i="16"/>
  <c r="M140" i="16"/>
  <c r="N140" i="16"/>
  <c r="M141" i="16"/>
  <c r="N141" i="16"/>
  <c r="M142" i="16"/>
  <c r="N142" i="16"/>
  <c r="M143" i="16"/>
  <c r="N143" i="16"/>
  <c r="M144" i="16"/>
  <c r="N144" i="16"/>
  <c r="M145" i="16"/>
  <c r="N145" i="16"/>
  <c r="M146" i="16"/>
  <c r="N146" i="16"/>
  <c r="M147" i="16"/>
  <c r="N147" i="16"/>
  <c r="M148" i="16"/>
  <c r="N148" i="16"/>
  <c r="M149" i="16"/>
  <c r="N149" i="16"/>
  <c r="M150" i="16"/>
  <c r="N150" i="16"/>
  <c r="M151" i="16"/>
  <c r="N151" i="16"/>
  <c r="M152" i="16"/>
  <c r="N152" i="16"/>
  <c r="M153" i="16"/>
  <c r="N153" i="16"/>
  <c r="M154" i="16"/>
  <c r="N154" i="16"/>
  <c r="M155" i="16"/>
  <c r="N155" i="16"/>
  <c r="M156" i="16"/>
  <c r="N156" i="16"/>
  <c r="M157" i="16"/>
  <c r="N157" i="16"/>
  <c r="M158" i="16"/>
  <c r="N158" i="16"/>
  <c r="M159" i="16"/>
  <c r="N159" i="16"/>
  <c r="M160" i="16"/>
  <c r="N160" i="16"/>
  <c r="M161" i="16"/>
  <c r="N161" i="16"/>
  <c r="M162" i="16"/>
  <c r="N162" i="16"/>
  <c r="M163" i="16"/>
  <c r="N163" i="16"/>
  <c r="M164" i="16"/>
  <c r="N164" i="16"/>
  <c r="M165" i="16"/>
  <c r="N165" i="16"/>
  <c r="M166" i="16"/>
  <c r="N166" i="16"/>
  <c r="M167" i="16"/>
  <c r="N167" i="16"/>
  <c r="M168" i="16"/>
  <c r="N168" i="16"/>
  <c r="M169" i="16"/>
  <c r="N169" i="16"/>
  <c r="M170" i="16"/>
  <c r="N170" i="16"/>
  <c r="M171" i="16"/>
  <c r="N171" i="16"/>
  <c r="M172" i="16"/>
  <c r="N172" i="16"/>
  <c r="M173" i="16"/>
  <c r="N173" i="16"/>
  <c r="M174" i="16"/>
  <c r="N174" i="16"/>
  <c r="M175" i="16"/>
  <c r="N175" i="16"/>
  <c r="M176" i="16"/>
  <c r="N176" i="16"/>
  <c r="M177" i="16"/>
  <c r="N177" i="16"/>
  <c r="M178" i="16"/>
  <c r="N178" i="16"/>
  <c r="M179" i="16"/>
  <c r="N179" i="16"/>
  <c r="M180" i="16"/>
  <c r="N180" i="16"/>
  <c r="M181" i="16"/>
  <c r="N181" i="16"/>
  <c r="M182" i="16"/>
  <c r="N182" i="16"/>
  <c r="M183" i="16"/>
  <c r="N183" i="16"/>
  <c r="M184" i="16"/>
  <c r="N184" i="16"/>
  <c r="M185" i="16"/>
  <c r="N185" i="16"/>
  <c r="M186" i="16"/>
  <c r="N186" i="16"/>
  <c r="M187" i="16"/>
  <c r="N187" i="16"/>
  <c r="M188" i="16"/>
  <c r="N188" i="16"/>
  <c r="M189" i="16"/>
  <c r="N189" i="16"/>
  <c r="M190" i="16"/>
  <c r="N190" i="16"/>
  <c r="M191" i="16"/>
  <c r="N191" i="16"/>
  <c r="M192" i="16"/>
  <c r="N192" i="16"/>
  <c r="M193" i="16"/>
  <c r="N193" i="16"/>
  <c r="M194" i="16"/>
  <c r="N194" i="16"/>
  <c r="M195" i="16"/>
  <c r="N195" i="16"/>
  <c r="M196" i="16"/>
  <c r="N196" i="16"/>
  <c r="M197" i="16"/>
  <c r="N197" i="16"/>
  <c r="M198" i="16"/>
  <c r="N198" i="16"/>
  <c r="M199" i="16"/>
  <c r="N199" i="16"/>
  <c r="M200" i="16"/>
  <c r="N200" i="16"/>
  <c r="M201" i="16"/>
  <c r="N201" i="16"/>
  <c r="M202" i="16"/>
  <c r="N202" i="16"/>
  <c r="M203" i="16"/>
  <c r="N203" i="16"/>
  <c r="M204" i="16"/>
  <c r="N204" i="16"/>
  <c r="M205" i="16"/>
  <c r="N205" i="16"/>
  <c r="M206" i="16"/>
  <c r="N206" i="16"/>
  <c r="M207" i="16"/>
  <c r="N207" i="16"/>
  <c r="M208" i="16"/>
  <c r="N208" i="16"/>
  <c r="M209" i="16"/>
  <c r="N209" i="16"/>
  <c r="M210" i="16"/>
  <c r="N210" i="16"/>
  <c r="M211" i="16"/>
  <c r="N211" i="16"/>
  <c r="M212" i="16"/>
  <c r="N212" i="16"/>
  <c r="M213" i="16"/>
  <c r="N213" i="16"/>
  <c r="M214" i="16"/>
  <c r="N214" i="16"/>
  <c r="M215" i="16"/>
  <c r="N215" i="16"/>
  <c r="M216" i="16"/>
  <c r="N216" i="16"/>
  <c r="M217" i="16"/>
  <c r="N217" i="16"/>
  <c r="M218" i="16"/>
  <c r="N218" i="16"/>
  <c r="M219" i="16"/>
  <c r="N219" i="16"/>
  <c r="M220" i="16"/>
  <c r="N220" i="16"/>
  <c r="M221" i="16"/>
  <c r="N221" i="16"/>
  <c r="M222" i="16"/>
  <c r="N222" i="16"/>
  <c r="M223" i="16"/>
  <c r="N223" i="16"/>
  <c r="M224" i="16"/>
  <c r="N224" i="16"/>
  <c r="B18" i="16" l="1"/>
  <c r="O132" i="24"/>
  <c r="O140" i="8"/>
  <c r="L140" i="8"/>
  <c r="N140" i="8" s="1"/>
  <c r="AF150" i="22"/>
  <c r="H141" i="8"/>
  <c r="H179" i="8"/>
  <c r="L179" i="8" s="1"/>
  <c r="N179" i="8" s="1"/>
  <c r="H174" i="8"/>
  <c r="L174" i="8" s="1"/>
  <c r="N174" i="8" s="1"/>
  <c r="H169" i="8"/>
  <c r="L169" i="8" s="1"/>
  <c r="N169" i="8" s="1"/>
  <c r="H164" i="8"/>
  <c r="L164" i="8" s="1"/>
  <c r="N164" i="8" s="1"/>
  <c r="H159" i="8"/>
  <c r="L159" i="8" s="1"/>
  <c r="N159" i="8" s="1"/>
  <c r="H154" i="8"/>
  <c r="L154" i="8" s="1"/>
  <c r="N154" i="8" s="1"/>
  <c r="H149" i="8"/>
  <c r="L149" i="8" s="1"/>
  <c r="N149" i="8" s="1"/>
  <c r="H144" i="8"/>
  <c r="L144" i="8" s="1"/>
  <c r="N144" i="8" s="1"/>
  <c r="I179" i="8"/>
  <c r="M179" i="8" s="1"/>
  <c r="O179" i="8" s="1"/>
  <c r="I174" i="8"/>
  <c r="M174" i="8" s="1"/>
  <c r="O174" i="8" s="1"/>
  <c r="I169" i="8"/>
  <c r="M169" i="8" s="1"/>
  <c r="O169" i="8" s="1"/>
  <c r="I164" i="8"/>
  <c r="M164" i="8" s="1"/>
  <c r="O164" i="8" s="1"/>
  <c r="I159" i="8"/>
  <c r="M159" i="8" s="1"/>
  <c r="O159" i="8" s="1"/>
  <c r="I154" i="8"/>
  <c r="M154" i="8" s="1"/>
  <c r="O154" i="8" s="1"/>
  <c r="I149" i="8"/>
  <c r="M149" i="8" s="1"/>
  <c r="O149" i="8" s="1"/>
  <c r="I144" i="8"/>
  <c r="M144" i="8" s="1"/>
  <c r="O144" i="8" s="1"/>
  <c r="C185" i="8"/>
  <c r="X139" i="8" s="1"/>
  <c r="AJ152" i="22"/>
  <c r="AG150" i="22"/>
  <c r="AJ159" i="22"/>
  <c r="AJ157" i="22"/>
  <c r="AG157" i="22" s="1"/>
  <c r="AJ153" i="22"/>
  <c r="AJ155" i="22"/>
  <c r="AG155" i="22" s="1"/>
  <c r="AJ156" i="22"/>
  <c r="AJ158" i="22"/>
  <c r="K18" i="16"/>
  <c r="B55" i="20"/>
  <c r="C55" i="20"/>
  <c r="E55" i="20"/>
  <c r="F55" i="20"/>
  <c r="H55" i="20"/>
  <c r="J8" i="14"/>
  <c r="K8" i="14"/>
  <c r="N8" i="14"/>
  <c r="O8" i="14"/>
  <c r="P8" i="14"/>
  <c r="E8" i="14"/>
  <c r="I12" i="14"/>
  <c r="I13" i="14"/>
  <c r="I14" i="14"/>
  <c r="I15" i="14"/>
  <c r="I16" i="14"/>
  <c r="I17" i="14"/>
  <c r="I19" i="14"/>
  <c r="I20" i="14"/>
  <c r="I21" i="14"/>
  <c r="I22" i="14"/>
  <c r="I23" i="14"/>
  <c r="I24" i="14"/>
  <c r="I25" i="14"/>
  <c r="I26" i="14"/>
  <c r="I27" i="14"/>
  <c r="I28" i="14"/>
  <c r="I29" i="14"/>
  <c r="I30" i="14"/>
  <c r="I31" i="14"/>
  <c r="I32" i="14"/>
  <c r="I33" i="14"/>
  <c r="I34" i="14"/>
  <c r="I35" i="14"/>
  <c r="I36" i="14"/>
  <c r="I37" i="14"/>
  <c r="I38" i="14"/>
  <c r="I39" i="14"/>
  <c r="I40" i="14"/>
  <c r="I41" i="14"/>
  <c r="I42" i="14"/>
  <c r="I43" i="14"/>
  <c r="I44" i="14"/>
  <c r="I45" i="14"/>
  <c r="I46" i="14"/>
  <c r="I47" i="14"/>
  <c r="I48" i="14"/>
  <c r="I49" i="14"/>
  <c r="I50" i="14"/>
  <c r="I51" i="14"/>
  <c r="I52" i="14"/>
  <c r="I53" i="14"/>
  <c r="I54" i="14"/>
  <c r="I55" i="14"/>
  <c r="I56" i="14"/>
  <c r="I57" i="14"/>
  <c r="I58" i="14"/>
  <c r="I59" i="14"/>
  <c r="I60" i="14"/>
  <c r="I61" i="14"/>
  <c r="I62" i="14"/>
  <c r="I63" i="14"/>
  <c r="I64" i="14"/>
  <c r="I65" i="14"/>
  <c r="I66" i="14"/>
  <c r="I67" i="14"/>
  <c r="I68" i="14"/>
  <c r="I69" i="14"/>
  <c r="I70" i="14"/>
  <c r="I71" i="14"/>
  <c r="I72" i="14"/>
  <c r="I73" i="14"/>
  <c r="I74" i="14"/>
  <c r="I75" i="14"/>
  <c r="I76" i="14"/>
  <c r="I77" i="14"/>
  <c r="I78" i="14"/>
  <c r="I79" i="14"/>
  <c r="I80" i="14"/>
  <c r="I81" i="14"/>
  <c r="I82" i="14"/>
  <c r="I83" i="14"/>
  <c r="I84" i="14"/>
  <c r="I85" i="14"/>
  <c r="I86" i="14"/>
  <c r="I87" i="14"/>
  <c r="I88" i="14"/>
  <c r="I89" i="14"/>
  <c r="I90" i="14"/>
  <c r="I91" i="14"/>
  <c r="I92" i="14"/>
  <c r="I93" i="14"/>
  <c r="I94" i="14"/>
  <c r="I95" i="14"/>
  <c r="I96" i="14"/>
  <c r="I97" i="14"/>
  <c r="I98" i="14"/>
  <c r="C190" i="9"/>
  <c r="C188" i="9"/>
  <c r="C186" i="9"/>
  <c r="L141" i="8" l="1"/>
  <c r="N141" i="8" s="1"/>
  <c r="F15" i="24"/>
  <c r="P132" i="24"/>
  <c r="H185" i="8"/>
  <c r="L185" i="8"/>
  <c r="I185" i="8"/>
  <c r="C7" i="14"/>
  <c r="C8" i="14"/>
  <c r="B8" i="14" s="1"/>
  <c r="C40" i="24" s="1"/>
  <c r="Q6" i="14"/>
  <c r="B6" i="14" s="1"/>
  <c r="C39" i="24" s="1"/>
  <c r="Q7" i="14"/>
  <c r="C184" i="9"/>
  <c r="C183" i="9" s="1"/>
  <c r="B75" i="24" s="1"/>
  <c r="D184" i="9"/>
  <c r="Z146" i="8"/>
  <c r="Z143" i="8"/>
  <c r="AK157" i="22"/>
  <c r="AG153" i="22"/>
  <c r="AK153" i="22" s="1"/>
  <c r="AG152" i="22"/>
  <c r="AK152" i="22" s="1"/>
  <c r="AG156" i="22"/>
  <c r="AK156" i="22" s="1"/>
  <c r="AK155" i="22"/>
  <c r="AG158" i="22"/>
  <c r="AK158" i="22" s="1"/>
  <c r="AG159" i="22"/>
  <c r="E186" i="9"/>
  <c r="F186" i="9"/>
  <c r="J186" i="9"/>
  <c r="K186" i="9"/>
  <c r="AS186" i="9"/>
  <c r="AT186" i="9"/>
  <c r="B7" i="14" l="1"/>
  <c r="C15" i="24"/>
  <c r="F40" i="24"/>
  <c r="F39" i="24"/>
  <c r="Q132" i="24"/>
  <c r="F67" i="22"/>
  <c r="G171" i="9"/>
  <c r="G9" i="9" s="1"/>
  <c r="AL171" i="9"/>
  <c r="AL9" i="9" s="1"/>
  <c r="AG171" i="9"/>
  <c r="AG9" i="9" s="1"/>
  <c r="F171" i="9"/>
  <c r="F9" i="9" s="1"/>
  <c r="AC171" i="9"/>
  <c r="AC9" i="9" s="1"/>
  <c r="AM171" i="9"/>
  <c r="AM9" i="9" s="1"/>
  <c r="AF171" i="9"/>
  <c r="AF9" i="9" s="1"/>
  <c r="AK159" i="22"/>
  <c r="S171" i="9"/>
  <c r="S9" i="9" s="1"/>
  <c r="R171" i="9"/>
  <c r="R9" i="9" s="1"/>
  <c r="AP186" i="9"/>
  <c r="AF186" i="9"/>
  <c r="AE186" i="9"/>
  <c r="AD186" i="9"/>
  <c r="Z186" i="9"/>
  <c r="M171" i="9"/>
  <c r="M9" i="9" s="1"/>
  <c r="Y186" i="9"/>
  <c r="L171" i="9"/>
  <c r="L9" i="9" s="1"/>
  <c r="V186" i="9"/>
  <c r="K171" i="9"/>
  <c r="K9" i="9" s="1"/>
  <c r="L186" i="9"/>
  <c r="AK171" i="9"/>
  <c r="AK9" i="9" s="1"/>
  <c r="J171" i="9"/>
  <c r="J9" i="9" s="1"/>
  <c r="AJ171" i="9"/>
  <c r="AJ9" i="9" s="1"/>
  <c r="AC186" i="9"/>
  <c r="I186" i="9"/>
  <c r="I171" i="9"/>
  <c r="I9" i="9" s="1"/>
  <c r="AI171" i="9"/>
  <c r="AI9" i="9" s="1"/>
  <c r="AV186" i="9"/>
  <c r="AB186" i="9"/>
  <c r="H186" i="9"/>
  <c r="H171" i="9"/>
  <c r="H9" i="9" s="1"/>
  <c r="AH171" i="9"/>
  <c r="AH9" i="9" s="1"/>
  <c r="AU186" i="9"/>
  <c r="AA186" i="9"/>
  <c r="G186" i="9"/>
  <c r="E171" i="9"/>
  <c r="E9" i="9" s="1"/>
  <c r="AE171" i="9"/>
  <c r="AE9" i="9" s="1"/>
  <c r="AR186" i="9"/>
  <c r="X186" i="9"/>
  <c r="D186" i="9"/>
  <c r="D171" i="9"/>
  <c r="D9" i="9" s="1"/>
  <c r="AD171" i="9"/>
  <c r="AD9" i="9" s="1"/>
  <c r="AQ186" i="9"/>
  <c r="W186" i="9"/>
  <c r="AV171" i="9"/>
  <c r="AV9" i="9" s="1"/>
  <c r="U186" i="9"/>
  <c r="AU171" i="9"/>
  <c r="AU9" i="9" s="1"/>
  <c r="AA171" i="9"/>
  <c r="AA9" i="9" s="1"/>
  <c r="AN186" i="9"/>
  <c r="T186" i="9"/>
  <c r="AO186" i="9"/>
  <c r="AT171" i="9"/>
  <c r="AT9" i="9" s="1"/>
  <c r="Z171" i="9"/>
  <c r="Z9" i="9" s="1"/>
  <c r="AM186" i="9"/>
  <c r="S186" i="9"/>
  <c r="AB171" i="9"/>
  <c r="AB9" i="9" s="1"/>
  <c r="AS171" i="9"/>
  <c r="AS9" i="9" s="1"/>
  <c r="Y171" i="9"/>
  <c r="Y9" i="9" s="1"/>
  <c r="AL186" i="9"/>
  <c r="R186" i="9"/>
  <c r="AR171" i="9"/>
  <c r="AR9" i="9" s="1"/>
  <c r="X171" i="9"/>
  <c r="X9" i="9" s="1"/>
  <c r="AK186" i="9"/>
  <c r="Q186" i="9"/>
  <c r="Q171" i="9"/>
  <c r="Q9" i="9" s="1"/>
  <c r="AQ171" i="9"/>
  <c r="AQ9" i="9" s="1"/>
  <c r="W171" i="9"/>
  <c r="W9" i="9" s="1"/>
  <c r="AJ186" i="9"/>
  <c r="P186" i="9"/>
  <c r="O171" i="9"/>
  <c r="O9" i="9" s="1"/>
  <c r="AO171" i="9"/>
  <c r="AO9" i="9" s="1"/>
  <c r="U171" i="9"/>
  <c r="U9" i="9" s="1"/>
  <c r="AH186" i="9"/>
  <c r="N186" i="9"/>
  <c r="P171" i="9"/>
  <c r="P9" i="9" s="1"/>
  <c r="AP171" i="9"/>
  <c r="AP9" i="9" s="1"/>
  <c r="V171" i="9"/>
  <c r="V9" i="9" s="1"/>
  <c r="AI186" i="9"/>
  <c r="O186" i="9"/>
  <c r="N171" i="9"/>
  <c r="N9" i="9" s="1"/>
  <c r="AN171" i="9"/>
  <c r="AN9" i="9" s="1"/>
  <c r="T171" i="9"/>
  <c r="T9" i="9" s="1"/>
  <c r="AG186" i="9"/>
  <c r="M186" i="9"/>
  <c r="R132" i="24" l="1"/>
  <c r="C117" i="9"/>
  <c r="C7" i="9" s="1"/>
  <c r="F68" i="22"/>
  <c r="F69" i="22"/>
  <c r="C107" i="23" l="1"/>
  <c r="B112" i="24"/>
  <c r="S132" i="24"/>
  <c r="C96" i="23" l="1"/>
  <c r="C18" i="23"/>
  <c r="B81" i="24"/>
  <c r="T132" i="24"/>
  <c r="M48" i="16"/>
  <c r="M225" i="16"/>
  <c r="N225" i="16"/>
  <c r="M226" i="16"/>
  <c r="N226" i="16"/>
  <c r="M227" i="16"/>
  <c r="N227" i="16"/>
  <c r="M228" i="16"/>
  <c r="N228" i="16"/>
  <c r="M229" i="16"/>
  <c r="N229" i="16"/>
  <c r="M230" i="16"/>
  <c r="N230" i="16"/>
  <c r="N48" i="16"/>
  <c r="AK150" i="22" s="1"/>
  <c r="D6" i="14"/>
  <c r="E6" i="14"/>
  <c r="F6" i="14"/>
  <c r="G6" i="14"/>
  <c r="H6" i="14"/>
  <c r="I6" i="14"/>
  <c r="J6" i="14"/>
  <c r="K6" i="14"/>
  <c r="L6" i="14"/>
  <c r="M6" i="14"/>
  <c r="N6" i="14"/>
  <c r="O6" i="14"/>
  <c r="P6" i="14"/>
  <c r="G8" i="14"/>
  <c r="L8" i="14"/>
  <c r="D8" i="14"/>
  <c r="O121" i="22"/>
  <c r="R350" i="16"/>
  <c r="R351" i="16"/>
  <c r="R352" i="16"/>
  <c r="R353" i="16"/>
  <c r="X231" i="16"/>
  <c r="K20" i="16" l="1"/>
  <c r="F27" i="24" s="1"/>
  <c r="C27" i="24" s="1"/>
  <c r="K17" i="16"/>
  <c r="U132" i="24"/>
  <c r="R6" i="14"/>
  <c r="B30" i="16"/>
  <c r="B22" i="16"/>
  <c r="B15" i="16"/>
  <c r="AG151" i="22"/>
  <c r="AJ154" i="22"/>
  <c r="AG154" i="22" s="1"/>
  <c r="K19" i="16"/>
  <c r="F21" i="24" s="1"/>
  <c r="P7" i="14"/>
  <c r="M7" i="14"/>
  <c r="N7" i="14"/>
  <c r="I8" i="14"/>
  <c r="O7" i="14"/>
  <c r="K7" i="14"/>
  <c r="J7" i="14"/>
  <c r="H7" i="14"/>
  <c r="I7" i="14"/>
  <c r="M8" i="14"/>
  <c r="G7" i="14"/>
  <c r="H8" i="14"/>
  <c r="L7" i="14"/>
  <c r="F7" i="14"/>
  <c r="E7" i="14"/>
  <c r="D7" i="14"/>
  <c r="F8" i="14"/>
  <c r="B71" i="24" l="1"/>
  <c r="C71" i="24" s="1"/>
  <c r="D71" i="24" s="1"/>
  <c r="F9" i="24"/>
  <c r="C9" i="24"/>
  <c r="C21" i="24"/>
  <c r="V132" i="24"/>
  <c r="R8" i="14"/>
  <c r="R7" i="14"/>
  <c r="B73" i="24" s="1"/>
  <c r="AK151" i="22"/>
  <c r="AK154" i="22"/>
  <c r="B76" i="24" l="1"/>
  <c r="W132" i="24"/>
  <c r="AD157" i="22"/>
  <c r="X233" i="16"/>
  <c r="B100" i="24" l="1"/>
  <c r="B101" i="24" s="1"/>
  <c r="B102" i="24" s="1"/>
  <c r="C76" i="24"/>
  <c r="B113" i="24"/>
  <c r="B114" i="24" s="1"/>
  <c r="X132" i="24"/>
  <c r="AD151" i="22"/>
  <c r="AD158" i="22"/>
  <c r="AD150" i="22"/>
  <c r="AD155" i="22"/>
  <c r="AD152" i="22"/>
  <c r="AD156" i="22"/>
  <c r="AD154" i="22"/>
  <c r="AD153" i="22"/>
  <c r="AD159" i="22"/>
  <c r="X214" i="16"/>
  <c r="X204" i="16"/>
  <c r="X193" i="16"/>
  <c r="X181" i="16"/>
  <c r="X172" i="16"/>
  <c r="X159" i="16"/>
  <c r="X148" i="16"/>
  <c r="X136" i="16"/>
  <c r="X122" i="16"/>
  <c r="X109" i="16"/>
  <c r="X99" i="16"/>
  <c r="X87" i="16"/>
  <c r="X78" i="16"/>
  <c r="X67" i="16"/>
  <c r="X55" i="16"/>
  <c r="X225" i="16"/>
  <c r="X209" i="16"/>
  <c r="X198" i="16"/>
  <c r="X189" i="16"/>
  <c r="X177" i="16"/>
  <c r="X168" i="16"/>
  <c r="X152" i="16"/>
  <c r="X141" i="16"/>
  <c r="X128" i="16"/>
  <c r="X117" i="16"/>
  <c r="X104" i="16"/>
  <c r="X91" i="16"/>
  <c r="X82" i="16"/>
  <c r="X72" i="16"/>
  <c r="X62" i="16"/>
  <c r="X223" i="16"/>
  <c r="X208" i="16"/>
  <c r="X196" i="16"/>
  <c r="X187" i="16"/>
  <c r="X176" i="16"/>
  <c r="X167" i="16"/>
  <c r="X151" i="16"/>
  <c r="X140" i="16"/>
  <c r="X127" i="16"/>
  <c r="X116" i="16"/>
  <c r="X103" i="16"/>
  <c r="X90" i="16"/>
  <c r="X81" i="16"/>
  <c r="X71" i="16"/>
  <c r="X61" i="16"/>
  <c r="X207" i="16"/>
  <c r="X195" i="16"/>
  <c r="X186" i="16"/>
  <c r="X174" i="16"/>
  <c r="X161" i="16"/>
  <c r="X150" i="16"/>
  <c r="X139" i="16"/>
  <c r="X124" i="16"/>
  <c r="X102" i="16"/>
  <c r="X80" i="16"/>
  <c r="X58" i="16"/>
  <c r="X228" i="16"/>
  <c r="X212" i="16"/>
  <c r="X201" i="16"/>
  <c r="X192" i="16"/>
  <c r="X180" i="16"/>
  <c r="X171" i="16"/>
  <c r="X158" i="16"/>
  <c r="X147" i="16"/>
  <c r="X135" i="16"/>
  <c r="X121" i="16"/>
  <c r="X108" i="16"/>
  <c r="X98" i="16"/>
  <c r="X86" i="16"/>
  <c r="X75" i="16"/>
  <c r="X66" i="16"/>
  <c r="X54" i="16"/>
  <c r="X227" i="16"/>
  <c r="X211" i="16"/>
  <c r="X200" i="16"/>
  <c r="X191" i="16"/>
  <c r="X179" i="16"/>
  <c r="X170" i="16"/>
  <c r="X156" i="16"/>
  <c r="X144" i="16"/>
  <c r="X134" i="16"/>
  <c r="X120" i="16"/>
  <c r="X107" i="16"/>
  <c r="X94" i="16"/>
  <c r="X85" i="16"/>
  <c r="X74" i="16"/>
  <c r="X65" i="16"/>
  <c r="X210" i="16"/>
  <c r="X199" i="16"/>
  <c r="X190" i="16"/>
  <c r="X178" i="16"/>
  <c r="X169" i="16"/>
  <c r="X153" i="16"/>
  <c r="X143" i="16"/>
  <c r="X133" i="16"/>
  <c r="X119" i="16"/>
  <c r="X105" i="16"/>
  <c r="X93" i="16"/>
  <c r="X83" i="16"/>
  <c r="X73" i="16"/>
  <c r="X63" i="16"/>
  <c r="X221" i="16"/>
  <c r="N159" i="22" s="1"/>
  <c r="X205" i="16"/>
  <c r="X194" i="16"/>
  <c r="X183" i="16"/>
  <c r="X173" i="16"/>
  <c r="X160" i="16"/>
  <c r="X149" i="16"/>
  <c r="X138" i="16"/>
  <c r="X123" i="16"/>
  <c r="X112" i="16"/>
  <c r="X100" i="16"/>
  <c r="X88" i="16"/>
  <c r="X79" i="16"/>
  <c r="X69" i="16"/>
  <c r="X56" i="16"/>
  <c r="X222" i="16"/>
  <c r="X113" i="16"/>
  <c r="X89" i="16"/>
  <c r="X70" i="16"/>
  <c r="X68" i="16"/>
  <c r="X84" i="16"/>
  <c r="X51" i="16"/>
  <c r="X157" i="16"/>
  <c r="CL50" i="16"/>
  <c r="CM50" i="16"/>
  <c r="CN50" i="16"/>
  <c r="CL51" i="16"/>
  <c r="CM51" i="16"/>
  <c r="CN51" i="16"/>
  <c r="CL52" i="16"/>
  <c r="CM52" i="16"/>
  <c r="CN52" i="16"/>
  <c r="CL53" i="16"/>
  <c r="CM53" i="16"/>
  <c r="CN53" i="16"/>
  <c r="CL54" i="16"/>
  <c r="CM54" i="16"/>
  <c r="CN54" i="16"/>
  <c r="CO54" i="16"/>
  <c r="CP54" i="16"/>
  <c r="CQ54" i="16"/>
  <c r="CR54" i="16"/>
  <c r="CL55" i="16"/>
  <c r="CM55" i="16"/>
  <c r="CN55" i="16"/>
  <c r="CO55" i="16"/>
  <c r="CP55" i="16"/>
  <c r="CQ55" i="16"/>
  <c r="CR55" i="16"/>
  <c r="CS55" i="16"/>
  <c r="CT55" i="16"/>
  <c r="CU55" i="16"/>
  <c r="CV55" i="16"/>
  <c r="CL56" i="16"/>
  <c r="CM56" i="16"/>
  <c r="CN56" i="16"/>
  <c r="CO56" i="16"/>
  <c r="CP56" i="16"/>
  <c r="CQ56" i="16"/>
  <c r="CR56" i="16"/>
  <c r="CS56" i="16"/>
  <c r="CT56" i="16"/>
  <c r="CU56" i="16"/>
  <c r="CV56" i="16"/>
  <c r="CL57" i="16"/>
  <c r="CM57" i="16"/>
  <c r="CN57" i="16"/>
  <c r="CO57" i="16"/>
  <c r="CP57" i="16"/>
  <c r="CQ57" i="16"/>
  <c r="CR57" i="16"/>
  <c r="CS57" i="16"/>
  <c r="CL58" i="16"/>
  <c r="CM58" i="16"/>
  <c r="CN58" i="16"/>
  <c r="CO58" i="16"/>
  <c r="CM59" i="16"/>
  <c r="CN59" i="16"/>
  <c r="CO59" i="16"/>
  <c r="CL60" i="16"/>
  <c r="CM60" i="16"/>
  <c r="CN60" i="16"/>
  <c r="CO60" i="16"/>
  <c r="CP60" i="16"/>
  <c r="CQ60" i="16"/>
  <c r="CR60" i="16"/>
  <c r="CS60" i="16"/>
  <c r="CL61" i="16"/>
  <c r="CM61" i="16"/>
  <c r="CN61" i="16"/>
  <c r="CO61" i="16"/>
  <c r="CP61" i="16"/>
  <c r="CQ61" i="16"/>
  <c r="CR61" i="16"/>
  <c r="CS61" i="16"/>
  <c r="CL62" i="16"/>
  <c r="CM62" i="16"/>
  <c r="CN62" i="16"/>
  <c r="CO62" i="16"/>
  <c r="CP62" i="16"/>
  <c r="CQ62" i="16"/>
  <c r="CR62" i="16"/>
  <c r="CS62" i="16"/>
  <c r="CT62" i="16"/>
  <c r="CU62" i="16"/>
  <c r="CL63" i="16"/>
  <c r="CL64" i="16"/>
  <c r="CL65" i="16"/>
  <c r="CL66" i="16"/>
  <c r="CL67" i="16"/>
  <c r="CM67" i="16"/>
  <c r="CN67" i="16"/>
  <c r="CO67" i="16"/>
  <c r="CP67" i="16"/>
  <c r="CQ67" i="16"/>
  <c r="CR67" i="16"/>
  <c r="CL68" i="16"/>
  <c r="CM68" i="16"/>
  <c r="CN68" i="16"/>
  <c r="CO68" i="16"/>
  <c r="CP68" i="16"/>
  <c r="CL69" i="16"/>
  <c r="CM69" i="16"/>
  <c r="CN69" i="16"/>
  <c r="CO69" i="16"/>
  <c r="CL70" i="16"/>
  <c r="CL71" i="16"/>
  <c r="CL72" i="16"/>
  <c r="CL75" i="16"/>
  <c r="CM75" i="16"/>
  <c r="CL78" i="16"/>
  <c r="CM78" i="16"/>
  <c r="CN78" i="16"/>
  <c r="CO78" i="16"/>
  <c r="CP78" i="16"/>
  <c r="CQ78" i="16"/>
  <c r="CL79" i="16"/>
  <c r="CM79" i="16"/>
  <c r="CN79" i="16"/>
  <c r="CO79" i="16"/>
  <c r="CL80" i="16"/>
  <c r="CM80" i="16"/>
  <c r="CN80" i="16"/>
  <c r="CO80" i="16"/>
  <c r="CL81" i="16"/>
  <c r="CM81" i="16"/>
  <c r="CN81" i="16"/>
  <c r="CO81" i="16"/>
  <c r="CP81" i="16"/>
  <c r="CQ81" i="16"/>
  <c r="CR81" i="16"/>
  <c r="CL82" i="16"/>
  <c r="CM82" i="16"/>
  <c r="CN82" i="16"/>
  <c r="CO82" i="16"/>
  <c r="CP82" i="16"/>
  <c r="CQ82" i="16"/>
  <c r="CL85" i="16"/>
  <c r="CL86" i="16"/>
  <c r="CM86" i="16"/>
  <c r="CN86" i="16"/>
  <c r="CO86" i="16"/>
  <c r="CP86" i="16"/>
  <c r="CQ86" i="16"/>
  <c r="CL87" i="16"/>
  <c r="CM87" i="16"/>
  <c r="CN87" i="16"/>
  <c r="CO87" i="16"/>
  <c r="CP87" i="16"/>
  <c r="CQ87" i="16"/>
  <c r="CL88" i="16"/>
  <c r="CM88" i="16"/>
  <c r="CN88" i="16"/>
  <c r="CO88" i="16"/>
  <c r="CP88" i="16"/>
  <c r="CQ88" i="16"/>
  <c r="CL89" i="16"/>
  <c r="CM89" i="16"/>
  <c r="CN89" i="16"/>
  <c r="CO89" i="16"/>
  <c r="CP89" i="16"/>
  <c r="CQ89" i="16"/>
  <c r="CL90" i="16"/>
  <c r="CM90" i="16"/>
  <c r="CN90" i="16"/>
  <c r="CO90" i="16"/>
  <c r="CP90" i="16"/>
  <c r="CQ90" i="16"/>
  <c r="CR90" i="16"/>
  <c r="CS90" i="16"/>
  <c r="CT90" i="16"/>
  <c r="CU90" i="16"/>
  <c r="CV90" i="16"/>
  <c r="CW90" i="16"/>
  <c r="CL91" i="16"/>
  <c r="CL92" i="16"/>
  <c r="CM92" i="16"/>
  <c r="CN92" i="16"/>
  <c r="CL93" i="16"/>
  <c r="CM93" i="16"/>
  <c r="CN93" i="16"/>
  <c r="CL94" i="16"/>
  <c r="CM94" i="16"/>
  <c r="CN94" i="16"/>
  <c r="CL95" i="16"/>
  <c r="CM95" i="16"/>
  <c r="CN95" i="16"/>
  <c r="CL96" i="16"/>
  <c r="CM96" i="16"/>
  <c r="CN96" i="16"/>
  <c r="CL97" i="16"/>
  <c r="CM97" i="16"/>
  <c r="CN97" i="16"/>
  <c r="CO97" i="16"/>
  <c r="CP97" i="16"/>
  <c r="CQ97" i="16"/>
  <c r="CR97" i="16"/>
  <c r="CS97" i="16"/>
  <c r="CT97" i="16"/>
  <c r="CU97" i="16"/>
  <c r="CV97" i="16"/>
  <c r="CL98" i="16"/>
  <c r="CM98" i="16"/>
  <c r="CN98" i="16"/>
  <c r="CO98" i="16"/>
  <c r="CP98" i="16"/>
  <c r="CQ98" i="16"/>
  <c r="CR98" i="16"/>
  <c r="CL99" i="16"/>
  <c r="CM99" i="16"/>
  <c r="CN99" i="16"/>
  <c r="CO99" i="16"/>
  <c r="CP99" i="16"/>
  <c r="CQ99" i="16"/>
  <c r="CR99" i="16"/>
  <c r="CL100" i="16"/>
  <c r="CM100" i="16"/>
  <c r="CN100" i="16"/>
  <c r="CO100" i="16"/>
  <c r="CP100" i="16"/>
  <c r="CQ100" i="16"/>
  <c r="CR100" i="16"/>
  <c r="CL101" i="16"/>
  <c r="CM101" i="16"/>
  <c r="CN101" i="16"/>
  <c r="CO101" i="16"/>
  <c r="CP101" i="16"/>
  <c r="CQ101" i="16"/>
  <c r="CR101" i="16"/>
  <c r="CL102" i="16"/>
  <c r="CM102" i="16"/>
  <c r="CN102" i="16"/>
  <c r="CO102" i="16"/>
  <c r="CL103" i="16"/>
  <c r="CM103" i="16"/>
  <c r="CN103" i="16"/>
  <c r="CO103" i="16"/>
  <c r="CL104" i="16"/>
  <c r="CM104" i="16"/>
  <c r="CN104" i="16"/>
  <c r="CO104" i="16"/>
  <c r="CL105" i="16"/>
  <c r="CM105" i="16"/>
  <c r="CN105" i="16"/>
  <c r="CO105" i="16"/>
  <c r="CW105" i="16"/>
  <c r="CX105" i="16"/>
  <c r="CL106" i="16"/>
  <c r="CM106" i="16"/>
  <c r="CN106" i="16"/>
  <c r="CO106" i="16"/>
  <c r="CL107" i="16"/>
  <c r="CM107" i="16"/>
  <c r="CN107" i="16"/>
  <c r="CO107" i="16"/>
  <c r="CL108" i="16"/>
  <c r="CM108" i="16"/>
  <c r="CL109" i="16"/>
  <c r="CM109" i="16"/>
  <c r="CL110" i="16"/>
  <c r="CM110" i="16"/>
  <c r="CN110" i="16"/>
  <c r="CL111" i="16"/>
  <c r="CM111" i="16"/>
  <c r="CL112" i="16"/>
  <c r="CM112" i="16"/>
  <c r="CL113" i="16"/>
  <c r="CL114" i="16"/>
  <c r="CL115" i="16"/>
  <c r="CM115" i="16"/>
  <c r="CN115" i="16"/>
  <c r="CO115" i="16"/>
  <c r="CP115" i="16"/>
  <c r="CQ115" i="16"/>
  <c r="CR115" i="16"/>
  <c r="CS115" i="16"/>
  <c r="CL116" i="16"/>
  <c r="CM116" i="16"/>
  <c r="CN116" i="16"/>
  <c r="CL117" i="16"/>
  <c r="CM117" i="16"/>
  <c r="CN117" i="16"/>
  <c r="CL118" i="16"/>
  <c r="CM118" i="16"/>
  <c r="CN118" i="16"/>
  <c r="CL119" i="16"/>
  <c r="CM119" i="16"/>
  <c r="CN119" i="16"/>
  <c r="CL120" i="16"/>
  <c r="CM120" i="16"/>
  <c r="CN120" i="16"/>
  <c r="CL121" i="16"/>
  <c r="CM121" i="16"/>
  <c r="CN121" i="16"/>
  <c r="CL122" i="16"/>
  <c r="CM122" i="16"/>
  <c r="CN122" i="16"/>
  <c r="CL123" i="16"/>
  <c r="CM123" i="16"/>
  <c r="CN123" i="16"/>
  <c r="CL124" i="16"/>
  <c r="CM124" i="16"/>
  <c r="CN124" i="16"/>
  <c r="CL125" i="16"/>
  <c r="CM125" i="16"/>
  <c r="CN125" i="16"/>
  <c r="CL126" i="16"/>
  <c r="CM126" i="16"/>
  <c r="CN126" i="16"/>
  <c r="CL127" i="16"/>
  <c r="CM127" i="16"/>
  <c r="CN127" i="16"/>
  <c r="CL128" i="16"/>
  <c r="CM128" i="16"/>
  <c r="CN128" i="16"/>
  <c r="CL129" i="16"/>
  <c r="CM129" i="16"/>
  <c r="CN129" i="16"/>
  <c r="CL130" i="16"/>
  <c r="CM130" i="16"/>
  <c r="CN130" i="16"/>
  <c r="CL131" i="16"/>
  <c r="CM131" i="16"/>
  <c r="CN131" i="16"/>
  <c r="CL132" i="16"/>
  <c r="CM132" i="16"/>
  <c r="CN132" i="16"/>
  <c r="CL133" i="16"/>
  <c r="CM133" i="16"/>
  <c r="CN133" i="16"/>
  <c r="CL134" i="16"/>
  <c r="CM134" i="16"/>
  <c r="CN134" i="16"/>
  <c r="CL135" i="16"/>
  <c r="CM135" i="16"/>
  <c r="CN135" i="16"/>
  <c r="CL136" i="16"/>
  <c r="CM136" i="16"/>
  <c r="CN136" i="16"/>
  <c r="CL137" i="16"/>
  <c r="CM137" i="16"/>
  <c r="CN137" i="16"/>
  <c r="CL138" i="16"/>
  <c r="CM138" i="16"/>
  <c r="CN138" i="16"/>
  <c r="CO138" i="16"/>
  <c r="CL139" i="16"/>
  <c r="CM139" i="16"/>
  <c r="CN139" i="16"/>
  <c r="CO139" i="16"/>
  <c r="CL140" i="16"/>
  <c r="CM140" i="16"/>
  <c r="CN140" i="16"/>
  <c r="CO140" i="16"/>
  <c r="CL141" i="16"/>
  <c r="CM141" i="16"/>
  <c r="CN141" i="16"/>
  <c r="CO141" i="16"/>
  <c r="CL142" i="16"/>
  <c r="CM142" i="16"/>
  <c r="CL143" i="16"/>
  <c r="CM143" i="16"/>
  <c r="CN143" i="16"/>
  <c r="CO143" i="16"/>
  <c r="CP143" i="16"/>
  <c r="CQ143" i="16"/>
  <c r="CR143" i="16"/>
  <c r="CS143" i="16"/>
  <c r="CL144" i="16"/>
  <c r="CM144" i="16"/>
  <c r="CN144" i="16"/>
  <c r="CO144" i="16"/>
  <c r="CP144" i="16"/>
  <c r="CQ144" i="16"/>
  <c r="CR144" i="16"/>
  <c r="CS144" i="16"/>
  <c r="CL145" i="16"/>
  <c r="CM145" i="16"/>
  <c r="CN145" i="16"/>
  <c r="CO145" i="16"/>
  <c r="CP145" i="16"/>
  <c r="CQ145" i="16"/>
  <c r="CR145" i="16"/>
  <c r="CS145" i="16"/>
  <c r="CL146" i="16"/>
  <c r="CM146" i="16"/>
  <c r="CN146" i="16"/>
  <c r="CO146" i="16"/>
  <c r="CP146" i="16"/>
  <c r="CQ146" i="16"/>
  <c r="CR146" i="16"/>
  <c r="CS146" i="16"/>
  <c r="CL155" i="16"/>
  <c r="CL157" i="16"/>
  <c r="CM157" i="16"/>
  <c r="CN157" i="16"/>
  <c r="CO157" i="16"/>
  <c r="CP157" i="16"/>
  <c r="CQ157" i="16"/>
  <c r="CR157" i="16"/>
  <c r="CS157" i="16"/>
  <c r="CT157" i="16"/>
  <c r="CU157" i="16"/>
  <c r="CV157" i="16"/>
  <c r="CW157" i="16"/>
  <c r="CL158" i="16"/>
  <c r="CM158" i="16"/>
  <c r="CN158" i="16"/>
  <c r="CO158" i="16"/>
  <c r="CP158" i="16"/>
  <c r="CQ158" i="16"/>
  <c r="CR158" i="16"/>
  <c r="CL159" i="16"/>
  <c r="CM159" i="16"/>
  <c r="CN159" i="16"/>
  <c r="CO159" i="16"/>
  <c r="CP159" i="16"/>
  <c r="CQ159" i="16"/>
  <c r="CR159" i="16"/>
  <c r="CL160" i="16"/>
  <c r="CM160" i="16"/>
  <c r="CN160" i="16"/>
  <c r="CO160" i="16"/>
  <c r="CP160" i="16"/>
  <c r="CQ160" i="16"/>
  <c r="CR160" i="16"/>
  <c r="CS160" i="16"/>
  <c r="CT160" i="16"/>
  <c r="CU160" i="16"/>
  <c r="CV160" i="16"/>
  <c r="CL161" i="16"/>
  <c r="CM161" i="16"/>
  <c r="CN161" i="16"/>
  <c r="CO161" i="16"/>
  <c r="CP161" i="16"/>
  <c r="CQ161" i="16"/>
  <c r="CR161" i="16"/>
  <c r="CL162" i="16"/>
  <c r="CM162" i="16"/>
  <c r="CN162" i="16"/>
  <c r="CO162" i="16"/>
  <c r="CP162" i="16"/>
  <c r="CQ162" i="16"/>
  <c r="CR162" i="16"/>
  <c r="CL163" i="16"/>
  <c r="CM163" i="16"/>
  <c r="CN163" i="16"/>
  <c r="CO163" i="16"/>
  <c r="CP163" i="16"/>
  <c r="CQ163" i="16"/>
  <c r="CR163" i="16"/>
  <c r="CS163" i="16"/>
  <c r="CT163" i="16"/>
  <c r="CU163" i="16"/>
  <c r="CV163" i="16"/>
  <c r="CL164" i="16"/>
  <c r="CM164" i="16"/>
  <c r="CN164" i="16"/>
  <c r="CO164" i="16"/>
  <c r="CP164" i="16"/>
  <c r="CQ164" i="16"/>
  <c r="CR164" i="16"/>
  <c r="CS164" i="16"/>
  <c r="CL165" i="16"/>
  <c r="CM165" i="16"/>
  <c r="CN165" i="16"/>
  <c r="CO165" i="16"/>
  <c r="CP165" i="16"/>
  <c r="CQ165" i="16"/>
  <c r="CR165" i="16"/>
  <c r="CS165" i="16"/>
  <c r="CL166" i="16"/>
  <c r="CM166" i="16"/>
  <c r="CN166" i="16"/>
  <c r="CO166" i="16"/>
  <c r="CP166" i="16"/>
  <c r="CQ166" i="16"/>
  <c r="CR166" i="16"/>
  <c r="CS166" i="16"/>
  <c r="CL167" i="16"/>
  <c r="CL168" i="16"/>
  <c r="CM168" i="16"/>
  <c r="CL169" i="16"/>
  <c r="CM169" i="16"/>
  <c r="CN169" i="16"/>
  <c r="CL170" i="16"/>
  <c r="CM170" i="16"/>
  <c r="CN170" i="16"/>
  <c r="CO170" i="16"/>
  <c r="CP170" i="16"/>
  <c r="CQ170" i="16"/>
  <c r="CL171" i="16"/>
  <c r="CM171" i="16"/>
  <c r="CN171" i="16"/>
  <c r="CO171" i="16"/>
  <c r="CP171" i="16"/>
  <c r="CQ171" i="16"/>
  <c r="CL172" i="16"/>
  <c r="CL174" i="16"/>
  <c r="CM174" i="16"/>
  <c r="CN174" i="16"/>
  <c r="CO174" i="16"/>
  <c r="CP174" i="16"/>
  <c r="CQ174" i="16"/>
  <c r="CR174" i="16"/>
  <c r="CS174" i="16"/>
  <c r="CT174" i="16"/>
  <c r="CL175" i="16"/>
  <c r="CM175" i="16"/>
  <c r="CN175" i="16"/>
  <c r="CO175" i="16"/>
  <c r="CP175" i="16"/>
  <c r="CQ175" i="16"/>
  <c r="CR175" i="16"/>
  <c r="CS175" i="16"/>
  <c r="CT175" i="16"/>
  <c r="CL176" i="16"/>
  <c r="CM176" i="16"/>
  <c r="CN176" i="16"/>
  <c r="CO176" i="16"/>
  <c r="CP176" i="16"/>
  <c r="CL177" i="16"/>
  <c r="CM177" i="16"/>
  <c r="CN177" i="16"/>
  <c r="CO177" i="16"/>
  <c r="CP177" i="16"/>
  <c r="CL178" i="16"/>
  <c r="CL179" i="16"/>
  <c r="CM179" i="16"/>
  <c r="CN179" i="16"/>
  <c r="CO179" i="16"/>
  <c r="CP179" i="16"/>
  <c r="CQ179" i="16"/>
  <c r="CR179" i="16"/>
  <c r="CS179" i="16"/>
  <c r="CL180" i="16"/>
  <c r="CL181" i="16"/>
  <c r="CL182" i="16"/>
  <c r="CL183" i="16"/>
  <c r="CM183" i="16"/>
  <c r="CN183" i="16"/>
  <c r="CO183" i="16"/>
  <c r="CP183" i="16"/>
  <c r="CL187" i="16"/>
  <c r="CL188" i="16"/>
  <c r="CL189" i="16"/>
  <c r="CM189" i="16"/>
  <c r="CN189" i="16"/>
  <c r="CO189" i="16"/>
  <c r="CP189" i="16"/>
  <c r="CL190" i="16"/>
  <c r="CM190" i="16"/>
  <c r="CN190" i="16"/>
  <c r="CO190" i="16"/>
  <c r="CP190" i="16"/>
  <c r="CQ190" i="16"/>
  <c r="CR190" i="16"/>
  <c r="CS190" i="16"/>
  <c r="CT190" i="16"/>
  <c r="CU190" i="16"/>
  <c r="CV190" i="16"/>
  <c r="CW190" i="16"/>
  <c r="CL191" i="16"/>
  <c r="CM191" i="16"/>
  <c r="CN191" i="16"/>
  <c r="CO191" i="16"/>
  <c r="CP191" i="16"/>
  <c r="CQ191" i="16"/>
  <c r="CX198" i="16"/>
  <c r="CR200" i="16"/>
  <c r="CS200" i="16"/>
  <c r="CT200" i="16"/>
  <c r="CU200" i="16"/>
  <c r="CV200" i="16"/>
  <c r="CW200" i="16"/>
  <c r="CX200" i="16"/>
  <c r="CL208" i="16"/>
  <c r="CM208" i="16"/>
  <c r="CL209" i="16"/>
  <c r="CM209" i="16"/>
  <c r="CN209" i="16"/>
  <c r="CO209" i="16"/>
  <c r="CP209" i="16"/>
  <c r="CL210" i="16"/>
  <c r="CM210" i="16"/>
  <c r="CN210" i="16"/>
  <c r="CO210" i="16"/>
  <c r="CP210" i="16"/>
  <c r="CL211" i="16"/>
  <c r="CM211" i="16"/>
  <c r="CN211" i="16"/>
  <c r="CO211" i="16"/>
  <c r="CP211" i="16"/>
  <c r="CL212" i="16"/>
  <c r="CM212" i="16"/>
  <c r="CN212" i="16"/>
  <c r="CO212" i="16"/>
  <c r="CP212" i="16"/>
  <c r="CQ212" i="16"/>
  <c r="CR212" i="16"/>
  <c r="CS212" i="16"/>
  <c r="CL213" i="16"/>
  <c r="CM213" i="16"/>
  <c r="CN213" i="16"/>
  <c r="CO213" i="16"/>
  <c r="CP213" i="16"/>
  <c r="CQ213" i="16"/>
  <c r="CR213" i="16"/>
  <c r="CS213" i="16"/>
  <c r="CL214" i="16"/>
  <c r="CM214" i="16"/>
  <c r="CN214" i="16"/>
  <c r="CO214" i="16"/>
  <c r="CP214" i="16"/>
  <c r="CQ214" i="16"/>
  <c r="CR214" i="16"/>
  <c r="CS214" i="16"/>
  <c r="CL215" i="16"/>
  <c r="CM215" i="16"/>
  <c r="CN215" i="16"/>
  <c r="CO215" i="16"/>
  <c r="CP215" i="16"/>
  <c r="CQ215" i="16"/>
  <c r="CR215" i="16"/>
  <c r="CS215" i="16"/>
  <c r="CT215" i="16"/>
  <c r="CU215" i="16"/>
  <c r="CV215" i="16"/>
  <c r="CW215" i="16"/>
  <c r="CL216" i="16"/>
  <c r="CM216" i="16"/>
  <c r="CN216" i="16"/>
  <c r="CO216" i="16"/>
  <c r="CP216" i="16"/>
  <c r="CQ216" i="16"/>
  <c r="CR216" i="16"/>
  <c r="CS216" i="16"/>
  <c r="CT216" i="16"/>
  <c r="CU216" i="16"/>
  <c r="CV216" i="16"/>
  <c r="CW216" i="16"/>
  <c r="CL217" i="16"/>
  <c r="CM217" i="16"/>
  <c r="CN217" i="16"/>
  <c r="CO217" i="16"/>
  <c r="CP217" i="16"/>
  <c r="CQ217" i="16"/>
  <c r="CR217" i="16"/>
  <c r="CS217" i="16"/>
  <c r="CT217" i="16"/>
  <c r="CU217" i="16"/>
  <c r="CV217" i="16"/>
  <c r="CW217" i="16"/>
  <c r="CL218" i="16"/>
  <c r="CM218" i="16"/>
  <c r="CN218" i="16"/>
  <c r="CO218" i="16"/>
  <c r="CP218" i="16"/>
  <c r="CQ218" i="16"/>
  <c r="CR218" i="16"/>
  <c r="CS218" i="16"/>
  <c r="CT218" i="16"/>
  <c r="CU218" i="16"/>
  <c r="CV218" i="16"/>
  <c r="CW218" i="16"/>
  <c r="CL219" i="16"/>
  <c r="CM219" i="16"/>
  <c r="CN219" i="16"/>
  <c r="CO219" i="16"/>
  <c r="CP219" i="16"/>
  <c r="CQ219" i="16"/>
  <c r="CR219" i="16"/>
  <c r="CL220" i="16"/>
  <c r="CM220" i="16"/>
  <c r="CN220" i="16"/>
  <c r="CO220" i="16"/>
  <c r="CP220" i="16"/>
  <c r="CQ220" i="16"/>
  <c r="CR220" i="16"/>
  <c r="CL221" i="16"/>
  <c r="CM221" i="16"/>
  <c r="CN221" i="16"/>
  <c r="CO221" i="16"/>
  <c r="CP221" i="16"/>
  <c r="CQ221" i="16"/>
  <c r="CR221" i="16"/>
  <c r="CL222" i="16"/>
  <c r="CL223" i="16"/>
  <c r="CL224" i="16"/>
  <c r="CL225" i="16"/>
  <c r="CL226" i="16"/>
  <c r="CM226" i="16"/>
  <c r="CN226" i="16"/>
  <c r="CO226" i="16"/>
  <c r="CP226" i="16"/>
  <c r="CQ226" i="16"/>
  <c r="CR226" i="16"/>
  <c r="CS226" i="16"/>
  <c r="CL227" i="16"/>
  <c r="CM227" i="16"/>
  <c r="CL228" i="16"/>
  <c r="CM228" i="16"/>
  <c r="CL229" i="16"/>
  <c r="CM229" i="16"/>
  <c r="CL230" i="16"/>
  <c r="CM230" i="16"/>
  <c r="CL231" i="16"/>
  <c r="CM231" i="16"/>
  <c r="CN231" i="16"/>
  <c r="CO231" i="16"/>
  <c r="CP231" i="16"/>
  <c r="CQ231" i="16"/>
  <c r="CR231" i="16"/>
  <c r="CS231" i="16"/>
  <c r="CT231" i="16"/>
  <c r="CU231" i="16"/>
  <c r="CV231" i="16"/>
  <c r="CW231" i="16"/>
  <c r="CX231" i="16"/>
  <c r="AK162" i="22" l="1"/>
  <c r="N154" i="22"/>
  <c r="N153" i="22"/>
  <c r="N155" i="22"/>
  <c r="N158" i="22"/>
  <c r="AK164" i="22"/>
  <c r="AG168" i="22"/>
  <c r="AI171" i="22"/>
  <c r="AJ162" i="22"/>
  <c r="AJ165" i="22"/>
  <c r="AF166" i="22"/>
  <c r="AG167" i="22"/>
  <c r="AI167" i="22"/>
  <c r="AG171" i="22"/>
  <c r="AF165" i="22"/>
  <c r="AH168" i="22"/>
  <c r="AJ171" i="22"/>
  <c r="AK168" i="22"/>
  <c r="AF169" i="22"/>
  <c r="AH169" i="22"/>
  <c r="AE168" i="22"/>
  <c r="AK170" i="22"/>
  <c r="AK167" i="22"/>
  <c r="AG165" i="22"/>
  <c r="AI168" i="22"/>
  <c r="AK171" i="22"/>
  <c r="AI162" i="22"/>
  <c r="AG169" i="22"/>
  <c r="AG162" i="22"/>
  <c r="AI170" i="22"/>
  <c r="AJ167" i="22"/>
  <c r="AF168" i="22"/>
  <c r="AH165" i="22"/>
  <c r="AJ168" i="22"/>
  <c r="AI165" i="22"/>
  <c r="AK165" i="22"/>
  <c r="AH162" i="22"/>
  <c r="AG166" i="22"/>
  <c r="AI169" i="22"/>
  <c r="AF162" i="22"/>
  <c r="AF163" i="22"/>
  <c r="AH166" i="22"/>
  <c r="AJ169" i="22"/>
  <c r="AE163" i="22"/>
  <c r="AG163" i="22"/>
  <c r="AI166" i="22"/>
  <c r="AK169" i="22"/>
  <c r="AE164" i="22"/>
  <c r="AH163" i="22"/>
  <c r="AJ166" i="22"/>
  <c r="AF170" i="22"/>
  <c r="AE165" i="22"/>
  <c r="AI163" i="22"/>
  <c r="AK166" i="22"/>
  <c r="AG170" i="22"/>
  <c r="AE166" i="22"/>
  <c r="AJ163" i="22"/>
  <c r="AF167" i="22"/>
  <c r="AH170" i="22"/>
  <c r="AE167" i="22"/>
  <c r="AK163" i="22"/>
  <c r="AF164" i="22"/>
  <c r="AH167" i="22"/>
  <c r="AJ170" i="22"/>
  <c r="AE169" i="22"/>
  <c r="AG164" i="22"/>
  <c r="AH164" i="22"/>
  <c r="AF171" i="22"/>
  <c r="AE171" i="22"/>
  <c r="AI164" i="22"/>
  <c r="AE162" i="22"/>
  <c r="AJ164" i="22"/>
  <c r="AH171" i="22"/>
  <c r="AE170" i="22"/>
  <c r="N157" i="22"/>
  <c r="N156" i="22"/>
  <c r="D76" i="24"/>
  <c r="C113" i="24"/>
  <c r="C100" i="24"/>
  <c r="C73" i="24"/>
  <c r="Y132" i="24"/>
  <c r="CK68" i="16"/>
  <c r="CK58" i="16"/>
  <c r="CK209" i="16"/>
  <c r="CK182" i="16"/>
  <c r="CK152" i="16"/>
  <c r="CK128" i="16"/>
  <c r="CK117" i="16"/>
  <c r="CK96" i="16"/>
  <c r="CK61" i="16"/>
  <c r="CK56" i="16"/>
  <c r="CK151" i="16"/>
  <c r="CK159" i="16"/>
  <c r="CK133" i="16"/>
  <c r="CK129" i="16"/>
  <c r="CK123" i="16"/>
  <c r="CK146" i="16"/>
  <c r="CK73" i="16"/>
  <c r="CK228" i="16"/>
  <c r="CK222" i="16"/>
  <c r="CK219" i="16"/>
  <c r="CK191" i="16"/>
  <c r="CK179" i="16"/>
  <c r="CK170" i="16"/>
  <c r="CK140" i="16"/>
  <c r="CK119" i="16"/>
  <c r="CK102" i="16"/>
  <c r="CK52" i="16"/>
  <c r="CK212" i="16"/>
  <c r="CK63" i="16"/>
  <c r="CK172" i="16"/>
  <c r="CK168" i="16"/>
  <c r="CK134" i="16"/>
  <c r="CK124" i="16"/>
  <c r="CK108" i="16"/>
  <c r="CK93" i="16"/>
  <c r="CL59" i="16"/>
  <c r="CK162" i="16"/>
  <c r="CK103" i="16"/>
  <c r="CK173" i="16"/>
  <c r="CK214" i="16"/>
  <c r="CK165" i="16"/>
  <c r="CK145" i="16"/>
  <c r="CK95" i="16"/>
  <c r="CK80" i="16"/>
  <c r="CK67" i="16"/>
  <c r="CK66" i="16"/>
  <c r="CK60" i="16"/>
  <c r="CK57" i="16"/>
  <c r="CK161" i="16"/>
  <c r="CK100" i="16"/>
  <c r="CK188" i="16"/>
  <c r="CK160" i="16"/>
  <c r="CK157" i="16"/>
  <c r="CK154" i="16"/>
  <c r="CK148" i="16"/>
  <c r="CK138" i="16"/>
  <c r="CK135" i="16"/>
  <c r="CK107" i="16"/>
  <c r="CK78" i="16"/>
  <c r="CK74" i="16"/>
  <c r="CK166" i="16"/>
  <c r="CK144" i="16"/>
  <c r="CK215" i="16"/>
  <c r="CK132" i="16"/>
  <c r="CK127" i="16"/>
  <c r="CK120" i="16"/>
  <c r="CK87" i="16"/>
  <c r="CK71" i="16"/>
  <c r="CK65" i="16"/>
  <c r="CK142" i="16"/>
  <c r="CK86" i="16"/>
  <c r="CK70" i="16"/>
  <c r="CK190" i="16"/>
  <c r="CK229" i="16"/>
  <c r="CK223" i="16"/>
  <c r="CK210" i="16"/>
  <c r="CK118" i="16"/>
  <c r="CK114" i="16"/>
  <c r="CK113" i="16"/>
  <c r="CK92" i="16"/>
  <c r="CK91" i="16"/>
  <c r="CK220" i="16"/>
  <c r="CK180" i="16"/>
  <c r="CK218" i="16"/>
  <c r="CK109" i="16"/>
  <c r="CK101" i="16"/>
  <c r="CK98" i="16"/>
  <c r="CK85" i="16"/>
  <c r="CK69" i="16"/>
  <c r="CK64" i="16"/>
  <c r="CK230" i="16"/>
  <c r="CK104" i="16"/>
  <c r="CK115" i="16"/>
  <c r="CK137" i="16"/>
  <c r="CK155" i="16"/>
  <c r="CK225" i="16"/>
  <c r="CK213" i="16"/>
  <c r="CK181" i="16"/>
  <c r="CK174" i="16"/>
  <c r="CK164" i="16"/>
  <c r="CK112" i="16"/>
  <c r="CK111" i="16"/>
  <c r="CK110" i="16"/>
  <c r="CK106" i="16"/>
  <c r="CK77" i="16"/>
  <c r="CK75" i="16"/>
  <c r="CK53" i="16"/>
  <c r="CK189" i="16"/>
  <c r="CK175" i="16"/>
  <c r="CK208" i="16"/>
  <c r="CK177" i="16"/>
  <c r="CK171" i="16"/>
  <c r="CK131" i="16"/>
  <c r="CK126" i="16"/>
  <c r="CK121" i="16"/>
  <c r="CK116" i="16"/>
  <c r="CK94" i="16"/>
  <c r="CK89" i="16"/>
  <c r="CK81" i="16"/>
  <c r="CK51" i="16"/>
  <c r="CK216" i="16"/>
  <c r="CK231" i="16"/>
  <c r="Z231" i="16"/>
  <c r="U231" i="16"/>
  <c r="CK224" i="16"/>
  <c r="CK221" i="16"/>
  <c r="CK169" i="16"/>
  <c r="CK167" i="16"/>
  <c r="CK153" i="16"/>
  <c r="CK147" i="16"/>
  <c r="CK143" i="16"/>
  <c r="CK62" i="16"/>
  <c r="CK54" i="16"/>
  <c r="CK136" i="16"/>
  <c r="CK82" i="16"/>
  <c r="CK150" i="16"/>
  <c r="CK217" i="16"/>
  <c r="CK183" i="16"/>
  <c r="CK105" i="16"/>
  <c r="CK97" i="16"/>
  <c r="CK79" i="16"/>
  <c r="CK55" i="16"/>
  <c r="CK227" i="16"/>
  <c r="CK226" i="16"/>
  <c r="CK211" i="16"/>
  <c r="CK187" i="16"/>
  <c r="CK176" i="16"/>
  <c r="CK163" i="16"/>
  <c r="CK158" i="16"/>
  <c r="CK156" i="16"/>
  <c r="CK149" i="16"/>
  <c r="CK141" i="16"/>
  <c r="CK139" i="16"/>
  <c r="CK76" i="16"/>
  <c r="CK72" i="16"/>
  <c r="CK178" i="16"/>
  <c r="CK130" i="16"/>
  <c r="CK125" i="16"/>
  <c r="CK122" i="16"/>
  <c r="CK99" i="16"/>
  <c r="CK90" i="16"/>
  <c r="CK88" i="16"/>
  <c r="CK50" i="16"/>
  <c r="D113" i="24" l="1"/>
  <c r="D100" i="24"/>
  <c r="E76" i="24"/>
  <c r="D73" i="24"/>
  <c r="E71" i="24"/>
  <c r="Z132" i="24"/>
  <c r="Q158" i="22" l="1"/>
  <c r="Q159" i="22"/>
  <c r="Q153" i="22"/>
  <c r="Q157" i="22"/>
  <c r="Q154" i="22"/>
  <c r="Q156" i="22"/>
  <c r="F76" i="24"/>
  <c r="E100" i="24"/>
  <c r="E113" i="24"/>
  <c r="E73" i="24"/>
  <c r="F73" i="24" s="1"/>
  <c r="G73" i="24" s="1"/>
  <c r="H73" i="24" s="1"/>
  <c r="I73" i="24" s="1"/>
  <c r="J73" i="24" s="1"/>
  <c r="K73" i="24" s="1"/>
  <c r="L73" i="24" s="1"/>
  <c r="M73" i="24" s="1"/>
  <c r="N73" i="24" s="1"/>
  <c r="O73" i="24" s="1"/>
  <c r="P73" i="24" s="1"/>
  <c r="Q73" i="24" s="1"/>
  <c r="R73" i="24" s="1"/>
  <c r="S73" i="24" s="1"/>
  <c r="T73" i="24" s="1"/>
  <c r="U73" i="24" s="1"/>
  <c r="V73" i="24" s="1"/>
  <c r="W73" i="24" s="1"/>
  <c r="X73" i="24" s="1"/>
  <c r="Y73" i="24" s="1"/>
  <c r="Z73" i="24" s="1"/>
  <c r="AA73" i="24" s="1"/>
  <c r="AB73" i="24" s="1"/>
  <c r="AC73" i="24" s="1"/>
  <c r="AD73" i="24" s="1"/>
  <c r="AE73" i="24" s="1"/>
  <c r="AF73" i="24" s="1"/>
  <c r="AG73" i="24" s="1"/>
  <c r="AH73" i="24" s="1"/>
  <c r="AI73" i="24" s="1"/>
  <c r="AJ73" i="24" s="1"/>
  <c r="AK73" i="24" s="1"/>
  <c r="AL73" i="24" s="1"/>
  <c r="AM73" i="24" s="1"/>
  <c r="AN73" i="24" s="1"/>
  <c r="AO73" i="24" s="1"/>
  <c r="AP73" i="24" s="1"/>
  <c r="AQ73" i="24" s="1"/>
  <c r="AR73" i="24" s="1"/>
  <c r="AS73" i="24" s="1"/>
  <c r="AT73" i="24" s="1"/>
  <c r="AU73" i="24" s="1"/>
  <c r="F71" i="24"/>
  <c r="AA132" i="24"/>
  <c r="F113" i="24" l="1"/>
  <c r="F100" i="24"/>
  <c r="G76" i="24"/>
  <c r="G71" i="24"/>
  <c r="AB132" i="24"/>
  <c r="I55" i="20"/>
  <c r="AE49" i="16"/>
  <c r="H76" i="24" l="1"/>
  <c r="G113" i="24"/>
  <c r="G100" i="24"/>
  <c r="H71" i="24"/>
  <c r="AC132" i="24"/>
  <c r="D35" i="16" a="1"/>
  <c r="D35" i="16" s="1"/>
  <c r="J33" i="16" a="1"/>
  <c r="J33" i="16" s="1"/>
  <c r="F19" i="24" s="1"/>
  <c r="C19" i="24" s="1"/>
  <c r="B32" i="16"/>
  <c r="D149" i="22" s="1"/>
  <c r="B17" i="16"/>
  <c r="C35" i="16" a="1"/>
  <c r="C35" i="16" s="1"/>
  <c r="F28" i="24" s="1"/>
  <c r="I33" i="16" a="1"/>
  <c r="I33" i="16" s="1"/>
  <c r="E32" i="16" a="1"/>
  <c r="E32" i="16" s="1"/>
  <c r="F11" i="24" s="1"/>
  <c r="E26" i="16" a="1"/>
  <c r="E26" i="16" s="1"/>
  <c r="G23" i="24" s="1"/>
  <c r="D23" i="24" s="1"/>
  <c r="E24" i="16" a="1"/>
  <c r="E24" i="16" s="1"/>
  <c r="G11" i="24" s="1"/>
  <c r="D11" i="24" s="1"/>
  <c r="E19" i="16" a="1"/>
  <c r="E19" i="16" s="1"/>
  <c r="E17" i="16" a="1"/>
  <c r="E17" i="16" s="1"/>
  <c r="B27" i="16"/>
  <c r="D156" i="22" s="1"/>
  <c r="J34" i="16" a="1"/>
  <c r="J34" i="16" s="1"/>
  <c r="F25" i="24" s="1"/>
  <c r="C25" i="24" s="1"/>
  <c r="D32" i="16" a="1"/>
  <c r="D32" i="16" s="1"/>
  <c r="F12" i="24" s="1"/>
  <c r="D26" i="16" a="1"/>
  <c r="D26" i="16" s="1"/>
  <c r="G24" i="24" s="1"/>
  <c r="D24" i="24" s="1"/>
  <c r="D24" i="16" a="1"/>
  <c r="D24" i="16" s="1"/>
  <c r="G12" i="24" s="1"/>
  <c r="D12" i="24" s="1"/>
  <c r="D19" i="16" a="1"/>
  <c r="D19" i="16" s="1"/>
  <c r="D17" i="16" a="1"/>
  <c r="D17" i="16" s="1"/>
  <c r="B26" i="16"/>
  <c r="D155" i="22" s="1"/>
  <c r="I34" i="16" a="1"/>
  <c r="I34" i="16" s="1"/>
  <c r="E33" i="16" a="1"/>
  <c r="E33" i="16" s="1"/>
  <c r="F17" i="24" s="1"/>
  <c r="C32" i="16" a="1"/>
  <c r="C32" i="16" s="1"/>
  <c r="F10" i="24" s="1"/>
  <c r="C26" i="16" a="1"/>
  <c r="C26" i="16" s="1"/>
  <c r="G22" i="24" s="1"/>
  <c r="D22" i="24" s="1"/>
  <c r="C24" i="16" a="1"/>
  <c r="C24" i="16" s="1"/>
  <c r="G10" i="24" s="1"/>
  <c r="D10" i="24" s="1"/>
  <c r="C19" i="16" a="1"/>
  <c r="C19" i="16" s="1"/>
  <c r="C17" i="16" a="1"/>
  <c r="C17" i="16" s="1"/>
  <c r="B25" i="16"/>
  <c r="D154" i="22" s="1"/>
  <c r="J35" i="16" a="1"/>
  <c r="J35" i="16" s="1"/>
  <c r="F31" i="24" s="1"/>
  <c r="C31" i="24" s="1"/>
  <c r="D33" i="16" a="1"/>
  <c r="D33" i="16" s="1"/>
  <c r="F18" i="24" s="1"/>
  <c r="B24" i="16"/>
  <c r="D153" i="22" s="1"/>
  <c r="I35" i="16" a="1"/>
  <c r="I35" i="16" s="1"/>
  <c r="E34" i="16" a="1"/>
  <c r="E34" i="16" s="1"/>
  <c r="F23" i="24" s="1"/>
  <c r="C33" i="16" a="1"/>
  <c r="C33" i="16" s="1"/>
  <c r="F16" i="24" s="1"/>
  <c r="E27" i="16" a="1"/>
  <c r="E27" i="16" s="1"/>
  <c r="G29" i="24" s="1"/>
  <c r="D29" i="24" s="1"/>
  <c r="E25" i="16" a="1"/>
  <c r="E25" i="16" s="1"/>
  <c r="G17" i="24" s="1"/>
  <c r="D17" i="24" s="1"/>
  <c r="E20" i="16" a="1"/>
  <c r="E20" i="16" s="1"/>
  <c r="E18" i="16" a="1"/>
  <c r="E18" i="16" s="1"/>
  <c r="B35" i="16"/>
  <c r="D152" i="22" s="1"/>
  <c r="B20" i="16"/>
  <c r="D34" i="16" a="1"/>
  <c r="D34" i="16" s="1"/>
  <c r="F24" i="24" s="1"/>
  <c r="J32" i="16" a="1"/>
  <c r="J32" i="16" s="1"/>
  <c r="F13" i="24" s="1"/>
  <c r="C13" i="24" s="1"/>
  <c r="D27" i="16" a="1"/>
  <c r="D27" i="16" s="1"/>
  <c r="G30" i="24" s="1"/>
  <c r="D30" i="24" s="1"/>
  <c r="D25" i="16" a="1"/>
  <c r="D25" i="16" s="1"/>
  <c r="G18" i="24" s="1"/>
  <c r="D18" i="24" s="1"/>
  <c r="D20" i="16" a="1"/>
  <c r="D20" i="16" s="1"/>
  <c r="D18" i="16" a="1"/>
  <c r="D18" i="16" s="1"/>
  <c r="B34" i="16"/>
  <c r="D151" i="22" s="1"/>
  <c r="B19" i="16"/>
  <c r="E35" i="16" a="1"/>
  <c r="E35" i="16" s="1"/>
  <c r="F29" i="24" s="1"/>
  <c r="C34" i="16" a="1"/>
  <c r="C34" i="16" s="1"/>
  <c r="F22" i="24" s="1"/>
  <c r="I32" i="16" a="1"/>
  <c r="I32" i="16" s="1"/>
  <c r="C27" i="16" a="1"/>
  <c r="C27" i="16" s="1"/>
  <c r="G28" i="24" s="1"/>
  <c r="D28" i="24" s="1"/>
  <c r="C25" i="16" a="1"/>
  <c r="C25" i="16" s="1"/>
  <c r="G16" i="24" s="1"/>
  <c r="D16" i="24" s="1"/>
  <c r="C20" i="16" a="1"/>
  <c r="C20" i="16" s="1"/>
  <c r="C18" i="16" a="1"/>
  <c r="C18" i="16" s="1"/>
  <c r="B33" i="16"/>
  <c r="D150" i="22" s="1"/>
  <c r="O233" i="16"/>
  <c r="O236" i="16"/>
  <c r="O234" i="16"/>
  <c r="O232" i="16"/>
  <c r="O235" i="16"/>
  <c r="AR62" i="16"/>
  <c r="AZ62" i="16"/>
  <c r="AH63" i="16"/>
  <c r="CR63" i="16" s="1"/>
  <c r="AP63" i="16"/>
  <c r="AX63" i="16"/>
  <c r="AF64" i="16"/>
  <c r="CP64" i="16" s="1"/>
  <c r="AN64" i="16"/>
  <c r="CX64" i="16" s="1"/>
  <c r="AV64" i="16"/>
  <c r="BD64" i="16"/>
  <c r="BL64" i="16"/>
  <c r="AD65" i="16"/>
  <c r="CN65" i="16" s="1"/>
  <c r="AL65" i="16"/>
  <c r="CV65" i="16" s="1"/>
  <c r="AT65" i="16"/>
  <c r="BB65" i="16"/>
  <c r="BJ65" i="16"/>
  <c r="AJ66" i="16"/>
  <c r="CT66" i="16" s="1"/>
  <c r="AR66" i="16"/>
  <c r="AZ66" i="16"/>
  <c r="AP67" i="16"/>
  <c r="AX67" i="16"/>
  <c r="BF67" i="16"/>
  <c r="AS62" i="16"/>
  <c r="BA62" i="16"/>
  <c r="AI63" i="16"/>
  <c r="CS63" i="16" s="1"/>
  <c r="AQ63" i="16"/>
  <c r="AG64" i="16"/>
  <c r="CQ64" i="16" s="1"/>
  <c r="AO64" i="16"/>
  <c r="AW64" i="16"/>
  <c r="BE64" i="16"/>
  <c r="BM64" i="16"/>
  <c r="AE65" i="16"/>
  <c r="CO65" i="16" s="1"/>
  <c r="AM65" i="16"/>
  <c r="CW65" i="16" s="1"/>
  <c r="AU65" i="16"/>
  <c r="BC65" i="16"/>
  <c r="BK65" i="16"/>
  <c r="AC66" i="16"/>
  <c r="AK66" i="16"/>
  <c r="CU66" i="16" s="1"/>
  <c r="AS66" i="16"/>
  <c r="BA66" i="16"/>
  <c r="AI67" i="16"/>
  <c r="AQ67" i="16"/>
  <c r="AY67" i="16"/>
  <c r="BG67" i="16"/>
  <c r="AG68" i="16"/>
  <c r="AO68" i="16"/>
  <c r="AW68" i="16"/>
  <c r="AM69" i="16"/>
  <c r="CW69" i="16" s="1"/>
  <c r="AU69" i="16"/>
  <c r="AC70" i="16"/>
  <c r="AK70" i="16"/>
  <c r="CU70" i="16" s="1"/>
  <c r="AS70" i="16"/>
  <c r="AI71" i="16"/>
  <c r="CS71" i="16" s="1"/>
  <c r="AQ71" i="16"/>
  <c r="AG72" i="16"/>
  <c r="CQ72" i="16" s="1"/>
  <c r="AO72" i="16"/>
  <c r="AE73" i="16"/>
  <c r="CO73" i="16" s="1"/>
  <c r="AM73" i="16"/>
  <c r="CW73" i="16" s="1"/>
  <c r="AC74" i="16"/>
  <c r="CM74" i="16" s="1"/>
  <c r="AK74" i="16"/>
  <c r="CU74" i="16" s="1"/>
  <c r="AI75" i="16"/>
  <c r="CS75" i="16" s="1"/>
  <c r="AQ75" i="16"/>
  <c r="AG76" i="16"/>
  <c r="CQ76" i="16" s="1"/>
  <c r="AO76" i="16"/>
  <c r="AW76" i="16"/>
  <c r="AE77" i="16"/>
  <c r="CO77" i="16" s="1"/>
  <c r="AM77" i="16"/>
  <c r="CW77" i="16" s="1"/>
  <c r="AU77" i="16"/>
  <c r="AK78" i="16"/>
  <c r="CU78" i="16" s="1"/>
  <c r="AS78" i="16"/>
  <c r="BA78" i="16"/>
  <c r="AI79" i="16"/>
  <c r="CS79" i="16" s="1"/>
  <c r="AQ79" i="16"/>
  <c r="AY79" i="16"/>
  <c r="AG80" i="16"/>
  <c r="CQ80" i="16" s="1"/>
  <c r="AO80" i="16"/>
  <c r="AW80" i="16"/>
  <c r="BE80" i="16"/>
  <c r="BM80" i="16"/>
  <c r="AM81" i="16"/>
  <c r="CW81" i="16" s="1"/>
  <c r="AU81" i="16"/>
  <c r="BC81" i="16"/>
  <c r="BK81" i="16"/>
  <c r="AK82" i="16"/>
  <c r="CU82" i="16" s="1"/>
  <c r="AS82" i="16"/>
  <c r="BA82" i="16"/>
  <c r="BI82" i="16"/>
  <c r="AA83" i="16"/>
  <c r="AI83" i="16"/>
  <c r="CS83" i="16" s="1"/>
  <c r="AQ83" i="16"/>
  <c r="AY83" i="16"/>
  <c r="BG83" i="16"/>
  <c r="BO83" i="16"/>
  <c r="AG84" i="16"/>
  <c r="CQ84" i="16" s="1"/>
  <c r="AO84" i="16"/>
  <c r="AW84" i="16"/>
  <c r="AE85" i="16"/>
  <c r="AM85" i="16"/>
  <c r="CW85" i="16" s="1"/>
  <c r="AU85" i="16"/>
  <c r="AK86" i="16"/>
  <c r="CU86" i="16" s="1"/>
  <c r="AS86" i="16"/>
  <c r="BA86" i="16"/>
  <c r="AI87" i="16"/>
  <c r="CS87" i="16" s="1"/>
  <c r="AQ87" i="16"/>
  <c r="AY87" i="16"/>
  <c r="AO88" i="16"/>
  <c r="AL62" i="16"/>
  <c r="AT62" i="16"/>
  <c r="AJ63" i="16"/>
  <c r="CT63" i="16" s="1"/>
  <c r="AR63" i="16"/>
  <c r="AH64" i="16"/>
  <c r="CR64" i="16" s="1"/>
  <c r="AP64" i="16"/>
  <c r="AX64" i="16"/>
  <c r="BF64" i="16"/>
  <c r="BN64" i="16"/>
  <c r="AF65" i="16"/>
  <c r="CP65" i="16" s="1"/>
  <c r="AN65" i="16"/>
  <c r="CX65" i="16" s="1"/>
  <c r="AV65" i="16"/>
  <c r="BD65" i="16"/>
  <c r="BL65" i="16"/>
  <c r="AD66" i="16"/>
  <c r="CN66" i="16" s="1"/>
  <c r="AL66" i="16"/>
  <c r="CV66" i="16" s="1"/>
  <c r="AT66" i="16"/>
  <c r="BB66" i="16"/>
  <c r="AJ67" i="16"/>
  <c r="CT67" i="16" s="1"/>
  <c r="AR67" i="16"/>
  <c r="AZ67" i="16"/>
  <c r="AH68" i="16"/>
  <c r="CR68" i="16" s="1"/>
  <c r="AP68" i="16"/>
  <c r="AX68" i="16"/>
  <c r="AF69" i="16"/>
  <c r="AN69" i="16"/>
  <c r="CX69" i="16" s="1"/>
  <c r="AV69" i="16"/>
  <c r="AD70" i="16"/>
  <c r="CN70" i="16" s="1"/>
  <c r="AL70" i="16"/>
  <c r="CV70" i="16" s="1"/>
  <c r="AT70" i="16"/>
  <c r="AJ71" i="16"/>
  <c r="CT71" i="16" s="1"/>
  <c r="AR71" i="16"/>
  <c r="AH72" i="16"/>
  <c r="CR72" i="16" s="1"/>
  <c r="AP72" i="16"/>
  <c r="AF73" i="16"/>
  <c r="CP73" i="16" s="1"/>
  <c r="AN73" i="16"/>
  <c r="CX73" i="16" s="1"/>
  <c r="AD74" i="16"/>
  <c r="CN74" i="16" s="1"/>
  <c r="AL74" i="16"/>
  <c r="CV74" i="16" s="1"/>
  <c r="AJ75" i="16"/>
  <c r="CT75" i="16" s="1"/>
  <c r="AR75" i="16"/>
  <c r="AH76" i="16"/>
  <c r="CR76" i="16" s="1"/>
  <c r="AP76" i="16"/>
  <c r="AX76" i="16"/>
  <c r="AF77" i="16"/>
  <c r="CP77" i="16" s="1"/>
  <c r="AN77" i="16"/>
  <c r="CX77" i="16" s="1"/>
  <c r="AV77" i="16"/>
  <c r="AL78" i="16"/>
  <c r="CV78" i="16" s="1"/>
  <c r="AT78" i="16"/>
  <c r="AJ79" i="16"/>
  <c r="CT79" i="16" s="1"/>
  <c r="AR79" i="16"/>
  <c r="AZ79" i="16"/>
  <c r="AH80" i="16"/>
  <c r="CR80" i="16" s="1"/>
  <c r="AP80" i="16"/>
  <c r="AX80" i="16"/>
  <c r="BF80" i="16"/>
  <c r="BN80" i="16"/>
  <c r="AN81" i="16"/>
  <c r="CX81" i="16" s="1"/>
  <c r="AV81" i="16"/>
  <c r="BD81" i="16"/>
  <c r="BL81" i="16"/>
  <c r="AL82" i="16"/>
  <c r="CV82" i="16" s="1"/>
  <c r="AT82" i="16"/>
  <c r="BB82" i="16"/>
  <c r="BJ82" i="16"/>
  <c r="AB83" i="16"/>
  <c r="CL83" i="16" s="1"/>
  <c r="AJ83" i="16"/>
  <c r="CT83" i="16" s="1"/>
  <c r="AR83" i="16"/>
  <c r="AZ83" i="16"/>
  <c r="BH83" i="16"/>
  <c r="BP83" i="16"/>
  <c r="AH84" i="16"/>
  <c r="CR84" i="16" s="1"/>
  <c r="AP84" i="16"/>
  <c r="AX84" i="16"/>
  <c r="AF85" i="16"/>
  <c r="CP85" i="16" s="1"/>
  <c r="AN85" i="16"/>
  <c r="CX85" i="16" s="1"/>
  <c r="AV85" i="16"/>
  <c r="AL86" i="16"/>
  <c r="CV86" i="16" s="1"/>
  <c r="AT86" i="16"/>
  <c r="AJ87" i="16"/>
  <c r="CT87" i="16" s="1"/>
  <c r="AR87" i="16"/>
  <c r="AZ87" i="16"/>
  <c r="AP88" i="16"/>
  <c r="AX88" i="16"/>
  <c r="AM62" i="16"/>
  <c r="CW62" i="16" s="1"/>
  <c r="AU62" i="16"/>
  <c r="AC63" i="16"/>
  <c r="AK63" i="16"/>
  <c r="CU63" i="16" s="1"/>
  <c r="AS63" i="16"/>
  <c r="AI64" i="16"/>
  <c r="CS64" i="16" s="1"/>
  <c r="AQ64" i="16"/>
  <c r="AY64" i="16"/>
  <c r="BG64" i="16"/>
  <c r="BO64" i="16"/>
  <c r="AG65" i="16"/>
  <c r="CQ65" i="16" s="1"/>
  <c r="AO65" i="16"/>
  <c r="AW65" i="16"/>
  <c r="BE65" i="16"/>
  <c r="BM65" i="16"/>
  <c r="AE66" i="16"/>
  <c r="CO66" i="16" s="1"/>
  <c r="AM66" i="16"/>
  <c r="CW66" i="16" s="1"/>
  <c r="AU66" i="16"/>
  <c r="BC66" i="16"/>
  <c r="AK67" i="16"/>
  <c r="CU67" i="16" s="1"/>
  <c r="AS67" i="16"/>
  <c r="BA67" i="16"/>
  <c r="AN62" i="16"/>
  <c r="CX62" i="16" s="1"/>
  <c r="AV62" i="16"/>
  <c r="AD63" i="16"/>
  <c r="CN63" i="16" s="1"/>
  <c r="AL63" i="16"/>
  <c r="CV63" i="16" s="1"/>
  <c r="AT63" i="16"/>
  <c r="AJ64" i="16"/>
  <c r="CT64" i="16" s="1"/>
  <c r="AR64" i="16"/>
  <c r="AZ64" i="16"/>
  <c r="BH64" i="16"/>
  <c r="BP64" i="16"/>
  <c r="AH65" i="16"/>
  <c r="CR65" i="16" s="1"/>
  <c r="AP65" i="16"/>
  <c r="AX65" i="16"/>
  <c r="BF65" i="16"/>
  <c r="BN65" i="16"/>
  <c r="AF66" i="16"/>
  <c r="CP66" i="16" s="1"/>
  <c r="AN66" i="16"/>
  <c r="CX66" i="16" s="1"/>
  <c r="AV66" i="16"/>
  <c r="BD66" i="16"/>
  <c r="AL67" i="16"/>
  <c r="CV67" i="16" s="1"/>
  <c r="AT67" i="16"/>
  <c r="BB67" i="16"/>
  <c r="AJ68" i="16"/>
  <c r="CT68" i="16" s="1"/>
  <c r="AR68" i="16"/>
  <c r="AZ68" i="16"/>
  <c r="AH69" i="16"/>
  <c r="CR69" i="16" s="1"/>
  <c r="AP69" i="16"/>
  <c r="AX69" i="16"/>
  <c r="AF70" i="16"/>
  <c r="CP70" i="16" s="1"/>
  <c r="AN70" i="16"/>
  <c r="CX70" i="16" s="1"/>
  <c r="AV70" i="16"/>
  <c r="AD71" i="16"/>
  <c r="CN71" i="16" s="1"/>
  <c r="AL71" i="16"/>
  <c r="CV71" i="16" s="1"/>
  <c r="AT71" i="16"/>
  <c r="AJ72" i="16"/>
  <c r="CT72" i="16" s="1"/>
  <c r="AR72" i="16"/>
  <c r="AH73" i="16"/>
  <c r="CR73" i="16" s="1"/>
  <c r="AP73" i="16"/>
  <c r="AF74" i="16"/>
  <c r="CP74" i="16" s="1"/>
  <c r="AN74" i="16"/>
  <c r="CX74" i="16" s="1"/>
  <c r="AD75" i="16"/>
  <c r="AL75" i="16"/>
  <c r="CV75" i="16" s="1"/>
  <c r="AB76" i="16"/>
  <c r="AJ76" i="16"/>
  <c r="CT76" i="16" s="1"/>
  <c r="AR76" i="16"/>
  <c r="AZ76" i="16"/>
  <c r="AH77" i="16"/>
  <c r="CR77" i="16" s="1"/>
  <c r="AP77" i="16"/>
  <c r="AX77" i="16"/>
  <c r="AN78" i="16"/>
  <c r="CX78" i="16" s="1"/>
  <c r="AV78" i="16"/>
  <c r="AL79" i="16"/>
  <c r="CV79" i="16" s="1"/>
  <c r="AT79" i="16"/>
  <c r="AJ80" i="16"/>
  <c r="CT80" i="16" s="1"/>
  <c r="AR80" i="16"/>
  <c r="AZ80" i="16"/>
  <c r="BH80" i="16"/>
  <c r="BP80" i="16"/>
  <c r="AP81" i="16"/>
  <c r="AX81" i="16"/>
  <c r="BF81" i="16"/>
  <c r="BN81" i="16"/>
  <c r="AN82" i="16"/>
  <c r="CX82" i="16" s="1"/>
  <c r="AV82" i="16"/>
  <c r="BD82" i="16"/>
  <c r="BL82" i="16"/>
  <c r="AD83" i="16"/>
  <c r="CN83" i="16" s="1"/>
  <c r="AL83" i="16"/>
  <c r="CV83" i="16" s="1"/>
  <c r="AT83" i="16"/>
  <c r="BB83" i="16"/>
  <c r="BJ83" i="16"/>
  <c r="AB84" i="16"/>
  <c r="CL84" i="16" s="1"/>
  <c r="AJ84" i="16"/>
  <c r="CT84" i="16" s="1"/>
  <c r="AR84" i="16"/>
  <c r="AZ84" i="16"/>
  <c r="AH85" i="16"/>
  <c r="CR85" i="16" s="1"/>
  <c r="AP85" i="16"/>
  <c r="AN86" i="16"/>
  <c r="CX86" i="16" s="1"/>
  <c r="AV86" i="16"/>
  <c r="AL87" i="16"/>
  <c r="CV87" i="16" s="1"/>
  <c r="AT87" i="16"/>
  <c r="BB87" i="16"/>
  <c r="AR88" i="16"/>
  <c r="AO62" i="16"/>
  <c r="AW62" i="16"/>
  <c r="AE63" i="16"/>
  <c r="CO63" i="16" s="1"/>
  <c r="AM63" i="16"/>
  <c r="CW63" i="16" s="1"/>
  <c r="AU63" i="16"/>
  <c r="AC64" i="16"/>
  <c r="AK64" i="16"/>
  <c r="CU64" i="16" s="1"/>
  <c r="AS64" i="16"/>
  <c r="BA64" i="16"/>
  <c r="BI64" i="16"/>
  <c r="AI65" i="16"/>
  <c r="CS65" i="16" s="1"/>
  <c r="AQ65" i="16"/>
  <c r="AY65" i="16"/>
  <c r="BG65" i="16"/>
  <c r="BO65" i="16"/>
  <c r="AG66" i="16"/>
  <c r="CQ66" i="16" s="1"/>
  <c r="AO66" i="16"/>
  <c r="AW66" i="16"/>
  <c r="BE66" i="16"/>
  <c r="AM67" i="16"/>
  <c r="CW67" i="16" s="1"/>
  <c r="AU67" i="16"/>
  <c r="BC67" i="16"/>
  <c r="AP62" i="16"/>
  <c r="AX62" i="16"/>
  <c r="AF63" i="16"/>
  <c r="CP63" i="16" s="1"/>
  <c r="AN63" i="16"/>
  <c r="CX63" i="16" s="1"/>
  <c r="AV63" i="16"/>
  <c r="AD64" i="16"/>
  <c r="CN64" i="16" s="1"/>
  <c r="AL64" i="16"/>
  <c r="CV64" i="16" s="1"/>
  <c r="AT64" i="16"/>
  <c r="BB64" i="16"/>
  <c r="BJ64" i="16"/>
  <c r="AJ65" i="16"/>
  <c r="CT65" i="16" s="1"/>
  <c r="AR65" i="16"/>
  <c r="AZ65" i="16"/>
  <c r="BH65" i="16"/>
  <c r="BP65" i="16"/>
  <c r="AH66" i="16"/>
  <c r="CR66" i="16" s="1"/>
  <c r="AP66" i="16"/>
  <c r="AX66" i="16"/>
  <c r="BF66" i="16"/>
  <c r="AN67" i="16"/>
  <c r="CX67" i="16" s="1"/>
  <c r="AV67" i="16"/>
  <c r="BD67" i="16"/>
  <c r="AL68" i="16"/>
  <c r="CV68" i="16" s="1"/>
  <c r="AT68" i="16"/>
  <c r="AJ69" i="16"/>
  <c r="CT69" i="16" s="1"/>
  <c r="AR69" i="16"/>
  <c r="AH70" i="16"/>
  <c r="CR70" i="16" s="1"/>
  <c r="AP70" i="16"/>
  <c r="AF71" i="16"/>
  <c r="CP71" i="16" s="1"/>
  <c r="AN71" i="16"/>
  <c r="CX71" i="16" s="1"/>
  <c r="AV71" i="16"/>
  <c r="AD72" i="16"/>
  <c r="CN72" i="16" s="1"/>
  <c r="AL72" i="16"/>
  <c r="CV72" i="16" s="1"/>
  <c r="AB73" i="16"/>
  <c r="AJ73" i="16"/>
  <c r="CT73" i="16" s="1"/>
  <c r="AH74" i="16"/>
  <c r="CR74" i="16" s="1"/>
  <c r="AP74" i="16"/>
  <c r="AF75" i="16"/>
  <c r="CP75" i="16" s="1"/>
  <c r="AN75" i="16"/>
  <c r="CX75" i="16" s="1"/>
  <c r="AD76" i="16"/>
  <c r="CN76" i="16" s="1"/>
  <c r="AL76" i="16"/>
  <c r="CV76" i="16" s="1"/>
  <c r="AT76" i="16"/>
  <c r="AB77" i="16"/>
  <c r="AJ77" i="16"/>
  <c r="CT77" i="16" s="1"/>
  <c r="AR77" i="16"/>
  <c r="AZ77" i="16"/>
  <c r="AH78" i="16"/>
  <c r="AP78" i="16"/>
  <c r="AX78" i="16"/>
  <c r="AF79" i="16"/>
  <c r="AN79" i="16"/>
  <c r="CX79" i="16" s="1"/>
  <c r="AV79" i="16"/>
  <c r="AL80" i="16"/>
  <c r="CV80" i="16" s="1"/>
  <c r="AT80" i="16"/>
  <c r="BB80" i="16"/>
  <c r="BJ80" i="16"/>
  <c r="AJ81" i="16"/>
  <c r="CT81" i="16" s="1"/>
  <c r="AR81" i="16"/>
  <c r="AZ81" i="16"/>
  <c r="BH81" i="16"/>
  <c r="AH82" i="16"/>
  <c r="AP82" i="16"/>
  <c r="AX82" i="16"/>
  <c r="BF82" i="16"/>
  <c r="AF83" i="16"/>
  <c r="CP83" i="16" s="1"/>
  <c r="AN83" i="16"/>
  <c r="CX83" i="16" s="1"/>
  <c r="AV83" i="16"/>
  <c r="BD83" i="16"/>
  <c r="BL83" i="16"/>
  <c r="AD84" i="16"/>
  <c r="CN84" i="16" s="1"/>
  <c r="AL84" i="16"/>
  <c r="CV84" i="16" s="1"/>
  <c r="AT84" i="16"/>
  <c r="AJ85" i="16"/>
  <c r="CT85" i="16" s="1"/>
  <c r="AR85" i="16"/>
  <c r="AH86" i="16"/>
  <c r="AP86" i="16"/>
  <c r="AX86" i="16"/>
  <c r="AN87" i="16"/>
  <c r="CX87" i="16" s="1"/>
  <c r="AV87" i="16"/>
  <c r="AT88" i="16"/>
  <c r="AQ62" i="16"/>
  <c r="AY62" i="16"/>
  <c r="AG63" i="16"/>
  <c r="CQ63" i="16" s="1"/>
  <c r="AO63" i="16"/>
  <c r="AW63" i="16"/>
  <c r="AE64" i="16"/>
  <c r="CO64" i="16" s="1"/>
  <c r="AM64" i="16"/>
  <c r="CW64" i="16" s="1"/>
  <c r="AU64" i="16"/>
  <c r="BC64" i="16"/>
  <c r="BK64" i="16"/>
  <c r="AC65" i="16"/>
  <c r="AK65" i="16"/>
  <c r="CU65" i="16" s="1"/>
  <c r="AS65" i="16"/>
  <c r="BA65" i="16"/>
  <c r="BI65" i="16"/>
  <c r="AI66" i="16"/>
  <c r="CS66" i="16" s="1"/>
  <c r="AQ66" i="16"/>
  <c r="AY66" i="16"/>
  <c r="BG66" i="16"/>
  <c r="AO67" i="16"/>
  <c r="AW67" i="16"/>
  <c r="BE67" i="16"/>
  <c r="AQ68" i="16"/>
  <c r="AS69" i="16"/>
  <c r="AG70" i="16"/>
  <c r="CQ70" i="16" s="1"/>
  <c r="AG71" i="16"/>
  <c r="CQ71" i="16" s="1"/>
  <c r="AF72" i="16"/>
  <c r="CP72" i="16" s="1"/>
  <c r="AD73" i="16"/>
  <c r="CN73" i="16" s="1"/>
  <c r="AQ74" i="16"/>
  <c r="AK75" i="16"/>
  <c r="CU75" i="16" s="1"/>
  <c r="AI76" i="16"/>
  <c r="CS76" i="16" s="1"/>
  <c r="AY76" i="16"/>
  <c r="AO77" i="16"/>
  <c r="AO78" i="16"/>
  <c r="AP79" i="16"/>
  <c r="AS80" i="16"/>
  <c r="BI80" i="16"/>
  <c r="AQ81" i="16"/>
  <c r="BG81" i="16"/>
  <c r="AO82" i="16"/>
  <c r="BE82" i="16"/>
  <c r="AC83" i="16"/>
  <c r="CM83" i="16" s="1"/>
  <c r="AS83" i="16"/>
  <c r="BI83" i="16"/>
  <c r="AI84" i="16"/>
  <c r="CS84" i="16" s="1"/>
  <c r="AY84" i="16"/>
  <c r="AL85" i="16"/>
  <c r="CV85" i="16" s="1"/>
  <c r="AI86" i="16"/>
  <c r="CS86" i="16" s="1"/>
  <c r="AY86" i="16"/>
  <c r="AH87" i="16"/>
  <c r="AX87" i="16"/>
  <c r="AU88" i="16"/>
  <c r="BD88" i="16"/>
  <c r="BL88" i="16"/>
  <c r="AT89" i="16"/>
  <c r="BB89" i="16"/>
  <c r="AH91" i="16"/>
  <c r="CR91" i="16" s="1"/>
  <c r="AP91" i="16"/>
  <c r="AX91" i="16"/>
  <c r="BF91" i="16"/>
  <c r="AF92" i="16"/>
  <c r="CP92" i="16" s="1"/>
  <c r="AN92" i="16"/>
  <c r="CX92" i="16" s="1"/>
  <c r="AV92" i="16"/>
  <c r="BD92" i="16"/>
  <c r="BL92" i="16"/>
  <c r="AL93" i="16"/>
  <c r="CV93" i="16" s="1"/>
  <c r="AT93" i="16"/>
  <c r="BB93" i="16"/>
  <c r="BJ93" i="16"/>
  <c r="AJ94" i="16"/>
  <c r="CT94" i="16" s="1"/>
  <c r="AR94" i="16"/>
  <c r="AZ94" i="16"/>
  <c r="AH95" i="16"/>
  <c r="CR95" i="16" s="1"/>
  <c r="AP95" i="16"/>
  <c r="AX95" i="16"/>
  <c r="AF96" i="16"/>
  <c r="CP96" i="16" s="1"/>
  <c r="AN96" i="16"/>
  <c r="CX96" i="16" s="1"/>
  <c r="AV96" i="16"/>
  <c r="BD96" i="16"/>
  <c r="AT97" i="16"/>
  <c r="BB97" i="16"/>
  <c r="BJ97" i="16"/>
  <c r="AJ98" i="16"/>
  <c r="CT98" i="16" s="1"/>
  <c r="AR98" i="16"/>
  <c r="AZ98" i="16"/>
  <c r="AP99" i="16"/>
  <c r="AN100" i="16"/>
  <c r="CX100" i="16" s="1"/>
  <c r="AV100" i="16"/>
  <c r="AL101" i="16"/>
  <c r="CV101" i="16" s="1"/>
  <c r="AT101" i="16"/>
  <c r="BB101" i="16"/>
  <c r="AJ102" i="16"/>
  <c r="CT102" i="16" s="1"/>
  <c r="AH103" i="16"/>
  <c r="CR103" i="16" s="1"/>
  <c r="AF104" i="16"/>
  <c r="CP104" i="16" s="1"/>
  <c r="AL105" i="16"/>
  <c r="CV105" i="16" s="1"/>
  <c r="AJ106" i="16"/>
  <c r="CT106" i="16" s="1"/>
  <c r="AR106" i="16"/>
  <c r="AZ106" i="16"/>
  <c r="BH106" i="16"/>
  <c r="BP106" i="16"/>
  <c r="AH107" i="16"/>
  <c r="CR107" i="16" s="1"/>
  <c r="AF108" i="16"/>
  <c r="CP108" i="16" s="1"/>
  <c r="AN108" i="16"/>
  <c r="CX108" i="16" s="1"/>
  <c r="AD109" i="16"/>
  <c r="AL109" i="16"/>
  <c r="CV109" i="16" s="1"/>
  <c r="AT109" i="16"/>
  <c r="BB109" i="16"/>
  <c r="AS68" i="16"/>
  <c r="AT69" i="16"/>
  <c r="AI70" i="16"/>
  <c r="CS70" i="16" s="1"/>
  <c r="AH71" i="16"/>
  <c r="CR71" i="16" s="1"/>
  <c r="AI72" i="16"/>
  <c r="CS72" i="16" s="1"/>
  <c r="AG73" i="16"/>
  <c r="CQ73" i="16" s="1"/>
  <c r="AB74" i="16"/>
  <c r="AM75" i="16"/>
  <c r="CW75" i="16" s="1"/>
  <c r="AK76" i="16"/>
  <c r="CU76" i="16" s="1"/>
  <c r="BA76" i="16"/>
  <c r="AQ77" i="16"/>
  <c r="AQ78" i="16"/>
  <c r="AS79" i="16"/>
  <c r="AU80" i="16"/>
  <c r="BK80" i="16"/>
  <c r="AS81" i="16"/>
  <c r="BI81" i="16"/>
  <c r="AQ82" i="16"/>
  <c r="BG82" i="16"/>
  <c r="AE83" i="16"/>
  <c r="CO83" i="16" s="1"/>
  <c r="AU83" i="16"/>
  <c r="BK83" i="16"/>
  <c r="AK84" i="16"/>
  <c r="CU84" i="16" s="1"/>
  <c r="AO85" i="16"/>
  <c r="AJ86" i="16"/>
  <c r="CT86" i="16" s="1"/>
  <c r="AZ86" i="16"/>
  <c r="AK87" i="16"/>
  <c r="CU87" i="16" s="1"/>
  <c r="BA87" i="16"/>
  <c r="AV88" i="16"/>
  <c r="BE88" i="16"/>
  <c r="BM88" i="16"/>
  <c r="AU89" i="16"/>
  <c r="BC89" i="16"/>
  <c r="AI91" i="16"/>
  <c r="CS91" i="16" s="1"/>
  <c r="AQ91" i="16"/>
  <c r="AY91" i="16"/>
  <c r="BG91" i="16"/>
  <c r="AG92" i="16"/>
  <c r="CQ92" i="16" s="1"/>
  <c r="AO92" i="16"/>
  <c r="AW92" i="16"/>
  <c r="BE92" i="16"/>
  <c r="BM92" i="16"/>
  <c r="AE93" i="16"/>
  <c r="AM93" i="16"/>
  <c r="CW93" i="16" s="1"/>
  <c r="AU93" i="16"/>
  <c r="BC93" i="16"/>
  <c r="BK93" i="16"/>
  <c r="AK94" i="16"/>
  <c r="CU94" i="16" s="1"/>
  <c r="AS94" i="16"/>
  <c r="BA94" i="16"/>
  <c r="AI95" i="16"/>
  <c r="CS95" i="16" s="1"/>
  <c r="AQ95" i="16"/>
  <c r="AY95" i="16"/>
  <c r="AG96" i="16"/>
  <c r="CQ96" i="16" s="1"/>
  <c r="AO96" i="16"/>
  <c r="AW96" i="16"/>
  <c r="AM97" i="16"/>
  <c r="AU97" i="16"/>
  <c r="BC97" i="16"/>
  <c r="BK97" i="16"/>
  <c r="AK98" i="16"/>
  <c r="CU98" i="16" s="1"/>
  <c r="AS98" i="16"/>
  <c r="BA98" i="16"/>
  <c r="AI99" i="16"/>
  <c r="AQ99" i="16"/>
  <c r="AO100" i="16"/>
  <c r="AW100" i="16"/>
  <c r="AM101" i="16"/>
  <c r="CW101" i="16" s="1"/>
  <c r="AU101" i="16"/>
  <c r="BC101" i="16"/>
  <c r="AK102" i="16"/>
  <c r="CU102" i="16" s="1"/>
  <c r="AI103" i="16"/>
  <c r="CS103" i="16" s="1"/>
  <c r="AG104" i="16"/>
  <c r="CQ104" i="16" s="1"/>
  <c r="AK106" i="16"/>
  <c r="CU106" i="16" s="1"/>
  <c r="AS106" i="16"/>
  <c r="BA106" i="16"/>
  <c r="BI106" i="16"/>
  <c r="AI107" i="16"/>
  <c r="CS107" i="16" s="1"/>
  <c r="AG108" i="16"/>
  <c r="CQ108" i="16" s="1"/>
  <c r="AO108" i="16"/>
  <c r="AE109" i="16"/>
  <c r="CO109" i="16" s="1"/>
  <c r="AM109" i="16"/>
  <c r="CW109" i="16" s="1"/>
  <c r="AU109" i="16"/>
  <c r="BC109" i="16"/>
  <c r="AK110" i="16"/>
  <c r="CU110" i="16" s="1"/>
  <c r="AU68" i="16"/>
  <c r="AG69" i="16"/>
  <c r="CQ69" i="16" s="1"/>
  <c r="AW69" i="16"/>
  <c r="AJ70" i="16"/>
  <c r="CT70" i="16" s="1"/>
  <c r="AK71" i="16"/>
  <c r="CU71" i="16" s="1"/>
  <c r="AK72" i="16"/>
  <c r="CU72" i="16" s="1"/>
  <c r="AI73" i="16"/>
  <c r="CS73" i="16" s="1"/>
  <c r="AE74" i="16"/>
  <c r="CO74" i="16" s="1"/>
  <c r="AO75" i="16"/>
  <c r="AM76" i="16"/>
  <c r="CW76" i="16" s="1"/>
  <c r="AC77" i="16"/>
  <c r="CM77" i="16" s="1"/>
  <c r="AS77" i="16"/>
  <c r="AR78" i="16"/>
  <c r="AU79" i="16"/>
  <c r="AF80" i="16"/>
  <c r="AV80" i="16"/>
  <c r="BL80" i="16"/>
  <c r="AT81" i="16"/>
  <c r="BJ81" i="16"/>
  <c r="AR82" i="16"/>
  <c r="BH82" i="16"/>
  <c r="AG83" i="16"/>
  <c r="CQ83" i="16" s="1"/>
  <c r="AW83" i="16"/>
  <c r="BM83" i="16"/>
  <c r="AM84" i="16"/>
  <c r="CW84" i="16" s="1"/>
  <c r="AQ85" i="16"/>
  <c r="AM86" i="16"/>
  <c r="CW86" i="16" s="1"/>
  <c r="AM87" i="16"/>
  <c r="CW87" i="16" s="1"/>
  <c r="AW88" i="16"/>
  <c r="BF88" i="16"/>
  <c r="AN89" i="16"/>
  <c r="CX89" i="16" s="1"/>
  <c r="AV89" i="16"/>
  <c r="AJ91" i="16"/>
  <c r="CT91" i="16" s="1"/>
  <c r="AR91" i="16"/>
  <c r="AZ91" i="16"/>
  <c r="AH92" i="16"/>
  <c r="CR92" i="16" s="1"/>
  <c r="AP92" i="16"/>
  <c r="AX92" i="16"/>
  <c r="BF92" i="16"/>
  <c r="BN92" i="16"/>
  <c r="AF93" i="16"/>
  <c r="CP93" i="16" s="1"/>
  <c r="AN93" i="16"/>
  <c r="CX93" i="16" s="1"/>
  <c r="AV93" i="16"/>
  <c r="BD93" i="16"/>
  <c r="BL93" i="16"/>
  <c r="AL94" i="16"/>
  <c r="CV94" i="16" s="1"/>
  <c r="AT94" i="16"/>
  <c r="BB94" i="16"/>
  <c r="AJ95" i="16"/>
  <c r="CT95" i="16" s="1"/>
  <c r="AR95" i="16"/>
  <c r="AZ95" i="16"/>
  <c r="AH96" i="16"/>
  <c r="CR96" i="16" s="1"/>
  <c r="AP96" i="16"/>
  <c r="AX96" i="16"/>
  <c r="AN97" i="16"/>
  <c r="CX97" i="16" s="1"/>
  <c r="AV97" i="16"/>
  <c r="BD97" i="16"/>
  <c r="AL98" i="16"/>
  <c r="CV98" i="16" s="1"/>
  <c r="AT98" i="16"/>
  <c r="AJ99" i="16"/>
  <c r="CT99" i="16" s="1"/>
  <c r="AR99" i="16"/>
  <c r="AP100" i="16"/>
  <c r="AX100" i="16"/>
  <c r="AN101" i="16"/>
  <c r="CX101" i="16" s="1"/>
  <c r="AV101" i="16"/>
  <c r="BD101" i="16"/>
  <c r="AL102" i="16"/>
  <c r="CV102" i="16" s="1"/>
  <c r="AJ103" i="16"/>
  <c r="CT103" i="16" s="1"/>
  <c r="AH104" i="16"/>
  <c r="CR104" i="16" s="1"/>
  <c r="AF105" i="16"/>
  <c r="AL106" i="16"/>
  <c r="CV106" i="16" s="1"/>
  <c r="AT106" i="16"/>
  <c r="BB106" i="16"/>
  <c r="BJ106" i="16"/>
  <c r="AJ107" i="16"/>
  <c r="CT107" i="16" s="1"/>
  <c r="AH108" i="16"/>
  <c r="CR108" i="16" s="1"/>
  <c r="AP108" i="16"/>
  <c r="AF109" i="16"/>
  <c r="CP109" i="16" s="1"/>
  <c r="AN109" i="16"/>
  <c r="CX109" i="16" s="1"/>
  <c r="AV109" i="16"/>
  <c r="BD109" i="16"/>
  <c r="AL110" i="16"/>
  <c r="CV110" i="16" s="1"/>
  <c r="AV68" i="16"/>
  <c r="AI69" i="16"/>
  <c r="CS69" i="16" s="1"/>
  <c r="AY69" i="16"/>
  <c r="AM70" i="16"/>
  <c r="CW70" i="16" s="1"/>
  <c r="AM71" i="16"/>
  <c r="CW71" i="16" s="1"/>
  <c r="AM72" i="16"/>
  <c r="CW72" i="16" s="1"/>
  <c r="AK73" i="16"/>
  <c r="CU73" i="16" s="1"/>
  <c r="AG74" i="16"/>
  <c r="CQ74" i="16" s="1"/>
  <c r="AP75" i="16"/>
  <c r="AN76" i="16"/>
  <c r="CX76" i="16" s="1"/>
  <c r="AD77" i="16"/>
  <c r="CN77" i="16" s="1"/>
  <c r="AT77" i="16"/>
  <c r="AU78" i="16"/>
  <c r="AG79" i="16"/>
  <c r="CQ79" i="16" s="1"/>
  <c r="AW79" i="16"/>
  <c r="AI80" i="16"/>
  <c r="CS80" i="16" s="1"/>
  <c r="AY80" i="16"/>
  <c r="BO80" i="16"/>
  <c r="AW81" i="16"/>
  <c r="BM81" i="16"/>
  <c r="AU82" i="16"/>
  <c r="BK82" i="16"/>
  <c r="AH83" i="16"/>
  <c r="CR83" i="16" s="1"/>
  <c r="AX83" i="16"/>
  <c r="BN83" i="16"/>
  <c r="AN84" i="16"/>
  <c r="CX84" i="16" s="1"/>
  <c r="AC85" i="16"/>
  <c r="CM85" i="16" s="1"/>
  <c r="AS85" i="16"/>
  <c r="AO86" i="16"/>
  <c r="AI68" i="16"/>
  <c r="CS68" i="16" s="1"/>
  <c r="AY68" i="16"/>
  <c r="AK69" i="16"/>
  <c r="CU69" i="16" s="1"/>
  <c r="AO70" i="16"/>
  <c r="AO71" i="16"/>
  <c r="AN72" i="16"/>
  <c r="CX72" i="16" s="1"/>
  <c r="AL73" i="16"/>
  <c r="CV73" i="16" s="1"/>
  <c r="AI74" i="16"/>
  <c r="CS74" i="16" s="1"/>
  <c r="AS75" i="16"/>
  <c r="AQ76" i="16"/>
  <c r="AG77" i="16"/>
  <c r="CQ77" i="16" s="1"/>
  <c r="AW77" i="16"/>
  <c r="AW78" i="16"/>
  <c r="AH79" i="16"/>
  <c r="CR79" i="16" s="1"/>
  <c r="AX79" i="16"/>
  <c r="AK80" i="16"/>
  <c r="CU80" i="16" s="1"/>
  <c r="BA80" i="16"/>
  <c r="AI81" i="16"/>
  <c r="AY81" i="16"/>
  <c r="BO81" i="16"/>
  <c r="AW82" i="16"/>
  <c r="AK83" i="16"/>
  <c r="CU83" i="16" s="1"/>
  <c r="BA83" i="16"/>
  <c r="AK68" i="16"/>
  <c r="CU68" i="16" s="1"/>
  <c r="BA68" i="16"/>
  <c r="AL69" i="16"/>
  <c r="CV69" i="16" s="1"/>
  <c r="AQ70" i="16"/>
  <c r="AP71" i="16"/>
  <c r="AQ72" i="16"/>
  <c r="AO73" i="16"/>
  <c r="AJ74" i="16"/>
  <c r="CT74" i="16" s="1"/>
  <c r="AE75" i="16"/>
  <c r="CO75" i="16" s="1"/>
  <c r="AC76" i="16"/>
  <c r="CM76" i="16" s="1"/>
  <c r="AS76" i="16"/>
  <c r="AI77" i="16"/>
  <c r="CS77" i="16" s="1"/>
  <c r="AY77" i="16"/>
  <c r="AI78" i="16"/>
  <c r="CS78" i="16" s="1"/>
  <c r="AY78" i="16"/>
  <c r="AK79" i="16"/>
  <c r="CU79" i="16" s="1"/>
  <c r="AM80" i="16"/>
  <c r="CW80" i="16" s="1"/>
  <c r="BC80" i="16"/>
  <c r="AK81" i="16"/>
  <c r="CU81" i="16" s="1"/>
  <c r="BA81" i="16"/>
  <c r="AI82" i="16"/>
  <c r="CS82" i="16" s="1"/>
  <c r="AY82" i="16"/>
  <c r="AM83" i="16"/>
  <c r="CW83" i="16" s="1"/>
  <c r="BC83" i="16"/>
  <c r="AC84" i="16"/>
  <c r="CM84" i="16" s="1"/>
  <c r="AS84" i="16"/>
  <c r="AG85" i="16"/>
  <c r="CQ85" i="16" s="1"/>
  <c r="AR86" i="16"/>
  <c r="AM68" i="16"/>
  <c r="CW68" i="16" s="1"/>
  <c r="AO69" i="16"/>
  <c r="AR70" i="16"/>
  <c r="AC71" i="16"/>
  <c r="AS71" i="16"/>
  <c r="AC72" i="16"/>
  <c r="AQ73" i="16"/>
  <c r="AM74" i="16"/>
  <c r="CW74" i="16" s="1"/>
  <c r="AG75" i="16"/>
  <c r="CQ75" i="16" s="1"/>
  <c r="AE76" i="16"/>
  <c r="CO76" i="16" s="1"/>
  <c r="AU76" i="16"/>
  <c r="AK77" i="16"/>
  <c r="CU77" i="16" s="1"/>
  <c r="BA77" i="16"/>
  <c r="AJ78" i="16"/>
  <c r="CT78" i="16" s="1"/>
  <c r="AZ78" i="16"/>
  <c r="AM79" i="16"/>
  <c r="CW79" i="16" s="1"/>
  <c r="AN80" i="16"/>
  <c r="CX80" i="16" s="1"/>
  <c r="BD80" i="16"/>
  <c r="AL81" i="16"/>
  <c r="CV81" i="16" s="1"/>
  <c r="BB81" i="16"/>
  <c r="AJ82" i="16"/>
  <c r="CT82" i="16" s="1"/>
  <c r="AZ82" i="16"/>
  <c r="AO83" i="16"/>
  <c r="AN68" i="16"/>
  <c r="CX68" i="16" s="1"/>
  <c r="AQ69" i="16"/>
  <c r="AE70" i="16"/>
  <c r="CO70" i="16" s="1"/>
  <c r="AU70" i="16"/>
  <c r="AE71" i="16"/>
  <c r="CO71" i="16" s="1"/>
  <c r="AU71" i="16"/>
  <c r="AE72" i="16"/>
  <c r="CO72" i="16" s="1"/>
  <c r="AC73" i="16"/>
  <c r="CM73" i="16" s="1"/>
  <c r="AO74" i="16"/>
  <c r="AH75" i="16"/>
  <c r="CR75" i="16" s="1"/>
  <c r="AF76" i="16"/>
  <c r="CP76" i="16" s="1"/>
  <c r="AV76" i="16"/>
  <c r="AL77" i="16"/>
  <c r="CV77" i="16" s="1"/>
  <c r="AM78" i="16"/>
  <c r="CW78" i="16" s="1"/>
  <c r="AO79" i="16"/>
  <c r="AQ80" i="16"/>
  <c r="BG80" i="16"/>
  <c r="AO81" i="16"/>
  <c r="BE81" i="16"/>
  <c r="AM82" i="16"/>
  <c r="CW82" i="16" s="1"/>
  <c r="BC82" i="16"/>
  <c r="AP83" i="16"/>
  <c r="BF83" i="16"/>
  <c r="AF84" i="16"/>
  <c r="CP84" i="16" s="1"/>
  <c r="AV84" i="16"/>
  <c r="AK85" i="16"/>
  <c r="CU85" i="16" s="1"/>
  <c r="AW86" i="16"/>
  <c r="AW87" i="16"/>
  <c r="AS88" i="16"/>
  <c r="BC88" i="16"/>
  <c r="BK88" i="16"/>
  <c r="AS89" i="16"/>
  <c r="BA89" i="16"/>
  <c r="AG91" i="16"/>
  <c r="AO91" i="16"/>
  <c r="AW91" i="16"/>
  <c r="BE91" i="16"/>
  <c r="AE92" i="16"/>
  <c r="AM92" i="16"/>
  <c r="CW92" i="16" s="1"/>
  <c r="AU92" i="16"/>
  <c r="BC92" i="16"/>
  <c r="BK92" i="16"/>
  <c r="AK93" i="16"/>
  <c r="CU93" i="16" s="1"/>
  <c r="AS93" i="16"/>
  <c r="BA93" i="16"/>
  <c r="BI93" i="16"/>
  <c r="AI94" i="16"/>
  <c r="CS94" i="16" s="1"/>
  <c r="AQ94" i="16"/>
  <c r="AY94" i="16"/>
  <c r="AG95" i="16"/>
  <c r="CQ95" i="16" s="1"/>
  <c r="AO95" i="16"/>
  <c r="AW95" i="16"/>
  <c r="AE96" i="16"/>
  <c r="AM96" i="16"/>
  <c r="CW96" i="16" s="1"/>
  <c r="AU96" i="16"/>
  <c r="BC96" i="16"/>
  <c r="AS97" i="16"/>
  <c r="BA97" i="16"/>
  <c r="BI97" i="16"/>
  <c r="AI98" i="16"/>
  <c r="AQ98" i="16"/>
  <c r="AY98" i="16"/>
  <c r="AO99" i="16"/>
  <c r="AW99" i="16"/>
  <c r="AM100" i="16"/>
  <c r="CW100" i="16" s="1"/>
  <c r="AU100" i="16"/>
  <c r="AK101" i="16"/>
  <c r="CU101" i="16" s="1"/>
  <c r="AS101" i="16"/>
  <c r="BA101" i="16"/>
  <c r="AI102" i="16"/>
  <c r="CS102" i="16" s="1"/>
  <c r="AG103" i="16"/>
  <c r="CQ103" i="16" s="1"/>
  <c r="AK105" i="16"/>
  <c r="CU105" i="16" s="1"/>
  <c r="AI106" i="16"/>
  <c r="CS106" i="16" s="1"/>
  <c r="AQ106" i="16"/>
  <c r="AY106" i="16"/>
  <c r="BG106" i="16"/>
  <c r="BO106" i="16"/>
  <c r="AG107" i="16"/>
  <c r="CQ107" i="16" s="1"/>
  <c r="AD85" i="16"/>
  <c r="CN85" i="16" s="1"/>
  <c r="AS87" i="16"/>
  <c r="AZ88" i="16"/>
  <c r="AP89" i="16"/>
  <c r="AC91" i="16"/>
  <c r="CM91" i="16" s="1"/>
  <c r="AS91" i="16"/>
  <c r="AL92" i="16"/>
  <c r="CV92" i="16" s="1"/>
  <c r="BB92" i="16"/>
  <c r="AP93" i="16"/>
  <c r="BF93" i="16"/>
  <c r="AN94" i="16"/>
  <c r="CX94" i="16" s="1"/>
  <c r="AT95" i="16"/>
  <c r="AJ96" i="16"/>
  <c r="CT96" i="16" s="1"/>
  <c r="AZ96" i="16"/>
  <c r="AX97" i="16"/>
  <c r="AU98" i="16"/>
  <c r="AT99" i="16"/>
  <c r="AK100" i="16"/>
  <c r="CU100" i="16" s="1"/>
  <c r="BA100" i="16"/>
  <c r="AI101" i="16"/>
  <c r="AY101" i="16"/>
  <c r="AJ104" i="16"/>
  <c r="CT104" i="16" s="1"/>
  <c r="AI105" i="16"/>
  <c r="CS105" i="16" s="1"/>
  <c r="AM106" i="16"/>
  <c r="CW106" i="16" s="1"/>
  <c r="BC106" i="16"/>
  <c r="AM107" i="16"/>
  <c r="CW107" i="16" s="1"/>
  <c r="AQ108" i="16"/>
  <c r="AJ109" i="16"/>
  <c r="CT109" i="16" s="1"/>
  <c r="AX109" i="16"/>
  <c r="BI109" i="16"/>
  <c r="AI110" i="16"/>
  <c r="CS110" i="16" s="1"/>
  <c r="AS110" i="16"/>
  <c r="BA110" i="16"/>
  <c r="BI110" i="16"/>
  <c r="AI111" i="16"/>
  <c r="CS111" i="16" s="1"/>
  <c r="AQ111" i="16"/>
  <c r="AY111" i="16"/>
  <c r="BG111" i="16"/>
  <c r="AG112" i="16"/>
  <c r="CQ112" i="16" s="1"/>
  <c r="AO112" i="16"/>
  <c r="AW112" i="16"/>
  <c r="BE112" i="16"/>
  <c r="AE113" i="16"/>
  <c r="CO113" i="16" s="1"/>
  <c r="AM113" i="16"/>
  <c r="CW113" i="16" s="1"/>
  <c r="AU113" i="16"/>
  <c r="BC113" i="16"/>
  <c r="AC114" i="16"/>
  <c r="CM114" i="16" s="1"/>
  <c r="AK114" i="16"/>
  <c r="CU114" i="16" s="1"/>
  <c r="AS114" i="16"/>
  <c r="BA114" i="16"/>
  <c r="BI114" i="16"/>
  <c r="AQ115" i="16"/>
  <c r="AY115" i="16"/>
  <c r="BG115" i="16"/>
  <c r="BO115" i="16"/>
  <c r="AG116" i="16"/>
  <c r="CQ116" i="16" s="1"/>
  <c r="AO116" i="16"/>
  <c r="AW116" i="16"/>
  <c r="AE117" i="16"/>
  <c r="AM117" i="16"/>
  <c r="CW117" i="16" s="1"/>
  <c r="AU117" i="16"/>
  <c r="BC117" i="16"/>
  <c r="BK117" i="16"/>
  <c r="AK118" i="16"/>
  <c r="CU118" i="16" s="1"/>
  <c r="AS118" i="16"/>
  <c r="BA118" i="16"/>
  <c r="AI119" i="16"/>
  <c r="CS119" i="16" s="1"/>
  <c r="AQ119" i="16"/>
  <c r="AG120" i="16"/>
  <c r="CQ120" i="16" s="1"/>
  <c r="AO120" i="16"/>
  <c r="AE121" i="16"/>
  <c r="AM121" i="16"/>
  <c r="CW121" i="16" s="1"/>
  <c r="AK122" i="16"/>
  <c r="CU122" i="16" s="1"/>
  <c r="AS122" i="16"/>
  <c r="AI123" i="16"/>
  <c r="CS123" i="16" s="1"/>
  <c r="AQ123" i="16"/>
  <c r="AY123" i="16"/>
  <c r="BG123" i="16"/>
  <c r="AG124" i="16"/>
  <c r="CQ124" i="16" s="1"/>
  <c r="AO124" i="16"/>
  <c r="AW124" i="16"/>
  <c r="AE125" i="16"/>
  <c r="BE83" i="16"/>
  <c r="AI85" i="16"/>
  <c r="CS85" i="16" s="1"/>
  <c r="AU87" i="16"/>
  <c r="BA88" i="16"/>
  <c r="AQ89" i="16"/>
  <c r="AN90" i="16"/>
  <c r="AD91" i="16"/>
  <c r="CN91" i="16" s="1"/>
  <c r="AT91" i="16"/>
  <c r="AQ92" i="16"/>
  <c r="BG92" i="16"/>
  <c r="AQ93" i="16"/>
  <c r="BG93" i="16"/>
  <c r="AO94" i="16"/>
  <c r="AE95" i="16"/>
  <c r="AU95" i="16"/>
  <c r="AK96" i="16"/>
  <c r="CU96" i="16" s="1"/>
  <c r="BA96" i="16"/>
  <c r="AY97" i="16"/>
  <c r="AV98" i="16"/>
  <c r="AU99" i="16"/>
  <c r="AL100" i="16"/>
  <c r="CV100" i="16" s="1"/>
  <c r="AJ101" i="16"/>
  <c r="CT101" i="16" s="1"/>
  <c r="AZ101" i="16"/>
  <c r="AF103" i="16"/>
  <c r="AK104" i="16"/>
  <c r="CU104" i="16" s="1"/>
  <c r="AJ105" i="16"/>
  <c r="CT105" i="16" s="1"/>
  <c r="AN106" i="16"/>
  <c r="CX106" i="16" s="1"/>
  <c r="BD106" i="16"/>
  <c r="AN107" i="16"/>
  <c r="CX107" i="16" s="1"/>
  <c r="AD108" i="16"/>
  <c r="AR108" i="16"/>
  <c r="AK109" i="16"/>
  <c r="CU109" i="16" s="1"/>
  <c r="AY109" i="16"/>
  <c r="BJ109" i="16"/>
  <c r="AJ110" i="16"/>
  <c r="CT110" i="16" s="1"/>
  <c r="AT110" i="16"/>
  <c r="BB110" i="16"/>
  <c r="AJ111" i="16"/>
  <c r="CT111" i="16" s="1"/>
  <c r="AR111" i="16"/>
  <c r="AZ111" i="16"/>
  <c r="BH111" i="16"/>
  <c r="AH112" i="16"/>
  <c r="CR112" i="16" s="1"/>
  <c r="AP112" i="16"/>
  <c r="AX112" i="16"/>
  <c r="AF113" i="16"/>
  <c r="CP113" i="16" s="1"/>
  <c r="AN113" i="16"/>
  <c r="CX113" i="16" s="1"/>
  <c r="AV113" i="16"/>
  <c r="BD113" i="16"/>
  <c r="AD114" i="16"/>
  <c r="CN114" i="16" s="1"/>
  <c r="AL114" i="16"/>
  <c r="CV114" i="16" s="1"/>
  <c r="AT114" i="16"/>
  <c r="BB114" i="16"/>
  <c r="BJ114" i="16"/>
  <c r="AJ115" i="16"/>
  <c r="AR115" i="16"/>
  <c r="AZ115" i="16"/>
  <c r="BH115" i="16"/>
  <c r="BP115" i="16"/>
  <c r="AH116" i="16"/>
  <c r="CR116" i="16" s="1"/>
  <c r="AP116" i="16"/>
  <c r="AF117" i="16"/>
  <c r="CP117" i="16" s="1"/>
  <c r="AN117" i="16"/>
  <c r="CX117" i="16" s="1"/>
  <c r="AV117" i="16"/>
  <c r="BD117" i="16"/>
  <c r="BL117" i="16"/>
  <c r="AL118" i="16"/>
  <c r="CV118" i="16" s="1"/>
  <c r="AT118" i="16"/>
  <c r="BB118" i="16"/>
  <c r="AJ119" i="16"/>
  <c r="CT119" i="16" s="1"/>
  <c r="AR119" i="16"/>
  <c r="AH120" i="16"/>
  <c r="CR120" i="16" s="1"/>
  <c r="AP120" i="16"/>
  <c r="AF121" i="16"/>
  <c r="CP121" i="16" s="1"/>
  <c r="AN121" i="16"/>
  <c r="CX121" i="16" s="1"/>
  <c r="AL122" i="16"/>
  <c r="CV122" i="16" s="1"/>
  <c r="AT122" i="16"/>
  <c r="AJ123" i="16"/>
  <c r="CT123" i="16" s="1"/>
  <c r="AR123" i="16"/>
  <c r="AZ123" i="16"/>
  <c r="BH123" i="16"/>
  <c r="AH124" i="16"/>
  <c r="CR124" i="16" s="1"/>
  <c r="AP124" i="16"/>
  <c r="AX124" i="16"/>
  <c r="AA84" i="16"/>
  <c r="AT85" i="16"/>
  <c r="BB88" i="16"/>
  <c r="AR89" i="16"/>
  <c r="AO90" i="16"/>
  <c r="AE91" i="16"/>
  <c r="CO91" i="16" s="1"/>
  <c r="AU91" i="16"/>
  <c r="AR92" i="16"/>
  <c r="BH92" i="16"/>
  <c r="AR93" i="16"/>
  <c r="BH93" i="16"/>
  <c r="AP94" i="16"/>
  <c r="AF95" i="16"/>
  <c r="CP95" i="16" s="1"/>
  <c r="AV95" i="16"/>
  <c r="AL96" i="16"/>
  <c r="CV96" i="16" s="1"/>
  <c r="BB96" i="16"/>
  <c r="AZ97" i="16"/>
  <c r="AW98" i="16"/>
  <c r="AV99" i="16"/>
  <c r="AQ100" i="16"/>
  <c r="AO101" i="16"/>
  <c r="BE101" i="16"/>
  <c r="AK103" i="16"/>
  <c r="CU103" i="16" s="1"/>
  <c r="AL104" i="16"/>
  <c r="CV104" i="16" s="1"/>
  <c r="AO106" i="16"/>
  <c r="BE106" i="16"/>
  <c r="AE108" i="16"/>
  <c r="CO108" i="16" s="1"/>
  <c r="AS108" i="16"/>
  <c r="AO109" i="16"/>
  <c r="AZ109" i="16"/>
  <c r="AM110" i="16"/>
  <c r="CW110" i="16" s="1"/>
  <c r="AU110" i="16"/>
  <c r="BC110" i="16"/>
  <c r="AK111" i="16"/>
  <c r="CU111" i="16" s="1"/>
  <c r="AS111" i="16"/>
  <c r="BA111" i="16"/>
  <c r="AI112" i="16"/>
  <c r="CS112" i="16" s="1"/>
  <c r="AQ112" i="16"/>
  <c r="AY112" i="16"/>
  <c r="AG113" i="16"/>
  <c r="CQ113" i="16" s="1"/>
  <c r="AO113" i="16"/>
  <c r="AW113" i="16"/>
  <c r="BE113" i="16"/>
  <c r="AE114" i="16"/>
  <c r="CO114" i="16" s="1"/>
  <c r="AM114" i="16"/>
  <c r="CW114" i="16" s="1"/>
  <c r="AU114" i="16"/>
  <c r="BC114" i="16"/>
  <c r="BK114" i="16"/>
  <c r="AK115" i="16"/>
  <c r="CU115" i="16" s="1"/>
  <c r="AS115" i="16"/>
  <c r="BA115" i="16"/>
  <c r="BI115" i="16"/>
  <c r="AI116" i="16"/>
  <c r="CS116" i="16" s="1"/>
  <c r="AQ116" i="16"/>
  <c r="AG117" i="16"/>
  <c r="CQ117" i="16" s="1"/>
  <c r="AO117" i="16"/>
  <c r="AW117" i="16"/>
  <c r="BE117" i="16"/>
  <c r="BM117" i="16"/>
  <c r="AE118" i="16"/>
  <c r="AM118" i="16"/>
  <c r="CW118" i="16" s="1"/>
  <c r="AU118" i="16"/>
  <c r="BC118" i="16"/>
  <c r="AK119" i="16"/>
  <c r="CU119" i="16" s="1"/>
  <c r="AS119" i="16"/>
  <c r="AI120" i="16"/>
  <c r="CS120" i="16" s="1"/>
  <c r="AQ120" i="16"/>
  <c r="AG121" i="16"/>
  <c r="CQ121" i="16" s="1"/>
  <c r="AO121" i="16"/>
  <c r="AE122" i="16"/>
  <c r="AM122" i="16"/>
  <c r="CW122" i="16" s="1"/>
  <c r="AK123" i="16"/>
  <c r="CU123" i="16" s="1"/>
  <c r="AS123" i="16"/>
  <c r="BA123" i="16"/>
  <c r="BI123" i="16"/>
  <c r="AI124" i="16"/>
  <c r="CS124" i="16" s="1"/>
  <c r="AQ124" i="16"/>
  <c r="AY124" i="16"/>
  <c r="AG125" i="16"/>
  <c r="CQ125" i="16" s="1"/>
  <c r="AO125" i="16"/>
  <c r="AW125" i="16"/>
  <c r="AE126" i="16"/>
  <c r="AM126" i="16"/>
  <c r="CW126" i="16" s="1"/>
  <c r="AU126" i="16"/>
  <c r="BC126" i="16"/>
  <c r="AE84" i="16"/>
  <c r="CO84" i="16" s="1"/>
  <c r="BG88" i="16"/>
  <c r="AW89" i="16"/>
  <c r="AF91" i="16"/>
  <c r="CP91" i="16" s="1"/>
  <c r="AV91" i="16"/>
  <c r="AS92" i="16"/>
  <c r="BI92" i="16"/>
  <c r="AG93" i="16"/>
  <c r="CQ93" i="16" s="1"/>
  <c r="AW93" i="16"/>
  <c r="BM93" i="16"/>
  <c r="AE94" i="16"/>
  <c r="AU94" i="16"/>
  <c r="AK95" i="16"/>
  <c r="CU95" i="16" s="1"/>
  <c r="BA95" i="16"/>
  <c r="AQ96" i="16"/>
  <c r="AO97" i="16"/>
  <c r="BE97" i="16"/>
  <c r="AX98" i="16"/>
  <c r="AK99" i="16"/>
  <c r="CU99" i="16" s="1"/>
  <c r="AQ84" i="16"/>
  <c r="BH88" i="16"/>
  <c r="AX89" i="16"/>
  <c r="AK91" i="16"/>
  <c r="CU91" i="16" s="1"/>
  <c r="BA91" i="16"/>
  <c r="AT92" i="16"/>
  <c r="BJ92" i="16"/>
  <c r="AH93" i="16"/>
  <c r="CR93" i="16" s="1"/>
  <c r="AX93" i="16"/>
  <c r="BN93" i="16"/>
  <c r="AF94" i="16"/>
  <c r="CP94" i="16" s="1"/>
  <c r="AV94" i="16"/>
  <c r="AL95" i="16"/>
  <c r="CV95" i="16" s="1"/>
  <c r="BB95" i="16"/>
  <c r="AR96" i="16"/>
  <c r="AP97" i="16"/>
  <c r="BF97" i="16"/>
  <c r="AM98" i="16"/>
  <c r="CW98" i="16" s="1"/>
  <c r="AL99" i="16"/>
  <c r="CV99" i="16" s="1"/>
  <c r="AS100" i="16"/>
  <c r="AQ101" i="16"/>
  <c r="BG101" i="16"/>
  <c r="AG102" i="16"/>
  <c r="CQ102" i="16" s="1"/>
  <c r="AM103" i="16"/>
  <c r="CW103" i="16" s="1"/>
  <c r="AU84" i="16"/>
  <c r="AN88" i="16"/>
  <c r="CX88" i="16" s="1"/>
  <c r="BI88" i="16"/>
  <c r="AY89" i="16"/>
  <c r="AL91" i="16"/>
  <c r="CV91" i="16" s="1"/>
  <c r="BB91" i="16"/>
  <c r="AI92" i="16"/>
  <c r="CS92" i="16" s="1"/>
  <c r="AY92" i="16"/>
  <c r="BO92" i="16"/>
  <c r="AI93" i="16"/>
  <c r="CS93" i="16" s="1"/>
  <c r="AY93" i="16"/>
  <c r="BO93" i="16"/>
  <c r="AG94" i="16"/>
  <c r="CQ94" i="16" s="1"/>
  <c r="AW94" i="16"/>
  <c r="AM95" i="16"/>
  <c r="CW95" i="16" s="1"/>
  <c r="BC95" i="16"/>
  <c r="AS96" i="16"/>
  <c r="AQ97" i="16"/>
  <c r="BG97" i="16"/>
  <c r="AN98" i="16"/>
  <c r="CX98" i="16" s="1"/>
  <c r="AM99" i="16"/>
  <c r="CW99" i="16" s="1"/>
  <c r="AT100" i="16"/>
  <c r="AR101" i="16"/>
  <c r="AQ86" i="16"/>
  <c r="AO87" i="16"/>
  <c r="AQ88" i="16"/>
  <c r="BJ88" i="16"/>
  <c r="AZ89" i="16"/>
  <c r="AM91" i="16"/>
  <c r="CW91" i="16" s="1"/>
  <c r="BC91" i="16"/>
  <c r="AJ92" i="16"/>
  <c r="CT92" i="16" s="1"/>
  <c r="AZ92" i="16"/>
  <c r="BP92" i="16"/>
  <c r="AJ93" i="16"/>
  <c r="CT93" i="16" s="1"/>
  <c r="AZ93" i="16"/>
  <c r="BP93" i="16"/>
  <c r="AH94" i="16"/>
  <c r="CR94" i="16" s="1"/>
  <c r="AX94" i="16"/>
  <c r="AN95" i="16"/>
  <c r="CX95" i="16" s="1"/>
  <c r="BD95" i="16"/>
  <c r="AT96" i="16"/>
  <c r="AR97" i="16"/>
  <c r="BH97" i="16"/>
  <c r="AO98" i="16"/>
  <c r="AN99" i="16"/>
  <c r="CX99" i="16" s="1"/>
  <c r="AI100" i="16"/>
  <c r="AU86" i="16"/>
  <c r="AP87" i="16"/>
  <c r="AY88" i="16"/>
  <c r="AO89" i="16"/>
  <c r="AN91" i="16"/>
  <c r="CX91" i="16" s="1"/>
  <c r="BD91" i="16"/>
  <c r="AK92" i="16"/>
  <c r="CU92" i="16" s="1"/>
  <c r="BA92" i="16"/>
  <c r="AO93" i="16"/>
  <c r="BE93" i="16"/>
  <c r="AM94" i="16"/>
  <c r="CW94" i="16" s="1"/>
  <c r="AS95" i="16"/>
  <c r="AI96" i="16"/>
  <c r="CS96" i="16" s="1"/>
  <c r="AY96" i="16"/>
  <c r="AW97" i="16"/>
  <c r="AP98" i="16"/>
  <c r="AS99" i="16"/>
  <c r="AJ100" i="16"/>
  <c r="CT100" i="16" s="1"/>
  <c r="AZ100" i="16"/>
  <c r="AX101" i="16"/>
  <c r="AN102" i="16"/>
  <c r="CX102" i="16" s="1"/>
  <c r="AI104" i="16"/>
  <c r="AH105" i="16"/>
  <c r="CR105" i="16" s="1"/>
  <c r="AH106" i="16"/>
  <c r="CR106" i="16" s="1"/>
  <c r="AX106" i="16"/>
  <c r="BN106" i="16"/>
  <c r="AL107" i="16"/>
  <c r="CV107" i="16" s="1"/>
  <c r="AM108" i="16"/>
  <c r="CW108" i="16" s="1"/>
  <c r="AI109" i="16"/>
  <c r="CS109" i="16" s="1"/>
  <c r="AW109" i="16"/>
  <c r="BH109" i="16"/>
  <c r="AH110" i="16"/>
  <c r="CR110" i="16" s="1"/>
  <c r="AR110" i="16"/>
  <c r="AZ110" i="16"/>
  <c r="BH110" i="16"/>
  <c r="AH111" i="16"/>
  <c r="CR111" i="16" s="1"/>
  <c r="AP111" i="16"/>
  <c r="AX111" i="16"/>
  <c r="BF111" i="16"/>
  <c r="AF112" i="16"/>
  <c r="CP112" i="16" s="1"/>
  <c r="AN112" i="16"/>
  <c r="CX112" i="16" s="1"/>
  <c r="AV112" i="16"/>
  <c r="BD112" i="16"/>
  <c r="AD113" i="16"/>
  <c r="AL113" i="16"/>
  <c r="CV113" i="16" s="1"/>
  <c r="AT113" i="16"/>
  <c r="BB113" i="16"/>
  <c r="AJ114" i="16"/>
  <c r="CT114" i="16" s="1"/>
  <c r="AR114" i="16"/>
  <c r="AZ114" i="16"/>
  <c r="BH114" i="16"/>
  <c r="BP114" i="16"/>
  <c r="AP115" i="16"/>
  <c r="AX115" i="16"/>
  <c r="BF115" i="16"/>
  <c r="BN115" i="16"/>
  <c r="AF116" i="16"/>
  <c r="CP116" i="16" s="1"/>
  <c r="AN116" i="16"/>
  <c r="CX116" i="16" s="1"/>
  <c r="AV116" i="16"/>
  <c r="AL117" i="16"/>
  <c r="CV117" i="16" s="1"/>
  <c r="AT117" i="16"/>
  <c r="BB117" i="16"/>
  <c r="BJ117" i="16"/>
  <c r="AJ118" i="16"/>
  <c r="CT118" i="16" s="1"/>
  <c r="AR118" i="16"/>
  <c r="AZ118" i="16"/>
  <c r="AH119" i="16"/>
  <c r="CR119" i="16" s="1"/>
  <c r="AP119" i="16"/>
  <c r="AF120" i="16"/>
  <c r="CP120" i="16" s="1"/>
  <c r="AN120" i="16"/>
  <c r="CX120" i="16" s="1"/>
  <c r="AL121" i="16"/>
  <c r="CV121" i="16" s="1"/>
  <c r="AT121" i="16"/>
  <c r="AJ122" i="16"/>
  <c r="CT122" i="16" s="1"/>
  <c r="AR122" i="16"/>
  <c r="AH123" i="16"/>
  <c r="CR123" i="16" s="1"/>
  <c r="AP123" i="16"/>
  <c r="AX123" i="16"/>
  <c r="BF123" i="16"/>
  <c r="AF124" i="16"/>
  <c r="CP124" i="16" s="1"/>
  <c r="AN124" i="16"/>
  <c r="CX124" i="16" s="1"/>
  <c r="AV124" i="16"/>
  <c r="AM102" i="16"/>
  <c r="CW102" i="16" s="1"/>
  <c r="AG105" i="16"/>
  <c r="CQ105" i="16" s="1"/>
  <c r="AV106" i="16"/>
  <c r="BA109" i="16"/>
  <c r="AG110" i="16"/>
  <c r="CQ110" i="16" s="1"/>
  <c r="AY110" i="16"/>
  <c r="AE111" i="16"/>
  <c r="CO111" i="16" s="1"/>
  <c r="AU111" i="16"/>
  <c r="AR112" i="16"/>
  <c r="AJ113" i="16"/>
  <c r="CT113" i="16" s="1"/>
  <c r="AZ113" i="16"/>
  <c r="AG114" i="16"/>
  <c r="CQ114" i="16" s="1"/>
  <c r="AW114" i="16"/>
  <c r="BM114" i="16"/>
  <c r="AT115" i="16"/>
  <c r="BJ115" i="16"/>
  <c r="AE116" i="16"/>
  <c r="AU116" i="16"/>
  <c r="AH117" i="16"/>
  <c r="CR117" i="16" s="1"/>
  <c r="AX117" i="16"/>
  <c r="BN117" i="16"/>
  <c r="AG118" i="16"/>
  <c r="CQ118" i="16" s="1"/>
  <c r="AW118" i="16"/>
  <c r="AM119" i="16"/>
  <c r="CW119" i="16" s="1"/>
  <c r="AK120" i="16"/>
  <c r="CU120" i="16" s="1"/>
  <c r="AH121" i="16"/>
  <c r="CR121" i="16" s="1"/>
  <c r="AP122" i="16"/>
  <c r="AM123" i="16"/>
  <c r="CW123" i="16" s="1"/>
  <c r="BC123" i="16"/>
  <c r="AK124" i="16"/>
  <c r="CU124" i="16" s="1"/>
  <c r="BA124" i="16"/>
  <c r="AK125" i="16"/>
  <c r="CU125" i="16" s="1"/>
  <c r="AT125" i="16"/>
  <c r="BC125" i="16"/>
  <c r="AL126" i="16"/>
  <c r="CV126" i="16" s="1"/>
  <c r="AV126" i="16"/>
  <c r="AE127" i="16"/>
  <c r="AM127" i="16"/>
  <c r="CW127" i="16" s="1"/>
  <c r="AU127" i="16"/>
  <c r="AK128" i="16"/>
  <c r="CU128" i="16" s="1"/>
  <c r="AS128" i="16"/>
  <c r="BA128" i="16"/>
  <c r="BI128" i="16"/>
  <c r="AI129" i="16"/>
  <c r="CS129" i="16" s="1"/>
  <c r="AQ129" i="16"/>
  <c r="AY129" i="16"/>
  <c r="AG130" i="16"/>
  <c r="CQ130" i="16" s="1"/>
  <c r="AO130" i="16"/>
  <c r="AW130" i="16"/>
  <c r="AE131" i="16"/>
  <c r="AM131" i="16"/>
  <c r="CW131" i="16" s="1"/>
  <c r="AU131" i="16"/>
  <c r="BC131" i="16"/>
  <c r="AK132" i="16"/>
  <c r="CU132" i="16" s="1"/>
  <c r="AS132" i="16"/>
  <c r="BA132" i="16"/>
  <c r="AI133" i="16"/>
  <c r="CS133" i="16" s="1"/>
  <c r="AQ133" i="16"/>
  <c r="AY133" i="16"/>
  <c r="BG133" i="16"/>
  <c r="AG134" i="16"/>
  <c r="CQ134" i="16" s="1"/>
  <c r="AO134" i="16"/>
  <c r="AW134" i="16"/>
  <c r="BE134" i="16"/>
  <c r="AE135" i="16"/>
  <c r="AM135" i="16"/>
  <c r="CW135" i="16" s="1"/>
  <c r="AU135" i="16"/>
  <c r="BC135" i="16"/>
  <c r="BK135" i="16"/>
  <c r="AK136" i="16"/>
  <c r="CU136" i="16" s="1"/>
  <c r="AS136" i="16"/>
  <c r="BA136" i="16"/>
  <c r="BI136" i="16"/>
  <c r="AI137" i="16"/>
  <c r="CS137" i="16" s="1"/>
  <c r="AQ137" i="16"/>
  <c r="AY137" i="16"/>
  <c r="BG137" i="16"/>
  <c r="BO137" i="16"/>
  <c r="AG138" i="16"/>
  <c r="CQ138" i="16" s="1"/>
  <c r="AO138" i="16"/>
  <c r="AW138" i="16"/>
  <c r="AM139" i="16"/>
  <c r="CW139" i="16" s="1"/>
  <c r="AU139" i="16"/>
  <c r="AK140" i="16"/>
  <c r="CU140" i="16" s="1"/>
  <c r="AS140" i="16"/>
  <c r="BA140" i="16"/>
  <c r="AI141" i="16"/>
  <c r="CS141" i="16" s="1"/>
  <c r="AQ141" i="16"/>
  <c r="AW106" i="16"/>
  <c r="BE109" i="16"/>
  <c r="AN110" i="16"/>
  <c r="CX110" i="16" s="1"/>
  <c r="BD110" i="16"/>
  <c r="AF111" i="16"/>
  <c r="CP111" i="16" s="1"/>
  <c r="AV111" i="16"/>
  <c r="AS112" i="16"/>
  <c r="AK113" i="16"/>
  <c r="CU113" i="16" s="1"/>
  <c r="BA113" i="16"/>
  <c r="AH114" i="16"/>
  <c r="AX114" i="16"/>
  <c r="BN114" i="16"/>
  <c r="AU115" i="16"/>
  <c r="BK115" i="16"/>
  <c r="AJ116" i="16"/>
  <c r="CT116" i="16" s="1"/>
  <c r="AI117" i="16"/>
  <c r="CS117" i="16" s="1"/>
  <c r="AY117" i="16"/>
  <c r="BO117" i="16"/>
  <c r="AH118" i="16"/>
  <c r="CR118" i="16" s="1"/>
  <c r="AX118" i="16"/>
  <c r="AN119" i="16"/>
  <c r="CX119" i="16" s="1"/>
  <c r="AL120" i="16"/>
  <c r="CV120" i="16" s="1"/>
  <c r="AI121" i="16"/>
  <c r="CS121" i="16" s="1"/>
  <c r="AQ122" i="16"/>
  <c r="AN123" i="16"/>
  <c r="CX123" i="16" s="1"/>
  <c r="BD123" i="16"/>
  <c r="AL124" i="16"/>
  <c r="CV124" i="16" s="1"/>
  <c r="BB124" i="16"/>
  <c r="AL125" i="16"/>
  <c r="CV125" i="16" s="1"/>
  <c r="AU125" i="16"/>
  <c r="BD125" i="16"/>
  <c r="AN126" i="16"/>
  <c r="CX126" i="16" s="1"/>
  <c r="AW126" i="16"/>
  <c r="AF127" i="16"/>
  <c r="CP127" i="16" s="1"/>
  <c r="AN127" i="16"/>
  <c r="CX127" i="16" s="1"/>
  <c r="AV127" i="16"/>
  <c r="AL128" i="16"/>
  <c r="CV128" i="16" s="1"/>
  <c r="AT128" i="16"/>
  <c r="BB128" i="16"/>
  <c r="BJ128" i="16"/>
  <c r="AJ129" i="16"/>
  <c r="CT129" i="16" s="1"/>
  <c r="AR129" i="16"/>
  <c r="AZ129" i="16"/>
  <c r="AH130" i="16"/>
  <c r="CR130" i="16" s="1"/>
  <c r="AP130" i="16"/>
  <c r="AX130" i="16"/>
  <c r="AF131" i="16"/>
  <c r="CP131" i="16" s="1"/>
  <c r="AN131" i="16"/>
  <c r="CX131" i="16" s="1"/>
  <c r="AV131" i="16"/>
  <c r="BD131" i="16"/>
  <c r="AL132" i="16"/>
  <c r="CV132" i="16" s="1"/>
  <c r="AT132" i="16"/>
  <c r="BB132" i="16"/>
  <c r="AJ133" i="16"/>
  <c r="CT133" i="16" s="1"/>
  <c r="AR133" i="16"/>
  <c r="AZ133" i="16"/>
  <c r="BH133" i="16"/>
  <c r="AH134" i="16"/>
  <c r="CR134" i="16" s="1"/>
  <c r="AP134" i="16"/>
  <c r="AX134" i="16"/>
  <c r="BF134" i="16"/>
  <c r="AF135" i="16"/>
  <c r="CP135" i="16" s="1"/>
  <c r="AN135" i="16"/>
  <c r="CX135" i="16" s="1"/>
  <c r="AV135" i="16"/>
  <c r="BD135" i="16"/>
  <c r="BL135" i="16"/>
  <c r="AL136" i="16"/>
  <c r="CV136" i="16" s="1"/>
  <c r="AT136" i="16"/>
  <c r="BB136" i="16"/>
  <c r="BJ136" i="16"/>
  <c r="AJ137" i="16"/>
  <c r="CT137" i="16" s="1"/>
  <c r="AR137" i="16"/>
  <c r="AZ137" i="16"/>
  <c r="BH137" i="16"/>
  <c r="BP137" i="16"/>
  <c r="AH138" i="16"/>
  <c r="CR138" i="16" s="1"/>
  <c r="AP138" i="16"/>
  <c r="AX138" i="16"/>
  <c r="AN139" i="16"/>
  <c r="CX139" i="16" s="1"/>
  <c r="AV139" i="16"/>
  <c r="AL140" i="16"/>
  <c r="CV140" i="16" s="1"/>
  <c r="AT140" i="16"/>
  <c r="BB140" i="16"/>
  <c r="AL103" i="16"/>
  <c r="CV103" i="16" s="1"/>
  <c r="BF106" i="16"/>
  <c r="AG109" i="16"/>
  <c r="CQ109" i="16" s="1"/>
  <c r="BF109" i="16"/>
  <c r="AO110" i="16"/>
  <c r="BE110" i="16"/>
  <c r="AG111" i="16"/>
  <c r="CQ111" i="16" s="1"/>
  <c r="AW111" i="16"/>
  <c r="AD112" i="16"/>
  <c r="AT112" i="16"/>
  <c r="AP113" i="16"/>
  <c r="BF113" i="16"/>
  <c r="AI114" i="16"/>
  <c r="CS114" i="16" s="1"/>
  <c r="AY114" i="16"/>
  <c r="BO114" i="16"/>
  <c r="AV115" i="16"/>
  <c r="BL115" i="16"/>
  <c r="AK116" i="16"/>
  <c r="CU116" i="16" s="1"/>
  <c r="AJ117" i="16"/>
  <c r="CT117" i="16" s="1"/>
  <c r="AZ117" i="16"/>
  <c r="BP117" i="16"/>
  <c r="AI118" i="16"/>
  <c r="CS118" i="16" s="1"/>
  <c r="AY118" i="16"/>
  <c r="AO119" i="16"/>
  <c r="AM120" i="16"/>
  <c r="CW120" i="16" s="1"/>
  <c r="AJ121" i="16"/>
  <c r="CT121" i="16" s="1"/>
  <c r="AF122" i="16"/>
  <c r="CP122" i="16" s="1"/>
  <c r="AO123" i="16"/>
  <c r="BE123" i="16"/>
  <c r="AM124" i="16"/>
  <c r="CW124" i="16" s="1"/>
  <c r="AM125" i="16"/>
  <c r="CW125" i="16" s="1"/>
  <c r="AV125" i="16"/>
  <c r="AF126" i="16"/>
  <c r="CP126" i="16" s="1"/>
  <c r="AO126" i="16"/>
  <c r="AX126" i="16"/>
  <c r="AG127" i="16"/>
  <c r="CQ127" i="16" s="1"/>
  <c r="AO127" i="16"/>
  <c r="AW127" i="16"/>
  <c r="AE128" i="16"/>
  <c r="AM128" i="16"/>
  <c r="CW128" i="16" s="1"/>
  <c r="AU128" i="16"/>
  <c r="BC128" i="16"/>
  <c r="BK128" i="16"/>
  <c r="AK129" i="16"/>
  <c r="CU129" i="16" s="1"/>
  <c r="AS129" i="16"/>
  <c r="BA129" i="16"/>
  <c r="AI130" i="16"/>
  <c r="CS130" i="16" s="1"/>
  <c r="AQ130" i="16"/>
  <c r="AY130" i="16"/>
  <c r="AG131" i="16"/>
  <c r="CQ131" i="16" s="1"/>
  <c r="AO131" i="16"/>
  <c r="AW131" i="16"/>
  <c r="AE132" i="16"/>
  <c r="AM132" i="16"/>
  <c r="CW132" i="16" s="1"/>
  <c r="AU132" i="16"/>
  <c r="BC132" i="16"/>
  <c r="AK133" i="16"/>
  <c r="CU133" i="16" s="1"/>
  <c r="AS133" i="16"/>
  <c r="BA133" i="16"/>
  <c r="BI133" i="16"/>
  <c r="AI134" i="16"/>
  <c r="CS134" i="16" s="1"/>
  <c r="AQ134" i="16"/>
  <c r="AY134" i="16"/>
  <c r="BG134" i="16"/>
  <c r="AG135" i="16"/>
  <c r="CQ135" i="16" s="1"/>
  <c r="AO135" i="16"/>
  <c r="AW135" i="16"/>
  <c r="BE135" i="16"/>
  <c r="BM135" i="16"/>
  <c r="AE136" i="16"/>
  <c r="AM136" i="16"/>
  <c r="CW136" i="16" s="1"/>
  <c r="AU136" i="16"/>
  <c r="BC136" i="16"/>
  <c r="BK136" i="16"/>
  <c r="AK137" i="16"/>
  <c r="CU137" i="16" s="1"/>
  <c r="AS137" i="16"/>
  <c r="BA137" i="16"/>
  <c r="BI137" i="16"/>
  <c r="AI138" i="16"/>
  <c r="CS138" i="16" s="1"/>
  <c r="AQ138" i="16"/>
  <c r="AY138" i="16"/>
  <c r="AG139" i="16"/>
  <c r="CQ139" i="16" s="1"/>
  <c r="AO139" i="16"/>
  <c r="AW139" i="16"/>
  <c r="AM140" i="16"/>
  <c r="CW140" i="16" s="1"/>
  <c r="AU140" i="16"/>
  <c r="BC140" i="16"/>
  <c r="AN103" i="16"/>
  <c r="CX103" i="16" s="1"/>
  <c r="BK106" i="16"/>
  <c r="AF107" i="16"/>
  <c r="AH109" i="16"/>
  <c r="CR109" i="16" s="1"/>
  <c r="BG109" i="16"/>
  <c r="AP110" i="16"/>
  <c r="BF110" i="16"/>
  <c r="AL111" i="16"/>
  <c r="CV111" i="16" s="1"/>
  <c r="BB111" i="16"/>
  <c r="AE112" i="16"/>
  <c r="CO112" i="16" s="1"/>
  <c r="AU112" i="16"/>
  <c r="AQ113" i="16"/>
  <c r="BG113" i="16"/>
  <c r="AN114" i="16"/>
  <c r="CX114" i="16" s="1"/>
  <c r="BD114" i="16"/>
  <c r="AW115" i="16"/>
  <c r="BM115" i="16"/>
  <c r="AL116" i="16"/>
  <c r="CV116" i="16" s="1"/>
  <c r="AK117" i="16"/>
  <c r="CU117" i="16" s="1"/>
  <c r="BA117" i="16"/>
  <c r="AN118" i="16"/>
  <c r="CX118" i="16" s="1"/>
  <c r="BD118" i="16"/>
  <c r="AR100" i="16"/>
  <c r="AF106" i="16"/>
  <c r="BL106" i="16"/>
  <c r="AK107" i="16"/>
  <c r="CU107" i="16" s="1"/>
  <c r="AI108" i="16"/>
  <c r="CS108" i="16" s="1"/>
  <c r="AP109" i="16"/>
  <c r="AQ110" i="16"/>
  <c r="BG110" i="16"/>
  <c r="AM111" i="16"/>
  <c r="CW111" i="16" s="1"/>
  <c r="BC111" i="16"/>
  <c r="AJ112" i="16"/>
  <c r="CT112" i="16" s="1"/>
  <c r="AZ112" i="16"/>
  <c r="AR113" i="16"/>
  <c r="AO114" i="16"/>
  <c r="BE114" i="16"/>
  <c r="AY100" i="16"/>
  <c r="AP101" i="16"/>
  <c r="AG106" i="16"/>
  <c r="CQ106" i="16" s="1"/>
  <c r="BM106" i="16"/>
  <c r="AJ108" i="16"/>
  <c r="CT108" i="16" s="1"/>
  <c r="AQ109" i="16"/>
  <c r="AV110" i="16"/>
  <c r="AN111" i="16"/>
  <c r="CX111" i="16" s="1"/>
  <c r="BD111" i="16"/>
  <c r="AK112" i="16"/>
  <c r="CU112" i="16" s="1"/>
  <c r="BA112" i="16"/>
  <c r="AC113" i="16"/>
  <c r="CM113" i="16" s="1"/>
  <c r="AS113" i="16"/>
  <c r="AW101" i="16"/>
  <c r="AF102" i="16"/>
  <c r="AP106" i="16"/>
  <c r="AK108" i="16"/>
  <c r="CU108" i="16" s="1"/>
  <c r="AR109" i="16"/>
  <c r="AE110" i="16"/>
  <c r="AW110" i="16"/>
  <c r="AO111" i="16"/>
  <c r="BE111" i="16"/>
  <c r="AL112" i="16"/>
  <c r="CV112" i="16" s="1"/>
  <c r="BB112" i="16"/>
  <c r="AH113" i="16"/>
  <c r="CR113" i="16" s="1"/>
  <c r="AX113" i="16"/>
  <c r="AQ114" i="16"/>
  <c r="BG114" i="16"/>
  <c r="AN115" i="16"/>
  <c r="CX115" i="16" s="1"/>
  <c r="BF101" i="16"/>
  <c r="AH102" i="16"/>
  <c r="CR102" i="16" s="1"/>
  <c r="AU106" i="16"/>
  <c r="AL108" i="16"/>
  <c r="CV108" i="16" s="1"/>
  <c r="AS109" i="16"/>
  <c r="AF110" i="16"/>
  <c r="CP110" i="16" s="1"/>
  <c r="AX110" i="16"/>
  <c r="AD111" i="16"/>
  <c r="AT111" i="16"/>
  <c r="AM112" i="16"/>
  <c r="CW112" i="16" s="1"/>
  <c r="BC112" i="16"/>
  <c r="AI113" i="16"/>
  <c r="CS113" i="16" s="1"/>
  <c r="AY113" i="16"/>
  <c r="AF114" i="16"/>
  <c r="CP114" i="16" s="1"/>
  <c r="AV114" i="16"/>
  <c r="BL114" i="16"/>
  <c r="AO115" i="16"/>
  <c r="BE115" i="16"/>
  <c r="AT116" i="16"/>
  <c r="AS117" i="16"/>
  <c r="BI117" i="16"/>
  <c r="AF118" i="16"/>
  <c r="CP118" i="16" s="1"/>
  <c r="AV118" i="16"/>
  <c r="AL119" i="16"/>
  <c r="CV119" i="16" s="1"/>
  <c r="AJ120" i="16"/>
  <c r="CT120" i="16" s="1"/>
  <c r="AS121" i="16"/>
  <c r="AO122" i="16"/>
  <c r="AL123" i="16"/>
  <c r="CV123" i="16" s="1"/>
  <c r="BB123" i="16"/>
  <c r="AJ124" i="16"/>
  <c r="CT124" i="16" s="1"/>
  <c r="AZ124" i="16"/>
  <c r="AJ125" i="16"/>
  <c r="CT125" i="16" s="1"/>
  <c r="AS125" i="16"/>
  <c r="BB125" i="16"/>
  <c r="AK126" i="16"/>
  <c r="CU126" i="16" s="1"/>
  <c r="AT126" i="16"/>
  <c r="BD126" i="16"/>
  <c r="AL127" i="16"/>
  <c r="CV127" i="16" s="1"/>
  <c r="AT127" i="16"/>
  <c r="BB127" i="16"/>
  <c r="AJ128" i="16"/>
  <c r="CT128" i="16" s="1"/>
  <c r="AR128" i="16"/>
  <c r="AZ128" i="16"/>
  <c r="BH128" i="16"/>
  <c r="AH129" i="16"/>
  <c r="CR129" i="16" s="1"/>
  <c r="AP129" i="16"/>
  <c r="AX129" i="16"/>
  <c r="AF130" i="16"/>
  <c r="CP130" i="16" s="1"/>
  <c r="AN130" i="16"/>
  <c r="CX130" i="16" s="1"/>
  <c r="AV130" i="16"/>
  <c r="BD130" i="16"/>
  <c r="AL131" i="16"/>
  <c r="CV131" i="16" s="1"/>
  <c r="AT131" i="16"/>
  <c r="BB131" i="16"/>
  <c r="AJ132" i="16"/>
  <c r="CT132" i="16" s="1"/>
  <c r="AR132" i="16"/>
  <c r="AZ132" i="16"/>
  <c r="AH133" i="16"/>
  <c r="CR133" i="16" s="1"/>
  <c r="AP133" i="16"/>
  <c r="AX133" i="16"/>
  <c r="BF133" i="16"/>
  <c r="AF134" i="16"/>
  <c r="CP134" i="16" s="1"/>
  <c r="AN134" i="16"/>
  <c r="CX134" i="16" s="1"/>
  <c r="AV134" i="16"/>
  <c r="BD134" i="16"/>
  <c r="AL135" i="16"/>
  <c r="CV135" i="16" s="1"/>
  <c r="AT135" i="16"/>
  <c r="BB135" i="16"/>
  <c r="BJ135" i="16"/>
  <c r="AJ136" i="16"/>
  <c r="CT136" i="16" s="1"/>
  <c r="AR136" i="16"/>
  <c r="AZ136" i="16"/>
  <c r="BH136" i="16"/>
  <c r="BP136" i="16"/>
  <c r="AH137" i="16"/>
  <c r="CR137" i="16" s="1"/>
  <c r="AP137" i="16"/>
  <c r="AX137" i="16"/>
  <c r="BF137" i="16"/>
  <c r="BN137" i="16"/>
  <c r="AN138" i="16"/>
  <c r="CX138" i="16" s="1"/>
  <c r="AV138" i="16"/>
  <c r="AL139" i="16"/>
  <c r="CV139" i="16" s="1"/>
  <c r="AT139" i="16"/>
  <c r="AJ140" i="16"/>
  <c r="CT140" i="16" s="1"/>
  <c r="AR140" i="16"/>
  <c r="BG117" i="16"/>
  <c r="AQ118" i="16"/>
  <c r="AR120" i="16"/>
  <c r="AR121" i="16"/>
  <c r="BJ123" i="16"/>
  <c r="AR125" i="16"/>
  <c r="AJ126" i="16"/>
  <c r="CT126" i="16" s="1"/>
  <c r="BB126" i="16"/>
  <c r="AS127" i="16"/>
  <c r="AG128" i="16"/>
  <c r="CQ128" i="16" s="1"/>
  <c r="AW128" i="16"/>
  <c r="AE129" i="16"/>
  <c r="AU129" i="16"/>
  <c r="AK130" i="16"/>
  <c r="CU130" i="16" s="1"/>
  <c r="BA130" i="16"/>
  <c r="AQ131" i="16"/>
  <c r="AG132" i="16"/>
  <c r="CQ132" i="16" s="1"/>
  <c r="AW132" i="16"/>
  <c r="AM133" i="16"/>
  <c r="CW133" i="16" s="1"/>
  <c r="BC133" i="16"/>
  <c r="AK134" i="16"/>
  <c r="CU134" i="16" s="1"/>
  <c r="BA134" i="16"/>
  <c r="AH135" i="16"/>
  <c r="CR135" i="16" s="1"/>
  <c r="AX135" i="16"/>
  <c r="BN135" i="16"/>
  <c r="AG136" i="16"/>
  <c r="CQ136" i="16" s="1"/>
  <c r="AW136" i="16"/>
  <c r="BM136" i="16"/>
  <c r="AF137" i="16"/>
  <c r="CP137" i="16" s="1"/>
  <c r="AV137" i="16"/>
  <c r="BL137" i="16"/>
  <c r="AJ138" i="16"/>
  <c r="CT138" i="16" s="1"/>
  <c r="AZ138" i="16"/>
  <c r="AI139" i="16"/>
  <c r="CS139" i="16" s="1"/>
  <c r="AG140" i="16"/>
  <c r="CQ140" i="16" s="1"/>
  <c r="AW140" i="16"/>
  <c r="AH141" i="16"/>
  <c r="CR141" i="16" s="1"/>
  <c r="AR141" i="16"/>
  <c r="AZ141" i="16"/>
  <c r="BH141" i="16"/>
  <c r="AH142" i="16"/>
  <c r="CR142" i="16" s="1"/>
  <c r="AP142" i="16"/>
  <c r="AX142" i="16"/>
  <c r="AN143" i="16"/>
  <c r="CX143" i="16" s="1"/>
  <c r="AV143" i="16"/>
  <c r="AL144" i="16"/>
  <c r="CV144" i="16" s="1"/>
  <c r="AT144" i="16"/>
  <c r="AJ145" i="16"/>
  <c r="AR145" i="16"/>
  <c r="AZ145" i="16"/>
  <c r="BH145" i="16"/>
  <c r="AP146" i="16"/>
  <c r="AX146" i="16"/>
  <c r="BF146" i="16"/>
  <c r="AF147" i="16"/>
  <c r="CP147" i="16" s="1"/>
  <c r="AN147" i="16"/>
  <c r="CX147" i="16" s="1"/>
  <c r="AV147" i="16"/>
  <c r="AD148" i="16"/>
  <c r="CN148" i="16" s="1"/>
  <c r="AL148" i="16"/>
  <c r="CV148" i="16" s="1"/>
  <c r="AT148" i="16"/>
  <c r="BB148" i="16"/>
  <c r="BJ148" i="16"/>
  <c r="AB149" i="16"/>
  <c r="CL149" i="16" s="1"/>
  <c r="AJ149" i="16"/>
  <c r="CT149" i="16" s="1"/>
  <c r="AR149" i="16"/>
  <c r="AZ149" i="16"/>
  <c r="BH149" i="16"/>
  <c r="BP149" i="16"/>
  <c r="AH150" i="16"/>
  <c r="CR150" i="16" s="1"/>
  <c r="AP150" i="16"/>
  <c r="AF151" i="16"/>
  <c r="CP151" i="16" s="1"/>
  <c r="AN151" i="16"/>
  <c r="CX151" i="16" s="1"/>
  <c r="AV151" i="16"/>
  <c r="BD151" i="16"/>
  <c r="AD152" i="16"/>
  <c r="CN152" i="16" s="1"/>
  <c r="AL152" i="16"/>
  <c r="CV152" i="16" s="1"/>
  <c r="AT152" i="16"/>
  <c r="AB153" i="16"/>
  <c r="CL153" i="16" s="1"/>
  <c r="AJ153" i="16"/>
  <c r="CT153" i="16" s="1"/>
  <c r="AR153" i="16"/>
  <c r="AH154" i="16"/>
  <c r="CR154" i="16" s="1"/>
  <c r="AP154" i="16"/>
  <c r="AX154" i="16"/>
  <c r="AF155" i="16"/>
  <c r="CP155" i="16" s="1"/>
  <c r="AN155" i="16"/>
  <c r="CX155" i="16" s="1"/>
  <c r="AV155" i="16"/>
  <c r="AD156" i="16"/>
  <c r="CN156" i="16" s="1"/>
  <c r="AL156" i="16"/>
  <c r="CV156" i="16" s="1"/>
  <c r="AT156" i="16"/>
  <c r="BB156" i="16"/>
  <c r="BJ156" i="16"/>
  <c r="AP158" i="16"/>
  <c r="AX158" i="16"/>
  <c r="AN159" i="16"/>
  <c r="CX159" i="16" s="1"/>
  <c r="AV159" i="16"/>
  <c r="AT160" i="16"/>
  <c r="BB160" i="16"/>
  <c r="BJ160" i="16"/>
  <c r="AJ161" i="16"/>
  <c r="CT161" i="16" s="1"/>
  <c r="AR161" i="16"/>
  <c r="AZ161" i="16"/>
  <c r="BH161" i="16"/>
  <c r="AP162" i="16"/>
  <c r="AX162" i="16"/>
  <c r="BF162" i="16"/>
  <c r="AN163" i="16"/>
  <c r="CX163" i="16" s="1"/>
  <c r="AV163" i="16"/>
  <c r="BD163" i="16"/>
  <c r="BL163" i="16"/>
  <c r="AL164" i="16"/>
  <c r="CV164" i="16" s="1"/>
  <c r="AT164" i="16"/>
  <c r="BB164" i="16"/>
  <c r="AJ165" i="16"/>
  <c r="CT165" i="16" s="1"/>
  <c r="AR165" i="16"/>
  <c r="AZ165" i="16"/>
  <c r="BH165" i="16"/>
  <c r="AP166" i="16"/>
  <c r="AX166" i="16"/>
  <c r="BF166" i="16"/>
  <c r="AF167" i="16"/>
  <c r="CP167" i="16" s="1"/>
  <c r="AN167" i="16"/>
  <c r="CX167" i="16" s="1"/>
  <c r="AV167" i="16"/>
  <c r="AD168" i="16"/>
  <c r="CN168" i="16" s="1"/>
  <c r="AL168" i="16"/>
  <c r="CV168" i="16" s="1"/>
  <c r="AT168" i="16"/>
  <c r="AJ169" i="16"/>
  <c r="CT169" i="16" s="1"/>
  <c r="AR169" i="16"/>
  <c r="AH170" i="16"/>
  <c r="AP170" i="16"/>
  <c r="AX170" i="16"/>
  <c r="AN171" i="16"/>
  <c r="CX171" i="16" s="1"/>
  <c r="AV171" i="16"/>
  <c r="AD172" i="16"/>
  <c r="CN172" i="16" s="1"/>
  <c r="AL172" i="16"/>
  <c r="CV172" i="16" s="1"/>
  <c r="AT172" i="16"/>
  <c r="BB172" i="16"/>
  <c r="AB173" i="16"/>
  <c r="AJ173" i="16"/>
  <c r="CT173" i="16" s="1"/>
  <c r="AR173" i="16"/>
  <c r="AP174" i="16"/>
  <c r="AX174" i="16"/>
  <c r="AN175" i="16"/>
  <c r="CX175" i="16" s="1"/>
  <c r="AV175" i="16"/>
  <c r="BD175" i="16"/>
  <c r="AL176" i="16"/>
  <c r="CV176" i="16" s="1"/>
  <c r="AT176" i="16"/>
  <c r="BB176" i="16"/>
  <c r="AJ177" i="16"/>
  <c r="CT177" i="16" s="1"/>
  <c r="AR177" i="16"/>
  <c r="AZ177" i="16"/>
  <c r="BH177" i="16"/>
  <c r="AH178" i="16"/>
  <c r="CR178" i="16" s="1"/>
  <c r="AP178" i="16"/>
  <c r="AN179" i="16"/>
  <c r="CX179" i="16" s="1"/>
  <c r="AD180" i="16"/>
  <c r="CN180" i="16" s="1"/>
  <c r="AL180" i="16"/>
  <c r="CV180" i="16" s="1"/>
  <c r="AT180" i="16"/>
  <c r="AJ181" i="16"/>
  <c r="CT181" i="16" s="1"/>
  <c r="AR181" i="16"/>
  <c r="AH182" i="16"/>
  <c r="CR182" i="16" s="1"/>
  <c r="AP182" i="16"/>
  <c r="AX182" i="16"/>
  <c r="AN183" i="16"/>
  <c r="CX183" i="16" s="1"/>
  <c r="AD184" i="16"/>
  <c r="CN184" i="16" s="1"/>
  <c r="AL184" i="16"/>
  <c r="CV184" i="16" s="1"/>
  <c r="AT184" i="16"/>
  <c r="AB185" i="16"/>
  <c r="CL185" i="16" s="1"/>
  <c r="AJ185" i="16"/>
  <c r="CT185" i="16" s="1"/>
  <c r="AR185" i="16"/>
  <c r="AZ185" i="16"/>
  <c r="AL115" i="16"/>
  <c r="CV115" i="16" s="1"/>
  <c r="BH117" i="16"/>
  <c r="AE119" i="16"/>
  <c r="AS120" i="16"/>
  <c r="AE123" i="16"/>
  <c r="BK123" i="16"/>
  <c r="AX125" i="16"/>
  <c r="AP126" i="16"/>
  <c r="AH127" i="16"/>
  <c r="CR127" i="16" s="1"/>
  <c r="AX127" i="16"/>
  <c r="AH128" i="16"/>
  <c r="CR128" i="16" s="1"/>
  <c r="AX128" i="16"/>
  <c r="AF129" i="16"/>
  <c r="CP129" i="16" s="1"/>
  <c r="AV129" i="16"/>
  <c r="AL130" i="16"/>
  <c r="CV130" i="16" s="1"/>
  <c r="BB130" i="16"/>
  <c r="AR131" i="16"/>
  <c r="AH132" i="16"/>
  <c r="CR132" i="16" s="1"/>
  <c r="AX132" i="16"/>
  <c r="AN133" i="16"/>
  <c r="CX133" i="16" s="1"/>
  <c r="BD133" i="16"/>
  <c r="AL134" i="16"/>
  <c r="CV134" i="16" s="1"/>
  <c r="BB134" i="16"/>
  <c r="AI135" i="16"/>
  <c r="CS135" i="16" s="1"/>
  <c r="AY135" i="16"/>
  <c r="BO135" i="16"/>
  <c r="AH136" i="16"/>
  <c r="CR136" i="16" s="1"/>
  <c r="AX136" i="16"/>
  <c r="BN136" i="16"/>
  <c r="AG137" i="16"/>
  <c r="CQ137" i="16" s="1"/>
  <c r="AW137" i="16"/>
  <c r="BM137" i="16"/>
  <c r="AK138" i="16"/>
  <c r="CU138" i="16" s="1"/>
  <c r="BA138" i="16"/>
  <c r="AJ139" i="16"/>
  <c r="CT139" i="16" s="1"/>
  <c r="AH140" i="16"/>
  <c r="CR140" i="16" s="1"/>
  <c r="AX140" i="16"/>
  <c r="AJ141" i="16"/>
  <c r="CT141" i="16" s="1"/>
  <c r="AS141" i="16"/>
  <c r="BA141" i="16"/>
  <c r="BI141" i="16"/>
  <c r="AI142" i="16"/>
  <c r="CS142" i="16" s="1"/>
  <c r="AQ142" i="16"/>
  <c r="AY142" i="16"/>
  <c r="AO143" i="16"/>
  <c r="AW143" i="16"/>
  <c r="AM144" i="16"/>
  <c r="CW144" i="16" s="1"/>
  <c r="AU144" i="16"/>
  <c r="AK145" i="16"/>
  <c r="CU145" i="16" s="1"/>
  <c r="AS145" i="16"/>
  <c r="BA145" i="16"/>
  <c r="AQ146" i="16"/>
  <c r="AY146" i="16"/>
  <c r="BG146" i="16"/>
  <c r="AG147" i="16"/>
  <c r="CQ147" i="16" s="1"/>
  <c r="AO147" i="16"/>
  <c r="AW147" i="16"/>
  <c r="AE148" i="16"/>
  <c r="CO148" i="16" s="1"/>
  <c r="AM148" i="16"/>
  <c r="CW148" i="16" s="1"/>
  <c r="AU148" i="16"/>
  <c r="BC148" i="16"/>
  <c r="BK148" i="16"/>
  <c r="AC149" i="16"/>
  <c r="AK149" i="16"/>
  <c r="CU149" i="16" s="1"/>
  <c r="AS149" i="16"/>
  <c r="BA149" i="16"/>
  <c r="BI149" i="16"/>
  <c r="AI150" i="16"/>
  <c r="CS150" i="16" s="1"/>
  <c r="AG151" i="16"/>
  <c r="CQ151" i="16" s="1"/>
  <c r="AO151" i="16"/>
  <c r="AW151" i="16"/>
  <c r="BE151" i="16"/>
  <c r="AE152" i="16"/>
  <c r="CO152" i="16" s="1"/>
  <c r="AM152" i="16"/>
  <c r="CW152" i="16" s="1"/>
  <c r="AU152" i="16"/>
  <c r="AC153" i="16"/>
  <c r="AK153" i="16"/>
  <c r="CU153" i="16" s="1"/>
  <c r="AS153" i="16"/>
  <c r="AI154" i="16"/>
  <c r="CS154" i="16" s="1"/>
  <c r="AQ154" i="16"/>
  <c r="AY154" i="16"/>
  <c r="AG155" i="16"/>
  <c r="CQ155" i="16" s="1"/>
  <c r="AO155" i="16"/>
  <c r="AW155" i="16"/>
  <c r="AE156" i="16"/>
  <c r="CO156" i="16" s="1"/>
  <c r="AM156" i="16"/>
  <c r="CW156" i="16" s="1"/>
  <c r="AU156" i="16"/>
  <c r="BC156" i="16"/>
  <c r="BK156" i="16"/>
  <c r="AI158" i="16"/>
  <c r="AQ158" i="16"/>
  <c r="AY158" i="16"/>
  <c r="AO159" i="16"/>
  <c r="AW159" i="16"/>
  <c r="AM160" i="16"/>
  <c r="AU160" i="16"/>
  <c r="BC160" i="16"/>
  <c r="AK161" i="16"/>
  <c r="CU161" i="16" s="1"/>
  <c r="AS161" i="16"/>
  <c r="BA161" i="16"/>
  <c r="BI161" i="16"/>
  <c r="AI162" i="16"/>
  <c r="AQ162" i="16"/>
  <c r="AY162" i="16"/>
  <c r="BG162" i="16"/>
  <c r="AO163" i="16"/>
  <c r="AW163" i="16"/>
  <c r="BE163" i="16"/>
  <c r="AM164" i="16"/>
  <c r="CW164" i="16" s="1"/>
  <c r="AU164" i="16"/>
  <c r="BC164" i="16"/>
  <c r="AK165" i="16"/>
  <c r="AS165" i="16"/>
  <c r="BA165" i="16"/>
  <c r="AQ166" i="16"/>
  <c r="AY166" i="16"/>
  <c r="BG166" i="16"/>
  <c r="AG167" i="16"/>
  <c r="CQ167" i="16" s="1"/>
  <c r="AO167" i="16"/>
  <c r="AW167" i="16"/>
  <c r="AE168" i="16"/>
  <c r="AM168" i="16"/>
  <c r="CW168" i="16" s="1"/>
  <c r="AU168" i="16"/>
  <c r="AK169" i="16"/>
  <c r="CU169" i="16" s="1"/>
  <c r="AS169" i="16"/>
  <c r="AI170" i="16"/>
  <c r="CS170" i="16" s="1"/>
  <c r="AQ170" i="16"/>
  <c r="AY170" i="16"/>
  <c r="AO171" i="16"/>
  <c r="AW171" i="16"/>
  <c r="AE172" i="16"/>
  <c r="CO172" i="16" s="1"/>
  <c r="AM172" i="16"/>
  <c r="CW172" i="16" s="1"/>
  <c r="AU172" i="16"/>
  <c r="BC172" i="16"/>
  <c r="AC173" i="16"/>
  <c r="CM173" i="16" s="1"/>
  <c r="AK173" i="16"/>
  <c r="CU173" i="16" s="1"/>
  <c r="AS173" i="16"/>
  <c r="AQ174" i="16"/>
  <c r="AY174" i="16"/>
  <c r="AO175" i="16"/>
  <c r="AW175" i="16"/>
  <c r="BE175" i="16"/>
  <c r="AM176" i="16"/>
  <c r="CW176" i="16" s="1"/>
  <c r="AU176" i="16"/>
  <c r="BC176" i="16"/>
  <c r="AK177" i="16"/>
  <c r="CU177" i="16" s="1"/>
  <c r="AS177" i="16"/>
  <c r="BA177" i="16"/>
  <c r="BI177" i="16"/>
  <c r="AI178" i="16"/>
  <c r="CS178" i="16" s="1"/>
  <c r="AQ178" i="16"/>
  <c r="AO179" i="16"/>
  <c r="AE180" i="16"/>
  <c r="CO180" i="16" s="1"/>
  <c r="AM180" i="16"/>
  <c r="CW180" i="16" s="1"/>
  <c r="AU180" i="16"/>
  <c r="AC181" i="16"/>
  <c r="AK181" i="16"/>
  <c r="CU181" i="16" s="1"/>
  <c r="AS181" i="16"/>
  <c r="AI182" i="16"/>
  <c r="CS182" i="16" s="1"/>
  <c r="AQ182" i="16"/>
  <c r="AY182" i="16"/>
  <c r="AG183" i="16"/>
  <c r="AO183" i="16"/>
  <c r="AE184" i="16"/>
  <c r="CO184" i="16" s="1"/>
  <c r="AM184" i="16"/>
  <c r="CW184" i="16" s="1"/>
  <c r="AU184" i="16"/>
  <c r="AC185" i="16"/>
  <c r="CM185" i="16" s="1"/>
  <c r="AK185" i="16"/>
  <c r="CU185" i="16" s="1"/>
  <c r="AS185" i="16"/>
  <c r="AM115" i="16"/>
  <c r="CW115" i="16" s="1"/>
  <c r="AM116" i="16"/>
  <c r="CW116" i="16" s="1"/>
  <c r="AF119" i="16"/>
  <c r="CP119" i="16" s="1"/>
  <c r="AT120" i="16"/>
  <c r="AF123" i="16"/>
  <c r="CP123" i="16" s="1"/>
  <c r="AF125" i="16"/>
  <c r="CP125" i="16" s="1"/>
  <c r="AY125" i="16"/>
  <c r="AQ126" i="16"/>
  <c r="AI127" i="16"/>
  <c r="CS127" i="16" s="1"/>
  <c r="AY127" i="16"/>
  <c r="AI128" i="16"/>
  <c r="CS128" i="16" s="1"/>
  <c r="AY128" i="16"/>
  <c r="AG129" i="16"/>
  <c r="CQ129" i="16" s="1"/>
  <c r="AW129" i="16"/>
  <c r="AM130" i="16"/>
  <c r="CW130" i="16" s="1"/>
  <c r="BC130" i="16"/>
  <c r="AS131" i="16"/>
  <c r="AI132" i="16"/>
  <c r="CS132" i="16" s="1"/>
  <c r="AY132" i="16"/>
  <c r="AO133" i="16"/>
  <c r="BE133" i="16"/>
  <c r="AM134" i="16"/>
  <c r="CW134" i="16" s="1"/>
  <c r="BC134" i="16"/>
  <c r="AJ135" i="16"/>
  <c r="CT135" i="16" s="1"/>
  <c r="AZ135" i="16"/>
  <c r="BP135" i="16"/>
  <c r="AI136" i="16"/>
  <c r="CS136" i="16" s="1"/>
  <c r="AY136" i="16"/>
  <c r="BO136" i="16"/>
  <c r="AL137" i="16"/>
  <c r="CV137" i="16" s="1"/>
  <c r="BB137" i="16"/>
  <c r="AL138" i="16"/>
  <c r="CV138" i="16" s="1"/>
  <c r="AK139" i="16"/>
  <c r="CU139" i="16" s="1"/>
  <c r="AI140" i="16"/>
  <c r="CS140" i="16" s="1"/>
  <c r="AY140" i="16"/>
  <c r="AK141" i="16"/>
  <c r="CU141" i="16" s="1"/>
  <c r="AT141" i="16"/>
  <c r="BB141" i="16"/>
  <c r="BJ141" i="16"/>
  <c r="AJ142" i="16"/>
  <c r="CT142" i="16" s="1"/>
  <c r="AR142" i="16"/>
  <c r="AZ142" i="16"/>
  <c r="AP143" i="16"/>
  <c r="AX143" i="16"/>
  <c r="AN144" i="16"/>
  <c r="CX144" i="16" s="1"/>
  <c r="AV144" i="16"/>
  <c r="AL145" i="16"/>
  <c r="CV145" i="16" s="1"/>
  <c r="AT145" i="16"/>
  <c r="BB145" i="16"/>
  <c r="AJ146" i="16"/>
  <c r="AR146" i="16"/>
  <c r="AZ146" i="16"/>
  <c r="BH146" i="16"/>
  <c r="AH147" i="16"/>
  <c r="CR147" i="16" s="1"/>
  <c r="AP147" i="16"/>
  <c r="AX147" i="16"/>
  <c r="AF148" i="16"/>
  <c r="CP148" i="16" s="1"/>
  <c r="AN148" i="16"/>
  <c r="CX148" i="16" s="1"/>
  <c r="AV148" i="16"/>
  <c r="BD148" i="16"/>
  <c r="BL148" i="16"/>
  <c r="AD149" i="16"/>
  <c r="CN149" i="16" s="1"/>
  <c r="AL149" i="16"/>
  <c r="CV149" i="16" s="1"/>
  <c r="AT149" i="16"/>
  <c r="BB149" i="16"/>
  <c r="BJ149" i="16"/>
  <c r="AB150" i="16"/>
  <c r="CL150" i="16" s="1"/>
  <c r="AJ150" i="16"/>
  <c r="CT150" i="16" s="1"/>
  <c r="AH151" i="16"/>
  <c r="CR151" i="16" s="1"/>
  <c r="AP151" i="16"/>
  <c r="AX151" i="16"/>
  <c r="BF151" i="16"/>
  <c r="AF152" i="16"/>
  <c r="CP152" i="16" s="1"/>
  <c r="AN152" i="16"/>
  <c r="CX152" i="16" s="1"/>
  <c r="AV152" i="16"/>
  <c r="AD153" i="16"/>
  <c r="CN153" i="16" s="1"/>
  <c r="AL153" i="16"/>
  <c r="CV153" i="16" s="1"/>
  <c r="AT153" i="16"/>
  <c r="AB154" i="16"/>
  <c r="CL154" i="16" s="1"/>
  <c r="AJ154" i="16"/>
  <c r="CT154" i="16" s="1"/>
  <c r="AR154" i="16"/>
  <c r="AZ154" i="16"/>
  <c r="AH155" i="16"/>
  <c r="CR155" i="16" s="1"/>
  <c r="AP155" i="16"/>
  <c r="AX155" i="16"/>
  <c r="AF156" i="16"/>
  <c r="CP156" i="16" s="1"/>
  <c r="AN156" i="16"/>
  <c r="CX156" i="16" s="1"/>
  <c r="AV156" i="16"/>
  <c r="BD156" i="16"/>
  <c r="BL156" i="16"/>
  <c r="AJ158" i="16"/>
  <c r="CT158" i="16" s="1"/>
  <c r="AR158" i="16"/>
  <c r="AP159" i="16"/>
  <c r="AN160" i="16"/>
  <c r="CX160" i="16" s="1"/>
  <c r="AV160" i="16"/>
  <c r="BD160" i="16"/>
  <c r="AL161" i="16"/>
  <c r="CV161" i="16" s="1"/>
  <c r="AT161" i="16"/>
  <c r="BB161" i="16"/>
  <c r="BJ161" i="16"/>
  <c r="AJ162" i="16"/>
  <c r="CT162" i="16" s="1"/>
  <c r="AR162" i="16"/>
  <c r="AZ162" i="16"/>
  <c r="BH162" i="16"/>
  <c r="AP163" i="16"/>
  <c r="AX163" i="16"/>
  <c r="BF163" i="16"/>
  <c r="AN164" i="16"/>
  <c r="CX164" i="16" s="1"/>
  <c r="AV164" i="16"/>
  <c r="BD164" i="16"/>
  <c r="AL165" i="16"/>
  <c r="CV165" i="16" s="1"/>
  <c r="AT165" i="16"/>
  <c r="BB165" i="16"/>
  <c r="AJ166" i="16"/>
  <c r="CT166" i="16" s="1"/>
  <c r="AR166" i="16"/>
  <c r="AZ166" i="16"/>
  <c r="BH166" i="16"/>
  <c r="AH167" i="16"/>
  <c r="CR167" i="16" s="1"/>
  <c r="AP167" i="16"/>
  <c r="AX167" i="16"/>
  <c r="AF168" i="16"/>
  <c r="CP168" i="16" s="1"/>
  <c r="AN168" i="16"/>
  <c r="CX168" i="16" s="1"/>
  <c r="AV168" i="16"/>
  <c r="AL169" i="16"/>
  <c r="CV169" i="16" s="1"/>
  <c r="AT169" i="16"/>
  <c r="AJ170" i="16"/>
  <c r="CT170" i="16" s="1"/>
  <c r="AR170" i="16"/>
  <c r="AZ170" i="16"/>
  <c r="AH171" i="16"/>
  <c r="AP171" i="16"/>
  <c r="AX171" i="16"/>
  <c r="AF172" i="16"/>
  <c r="CP172" i="16" s="1"/>
  <c r="AN172" i="16"/>
  <c r="CX172" i="16" s="1"/>
  <c r="AV172" i="16"/>
  <c r="BD172" i="16"/>
  <c r="AD173" i="16"/>
  <c r="CN173" i="16" s="1"/>
  <c r="AL173" i="16"/>
  <c r="CV173" i="16" s="1"/>
  <c r="AT173" i="16"/>
  <c r="AR174" i="16"/>
  <c r="AZ174" i="16"/>
  <c r="AP175" i="16"/>
  <c r="AX175" i="16"/>
  <c r="BF175" i="16"/>
  <c r="AN176" i="16"/>
  <c r="CX176" i="16" s="1"/>
  <c r="AV176" i="16"/>
  <c r="BD176" i="16"/>
  <c r="AL177" i="16"/>
  <c r="CV177" i="16" s="1"/>
  <c r="AT177" i="16"/>
  <c r="BB177" i="16"/>
  <c r="BJ177" i="16"/>
  <c r="AJ178" i="16"/>
  <c r="CT178" i="16" s="1"/>
  <c r="AR178" i="16"/>
  <c r="AP179" i="16"/>
  <c r="AF180" i="16"/>
  <c r="CP180" i="16" s="1"/>
  <c r="AN180" i="16"/>
  <c r="CX180" i="16" s="1"/>
  <c r="AV180" i="16"/>
  <c r="AD181" i="16"/>
  <c r="CN181" i="16" s="1"/>
  <c r="AL181" i="16"/>
  <c r="CV181" i="16" s="1"/>
  <c r="AT181" i="16"/>
  <c r="AJ182" i="16"/>
  <c r="CT182" i="16" s="1"/>
  <c r="AR182" i="16"/>
  <c r="AZ182" i="16"/>
  <c r="AH183" i="16"/>
  <c r="CR183" i="16" s="1"/>
  <c r="AP183" i="16"/>
  <c r="AF184" i="16"/>
  <c r="CP184" i="16" s="1"/>
  <c r="AN184" i="16"/>
  <c r="CX184" i="16" s="1"/>
  <c r="AV184" i="16"/>
  <c r="AD185" i="16"/>
  <c r="CN185" i="16" s="1"/>
  <c r="AL185" i="16"/>
  <c r="CV185" i="16" s="1"/>
  <c r="AT185" i="16"/>
  <c r="BB115" i="16"/>
  <c r="AR116" i="16"/>
  <c r="AG119" i="16"/>
  <c r="CQ119" i="16" s="1"/>
  <c r="AG122" i="16"/>
  <c r="CQ122" i="16" s="1"/>
  <c r="AG123" i="16"/>
  <c r="CQ123" i="16" s="1"/>
  <c r="AE124" i="16"/>
  <c r="AH125" i="16"/>
  <c r="CR125" i="16" s="1"/>
  <c r="AZ125" i="16"/>
  <c r="AR126" i="16"/>
  <c r="AJ127" i="16"/>
  <c r="CT127" i="16" s="1"/>
  <c r="AZ127" i="16"/>
  <c r="AN128" i="16"/>
  <c r="CX128" i="16" s="1"/>
  <c r="BD128" i="16"/>
  <c r="AL129" i="16"/>
  <c r="CV129" i="16" s="1"/>
  <c r="BB129" i="16"/>
  <c r="AR130" i="16"/>
  <c r="AH131" i="16"/>
  <c r="CR131" i="16" s="1"/>
  <c r="AX131" i="16"/>
  <c r="AN132" i="16"/>
  <c r="CX132" i="16" s="1"/>
  <c r="BD132" i="16"/>
  <c r="AT133" i="16"/>
  <c r="BJ133" i="16"/>
  <c r="AR134" i="16"/>
  <c r="BH134" i="16"/>
  <c r="AK135" i="16"/>
  <c r="CU135" i="16" s="1"/>
  <c r="BA135" i="16"/>
  <c r="AN136" i="16"/>
  <c r="CX136" i="16" s="1"/>
  <c r="BD136" i="16"/>
  <c r="AM137" i="16"/>
  <c r="CW137" i="16" s="1"/>
  <c r="BC137" i="16"/>
  <c r="AM138" i="16"/>
  <c r="CW138" i="16" s="1"/>
  <c r="AP139" i="16"/>
  <c r="AN140" i="16"/>
  <c r="CX140" i="16" s="1"/>
  <c r="AZ140" i="16"/>
  <c r="AL141" i="16"/>
  <c r="CV141" i="16" s="1"/>
  <c r="BC115" i="16"/>
  <c r="AS116" i="16"/>
  <c r="AP117" i="16"/>
  <c r="AH122" i="16"/>
  <c r="CR122" i="16" s="1"/>
  <c r="AT123" i="16"/>
  <c r="AR124" i="16"/>
  <c r="AI125" i="16"/>
  <c r="CS125" i="16" s="1"/>
  <c r="BA125" i="16"/>
  <c r="AS126" i="16"/>
  <c r="AK127" i="16"/>
  <c r="CU127" i="16" s="1"/>
  <c r="BA127" i="16"/>
  <c r="AO128" i="16"/>
  <c r="BE128" i="16"/>
  <c r="AM129" i="16"/>
  <c r="CW129" i="16" s="1"/>
  <c r="BC129" i="16"/>
  <c r="AS130" i="16"/>
  <c r="AI131" i="16"/>
  <c r="CS131" i="16" s="1"/>
  <c r="AY131" i="16"/>
  <c r="AO132" i="16"/>
  <c r="AE133" i="16"/>
  <c r="AU133" i="16"/>
  <c r="BK133" i="16"/>
  <c r="AS134" i="16"/>
  <c r="BI134" i="16"/>
  <c r="AP135" i="16"/>
  <c r="BF135" i="16"/>
  <c r="AO136" i="16"/>
  <c r="BE136" i="16"/>
  <c r="AN137" i="16"/>
  <c r="CX137" i="16" s="1"/>
  <c r="BD137" i="16"/>
  <c r="AR138" i="16"/>
  <c r="AQ139" i="16"/>
  <c r="AO140" i="16"/>
  <c r="AM141" i="16"/>
  <c r="CW141" i="16" s="1"/>
  <c r="AV141" i="16"/>
  <c r="BD141" i="16"/>
  <c r="BL141" i="16"/>
  <c r="AD142" i="16"/>
  <c r="AL142" i="16"/>
  <c r="CV142" i="16" s="1"/>
  <c r="AT142" i="16"/>
  <c r="BB142" i="16"/>
  <c r="AJ143" i="16"/>
  <c r="AR143" i="16"/>
  <c r="AZ143" i="16"/>
  <c r="AP144" i="16"/>
  <c r="AX144" i="16"/>
  <c r="AN145" i="16"/>
  <c r="CX145" i="16" s="1"/>
  <c r="AV145" i="16"/>
  <c r="BD145" i="16"/>
  <c r="AL146" i="16"/>
  <c r="CV146" i="16" s="1"/>
  <c r="AT146" i="16"/>
  <c r="BB146" i="16"/>
  <c r="AB147" i="16"/>
  <c r="CL147" i="16" s="1"/>
  <c r="AJ147" i="16"/>
  <c r="CT147" i="16" s="1"/>
  <c r="AR147" i="16"/>
  <c r="AH148" i="16"/>
  <c r="CR148" i="16" s="1"/>
  <c r="AP148" i="16"/>
  <c r="AX148" i="16"/>
  <c r="BF148" i="16"/>
  <c r="BD115" i="16"/>
  <c r="AQ117" i="16"/>
  <c r="AK121" i="16"/>
  <c r="CU121" i="16" s="1"/>
  <c r="AI122" i="16"/>
  <c r="CS122" i="16" s="1"/>
  <c r="AU123" i="16"/>
  <c r="AS124" i="16"/>
  <c r="AN125" i="16"/>
  <c r="CX125" i="16" s="1"/>
  <c r="AG126" i="16"/>
  <c r="CQ126" i="16" s="1"/>
  <c r="AY126" i="16"/>
  <c r="AP127" i="16"/>
  <c r="AP128" i="16"/>
  <c r="BF128" i="16"/>
  <c r="AN129" i="16"/>
  <c r="CX129" i="16" s="1"/>
  <c r="BD129" i="16"/>
  <c r="AT130" i="16"/>
  <c r="AJ131" i="16"/>
  <c r="CT131" i="16" s="1"/>
  <c r="AZ131" i="16"/>
  <c r="AP132" i="16"/>
  <c r="AF133" i="16"/>
  <c r="CP133" i="16" s="1"/>
  <c r="AV133" i="16"/>
  <c r="AT134" i="16"/>
  <c r="BJ134" i="16"/>
  <c r="AQ135" i="16"/>
  <c r="BG135" i="16"/>
  <c r="AP136" i="16"/>
  <c r="AP114" i="16"/>
  <c r="AR117" i="16"/>
  <c r="AO118" i="16"/>
  <c r="AP121" i="16"/>
  <c r="AN122" i="16"/>
  <c r="CX122" i="16" s="1"/>
  <c r="AV123" i="16"/>
  <c r="AT124" i="16"/>
  <c r="AP125" i="16"/>
  <c r="AH126" i="16"/>
  <c r="CR126" i="16" s="1"/>
  <c r="AZ126" i="16"/>
  <c r="AQ127" i="16"/>
  <c r="AQ128" i="16"/>
  <c r="BG128" i="16"/>
  <c r="AO129" i="16"/>
  <c r="AE130" i="16"/>
  <c r="AU130" i="16"/>
  <c r="AK131" i="16"/>
  <c r="CU131" i="16" s="1"/>
  <c r="BA131" i="16"/>
  <c r="AQ132" i="16"/>
  <c r="AG133" i="16"/>
  <c r="CQ133" i="16" s="1"/>
  <c r="AW133" i="16"/>
  <c r="AE134" i="16"/>
  <c r="AU134" i="16"/>
  <c r="BK134" i="16"/>
  <c r="AR135" i="16"/>
  <c r="BH135" i="16"/>
  <c r="AQ136" i="16"/>
  <c r="BG136" i="16"/>
  <c r="AT137" i="16"/>
  <c r="BJ137" i="16"/>
  <c r="AT138" i="16"/>
  <c r="AS139" i="16"/>
  <c r="AQ140" i="16"/>
  <c r="AF141" i="16"/>
  <c r="AO141" i="16"/>
  <c r="AX141" i="16"/>
  <c r="BF141" i="16"/>
  <c r="AF142" i="16"/>
  <c r="CP142" i="16" s="1"/>
  <c r="AN142" i="16"/>
  <c r="CX142" i="16" s="1"/>
  <c r="AV142" i="16"/>
  <c r="AL143" i="16"/>
  <c r="CV143" i="16" s="1"/>
  <c r="AT143" i="16"/>
  <c r="AJ144" i="16"/>
  <c r="AR144" i="16"/>
  <c r="AZ144" i="16"/>
  <c r="AP145" i="16"/>
  <c r="AX145" i="16"/>
  <c r="BF145" i="16"/>
  <c r="AN146" i="16"/>
  <c r="CX146" i="16" s="1"/>
  <c r="AV146" i="16"/>
  <c r="BD146" i="16"/>
  <c r="AD147" i="16"/>
  <c r="CN147" i="16" s="1"/>
  <c r="AL147" i="16"/>
  <c r="CV147" i="16" s="1"/>
  <c r="AT147" i="16"/>
  <c r="AB148" i="16"/>
  <c r="CL148" i="16" s="1"/>
  <c r="BF114" i="16"/>
  <c r="BF117" i="16"/>
  <c r="AP118" i="16"/>
  <c r="AE120" i="16"/>
  <c r="AQ121" i="16"/>
  <c r="AW123" i="16"/>
  <c r="AU124" i="16"/>
  <c r="AQ125" i="16"/>
  <c r="AI126" i="16"/>
  <c r="CS126" i="16" s="1"/>
  <c r="BA126" i="16"/>
  <c r="AR127" i="16"/>
  <c r="AF128" i="16"/>
  <c r="CP128" i="16" s="1"/>
  <c r="AV128" i="16"/>
  <c r="AT129" i="16"/>
  <c r="AJ130" i="16"/>
  <c r="CT130" i="16" s="1"/>
  <c r="AZ130" i="16"/>
  <c r="AP131" i="16"/>
  <c r="AF132" i="16"/>
  <c r="CP132" i="16" s="1"/>
  <c r="AV132" i="16"/>
  <c r="AL133" i="16"/>
  <c r="CV133" i="16" s="1"/>
  <c r="BB133" i="16"/>
  <c r="AJ134" i="16"/>
  <c r="CT134" i="16" s="1"/>
  <c r="AZ134" i="16"/>
  <c r="AS135" i="16"/>
  <c r="BI135" i="16"/>
  <c r="AF136" i="16"/>
  <c r="CP136" i="16" s="1"/>
  <c r="AV136" i="16"/>
  <c r="BL136" i="16"/>
  <c r="AE137" i="16"/>
  <c r="AU137" i="16"/>
  <c r="BK137" i="16"/>
  <c r="AU138" i="16"/>
  <c r="AH139" i="16"/>
  <c r="CR139" i="16" s="1"/>
  <c r="AX139" i="16"/>
  <c r="AF140" i="16"/>
  <c r="AV140" i="16"/>
  <c r="AG141" i="16"/>
  <c r="CQ141" i="16" s="1"/>
  <c r="AP141" i="16"/>
  <c r="AY141" i="16"/>
  <c r="BG141" i="16"/>
  <c r="AG142" i="16"/>
  <c r="CQ142" i="16" s="1"/>
  <c r="AO142" i="16"/>
  <c r="AW142" i="16"/>
  <c r="AM143" i="16"/>
  <c r="CW143" i="16" s="1"/>
  <c r="AU143" i="16"/>
  <c r="AK144" i="16"/>
  <c r="CU144" i="16" s="1"/>
  <c r="AS144" i="16"/>
  <c r="AQ145" i="16"/>
  <c r="AY145" i="16"/>
  <c r="BG145" i="16"/>
  <c r="AO146" i="16"/>
  <c r="AW146" i="16"/>
  <c r="BE146" i="16"/>
  <c r="AE147" i="16"/>
  <c r="CO147" i="16" s="1"/>
  <c r="AM147" i="16"/>
  <c r="CW147" i="16" s="1"/>
  <c r="AU147" i="16"/>
  <c r="AC148" i="16"/>
  <c r="AK148" i="16"/>
  <c r="CU148" i="16" s="1"/>
  <c r="AS148" i="16"/>
  <c r="BA148" i="16"/>
  <c r="BI148" i="16"/>
  <c r="AI149" i="16"/>
  <c r="CS149" i="16" s="1"/>
  <c r="AQ149" i="16"/>
  <c r="AY149" i="16"/>
  <c r="BG149" i="16"/>
  <c r="BO149" i="16"/>
  <c r="AG150" i="16"/>
  <c r="CQ150" i="16" s="1"/>
  <c r="AO150" i="16"/>
  <c r="AE151" i="16"/>
  <c r="CO151" i="16" s="1"/>
  <c r="AM151" i="16"/>
  <c r="CW151" i="16" s="1"/>
  <c r="AU151" i="16"/>
  <c r="BC151" i="16"/>
  <c r="AC152" i="16"/>
  <c r="AK152" i="16"/>
  <c r="CU152" i="16" s="1"/>
  <c r="AS152" i="16"/>
  <c r="AI153" i="16"/>
  <c r="CS153" i="16" s="1"/>
  <c r="AQ153" i="16"/>
  <c r="AY153" i="16"/>
  <c r="AG154" i="16"/>
  <c r="CQ154" i="16" s="1"/>
  <c r="AO154" i="16"/>
  <c r="AW154" i="16"/>
  <c r="AE155" i="16"/>
  <c r="CO155" i="16" s="1"/>
  <c r="AM155" i="16"/>
  <c r="CW155" i="16" s="1"/>
  <c r="AU155" i="16"/>
  <c r="AC156" i="16"/>
  <c r="AK156" i="16"/>
  <c r="CU156" i="16" s="1"/>
  <c r="AS156" i="16"/>
  <c r="BA156" i="16"/>
  <c r="BI156" i="16"/>
  <c r="AO158" i="16"/>
  <c r="AW158" i="16"/>
  <c r="AM159" i="16"/>
  <c r="CW159" i="16" s="1"/>
  <c r="AU159" i="16"/>
  <c r="AS160" i="16"/>
  <c r="BA160" i="16"/>
  <c r="BI160" i="16"/>
  <c r="AI161" i="16"/>
  <c r="AQ161" i="16"/>
  <c r="AY161" i="16"/>
  <c r="BG161" i="16"/>
  <c r="BO161" i="16"/>
  <c r="AO162" i="16"/>
  <c r="AW162" i="16"/>
  <c r="BE162" i="16"/>
  <c r="AM163" i="16"/>
  <c r="AU163" i="16"/>
  <c r="BC163" i="16"/>
  <c r="BK163" i="16"/>
  <c r="AK164" i="16"/>
  <c r="AS164" i="16"/>
  <c r="BA164" i="16"/>
  <c r="AQ165" i="16"/>
  <c r="AY165" i="16"/>
  <c r="BG165" i="16"/>
  <c r="AO166" i="16"/>
  <c r="AW166" i="16"/>
  <c r="BE166" i="16"/>
  <c r="AE167" i="16"/>
  <c r="CO167" i="16" s="1"/>
  <c r="AM167" i="16"/>
  <c r="CW167" i="16" s="1"/>
  <c r="AU167" i="16"/>
  <c r="AK168" i="16"/>
  <c r="CU168" i="16" s="1"/>
  <c r="AS168" i="16"/>
  <c r="AI169" i="16"/>
  <c r="CS169" i="16" s="1"/>
  <c r="AQ169" i="16"/>
  <c r="AY169" i="16"/>
  <c r="AO170" i="16"/>
  <c r="AW170" i="16"/>
  <c r="AM171" i="16"/>
  <c r="CW171" i="16" s="1"/>
  <c r="AU171" i="16"/>
  <c r="AC172" i="16"/>
  <c r="AK172" i="16"/>
  <c r="CU172" i="16" s="1"/>
  <c r="AS172" i="16"/>
  <c r="BA172" i="16"/>
  <c r="AI173" i="16"/>
  <c r="CS173" i="16" s="1"/>
  <c r="AQ173" i="16"/>
  <c r="AO174" i="16"/>
  <c r="AW174" i="16"/>
  <c r="BE174" i="16"/>
  <c r="AM175" i="16"/>
  <c r="CW175" i="16" s="1"/>
  <c r="AU175" i="16"/>
  <c r="BC175" i="16"/>
  <c r="AK176" i="16"/>
  <c r="CU176" i="16" s="1"/>
  <c r="AS176" i="16"/>
  <c r="BA176" i="16"/>
  <c r="AI177" i="16"/>
  <c r="CS177" i="16" s="1"/>
  <c r="AQ177" i="16"/>
  <c r="AY177" i="16"/>
  <c r="BG177" i="16"/>
  <c r="AG178" i="16"/>
  <c r="CQ178" i="16" s="1"/>
  <c r="AO178" i="16"/>
  <c r="AM179" i="16"/>
  <c r="CW179" i="16" s="1"/>
  <c r="AC180" i="16"/>
  <c r="AK180" i="16"/>
  <c r="CU180" i="16" s="1"/>
  <c r="AS180" i="16"/>
  <c r="AI181" i="16"/>
  <c r="CS181" i="16" s="1"/>
  <c r="AQ181" i="16"/>
  <c r="AG182" i="16"/>
  <c r="CQ182" i="16" s="1"/>
  <c r="AO182" i="16"/>
  <c r="AW182" i="16"/>
  <c r="AM183" i="16"/>
  <c r="CW183" i="16" s="1"/>
  <c r="AC184" i="16"/>
  <c r="CM184" i="16" s="1"/>
  <c r="AK184" i="16"/>
  <c r="CU184" i="16" s="1"/>
  <c r="AS184" i="16"/>
  <c r="AA185" i="16"/>
  <c r="AI185" i="16"/>
  <c r="CS185" i="16" s="1"/>
  <c r="AQ185" i="16"/>
  <c r="AY185" i="16"/>
  <c r="AO137" i="16"/>
  <c r="AS138" i="16"/>
  <c r="AM142" i="16"/>
  <c r="CW142" i="16" s="1"/>
  <c r="AO144" i="16"/>
  <c r="AW145" i="16"/>
  <c r="BA146" i="16"/>
  <c r="AY147" i="16"/>
  <c r="AR148" i="16"/>
  <c r="BN148" i="16"/>
  <c r="AM149" i="16"/>
  <c r="CW149" i="16" s="1"/>
  <c r="BC149" i="16"/>
  <c r="AN150" i="16"/>
  <c r="CX150" i="16" s="1"/>
  <c r="AJ151" i="16"/>
  <c r="CT151" i="16" s="1"/>
  <c r="AZ151" i="16"/>
  <c r="AH152" i="16"/>
  <c r="CR152" i="16" s="1"/>
  <c r="AX152" i="16"/>
  <c r="AM153" i="16"/>
  <c r="CW153" i="16" s="1"/>
  <c r="AM154" i="16"/>
  <c r="CW154" i="16" s="1"/>
  <c r="AC155" i="16"/>
  <c r="AS155" i="16"/>
  <c r="AI156" i="16"/>
  <c r="CS156" i="16" s="1"/>
  <c r="AY156" i="16"/>
  <c r="BO156" i="16"/>
  <c r="AS158" i="16"/>
  <c r="AL159" i="16"/>
  <c r="CV159" i="16" s="1"/>
  <c r="AW160" i="16"/>
  <c r="AO161" i="16"/>
  <c r="BE161" i="16"/>
  <c r="AL162" i="16"/>
  <c r="CV162" i="16" s="1"/>
  <c r="BB162" i="16"/>
  <c r="AR163" i="16"/>
  <c r="BH163" i="16"/>
  <c r="AJ164" i="16"/>
  <c r="CT164" i="16" s="1"/>
  <c r="AZ164" i="16"/>
  <c r="AO165" i="16"/>
  <c r="BE165" i="16"/>
  <c r="AT166" i="16"/>
  <c r="AR167" i="16"/>
  <c r="AG168" i="16"/>
  <c r="CQ168" i="16" s="1"/>
  <c r="AW168" i="16"/>
  <c r="AE169" i="16"/>
  <c r="AU169" i="16"/>
  <c r="AS170" i="16"/>
  <c r="AR171" i="16"/>
  <c r="AH172" i="16"/>
  <c r="CR172" i="16" s="1"/>
  <c r="AX172" i="16"/>
  <c r="AE173" i="16"/>
  <c r="CO173" i="16" s="1"/>
  <c r="AU173" i="16"/>
  <c r="AK174" i="16"/>
  <c r="BA174" i="16"/>
  <c r="AZ175" i="16"/>
  <c r="AP176" i="16"/>
  <c r="BF176" i="16"/>
  <c r="AV177" i="16"/>
  <c r="BL177" i="16"/>
  <c r="AD178" i="16"/>
  <c r="CN178" i="16" s="1"/>
  <c r="AT178" i="16"/>
  <c r="AJ179" i="16"/>
  <c r="AH180" i="16"/>
  <c r="CR180" i="16" s="1"/>
  <c r="AH181" i="16"/>
  <c r="CR181" i="16" s="1"/>
  <c r="AF182" i="16"/>
  <c r="CP182" i="16" s="1"/>
  <c r="AV182" i="16"/>
  <c r="AJ183" i="16"/>
  <c r="CT183" i="16" s="1"/>
  <c r="AH184" i="16"/>
  <c r="CR184" i="16" s="1"/>
  <c r="AX184" i="16"/>
  <c r="AN185" i="16"/>
  <c r="CX185" i="16" s="1"/>
  <c r="AB186" i="16"/>
  <c r="CL186" i="16" s="1"/>
  <c r="AJ186" i="16"/>
  <c r="CT186" i="16" s="1"/>
  <c r="AR186" i="16"/>
  <c r="AH187" i="16"/>
  <c r="CR187" i="16" s="1"/>
  <c r="AP187" i="16"/>
  <c r="AF188" i="16"/>
  <c r="CP188" i="16" s="1"/>
  <c r="AN188" i="16"/>
  <c r="CX188" i="16" s="1"/>
  <c r="AV188" i="16"/>
  <c r="AL189" i="16"/>
  <c r="CV189" i="16" s="1"/>
  <c r="AT189" i="16"/>
  <c r="BB189" i="16"/>
  <c r="BJ189" i="16"/>
  <c r="AR190" i="16"/>
  <c r="AZ190" i="16"/>
  <c r="BH190" i="16"/>
  <c r="BP190" i="16"/>
  <c r="AP191" i="16"/>
  <c r="AX191" i="16"/>
  <c r="BF191" i="16"/>
  <c r="AF192" i="16"/>
  <c r="CP192" i="16" s="1"/>
  <c r="AN192" i="16"/>
  <c r="CX192" i="16" s="1"/>
  <c r="AV192" i="16"/>
  <c r="BD192" i="16"/>
  <c r="BL192" i="16"/>
  <c r="AD193" i="16"/>
  <c r="CN193" i="16" s="1"/>
  <c r="AL193" i="16"/>
  <c r="CV193" i="16" s="1"/>
  <c r="AT193" i="16"/>
  <c r="BB193" i="16"/>
  <c r="BJ193" i="16"/>
  <c r="AB194" i="16"/>
  <c r="CL194" i="16" s="1"/>
  <c r="AJ194" i="16"/>
  <c r="CT194" i="16" s="1"/>
  <c r="AR194" i="16"/>
  <c r="AZ194" i="16"/>
  <c r="AH195" i="16"/>
  <c r="CR195" i="16" s="1"/>
  <c r="AP195" i="16"/>
  <c r="AX195" i="16"/>
  <c r="AF196" i="16"/>
  <c r="CP196" i="16" s="1"/>
  <c r="AN196" i="16"/>
  <c r="CX196" i="16" s="1"/>
  <c r="AV196" i="16"/>
  <c r="AD197" i="16"/>
  <c r="CN197" i="16" s="1"/>
  <c r="AL197" i="16"/>
  <c r="CV197" i="16" s="1"/>
  <c r="AT197" i="16"/>
  <c r="AB198" i="16"/>
  <c r="CL198" i="16" s="1"/>
  <c r="AJ198" i="16"/>
  <c r="CT198" i="16" s="1"/>
  <c r="AH199" i="16"/>
  <c r="CR199" i="16" s="1"/>
  <c r="AP199" i="16"/>
  <c r="AX199" i="16"/>
  <c r="AF200" i="16"/>
  <c r="CP200" i="16" s="1"/>
  <c r="AD201" i="16"/>
  <c r="CN201" i="16" s="1"/>
  <c r="AL201" i="16"/>
  <c r="CV201" i="16" s="1"/>
  <c r="AT201" i="16"/>
  <c r="BB201" i="16"/>
  <c r="BJ201" i="16"/>
  <c r="AB202" i="16"/>
  <c r="CL202" i="16" s="1"/>
  <c r="AJ202" i="16"/>
  <c r="CT202" i="16" s="1"/>
  <c r="AR202" i="16"/>
  <c r="AZ202" i="16"/>
  <c r="BH202" i="16"/>
  <c r="BP202" i="16"/>
  <c r="AH203" i="16"/>
  <c r="CR203" i="16" s="1"/>
  <c r="AP203" i="16"/>
  <c r="AX203" i="16"/>
  <c r="BF203" i="16"/>
  <c r="BN203" i="16"/>
  <c r="AF204" i="16"/>
  <c r="CP204" i="16" s="1"/>
  <c r="AN204" i="16"/>
  <c r="CX204" i="16" s="1"/>
  <c r="AV204" i="16"/>
  <c r="AD205" i="16"/>
  <c r="CN205" i="16" s="1"/>
  <c r="AL205" i="16"/>
  <c r="CV205" i="16" s="1"/>
  <c r="AT205" i="16"/>
  <c r="AB206" i="16"/>
  <c r="CL206" i="16" s="1"/>
  <c r="AJ206" i="16"/>
  <c r="CT206" i="16" s="1"/>
  <c r="AR206" i="16"/>
  <c r="AZ206" i="16"/>
  <c r="BH206" i="16"/>
  <c r="BP206" i="16"/>
  <c r="AH207" i="16"/>
  <c r="CR207" i="16" s="1"/>
  <c r="AP207" i="16"/>
  <c r="AX207" i="16"/>
  <c r="BF207" i="16"/>
  <c r="BN207" i="16"/>
  <c r="AF208" i="16"/>
  <c r="CP208" i="16" s="1"/>
  <c r="AN208" i="16"/>
  <c r="CX208" i="16" s="1"/>
  <c r="AV208" i="16"/>
  <c r="AL209" i="16"/>
  <c r="CV209" i="16" s="1"/>
  <c r="AT209" i="16"/>
  <c r="BB209" i="16"/>
  <c r="BJ209" i="16"/>
  <c r="AJ210" i="16"/>
  <c r="CT210" i="16" s="1"/>
  <c r="AR210" i="16"/>
  <c r="AZ210" i="16"/>
  <c r="BH210" i="16"/>
  <c r="BP210" i="16"/>
  <c r="AH211" i="16"/>
  <c r="CR211" i="16" s="1"/>
  <c r="AP211" i="16"/>
  <c r="AX211" i="16"/>
  <c r="BF211" i="16"/>
  <c r="AN212" i="16"/>
  <c r="CX212" i="16" s="1"/>
  <c r="AV212" i="16"/>
  <c r="BD212" i="16"/>
  <c r="AL213" i="16"/>
  <c r="CV213" i="16" s="1"/>
  <c r="AT213" i="16"/>
  <c r="BB213" i="16"/>
  <c r="BE137" i="16"/>
  <c r="AN141" i="16"/>
  <c r="CX141" i="16" s="1"/>
  <c r="AS142" i="16"/>
  <c r="AQ144" i="16"/>
  <c r="BC145" i="16"/>
  <c r="BC146" i="16"/>
  <c r="AW148" i="16"/>
  <c r="BO148" i="16"/>
  <c r="AN149" i="16"/>
  <c r="CX149" i="16" s="1"/>
  <c r="BD149" i="16"/>
  <c r="AC150" i="16"/>
  <c r="AK151" i="16"/>
  <c r="CU151" i="16" s="1"/>
  <c r="BA151" i="16"/>
  <c r="AI152" i="16"/>
  <c r="CS152" i="16" s="1"/>
  <c r="AY152" i="16"/>
  <c r="AN153" i="16"/>
  <c r="CX153" i="16" s="1"/>
  <c r="AN154" i="16"/>
  <c r="CX154" i="16" s="1"/>
  <c r="AD155" i="16"/>
  <c r="CN155" i="16" s="1"/>
  <c r="AT155" i="16"/>
  <c r="AJ156" i="16"/>
  <c r="CT156" i="16" s="1"/>
  <c r="AZ156" i="16"/>
  <c r="BP156" i="16"/>
  <c r="AT158" i="16"/>
  <c r="AQ159" i="16"/>
  <c r="AX160" i="16"/>
  <c r="AP161" i="16"/>
  <c r="BF161" i="16"/>
  <c r="AM162" i="16"/>
  <c r="CW162" i="16" s="1"/>
  <c r="BC162" i="16"/>
  <c r="AS163" i="16"/>
  <c r="BI163" i="16"/>
  <c r="AO164" i="16"/>
  <c r="BE164" i="16"/>
  <c r="AP165" i="16"/>
  <c r="BF165" i="16"/>
  <c r="AU166" i="16"/>
  <c r="AC167" i="16"/>
  <c r="AS167" i="16"/>
  <c r="AH168" i="16"/>
  <c r="CR168" i="16" s="1"/>
  <c r="AF169" i="16"/>
  <c r="CP169" i="16" s="1"/>
  <c r="AV169" i="16"/>
  <c r="AT170" i="16"/>
  <c r="AS171" i="16"/>
  <c r="AI172" i="16"/>
  <c r="CS172" i="16" s="1"/>
  <c r="AY172" i="16"/>
  <c r="AF173" i="16"/>
  <c r="CP173" i="16" s="1"/>
  <c r="AL174" i="16"/>
  <c r="CV174" i="16" s="1"/>
  <c r="BB174" i="16"/>
  <c r="AK175" i="16"/>
  <c r="BA175" i="16"/>
  <c r="AQ176" i="16"/>
  <c r="BG176" i="16"/>
  <c r="AG177" i="16"/>
  <c r="AW177" i="16"/>
  <c r="BM177" i="16"/>
  <c r="AE178" i="16"/>
  <c r="CO178" i="16" s="1"/>
  <c r="AU178" i="16"/>
  <c r="AK179" i="16"/>
  <c r="CU179" i="16" s="1"/>
  <c r="AI180" i="16"/>
  <c r="CS180" i="16" s="1"/>
  <c r="AM181" i="16"/>
  <c r="CW181" i="16" s="1"/>
  <c r="AK182" i="16"/>
  <c r="CU182" i="16" s="1"/>
  <c r="BA182" i="16"/>
  <c r="AK183" i="16"/>
  <c r="CU183" i="16" s="1"/>
  <c r="AI184" i="16"/>
  <c r="CS184" i="16" s="1"/>
  <c r="AY184" i="16"/>
  <c r="AO185" i="16"/>
  <c r="AC186" i="16"/>
  <c r="CM186" i="16" s="1"/>
  <c r="AK186" i="16"/>
  <c r="CU186" i="16" s="1"/>
  <c r="AS186" i="16"/>
  <c r="AI187" i="16"/>
  <c r="CS187" i="16" s="1"/>
  <c r="AQ187" i="16"/>
  <c r="AG188" i="16"/>
  <c r="CQ188" i="16" s="1"/>
  <c r="AO188" i="16"/>
  <c r="AW188" i="16"/>
  <c r="AM189" i="16"/>
  <c r="CW189" i="16" s="1"/>
  <c r="AU189" i="16"/>
  <c r="BC189" i="16"/>
  <c r="BK189" i="16"/>
  <c r="AS190" i="16"/>
  <c r="BA190" i="16"/>
  <c r="BI190" i="16"/>
  <c r="AI191" i="16"/>
  <c r="CS191" i="16" s="1"/>
  <c r="AQ191" i="16"/>
  <c r="AY191" i="16"/>
  <c r="BG191" i="16"/>
  <c r="AG192" i="16"/>
  <c r="CQ192" i="16" s="1"/>
  <c r="AO192" i="16"/>
  <c r="AW192" i="16"/>
  <c r="BE192" i="16"/>
  <c r="BM192" i="16"/>
  <c r="AE193" i="16"/>
  <c r="CO193" i="16" s="1"/>
  <c r="AM193" i="16"/>
  <c r="CW193" i="16" s="1"/>
  <c r="AU193" i="16"/>
  <c r="BC193" i="16"/>
  <c r="BK193" i="16"/>
  <c r="AC194" i="16"/>
  <c r="CM194" i="16" s="1"/>
  <c r="AK194" i="16"/>
  <c r="CU194" i="16" s="1"/>
  <c r="AS194" i="16"/>
  <c r="BA194" i="16"/>
  <c r="AA195" i="16"/>
  <c r="AI195" i="16"/>
  <c r="CS195" i="16" s="1"/>
  <c r="AQ195" i="16"/>
  <c r="AG196" i="16"/>
  <c r="CQ196" i="16" s="1"/>
  <c r="AO196" i="16"/>
  <c r="AW196" i="16"/>
  <c r="AE197" i="16"/>
  <c r="CO197" i="16" s="1"/>
  <c r="AM197" i="16"/>
  <c r="CW197" i="16" s="1"/>
  <c r="AU197" i="16"/>
  <c r="AC198" i="16"/>
  <c r="CM198" i="16" s="1"/>
  <c r="AK198" i="16"/>
  <c r="CU198" i="16" s="1"/>
  <c r="AA199" i="16"/>
  <c r="AI199" i="16"/>
  <c r="CS199" i="16" s="1"/>
  <c r="AQ199" i="16"/>
  <c r="AY199" i="16"/>
  <c r="AG200" i="16"/>
  <c r="CQ200" i="16" s="1"/>
  <c r="AE201" i="16"/>
  <c r="CO201" i="16" s="1"/>
  <c r="AM201" i="16"/>
  <c r="CW201" i="16" s="1"/>
  <c r="AU201" i="16"/>
  <c r="BC201" i="16"/>
  <c r="BK201" i="16"/>
  <c r="AC202" i="16"/>
  <c r="CM202" i="16" s="1"/>
  <c r="AK202" i="16"/>
  <c r="CU202" i="16" s="1"/>
  <c r="AS202" i="16"/>
  <c r="BA202" i="16"/>
  <c r="BI202" i="16"/>
  <c r="AA203" i="16"/>
  <c r="AI203" i="16"/>
  <c r="CS203" i="16" s="1"/>
  <c r="AQ203" i="16"/>
  <c r="AY203" i="16"/>
  <c r="BG203" i="16"/>
  <c r="BO203" i="16"/>
  <c r="AG204" i="16"/>
  <c r="CQ204" i="16" s="1"/>
  <c r="AO204" i="16"/>
  <c r="AW204" i="16"/>
  <c r="AE205" i="16"/>
  <c r="CO205" i="16" s="1"/>
  <c r="AM205" i="16"/>
  <c r="CW205" i="16" s="1"/>
  <c r="AU205" i="16"/>
  <c r="AC206" i="16"/>
  <c r="CM206" i="16" s="1"/>
  <c r="AK206" i="16"/>
  <c r="CU206" i="16" s="1"/>
  <c r="AS206" i="16"/>
  <c r="BA206" i="16"/>
  <c r="BI206" i="16"/>
  <c r="AA207" i="16"/>
  <c r="AI207" i="16"/>
  <c r="CS207" i="16" s="1"/>
  <c r="AQ207" i="16"/>
  <c r="AY207" i="16"/>
  <c r="BG207" i="16"/>
  <c r="BO207" i="16"/>
  <c r="AG208" i="16"/>
  <c r="CQ208" i="16" s="1"/>
  <c r="AO208" i="16"/>
  <c r="AM209" i="16"/>
  <c r="CW209" i="16" s="1"/>
  <c r="AU209" i="16"/>
  <c r="BC209" i="16"/>
  <c r="BK209" i="16"/>
  <c r="AK210" i="16"/>
  <c r="CU210" i="16" s="1"/>
  <c r="AS210" i="16"/>
  <c r="BA210" i="16"/>
  <c r="BI210" i="16"/>
  <c r="AI211" i="16"/>
  <c r="CS211" i="16" s="1"/>
  <c r="AQ211" i="16"/>
  <c r="AY211" i="16"/>
  <c r="BG211" i="16"/>
  <c r="AO212" i="16"/>
  <c r="AW212" i="16"/>
  <c r="BE212" i="16"/>
  <c r="AM213" i="16"/>
  <c r="CW213" i="16" s="1"/>
  <c r="AU213" i="16"/>
  <c r="BC213" i="16"/>
  <c r="AK214" i="16"/>
  <c r="CU214" i="16" s="1"/>
  <c r="AS214" i="16"/>
  <c r="AU141" i="16"/>
  <c r="AU142" i="16"/>
  <c r="AW144" i="16"/>
  <c r="BE145" i="16"/>
  <c r="AY148" i="16"/>
  <c r="BP148" i="16"/>
  <c r="AO149" i="16"/>
  <c r="BE149" i="16"/>
  <c r="AD150" i="16"/>
  <c r="CN150" i="16" s="1"/>
  <c r="AL151" i="16"/>
  <c r="CV151" i="16" s="1"/>
  <c r="BB151" i="16"/>
  <c r="AJ152" i="16"/>
  <c r="CT152" i="16" s="1"/>
  <c r="AO153" i="16"/>
  <c r="AC154" i="16"/>
  <c r="AS154" i="16"/>
  <c r="AI155" i="16"/>
  <c r="CS155" i="16" s="1"/>
  <c r="AY155" i="16"/>
  <c r="AO156" i="16"/>
  <c r="BE156" i="16"/>
  <c r="AU158" i="16"/>
  <c r="AR159" i="16"/>
  <c r="AY160" i="16"/>
  <c r="AU161" i="16"/>
  <c r="BK161" i="16"/>
  <c r="AN162" i="16"/>
  <c r="CX162" i="16" s="1"/>
  <c r="BD162" i="16"/>
  <c r="AT163" i="16"/>
  <c r="BJ163" i="16"/>
  <c r="AP164" i="16"/>
  <c r="BF164" i="16"/>
  <c r="AU165" i="16"/>
  <c r="AV166" i="16"/>
  <c r="AD167" i="16"/>
  <c r="CN167" i="16" s="1"/>
  <c r="AT167" i="16"/>
  <c r="AI168" i="16"/>
  <c r="CS168" i="16" s="1"/>
  <c r="AG169" i="16"/>
  <c r="CQ169" i="16" s="1"/>
  <c r="AW169" i="16"/>
  <c r="AU170" i="16"/>
  <c r="AT171" i="16"/>
  <c r="AJ172" i="16"/>
  <c r="CT172" i="16" s="1"/>
  <c r="AZ172" i="16"/>
  <c r="AG173" i="16"/>
  <c r="CQ173" i="16" s="1"/>
  <c r="AM174" i="16"/>
  <c r="CW174" i="16" s="1"/>
  <c r="BC174" i="16"/>
  <c r="AL175" i="16"/>
  <c r="CV175" i="16" s="1"/>
  <c r="BB175" i="16"/>
  <c r="AR176" i="16"/>
  <c r="AH177" i="16"/>
  <c r="CR177" i="16" s="1"/>
  <c r="AX177" i="16"/>
  <c r="AF178" i="16"/>
  <c r="CP178" i="16" s="1"/>
  <c r="AV178" i="16"/>
  <c r="AL179" i="16"/>
  <c r="CV179" i="16" s="1"/>
  <c r="AJ180" i="16"/>
  <c r="CT180" i="16" s="1"/>
  <c r="AN181" i="16"/>
  <c r="CX181" i="16" s="1"/>
  <c r="AL182" i="16"/>
  <c r="CV182" i="16" s="1"/>
  <c r="BB182" i="16"/>
  <c r="AL183" i="16"/>
  <c r="CV183" i="16" s="1"/>
  <c r="AJ184" i="16"/>
  <c r="CT184" i="16" s="1"/>
  <c r="AZ184" i="16"/>
  <c r="AP185" i="16"/>
  <c r="AD186" i="16"/>
  <c r="CN186" i="16" s="1"/>
  <c r="AL186" i="16"/>
  <c r="CV186" i="16" s="1"/>
  <c r="AT186" i="16"/>
  <c r="AJ187" i="16"/>
  <c r="CT187" i="16" s="1"/>
  <c r="AR187" i="16"/>
  <c r="AH188" i="16"/>
  <c r="CR188" i="16" s="1"/>
  <c r="AP188" i="16"/>
  <c r="AX188" i="16"/>
  <c r="AN189" i="16"/>
  <c r="CX189" i="16" s="1"/>
  <c r="AV189" i="16"/>
  <c r="BD189" i="16"/>
  <c r="AT190" i="16"/>
  <c r="BB190" i="16"/>
  <c r="BJ190" i="16"/>
  <c r="AJ191" i="16"/>
  <c r="CT191" i="16" s="1"/>
  <c r="AR191" i="16"/>
  <c r="AZ191" i="16"/>
  <c r="BH191" i="16"/>
  <c r="AH192" i="16"/>
  <c r="CR192" i="16" s="1"/>
  <c r="AP192" i="16"/>
  <c r="AX192" i="16"/>
  <c r="BF192" i="16"/>
  <c r="BN192" i="16"/>
  <c r="AF193" i="16"/>
  <c r="CP193" i="16" s="1"/>
  <c r="AN193" i="16"/>
  <c r="CX193" i="16" s="1"/>
  <c r="AV193" i="16"/>
  <c r="BD193" i="16"/>
  <c r="BL193" i="16"/>
  <c r="AD194" i="16"/>
  <c r="CN194" i="16" s="1"/>
  <c r="AL194" i="16"/>
  <c r="CV194" i="16" s="1"/>
  <c r="AT194" i="16"/>
  <c r="BB194" i="16"/>
  <c r="AB195" i="16"/>
  <c r="CL195" i="16" s="1"/>
  <c r="AJ195" i="16"/>
  <c r="CT195" i="16" s="1"/>
  <c r="AR195" i="16"/>
  <c r="AH196" i="16"/>
  <c r="CR196" i="16" s="1"/>
  <c r="AP196" i="16"/>
  <c r="AX196" i="16"/>
  <c r="AF197" i="16"/>
  <c r="CP197" i="16" s="1"/>
  <c r="AN197" i="16"/>
  <c r="CX197" i="16" s="1"/>
  <c r="AV197" i="16"/>
  <c r="AD198" i="16"/>
  <c r="CN198" i="16" s="1"/>
  <c r="AL198" i="16"/>
  <c r="CV198" i="16" s="1"/>
  <c r="AB199" i="16"/>
  <c r="CL199" i="16" s="1"/>
  <c r="AJ199" i="16"/>
  <c r="CT199" i="16" s="1"/>
  <c r="AR199" i="16"/>
  <c r="AZ199" i="16"/>
  <c r="AF201" i="16"/>
  <c r="CP201" i="16" s="1"/>
  <c r="AN201" i="16"/>
  <c r="CX201" i="16" s="1"/>
  <c r="AV201" i="16"/>
  <c r="BD201" i="16"/>
  <c r="BL201" i="16"/>
  <c r="AD202" i="16"/>
  <c r="CN202" i="16" s="1"/>
  <c r="AL202" i="16"/>
  <c r="CV202" i="16" s="1"/>
  <c r="AT202" i="16"/>
  <c r="BB202" i="16"/>
  <c r="BJ202" i="16"/>
  <c r="AB203" i="16"/>
  <c r="CL203" i="16" s="1"/>
  <c r="AJ203" i="16"/>
  <c r="CT203" i="16" s="1"/>
  <c r="AR203" i="16"/>
  <c r="AZ203" i="16"/>
  <c r="BH203" i="16"/>
  <c r="BP203" i="16"/>
  <c r="AH204" i="16"/>
  <c r="CR204" i="16" s="1"/>
  <c r="AP204" i="16"/>
  <c r="AX204" i="16"/>
  <c r="AF205" i="16"/>
  <c r="CP205" i="16" s="1"/>
  <c r="AN205" i="16"/>
  <c r="CX205" i="16" s="1"/>
  <c r="AV205" i="16"/>
  <c r="AD206" i="16"/>
  <c r="CN206" i="16" s="1"/>
  <c r="AL206" i="16"/>
  <c r="CV206" i="16" s="1"/>
  <c r="AT206" i="16"/>
  <c r="BB206" i="16"/>
  <c r="BJ206" i="16"/>
  <c r="AB207" i="16"/>
  <c r="CL207" i="16" s="1"/>
  <c r="AJ207" i="16"/>
  <c r="CT207" i="16" s="1"/>
  <c r="AR207" i="16"/>
  <c r="AZ207" i="16"/>
  <c r="BH207" i="16"/>
  <c r="AH208" i="16"/>
  <c r="CR208" i="16" s="1"/>
  <c r="AP208" i="16"/>
  <c r="AN209" i="16"/>
  <c r="CX209" i="16" s="1"/>
  <c r="AV209" i="16"/>
  <c r="BD209" i="16"/>
  <c r="BL209" i="16"/>
  <c r="AL210" i="16"/>
  <c r="CV210" i="16" s="1"/>
  <c r="AT210" i="16"/>
  <c r="BB210" i="16"/>
  <c r="BJ210" i="16"/>
  <c r="AJ211" i="16"/>
  <c r="AR211" i="16"/>
  <c r="AZ211" i="16"/>
  <c r="BH211" i="16"/>
  <c r="AP212" i="16"/>
  <c r="AX212" i="16"/>
  <c r="BF212" i="16"/>
  <c r="AN213" i="16"/>
  <c r="CX213" i="16" s="1"/>
  <c r="AV213" i="16"/>
  <c r="BD213" i="16"/>
  <c r="AL214" i="16"/>
  <c r="CV214" i="16" s="1"/>
  <c r="AT214" i="16"/>
  <c r="BF136" i="16"/>
  <c r="AW141" i="16"/>
  <c r="BA142" i="16"/>
  <c r="AK143" i="16"/>
  <c r="CU143" i="16" s="1"/>
  <c r="AY144" i="16"/>
  <c r="AC147" i="16"/>
  <c r="AG148" i="16"/>
  <c r="CQ148" i="16" s="1"/>
  <c r="AZ148" i="16"/>
  <c r="AP149" i="16"/>
  <c r="BF149" i="16"/>
  <c r="AE150" i="16"/>
  <c r="CO150" i="16" s="1"/>
  <c r="AQ151" i="16"/>
  <c r="BG151" i="16"/>
  <c r="AO152" i="16"/>
  <c r="AP153" i="16"/>
  <c r="AD154" i="16"/>
  <c r="CN154" i="16" s="1"/>
  <c r="AT154" i="16"/>
  <c r="AJ155" i="16"/>
  <c r="CT155" i="16" s="1"/>
  <c r="AZ155" i="16"/>
  <c r="AP156" i="16"/>
  <c r="BF156" i="16"/>
  <c r="AV158" i="16"/>
  <c r="AS159" i="16"/>
  <c r="AZ160" i="16"/>
  <c r="AV161" i="16"/>
  <c r="BL161" i="16"/>
  <c r="AS162" i="16"/>
  <c r="AY163" i="16"/>
  <c r="AQ164" i="16"/>
  <c r="BG164" i="16"/>
  <c r="AV165" i="16"/>
  <c r="AK166" i="16"/>
  <c r="BA166" i="16"/>
  <c r="AI167" i="16"/>
  <c r="CS167" i="16" s="1"/>
  <c r="AJ168" i="16"/>
  <c r="CT168" i="16" s="1"/>
  <c r="AH169" i="16"/>
  <c r="CR169" i="16" s="1"/>
  <c r="AX169" i="16"/>
  <c r="AV170" i="16"/>
  <c r="AI171" i="16"/>
  <c r="CS171" i="16" s="1"/>
  <c r="AY171" i="16"/>
  <c r="AO172" i="16"/>
  <c r="BE172" i="16"/>
  <c r="AH173" i="16"/>
  <c r="CR173" i="16" s="1"/>
  <c r="BC141" i="16"/>
  <c r="BC142" i="16"/>
  <c r="AQ143" i="16"/>
  <c r="AK146" i="16"/>
  <c r="CU146" i="16" s="1"/>
  <c r="AI147" i="16"/>
  <c r="CS147" i="16" s="1"/>
  <c r="AI148" i="16"/>
  <c r="CS148" i="16" s="1"/>
  <c r="BE148" i="16"/>
  <c r="AE149" i="16"/>
  <c r="CO149" i="16" s="1"/>
  <c r="AU149" i="16"/>
  <c r="BK149" i="16"/>
  <c r="AF150" i="16"/>
  <c r="CP150" i="16" s="1"/>
  <c r="AB151" i="16"/>
  <c r="CL151" i="16" s="1"/>
  <c r="AR151" i="16"/>
  <c r="BH151" i="16"/>
  <c r="AP152" i="16"/>
  <c r="AE153" i="16"/>
  <c r="CO153" i="16" s="1"/>
  <c r="AU153" i="16"/>
  <c r="AE154" i="16"/>
  <c r="CO154" i="16" s="1"/>
  <c r="AU154" i="16"/>
  <c r="AK155" i="16"/>
  <c r="CU155" i="16" s="1"/>
  <c r="BA155" i="16"/>
  <c r="AQ156" i="16"/>
  <c r="BG156" i="16"/>
  <c r="AK158" i="16"/>
  <c r="CU158" i="16" s="1"/>
  <c r="AT159" i="16"/>
  <c r="AO160" i="16"/>
  <c r="BE160" i="16"/>
  <c r="AW161" i="16"/>
  <c r="BM161" i="16"/>
  <c r="AT162" i="16"/>
  <c r="AZ163" i="16"/>
  <c r="AR164" i="16"/>
  <c r="BH164" i="16"/>
  <c r="AW165" i="16"/>
  <c r="AL166" i="16"/>
  <c r="CV166" i="16" s="1"/>
  <c r="BB166" i="16"/>
  <c r="AJ167" i="16"/>
  <c r="CT167" i="16" s="1"/>
  <c r="AO168" i="16"/>
  <c r="AM169" i="16"/>
  <c r="CW169" i="16" s="1"/>
  <c r="AK170" i="16"/>
  <c r="CU170" i="16" s="1"/>
  <c r="BA170" i="16"/>
  <c r="AJ171" i="16"/>
  <c r="CT171" i="16" s="1"/>
  <c r="AZ171" i="16"/>
  <c r="AP172" i="16"/>
  <c r="BF172" i="16"/>
  <c r="AM173" i="16"/>
  <c r="CW173" i="16" s="1"/>
  <c r="BE141" i="16"/>
  <c r="AS143" i="16"/>
  <c r="AM145" i="16"/>
  <c r="CW145" i="16" s="1"/>
  <c r="AM146" i="16"/>
  <c r="CW146" i="16" s="1"/>
  <c r="AK147" i="16"/>
  <c r="CU147" i="16" s="1"/>
  <c r="AJ148" i="16"/>
  <c r="CT148" i="16" s="1"/>
  <c r="BG148" i="16"/>
  <c r="AF149" i="16"/>
  <c r="CP149" i="16" s="1"/>
  <c r="AV149" i="16"/>
  <c r="BL149" i="16"/>
  <c r="AK150" i="16"/>
  <c r="CU150" i="16" s="1"/>
  <c r="AC151" i="16"/>
  <c r="AS151" i="16"/>
  <c r="AQ152" i="16"/>
  <c r="AF153" i="16"/>
  <c r="CP153" i="16" s="1"/>
  <c r="AV153" i="16"/>
  <c r="AF154" i="16"/>
  <c r="CP154" i="16" s="1"/>
  <c r="AV154" i="16"/>
  <c r="AL155" i="16"/>
  <c r="CV155" i="16" s="1"/>
  <c r="BB155" i="16"/>
  <c r="AB156" i="16"/>
  <c r="CL156" i="16" s="1"/>
  <c r="AR156" i="16"/>
  <c r="BH156" i="16"/>
  <c r="AL158" i="16"/>
  <c r="CV158" i="16" s="1"/>
  <c r="AI159" i="16"/>
  <c r="AP160" i="16"/>
  <c r="BF160" i="16"/>
  <c r="AX161" i="16"/>
  <c r="BN161" i="16"/>
  <c r="AU162" i="16"/>
  <c r="BA163" i="16"/>
  <c r="AW164" i="16"/>
  <c r="AX165" i="16"/>
  <c r="AM166" i="16"/>
  <c r="CW166" i="16" s="1"/>
  <c r="BC166" i="16"/>
  <c r="AK167" i="16"/>
  <c r="CU167" i="16" s="1"/>
  <c r="AP168" i="16"/>
  <c r="AN169" i="16"/>
  <c r="CX169" i="16" s="1"/>
  <c r="AL170" i="16"/>
  <c r="CV170" i="16" s="1"/>
  <c r="AK171" i="16"/>
  <c r="CU171" i="16" s="1"/>
  <c r="BA171" i="16"/>
  <c r="AQ172" i="16"/>
  <c r="BG172" i="16"/>
  <c r="AN173" i="16"/>
  <c r="CX173" i="16" s="1"/>
  <c r="AR139" i="16"/>
  <c r="AP140" i="16"/>
  <c r="BK141" i="16"/>
  <c r="AE142" i="16"/>
  <c r="CO142" i="16" s="1"/>
  <c r="AY143" i="16"/>
  <c r="AO145" i="16"/>
  <c r="AS146" i="16"/>
  <c r="AQ147" i="16"/>
  <c r="AO148" i="16"/>
  <c r="BH148" i="16"/>
  <c r="AG149" i="16"/>
  <c r="CQ149" i="16" s="1"/>
  <c r="AW149" i="16"/>
  <c r="BM149" i="16"/>
  <c r="AL150" i="16"/>
  <c r="CV150" i="16" s="1"/>
  <c r="AD151" i="16"/>
  <c r="CN151" i="16" s="1"/>
  <c r="AT151" i="16"/>
  <c r="AB152" i="16"/>
  <c r="CL152" i="16" s="1"/>
  <c r="AR152" i="16"/>
  <c r="AG153" i="16"/>
  <c r="CQ153" i="16" s="1"/>
  <c r="AW153" i="16"/>
  <c r="AK154" i="16"/>
  <c r="CU154" i="16" s="1"/>
  <c r="BA154" i="16"/>
  <c r="AQ155" i="16"/>
  <c r="AG156" i="16"/>
  <c r="CQ156" i="16" s="1"/>
  <c r="AW156" i="16"/>
  <c r="BM156" i="16"/>
  <c r="AM158" i="16"/>
  <c r="CW158" i="16" s="1"/>
  <c r="AJ159" i="16"/>
  <c r="CT159" i="16" s="1"/>
  <c r="AQ160" i="16"/>
  <c r="BG160" i="16"/>
  <c r="AM161" i="16"/>
  <c r="CW161" i="16" s="1"/>
  <c r="BC161" i="16"/>
  <c r="AV162" i="16"/>
  <c r="BB163" i="16"/>
  <c r="AX164" i="16"/>
  <c r="AM165" i="16"/>
  <c r="CW165" i="16" s="1"/>
  <c r="BC165" i="16"/>
  <c r="AN166" i="16"/>
  <c r="CX166" i="16" s="1"/>
  <c r="BD166" i="16"/>
  <c r="AL167" i="16"/>
  <c r="CV167" i="16" s="1"/>
  <c r="AQ168" i="16"/>
  <c r="AO169" i="16"/>
  <c r="AM170" i="16"/>
  <c r="CW170" i="16" s="1"/>
  <c r="AL171" i="16"/>
  <c r="CV171" i="16" s="1"/>
  <c r="AK142" i="16"/>
  <c r="CU142" i="16" s="1"/>
  <c r="AU145" i="16"/>
  <c r="AU146" i="16"/>
  <c r="AS147" i="16"/>
  <c r="AQ148" i="16"/>
  <c r="BM148" i="16"/>
  <c r="AH149" i="16"/>
  <c r="CR149" i="16" s="1"/>
  <c r="AX149" i="16"/>
  <c r="BN149" i="16"/>
  <c r="AM150" i="16"/>
  <c r="CW150" i="16" s="1"/>
  <c r="AI151" i="16"/>
  <c r="CS151" i="16" s="1"/>
  <c r="AY151" i="16"/>
  <c r="AG152" i="16"/>
  <c r="CQ152" i="16" s="1"/>
  <c r="AW152" i="16"/>
  <c r="AH153" i="16"/>
  <c r="CR153" i="16" s="1"/>
  <c r="AX153" i="16"/>
  <c r="AL154" i="16"/>
  <c r="CV154" i="16" s="1"/>
  <c r="AR155" i="16"/>
  <c r="AH156" i="16"/>
  <c r="CR156" i="16" s="1"/>
  <c r="AX156" i="16"/>
  <c r="BN156" i="16"/>
  <c r="AN157" i="16"/>
  <c r="AN158" i="16"/>
  <c r="CX158" i="16" s="1"/>
  <c r="AK159" i="16"/>
  <c r="CU159" i="16" s="1"/>
  <c r="AR160" i="16"/>
  <c r="BH160" i="16"/>
  <c r="AN161" i="16"/>
  <c r="CX161" i="16" s="1"/>
  <c r="BD161" i="16"/>
  <c r="AK162" i="16"/>
  <c r="CU162" i="16" s="1"/>
  <c r="BA162" i="16"/>
  <c r="AQ163" i="16"/>
  <c r="BG163" i="16"/>
  <c r="AY164" i="16"/>
  <c r="AN165" i="16"/>
  <c r="CX165" i="16" s="1"/>
  <c r="BD165" i="16"/>
  <c r="AS166" i="16"/>
  <c r="AQ167" i="16"/>
  <c r="AR168" i="16"/>
  <c r="AP169" i="16"/>
  <c r="AN170" i="16"/>
  <c r="CX170" i="16" s="1"/>
  <c r="AQ171" i="16"/>
  <c r="AG172" i="16"/>
  <c r="CQ172" i="16" s="1"/>
  <c r="AW172" i="16"/>
  <c r="AP173" i="16"/>
  <c r="AV174" i="16"/>
  <c r="AY175" i="16"/>
  <c r="AO176" i="16"/>
  <c r="BE176" i="16"/>
  <c r="AU177" i="16"/>
  <c r="BK177" i="16"/>
  <c r="AC178" i="16"/>
  <c r="AS178" i="16"/>
  <c r="AG180" i="16"/>
  <c r="CQ180" i="16" s="1"/>
  <c r="AG181" i="16"/>
  <c r="CQ181" i="16" s="1"/>
  <c r="AE182" i="16"/>
  <c r="AU182" i="16"/>
  <c r="AI183" i="16"/>
  <c r="CS183" i="16" s="1"/>
  <c r="AG184" i="16"/>
  <c r="CQ184" i="16" s="1"/>
  <c r="AW184" i="16"/>
  <c r="AM185" i="16"/>
  <c r="CW185" i="16" s="1"/>
  <c r="AA186" i="16"/>
  <c r="AI186" i="16"/>
  <c r="CS186" i="16" s="1"/>
  <c r="AQ186" i="16"/>
  <c r="AG187" i="16"/>
  <c r="CQ187" i="16" s="1"/>
  <c r="AO187" i="16"/>
  <c r="AW187" i="16"/>
  <c r="AE188" i="16"/>
  <c r="CO188" i="16" s="1"/>
  <c r="AM188" i="16"/>
  <c r="CW188" i="16" s="1"/>
  <c r="AU188" i="16"/>
  <c r="AK189" i="16"/>
  <c r="CU189" i="16" s="1"/>
  <c r="AS189" i="16"/>
  <c r="BA189" i="16"/>
  <c r="BI189" i="16"/>
  <c r="AQ190" i="16"/>
  <c r="AY190" i="16"/>
  <c r="BG190" i="16"/>
  <c r="BO190" i="16"/>
  <c r="AO191" i="16"/>
  <c r="AW191" i="16"/>
  <c r="BE191" i="16"/>
  <c r="BM191" i="16"/>
  <c r="AE192" i="16"/>
  <c r="CO192" i="16" s="1"/>
  <c r="AM192" i="16"/>
  <c r="CW192" i="16" s="1"/>
  <c r="AU192" i="16"/>
  <c r="BC192" i="16"/>
  <c r="BK192" i="16"/>
  <c r="AC193" i="16"/>
  <c r="CM193" i="16" s="1"/>
  <c r="AK193" i="16"/>
  <c r="CU193" i="16" s="1"/>
  <c r="AS193" i="16"/>
  <c r="BA193" i="16"/>
  <c r="BI193" i="16"/>
  <c r="AA194" i="16"/>
  <c r="AI194" i="16"/>
  <c r="CS194" i="16" s="1"/>
  <c r="AQ194" i="16"/>
  <c r="AY194" i="16"/>
  <c r="AG195" i="16"/>
  <c r="CQ195" i="16" s="1"/>
  <c r="AO195" i="16"/>
  <c r="AW195" i="16"/>
  <c r="AE196" i="16"/>
  <c r="CO196" i="16" s="1"/>
  <c r="AM196" i="16"/>
  <c r="CW196" i="16" s="1"/>
  <c r="AU196" i="16"/>
  <c r="AC197" i="16"/>
  <c r="CM197" i="16" s="1"/>
  <c r="AK197" i="16"/>
  <c r="CU197" i="16" s="1"/>
  <c r="AS197" i="16"/>
  <c r="AA198" i="16"/>
  <c r="AI198" i="16"/>
  <c r="CS198" i="16" s="1"/>
  <c r="AG199" i="16"/>
  <c r="CQ199" i="16" s="1"/>
  <c r="AO199" i="16"/>
  <c r="AW199" i="16"/>
  <c r="AE200" i="16"/>
  <c r="CO200" i="16" s="1"/>
  <c r="AC201" i="16"/>
  <c r="CM201" i="16" s="1"/>
  <c r="AK201" i="16"/>
  <c r="CU201" i="16" s="1"/>
  <c r="AS201" i="16"/>
  <c r="BA201" i="16"/>
  <c r="BI201" i="16"/>
  <c r="AA202" i="16"/>
  <c r="AI202" i="16"/>
  <c r="CS202" i="16" s="1"/>
  <c r="AQ202" i="16"/>
  <c r="AY202" i="16"/>
  <c r="BG202" i="16"/>
  <c r="BO202" i="16"/>
  <c r="AG203" i="16"/>
  <c r="CQ203" i="16" s="1"/>
  <c r="AO203" i="16"/>
  <c r="AW203" i="16"/>
  <c r="BE203" i="16"/>
  <c r="BM203" i="16"/>
  <c r="AE204" i="16"/>
  <c r="CO204" i="16" s="1"/>
  <c r="AM204" i="16"/>
  <c r="CW204" i="16" s="1"/>
  <c r="AU204" i="16"/>
  <c r="AC205" i="16"/>
  <c r="CM205" i="16" s="1"/>
  <c r="AK205" i="16"/>
  <c r="CU205" i="16" s="1"/>
  <c r="AS205" i="16"/>
  <c r="AA206" i="16"/>
  <c r="AI206" i="16"/>
  <c r="CS206" i="16" s="1"/>
  <c r="AQ206" i="16"/>
  <c r="AY206" i="16"/>
  <c r="BG206" i="16"/>
  <c r="BO206" i="16"/>
  <c r="AG207" i="16"/>
  <c r="CQ207" i="16" s="1"/>
  <c r="AO207" i="16"/>
  <c r="AW207" i="16"/>
  <c r="BE207" i="16"/>
  <c r="BM207" i="16"/>
  <c r="AE208" i="16"/>
  <c r="CO208" i="16" s="1"/>
  <c r="AM208" i="16"/>
  <c r="CW208" i="16" s="1"/>
  <c r="AU208" i="16"/>
  <c r="AK209" i="16"/>
  <c r="CU209" i="16" s="1"/>
  <c r="AS209" i="16"/>
  <c r="BA209" i="16"/>
  <c r="BI209" i="16"/>
  <c r="AI210" i="16"/>
  <c r="CS210" i="16" s="1"/>
  <c r="AQ210" i="16"/>
  <c r="AY210" i="16"/>
  <c r="BG210" i="16"/>
  <c r="BO210" i="16"/>
  <c r="AG211" i="16"/>
  <c r="CQ211" i="16" s="1"/>
  <c r="AO211" i="16"/>
  <c r="AW211" i="16"/>
  <c r="BE211" i="16"/>
  <c r="BM211" i="16"/>
  <c r="AM212" i="16"/>
  <c r="CW212" i="16" s="1"/>
  <c r="AU212" i="16"/>
  <c r="BC212" i="16"/>
  <c r="AK213" i="16"/>
  <c r="CU213" i="16" s="1"/>
  <c r="AS213" i="16"/>
  <c r="BA213" i="16"/>
  <c r="AQ214" i="16"/>
  <c r="AR172" i="16"/>
  <c r="AT175" i="16"/>
  <c r="AZ176" i="16"/>
  <c r="AM177" i="16"/>
  <c r="CW177" i="16" s="1"/>
  <c r="AN178" i="16"/>
  <c r="CX178" i="16" s="1"/>
  <c r="AS179" i="16"/>
  <c r="AU181" i="16"/>
  <c r="AC182" i="16"/>
  <c r="CM182" i="16" s="1"/>
  <c r="AQ184" i="16"/>
  <c r="AW185" i="16"/>
  <c r="AO186" i="16"/>
  <c r="AM187" i="16"/>
  <c r="CW187" i="16" s="1"/>
  <c r="AL188" i="16"/>
  <c r="CV188" i="16" s="1"/>
  <c r="BB188" i="16"/>
  <c r="AJ189" i="16"/>
  <c r="CT189" i="16" s="1"/>
  <c r="AZ189" i="16"/>
  <c r="AO190" i="16"/>
  <c r="BE190" i="16"/>
  <c r="AM191" i="16"/>
  <c r="CW191" i="16" s="1"/>
  <c r="BC191" i="16"/>
  <c r="AL192" i="16"/>
  <c r="CV192" i="16" s="1"/>
  <c r="BB192" i="16"/>
  <c r="AB193" i="16"/>
  <c r="CL193" i="16" s="1"/>
  <c r="AR193" i="16"/>
  <c r="BH193" i="16"/>
  <c r="AH194" i="16"/>
  <c r="CR194" i="16" s="1"/>
  <c r="AX194" i="16"/>
  <c r="AD195" i="16"/>
  <c r="CN195" i="16" s="1"/>
  <c r="AT195" i="16"/>
  <c r="AD196" i="16"/>
  <c r="CN196" i="16" s="1"/>
  <c r="AT196" i="16"/>
  <c r="AJ197" i="16"/>
  <c r="CT197" i="16" s="1"/>
  <c r="AZ197" i="16"/>
  <c r="AL199" i="16"/>
  <c r="CV199" i="16" s="1"/>
  <c r="AB200" i="16"/>
  <c r="CL200" i="16" s="1"/>
  <c r="AG201" i="16"/>
  <c r="CQ201" i="16" s="1"/>
  <c r="AW201" i="16"/>
  <c r="BM201" i="16"/>
  <c r="AM202" i="16"/>
  <c r="CW202" i="16" s="1"/>
  <c r="BC202" i="16"/>
  <c r="AC203" i="16"/>
  <c r="CM203" i="16" s="1"/>
  <c r="AS203" i="16"/>
  <c r="BI203" i="16"/>
  <c r="AI204" i="16"/>
  <c r="CS204" i="16" s="1"/>
  <c r="AY204" i="16"/>
  <c r="AO205" i="16"/>
  <c r="AE206" i="16"/>
  <c r="CO206" i="16" s="1"/>
  <c r="AU206" i="16"/>
  <c r="BK206" i="16"/>
  <c r="AK207" i="16"/>
  <c r="CU207" i="16" s="1"/>
  <c r="BA207" i="16"/>
  <c r="AL208" i="16"/>
  <c r="CV208" i="16" s="1"/>
  <c r="AH209" i="16"/>
  <c r="CR209" i="16" s="1"/>
  <c r="AX209" i="16"/>
  <c r="BN209" i="16"/>
  <c r="AV210" i="16"/>
  <c r="BL210" i="16"/>
  <c r="AV211" i="16"/>
  <c r="BL211" i="16"/>
  <c r="AQ212" i="16"/>
  <c r="BG212" i="16"/>
  <c r="AW213" i="16"/>
  <c r="AV214" i="16"/>
  <c r="BD214" i="16"/>
  <c r="BL214" i="16"/>
  <c r="AT215" i="16"/>
  <c r="BB215" i="16"/>
  <c r="BJ215" i="16"/>
  <c r="AR216" i="16"/>
  <c r="AZ216" i="16"/>
  <c r="BH216" i="16"/>
  <c r="AP217" i="16"/>
  <c r="AX217" i="16"/>
  <c r="BF217" i="16"/>
  <c r="AN218" i="16"/>
  <c r="AV218" i="16"/>
  <c r="BD218" i="16"/>
  <c r="BL218" i="16"/>
  <c r="AL219" i="16"/>
  <c r="CV219" i="16" s="1"/>
  <c r="AT219" i="16"/>
  <c r="BB219" i="16"/>
  <c r="AJ220" i="16"/>
  <c r="CT220" i="16" s="1"/>
  <c r="AR220" i="16"/>
  <c r="AZ220" i="16"/>
  <c r="BH220" i="16"/>
  <c r="AP221" i="16"/>
  <c r="AX221" i="16"/>
  <c r="AF222" i="16"/>
  <c r="CP222" i="16" s="1"/>
  <c r="AN222" i="16"/>
  <c r="CX222" i="16" s="1"/>
  <c r="AD223" i="16"/>
  <c r="CN223" i="16" s="1"/>
  <c r="AL223" i="16"/>
  <c r="CV223" i="16" s="1"/>
  <c r="AJ224" i="16"/>
  <c r="CT224" i="16" s="1"/>
  <c r="AR224" i="16"/>
  <c r="AZ224" i="16"/>
  <c r="BH224" i="16"/>
  <c r="BP224" i="16"/>
  <c r="AH225" i="16"/>
  <c r="CR225" i="16" s="1"/>
  <c r="AP225" i="16"/>
  <c r="AN226" i="16"/>
  <c r="CX226" i="16" s="1"/>
  <c r="AV226" i="16"/>
  <c r="BD226" i="16"/>
  <c r="BL226" i="16"/>
  <c r="AD227" i="16"/>
  <c r="AL227" i="16"/>
  <c r="CV227" i="16" s="1"/>
  <c r="AJ228" i="16"/>
  <c r="CT228" i="16" s="1"/>
  <c r="AR228" i="16"/>
  <c r="AH229" i="16"/>
  <c r="CR229" i="16" s="1"/>
  <c r="AP229" i="16"/>
  <c r="AX229" i="16"/>
  <c r="AF230" i="16"/>
  <c r="CP230" i="16" s="1"/>
  <c r="AN230" i="16"/>
  <c r="CX230" i="16" s="1"/>
  <c r="AV230" i="16"/>
  <c r="BH172" i="16"/>
  <c r="BG175" i="16"/>
  <c r="AG176" i="16"/>
  <c r="CQ176" i="16" s="1"/>
  <c r="AN177" i="16"/>
  <c r="CX177" i="16" s="1"/>
  <c r="AV181" i="16"/>
  <c r="AD182" i="16"/>
  <c r="CN182" i="16" s="1"/>
  <c r="AR184" i="16"/>
  <c r="AX185" i="16"/>
  <c r="AP186" i="16"/>
  <c r="AN187" i="16"/>
  <c r="CX187" i="16" s="1"/>
  <c r="AQ188" i="16"/>
  <c r="AO189" i="16"/>
  <c r="BE189" i="16"/>
  <c r="AP190" i="16"/>
  <c r="BF190" i="16"/>
  <c r="AN191" i="16"/>
  <c r="CX191" i="16" s="1"/>
  <c r="BD191" i="16"/>
  <c r="AA192" i="16"/>
  <c r="AQ192" i="16"/>
  <c r="BG192" i="16"/>
  <c r="AG193" i="16"/>
  <c r="CQ193" i="16" s="1"/>
  <c r="AW193" i="16"/>
  <c r="BM193" i="16"/>
  <c r="AM194" i="16"/>
  <c r="CW194" i="16" s="1"/>
  <c r="BC194" i="16"/>
  <c r="AE195" i="16"/>
  <c r="CO195" i="16" s="1"/>
  <c r="AU195" i="16"/>
  <c r="AI196" i="16"/>
  <c r="CS196" i="16" s="1"/>
  <c r="AY196" i="16"/>
  <c r="AO197" i="16"/>
  <c r="AE198" i="16"/>
  <c r="CO198" i="16" s="1"/>
  <c r="AM199" i="16"/>
  <c r="CW199" i="16" s="1"/>
  <c r="AC200" i="16"/>
  <c r="CM200" i="16" s="1"/>
  <c r="AH201" i="16"/>
  <c r="CR201" i="16" s="1"/>
  <c r="AX201" i="16"/>
  <c r="BN201" i="16"/>
  <c r="AN202" i="16"/>
  <c r="CX202" i="16" s="1"/>
  <c r="BD202" i="16"/>
  <c r="AD203" i="16"/>
  <c r="CN203" i="16" s="1"/>
  <c r="AT203" i="16"/>
  <c r="BJ203" i="16"/>
  <c r="AJ204" i="16"/>
  <c r="CT204" i="16" s="1"/>
  <c r="AZ204" i="16"/>
  <c r="AP205" i="16"/>
  <c r="AF206" i="16"/>
  <c r="CP206" i="16" s="1"/>
  <c r="AV206" i="16"/>
  <c r="BL206" i="16"/>
  <c r="AL207" i="16"/>
  <c r="CV207" i="16" s="1"/>
  <c r="BB207" i="16"/>
  <c r="AQ208" i="16"/>
  <c r="AI209" i="16"/>
  <c r="CS209" i="16" s="1"/>
  <c r="AY209" i="16"/>
  <c r="BO209" i="16"/>
  <c r="AG210" i="16"/>
  <c r="AW210" i="16"/>
  <c r="BM210" i="16"/>
  <c r="AK211" i="16"/>
  <c r="CU211" i="16" s="1"/>
  <c r="BA211" i="16"/>
  <c r="AR212" i="16"/>
  <c r="AX213" i="16"/>
  <c r="AJ214" i="16"/>
  <c r="AW214" i="16"/>
  <c r="BE214" i="16"/>
  <c r="BM214" i="16"/>
  <c r="AU215" i="16"/>
  <c r="BC215" i="16"/>
  <c r="BK215" i="16"/>
  <c r="AS216" i="16"/>
  <c r="BA216" i="16"/>
  <c r="BI216" i="16"/>
  <c r="AQ217" i="16"/>
  <c r="AY217" i="16"/>
  <c r="BG217" i="16"/>
  <c r="AO218" i="16"/>
  <c r="AW218" i="16"/>
  <c r="BE218" i="16"/>
  <c r="AM219" i="16"/>
  <c r="CW219" i="16" s="1"/>
  <c r="AU219" i="16"/>
  <c r="BC219" i="16"/>
  <c r="AK220" i="16"/>
  <c r="CU220" i="16" s="1"/>
  <c r="AS220" i="16"/>
  <c r="BA220" i="16"/>
  <c r="AI221" i="16"/>
  <c r="AQ221" i="16"/>
  <c r="AY221" i="16"/>
  <c r="AG222" i="16"/>
  <c r="CQ222" i="16" s="1"/>
  <c r="AO222" i="16"/>
  <c r="AE223" i="16"/>
  <c r="CO223" i="16" s="1"/>
  <c r="AM223" i="16"/>
  <c r="CW223" i="16" s="1"/>
  <c r="AC224" i="16"/>
  <c r="AK224" i="16"/>
  <c r="CU224" i="16" s="1"/>
  <c r="AS224" i="16"/>
  <c r="BA224" i="16"/>
  <c r="BI224" i="16"/>
  <c r="AI225" i="16"/>
  <c r="CS225" i="16" s="1"/>
  <c r="AQ225" i="16"/>
  <c r="AO226" i="16"/>
  <c r="AW226" i="16"/>
  <c r="BE226" i="16"/>
  <c r="BM226" i="16"/>
  <c r="AE227" i="16"/>
  <c r="CO227" i="16" s="1"/>
  <c r="AM227" i="16"/>
  <c r="CW227" i="16" s="1"/>
  <c r="AK228" i="16"/>
  <c r="CU228" i="16" s="1"/>
  <c r="AS228" i="16"/>
  <c r="AI229" i="16"/>
  <c r="CS229" i="16" s="1"/>
  <c r="AQ229" i="16"/>
  <c r="AG230" i="16"/>
  <c r="CQ230" i="16" s="1"/>
  <c r="AO230" i="16"/>
  <c r="AW230" i="16"/>
  <c r="BH175" i="16"/>
  <c r="AH176" i="16"/>
  <c r="AO177" i="16"/>
  <c r="AO180" i="16"/>
  <c r="AM182" i="16"/>
  <c r="CW182" i="16" s="1"/>
  <c r="AQ183" i="16"/>
  <c r="AE185" i="16"/>
  <c r="CO185" i="16" s="1"/>
  <c r="AE186" i="16"/>
  <c r="CO186" i="16" s="1"/>
  <c r="AC187" i="16"/>
  <c r="AS187" i="16"/>
  <c r="AR188" i="16"/>
  <c r="AP189" i="16"/>
  <c r="BF189" i="16"/>
  <c r="AU190" i="16"/>
  <c r="BK190" i="16"/>
  <c r="AS191" i="16"/>
  <c r="BI191" i="16"/>
  <c r="AB192" i="16"/>
  <c r="CL192" i="16" s="1"/>
  <c r="AR192" i="16"/>
  <c r="BH192" i="16"/>
  <c r="AH193" i="16"/>
  <c r="CR193" i="16" s="1"/>
  <c r="AX193" i="16"/>
  <c r="BN193" i="16"/>
  <c r="AN194" i="16"/>
  <c r="CX194" i="16" s="1"/>
  <c r="BD194" i="16"/>
  <c r="AF195" i="16"/>
  <c r="CP195" i="16" s="1"/>
  <c r="AV195" i="16"/>
  <c r="AJ196" i="16"/>
  <c r="CT196" i="16" s="1"/>
  <c r="AZ196" i="16"/>
  <c r="AP197" i="16"/>
  <c r="AF198" i="16"/>
  <c r="CP198" i="16" s="1"/>
  <c r="AN199" i="16"/>
  <c r="CX199" i="16" s="1"/>
  <c r="AD200" i="16"/>
  <c r="CN200" i="16" s="1"/>
  <c r="AI201" i="16"/>
  <c r="CS201" i="16" s="1"/>
  <c r="AY201" i="16"/>
  <c r="BO201" i="16"/>
  <c r="AO202" i="16"/>
  <c r="BE202" i="16"/>
  <c r="AE203" i="16"/>
  <c r="CO203" i="16" s="1"/>
  <c r="AU203" i="16"/>
  <c r="BK203" i="16"/>
  <c r="AK204" i="16"/>
  <c r="CU204" i="16" s="1"/>
  <c r="BA204" i="16"/>
  <c r="AA205" i="16"/>
  <c r="AQ205" i="16"/>
  <c r="AG206" i="16"/>
  <c r="CQ206" i="16" s="1"/>
  <c r="AW206" i="16"/>
  <c r="BM206" i="16"/>
  <c r="AM207" i="16"/>
  <c r="CW207" i="16" s="1"/>
  <c r="BC207" i="16"/>
  <c r="AR208" i="16"/>
  <c r="AJ209" i="16"/>
  <c r="CT209" i="16" s="1"/>
  <c r="AZ209" i="16"/>
  <c r="BP209" i="16"/>
  <c r="AH210" i="16"/>
  <c r="CR210" i="16" s="1"/>
  <c r="AX210" i="16"/>
  <c r="BN210" i="16"/>
  <c r="AL211" i="16"/>
  <c r="CV211" i="16" s="1"/>
  <c r="BB211" i="16"/>
  <c r="AS212" i="16"/>
  <c r="AY213" i="16"/>
  <c r="AM214" i="16"/>
  <c r="CW214" i="16" s="1"/>
  <c r="AX214" i="16"/>
  <c r="BF214" i="16"/>
  <c r="BN214" i="16"/>
  <c r="AN215" i="16"/>
  <c r="AV215" i="16"/>
  <c r="BD215" i="16"/>
  <c r="BL215" i="16"/>
  <c r="AT216" i="16"/>
  <c r="BB216" i="16"/>
  <c r="BJ216" i="16"/>
  <c r="AR217" i="16"/>
  <c r="AZ217" i="16"/>
  <c r="BH217" i="16"/>
  <c r="AP218" i="16"/>
  <c r="AX218" i="16"/>
  <c r="BF218" i="16"/>
  <c r="AN219" i="16"/>
  <c r="CX219" i="16" s="1"/>
  <c r="AV219" i="16"/>
  <c r="BD219" i="16"/>
  <c r="AL220" i="16"/>
  <c r="CV220" i="16" s="1"/>
  <c r="AT220" i="16"/>
  <c r="BB220" i="16"/>
  <c r="AJ221" i="16"/>
  <c r="CT221" i="16" s="1"/>
  <c r="AR221" i="16"/>
  <c r="AZ221" i="16"/>
  <c r="AH222" i="16"/>
  <c r="CR222" i="16" s="1"/>
  <c r="AP222" i="16"/>
  <c r="AF223" i="16"/>
  <c r="CP223" i="16" s="1"/>
  <c r="AN223" i="16"/>
  <c r="CX223" i="16" s="1"/>
  <c r="AD224" i="16"/>
  <c r="CN224" i="16" s="1"/>
  <c r="AL224" i="16"/>
  <c r="CV224" i="16" s="1"/>
  <c r="AT224" i="16"/>
  <c r="BB224" i="16"/>
  <c r="BJ224" i="16"/>
  <c r="AJ225" i="16"/>
  <c r="CT225" i="16" s="1"/>
  <c r="AR225" i="16"/>
  <c r="AP226" i="16"/>
  <c r="AX226" i="16"/>
  <c r="BF226" i="16"/>
  <c r="BN226" i="16"/>
  <c r="AF227" i="16"/>
  <c r="CP227" i="16" s="1"/>
  <c r="AN227" i="16"/>
  <c r="CX227" i="16" s="1"/>
  <c r="AD228" i="16"/>
  <c r="AL228" i="16"/>
  <c r="CV228" i="16" s="1"/>
  <c r="AJ229" i="16"/>
  <c r="CT229" i="16" s="1"/>
  <c r="AR229" i="16"/>
  <c r="AH230" i="16"/>
  <c r="CR230" i="16" s="1"/>
  <c r="AP230" i="16"/>
  <c r="AX230" i="16"/>
  <c r="AO173" i="16"/>
  <c r="AN174" i="16"/>
  <c r="CX174" i="16" s="1"/>
  <c r="BI175" i="16"/>
  <c r="AI176" i="16"/>
  <c r="CS176" i="16" s="1"/>
  <c r="AP177" i="16"/>
  <c r="AP180" i="16"/>
  <c r="AN182" i="16"/>
  <c r="CX182" i="16" s="1"/>
  <c r="AR183" i="16"/>
  <c r="AF185" i="16"/>
  <c r="CP185" i="16" s="1"/>
  <c r="AF186" i="16"/>
  <c r="CP186" i="16" s="1"/>
  <c r="AD187" i="16"/>
  <c r="CN187" i="16" s="1"/>
  <c r="AT187" i="16"/>
  <c r="AC188" i="16"/>
  <c r="AS188" i="16"/>
  <c r="AQ189" i="16"/>
  <c r="BG189" i="16"/>
  <c r="AV190" i="16"/>
  <c r="BL190" i="16"/>
  <c r="AT191" i="16"/>
  <c r="BJ191" i="16"/>
  <c r="AC192" i="16"/>
  <c r="CM192" i="16" s="1"/>
  <c r="AS192" i="16"/>
  <c r="BI192" i="16"/>
  <c r="AI193" i="16"/>
  <c r="CS193" i="16" s="1"/>
  <c r="AY193" i="16"/>
  <c r="BO193" i="16"/>
  <c r="AO194" i="16"/>
  <c r="BE194" i="16"/>
  <c r="AK195" i="16"/>
  <c r="CU195" i="16" s="1"/>
  <c r="AK196" i="16"/>
  <c r="CU196" i="16" s="1"/>
  <c r="BA196" i="16"/>
  <c r="AA197" i="16"/>
  <c r="AQ197" i="16"/>
  <c r="AG198" i="16"/>
  <c r="CQ198" i="16" s="1"/>
  <c r="AC199" i="16"/>
  <c r="CM199" i="16" s="1"/>
  <c r="AS199" i="16"/>
  <c r="AJ201" i="16"/>
  <c r="CT201" i="16" s="1"/>
  <c r="AZ201" i="16"/>
  <c r="AP202" i="16"/>
  <c r="BF202" i="16"/>
  <c r="AF203" i="16"/>
  <c r="CP203" i="16" s="1"/>
  <c r="AV203" i="16"/>
  <c r="BL203" i="16"/>
  <c r="AL204" i="16"/>
  <c r="CV204" i="16" s="1"/>
  <c r="AB205" i="16"/>
  <c r="CL205" i="16" s="1"/>
  <c r="AR205" i="16"/>
  <c r="AH206" i="16"/>
  <c r="CR206" i="16" s="1"/>
  <c r="AX206" i="16"/>
  <c r="BN206" i="16"/>
  <c r="AN207" i="16"/>
  <c r="CX207" i="16" s="1"/>
  <c r="BD207" i="16"/>
  <c r="AS208" i="16"/>
  <c r="AO209" i="16"/>
  <c r="BE209" i="16"/>
  <c r="AM210" i="16"/>
  <c r="CW210" i="16" s="1"/>
  <c r="BC210" i="16"/>
  <c r="AM211" i="16"/>
  <c r="CW211" i="16" s="1"/>
  <c r="BC211" i="16"/>
  <c r="AT212" i="16"/>
  <c r="AJ213" i="16"/>
  <c r="AZ213" i="16"/>
  <c r="AN214" i="16"/>
  <c r="CX214" i="16" s="1"/>
  <c r="AY214" i="16"/>
  <c r="BG214" i="16"/>
  <c r="BO214" i="16"/>
  <c r="AO215" i="16"/>
  <c r="AW215" i="16"/>
  <c r="BE215" i="16"/>
  <c r="AU216" i="16"/>
  <c r="BC216" i="16"/>
  <c r="BK216" i="16"/>
  <c r="AS217" i="16"/>
  <c r="BA217" i="16"/>
  <c r="BI217" i="16"/>
  <c r="AQ218" i="16"/>
  <c r="AY218" i="16"/>
  <c r="BG218" i="16"/>
  <c r="AO219" i="16"/>
  <c r="AW219" i="16"/>
  <c r="BE219" i="16"/>
  <c r="AM220" i="16"/>
  <c r="CW220" i="16" s="1"/>
  <c r="AU220" i="16"/>
  <c r="BC220" i="16"/>
  <c r="AK221" i="16"/>
  <c r="CU221" i="16" s="1"/>
  <c r="AS221" i="16"/>
  <c r="AS174" i="16"/>
  <c r="BJ175" i="16"/>
  <c r="AJ176" i="16"/>
  <c r="CT176" i="16" s="1"/>
  <c r="BC177" i="16"/>
  <c r="AQ180" i="16"/>
  <c r="AE181" i="16"/>
  <c r="CO181" i="16" s="1"/>
  <c r="AS182" i="16"/>
  <c r="AS183" i="16"/>
  <c r="AA184" i="16"/>
  <c r="AG185" i="16"/>
  <c r="CQ185" i="16" s="1"/>
  <c r="AG186" i="16"/>
  <c r="CQ186" i="16" s="1"/>
  <c r="AE187" i="16"/>
  <c r="CO187" i="16" s="1"/>
  <c r="AU187" i="16"/>
  <c r="AD188" i="16"/>
  <c r="CN188" i="16" s="1"/>
  <c r="AT188" i="16"/>
  <c r="AR189" i="16"/>
  <c r="BH189" i="16"/>
  <c r="AW190" i="16"/>
  <c r="BM190" i="16"/>
  <c r="AU191" i="16"/>
  <c r="BK191" i="16"/>
  <c r="AD192" i="16"/>
  <c r="CN192" i="16" s="1"/>
  <c r="AT192" i="16"/>
  <c r="BJ192" i="16"/>
  <c r="AJ193" i="16"/>
  <c r="CT193" i="16" s="1"/>
  <c r="AZ193" i="16"/>
  <c r="AP194" i="16"/>
  <c r="AL195" i="16"/>
  <c r="CV195" i="16" s="1"/>
  <c r="AL196" i="16"/>
  <c r="CV196" i="16" s="1"/>
  <c r="BB196" i="16"/>
  <c r="AB197" i="16"/>
  <c r="CL197" i="16" s="1"/>
  <c r="AR197" i="16"/>
  <c r="AH198" i="16"/>
  <c r="CR198" i="16" s="1"/>
  <c r="AD199" i="16"/>
  <c r="CN199" i="16" s="1"/>
  <c r="AT199" i="16"/>
  <c r="AO201" i="16"/>
  <c r="BE201" i="16"/>
  <c r="AE202" i="16"/>
  <c r="CO202" i="16" s="1"/>
  <c r="AU202" i="16"/>
  <c r="BK202" i="16"/>
  <c r="AK203" i="16"/>
  <c r="CU203" i="16" s="1"/>
  <c r="BA203" i="16"/>
  <c r="AA204" i="16"/>
  <c r="AQ204" i="16"/>
  <c r="AG205" i="16"/>
  <c r="CQ205" i="16" s="1"/>
  <c r="AW205" i="16"/>
  <c r="AM206" i="16"/>
  <c r="CW206" i="16" s="1"/>
  <c r="BC206" i="16"/>
  <c r="AC207" i="16"/>
  <c r="CM207" i="16" s="1"/>
  <c r="AS207" i="16"/>
  <c r="BI207" i="16"/>
  <c r="AD208" i="16"/>
  <c r="AT208" i="16"/>
  <c r="AP209" i="16"/>
  <c r="BF209" i="16"/>
  <c r="AN210" i="16"/>
  <c r="CX210" i="16" s="1"/>
  <c r="BD210" i="16"/>
  <c r="AN211" i="16"/>
  <c r="CX211" i="16" s="1"/>
  <c r="BD211" i="16"/>
  <c r="AY212" i="16"/>
  <c r="AO213" i="16"/>
  <c r="BE213" i="16"/>
  <c r="AO214" i="16"/>
  <c r="AZ214" i="16"/>
  <c r="BH214" i="16"/>
  <c r="BP214" i="16"/>
  <c r="AP215" i="16"/>
  <c r="AX215" i="16"/>
  <c r="BF215" i="16"/>
  <c r="AN216" i="16"/>
  <c r="AV216" i="16"/>
  <c r="BD216" i="16"/>
  <c r="BL216" i="16"/>
  <c r="AT217" i="16"/>
  <c r="BB217" i="16"/>
  <c r="BJ217" i="16"/>
  <c r="AR218" i="16"/>
  <c r="AZ218" i="16"/>
  <c r="BH218" i="16"/>
  <c r="AP219" i="16"/>
  <c r="AX219" i="16"/>
  <c r="BF219" i="16"/>
  <c r="AN220" i="16"/>
  <c r="CX220" i="16" s="1"/>
  <c r="AV220" i="16"/>
  <c r="BD220" i="16"/>
  <c r="AT174" i="16"/>
  <c r="AQ175" i="16"/>
  <c r="AW176" i="16"/>
  <c r="BD177" i="16"/>
  <c r="AK178" i="16"/>
  <c r="CU178" i="16" s="1"/>
  <c r="AR180" i="16"/>
  <c r="AF181" i="16"/>
  <c r="CP181" i="16" s="1"/>
  <c r="AT182" i="16"/>
  <c r="AB184" i="16"/>
  <c r="CL184" i="16" s="1"/>
  <c r="AH185" i="16"/>
  <c r="CR185" i="16" s="1"/>
  <c r="AH186" i="16"/>
  <c r="CR186" i="16" s="1"/>
  <c r="AF187" i="16"/>
  <c r="CP187" i="16" s="1"/>
  <c r="AV187" i="16"/>
  <c r="AI188" i="16"/>
  <c r="CS188" i="16" s="1"/>
  <c r="AY188" i="16"/>
  <c r="AG189" i="16"/>
  <c r="AW189" i="16"/>
  <c r="AX190" i="16"/>
  <c r="BN190" i="16"/>
  <c r="AV191" i="16"/>
  <c r="BL191" i="16"/>
  <c r="AI192" i="16"/>
  <c r="CS192" i="16" s="1"/>
  <c r="AY192" i="16"/>
  <c r="BO192" i="16"/>
  <c r="AO193" i="16"/>
  <c r="BE193" i="16"/>
  <c r="AE194" i="16"/>
  <c r="CO194" i="16" s="1"/>
  <c r="AU194" i="16"/>
  <c r="AM195" i="16"/>
  <c r="CW195" i="16" s="1"/>
  <c r="AA196" i="16"/>
  <c r="AQ196" i="16"/>
  <c r="AG197" i="16"/>
  <c r="CQ197" i="16" s="1"/>
  <c r="AW197" i="16"/>
  <c r="AM198" i="16"/>
  <c r="CW198" i="16" s="1"/>
  <c r="AE199" i="16"/>
  <c r="CO199" i="16" s="1"/>
  <c r="AU199" i="16"/>
  <c r="AP201" i="16"/>
  <c r="BF201" i="16"/>
  <c r="AF202" i="16"/>
  <c r="CP202" i="16" s="1"/>
  <c r="AV202" i="16"/>
  <c r="BL202" i="16"/>
  <c r="AL203" i="16"/>
  <c r="CV203" i="16" s="1"/>
  <c r="BB203" i="16"/>
  <c r="AB204" i="16"/>
  <c r="CL204" i="16" s="1"/>
  <c r="AR204" i="16"/>
  <c r="AH205" i="16"/>
  <c r="CR205" i="16" s="1"/>
  <c r="AX205" i="16"/>
  <c r="AN206" i="16"/>
  <c r="CX206" i="16" s="1"/>
  <c r="BD206" i="16"/>
  <c r="AD207" i="16"/>
  <c r="CN207" i="16" s="1"/>
  <c r="AT207" i="16"/>
  <c r="BJ207" i="16"/>
  <c r="AI208" i="16"/>
  <c r="CS208" i="16" s="1"/>
  <c r="AQ209" i="16"/>
  <c r="BG209" i="16"/>
  <c r="AO210" i="16"/>
  <c r="BE210" i="16"/>
  <c r="AS211" i="16"/>
  <c r="BI211" i="16"/>
  <c r="AJ212" i="16"/>
  <c r="AZ212" i="16"/>
  <c r="AP213" i="16"/>
  <c r="BF213" i="16"/>
  <c r="AP214" i="16"/>
  <c r="BA214" i="16"/>
  <c r="BI214" i="16"/>
  <c r="AQ215" i="16"/>
  <c r="AY215" i="16"/>
  <c r="BG215" i="16"/>
  <c r="AO216" i="16"/>
  <c r="AW216" i="16"/>
  <c r="BE216" i="16"/>
  <c r="AU217" i="16"/>
  <c r="BC217" i="16"/>
  <c r="BK217" i="16"/>
  <c r="AS218" i="16"/>
  <c r="BA218" i="16"/>
  <c r="BI218" i="16"/>
  <c r="AI219" i="16"/>
  <c r="AQ219" i="16"/>
  <c r="AY219" i="16"/>
  <c r="BG219" i="16"/>
  <c r="AO220" i="16"/>
  <c r="AW220" i="16"/>
  <c r="BE220" i="16"/>
  <c r="AU174" i="16"/>
  <c r="AR175" i="16"/>
  <c r="AX176" i="16"/>
  <c r="BE177" i="16"/>
  <c r="AL178" i="16"/>
  <c r="CV178" i="16" s="1"/>
  <c r="AQ179" i="16"/>
  <c r="AO181" i="16"/>
  <c r="AO184" i="16"/>
  <c r="AU185" i="16"/>
  <c r="AM186" i="16"/>
  <c r="CW186" i="16" s="1"/>
  <c r="AK187" i="16"/>
  <c r="CU187" i="16" s="1"/>
  <c r="AJ188" i="16"/>
  <c r="CT188" i="16" s="1"/>
  <c r="AZ188" i="16"/>
  <c r="AH189" i="16"/>
  <c r="CR189" i="16" s="1"/>
  <c r="AX189" i="16"/>
  <c r="BC190" i="16"/>
  <c r="AK191" i="16"/>
  <c r="CU191" i="16" s="1"/>
  <c r="BA191" i="16"/>
  <c r="AJ192" i="16"/>
  <c r="CT192" i="16" s="1"/>
  <c r="AZ192" i="16"/>
  <c r="AP193" i="16"/>
  <c r="BF193" i="16"/>
  <c r="AF194" i="16"/>
  <c r="CP194" i="16" s="1"/>
  <c r="AV194" i="16"/>
  <c r="AN195" i="16"/>
  <c r="CX195" i="16" s="1"/>
  <c r="AB196" i="16"/>
  <c r="CL196" i="16" s="1"/>
  <c r="AR196" i="16"/>
  <c r="AH197" i="16"/>
  <c r="CR197" i="16" s="1"/>
  <c r="AX197" i="16"/>
  <c r="AF199" i="16"/>
  <c r="CP199" i="16" s="1"/>
  <c r="AV199" i="16"/>
  <c r="AA201" i="16"/>
  <c r="AQ201" i="16"/>
  <c r="BG201" i="16"/>
  <c r="AG202" i="16"/>
  <c r="CQ202" i="16" s="1"/>
  <c r="AW202" i="16"/>
  <c r="BM202" i="16"/>
  <c r="AM203" i="16"/>
  <c r="CW203" i="16" s="1"/>
  <c r="BC203" i="16"/>
  <c r="AC204" i="16"/>
  <c r="CM204" i="16" s="1"/>
  <c r="AS204" i="16"/>
  <c r="AI205" i="16"/>
  <c r="CS205" i="16" s="1"/>
  <c r="AY205" i="16"/>
  <c r="AO206" i="16"/>
  <c r="BE206" i="16"/>
  <c r="AE207" i="16"/>
  <c r="CO207" i="16" s="1"/>
  <c r="AU207" i="16"/>
  <c r="BK207" i="16"/>
  <c r="AJ208" i="16"/>
  <c r="CT208" i="16" s="1"/>
  <c r="AR209" i="16"/>
  <c r="BH209" i="16"/>
  <c r="AP210" i="16"/>
  <c r="BF210" i="16"/>
  <c r="AT211" i="16"/>
  <c r="BJ211" i="16"/>
  <c r="AK212" i="16"/>
  <c r="CU212" i="16" s="1"/>
  <c r="BA212" i="16"/>
  <c r="AQ213" i="16"/>
  <c r="BG213" i="16"/>
  <c r="AR214" i="16"/>
  <c r="BB214" i="16"/>
  <c r="BJ214" i="16"/>
  <c r="AR215" i="16"/>
  <c r="AZ215" i="16"/>
  <c r="BH215" i="16"/>
  <c r="AP216" i="16"/>
  <c r="AX216" i="16"/>
  <c r="BF216" i="16"/>
  <c r="AN217" i="16"/>
  <c r="AV217" i="16"/>
  <c r="BD217" i="16"/>
  <c r="BL217" i="16"/>
  <c r="AT218" i="16"/>
  <c r="BB218" i="16"/>
  <c r="BJ218" i="16"/>
  <c r="AJ219" i="16"/>
  <c r="CT219" i="16" s="1"/>
  <c r="AR219" i="16"/>
  <c r="AZ219" i="16"/>
  <c r="BH219" i="16"/>
  <c r="AP220" i="16"/>
  <c r="AX220" i="16"/>
  <c r="BF220" i="16"/>
  <c r="AN221" i="16"/>
  <c r="CX221" i="16" s="1"/>
  <c r="AV221" i="16"/>
  <c r="BD174" i="16"/>
  <c r="AS175" i="16"/>
  <c r="AY176" i="16"/>
  <c r="BF177" i="16"/>
  <c r="AM178" i="16"/>
  <c r="CW178" i="16" s="1"/>
  <c r="AR179" i="16"/>
  <c r="AP181" i="16"/>
  <c r="AP184" i="16"/>
  <c r="AV185" i="16"/>
  <c r="AN186" i="16"/>
  <c r="CX186" i="16" s="1"/>
  <c r="AL187" i="16"/>
  <c r="CV187" i="16" s="1"/>
  <c r="AK188" i="16"/>
  <c r="CU188" i="16" s="1"/>
  <c r="BA188" i="16"/>
  <c r="AI189" i="16"/>
  <c r="CS189" i="16" s="1"/>
  <c r="AY189" i="16"/>
  <c r="AN190" i="16"/>
  <c r="BD190" i="16"/>
  <c r="AL191" i="16"/>
  <c r="CV191" i="16" s="1"/>
  <c r="BB191" i="16"/>
  <c r="AK192" i="16"/>
  <c r="CU192" i="16" s="1"/>
  <c r="BA192" i="16"/>
  <c r="AA193" i="16"/>
  <c r="AQ193" i="16"/>
  <c r="BG193" i="16"/>
  <c r="AG194" i="16"/>
  <c r="CQ194" i="16" s="1"/>
  <c r="AW194" i="16"/>
  <c r="AC195" i="16"/>
  <c r="CM195" i="16" s="1"/>
  <c r="AS195" i="16"/>
  <c r="AC196" i="16"/>
  <c r="CM196" i="16" s="1"/>
  <c r="AS196" i="16"/>
  <c r="AI197" i="16"/>
  <c r="CS197" i="16" s="1"/>
  <c r="AY197" i="16"/>
  <c r="AK199" i="16"/>
  <c r="CU199" i="16" s="1"/>
  <c r="AA200" i="16"/>
  <c r="AB201" i="16"/>
  <c r="CL201" i="16" s="1"/>
  <c r="AR201" i="16"/>
  <c r="BH201" i="16"/>
  <c r="AH202" i="16"/>
  <c r="CR202" i="16" s="1"/>
  <c r="AX202" i="16"/>
  <c r="BN202" i="16"/>
  <c r="AN203" i="16"/>
  <c r="CX203" i="16" s="1"/>
  <c r="BD203" i="16"/>
  <c r="AD204" i="16"/>
  <c r="CN204" i="16" s="1"/>
  <c r="AT204" i="16"/>
  <c r="AJ205" i="16"/>
  <c r="CT205" i="16" s="1"/>
  <c r="AZ205" i="16"/>
  <c r="AP206" i="16"/>
  <c r="BF206" i="16"/>
  <c r="AF207" i="16"/>
  <c r="CP207" i="16" s="1"/>
  <c r="AV207" i="16"/>
  <c r="BL207" i="16"/>
  <c r="AK208" i="16"/>
  <c r="CU208" i="16" s="1"/>
  <c r="AG209" i="16"/>
  <c r="AW209" i="16"/>
  <c r="BM209" i="16"/>
  <c r="AU210" i="16"/>
  <c r="BK210" i="16"/>
  <c r="AU211" i="16"/>
  <c r="BK211" i="16"/>
  <c r="AL212" i="16"/>
  <c r="CV212" i="16" s="1"/>
  <c r="BB212" i="16"/>
  <c r="AR213" i="16"/>
  <c r="BH213" i="16"/>
  <c r="AU214" i="16"/>
  <c r="BC214" i="16"/>
  <c r="BK214" i="16"/>
  <c r="AS215" i="16"/>
  <c r="BA215" i="16"/>
  <c r="BI215" i="16"/>
  <c r="AQ216" i="16"/>
  <c r="AY216" i="16"/>
  <c r="BG216" i="16"/>
  <c r="AO217" i="16"/>
  <c r="AW217" i="16"/>
  <c r="BE217" i="16"/>
  <c r="AU218" i="16"/>
  <c r="BC218" i="16"/>
  <c r="BK218" i="16"/>
  <c r="AK219" i="16"/>
  <c r="CU219" i="16" s="1"/>
  <c r="AS219" i="16"/>
  <c r="BA219" i="16"/>
  <c r="AI220" i="16"/>
  <c r="AQ220" i="16"/>
  <c r="AY220" i="16"/>
  <c r="BG220" i="16"/>
  <c r="AO221" i="16"/>
  <c r="AW221" i="16"/>
  <c r="AE222" i="16"/>
  <c r="CO222" i="16" s="1"/>
  <c r="AM222" i="16"/>
  <c r="CW222" i="16" s="1"/>
  <c r="AC223" i="16"/>
  <c r="AK223" i="16"/>
  <c r="CU223" i="16" s="1"/>
  <c r="AI224" i="16"/>
  <c r="CS224" i="16" s="1"/>
  <c r="AQ224" i="16"/>
  <c r="AY224" i="16"/>
  <c r="BG224" i="16"/>
  <c r="BO224" i="16"/>
  <c r="AG225" i="16"/>
  <c r="CQ225" i="16" s="1"/>
  <c r="AO225" i="16"/>
  <c r="AM226" i="16"/>
  <c r="CW226" i="16" s="1"/>
  <c r="AU226" i="16"/>
  <c r="BC226" i="16"/>
  <c r="BK226" i="16"/>
  <c r="AK227" i="16"/>
  <c r="CU227" i="16" s="1"/>
  <c r="AS227" i="16"/>
  <c r="AI228" i="16"/>
  <c r="CS228" i="16" s="1"/>
  <c r="AQ228" i="16"/>
  <c r="AG229" i="16"/>
  <c r="CQ229" i="16" s="1"/>
  <c r="AO229" i="16"/>
  <c r="AW229" i="16"/>
  <c r="AE230" i="16"/>
  <c r="CO230" i="16" s="1"/>
  <c r="AM230" i="16"/>
  <c r="CW230" i="16" s="1"/>
  <c r="AU230" i="16"/>
  <c r="BC230" i="16"/>
  <c r="BC221" i="16"/>
  <c r="AC222" i="16"/>
  <c r="AQ223" i="16"/>
  <c r="AM224" i="16"/>
  <c r="CW224" i="16" s="1"/>
  <c r="BC224" i="16"/>
  <c r="AM225" i="16"/>
  <c r="CW225" i="16" s="1"/>
  <c r="AS226" i="16"/>
  <c r="BI226" i="16"/>
  <c r="AH227" i="16"/>
  <c r="CR227" i="16" s="1"/>
  <c r="AP228" i="16"/>
  <c r="AM229" i="16"/>
  <c r="CW229" i="16" s="1"/>
  <c r="AQ230" i="16"/>
  <c r="AH50" i="16"/>
  <c r="CR50" i="16" s="1"/>
  <c r="AP50" i="16"/>
  <c r="AX50" i="16"/>
  <c r="AF51" i="16"/>
  <c r="CP51" i="16" s="1"/>
  <c r="AN51" i="16"/>
  <c r="CX51" i="16" s="1"/>
  <c r="AV51" i="16"/>
  <c r="AL52" i="16"/>
  <c r="CV52" i="16" s="1"/>
  <c r="AT52" i="16"/>
  <c r="BB52" i="16"/>
  <c r="AJ53" i="16"/>
  <c r="CT53" i="16" s="1"/>
  <c r="AR53" i="16"/>
  <c r="AZ53" i="16"/>
  <c r="AP54" i="16"/>
  <c r="AX54" i="16"/>
  <c r="BF54" i="16"/>
  <c r="BN54" i="16"/>
  <c r="AN55" i="16"/>
  <c r="CX55" i="16" s="1"/>
  <c r="AV55" i="16"/>
  <c r="AT56" i="16"/>
  <c r="BB56" i="16"/>
  <c r="AJ57" i="16"/>
  <c r="CT57" i="16" s="1"/>
  <c r="AR57" i="16"/>
  <c r="AZ57" i="16"/>
  <c r="BH57" i="16"/>
  <c r="AH58" i="16"/>
  <c r="CR58" i="16" s="1"/>
  <c r="AP58" i="16"/>
  <c r="AF59" i="16"/>
  <c r="AN59" i="16"/>
  <c r="CX59" i="16" s="1"/>
  <c r="AV59" i="16"/>
  <c r="BD59" i="16"/>
  <c r="AL60" i="16"/>
  <c r="CV60" i="16" s="1"/>
  <c r="AT60" i="16"/>
  <c r="BB60" i="16"/>
  <c r="AJ61" i="16"/>
  <c r="AR61" i="16"/>
  <c r="AZ61" i="16"/>
  <c r="AH49" i="16"/>
  <c r="CR49" i="16" s="1"/>
  <c r="AP49" i="16"/>
  <c r="AX49" i="16"/>
  <c r="CH114" i="16"/>
  <c r="CH115" i="16"/>
  <c r="CH202" i="16"/>
  <c r="CH203" i="16"/>
  <c r="BZ64" i="16"/>
  <c r="BY65" i="16"/>
  <c r="BW83" i="16"/>
  <c r="BV92" i="16"/>
  <c r="BX106" i="16"/>
  <c r="BX114" i="16"/>
  <c r="BW115" i="16"/>
  <c r="BZ136" i="16"/>
  <c r="BY137" i="16"/>
  <c r="BU149" i="16"/>
  <c r="BT190" i="16"/>
  <c r="BX202" i="16"/>
  <c r="BW203" i="16"/>
  <c r="BT206" i="16"/>
  <c r="BZ224" i="16"/>
  <c r="BQ65" i="16"/>
  <c r="BQ93" i="16"/>
  <c r="BQ117" i="16"/>
  <c r="BQ137" i="16"/>
  <c r="BQ149" i="16"/>
  <c r="BQ209" i="16"/>
  <c r="AK50" i="16"/>
  <c r="CU50" i="16" s="1"/>
  <c r="AQ51" i="16"/>
  <c r="AW52" i="16"/>
  <c r="AU53" i="16"/>
  <c r="AK54" i="16"/>
  <c r="CU54" i="16" s="1"/>
  <c r="AU57" i="16"/>
  <c r="AS58" i="16"/>
  <c r="AY59" i="16"/>
  <c r="BE60" i="16"/>
  <c r="BC61" i="16"/>
  <c r="CC114" i="16"/>
  <c r="CC137" i="16"/>
  <c r="BZ115" i="16"/>
  <c r="BU136" i="16"/>
  <c r="BX149" i="16"/>
  <c r="BU224" i="16"/>
  <c r="BR114" i="16"/>
  <c r="BR190" i="16"/>
  <c r="BF60" i="16"/>
  <c r="AL49" i="16"/>
  <c r="CV49" i="16" s="1"/>
  <c r="CD106" i="16"/>
  <c r="CD115" i="16"/>
  <c r="CD203" i="16"/>
  <c r="BU65" i="16"/>
  <c r="BQ83" i="16"/>
  <c r="BV65" i="16"/>
  <c r="BT83" i="16"/>
  <c r="CA92" i="16"/>
  <c r="BU114" i="16"/>
  <c r="BV137" i="16"/>
  <c r="BW224" i="16"/>
  <c r="BT92" i="16"/>
  <c r="BU115" i="16"/>
  <c r="BX224" i="16"/>
  <c r="AD222" i="16"/>
  <c r="CN222" i="16" s="1"/>
  <c r="AR223" i="16"/>
  <c r="AN224" i="16"/>
  <c r="CX224" i="16" s="1"/>
  <c r="BD224" i="16"/>
  <c r="AN225" i="16"/>
  <c r="CX225" i="16" s="1"/>
  <c r="AT226" i="16"/>
  <c r="BJ226" i="16"/>
  <c r="AI227" i="16"/>
  <c r="CS227" i="16" s="1"/>
  <c r="AE228" i="16"/>
  <c r="CO228" i="16" s="1"/>
  <c r="AN229" i="16"/>
  <c r="CX229" i="16" s="1"/>
  <c r="AR230" i="16"/>
  <c r="AI50" i="16"/>
  <c r="CS50" i="16" s="1"/>
  <c r="AQ50" i="16"/>
  <c r="AY50" i="16"/>
  <c r="AG51" i="16"/>
  <c r="CQ51" i="16" s="1"/>
  <c r="AO51" i="16"/>
  <c r="AW51" i="16"/>
  <c r="AE52" i="16"/>
  <c r="AM52" i="16"/>
  <c r="CW52" i="16" s="1"/>
  <c r="AU52" i="16"/>
  <c r="BC52" i="16"/>
  <c r="AK53" i="16"/>
  <c r="CU53" i="16" s="1"/>
  <c r="AS53" i="16"/>
  <c r="BA53" i="16"/>
  <c r="AI54" i="16"/>
  <c r="AQ54" i="16"/>
  <c r="AY54" i="16"/>
  <c r="BG54" i="16"/>
  <c r="BO54" i="16"/>
  <c r="AO55" i="16"/>
  <c r="AW55" i="16"/>
  <c r="AM56" i="16"/>
  <c r="AU56" i="16"/>
  <c r="AK57" i="16"/>
  <c r="CU57" i="16" s="1"/>
  <c r="AS57" i="16"/>
  <c r="BA57" i="16"/>
  <c r="AI58" i="16"/>
  <c r="CS58" i="16" s="1"/>
  <c r="AQ58" i="16"/>
  <c r="AG59" i="16"/>
  <c r="CQ59" i="16" s="1"/>
  <c r="AO59" i="16"/>
  <c r="AW59" i="16"/>
  <c r="BE59" i="16"/>
  <c r="AM60" i="16"/>
  <c r="CW60" i="16" s="1"/>
  <c r="AU60" i="16"/>
  <c r="BC60" i="16"/>
  <c r="AK61" i="16"/>
  <c r="CU61" i="16" s="1"/>
  <c r="AS61" i="16"/>
  <c r="BA61" i="16"/>
  <c r="AI49" i="16"/>
  <c r="CS49" i="16" s="1"/>
  <c r="AQ49" i="16"/>
  <c r="AY49" i="16"/>
  <c r="CI114" i="16"/>
  <c r="CI115" i="16"/>
  <c r="CI202" i="16"/>
  <c r="CI203" i="16"/>
  <c r="BS64" i="16"/>
  <c r="CA64" i="16"/>
  <c r="BZ65" i="16"/>
  <c r="BX83" i="16"/>
  <c r="BW92" i="16"/>
  <c r="BY106" i="16"/>
  <c r="BY114" i="16"/>
  <c r="BX115" i="16"/>
  <c r="BS136" i="16"/>
  <c r="CA136" i="16"/>
  <c r="BZ137" i="16"/>
  <c r="BV149" i="16"/>
  <c r="BY202" i="16"/>
  <c r="BX203" i="16"/>
  <c r="BU206" i="16"/>
  <c r="BS224" i="16"/>
  <c r="CA224" i="16"/>
  <c r="BR65" i="16"/>
  <c r="BR137" i="16"/>
  <c r="BR149" i="16"/>
  <c r="BR209" i="16"/>
  <c r="BA50" i="16"/>
  <c r="AO52" i="16"/>
  <c r="AM53" i="16"/>
  <c r="CW53" i="16" s="1"/>
  <c r="BI54" i="16"/>
  <c r="AY55" i="16"/>
  <c r="AM57" i="16"/>
  <c r="AK58" i="16"/>
  <c r="CU58" i="16" s="1"/>
  <c r="AQ59" i="16"/>
  <c r="AO60" i="16"/>
  <c r="AM61" i="16"/>
  <c r="CW61" i="16" s="1"/>
  <c r="AK49" i="16"/>
  <c r="CU49" i="16" s="1"/>
  <c r="CC92" i="16"/>
  <c r="CC115" i="16"/>
  <c r="CC136" i="16"/>
  <c r="CC202" i="16"/>
  <c r="BT65" i="16"/>
  <c r="BT137" i="16"/>
  <c r="CA202" i="16"/>
  <c r="BW206" i="16"/>
  <c r="BR206" i="16"/>
  <c r="AH52" i="16"/>
  <c r="CR52" i="16" s="1"/>
  <c r="AX56" i="16"/>
  <c r="BD57" i="16"/>
  <c r="AL58" i="16"/>
  <c r="CV58" i="16" s="1"/>
  <c r="AR59" i="16"/>
  <c r="AP60" i="16"/>
  <c r="AN61" i="16"/>
  <c r="CX61" i="16" s="1"/>
  <c r="CD114" i="16"/>
  <c r="BV64" i="16"/>
  <c r="BT114" i="16"/>
  <c r="BV136" i="16"/>
  <c r="BY149" i="16"/>
  <c r="CA203" i="16"/>
  <c r="CE203" i="16"/>
  <c r="BR115" i="16"/>
  <c r="BV106" i="16"/>
  <c r="BW137" i="16"/>
  <c r="BQ224" i="16"/>
  <c r="AL221" i="16"/>
  <c r="CV221" i="16" s="1"/>
  <c r="AI222" i="16"/>
  <c r="CS222" i="16" s="1"/>
  <c r="AG223" i="16"/>
  <c r="CQ223" i="16" s="1"/>
  <c r="AO224" i="16"/>
  <c r="BE224" i="16"/>
  <c r="AC225" i="16"/>
  <c r="AY226" i="16"/>
  <c r="BO226" i="16"/>
  <c r="AJ227" i="16"/>
  <c r="CT227" i="16" s="1"/>
  <c r="AF228" i="16"/>
  <c r="CP228" i="16" s="1"/>
  <c r="AS229" i="16"/>
  <c r="AS230" i="16"/>
  <c r="AJ50" i="16"/>
  <c r="CT50" i="16" s="1"/>
  <c r="AR50" i="16"/>
  <c r="AZ50" i="16"/>
  <c r="AH51" i="16"/>
  <c r="CR51" i="16" s="1"/>
  <c r="AP51" i="16"/>
  <c r="AX51" i="16"/>
  <c r="AF52" i="16"/>
  <c r="CP52" i="16" s="1"/>
  <c r="AN52" i="16"/>
  <c r="CX52" i="16" s="1"/>
  <c r="AV52" i="16"/>
  <c r="BD52" i="16"/>
  <c r="AL53" i="16"/>
  <c r="CV53" i="16" s="1"/>
  <c r="AT53" i="16"/>
  <c r="BB53" i="16"/>
  <c r="AJ54" i="16"/>
  <c r="CT54" i="16" s="1"/>
  <c r="AR54" i="16"/>
  <c r="AZ54" i="16"/>
  <c r="BH54" i="16"/>
  <c r="AP55" i="16"/>
  <c r="AX55" i="16"/>
  <c r="AN56" i="16"/>
  <c r="CX56" i="16" s="1"/>
  <c r="AV56" i="16"/>
  <c r="AL57" i="16"/>
  <c r="CV57" i="16" s="1"/>
  <c r="AT57" i="16"/>
  <c r="BB57" i="16"/>
  <c r="AJ58" i="16"/>
  <c r="CT58" i="16" s="1"/>
  <c r="AR58" i="16"/>
  <c r="AH59" i="16"/>
  <c r="CR59" i="16" s="1"/>
  <c r="AP59" i="16"/>
  <c r="AX59" i="16"/>
  <c r="BF59" i="16"/>
  <c r="AN60" i="16"/>
  <c r="CX60" i="16" s="1"/>
  <c r="AV60" i="16"/>
  <c r="BD60" i="16"/>
  <c r="AL61" i="16"/>
  <c r="CV61" i="16" s="1"/>
  <c r="AT61" i="16"/>
  <c r="BB61" i="16"/>
  <c r="AJ49" i="16"/>
  <c r="CT49" i="16" s="1"/>
  <c r="AR49" i="16"/>
  <c r="AZ49" i="16"/>
  <c r="CB92" i="16"/>
  <c r="CB106" i="16"/>
  <c r="CB114" i="16"/>
  <c r="CB115" i="16"/>
  <c r="CB136" i="16"/>
  <c r="CB137" i="16"/>
  <c r="CB202" i="16"/>
  <c r="CB203" i="16"/>
  <c r="BT64" i="16"/>
  <c r="BS65" i="16"/>
  <c r="CA65" i="16"/>
  <c r="BY83" i="16"/>
  <c r="BX92" i="16"/>
  <c r="BZ106" i="16"/>
  <c r="BZ114" i="16"/>
  <c r="BY115" i="16"/>
  <c r="BT136" i="16"/>
  <c r="BS137" i="16"/>
  <c r="CA137" i="16"/>
  <c r="BW149" i="16"/>
  <c r="BZ202" i="16"/>
  <c r="BY203" i="16"/>
  <c r="BV206" i="16"/>
  <c r="BS209" i="16"/>
  <c r="BT224" i="16"/>
  <c r="BQ106" i="16"/>
  <c r="BQ114" i="16"/>
  <c r="BQ190" i="16"/>
  <c r="BQ202" i="16"/>
  <c r="BQ206" i="16"/>
  <c r="BQ210" i="16"/>
  <c r="AS50" i="16"/>
  <c r="AY51" i="16"/>
  <c r="BC53" i="16"/>
  <c r="BA54" i="16"/>
  <c r="AQ55" i="16"/>
  <c r="AW56" i="16"/>
  <c r="BC57" i="16"/>
  <c r="AI59" i="16"/>
  <c r="CS59" i="16" s="1"/>
  <c r="AW60" i="16"/>
  <c r="AU61" i="16"/>
  <c r="BA49" i="16"/>
  <c r="BU64" i="16"/>
  <c r="CA106" i="16"/>
  <c r="CA114" i="16"/>
  <c r="BS202" i="16"/>
  <c r="BR106" i="16"/>
  <c r="BR202" i="16"/>
  <c r="AZ55" i="16"/>
  <c r="AV57" i="16"/>
  <c r="AT58" i="16"/>
  <c r="AZ59" i="16"/>
  <c r="AX60" i="16"/>
  <c r="AV61" i="16"/>
  <c r="BB49" i="16"/>
  <c r="BS83" i="16"/>
  <c r="BT106" i="16"/>
  <c r="BS115" i="16"/>
  <c r="BU137" i="16"/>
  <c r="BT202" i="16"/>
  <c r="BV224" i="16"/>
  <c r="BQ115" i="16"/>
  <c r="BQ135" i="16"/>
  <c r="CE202" i="16"/>
  <c r="BW64" i="16"/>
  <c r="BT115" i="16"/>
  <c r="BT203" i="16"/>
  <c r="BU83" i="16"/>
  <c r="BS149" i="16"/>
  <c r="BQ80" i="16"/>
  <c r="BQ136" i="16"/>
  <c r="AM221" i="16"/>
  <c r="CW221" i="16" s="1"/>
  <c r="AJ222" i="16"/>
  <c r="CT222" i="16" s="1"/>
  <c r="AH223" i="16"/>
  <c r="CR223" i="16" s="1"/>
  <c r="AP224" i="16"/>
  <c r="BF224" i="16"/>
  <c r="AD225" i="16"/>
  <c r="CN225" i="16" s="1"/>
  <c r="AJ226" i="16"/>
  <c r="CT226" i="16" s="1"/>
  <c r="AZ226" i="16"/>
  <c r="BP226" i="16"/>
  <c r="AO227" i="16"/>
  <c r="AG228" i="16"/>
  <c r="CQ228" i="16" s="1"/>
  <c r="AD229" i="16"/>
  <c r="AT229" i="16"/>
  <c r="AD230" i="16"/>
  <c r="AT230" i="16"/>
  <c r="AI51" i="16"/>
  <c r="CS51" i="16" s="1"/>
  <c r="CC106" i="16"/>
  <c r="AJ59" i="16"/>
  <c r="CT59" i="16" s="1"/>
  <c r="BQ203" i="16"/>
  <c r="BU106" i="16"/>
  <c r="BZ149" i="16"/>
  <c r="BX136" i="16"/>
  <c r="BV202" i="16"/>
  <c r="AT221" i="16"/>
  <c r="AK222" i="16"/>
  <c r="CU222" i="16" s="1"/>
  <c r="AI223" i="16"/>
  <c r="CS223" i="16" s="1"/>
  <c r="AE224" i="16"/>
  <c r="CO224" i="16" s="1"/>
  <c r="AU224" i="16"/>
  <c r="BK224" i="16"/>
  <c r="AE225" i="16"/>
  <c r="CO225" i="16" s="1"/>
  <c r="AK226" i="16"/>
  <c r="BA226" i="16"/>
  <c r="AP227" i="16"/>
  <c r="AH228" i="16"/>
  <c r="CR228" i="16" s="1"/>
  <c r="AE229" i="16"/>
  <c r="CO229" i="16" s="1"/>
  <c r="AU229" i="16"/>
  <c r="AI230" i="16"/>
  <c r="CS230" i="16" s="1"/>
  <c r="AY230" i="16"/>
  <c r="AL50" i="16"/>
  <c r="CV50" i="16" s="1"/>
  <c r="AT50" i="16"/>
  <c r="BB50" i="16"/>
  <c r="AJ51" i="16"/>
  <c r="CT51" i="16" s="1"/>
  <c r="AR51" i="16"/>
  <c r="AZ51" i="16"/>
  <c r="AP52" i="16"/>
  <c r="AX52" i="16"/>
  <c r="AF53" i="16"/>
  <c r="CP53" i="16" s="1"/>
  <c r="AN53" i="16"/>
  <c r="CX53" i="16" s="1"/>
  <c r="AV53" i="16"/>
  <c r="BD53" i="16"/>
  <c r="AL54" i="16"/>
  <c r="CV54" i="16" s="1"/>
  <c r="AT54" i="16"/>
  <c r="BB54" i="16"/>
  <c r="BJ54" i="16"/>
  <c r="AR55" i="16"/>
  <c r="AT49" i="16"/>
  <c r="BU202" i="16"/>
  <c r="BX64" i="16"/>
  <c r="AU221" i="16"/>
  <c r="AL222" i="16"/>
  <c r="CV222" i="16" s="1"/>
  <c r="AJ223" i="16"/>
  <c r="CT223" i="16" s="1"/>
  <c r="AF224" i="16"/>
  <c r="CP224" i="16" s="1"/>
  <c r="AV224" i="16"/>
  <c r="BL224" i="16"/>
  <c r="AF225" i="16"/>
  <c r="CP225" i="16" s="1"/>
  <c r="AL226" i="16"/>
  <c r="CV226" i="16" s="1"/>
  <c r="BB226" i="16"/>
  <c r="AQ227" i="16"/>
  <c r="AM228" i="16"/>
  <c r="CW228" i="16" s="1"/>
  <c r="AF229" i="16"/>
  <c r="CP229" i="16" s="1"/>
  <c r="AV229" i="16"/>
  <c r="AJ230" i="16"/>
  <c r="CT230" i="16" s="1"/>
  <c r="AZ230" i="16"/>
  <c r="AE50" i="16"/>
  <c r="AM50" i="16"/>
  <c r="CW50" i="16" s="1"/>
  <c r="AU50" i="16"/>
  <c r="BC50" i="16"/>
  <c r="AK51" i="16"/>
  <c r="CU51" i="16" s="1"/>
  <c r="AS51" i="16"/>
  <c r="AI52" i="16"/>
  <c r="CS52" i="16" s="1"/>
  <c r="AQ52" i="16"/>
  <c r="AY52" i="16"/>
  <c r="AG53" i="16"/>
  <c r="CQ53" i="16" s="1"/>
  <c r="AO53" i="16"/>
  <c r="AW53" i="16"/>
  <c r="AM54" i="16"/>
  <c r="CW54" i="16" s="1"/>
  <c r="AU54" i="16"/>
  <c r="BC54" i="16"/>
  <c r="BK54" i="16"/>
  <c r="AS55" i="16"/>
  <c r="BA55" i="16"/>
  <c r="AQ56" i="16"/>
  <c r="AY56" i="16"/>
  <c r="AO57" i="16"/>
  <c r="AW57" i="16"/>
  <c r="BE57" i="16"/>
  <c r="AM58" i="16"/>
  <c r="CW58" i="16" s="1"/>
  <c r="AU58" i="16"/>
  <c r="AK59" i="16"/>
  <c r="CU59" i="16" s="1"/>
  <c r="AS59" i="16"/>
  <c r="BA59" i="16"/>
  <c r="BI59" i="16"/>
  <c r="AQ60" i="16"/>
  <c r="AY60" i="16"/>
  <c r="BG60" i="16"/>
  <c r="AO61" i="16"/>
  <c r="AW61" i="16"/>
  <c r="BE61" i="16"/>
  <c r="AM49" i="16"/>
  <c r="CW49" i="16" s="1"/>
  <c r="AU49" i="16"/>
  <c r="BC49" i="16"/>
  <c r="CE114" i="16"/>
  <c r="CE115" i="16"/>
  <c r="BW65" i="16"/>
  <c r="BA221" i="16"/>
  <c r="AQ222" i="16"/>
  <c r="AO223" i="16"/>
  <c r="AG224" i="16"/>
  <c r="CQ224" i="16" s="1"/>
  <c r="AW224" i="16"/>
  <c r="BM224" i="16"/>
  <c r="AK225" i="16"/>
  <c r="CU225" i="16" s="1"/>
  <c r="AQ226" i="16"/>
  <c r="BG226" i="16"/>
  <c r="AR227" i="16"/>
  <c r="AN228" i="16"/>
  <c r="CX228" i="16" s="1"/>
  <c r="AK229" i="16"/>
  <c r="CU229" i="16" s="1"/>
  <c r="AK230" i="16"/>
  <c r="CU230" i="16" s="1"/>
  <c r="BA230" i="16"/>
  <c r="AF50" i="16"/>
  <c r="CP50" i="16" s="1"/>
  <c r="AN50" i="16"/>
  <c r="CX50" i="16" s="1"/>
  <c r="AV50" i="16"/>
  <c r="BD50" i="16"/>
  <c r="AL51" i="16"/>
  <c r="CV51" i="16" s="1"/>
  <c r="AT51" i="16"/>
  <c r="AJ52" i="16"/>
  <c r="CT52" i="16" s="1"/>
  <c r="AR52" i="16"/>
  <c r="AZ52" i="16"/>
  <c r="AH53" i="16"/>
  <c r="CR53" i="16" s="1"/>
  <c r="AP53" i="16"/>
  <c r="AX53" i="16"/>
  <c r="AN54" i="16"/>
  <c r="CX54" i="16" s="1"/>
  <c r="AV54" i="16"/>
  <c r="BD54" i="16"/>
  <c r="BL54" i="16"/>
  <c r="AT55" i="16"/>
  <c r="BB55" i="16"/>
  <c r="AR56" i="16"/>
  <c r="AZ56" i="16"/>
  <c r="AP57" i="16"/>
  <c r="AX57" i="16"/>
  <c r="BF57" i="16"/>
  <c r="AF58" i="16"/>
  <c r="AN58" i="16"/>
  <c r="CX58" i="16" s="1"/>
  <c r="AL59" i="16"/>
  <c r="CV59" i="16" s="1"/>
  <c r="AT59" i="16"/>
  <c r="BB59" i="16"/>
  <c r="BJ59" i="16"/>
  <c r="AJ60" i="16"/>
  <c r="AR60" i="16"/>
  <c r="AZ60" i="16"/>
  <c r="BH60" i="16"/>
  <c r="AP61" i="16"/>
  <c r="AX61" i="16"/>
  <c r="BF61" i="16"/>
  <c r="AF49" i="16"/>
  <c r="CP49" i="16" s="1"/>
  <c r="AN49" i="16"/>
  <c r="CX49" i="16" s="1"/>
  <c r="AV49" i="16"/>
  <c r="BD49" i="16"/>
  <c r="CF114" i="16"/>
  <c r="CF115" i="16"/>
  <c r="CF202" i="16"/>
  <c r="CF203" i="16"/>
  <c r="BV114" i="16"/>
  <c r="BB221" i="16"/>
  <c r="AR222" i="16"/>
  <c r="AP223" i="16"/>
  <c r="AH224" i="16"/>
  <c r="CR224" i="16" s="1"/>
  <c r="AX224" i="16"/>
  <c r="BN224" i="16"/>
  <c r="AL225" i="16"/>
  <c r="CV225" i="16" s="1"/>
  <c r="AR226" i="16"/>
  <c r="BH226" i="16"/>
  <c r="AG227" i="16"/>
  <c r="CQ227" i="16" s="1"/>
  <c r="AO228" i="16"/>
  <c r="AL229" i="16"/>
  <c r="CV229" i="16" s="1"/>
  <c r="AL230" i="16"/>
  <c r="CV230" i="16" s="1"/>
  <c r="BB230" i="16"/>
  <c r="AG50" i="16"/>
  <c r="CQ50" i="16" s="1"/>
  <c r="AO50" i="16"/>
  <c r="AW50" i="16"/>
  <c r="AE51" i="16"/>
  <c r="AM51" i="16"/>
  <c r="CW51" i="16" s="1"/>
  <c r="AU51" i="16"/>
  <c r="AK52" i="16"/>
  <c r="CU52" i="16" s="1"/>
  <c r="AS52" i="16"/>
  <c r="BA52" i="16"/>
  <c r="AI53" i="16"/>
  <c r="CS53" i="16" s="1"/>
  <c r="AQ53" i="16"/>
  <c r="AY53" i="16"/>
  <c r="AO54" i="16"/>
  <c r="AW54" i="16"/>
  <c r="BE54" i="16"/>
  <c r="BM54" i="16"/>
  <c r="AM55" i="16"/>
  <c r="AU55" i="16"/>
  <c r="AS56" i="16"/>
  <c r="BA56" i="16"/>
  <c r="AQ57" i="16"/>
  <c r="AY57" i="16"/>
  <c r="BG57" i="16"/>
  <c r="AG58" i="16"/>
  <c r="CQ58" i="16" s="1"/>
  <c r="AO58" i="16"/>
  <c r="AM59" i="16"/>
  <c r="CW59" i="16" s="1"/>
  <c r="AU59" i="16"/>
  <c r="BC59" i="16"/>
  <c r="AK60" i="16"/>
  <c r="CU60" i="16" s="1"/>
  <c r="AS60" i="16"/>
  <c r="BA60" i="16"/>
  <c r="BI60" i="16"/>
  <c r="AQ61" i="16"/>
  <c r="AY61" i="16"/>
  <c r="BG61" i="16"/>
  <c r="AG49" i="16"/>
  <c r="CQ49" i="16" s="1"/>
  <c r="AO49" i="16"/>
  <c r="AW49" i="16"/>
  <c r="CG114" i="16"/>
  <c r="CG115" i="16"/>
  <c r="CG202" i="16"/>
  <c r="CG203" i="16"/>
  <c r="BY64" i="16"/>
  <c r="BX65" i="16"/>
  <c r="BV83" i="16"/>
  <c r="BU92" i="16"/>
  <c r="BW106" i="16"/>
  <c r="BW114" i="16"/>
  <c r="BV115" i="16"/>
  <c r="BY136" i="16"/>
  <c r="BX137" i="16"/>
  <c r="BT149" i="16"/>
  <c r="BS190" i="16"/>
  <c r="BW202" i="16"/>
  <c r="BV203" i="16"/>
  <c r="BS206" i="16"/>
  <c r="BY224" i="16"/>
  <c r="BR64" i="16"/>
  <c r="BR92" i="16"/>
  <c r="BR136" i="16"/>
  <c r="BR224" i="16"/>
  <c r="AG52" i="16"/>
  <c r="CQ52" i="16" s="1"/>
  <c r="AE53" i="16"/>
  <c r="AS54" i="16"/>
  <c r="AO56" i="16"/>
  <c r="BG59" i="16"/>
  <c r="AS49" i="16"/>
  <c r="CC203" i="16"/>
  <c r="BY92" i="16"/>
  <c r="BS106" i="16"/>
  <c r="BS114" i="16"/>
  <c r="BZ203" i="16"/>
  <c r="BS210" i="16"/>
  <c r="BR210" i="16"/>
  <c r="AP56" i="16"/>
  <c r="AN57" i="16"/>
  <c r="CX57" i="16" s="1"/>
  <c r="BH59" i="16"/>
  <c r="BD61" i="16"/>
  <c r="CD202" i="16"/>
  <c r="BZ92" i="16"/>
  <c r="CA115" i="16"/>
  <c r="BS203" i="16"/>
  <c r="BX206" i="16"/>
  <c r="BS92" i="16"/>
  <c r="BW136" i="16"/>
  <c r="BY206" i="16"/>
  <c r="BR83" i="16"/>
  <c r="BR203" i="16"/>
  <c r="BU203" i="16"/>
  <c r="BQ64" i="16"/>
  <c r="BQ92" i="16"/>
  <c r="O76" i="16"/>
  <c r="O96" i="16"/>
  <c r="O116" i="16"/>
  <c r="O136" i="16"/>
  <c r="O156" i="16"/>
  <c r="O176" i="16"/>
  <c r="O196" i="16"/>
  <c r="O216" i="16"/>
  <c r="O256" i="16"/>
  <c r="O276" i="16"/>
  <c r="O296" i="16"/>
  <c r="O316" i="16"/>
  <c r="O336" i="16"/>
  <c r="O356" i="16"/>
  <c r="O376" i="16"/>
  <c r="O396" i="16"/>
  <c r="O416" i="16"/>
  <c r="O436" i="16"/>
  <c r="O456" i="16"/>
  <c r="O476" i="16"/>
  <c r="O496" i="16"/>
  <c r="O516" i="16"/>
  <c r="O72" i="16"/>
  <c r="O211" i="16"/>
  <c r="O252" i="16"/>
  <c r="O77" i="16"/>
  <c r="O97" i="16"/>
  <c r="O117" i="16"/>
  <c r="O137" i="16"/>
  <c r="O157" i="16"/>
  <c r="O177" i="16"/>
  <c r="O197" i="16"/>
  <c r="O217" i="16"/>
  <c r="O237" i="16"/>
  <c r="O257" i="16"/>
  <c r="O277" i="16"/>
  <c r="O297" i="16"/>
  <c r="O317" i="16"/>
  <c r="O337" i="16"/>
  <c r="O357" i="16"/>
  <c r="O377" i="16"/>
  <c r="O397" i="16"/>
  <c r="O417" i="16"/>
  <c r="O437" i="16"/>
  <c r="O457" i="16"/>
  <c r="O477" i="16"/>
  <c r="O497" i="16"/>
  <c r="O53" i="16"/>
  <c r="O73" i="16"/>
  <c r="O311" i="16"/>
  <c r="O272" i="16"/>
  <c r="O78" i="16"/>
  <c r="O98" i="16"/>
  <c r="O118" i="16"/>
  <c r="O138" i="16"/>
  <c r="O158" i="16"/>
  <c r="O178" i="16"/>
  <c r="O198" i="16"/>
  <c r="O218" i="16"/>
  <c r="O238" i="16"/>
  <c r="O258" i="16"/>
  <c r="O278" i="16"/>
  <c r="O298" i="16"/>
  <c r="O318" i="16"/>
  <c r="O338" i="16"/>
  <c r="O358" i="16"/>
  <c r="O378" i="16"/>
  <c r="O398" i="16"/>
  <c r="O418" i="16"/>
  <c r="O438" i="16"/>
  <c r="O458" i="16"/>
  <c r="O478" i="16"/>
  <c r="O498" i="16"/>
  <c r="O54" i="16"/>
  <c r="O74" i="16"/>
  <c r="O291" i="16"/>
  <c r="O79" i="16"/>
  <c r="O99" i="16"/>
  <c r="O119" i="16"/>
  <c r="O139" i="16"/>
  <c r="O159" i="16"/>
  <c r="O179" i="16"/>
  <c r="O199" i="16"/>
  <c r="O219" i="16"/>
  <c r="O239" i="16"/>
  <c r="O259" i="16"/>
  <c r="O279" i="16"/>
  <c r="O299" i="16"/>
  <c r="O319" i="16"/>
  <c r="O339" i="16"/>
  <c r="O359" i="16"/>
  <c r="O379" i="16"/>
  <c r="O399" i="16"/>
  <c r="O419" i="16"/>
  <c r="O439" i="16"/>
  <c r="O459" i="16"/>
  <c r="O479" i="16"/>
  <c r="O499" i="16"/>
  <c r="O55" i="16"/>
  <c r="O75" i="16"/>
  <c r="O371" i="16"/>
  <c r="O312" i="16"/>
  <c r="O80" i="16"/>
  <c r="O100" i="16"/>
  <c r="O120" i="16"/>
  <c r="O140" i="16"/>
  <c r="O160" i="16"/>
  <c r="O180" i="16"/>
  <c r="O200" i="16"/>
  <c r="O220" i="16"/>
  <c r="O240" i="16"/>
  <c r="O260" i="16"/>
  <c r="O280" i="16"/>
  <c r="O300" i="16"/>
  <c r="O320" i="16"/>
  <c r="O340" i="16"/>
  <c r="O360" i="16"/>
  <c r="O380" i="16"/>
  <c r="O400" i="16"/>
  <c r="O420" i="16"/>
  <c r="O440" i="16"/>
  <c r="O460" i="16"/>
  <c r="O480" i="16"/>
  <c r="O500" i="16"/>
  <c r="O56" i="16"/>
  <c r="O231" i="16"/>
  <c r="O152" i="16"/>
  <c r="O81" i="16"/>
  <c r="O101" i="16"/>
  <c r="O121" i="16"/>
  <c r="O141" i="16"/>
  <c r="O161" i="16"/>
  <c r="O181" i="16"/>
  <c r="O201" i="16"/>
  <c r="O221" i="16"/>
  <c r="O241" i="16"/>
  <c r="O261" i="16"/>
  <c r="O281" i="16"/>
  <c r="O301" i="16"/>
  <c r="O321" i="16"/>
  <c r="O341" i="16"/>
  <c r="O361" i="16"/>
  <c r="O381" i="16"/>
  <c r="O401" i="16"/>
  <c r="O421" i="16"/>
  <c r="O441" i="16"/>
  <c r="O461" i="16"/>
  <c r="O481" i="16"/>
  <c r="O501" i="16"/>
  <c r="O57" i="16"/>
  <c r="O331" i="16"/>
  <c r="O212" i="16"/>
  <c r="O82" i="16"/>
  <c r="O102" i="16"/>
  <c r="O122" i="16"/>
  <c r="O142" i="16"/>
  <c r="O162" i="16"/>
  <c r="O182" i="16"/>
  <c r="O202" i="16"/>
  <c r="O222" i="16"/>
  <c r="O242" i="16"/>
  <c r="O262" i="16"/>
  <c r="O282" i="16"/>
  <c r="O302" i="16"/>
  <c r="O322" i="16"/>
  <c r="O342" i="16"/>
  <c r="O362" i="16"/>
  <c r="O382" i="16"/>
  <c r="O402" i="16"/>
  <c r="O422" i="16"/>
  <c r="O442" i="16"/>
  <c r="O462" i="16"/>
  <c r="O482" i="16"/>
  <c r="O502" i="16"/>
  <c r="O58" i="16"/>
  <c r="O351" i="16"/>
  <c r="O372" i="16"/>
  <c r="O83" i="16"/>
  <c r="O103" i="16"/>
  <c r="O123" i="16"/>
  <c r="O143" i="16"/>
  <c r="O163" i="16"/>
  <c r="O183" i="16"/>
  <c r="O203" i="16"/>
  <c r="O223" i="16"/>
  <c r="O243" i="16"/>
  <c r="O263" i="16"/>
  <c r="O283" i="16"/>
  <c r="O303" i="16"/>
  <c r="O323" i="16"/>
  <c r="O343" i="16"/>
  <c r="O363" i="16"/>
  <c r="O383" i="16"/>
  <c r="O403" i="16"/>
  <c r="O423" i="16"/>
  <c r="O443" i="16"/>
  <c r="O463" i="16"/>
  <c r="O483" i="16"/>
  <c r="O503" i="16"/>
  <c r="O59" i="16"/>
  <c r="O271" i="16"/>
  <c r="O112" i="16"/>
  <c r="O432" i="16"/>
  <c r="O492" i="16"/>
  <c r="O84" i="16"/>
  <c r="O104" i="16"/>
  <c r="O124" i="16"/>
  <c r="O144" i="16"/>
  <c r="O164" i="16"/>
  <c r="O184" i="16"/>
  <c r="O204" i="16"/>
  <c r="O224" i="16"/>
  <c r="O244" i="16"/>
  <c r="O264" i="16"/>
  <c r="O284" i="16"/>
  <c r="O304" i="16"/>
  <c r="O324" i="16"/>
  <c r="O344" i="16"/>
  <c r="O364" i="16"/>
  <c r="O384" i="16"/>
  <c r="O404" i="16"/>
  <c r="O424" i="16"/>
  <c r="O444" i="16"/>
  <c r="O464" i="16"/>
  <c r="O484" i="16"/>
  <c r="O504" i="16"/>
  <c r="O60" i="16"/>
  <c r="O191" i="16"/>
  <c r="O92" i="16"/>
  <c r="O85" i="16"/>
  <c r="O105" i="16"/>
  <c r="O125" i="16"/>
  <c r="O145" i="16"/>
  <c r="O165" i="16"/>
  <c r="O185" i="16"/>
  <c r="O205" i="16"/>
  <c r="O225" i="16"/>
  <c r="O245" i="16"/>
  <c r="O265" i="16"/>
  <c r="O285" i="16"/>
  <c r="O305" i="16"/>
  <c r="O325" i="16"/>
  <c r="O345" i="16"/>
  <c r="O365" i="16"/>
  <c r="O385" i="16"/>
  <c r="O405" i="16"/>
  <c r="O425" i="16"/>
  <c r="O445" i="16"/>
  <c r="O465" i="16"/>
  <c r="O485" i="16"/>
  <c r="O505" i="16"/>
  <c r="O61" i="16"/>
  <c r="O171" i="16"/>
  <c r="O332" i="16"/>
  <c r="O86" i="16"/>
  <c r="O106" i="16"/>
  <c r="O126" i="16"/>
  <c r="O146" i="16"/>
  <c r="O166" i="16"/>
  <c r="O186" i="16"/>
  <c r="O206" i="16"/>
  <c r="O226" i="16"/>
  <c r="O246" i="16"/>
  <c r="O266" i="16"/>
  <c r="O286" i="16"/>
  <c r="O306" i="16"/>
  <c r="O326" i="16"/>
  <c r="O346" i="16"/>
  <c r="O366" i="16"/>
  <c r="O386" i="16"/>
  <c r="O406" i="16"/>
  <c r="O426" i="16"/>
  <c r="O446" i="16"/>
  <c r="O466" i="16"/>
  <c r="O486" i="16"/>
  <c r="O506" i="16"/>
  <c r="O62" i="16"/>
  <c r="O131" i="16"/>
  <c r="O292" i="16"/>
  <c r="O87" i="16"/>
  <c r="O107" i="16"/>
  <c r="O127" i="16"/>
  <c r="O147" i="16"/>
  <c r="O167" i="16"/>
  <c r="O187" i="16"/>
  <c r="O207" i="16"/>
  <c r="O227" i="16"/>
  <c r="O247" i="16"/>
  <c r="O267" i="16"/>
  <c r="O287" i="16"/>
  <c r="O307" i="16"/>
  <c r="O327" i="16"/>
  <c r="O347" i="16"/>
  <c r="O367" i="16"/>
  <c r="O387" i="16"/>
  <c r="O407" i="16"/>
  <c r="O427" i="16"/>
  <c r="O447" i="16"/>
  <c r="O467" i="16"/>
  <c r="O487" i="16"/>
  <c r="O507" i="16"/>
  <c r="O63" i="16"/>
  <c r="O251" i="16"/>
  <c r="O192" i="16"/>
  <c r="O392" i="16"/>
  <c r="O452" i="16"/>
  <c r="O512" i="16"/>
  <c r="O88" i="16"/>
  <c r="O108" i="16"/>
  <c r="O128" i="16"/>
  <c r="O148" i="16"/>
  <c r="O168" i="16"/>
  <c r="O188" i="16"/>
  <c r="O208" i="16"/>
  <c r="O228" i="16"/>
  <c r="O248" i="16"/>
  <c r="O268" i="16"/>
  <c r="O288" i="16"/>
  <c r="O308" i="16"/>
  <c r="O328" i="16"/>
  <c r="O348" i="16"/>
  <c r="O368" i="16"/>
  <c r="O388" i="16"/>
  <c r="O408" i="16"/>
  <c r="O428" i="16"/>
  <c r="O448" i="16"/>
  <c r="O468" i="16"/>
  <c r="O488" i="16"/>
  <c r="O508" i="16"/>
  <c r="O64" i="16"/>
  <c r="O111" i="16"/>
  <c r="O391" i="16"/>
  <c r="O411" i="16"/>
  <c r="O431" i="16"/>
  <c r="O451" i="16"/>
  <c r="O471" i="16"/>
  <c r="O491" i="16"/>
  <c r="O511" i="16"/>
  <c r="O67" i="16"/>
  <c r="O352" i="16"/>
  <c r="O89" i="16"/>
  <c r="O109" i="16"/>
  <c r="O129" i="16"/>
  <c r="O149" i="16"/>
  <c r="O169" i="16"/>
  <c r="O189" i="16"/>
  <c r="O209" i="16"/>
  <c r="O229" i="16"/>
  <c r="O249" i="16"/>
  <c r="O269" i="16"/>
  <c r="O289" i="16"/>
  <c r="O309" i="16"/>
  <c r="O329" i="16"/>
  <c r="O349" i="16"/>
  <c r="O369" i="16"/>
  <c r="O389" i="16"/>
  <c r="O409" i="16"/>
  <c r="O429" i="16"/>
  <c r="O449" i="16"/>
  <c r="O469" i="16"/>
  <c r="O489" i="16"/>
  <c r="O509" i="16"/>
  <c r="O65" i="16"/>
  <c r="O91" i="16"/>
  <c r="O172" i="16"/>
  <c r="O90" i="16"/>
  <c r="O110" i="16"/>
  <c r="O130" i="16"/>
  <c r="O150" i="16"/>
  <c r="O170" i="16"/>
  <c r="O190" i="16"/>
  <c r="O210" i="16"/>
  <c r="O230" i="16"/>
  <c r="O250" i="16"/>
  <c r="O270" i="16"/>
  <c r="O290" i="16"/>
  <c r="O310" i="16"/>
  <c r="O330" i="16"/>
  <c r="O350" i="16"/>
  <c r="O370" i="16"/>
  <c r="O390" i="16"/>
  <c r="O410" i="16"/>
  <c r="O430" i="16"/>
  <c r="O450" i="16"/>
  <c r="O470" i="16"/>
  <c r="O490" i="16"/>
  <c r="O510" i="16"/>
  <c r="O66" i="16"/>
  <c r="O151" i="16"/>
  <c r="O132" i="16"/>
  <c r="O412" i="16"/>
  <c r="O472" i="16"/>
  <c r="O68" i="16"/>
  <c r="O93" i="16"/>
  <c r="O113" i="16"/>
  <c r="O133" i="16"/>
  <c r="O153" i="16"/>
  <c r="O173" i="16"/>
  <c r="O193" i="16"/>
  <c r="O213" i="16"/>
  <c r="O253" i="16"/>
  <c r="O273" i="16"/>
  <c r="O293" i="16"/>
  <c r="O313" i="16"/>
  <c r="O333" i="16"/>
  <c r="O353" i="16"/>
  <c r="O373" i="16"/>
  <c r="O393" i="16"/>
  <c r="O413" i="16"/>
  <c r="O433" i="16"/>
  <c r="O453" i="16"/>
  <c r="O473" i="16"/>
  <c r="O493" i="16"/>
  <c r="O513" i="16"/>
  <c r="O69" i="16"/>
  <c r="O94" i="16"/>
  <c r="O114" i="16"/>
  <c r="O134" i="16"/>
  <c r="O154" i="16"/>
  <c r="O174" i="16"/>
  <c r="O194" i="16"/>
  <c r="O214" i="16"/>
  <c r="O254" i="16"/>
  <c r="O274" i="16"/>
  <c r="O294" i="16"/>
  <c r="O314" i="16"/>
  <c r="O334" i="16"/>
  <c r="O354" i="16"/>
  <c r="O374" i="16"/>
  <c r="O394" i="16"/>
  <c r="O414" i="16"/>
  <c r="O434" i="16"/>
  <c r="O454" i="16"/>
  <c r="O474" i="16"/>
  <c r="O494" i="16"/>
  <c r="O514" i="16"/>
  <c r="O70" i="16"/>
  <c r="O95" i="16"/>
  <c r="O115" i="16"/>
  <c r="O135" i="16"/>
  <c r="O155" i="16"/>
  <c r="O175" i="16"/>
  <c r="O195" i="16"/>
  <c r="O215" i="16"/>
  <c r="O255" i="16"/>
  <c r="O275" i="16"/>
  <c r="O295" i="16"/>
  <c r="O315" i="16"/>
  <c r="O335" i="16"/>
  <c r="O355" i="16"/>
  <c r="O375" i="16"/>
  <c r="O395" i="16"/>
  <c r="O415" i="16"/>
  <c r="O435" i="16"/>
  <c r="O455" i="16"/>
  <c r="O475" i="16"/>
  <c r="O495" i="16"/>
  <c r="O515" i="16"/>
  <c r="O71" i="16"/>
  <c r="O49" i="16"/>
  <c r="O50" i="16"/>
  <c r="O51" i="16"/>
  <c r="O52" i="16"/>
  <c r="G55" i="20"/>
  <c r="CV88" i="16"/>
  <c r="CW88" i="16"/>
  <c r="CW104" i="16"/>
  <c r="CS89" i="16"/>
  <c r="CT89" i="16"/>
  <c r="CU89" i="16"/>
  <c r="CV89" i="16"/>
  <c r="CW89" i="16"/>
  <c r="CS88" i="16"/>
  <c r="CX104" i="16"/>
  <c r="CU88" i="16"/>
  <c r="CT88" i="16"/>
  <c r="J55" i="20"/>
  <c r="H100" i="24" l="1"/>
  <c r="H113" i="24"/>
  <c r="I76" i="24"/>
  <c r="C18" i="24"/>
  <c r="C22" i="24"/>
  <c r="C16" i="24"/>
  <c r="C17" i="24"/>
  <c r="C29" i="24"/>
  <c r="C24" i="24"/>
  <c r="C23" i="24"/>
  <c r="C11" i="24"/>
  <c r="C28" i="24"/>
  <c r="C10" i="24"/>
  <c r="C12" i="24"/>
  <c r="AG87" i="24"/>
  <c r="AS87" i="24"/>
  <c r="T87" i="24"/>
  <c r="I87" i="24"/>
  <c r="AJ87" i="24"/>
  <c r="AI87" i="24"/>
  <c r="X87" i="24"/>
  <c r="L87" i="24"/>
  <c r="AR87" i="24"/>
  <c r="AN87" i="24"/>
  <c r="AT87" i="24"/>
  <c r="P87" i="24"/>
  <c r="W87" i="24"/>
  <c r="AA87" i="24"/>
  <c r="R87" i="24"/>
  <c r="AH87" i="24"/>
  <c r="AM87" i="24"/>
  <c r="Y87" i="24"/>
  <c r="M87" i="24"/>
  <c r="AF87" i="24"/>
  <c r="Z87" i="24"/>
  <c r="AQ87" i="24"/>
  <c r="J87" i="24"/>
  <c r="H87" i="24"/>
  <c r="O87" i="24"/>
  <c r="F87" i="24"/>
  <c r="N87" i="24"/>
  <c r="D87" i="24"/>
  <c r="AU87" i="24"/>
  <c r="S87" i="24"/>
  <c r="B87" i="24"/>
  <c r="E87" i="24"/>
  <c r="AK87" i="24"/>
  <c r="G87" i="24"/>
  <c r="K87" i="24"/>
  <c r="AP87" i="24"/>
  <c r="U87" i="24"/>
  <c r="Q87" i="24"/>
  <c r="AC87" i="24"/>
  <c r="AD87" i="24"/>
  <c r="V87" i="24"/>
  <c r="C87" i="24"/>
  <c r="AL87" i="24"/>
  <c r="AB87" i="24"/>
  <c r="F30" i="24"/>
  <c r="AO87" i="24"/>
  <c r="I71" i="24"/>
  <c r="AE87" i="24"/>
  <c r="AD132" i="24"/>
  <c r="D16" i="16"/>
  <c r="C16" i="16"/>
  <c r="K16" i="16"/>
  <c r="F33" i="24" s="1"/>
  <c r="U58" i="16"/>
  <c r="U49" i="16"/>
  <c r="CU175" i="16"/>
  <c r="Z175" i="16"/>
  <c r="U175" i="16"/>
  <c r="CR114" i="16"/>
  <c r="U114" i="16"/>
  <c r="Z114" i="16"/>
  <c r="CS221" i="16"/>
  <c r="Z221" i="16"/>
  <c r="U221" i="16"/>
  <c r="CO125" i="16"/>
  <c r="U125" i="16"/>
  <c r="Z125" i="16"/>
  <c r="CO52" i="16"/>
  <c r="U52" i="16"/>
  <c r="Z52" i="16"/>
  <c r="CW97" i="16"/>
  <c r="Z97" i="16"/>
  <c r="U97" i="16"/>
  <c r="CK199" i="16"/>
  <c r="Z199" i="16"/>
  <c r="U199" i="16"/>
  <c r="CM149" i="16"/>
  <c r="Z149" i="16"/>
  <c r="U149" i="16"/>
  <c r="CT211" i="16"/>
  <c r="Z211" i="16"/>
  <c r="U211" i="16"/>
  <c r="CK201" i="16"/>
  <c r="Z201" i="16"/>
  <c r="U201" i="16"/>
  <c r="CP69" i="16"/>
  <c r="Z69" i="16"/>
  <c r="U69" i="16"/>
  <c r="CO116" i="16"/>
  <c r="Z116" i="16"/>
  <c r="U116" i="16"/>
  <c r="CP58" i="16"/>
  <c r="Z58" i="16"/>
  <c r="CS81" i="16"/>
  <c r="Z81" i="16"/>
  <c r="U81" i="16"/>
  <c r="CM187" i="16"/>
  <c r="U187" i="16"/>
  <c r="Z187" i="16"/>
  <c r="CM150" i="16"/>
  <c r="Z150" i="16"/>
  <c r="U150" i="16"/>
  <c r="CO129" i="16"/>
  <c r="Z129" i="16"/>
  <c r="U129" i="16"/>
  <c r="CO110" i="16"/>
  <c r="Z110" i="16"/>
  <c r="U110" i="16"/>
  <c r="CP59" i="16"/>
  <c r="Z59" i="16"/>
  <c r="U59" i="16"/>
  <c r="CM222" i="16"/>
  <c r="Z222" i="16"/>
  <c r="U222" i="16"/>
  <c r="CK196" i="16"/>
  <c r="Z196" i="16"/>
  <c r="U196" i="16"/>
  <c r="CS100" i="16"/>
  <c r="Z100" i="16"/>
  <c r="U100" i="16"/>
  <c r="CO120" i="16"/>
  <c r="U120" i="16"/>
  <c r="Z120" i="16"/>
  <c r="CS101" i="16"/>
  <c r="Z101" i="16"/>
  <c r="U101" i="16"/>
  <c r="CM180" i="16"/>
  <c r="Z180" i="16"/>
  <c r="U180" i="16"/>
  <c r="CN111" i="16"/>
  <c r="Z111" i="16"/>
  <c r="U111" i="16"/>
  <c r="CW160" i="16"/>
  <c r="U160" i="16"/>
  <c r="Z160" i="16"/>
  <c r="CX90" i="16"/>
  <c r="Z90" i="16"/>
  <c r="U90" i="16"/>
  <c r="CU165" i="16"/>
  <c r="U165" i="16"/>
  <c r="Z165" i="16"/>
  <c r="CO132" i="16"/>
  <c r="Z132" i="16"/>
  <c r="U132" i="16"/>
  <c r="CQ210" i="16"/>
  <c r="Z210" i="16"/>
  <c r="U210" i="16"/>
  <c r="CN227" i="16"/>
  <c r="U227" i="16"/>
  <c r="Z227" i="16"/>
  <c r="CP141" i="16"/>
  <c r="Z141" i="16"/>
  <c r="U141" i="16"/>
  <c r="CK198" i="16"/>
  <c r="U198" i="16"/>
  <c r="Z198" i="16"/>
  <c r="CR170" i="16"/>
  <c r="Z170" i="16"/>
  <c r="U170" i="16"/>
  <c r="CS67" i="16"/>
  <c r="U67" i="16"/>
  <c r="Z67" i="16"/>
  <c r="CW163" i="16"/>
  <c r="U163" i="16"/>
  <c r="Z163" i="16"/>
  <c r="CM178" i="16"/>
  <c r="Z178" i="16"/>
  <c r="U178" i="16"/>
  <c r="CR191" i="16"/>
  <c r="Z191" i="16"/>
  <c r="U191" i="16"/>
  <c r="CM147" i="16"/>
  <c r="U147" i="16"/>
  <c r="Z147" i="16"/>
  <c r="CQ209" i="16"/>
  <c r="Z209" i="16"/>
  <c r="U209" i="16"/>
  <c r="CN229" i="16"/>
  <c r="Z229" i="16"/>
  <c r="U229" i="16"/>
  <c r="CK206" i="16"/>
  <c r="U206" i="16"/>
  <c r="Z206" i="16"/>
  <c r="CM154" i="16"/>
  <c r="Z154" i="16"/>
  <c r="U154" i="16"/>
  <c r="CM223" i="16"/>
  <c r="Z223" i="16"/>
  <c r="U223" i="16"/>
  <c r="CM152" i="16"/>
  <c r="Z152" i="16"/>
  <c r="U152" i="16"/>
  <c r="CM66" i="16"/>
  <c r="U66" i="16"/>
  <c r="Z66" i="16"/>
  <c r="CT60" i="16"/>
  <c r="U60" i="16"/>
  <c r="Z60" i="16"/>
  <c r="CN113" i="16"/>
  <c r="Z113" i="16"/>
  <c r="U113" i="16"/>
  <c r="CX216" i="16"/>
  <c r="Z216" i="16"/>
  <c r="U216" i="16"/>
  <c r="CS219" i="16"/>
  <c r="Z219" i="16"/>
  <c r="U219" i="16"/>
  <c r="CT213" i="16"/>
  <c r="Z213" i="16"/>
  <c r="U213" i="16"/>
  <c r="CT115" i="16"/>
  <c r="Z115" i="16"/>
  <c r="U115" i="16"/>
  <c r="CL76" i="16"/>
  <c r="U76" i="16"/>
  <c r="Z76" i="16"/>
  <c r="CO96" i="16"/>
  <c r="Z96" i="16"/>
  <c r="U96" i="16"/>
  <c r="CM64" i="16"/>
  <c r="U64" i="16"/>
  <c r="Z64" i="16"/>
  <c r="CO50" i="16"/>
  <c r="Z50" i="16"/>
  <c r="U50" i="16"/>
  <c r="CQ177" i="16"/>
  <c r="Z177" i="16"/>
  <c r="U177" i="16"/>
  <c r="CO123" i="16"/>
  <c r="Z123" i="16"/>
  <c r="U123" i="16"/>
  <c r="CS104" i="16"/>
  <c r="Z104" i="16"/>
  <c r="U104" i="16"/>
  <c r="CS161" i="16"/>
  <c r="Z161" i="16"/>
  <c r="U161" i="16"/>
  <c r="CU174" i="16"/>
  <c r="U174" i="16"/>
  <c r="Z174" i="16"/>
  <c r="CR86" i="16"/>
  <c r="U86" i="16"/>
  <c r="Z86" i="16"/>
  <c r="CO124" i="16"/>
  <c r="U124" i="16"/>
  <c r="Z124" i="16"/>
  <c r="CP139" i="16"/>
  <c r="U139" i="16"/>
  <c r="Z139" i="16"/>
  <c r="CM71" i="16"/>
  <c r="Z71" i="16"/>
  <c r="U71" i="16"/>
  <c r="CM172" i="16"/>
  <c r="Z172" i="16"/>
  <c r="U172" i="16"/>
  <c r="CM188" i="16"/>
  <c r="Z188" i="16"/>
  <c r="U188" i="16"/>
  <c r="CO182" i="16"/>
  <c r="Z182" i="16"/>
  <c r="U182" i="16"/>
  <c r="CK205" i="16"/>
  <c r="U205" i="16"/>
  <c r="Z205" i="16"/>
  <c r="CL173" i="16"/>
  <c r="Z173" i="16"/>
  <c r="U173" i="16"/>
  <c r="CO169" i="16"/>
  <c r="Z169" i="16"/>
  <c r="U169" i="16"/>
  <c r="CK83" i="16"/>
  <c r="Z83" i="16"/>
  <c r="U83" i="16"/>
  <c r="CK195" i="16"/>
  <c r="Z195" i="16"/>
  <c r="U195" i="16"/>
  <c r="CP138" i="16"/>
  <c r="U138" i="16"/>
  <c r="Z138" i="16"/>
  <c r="CP103" i="16"/>
  <c r="Z103" i="16"/>
  <c r="U103" i="16"/>
  <c r="CK184" i="16"/>
  <c r="U184" i="16"/>
  <c r="Z184" i="16"/>
  <c r="CQ91" i="16"/>
  <c r="Z91" i="16"/>
  <c r="U91" i="16"/>
  <c r="CK197" i="16"/>
  <c r="Z197" i="16"/>
  <c r="U197" i="16"/>
  <c r="CT145" i="16"/>
  <c r="U145" i="16"/>
  <c r="Z145" i="16"/>
  <c r="CM181" i="16"/>
  <c r="U181" i="16"/>
  <c r="Z181" i="16"/>
  <c r="CX190" i="16"/>
  <c r="U190" i="16"/>
  <c r="Z190" i="16"/>
  <c r="CO168" i="16"/>
  <c r="Z168" i="16"/>
  <c r="U168" i="16"/>
  <c r="CR88" i="16"/>
  <c r="U88" i="16"/>
  <c r="Z88" i="16"/>
  <c r="CO134" i="16"/>
  <c r="U134" i="16"/>
  <c r="Z134" i="16"/>
  <c r="CM70" i="16"/>
  <c r="U70" i="16"/>
  <c r="Z70" i="16"/>
  <c r="CN75" i="16"/>
  <c r="U75" i="16"/>
  <c r="Z75" i="16"/>
  <c r="CK186" i="16"/>
  <c r="U186" i="16"/>
  <c r="Z186" i="16"/>
  <c r="CP140" i="16"/>
  <c r="Z140" i="16"/>
  <c r="U140" i="16"/>
  <c r="CU164" i="16"/>
  <c r="U164" i="16"/>
  <c r="Z164" i="16"/>
  <c r="CT214" i="16"/>
  <c r="Z214" i="16"/>
  <c r="U214" i="16"/>
  <c r="CK193" i="16"/>
  <c r="Z193" i="16"/>
  <c r="U193" i="16"/>
  <c r="CO93" i="16"/>
  <c r="Z93" i="16"/>
  <c r="U93" i="16"/>
  <c r="CM65" i="16"/>
  <c r="U65" i="16"/>
  <c r="Z65" i="16"/>
  <c r="CN109" i="16"/>
  <c r="Z109" i="16"/>
  <c r="U109" i="16"/>
  <c r="CQ68" i="16"/>
  <c r="Z68" i="16"/>
  <c r="U68" i="16"/>
  <c r="CO117" i="16"/>
  <c r="U117" i="16"/>
  <c r="Z117" i="16"/>
  <c r="CO49" i="16"/>
  <c r="Z49" i="16"/>
  <c r="CO137" i="16"/>
  <c r="Z137" i="16"/>
  <c r="U137" i="16"/>
  <c r="CO131" i="16"/>
  <c r="U131" i="16"/>
  <c r="Z131" i="16"/>
  <c r="CO53" i="16"/>
  <c r="U53" i="16"/>
  <c r="Z53" i="16"/>
  <c r="CO92" i="16"/>
  <c r="Z92" i="16"/>
  <c r="U92" i="16"/>
  <c r="CT179" i="16"/>
  <c r="Z179" i="16"/>
  <c r="U179" i="16"/>
  <c r="CT212" i="16"/>
  <c r="Z212" i="16"/>
  <c r="U212" i="16"/>
  <c r="CO119" i="16"/>
  <c r="Z119" i="16"/>
  <c r="U119" i="16"/>
  <c r="CM153" i="16"/>
  <c r="U153" i="16"/>
  <c r="Z153" i="16"/>
  <c r="CO136" i="16"/>
  <c r="U136" i="16"/>
  <c r="Z136" i="16"/>
  <c r="CX218" i="16"/>
  <c r="U218" i="16"/>
  <c r="Z218" i="16"/>
  <c r="CK194" i="16"/>
  <c r="Z194" i="16"/>
  <c r="U194" i="16"/>
  <c r="CN108" i="16"/>
  <c r="Z108" i="16"/>
  <c r="U108" i="16"/>
  <c r="CS99" i="16"/>
  <c r="U99" i="16"/>
  <c r="Z99" i="16"/>
  <c r="CP107" i="16"/>
  <c r="U107" i="16"/>
  <c r="Z107" i="16"/>
  <c r="CO126" i="16"/>
  <c r="U126" i="16"/>
  <c r="Z126" i="16"/>
  <c r="CR89" i="16"/>
  <c r="U89" i="16"/>
  <c r="Z89" i="16"/>
  <c r="CT144" i="16"/>
  <c r="U144" i="16"/>
  <c r="Z144" i="16"/>
  <c r="CK202" i="16"/>
  <c r="Z202" i="16"/>
  <c r="U202" i="16"/>
  <c r="CU226" i="16"/>
  <c r="U226" i="16"/>
  <c r="Z226" i="16"/>
  <c r="CK200" i="16"/>
  <c r="Z200" i="16"/>
  <c r="U200" i="16"/>
  <c r="CM225" i="16"/>
  <c r="U225" i="16"/>
  <c r="Z225" i="16"/>
  <c r="CQ183" i="16"/>
  <c r="Z183" i="16"/>
  <c r="U183" i="16"/>
  <c r="CM156" i="16"/>
  <c r="Z156" i="16"/>
  <c r="U156" i="16"/>
  <c r="CK192" i="16"/>
  <c r="Z192" i="16"/>
  <c r="U192" i="16"/>
  <c r="CR87" i="16"/>
  <c r="Z87" i="16"/>
  <c r="U87" i="16"/>
  <c r="CW55" i="16"/>
  <c r="U55" i="16"/>
  <c r="Z55" i="16"/>
  <c r="CN230" i="16"/>
  <c r="U230" i="16"/>
  <c r="Z230" i="16"/>
  <c r="CT146" i="16"/>
  <c r="U146" i="16"/>
  <c r="Z146" i="16"/>
  <c r="CO118" i="16"/>
  <c r="Z118" i="16"/>
  <c r="U118" i="16"/>
  <c r="CO94" i="16"/>
  <c r="Z94" i="16"/>
  <c r="U94" i="16"/>
  <c r="CR82" i="16"/>
  <c r="U82" i="16"/>
  <c r="Z82" i="16"/>
  <c r="CS54" i="16"/>
  <c r="Z54" i="16"/>
  <c r="U54" i="16"/>
  <c r="CO121" i="16"/>
  <c r="Z121" i="16"/>
  <c r="U121" i="16"/>
  <c r="CT61" i="16"/>
  <c r="Z61" i="16"/>
  <c r="U61" i="16"/>
  <c r="CK203" i="16"/>
  <c r="Z203" i="16"/>
  <c r="U203" i="16"/>
  <c r="CL77" i="16"/>
  <c r="Z77" i="16"/>
  <c r="U77" i="16"/>
  <c r="CK207" i="16"/>
  <c r="U207" i="16"/>
  <c r="Z207" i="16"/>
  <c r="CN228" i="16"/>
  <c r="Z228" i="16"/>
  <c r="U228" i="16"/>
  <c r="CL74" i="16"/>
  <c r="Z74" i="16"/>
  <c r="U74" i="16"/>
  <c r="CP105" i="16"/>
  <c r="U105" i="16"/>
  <c r="Z105" i="16"/>
  <c r="CP80" i="16"/>
  <c r="Z80" i="16"/>
  <c r="U80" i="16"/>
  <c r="CO85" i="16"/>
  <c r="U85" i="16"/>
  <c r="Z85" i="16"/>
  <c r="CS162" i="16"/>
  <c r="Z162" i="16"/>
  <c r="U162" i="16"/>
  <c r="CU166" i="16"/>
  <c r="U166" i="16"/>
  <c r="Z166" i="16"/>
  <c r="CM224" i="16"/>
  <c r="U224" i="16"/>
  <c r="Z224" i="16"/>
  <c r="CX215" i="16"/>
  <c r="Z215" i="16"/>
  <c r="U215" i="16"/>
  <c r="CR171" i="16"/>
  <c r="U171" i="16"/>
  <c r="Z171" i="16"/>
  <c r="CM148" i="16"/>
  <c r="Z148" i="16"/>
  <c r="U148" i="16"/>
  <c r="CS158" i="16"/>
  <c r="Z158" i="16"/>
  <c r="U158" i="16"/>
  <c r="CN208" i="16"/>
  <c r="Z208" i="16"/>
  <c r="U208" i="16"/>
  <c r="CO133" i="16"/>
  <c r="U133" i="16"/>
  <c r="Z133" i="16"/>
  <c r="CV62" i="16"/>
  <c r="Z62" i="16"/>
  <c r="U62" i="16"/>
  <c r="CO51" i="16"/>
  <c r="Z51" i="16"/>
  <c r="U51" i="16"/>
  <c r="CP106" i="16"/>
  <c r="Z106" i="16"/>
  <c r="U106" i="16"/>
  <c r="CW57" i="16"/>
  <c r="Z57" i="16"/>
  <c r="U57" i="16"/>
  <c r="CP79" i="16"/>
  <c r="U79" i="16"/>
  <c r="Z79" i="16"/>
  <c r="CP102" i="16"/>
  <c r="U102" i="16"/>
  <c r="Z102" i="16"/>
  <c r="CS220" i="16"/>
  <c r="Z220" i="16"/>
  <c r="U220" i="16"/>
  <c r="CX157" i="16"/>
  <c r="Z157" i="16"/>
  <c r="U157" i="16"/>
  <c r="CX217" i="16"/>
  <c r="Z217" i="16"/>
  <c r="U217" i="16"/>
  <c r="CM155" i="16"/>
  <c r="Z155" i="16"/>
  <c r="U155" i="16"/>
  <c r="CO130" i="16"/>
  <c r="Z130" i="16"/>
  <c r="U130" i="16"/>
  <c r="CO95" i="16"/>
  <c r="Z95" i="16"/>
  <c r="U95" i="16"/>
  <c r="CR176" i="16"/>
  <c r="Z176" i="16"/>
  <c r="U176" i="16"/>
  <c r="CK204" i="16"/>
  <c r="U204" i="16"/>
  <c r="Z204" i="16"/>
  <c r="CM167" i="16"/>
  <c r="U167" i="16"/>
  <c r="Z167" i="16"/>
  <c r="CM63" i="16"/>
  <c r="Z63" i="16"/>
  <c r="U63" i="16"/>
  <c r="CS98" i="16"/>
  <c r="U98" i="16"/>
  <c r="Z98" i="16"/>
  <c r="CO122" i="16"/>
  <c r="Z122" i="16"/>
  <c r="U122" i="16"/>
  <c r="CO128" i="16"/>
  <c r="Z128" i="16"/>
  <c r="U128" i="16"/>
  <c r="CR78" i="16"/>
  <c r="Z78" i="16"/>
  <c r="U78" i="16"/>
  <c r="CK84" i="16"/>
  <c r="U84" i="16"/>
  <c r="Z84" i="16"/>
  <c r="CK185" i="16"/>
  <c r="U185" i="16"/>
  <c r="Z185" i="16"/>
  <c r="CN142" i="16"/>
  <c r="Z142" i="16"/>
  <c r="U142" i="16"/>
  <c r="CS159" i="16"/>
  <c r="U159" i="16"/>
  <c r="Z159" i="16"/>
  <c r="CO127" i="16"/>
  <c r="U127" i="16"/>
  <c r="Z127" i="16"/>
  <c r="CQ189" i="16"/>
  <c r="U189" i="16"/>
  <c r="Z189" i="16"/>
  <c r="CN112" i="16"/>
  <c r="Z112" i="16"/>
  <c r="U112" i="16"/>
  <c r="CM72" i="16"/>
  <c r="Z72" i="16"/>
  <c r="U72" i="16"/>
  <c r="CM151" i="16"/>
  <c r="Z151" i="16"/>
  <c r="U151" i="16"/>
  <c r="CO135" i="16"/>
  <c r="Z135" i="16"/>
  <c r="U135" i="16"/>
  <c r="CT143" i="16"/>
  <c r="Z143" i="16"/>
  <c r="U143" i="16"/>
  <c r="CL73" i="16"/>
  <c r="Z73" i="16"/>
  <c r="U73" i="16"/>
  <c r="CW56" i="16"/>
  <c r="Z56" i="16"/>
  <c r="U56" i="16"/>
  <c r="J76" i="24" l="1"/>
  <c r="I100" i="24"/>
  <c r="I113" i="24"/>
  <c r="C30" i="24"/>
  <c r="J71" i="24"/>
  <c r="AE132" i="24"/>
  <c r="F32" i="16" a="1"/>
  <c r="F32" i="16" s="1"/>
  <c r="F33" i="16" a="1"/>
  <c r="F33" i="16" s="1"/>
  <c r="F34" i="16" a="1"/>
  <c r="F34" i="16" s="1"/>
  <c r="F26" i="16" a="1"/>
  <c r="F26" i="16" s="1"/>
  <c r="F35" i="16" a="1"/>
  <c r="F35" i="16" s="1"/>
  <c r="F24" i="16" a="1"/>
  <c r="F24" i="16" s="1"/>
  <c r="F27" i="16" a="1"/>
  <c r="F27" i="16" s="1"/>
  <c r="F19" i="16" a="1"/>
  <c r="F19" i="16" s="1"/>
  <c r="F25" i="16" a="1"/>
  <c r="F25" i="16" s="1"/>
  <c r="F17" i="16" a="1"/>
  <c r="F17" i="16" s="1"/>
  <c r="F20" i="16" a="1"/>
  <c r="F20" i="16" s="1"/>
  <c r="F18" i="16" a="1"/>
  <c r="F18" i="16" s="1"/>
  <c r="R50" i="16"/>
  <c r="R51" i="16"/>
  <c r="R52" i="16"/>
  <c r="R53" i="16"/>
  <c r="R54" i="16"/>
  <c r="R55" i="16"/>
  <c r="R56" i="16"/>
  <c r="R57" i="16"/>
  <c r="R58" i="16"/>
  <c r="R59" i="16"/>
  <c r="K76" i="24" l="1"/>
  <c r="J113" i="24"/>
  <c r="J100" i="24"/>
  <c r="K71" i="24"/>
  <c r="AF132" i="24"/>
  <c r="L19" i="16"/>
  <c r="B23" i="16"/>
  <c r="L20" i="16"/>
  <c r="K113" i="24" l="1"/>
  <c r="K100" i="24"/>
  <c r="L76" i="24"/>
  <c r="G21" i="24"/>
  <c r="G27" i="24"/>
  <c r="L71" i="24"/>
  <c r="AG132" i="24"/>
  <c r="E125" i="22"/>
  <c r="B16" i="16"/>
  <c r="F53" i="24" s="1"/>
  <c r="G125" i="22" s="1"/>
  <c r="D31" i="16"/>
  <c r="E16" i="16"/>
  <c r="B31" i="16"/>
  <c r="C31" i="16"/>
  <c r="E31" i="16"/>
  <c r="C23" i="16"/>
  <c r="D23" i="16"/>
  <c r="E23" i="16"/>
  <c r="L17" i="16"/>
  <c r="G9" i="24" s="1"/>
  <c r="L18" i="16"/>
  <c r="G15" i="24" s="1"/>
  <c r="L100" i="24" l="1"/>
  <c r="L113" i="24"/>
  <c r="M76" i="24"/>
  <c r="B81" i="23"/>
  <c r="C53" i="24" s="1"/>
  <c r="D27" i="24"/>
  <c r="E27" i="24" s="1"/>
  <c r="H27" i="24"/>
  <c r="H29" i="24"/>
  <c r="H28" i="24"/>
  <c r="H30" i="24"/>
  <c r="D15" i="24"/>
  <c r="E15" i="24" s="1"/>
  <c r="H15" i="24"/>
  <c r="H18" i="24"/>
  <c r="H16" i="24"/>
  <c r="H17" i="24"/>
  <c r="D9" i="24"/>
  <c r="H9" i="24"/>
  <c r="H10" i="24"/>
  <c r="H12" i="24"/>
  <c r="H11" i="24"/>
  <c r="D21" i="24"/>
  <c r="E23" i="24" s="1"/>
  <c r="H21" i="24"/>
  <c r="H22" i="24"/>
  <c r="H24" i="24"/>
  <c r="H23" i="24"/>
  <c r="G36" i="24"/>
  <c r="F34" i="24"/>
  <c r="G35" i="24"/>
  <c r="G34" i="24"/>
  <c r="M71" i="24"/>
  <c r="F36" i="24"/>
  <c r="F35" i="24"/>
  <c r="L31" i="16"/>
  <c r="D125" i="22" s="1"/>
  <c r="F55" i="24"/>
  <c r="G127" i="22" s="1"/>
  <c r="F54" i="24"/>
  <c r="F56" i="24"/>
  <c r="AH132" i="24"/>
  <c r="L29" i="16"/>
  <c r="L24" i="16"/>
  <c r="L34" i="16"/>
  <c r="L28" i="16"/>
  <c r="L27" i="16"/>
  <c r="L23" i="16"/>
  <c r="L33" i="16"/>
  <c r="L22" i="16"/>
  <c r="L26" i="16"/>
  <c r="L32" i="16"/>
  <c r="L25" i="16"/>
  <c r="G128" i="22" l="1"/>
  <c r="G126" i="22"/>
  <c r="M113" i="24"/>
  <c r="M100" i="24"/>
  <c r="N76" i="24"/>
  <c r="E16" i="24"/>
  <c r="E17" i="24"/>
  <c r="E29" i="24"/>
  <c r="E30" i="24"/>
  <c r="E28" i="24"/>
  <c r="E18" i="24"/>
  <c r="E24" i="24"/>
  <c r="E22" i="24"/>
  <c r="E21" i="24"/>
  <c r="E9" i="24"/>
  <c r="E10" i="24"/>
  <c r="E12" i="24"/>
  <c r="E11" i="24"/>
  <c r="N71" i="24"/>
  <c r="AI132" i="24"/>
  <c r="D177" i="22"/>
  <c r="E177" i="22"/>
  <c r="F177" i="22"/>
  <c r="G177" i="22"/>
  <c r="D178" i="22"/>
  <c r="E178" i="22"/>
  <c r="F178" i="22"/>
  <c r="G178" i="22"/>
  <c r="D179" i="22"/>
  <c r="E179" i="22"/>
  <c r="F179" i="22"/>
  <c r="G179" i="22"/>
  <c r="R93" i="16"/>
  <c r="R94" i="16"/>
  <c r="R95" i="16"/>
  <c r="R96" i="16"/>
  <c r="R97" i="16"/>
  <c r="R98" i="16"/>
  <c r="R99" i="16"/>
  <c r="R100" i="16"/>
  <c r="R101" i="16"/>
  <c r="R102" i="16"/>
  <c r="R103" i="16"/>
  <c r="R104" i="16"/>
  <c r="R105" i="16"/>
  <c r="R106" i="16"/>
  <c r="R107" i="16"/>
  <c r="R108" i="16"/>
  <c r="R109" i="16"/>
  <c r="R110" i="16"/>
  <c r="R111" i="16"/>
  <c r="R112" i="16"/>
  <c r="R113" i="16"/>
  <c r="R114" i="16"/>
  <c r="R115" i="16"/>
  <c r="R116" i="16"/>
  <c r="R117" i="16"/>
  <c r="R118" i="16"/>
  <c r="R119" i="16"/>
  <c r="R120" i="16"/>
  <c r="R121" i="16"/>
  <c r="R122" i="16"/>
  <c r="R123" i="16"/>
  <c r="R124" i="16"/>
  <c r="R125" i="16"/>
  <c r="R126" i="16"/>
  <c r="R127" i="16"/>
  <c r="R128" i="16"/>
  <c r="R129" i="16"/>
  <c r="R130" i="16"/>
  <c r="R131" i="16"/>
  <c r="R132" i="16"/>
  <c r="R133" i="16"/>
  <c r="R134" i="16"/>
  <c r="R135" i="16"/>
  <c r="R136" i="16"/>
  <c r="R137" i="16"/>
  <c r="R138" i="16"/>
  <c r="R139" i="16"/>
  <c r="R140" i="16"/>
  <c r="R141" i="16"/>
  <c r="R142" i="16"/>
  <c r="R143" i="16"/>
  <c r="R144" i="16"/>
  <c r="R145" i="16"/>
  <c r="R146" i="16"/>
  <c r="R147" i="16"/>
  <c r="R148" i="16"/>
  <c r="R149" i="16"/>
  <c r="R150" i="16"/>
  <c r="R151" i="16"/>
  <c r="R152" i="16"/>
  <c r="R153" i="16"/>
  <c r="R154" i="16"/>
  <c r="R155" i="16"/>
  <c r="R156" i="16"/>
  <c r="R157" i="16"/>
  <c r="R158" i="16"/>
  <c r="R159" i="16"/>
  <c r="R160" i="16"/>
  <c r="R161" i="16"/>
  <c r="R162" i="16"/>
  <c r="R163" i="16"/>
  <c r="R164" i="16"/>
  <c r="R165" i="16"/>
  <c r="R166" i="16"/>
  <c r="R167" i="16"/>
  <c r="R168" i="16"/>
  <c r="R169" i="16"/>
  <c r="R170" i="16"/>
  <c r="R171" i="16"/>
  <c r="R172" i="16"/>
  <c r="R173" i="16"/>
  <c r="R174" i="16"/>
  <c r="R175" i="16"/>
  <c r="R176" i="16"/>
  <c r="R177" i="16"/>
  <c r="R178" i="16"/>
  <c r="R179" i="16"/>
  <c r="R180" i="16"/>
  <c r="R181" i="16"/>
  <c r="R182" i="16"/>
  <c r="R183" i="16"/>
  <c r="R184" i="16"/>
  <c r="R185" i="16"/>
  <c r="R186" i="16"/>
  <c r="R187" i="16"/>
  <c r="R188" i="16"/>
  <c r="R189" i="16"/>
  <c r="R190" i="16"/>
  <c r="R191" i="16"/>
  <c r="R192" i="16"/>
  <c r="R193" i="16"/>
  <c r="R194" i="16"/>
  <c r="R195" i="16"/>
  <c r="R196" i="16"/>
  <c r="R197" i="16"/>
  <c r="R198" i="16"/>
  <c r="R199" i="16"/>
  <c r="R200" i="16"/>
  <c r="R201" i="16"/>
  <c r="R202" i="16"/>
  <c r="R203" i="16"/>
  <c r="R204" i="16"/>
  <c r="R205" i="16"/>
  <c r="R206" i="16"/>
  <c r="R207" i="16"/>
  <c r="R208" i="16"/>
  <c r="R209" i="16"/>
  <c r="R210" i="16"/>
  <c r="R211" i="16"/>
  <c r="R212" i="16"/>
  <c r="R213" i="16"/>
  <c r="R214" i="16"/>
  <c r="R215" i="16"/>
  <c r="R216" i="16"/>
  <c r="R217" i="16"/>
  <c r="R218" i="16"/>
  <c r="R219" i="16"/>
  <c r="R220" i="16"/>
  <c r="R221" i="16"/>
  <c r="R222" i="16"/>
  <c r="R223" i="16"/>
  <c r="R224" i="16"/>
  <c r="R225" i="16"/>
  <c r="R226" i="16"/>
  <c r="R227" i="16"/>
  <c r="R228" i="16"/>
  <c r="R229" i="16"/>
  <c r="R230" i="16"/>
  <c r="R231" i="16"/>
  <c r="R279" i="16"/>
  <c r="R280" i="16"/>
  <c r="R281" i="16"/>
  <c r="R282" i="16"/>
  <c r="R349" i="16"/>
  <c r="R354" i="16"/>
  <c r="R355" i="16"/>
  <c r="R356" i="16"/>
  <c r="R357" i="16"/>
  <c r="R358" i="16"/>
  <c r="R359" i="16"/>
  <c r="R360" i="16"/>
  <c r="R361" i="16"/>
  <c r="R362" i="16"/>
  <c r="R363" i="16"/>
  <c r="R364" i="16"/>
  <c r="R365" i="16"/>
  <c r="R366" i="16"/>
  <c r="R367" i="16"/>
  <c r="R368" i="16"/>
  <c r="R369" i="16"/>
  <c r="R370" i="16"/>
  <c r="R371" i="16"/>
  <c r="R372" i="16"/>
  <c r="R373" i="16"/>
  <c r="R436" i="16"/>
  <c r="R437" i="16"/>
  <c r="R438" i="16"/>
  <c r="R439" i="16"/>
  <c r="R440" i="16"/>
  <c r="R441" i="16"/>
  <c r="R442" i="16"/>
  <c r="R443" i="16"/>
  <c r="R444" i="16"/>
  <c r="R445" i="16"/>
  <c r="R446" i="16"/>
  <c r="R447" i="16"/>
  <c r="R467" i="16"/>
  <c r="R468" i="16"/>
  <c r="R469" i="16"/>
  <c r="R470" i="16"/>
  <c r="R471" i="16"/>
  <c r="R472" i="16"/>
  <c r="R473" i="16"/>
  <c r="R474" i="16"/>
  <c r="R475" i="16"/>
  <c r="R476" i="16"/>
  <c r="R477" i="16"/>
  <c r="R478" i="16"/>
  <c r="R479" i="16"/>
  <c r="R480" i="16"/>
  <c r="R481" i="16"/>
  <c r="R482" i="16"/>
  <c r="R483" i="16"/>
  <c r="R484" i="16"/>
  <c r="R485" i="16"/>
  <c r="R486" i="16"/>
  <c r="R487" i="16"/>
  <c r="R488" i="16"/>
  <c r="R489" i="16"/>
  <c r="R490" i="16"/>
  <c r="R491" i="16"/>
  <c r="R492" i="16"/>
  <c r="R493" i="16"/>
  <c r="R494" i="16"/>
  <c r="R495" i="16"/>
  <c r="R496" i="16"/>
  <c r="R497" i="16"/>
  <c r="R498" i="16"/>
  <c r="R499" i="16"/>
  <c r="R500" i="16"/>
  <c r="R501" i="16"/>
  <c r="R502" i="16"/>
  <c r="R503" i="16"/>
  <c r="R504" i="16"/>
  <c r="R505" i="16"/>
  <c r="R506" i="16"/>
  <c r="R507" i="16"/>
  <c r="R508" i="16"/>
  <c r="R509" i="16"/>
  <c r="R510" i="16"/>
  <c r="R511" i="16"/>
  <c r="R512" i="16"/>
  <c r="R513" i="16"/>
  <c r="R514" i="16"/>
  <c r="R515" i="16"/>
  <c r="R516" i="16"/>
  <c r="R60" i="16"/>
  <c r="R61" i="16"/>
  <c r="R62" i="16"/>
  <c r="R63" i="16"/>
  <c r="R64" i="16"/>
  <c r="R65" i="16"/>
  <c r="R66" i="16"/>
  <c r="R67" i="16"/>
  <c r="R68" i="16"/>
  <c r="R69" i="16"/>
  <c r="R70" i="16"/>
  <c r="R71" i="16"/>
  <c r="R72" i="16"/>
  <c r="R73" i="16"/>
  <c r="R74" i="16"/>
  <c r="R75" i="16"/>
  <c r="R76" i="16"/>
  <c r="R77" i="16"/>
  <c r="R78" i="16"/>
  <c r="R79" i="16"/>
  <c r="R80" i="16"/>
  <c r="R81" i="16"/>
  <c r="R82" i="16"/>
  <c r="R83" i="16"/>
  <c r="R84" i="16"/>
  <c r="R85" i="16"/>
  <c r="R86" i="16"/>
  <c r="R87" i="16"/>
  <c r="R88" i="16"/>
  <c r="R89" i="16"/>
  <c r="R90" i="16"/>
  <c r="R91" i="16"/>
  <c r="R92" i="16"/>
  <c r="O122" i="22"/>
  <c r="O123" i="22"/>
  <c r="O124" i="22"/>
  <c r="O76" i="24" l="1"/>
  <c r="N100" i="24"/>
  <c r="N113" i="24"/>
  <c r="O71" i="24"/>
  <c r="AJ132" i="24"/>
  <c r="S184" i="22"/>
  <c r="P184" i="22" s="1"/>
  <c r="Q184" i="22"/>
  <c r="O184" i="22"/>
  <c r="P76" i="24" l="1"/>
  <c r="O100" i="24"/>
  <c r="O113" i="24"/>
  <c r="P71" i="24"/>
  <c r="AK132" i="24"/>
  <c r="R184" i="22"/>
  <c r="T184" i="22" s="1"/>
  <c r="L16" i="16"/>
  <c r="G33" i="24" s="1"/>
  <c r="Q76" i="24" l="1"/>
  <c r="P100" i="24"/>
  <c r="P113" i="24"/>
  <c r="H33" i="24"/>
  <c r="H36" i="24"/>
  <c r="H35" i="24"/>
  <c r="H34" i="24"/>
  <c r="Q71" i="24"/>
  <c r="AL132" i="24"/>
  <c r="E126" i="22"/>
  <c r="M184" i="22"/>
  <c r="AC151" i="8"/>
  <c r="Z139" i="8"/>
  <c r="AA139" i="8" s="1"/>
  <c r="Z138" i="8"/>
  <c r="AA138" i="8" s="1"/>
  <c r="AM188" i="9"/>
  <c r="R76" i="24" l="1"/>
  <c r="Q100" i="24"/>
  <c r="Q113" i="24"/>
  <c r="R71" i="24"/>
  <c r="AM132" i="24"/>
  <c r="D55" i="20"/>
  <c r="I190" i="9"/>
  <c r="H190" i="9"/>
  <c r="U190" i="9"/>
  <c r="M190" i="9"/>
  <c r="S190" i="9"/>
  <c r="T190" i="9"/>
  <c r="Z190" i="9"/>
  <c r="AD190" i="9"/>
  <c r="AF190" i="9"/>
  <c r="E188" i="9"/>
  <c r="AG190" i="9"/>
  <c r="I188" i="9"/>
  <c r="AH190" i="9"/>
  <c r="O188" i="9"/>
  <c r="AI190" i="9"/>
  <c r="AH188" i="9"/>
  <c r="AK190" i="9"/>
  <c r="AI188" i="9"/>
  <c r="AL190" i="9"/>
  <c r="AJ188" i="9"/>
  <c r="AM190" i="9"/>
  <c r="AK188" i="9"/>
  <c r="AQ190" i="9"/>
  <c r="AN188" i="9"/>
  <c r="G190" i="9"/>
  <c r="J188" i="9"/>
  <c r="AO188" i="9"/>
  <c r="K188" i="9"/>
  <c r="AR188" i="9"/>
  <c r="M188" i="9"/>
  <c r="AS188" i="9"/>
  <c r="N188" i="9"/>
  <c r="AT188" i="9"/>
  <c r="AJ190" i="9"/>
  <c r="P188" i="9"/>
  <c r="Q188" i="9"/>
  <c r="S188" i="9"/>
  <c r="V188" i="9"/>
  <c r="J190" i="9"/>
  <c r="AR190" i="9"/>
  <c r="W188" i="9"/>
  <c r="L190" i="9"/>
  <c r="AT190" i="9"/>
  <c r="X188" i="9"/>
  <c r="AA188" i="9"/>
  <c r="N190" i="9"/>
  <c r="AE188" i="9"/>
  <c r="O190" i="9"/>
  <c r="AG188" i="9"/>
  <c r="P190" i="9"/>
  <c r="U184" i="9"/>
  <c r="V184" i="9"/>
  <c r="AC184" i="9"/>
  <c r="AE184" i="9"/>
  <c r="T188" i="9"/>
  <c r="AP188" i="9"/>
  <c r="Q190" i="9"/>
  <c r="AN190" i="9"/>
  <c r="AF184" i="9"/>
  <c r="U188" i="9"/>
  <c r="AQ188" i="9"/>
  <c r="R190" i="9"/>
  <c r="AO190" i="9"/>
  <c r="AJ184" i="9"/>
  <c r="Y188" i="9"/>
  <c r="AU188" i="9"/>
  <c r="W190" i="9"/>
  <c r="AU190" i="9"/>
  <c r="AK184" i="9"/>
  <c r="D188" i="9"/>
  <c r="Z188" i="9"/>
  <c r="AV188" i="9"/>
  <c r="X190" i="9"/>
  <c r="AV190" i="9"/>
  <c r="O184" i="9"/>
  <c r="Q184" i="9"/>
  <c r="R184" i="9"/>
  <c r="S184" i="9"/>
  <c r="N184" i="9"/>
  <c r="P184" i="9"/>
  <c r="L184" i="9"/>
  <c r="AO184" i="9"/>
  <c r="G188" i="9"/>
  <c r="AC188" i="9"/>
  <c r="D190" i="9"/>
  <c r="AB190" i="9"/>
  <c r="AG184" i="9"/>
  <c r="AH184" i="9"/>
  <c r="AI184" i="9"/>
  <c r="I184" i="9"/>
  <c r="AL184" i="9"/>
  <c r="K184" i="9"/>
  <c r="AM184" i="9"/>
  <c r="F188" i="9"/>
  <c r="AB188" i="9"/>
  <c r="AA190" i="9"/>
  <c r="M184" i="9"/>
  <c r="AP184" i="9"/>
  <c r="H188" i="9"/>
  <c r="AD188" i="9"/>
  <c r="F190" i="9"/>
  <c r="AC190" i="9"/>
  <c r="T184" i="9"/>
  <c r="AN184" i="9"/>
  <c r="V190" i="9"/>
  <c r="AP190" i="9"/>
  <c r="W184" i="9"/>
  <c r="AQ184" i="9"/>
  <c r="X184" i="9"/>
  <c r="AR184" i="9"/>
  <c r="L188" i="9"/>
  <c r="AF188" i="9"/>
  <c r="E190" i="9"/>
  <c r="Y190" i="9"/>
  <c r="AS190" i="9"/>
  <c r="E184" i="9"/>
  <c r="Y184" i="9"/>
  <c r="AS184" i="9"/>
  <c r="F184" i="9"/>
  <c r="Z184" i="9"/>
  <c r="AT184" i="9"/>
  <c r="G184" i="9"/>
  <c r="AA184" i="9"/>
  <c r="AU184" i="9"/>
  <c r="H184" i="9"/>
  <c r="AB184" i="9"/>
  <c r="AV184" i="9"/>
  <c r="J184" i="9"/>
  <c r="AD184" i="9"/>
  <c r="R188" i="9"/>
  <c r="AL188" i="9"/>
  <c r="K190" i="9"/>
  <c r="AE190" i="9"/>
  <c r="AF144" i="8"/>
  <c r="AF145" i="8"/>
  <c r="AF146" i="8"/>
  <c r="AF147" i="8"/>
  <c r="AF148" i="8"/>
  <c r="AF149" i="8"/>
  <c r="AF150" i="8"/>
  <c r="AF151" i="8"/>
  <c r="AC145" i="8"/>
  <c r="AC147" i="8"/>
  <c r="AC148" i="8"/>
  <c r="AC149" i="8"/>
  <c r="AC146" i="8"/>
  <c r="AC150" i="8"/>
  <c r="S76" i="24" l="1"/>
  <c r="R113" i="24"/>
  <c r="R100" i="24"/>
  <c r="S71" i="24"/>
  <c r="AN132" i="24"/>
  <c r="F21" i="9"/>
  <c r="AQ183" i="9"/>
  <c r="AP75" i="24" s="1"/>
  <c r="L183" i="9"/>
  <c r="K75" i="24" s="1"/>
  <c r="D183" i="9"/>
  <c r="C75" i="24" s="1"/>
  <c r="AN78" i="9"/>
  <c r="AF78" i="9"/>
  <c r="AS78" i="9"/>
  <c r="AG74" i="9"/>
  <c r="AF126" i="9"/>
  <c r="AT21" i="9"/>
  <c r="P121" i="22" a="1"/>
  <c r="P121" i="22" s="1"/>
  <c r="P122" i="22" a="1"/>
  <c r="P122" i="22" s="1"/>
  <c r="AR25" i="9"/>
  <c r="Z151" i="8"/>
  <c r="AE21" i="9"/>
  <c r="J78" i="9"/>
  <c r="AR74" i="9"/>
  <c r="R74" i="9"/>
  <c r="AC78" i="9"/>
  <c r="AP78" i="9"/>
  <c r="AS21" i="9"/>
  <c r="AN126" i="9"/>
  <c r="AK25" i="9"/>
  <c r="AS126" i="9"/>
  <c r="AT78" i="9"/>
  <c r="S78" i="9"/>
  <c r="Q74" i="9"/>
  <c r="J25" i="9"/>
  <c r="AT126" i="9"/>
  <c r="AO21" i="9"/>
  <c r="F126" i="9"/>
  <c r="AQ25" i="9"/>
  <c r="Z150" i="8"/>
  <c r="L126" i="9"/>
  <c r="O25" i="9"/>
  <c r="AJ21" i="9"/>
  <c r="AC74" i="9"/>
  <c r="AK74" i="9"/>
  <c r="AP21" i="9"/>
  <c r="AO25" i="9"/>
  <c r="AT25" i="9"/>
  <c r="V25" i="9"/>
  <c r="AJ78" i="9"/>
  <c r="G78" i="9"/>
  <c r="X21" i="9"/>
  <c r="AV78" i="9"/>
  <c r="AC21" i="9"/>
  <c r="AU74" i="9"/>
  <c r="T78" i="9"/>
  <c r="T25" i="9"/>
  <c r="AD74" i="9"/>
  <c r="X78" i="9"/>
  <c r="P124" i="22" a="1"/>
  <c r="P124" i="22" s="1"/>
  <c r="P123" i="22" a="1"/>
  <c r="P123" i="22" s="1"/>
  <c r="J31" i="16"/>
  <c r="T21" i="9"/>
  <c r="AH126" i="9"/>
  <c r="AE126" i="9"/>
  <c r="AO126" i="9"/>
  <c r="N21" i="9"/>
  <c r="AN74" i="9"/>
  <c r="G74" i="9"/>
  <c r="M78" i="9"/>
  <c r="D21" i="9"/>
  <c r="AA74" i="9"/>
  <c r="L66" i="9"/>
  <c r="AR21" i="9"/>
  <c r="N78" i="9"/>
  <c r="AI25" i="9"/>
  <c r="E21" i="9"/>
  <c r="H78" i="9"/>
  <c r="O78" i="9"/>
  <c r="L78" i="9"/>
  <c r="AU78" i="9"/>
  <c r="AQ78" i="9"/>
  <c r="I21" i="9"/>
  <c r="W74" i="9"/>
  <c r="AQ74" i="9"/>
  <c r="AH78" i="9"/>
  <c r="Q78" i="9"/>
  <c r="AK78" i="9"/>
  <c r="J74" i="9"/>
  <c r="G21" i="9"/>
  <c r="AL78" i="9"/>
  <c r="K74" i="9"/>
  <c r="K21" i="9"/>
  <c r="W21" i="9"/>
  <c r="AS74" i="9"/>
  <c r="AM78" i="9"/>
  <c r="U21" i="9"/>
  <c r="Z144" i="8"/>
  <c r="Z149" i="8"/>
  <c r="Z147" i="8"/>
  <c r="AP66" i="9"/>
  <c r="K66" i="9"/>
  <c r="M183" i="9"/>
  <c r="L75" i="24" s="1"/>
  <c r="Y21" i="9"/>
  <c r="R66" i="9"/>
  <c r="AN118" i="9"/>
  <c r="Z13" i="9"/>
  <c r="AF66" i="9"/>
  <c r="AC13" i="9"/>
  <c r="AR126" i="9"/>
  <c r="AT13" i="9"/>
  <c r="F74" i="9"/>
  <c r="AJ74" i="9"/>
  <c r="U78" i="9"/>
  <c r="Z74" i="9"/>
  <c r="AR66" i="9"/>
  <c r="V21" i="9"/>
  <c r="P66" i="9"/>
  <c r="AG66" i="9"/>
  <c r="P74" i="9"/>
  <c r="M74" i="9"/>
  <c r="E66" i="9"/>
  <c r="AM126" i="9"/>
  <c r="S126" i="9"/>
  <c r="AM118" i="9"/>
  <c r="P25" i="9"/>
  <c r="AG25" i="9"/>
  <c r="U74" i="9"/>
  <c r="AG78" i="9"/>
  <c r="E25" i="9"/>
  <c r="V78" i="9"/>
  <c r="R126" i="9"/>
  <c r="Y66" i="9"/>
  <c r="Q25" i="9"/>
  <c r="AA78" i="9"/>
  <c r="AD21" i="9"/>
  <c r="AL25" i="9"/>
  <c r="X118" i="9"/>
  <c r="V66" i="9"/>
  <c r="I66" i="9"/>
  <c r="J21" i="9"/>
  <c r="AK21" i="9"/>
  <c r="P78" i="9"/>
  <c r="AC66" i="9"/>
  <c r="Y126" i="9"/>
  <c r="AB66" i="9"/>
  <c r="U126" i="9"/>
  <c r="Z126" i="9"/>
  <c r="J66" i="9"/>
  <c r="AN66" i="9"/>
  <c r="D74" i="9"/>
  <c r="Z21" i="9"/>
  <c r="AV13" i="9"/>
  <c r="AQ118" i="9"/>
  <c r="AL66" i="9"/>
  <c r="X74" i="9"/>
  <c r="AP126" i="9"/>
  <c r="J126" i="9"/>
  <c r="AS118" i="9"/>
  <c r="O118" i="9"/>
  <c r="AQ126" i="9"/>
  <c r="AB126" i="9"/>
  <c r="M126" i="9"/>
  <c r="R78" i="9"/>
  <c r="V126" i="9"/>
  <c r="AR118" i="9"/>
  <c r="H126" i="9"/>
  <c r="AI118" i="9"/>
  <c r="M66" i="9"/>
  <c r="D118" i="9"/>
  <c r="E74" i="9"/>
  <c r="Y74" i="9"/>
  <c r="AU21" i="9"/>
  <c r="N126" i="9"/>
  <c r="AD126" i="9"/>
  <c r="AB78" i="9"/>
  <c r="W126" i="9"/>
  <c r="AN21" i="9"/>
  <c r="AP25" i="9"/>
  <c r="V118" i="9"/>
  <c r="W118" i="9"/>
  <c r="U66" i="9"/>
  <c r="L74" i="9"/>
  <c r="AL74" i="9"/>
  <c r="AQ66" i="9"/>
  <c r="S74" i="9"/>
  <c r="X66" i="9"/>
  <c r="AO66" i="9"/>
  <c r="AM74" i="9"/>
  <c r="E126" i="9"/>
  <c r="Q118" i="9"/>
  <c r="W66" i="9"/>
  <c r="AE66" i="9"/>
  <c r="T74" i="9"/>
  <c r="AT74" i="9"/>
  <c r="AQ21" i="9"/>
  <c r="AD78" i="9"/>
  <c r="D25" i="9"/>
  <c r="AP118" i="9"/>
  <c r="I126" i="9"/>
  <c r="K126" i="9"/>
  <c r="AL126" i="9"/>
  <c r="AD13" i="9"/>
  <c r="F66" i="9"/>
  <c r="P21" i="9"/>
  <c r="Z66" i="9"/>
  <c r="R183" i="9"/>
  <c r="Q75" i="24" s="1"/>
  <c r="T66" i="9"/>
  <c r="AO74" i="9"/>
  <c r="AT66" i="9"/>
  <c r="S66" i="9"/>
  <c r="X126" i="9"/>
  <c r="AU66" i="9"/>
  <c r="AM66" i="9"/>
  <c r="O183" i="9"/>
  <c r="N75" i="24" s="1"/>
  <c r="D126" i="9"/>
  <c r="AH66" i="9"/>
  <c r="AA66" i="9"/>
  <c r="W78" i="9"/>
  <c r="AS25" i="9"/>
  <c r="Y118" i="9"/>
  <c r="AR78" i="9"/>
  <c r="AA25" i="9"/>
  <c r="AI78" i="9"/>
  <c r="E118" i="9"/>
  <c r="AB118" i="9"/>
  <c r="AE74" i="9"/>
  <c r="AV21" i="9"/>
  <c r="AV66" i="9"/>
  <c r="D13" i="9"/>
  <c r="N66" i="9"/>
  <c r="S25" i="9"/>
  <c r="AO118" i="9"/>
  <c r="S118" i="9"/>
  <c r="T118" i="9"/>
  <c r="T126" i="9"/>
  <c r="AD118" i="9"/>
  <c r="H118" i="9"/>
  <c r="AE78" i="9"/>
  <c r="AD66" i="9"/>
  <c r="G25" i="9"/>
  <c r="R21" i="9"/>
  <c r="AM25" i="9"/>
  <c r="AF183" i="9"/>
  <c r="AE75" i="24" s="1"/>
  <c r="AL183" i="9"/>
  <c r="AK75" i="24" s="1"/>
  <c r="AC126" i="9"/>
  <c r="U118" i="9"/>
  <c r="AC118" i="9"/>
  <c r="AV118" i="9"/>
  <c r="AU118" i="9"/>
  <c r="F13" i="9"/>
  <c r="AT118" i="9"/>
  <c r="AU126" i="9"/>
  <c r="R118" i="9"/>
  <c r="K78" i="9"/>
  <c r="AI66" i="9"/>
  <c r="G66" i="9"/>
  <c r="AO183" i="9"/>
  <c r="AN75" i="24" s="1"/>
  <c r="I183" i="9"/>
  <c r="H75" i="24" s="1"/>
  <c r="I118" i="9"/>
  <c r="M13" i="9"/>
  <c r="AA118" i="9"/>
  <c r="AA126" i="9"/>
  <c r="AR13" i="9"/>
  <c r="AL21" i="9"/>
  <c r="O66" i="9"/>
  <c r="Y78" i="9"/>
  <c r="AV25" i="9"/>
  <c r="Z25" i="9"/>
  <c r="T13" i="9"/>
  <c r="AJ13" i="9"/>
  <c r="AB13" i="9"/>
  <c r="S21" i="9"/>
  <c r="AD25" i="9"/>
  <c r="AJ118" i="9"/>
  <c r="G118" i="9"/>
  <c r="F118" i="9"/>
  <c r="G126" i="9"/>
  <c r="P13" i="9"/>
  <c r="Z118" i="9"/>
  <c r="AJ66" i="9"/>
  <c r="AF74" i="9"/>
  <c r="E78" i="9"/>
  <c r="Y13" i="9"/>
  <c r="AN13" i="9"/>
  <c r="F25" i="9"/>
  <c r="AM21" i="9"/>
  <c r="AA21" i="9"/>
  <c r="AK118" i="9"/>
  <c r="P118" i="9"/>
  <c r="AV126" i="9"/>
  <c r="AG118" i="9"/>
  <c r="AG126" i="9"/>
  <c r="Q21" i="9"/>
  <c r="AK183" i="9"/>
  <c r="AJ75" i="24" s="1"/>
  <c r="N183" i="9"/>
  <c r="M75" i="24" s="1"/>
  <c r="F183" i="9"/>
  <c r="E75" i="24" s="1"/>
  <c r="P183" i="9"/>
  <c r="O75" i="24" s="1"/>
  <c r="AD183" i="9"/>
  <c r="AC75" i="24" s="1"/>
  <c r="AM183" i="9"/>
  <c r="AL75" i="24" s="1"/>
  <c r="AN25" i="9"/>
  <c r="AG21" i="9"/>
  <c r="U25" i="9"/>
  <c r="AU25" i="9"/>
  <c r="AJ126" i="9"/>
  <c r="J13" i="9"/>
  <c r="AA13" i="9"/>
  <c r="AE118" i="9"/>
  <c r="P126" i="9"/>
  <c r="L25" i="9"/>
  <c r="AF118" i="9"/>
  <c r="K118" i="9"/>
  <c r="Q13" i="9"/>
  <c r="L118" i="9"/>
  <c r="AL118" i="9"/>
  <c r="J118" i="9"/>
  <c r="AB25" i="9"/>
  <c r="W25" i="9"/>
  <c r="AI21" i="9"/>
  <c r="M118" i="9"/>
  <c r="E13" i="9"/>
  <c r="I13" i="9"/>
  <c r="Z145" i="8"/>
  <c r="AH21" i="9"/>
  <c r="AF21" i="9"/>
  <c r="K13" i="9"/>
  <c r="N13" i="9"/>
  <c r="AU13" i="9"/>
  <c r="AJ25" i="9"/>
  <c r="X25" i="9"/>
  <c r="AI126" i="9"/>
  <c r="AK126" i="9"/>
  <c r="O126" i="9"/>
  <c r="O21" i="9"/>
  <c r="AK13" i="9"/>
  <c r="AH13" i="9"/>
  <c r="AB21" i="9"/>
  <c r="L13" i="9"/>
  <c r="W13" i="9"/>
  <c r="H25" i="9"/>
  <c r="Q126" i="9"/>
  <c r="AS13" i="9"/>
  <c r="G13" i="9"/>
  <c r="L21" i="9"/>
  <c r="AE13" i="9"/>
  <c r="H21" i="9"/>
  <c r="Y25" i="9"/>
  <c r="AG13" i="9"/>
  <c r="O13" i="9"/>
  <c r="AH118" i="9"/>
  <c r="H13" i="9"/>
  <c r="AI13" i="9"/>
  <c r="X13" i="9"/>
  <c r="N118" i="9"/>
  <c r="AC183" i="9"/>
  <c r="AB75" i="24" s="1"/>
  <c r="AA183" i="9"/>
  <c r="Z75" i="24" s="1"/>
  <c r="T183" i="9"/>
  <c r="S75" i="24" s="1"/>
  <c r="AR183" i="9"/>
  <c r="AQ75" i="24" s="1"/>
  <c r="AT183" i="9"/>
  <c r="AS75" i="24" s="1"/>
  <c r="Z183" i="9"/>
  <c r="Y75" i="24" s="1"/>
  <c r="AJ183" i="9"/>
  <c r="AI75" i="24" s="1"/>
  <c r="J183" i="9"/>
  <c r="I75" i="24" s="1"/>
  <c r="S183" i="9"/>
  <c r="R75" i="24" s="1"/>
  <c r="AI183" i="9"/>
  <c r="AH75" i="24" s="1"/>
  <c r="Q183" i="9"/>
  <c r="P75" i="24" s="1"/>
  <c r="W183" i="9"/>
  <c r="V75" i="24" s="1"/>
  <c r="AH183" i="9"/>
  <c r="AG75" i="24" s="1"/>
  <c r="AP183" i="9"/>
  <c r="AO75" i="24" s="1"/>
  <c r="V183" i="9"/>
  <c r="U75" i="24" s="1"/>
  <c r="AG183" i="9"/>
  <c r="AF75" i="24" s="1"/>
  <c r="AB183" i="9"/>
  <c r="AA75" i="24" s="1"/>
  <c r="H183" i="9"/>
  <c r="G75" i="24" s="1"/>
  <c r="U183" i="9"/>
  <c r="T75" i="24" s="1"/>
  <c r="AE183" i="9"/>
  <c r="AD75" i="24" s="1"/>
  <c r="AU183" i="9"/>
  <c r="AT75" i="24" s="1"/>
  <c r="K183" i="9"/>
  <c r="J75" i="24" s="1"/>
  <c r="X183" i="9"/>
  <c r="W75" i="24" s="1"/>
  <c r="G183" i="9"/>
  <c r="F75" i="24" s="1"/>
  <c r="AN183" i="9"/>
  <c r="AM75" i="24" s="1"/>
  <c r="AV183" i="9"/>
  <c r="AU75" i="24" s="1"/>
  <c r="AS183" i="9"/>
  <c r="AR75" i="24" s="1"/>
  <c r="Y183" i="9"/>
  <c r="X75" i="24" s="1"/>
  <c r="E183" i="9"/>
  <c r="D75" i="24" s="1"/>
  <c r="D78" i="9"/>
  <c r="AF13" i="9"/>
  <c r="AQ13" i="9"/>
  <c r="H74" i="9"/>
  <c r="AH25" i="9"/>
  <c r="M21" i="9"/>
  <c r="V74" i="9"/>
  <c r="I78" i="9"/>
  <c r="AP74" i="9"/>
  <c r="AV74" i="9"/>
  <c r="AB74" i="9"/>
  <c r="K25" i="9"/>
  <c r="H66" i="9"/>
  <c r="R13" i="9"/>
  <c r="AE25" i="9"/>
  <c r="M25" i="9"/>
  <c r="Z78" i="9"/>
  <c r="AL13" i="9"/>
  <c r="F78" i="9"/>
  <c r="AO78" i="9"/>
  <c r="I74" i="9"/>
  <c r="S13" i="9"/>
  <c r="AF25" i="9"/>
  <c r="N25" i="9"/>
  <c r="AS66" i="9"/>
  <c r="AM13" i="9"/>
  <c r="N74" i="9"/>
  <c r="AK66" i="9"/>
  <c r="AH74" i="9"/>
  <c r="Q66" i="9"/>
  <c r="AC25" i="9"/>
  <c r="U13" i="9"/>
  <c r="I25" i="9"/>
  <c r="O74" i="9"/>
  <c r="AO13" i="9"/>
  <c r="AI74" i="9"/>
  <c r="V13" i="9"/>
  <c r="AP13" i="9"/>
  <c r="R25" i="9"/>
  <c r="F126" i="22"/>
  <c r="F125" i="22"/>
  <c r="Z148" i="8"/>
  <c r="T76" i="24" l="1"/>
  <c r="S100" i="24"/>
  <c r="S113" i="24"/>
  <c r="F37" i="24"/>
  <c r="T71" i="24"/>
  <c r="AO132" i="24"/>
  <c r="K12" i="9"/>
  <c r="K18" i="23" s="1"/>
  <c r="D65" i="9"/>
  <c r="D6" i="9" s="1"/>
  <c r="O185" i="8"/>
  <c r="M185" i="8"/>
  <c r="N185" i="8"/>
  <c r="M121" i="22"/>
  <c r="Y117" i="9"/>
  <c r="Y7" i="9" s="1"/>
  <c r="AS117" i="9"/>
  <c r="AS7" i="9" s="1"/>
  <c r="AC65" i="9"/>
  <c r="M122" i="22"/>
  <c r="AN117" i="9"/>
  <c r="AN7" i="9" s="1"/>
  <c r="AO12" i="9"/>
  <c r="AO18" i="23" s="1"/>
  <c r="AR12" i="9"/>
  <c r="AR18" i="23" s="1"/>
  <c r="G65" i="9"/>
  <c r="G6" i="9" s="1"/>
  <c r="AM117" i="9"/>
  <c r="AM7" i="9" s="1"/>
  <c r="AF65" i="9"/>
  <c r="S117" i="9"/>
  <c r="S7" i="9" s="1"/>
  <c r="E117" i="9"/>
  <c r="E7" i="9" s="1"/>
  <c r="J117" i="9"/>
  <c r="J7" i="9" s="1"/>
  <c r="V117" i="9"/>
  <c r="V7" i="9" s="1"/>
  <c r="K65" i="9"/>
  <c r="R65" i="9"/>
  <c r="AL12" i="9"/>
  <c r="AL18" i="23" s="1"/>
  <c r="T12" i="9"/>
  <c r="T18" i="23" s="1"/>
  <c r="AT65" i="9"/>
  <c r="M65" i="9"/>
  <c r="AD65" i="9"/>
  <c r="AI12" i="9"/>
  <c r="AI18" i="23" s="1"/>
  <c r="AA65" i="9"/>
  <c r="AT12" i="9"/>
  <c r="AT18" i="23" s="1"/>
  <c r="M123" i="22"/>
  <c r="M124" i="22"/>
  <c r="I31" i="16"/>
  <c r="U117" i="9"/>
  <c r="U7" i="9" s="1"/>
  <c r="N117" i="9"/>
  <c r="N7" i="9" s="1"/>
  <c r="Z117" i="9"/>
  <c r="Z7" i="9" s="1"/>
  <c r="AB117" i="9"/>
  <c r="AB7" i="9" s="1"/>
  <c r="AG117" i="9"/>
  <c r="AG7" i="9" s="1"/>
  <c r="AD117" i="9"/>
  <c r="AD7" i="9" s="1"/>
  <c r="AO117" i="9"/>
  <c r="AO7" i="9" s="1"/>
  <c r="R117" i="9"/>
  <c r="R7" i="9" s="1"/>
  <c r="Z12" i="9"/>
  <c r="Z18" i="23" s="1"/>
  <c r="AQ117" i="9"/>
  <c r="AQ7" i="9" s="1"/>
  <c r="AT117" i="9"/>
  <c r="AT7" i="9" s="1"/>
  <c r="W12" i="9"/>
  <c r="W18" i="23" s="1"/>
  <c r="AU117" i="9"/>
  <c r="AU7" i="9" s="1"/>
  <c r="AP117" i="9"/>
  <c r="AP7" i="9" s="1"/>
  <c r="T117" i="9"/>
  <c r="T7" i="9" s="1"/>
  <c r="M117" i="9"/>
  <c r="M7" i="9" s="1"/>
  <c r="AF12" i="9"/>
  <c r="AF18" i="23" s="1"/>
  <c r="AC117" i="9"/>
  <c r="AC7" i="9" s="1"/>
  <c r="AR117" i="9"/>
  <c r="AR7" i="9" s="1"/>
  <c r="Q65" i="9"/>
  <c r="F12" i="9"/>
  <c r="F18" i="23" s="1"/>
  <c r="E12" i="9"/>
  <c r="E18" i="23" s="1"/>
  <c r="AM65" i="9"/>
  <c r="L65" i="9"/>
  <c r="AK65" i="9"/>
  <c r="Y12" i="9"/>
  <c r="Y18" i="23" s="1"/>
  <c r="D12" i="9"/>
  <c r="AU65" i="9"/>
  <c r="U65" i="9"/>
  <c r="AJ12" i="9"/>
  <c r="AJ18" i="23" s="1"/>
  <c r="AQ65" i="9"/>
  <c r="AV65" i="9"/>
  <c r="AV6" i="9" s="1"/>
  <c r="AP65" i="9"/>
  <c r="AN65" i="9"/>
  <c r="AG65" i="9"/>
  <c r="AS65" i="9"/>
  <c r="AS6" i="9" s="1"/>
  <c r="AJ65" i="9"/>
  <c r="S65" i="9"/>
  <c r="J65" i="9"/>
  <c r="J6" i="9" s="1"/>
  <c r="P65" i="9"/>
  <c r="X12" i="9"/>
  <c r="X18" i="23" s="1"/>
  <c r="AB65" i="9"/>
  <c r="AB6" i="9" s="1"/>
  <c r="AQ12" i="9"/>
  <c r="AQ18" i="23" s="1"/>
  <c r="V12" i="9"/>
  <c r="V18" i="23" s="1"/>
  <c r="AV12" i="9"/>
  <c r="AV18" i="23" s="1"/>
  <c r="AV17" i="23" s="1"/>
  <c r="J12" i="9"/>
  <c r="J18" i="23" s="1"/>
  <c r="Z65" i="9"/>
  <c r="O65" i="9"/>
  <c r="F65" i="9"/>
  <c r="F6" i="9" s="1"/>
  <c r="AC12" i="9"/>
  <c r="AC18" i="23" s="1"/>
  <c r="Y65" i="9"/>
  <c r="D117" i="9"/>
  <c r="D7" i="9" s="1"/>
  <c r="AL65" i="9"/>
  <c r="AK12" i="9"/>
  <c r="AK18" i="23" s="1"/>
  <c r="AG12" i="9"/>
  <c r="AG18" i="23" s="1"/>
  <c r="H65" i="9"/>
  <c r="H6" i="9" s="1"/>
  <c r="O117" i="9"/>
  <c r="O7" i="9" s="1"/>
  <c r="AL117" i="9"/>
  <c r="AL7" i="9" s="1"/>
  <c r="E65" i="9"/>
  <c r="E6" i="9" s="1"/>
  <c r="X117" i="9"/>
  <c r="X7" i="9" s="1"/>
  <c r="AH65" i="9"/>
  <c r="AH117" i="9"/>
  <c r="AH7" i="9" s="1"/>
  <c r="AK117" i="9"/>
  <c r="AK7" i="9" s="1"/>
  <c r="AI117" i="9"/>
  <c r="AI7" i="9" s="1"/>
  <c r="O12" i="9"/>
  <c r="O18" i="23" s="1"/>
  <c r="AA117" i="9"/>
  <c r="AA7" i="9" s="1"/>
  <c r="T65" i="9"/>
  <c r="W65" i="9"/>
  <c r="N65" i="9"/>
  <c r="N6" i="9" s="1"/>
  <c r="P12" i="9"/>
  <c r="P18" i="23" s="1"/>
  <c r="I65" i="9"/>
  <c r="I6" i="9" s="1"/>
  <c r="V65" i="9"/>
  <c r="G12" i="9"/>
  <c r="G18" i="23" s="1"/>
  <c r="AJ117" i="9"/>
  <c r="AJ7" i="9" s="1"/>
  <c r="AD12" i="9"/>
  <c r="AD18" i="23" s="1"/>
  <c r="H117" i="9"/>
  <c r="H7" i="9" s="1"/>
  <c r="AR65" i="9"/>
  <c r="I117" i="9"/>
  <c r="I7" i="9" s="1"/>
  <c r="AP12" i="9"/>
  <c r="AP18" i="23" s="1"/>
  <c r="L117" i="9"/>
  <c r="L7" i="9" s="1"/>
  <c r="AO65" i="9"/>
  <c r="AB12" i="9"/>
  <c r="AB18" i="23" s="1"/>
  <c r="X65" i="9"/>
  <c r="U12" i="9"/>
  <c r="U18" i="23" s="1"/>
  <c r="AN12" i="9"/>
  <c r="AN18" i="23" s="1"/>
  <c r="Q12" i="9"/>
  <c r="Q18" i="23" s="1"/>
  <c r="AU12" i="9"/>
  <c r="AU18" i="23" s="1"/>
  <c r="AE12" i="9"/>
  <c r="AE18" i="23" s="1"/>
  <c r="N12" i="9"/>
  <c r="N18" i="23" s="1"/>
  <c r="L12" i="9"/>
  <c r="L18" i="23" s="1"/>
  <c r="AS12" i="9"/>
  <c r="AS18" i="23" s="1"/>
  <c r="K117" i="9"/>
  <c r="K7" i="9" s="1"/>
  <c r="Q117" i="9"/>
  <c r="Q7" i="9" s="1"/>
  <c r="AF117" i="9"/>
  <c r="AF7" i="9" s="1"/>
  <c r="AV117" i="9"/>
  <c r="AV7" i="9" s="1"/>
  <c r="AM12" i="9"/>
  <c r="AM18" i="23" s="1"/>
  <c r="AE117" i="9"/>
  <c r="AE7" i="9" s="1"/>
  <c r="P117" i="9"/>
  <c r="P7" i="9" s="1"/>
  <c r="W117" i="9"/>
  <c r="W7" i="9" s="1"/>
  <c r="AA12" i="9"/>
  <c r="AA18" i="23" s="1"/>
  <c r="S12" i="9"/>
  <c r="S18" i="23" s="1"/>
  <c r="H12" i="9"/>
  <c r="H18" i="23" s="1"/>
  <c r="F117" i="9"/>
  <c r="F7" i="9" s="1"/>
  <c r="AE65" i="9"/>
  <c r="AI65" i="9"/>
  <c r="G117" i="9"/>
  <c r="G7" i="9" s="1"/>
  <c r="I12" i="9"/>
  <c r="I18" i="23" s="1"/>
  <c r="M12" i="9"/>
  <c r="M18" i="23" s="1"/>
  <c r="AH12" i="9"/>
  <c r="AH18" i="23" s="1"/>
  <c r="R12" i="9"/>
  <c r="R18" i="23" s="1"/>
  <c r="D126" i="22"/>
  <c r="N96" i="23" l="1"/>
  <c r="M99" i="24"/>
  <c r="M101" i="24" s="1"/>
  <c r="AV96" i="23"/>
  <c r="AU99" i="24"/>
  <c r="J96" i="23"/>
  <c r="I99" i="24"/>
  <c r="I101" i="24" s="1"/>
  <c r="H96" i="23"/>
  <c r="G99" i="24"/>
  <c r="G101" i="24" s="1"/>
  <c r="AS96" i="23"/>
  <c r="AR99" i="24"/>
  <c r="I96" i="23"/>
  <c r="H99" i="24"/>
  <c r="H101" i="24" s="1"/>
  <c r="E96" i="23"/>
  <c r="D99" i="24"/>
  <c r="D101" i="24" s="1"/>
  <c r="F96" i="23"/>
  <c r="E99" i="24"/>
  <c r="E101" i="24" s="1"/>
  <c r="D96" i="23"/>
  <c r="C99" i="24"/>
  <c r="C101" i="24" s="1"/>
  <c r="AB96" i="23"/>
  <c r="AA99" i="24"/>
  <c r="G96" i="23"/>
  <c r="F99" i="24"/>
  <c r="X112" i="24"/>
  <c r="Y107" i="23"/>
  <c r="P112" i="24"/>
  <c r="Q107" i="23"/>
  <c r="AP112" i="24"/>
  <c r="AQ107" i="23"/>
  <c r="Q112" i="24"/>
  <c r="R107" i="23"/>
  <c r="U112" i="24"/>
  <c r="V107" i="23"/>
  <c r="AI112" i="24"/>
  <c r="AJ107" i="23"/>
  <c r="AO112" i="24"/>
  <c r="AP107" i="23"/>
  <c r="D112" i="24"/>
  <c r="E107" i="23"/>
  <c r="AH112" i="24"/>
  <c r="AI107" i="23"/>
  <c r="AA112" i="24"/>
  <c r="AB107" i="23"/>
  <c r="R112" i="24"/>
  <c r="S107" i="23"/>
  <c r="AG112" i="24"/>
  <c r="AH107" i="23"/>
  <c r="M112" i="24"/>
  <c r="N107" i="23"/>
  <c r="AE112" i="24"/>
  <c r="AF107" i="23"/>
  <c r="AT112" i="24"/>
  <c r="AU107" i="23"/>
  <c r="T112" i="24"/>
  <c r="U107" i="23"/>
  <c r="W112" i="24"/>
  <c r="X107" i="23"/>
  <c r="Y112" i="24"/>
  <c r="Z107" i="23"/>
  <c r="K112" i="24"/>
  <c r="L107" i="23"/>
  <c r="O112" i="24"/>
  <c r="P107" i="23"/>
  <c r="AB112" i="24"/>
  <c r="AC107" i="23"/>
  <c r="AM112" i="24"/>
  <c r="AN107" i="23"/>
  <c r="AK112" i="24"/>
  <c r="AL107" i="23"/>
  <c r="N112" i="24"/>
  <c r="O107" i="23"/>
  <c r="J112" i="24"/>
  <c r="K107" i="23"/>
  <c r="C112" i="24"/>
  <c r="D107" i="23"/>
  <c r="AS112" i="24"/>
  <c r="AT107" i="23"/>
  <c r="Z112" i="24"/>
  <c r="AA107" i="23"/>
  <c r="I112" i="24"/>
  <c r="J107" i="23"/>
  <c r="AF112" i="24"/>
  <c r="AG107" i="23"/>
  <c r="E112" i="24"/>
  <c r="F107" i="23"/>
  <c r="AJ112" i="24"/>
  <c r="AK107" i="23"/>
  <c r="V112" i="24"/>
  <c r="W107" i="23"/>
  <c r="AQ112" i="24"/>
  <c r="AR107" i="23"/>
  <c r="H112" i="24"/>
  <c r="I107" i="23"/>
  <c r="AD112" i="24"/>
  <c r="AE107" i="23"/>
  <c r="G112" i="24"/>
  <c r="H107" i="23"/>
  <c r="L112" i="24"/>
  <c r="M107" i="23"/>
  <c r="AN112" i="24"/>
  <c r="AO107" i="23"/>
  <c r="F112" i="24"/>
  <c r="G107" i="23"/>
  <c r="AC112" i="24"/>
  <c r="AD107" i="23"/>
  <c r="AL112" i="24"/>
  <c r="AM107" i="23"/>
  <c r="AU112" i="24"/>
  <c r="AV107" i="23"/>
  <c r="S112" i="24"/>
  <c r="S114" i="24" s="1"/>
  <c r="T107" i="23"/>
  <c r="AR112" i="24"/>
  <c r="AS107" i="23"/>
  <c r="C17" i="23"/>
  <c r="D18" i="23"/>
  <c r="D17" i="23" s="1"/>
  <c r="C65" i="24"/>
  <c r="AV58" i="23"/>
  <c r="AV38" i="23"/>
  <c r="AV11" i="23"/>
  <c r="AV44" i="23"/>
  <c r="AV43" i="23" s="1"/>
  <c r="AV25" i="23"/>
  <c r="AV30" i="23" s="1"/>
  <c r="AV126" i="23"/>
  <c r="AV124" i="23" s="1"/>
  <c r="AV118" i="23" s="1"/>
  <c r="M65" i="24"/>
  <c r="E65" i="24"/>
  <c r="D65" i="24"/>
  <c r="I65" i="24"/>
  <c r="AA65" i="24"/>
  <c r="U76" i="24"/>
  <c r="T113" i="24"/>
  <c r="T100" i="24"/>
  <c r="AR65" i="24"/>
  <c r="AU65" i="24"/>
  <c r="AU81" i="24" s="1"/>
  <c r="G65" i="24"/>
  <c r="H65" i="24"/>
  <c r="F101" i="24"/>
  <c r="F65" i="24"/>
  <c r="G5" i="9"/>
  <c r="AS5" i="9"/>
  <c r="E5" i="9"/>
  <c r="N5" i="9"/>
  <c r="U71" i="24"/>
  <c r="H5" i="9"/>
  <c r="AV5" i="9"/>
  <c r="AB5" i="9"/>
  <c r="F5" i="9"/>
  <c r="I5" i="9"/>
  <c r="AP132" i="24"/>
  <c r="AC8" i="9"/>
  <c r="AB17" i="23"/>
  <c r="Y8" i="9"/>
  <c r="X17" i="23"/>
  <c r="G8" i="9"/>
  <c r="F17" i="23"/>
  <c r="X8" i="9"/>
  <c r="W17" i="23"/>
  <c r="AF8" i="9"/>
  <c r="AE17" i="23"/>
  <c r="M8" i="9"/>
  <c r="L17" i="23"/>
  <c r="AA8" i="9"/>
  <c r="Z17" i="23"/>
  <c r="U8" i="9"/>
  <c r="T17" i="23"/>
  <c r="V8" i="9"/>
  <c r="U17" i="23"/>
  <c r="W8" i="9"/>
  <c r="V17" i="23"/>
  <c r="AR8" i="9"/>
  <c r="AQ17" i="23"/>
  <c r="L8" i="9"/>
  <c r="K17" i="23"/>
  <c r="AB8" i="9"/>
  <c r="AA17" i="23"/>
  <c r="I8" i="9"/>
  <c r="H17" i="23"/>
  <c r="AS8" i="9"/>
  <c r="AR17" i="23"/>
  <c r="AD8" i="9"/>
  <c r="AC17" i="23"/>
  <c r="AQ8" i="9"/>
  <c r="AP17" i="23"/>
  <c r="D8" i="9"/>
  <c r="AI8" i="9"/>
  <c r="AH17" i="23"/>
  <c r="AO8" i="9"/>
  <c r="AN17" i="23"/>
  <c r="K8" i="9"/>
  <c r="J17" i="23"/>
  <c r="N8" i="9"/>
  <c r="M17" i="23"/>
  <c r="AM8" i="9"/>
  <c r="AL17" i="23"/>
  <c r="AE8" i="9"/>
  <c r="AD17" i="23"/>
  <c r="AP8" i="9"/>
  <c r="AO17" i="23"/>
  <c r="R8" i="9"/>
  <c r="Q17" i="23"/>
  <c r="H8" i="9"/>
  <c r="G17" i="23"/>
  <c r="Q8" i="9"/>
  <c r="P17" i="23"/>
  <c r="P8" i="9"/>
  <c r="O17" i="23"/>
  <c r="AK8" i="9"/>
  <c r="AJ17" i="23"/>
  <c r="J8" i="9"/>
  <c r="I17" i="23"/>
  <c r="AJ8" i="9"/>
  <c r="AI17" i="23"/>
  <c r="E8" i="9"/>
  <c r="AL8" i="9"/>
  <c r="AK17" i="23"/>
  <c r="O8" i="9"/>
  <c r="N17" i="23"/>
  <c r="Z8" i="9"/>
  <c r="Y17" i="23"/>
  <c r="AU8" i="9"/>
  <c r="AT17" i="23"/>
  <c r="AG8" i="9"/>
  <c r="AF17" i="23"/>
  <c r="T8" i="9"/>
  <c r="S17" i="23"/>
  <c r="AH8" i="9"/>
  <c r="AG17" i="23"/>
  <c r="S8" i="9"/>
  <c r="R17" i="23"/>
  <c r="AN8" i="9"/>
  <c r="AM17" i="23"/>
  <c r="AV8" i="9"/>
  <c r="AU17" i="23"/>
  <c r="F8" i="9"/>
  <c r="E17" i="23"/>
  <c r="E126" i="23" s="1"/>
  <c r="AT8" i="9"/>
  <c r="AS17" i="23"/>
  <c r="J5" i="9"/>
  <c r="D5" i="9"/>
  <c r="S6" i="9"/>
  <c r="AG6" i="9"/>
  <c r="AA6" i="9"/>
  <c r="AN6" i="9"/>
  <c r="P6" i="9"/>
  <c r="AL6" i="9"/>
  <c r="AP6" i="9"/>
  <c r="AD6" i="9"/>
  <c r="V6" i="9"/>
  <c r="Q6" i="9"/>
  <c r="AT6" i="9"/>
  <c r="AR6" i="9"/>
  <c r="Y6" i="9"/>
  <c r="AJ6" i="9"/>
  <c r="M6" i="9"/>
  <c r="L99" i="24" s="1"/>
  <c r="U6" i="9"/>
  <c r="AQ6" i="9"/>
  <c r="W6" i="9"/>
  <c r="O6" i="9"/>
  <c r="AU6" i="9"/>
  <c r="R6" i="9"/>
  <c r="K6" i="9"/>
  <c r="T6" i="9"/>
  <c r="Z6" i="9"/>
  <c r="AC6" i="9"/>
  <c r="AK6" i="9"/>
  <c r="AI6" i="9"/>
  <c r="AE6" i="9"/>
  <c r="L6" i="9"/>
  <c r="X6" i="9"/>
  <c r="AM6" i="9"/>
  <c r="AF6" i="9"/>
  <c r="AO6" i="9"/>
  <c r="AH6" i="9"/>
  <c r="L128" i="22"/>
  <c r="L129" i="22"/>
  <c r="L130" i="22"/>
  <c r="P136" i="22"/>
  <c r="M125" i="22"/>
  <c r="M126" i="22" s="1"/>
  <c r="N131" i="22"/>
  <c r="O125" i="22"/>
  <c r="O126" i="22" s="1"/>
  <c r="M128" i="22"/>
  <c r="N125" i="22"/>
  <c r="N126" i="22" s="1"/>
  <c r="M127" i="22"/>
  <c r="P125" i="22"/>
  <c r="P126" i="22" s="1"/>
  <c r="P137" i="22"/>
  <c r="N130" i="22"/>
  <c r="O134" i="22"/>
  <c r="O133" i="22"/>
  <c r="B106" i="24" l="1"/>
  <c r="C108" i="23"/>
  <c r="C97" i="23"/>
  <c r="C101" i="23"/>
  <c r="AF96" i="23"/>
  <c r="AE99" i="24"/>
  <c r="AO96" i="23"/>
  <c r="AN99" i="24"/>
  <c r="Y96" i="23"/>
  <c r="X99" i="24"/>
  <c r="AR96" i="23"/>
  <c r="AQ99" i="24"/>
  <c r="AM96" i="23"/>
  <c r="AL99" i="24"/>
  <c r="X96" i="23"/>
  <c r="W99" i="24"/>
  <c r="Q96" i="23"/>
  <c r="P99" i="24"/>
  <c r="P101" i="24" s="1"/>
  <c r="AH96" i="23"/>
  <c r="AG99" i="24"/>
  <c r="AJ96" i="23"/>
  <c r="AI99" i="24"/>
  <c r="AT96" i="23"/>
  <c r="AS99" i="24"/>
  <c r="L96" i="23"/>
  <c r="K99" i="24"/>
  <c r="V96" i="23"/>
  <c r="U99" i="24"/>
  <c r="AP96" i="23"/>
  <c r="AO99" i="24"/>
  <c r="AI96" i="23"/>
  <c r="AH99" i="24"/>
  <c r="U96" i="23"/>
  <c r="T99" i="24"/>
  <c r="T101" i="24" s="1"/>
  <c r="AE96" i="23"/>
  <c r="AD99" i="24"/>
  <c r="AD96" i="23"/>
  <c r="AC99" i="24"/>
  <c r="Z96" i="23"/>
  <c r="Y99" i="24"/>
  <c r="AN96" i="23"/>
  <c r="AM99" i="24"/>
  <c r="AC96" i="23"/>
  <c r="AB99" i="24"/>
  <c r="R96" i="23"/>
  <c r="Q99" i="24"/>
  <c r="S96" i="23"/>
  <c r="R99" i="24"/>
  <c r="R101" i="24" s="1"/>
  <c r="AU96" i="23"/>
  <c r="AT99" i="24"/>
  <c r="AK96" i="23"/>
  <c r="AJ99" i="24"/>
  <c r="AL96" i="23"/>
  <c r="AK99" i="24"/>
  <c r="AA96" i="23"/>
  <c r="Z99" i="24"/>
  <c r="K96" i="23"/>
  <c r="J99" i="24"/>
  <c r="J101" i="24" s="1"/>
  <c r="O96" i="23"/>
  <c r="N99" i="24"/>
  <c r="N101" i="24" s="1"/>
  <c r="W96" i="23"/>
  <c r="V99" i="24"/>
  <c r="P96" i="23"/>
  <c r="O99" i="24"/>
  <c r="O101" i="24" s="1"/>
  <c r="T96" i="23"/>
  <c r="S99" i="24"/>
  <c r="AG96" i="23"/>
  <c r="AF99" i="24"/>
  <c r="AQ96" i="23"/>
  <c r="AP99" i="24"/>
  <c r="M96" i="23"/>
  <c r="M5" i="9"/>
  <c r="T114" i="24"/>
  <c r="G114" i="24"/>
  <c r="AH108" i="23"/>
  <c r="C44" i="23"/>
  <c r="C43" i="23" s="1"/>
  <c r="C126" i="23"/>
  <c r="C124" i="23" s="1"/>
  <c r="F114" i="24"/>
  <c r="AG108" i="23"/>
  <c r="K114" i="24"/>
  <c r="AL108" i="23"/>
  <c r="H114" i="24"/>
  <c r="AI108" i="23"/>
  <c r="AT108" i="23"/>
  <c r="N114" i="24"/>
  <c r="AO108" i="23"/>
  <c r="Q114" i="24"/>
  <c r="AR108" i="23"/>
  <c r="O114" i="24"/>
  <c r="AP108" i="23"/>
  <c r="C114" i="24"/>
  <c r="M108" i="23"/>
  <c r="L108" i="23"/>
  <c r="P108" i="23"/>
  <c r="O108" i="23"/>
  <c r="AA108" i="23"/>
  <c r="E108" i="23"/>
  <c r="U108" i="23"/>
  <c r="V108" i="23"/>
  <c r="S108" i="23"/>
  <c r="N108" i="23"/>
  <c r="Z108" i="23"/>
  <c r="F108" i="23"/>
  <c r="I108" i="23"/>
  <c r="Y108" i="23"/>
  <c r="X108" i="23"/>
  <c r="AD108" i="23"/>
  <c r="AB108" i="23"/>
  <c r="G108" i="23"/>
  <c r="T108" i="23"/>
  <c r="J108" i="23"/>
  <c r="D108" i="23"/>
  <c r="R108" i="23"/>
  <c r="H108" i="23"/>
  <c r="K108" i="23"/>
  <c r="Q108" i="23"/>
  <c r="AC108" i="23"/>
  <c r="W108" i="23"/>
  <c r="AV108" i="23"/>
  <c r="M114" i="24"/>
  <c r="AN108" i="23"/>
  <c r="I114" i="24"/>
  <c r="AJ108" i="23"/>
  <c r="L114" i="24"/>
  <c r="AM108" i="23"/>
  <c r="D114" i="24"/>
  <c r="AE108" i="23"/>
  <c r="AU108" i="23"/>
  <c r="J114" i="24"/>
  <c r="AK108" i="23"/>
  <c r="P114" i="24"/>
  <c r="AQ108" i="23"/>
  <c r="D101" i="23"/>
  <c r="H101" i="23"/>
  <c r="F101" i="23"/>
  <c r="I101" i="23"/>
  <c r="E101" i="23"/>
  <c r="G101" i="23"/>
  <c r="D97" i="23"/>
  <c r="E97" i="23"/>
  <c r="G97" i="23"/>
  <c r="F97" i="23"/>
  <c r="H97" i="23"/>
  <c r="I97" i="23"/>
  <c r="E114" i="24"/>
  <c r="AF108" i="23"/>
  <c r="R114" i="24"/>
  <c r="AS108" i="23"/>
  <c r="C38" i="23"/>
  <c r="C58" i="23"/>
  <c r="D102" i="24"/>
  <c r="F102" i="24"/>
  <c r="H106" i="24"/>
  <c r="H102" i="24"/>
  <c r="G106" i="24"/>
  <c r="C106" i="24"/>
  <c r="F106" i="24"/>
  <c r="C102" i="24"/>
  <c r="D106" i="24"/>
  <c r="G102" i="24"/>
  <c r="E102" i="24"/>
  <c r="E106" i="24"/>
  <c r="U113" i="24"/>
  <c r="U114" i="24" s="1"/>
  <c r="V76" i="24"/>
  <c r="U100" i="24"/>
  <c r="AN65" i="24"/>
  <c r="X65" i="24"/>
  <c r="N65" i="24"/>
  <c r="AP65" i="24"/>
  <c r="T65" i="24"/>
  <c r="L101" i="24"/>
  <c r="L65" i="24"/>
  <c r="AE65" i="24"/>
  <c r="AS65" i="24"/>
  <c r="W65" i="24"/>
  <c r="P65" i="24"/>
  <c r="J65" i="24"/>
  <c r="J97" i="23" s="1"/>
  <c r="Q101" i="24"/>
  <c r="Q65" i="24"/>
  <c r="AQ65" i="24"/>
  <c r="U65" i="24"/>
  <c r="C11" i="23"/>
  <c r="C12" i="23" s="1"/>
  <c r="C25" i="23"/>
  <c r="C30" i="23" s="1"/>
  <c r="AF65" i="24"/>
  <c r="AT65" i="24"/>
  <c r="V65" i="24"/>
  <c r="AI65" i="24"/>
  <c r="AL65" i="24"/>
  <c r="AD65" i="24"/>
  <c r="AO65" i="24"/>
  <c r="AJ65" i="24"/>
  <c r="AK65" i="24"/>
  <c r="AV119" i="23"/>
  <c r="AV120" i="23"/>
  <c r="R65" i="24"/>
  <c r="AG65" i="24"/>
  <c r="AV64" i="23"/>
  <c r="AV50" i="23"/>
  <c r="AU82" i="24"/>
  <c r="K101" i="24"/>
  <c r="K65" i="24"/>
  <c r="AC65" i="24"/>
  <c r="AH65" i="24"/>
  <c r="AB65" i="24"/>
  <c r="O65" i="24"/>
  <c r="Y65" i="24"/>
  <c r="AM65" i="24"/>
  <c r="S65" i="24"/>
  <c r="S101" i="24"/>
  <c r="Z65" i="24"/>
  <c r="AU77" i="24"/>
  <c r="AV13" i="23"/>
  <c r="AV12" i="23"/>
  <c r="B14" i="23"/>
  <c r="AQ58" i="23"/>
  <c r="AQ38" i="23"/>
  <c r="N58" i="23"/>
  <c r="N38" i="23"/>
  <c r="G58" i="23"/>
  <c r="G38" i="23"/>
  <c r="V58" i="23"/>
  <c r="V38" i="23"/>
  <c r="AJ58" i="23"/>
  <c r="AJ38" i="23"/>
  <c r="AP58" i="23"/>
  <c r="AP38" i="23"/>
  <c r="AA58" i="23"/>
  <c r="AA38" i="23"/>
  <c r="U58" i="23"/>
  <c r="U38" i="23"/>
  <c r="AE58" i="23"/>
  <c r="AE38" i="23"/>
  <c r="AB58" i="23"/>
  <c r="AB38" i="23"/>
  <c r="AR58" i="23"/>
  <c r="AR38" i="23"/>
  <c r="F58" i="23"/>
  <c r="F38" i="23"/>
  <c r="AU58" i="23"/>
  <c r="AU38" i="23"/>
  <c r="I58" i="23"/>
  <c r="I38" i="23"/>
  <c r="AH58" i="23"/>
  <c r="AH38" i="23"/>
  <c r="H58" i="23"/>
  <c r="H38" i="23"/>
  <c r="L58" i="23"/>
  <c r="L38" i="23"/>
  <c r="AM58" i="23"/>
  <c r="AM38" i="23"/>
  <c r="AK58" i="23"/>
  <c r="AK38" i="23"/>
  <c r="Q58" i="23"/>
  <c r="Q38" i="23"/>
  <c r="AS58" i="23"/>
  <c r="AS38" i="23"/>
  <c r="R58" i="23"/>
  <c r="R38" i="23"/>
  <c r="AT58" i="23"/>
  <c r="AT38" i="23"/>
  <c r="D58" i="23"/>
  <c r="D38" i="23"/>
  <c r="O58" i="23"/>
  <c r="O38" i="23"/>
  <c r="AO58" i="23"/>
  <c r="AO38" i="23"/>
  <c r="J58" i="23"/>
  <c r="J38" i="23"/>
  <c r="E58" i="23"/>
  <c r="E38" i="23"/>
  <c r="AG58" i="23"/>
  <c r="AG38" i="23"/>
  <c r="Y58" i="23"/>
  <c r="Y38" i="23"/>
  <c r="AI58" i="23"/>
  <c r="AI38" i="23"/>
  <c r="P58" i="23"/>
  <c r="P38" i="23"/>
  <c r="AD58" i="23"/>
  <c r="AD38" i="23"/>
  <c r="AN58" i="23"/>
  <c r="AN38" i="23"/>
  <c r="Z58" i="23"/>
  <c r="Z38" i="23"/>
  <c r="S58" i="23"/>
  <c r="S38" i="23"/>
  <c r="AL58" i="23"/>
  <c r="AL38" i="23"/>
  <c r="X58" i="23"/>
  <c r="X38" i="23"/>
  <c r="AF58" i="23"/>
  <c r="AF38" i="23"/>
  <c r="M58" i="23"/>
  <c r="M38" i="23"/>
  <c r="AC58" i="23"/>
  <c r="AC38" i="23"/>
  <c r="K58" i="23"/>
  <c r="K38" i="23"/>
  <c r="T58" i="23"/>
  <c r="T38" i="23"/>
  <c r="W58" i="23"/>
  <c r="W38" i="23"/>
  <c r="R126" i="23"/>
  <c r="R124" i="23" s="1"/>
  <c r="R118" i="23" s="1"/>
  <c r="I44" i="23"/>
  <c r="I43" i="23" s="1"/>
  <c r="I50" i="23" s="1"/>
  <c r="I126" i="23"/>
  <c r="I124" i="23" s="1"/>
  <c r="I118" i="23" s="1"/>
  <c r="AR44" i="23"/>
  <c r="AR43" i="23" s="1"/>
  <c r="AR126" i="23"/>
  <c r="AR124" i="23" s="1"/>
  <c r="AR118" i="23" s="1"/>
  <c r="L44" i="23"/>
  <c r="L43" i="23" s="1"/>
  <c r="L126" i="23"/>
  <c r="L124" i="23" s="1"/>
  <c r="L118" i="23" s="1"/>
  <c r="N44" i="23"/>
  <c r="N43" i="23" s="1"/>
  <c r="N126" i="23"/>
  <c r="N124" i="23" s="1"/>
  <c r="N118" i="23" s="1"/>
  <c r="AH44" i="23"/>
  <c r="AH43" i="23" s="1"/>
  <c r="AH126" i="23"/>
  <c r="AH124" i="23" s="1"/>
  <c r="AH118" i="23" s="1"/>
  <c r="AQ44" i="23"/>
  <c r="AQ43" i="23" s="1"/>
  <c r="AQ126" i="23"/>
  <c r="AQ124" i="23" s="1"/>
  <c r="AQ118" i="23" s="1"/>
  <c r="AK44" i="23"/>
  <c r="AK43" i="23" s="1"/>
  <c r="AK126" i="23"/>
  <c r="AK124" i="23" s="1"/>
  <c r="AK118" i="23" s="1"/>
  <c r="M44" i="23"/>
  <c r="M43" i="23" s="1"/>
  <c r="M126" i="23"/>
  <c r="M124" i="23" s="1"/>
  <c r="M118" i="23" s="1"/>
  <c r="V44" i="23"/>
  <c r="V43" i="23" s="1"/>
  <c r="V64" i="23" s="1"/>
  <c r="V126" i="23"/>
  <c r="V124" i="23" s="1"/>
  <c r="V118" i="23" s="1"/>
  <c r="AT44" i="23"/>
  <c r="AT43" i="23" s="1"/>
  <c r="AT126" i="23"/>
  <c r="AT124" i="23" s="1"/>
  <c r="AT118" i="23" s="1"/>
  <c r="D44" i="23"/>
  <c r="D43" i="23" s="1"/>
  <c r="D126" i="23"/>
  <c r="D124" i="23" s="1"/>
  <c r="D118" i="23" s="1"/>
  <c r="O44" i="23"/>
  <c r="O43" i="23" s="1"/>
  <c r="O126" i="23"/>
  <c r="O124" i="23" s="1"/>
  <c r="O118" i="23" s="1"/>
  <c r="J44" i="23"/>
  <c r="J43" i="23" s="1"/>
  <c r="J126" i="23"/>
  <c r="J124" i="23" s="1"/>
  <c r="J118" i="23" s="1"/>
  <c r="AP44" i="23"/>
  <c r="AP43" i="23" s="1"/>
  <c r="AP126" i="23"/>
  <c r="AP124" i="23" s="1"/>
  <c r="AP118" i="23" s="1"/>
  <c r="AA44" i="23"/>
  <c r="AA43" i="23" s="1"/>
  <c r="AA126" i="23"/>
  <c r="AA124" i="23" s="1"/>
  <c r="AA118" i="23" s="1"/>
  <c r="U44" i="23"/>
  <c r="U43" i="23" s="1"/>
  <c r="U126" i="23"/>
  <c r="U124" i="23" s="1"/>
  <c r="U118" i="23" s="1"/>
  <c r="AE44" i="23"/>
  <c r="AE43" i="23" s="1"/>
  <c r="AE50" i="23" s="1"/>
  <c r="AE126" i="23"/>
  <c r="AE124" i="23" s="1"/>
  <c r="AE118" i="23" s="1"/>
  <c r="AB44" i="23"/>
  <c r="AB43" i="23" s="1"/>
  <c r="AB126" i="23"/>
  <c r="AB124" i="23" s="1"/>
  <c r="AB118" i="23" s="1"/>
  <c r="AU44" i="23"/>
  <c r="AU43" i="23" s="1"/>
  <c r="AU126" i="23"/>
  <c r="AU124" i="23" s="1"/>
  <c r="AU118" i="23" s="1"/>
  <c r="G44" i="23"/>
  <c r="G43" i="23" s="1"/>
  <c r="G126" i="23"/>
  <c r="G124" i="23" s="1"/>
  <c r="G118" i="23" s="1"/>
  <c r="F44" i="23"/>
  <c r="F43" i="23" s="1"/>
  <c r="F50" i="23" s="1"/>
  <c r="F126" i="23"/>
  <c r="F124" i="23" s="1"/>
  <c r="F118" i="23" s="1"/>
  <c r="AM44" i="23"/>
  <c r="AM43" i="23" s="1"/>
  <c r="AM126" i="23"/>
  <c r="AM124" i="23" s="1"/>
  <c r="AM118" i="23" s="1"/>
  <c r="AJ44" i="23"/>
  <c r="AJ43" i="23" s="1"/>
  <c r="AJ126" i="23"/>
  <c r="AJ124" i="23" s="1"/>
  <c r="AJ118" i="23" s="1"/>
  <c r="X44" i="23"/>
  <c r="X43" i="23" s="1"/>
  <c r="X126" i="23"/>
  <c r="X124" i="23" s="1"/>
  <c r="X118" i="23" s="1"/>
  <c r="AS44" i="23"/>
  <c r="AS43" i="23" s="1"/>
  <c r="AS126" i="23"/>
  <c r="AS124" i="23" s="1"/>
  <c r="AS118" i="23" s="1"/>
  <c r="AO44" i="23"/>
  <c r="AO43" i="23" s="1"/>
  <c r="AO50" i="23" s="1"/>
  <c r="AO126" i="23"/>
  <c r="AO124" i="23" s="1"/>
  <c r="AO118" i="23" s="1"/>
  <c r="S44" i="23"/>
  <c r="S43" i="23" s="1"/>
  <c r="S126" i="23"/>
  <c r="S124" i="23" s="1"/>
  <c r="S118" i="23" s="1"/>
  <c r="AL44" i="23"/>
  <c r="AL43" i="23" s="1"/>
  <c r="AL126" i="23"/>
  <c r="AL124" i="23" s="1"/>
  <c r="AL118" i="23" s="1"/>
  <c r="Z44" i="23"/>
  <c r="Z43" i="23" s="1"/>
  <c r="Z126" i="23"/>
  <c r="Z124" i="23" s="1"/>
  <c r="Z118" i="23" s="1"/>
  <c r="AF44" i="23"/>
  <c r="AF43" i="23" s="1"/>
  <c r="AF126" i="23"/>
  <c r="AF124" i="23" s="1"/>
  <c r="AF118" i="23" s="1"/>
  <c r="Q44" i="23"/>
  <c r="Q43" i="23" s="1"/>
  <c r="Q126" i="23"/>
  <c r="Q124" i="23" s="1"/>
  <c r="Q118" i="23" s="1"/>
  <c r="H44" i="23"/>
  <c r="H43" i="23" s="1"/>
  <c r="H126" i="23"/>
  <c r="H124" i="23" s="1"/>
  <c r="H118" i="23" s="1"/>
  <c r="E44" i="23"/>
  <c r="E124" i="23"/>
  <c r="E118" i="23" s="1"/>
  <c r="AG44" i="23"/>
  <c r="AG43" i="23" s="1"/>
  <c r="AG126" i="23"/>
  <c r="AG124" i="23" s="1"/>
  <c r="AG118" i="23" s="1"/>
  <c r="Y44" i="23"/>
  <c r="Y43" i="23" s="1"/>
  <c r="Y126" i="23"/>
  <c r="Y124" i="23" s="1"/>
  <c r="Y118" i="23" s="1"/>
  <c r="AI44" i="23"/>
  <c r="AI43" i="23" s="1"/>
  <c r="AI126" i="23"/>
  <c r="AI124" i="23" s="1"/>
  <c r="AI118" i="23" s="1"/>
  <c r="P44" i="23"/>
  <c r="P43" i="23" s="1"/>
  <c r="P50" i="23" s="1"/>
  <c r="P126" i="23"/>
  <c r="P124" i="23" s="1"/>
  <c r="P118" i="23" s="1"/>
  <c r="AD44" i="23"/>
  <c r="AD43" i="23" s="1"/>
  <c r="AD126" i="23"/>
  <c r="AD124" i="23" s="1"/>
  <c r="AD118" i="23" s="1"/>
  <c r="AN44" i="23"/>
  <c r="AN43" i="23" s="1"/>
  <c r="AN126" i="23"/>
  <c r="AN124" i="23" s="1"/>
  <c r="AN118" i="23" s="1"/>
  <c r="AC44" i="23"/>
  <c r="AC43" i="23" s="1"/>
  <c r="AC126" i="23"/>
  <c r="AC124" i="23" s="1"/>
  <c r="AC118" i="23" s="1"/>
  <c r="K44" i="23"/>
  <c r="K43" i="23" s="1"/>
  <c r="K64" i="23" s="1"/>
  <c r="K126" i="23"/>
  <c r="K124" i="23" s="1"/>
  <c r="K118" i="23" s="1"/>
  <c r="T44" i="23"/>
  <c r="T43" i="23" s="1"/>
  <c r="T126" i="23"/>
  <c r="T124" i="23" s="1"/>
  <c r="T118" i="23" s="1"/>
  <c r="W44" i="23"/>
  <c r="W43" i="23" s="1"/>
  <c r="W126" i="23"/>
  <c r="W124" i="23" s="1"/>
  <c r="W118" i="23" s="1"/>
  <c r="R44" i="23"/>
  <c r="R43" i="23" s="1"/>
  <c r="AM5" i="9"/>
  <c r="T5" i="9"/>
  <c r="AP5" i="9"/>
  <c r="X5" i="9"/>
  <c r="AL5" i="9"/>
  <c r="L5" i="9"/>
  <c r="R5" i="9"/>
  <c r="Y5" i="9"/>
  <c r="P5" i="9"/>
  <c r="K5" i="9"/>
  <c r="AJ5" i="9"/>
  <c r="AE5" i="9"/>
  <c r="AU5" i="9"/>
  <c r="AR5" i="9"/>
  <c r="V71" i="24"/>
  <c r="O5" i="9"/>
  <c r="AA5" i="9"/>
  <c r="AG5" i="9"/>
  <c r="AN5" i="9"/>
  <c r="AO5" i="9"/>
  <c r="AC5" i="9"/>
  <c r="AQ5" i="9"/>
  <c r="V5" i="9"/>
  <c r="S5" i="9"/>
  <c r="AI5" i="9"/>
  <c r="AT5" i="9"/>
  <c r="AH5" i="9"/>
  <c r="AK5" i="9"/>
  <c r="W5" i="9"/>
  <c r="Q5" i="9"/>
  <c r="AF5" i="9"/>
  <c r="Z5" i="9"/>
  <c r="U5" i="9"/>
  <c r="AD5" i="9"/>
  <c r="AQ132" i="24"/>
  <c r="AM11" i="23"/>
  <c r="AL77" i="24" s="1"/>
  <c r="AM25" i="23"/>
  <c r="AM30" i="23" s="1"/>
  <c r="AF11" i="23"/>
  <c r="AE77" i="24" s="1"/>
  <c r="AF25" i="23"/>
  <c r="AF30" i="23" s="1"/>
  <c r="AK11" i="23"/>
  <c r="AJ77" i="24" s="1"/>
  <c r="AK25" i="23"/>
  <c r="AK30" i="23" s="1"/>
  <c r="AJ11" i="23"/>
  <c r="AI77" i="24" s="1"/>
  <c r="AJ25" i="23"/>
  <c r="AJ30" i="23" s="1"/>
  <c r="Q11" i="23"/>
  <c r="P77" i="24" s="1"/>
  <c r="Q25" i="23"/>
  <c r="Q30" i="23" s="1"/>
  <c r="M11" i="23"/>
  <c r="L77" i="24" s="1"/>
  <c r="M25" i="23"/>
  <c r="M30" i="23" s="1"/>
  <c r="H11" i="23"/>
  <c r="G77" i="24" s="1"/>
  <c r="H25" i="23"/>
  <c r="H30" i="23" s="1"/>
  <c r="V11" i="23"/>
  <c r="U77" i="24" s="1"/>
  <c r="V25" i="23"/>
  <c r="V30" i="23" s="1"/>
  <c r="L11" i="23"/>
  <c r="K77" i="24" s="1"/>
  <c r="L25" i="23"/>
  <c r="L30" i="23" s="1"/>
  <c r="E11" i="23"/>
  <c r="D77" i="24" s="1"/>
  <c r="E25" i="23"/>
  <c r="E30" i="23" s="1"/>
  <c r="AG11" i="23"/>
  <c r="AF77" i="24" s="1"/>
  <c r="AG25" i="23"/>
  <c r="AG30" i="23" s="1"/>
  <c r="Y11" i="23"/>
  <c r="X77" i="24" s="1"/>
  <c r="Y25" i="23"/>
  <c r="Y30" i="23" s="1"/>
  <c r="AI11" i="23"/>
  <c r="AH77" i="24" s="1"/>
  <c r="AI25" i="23"/>
  <c r="AI30" i="23" s="1"/>
  <c r="P11" i="23"/>
  <c r="O77" i="24" s="1"/>
  <c r="P25" i="23"/>
  <c r="P30" i="23" s="1"/>
  <c r="AD11" i="23"/>
  <c r="AC77" i="24" s="1"/>
  <c r="AD25" i="23"/>
  <c r="AD30" i="23" s="1"/>
  <c r="AN11" i="23"/>
  <c r="AM77" i="24" s="1"/>
  <c r="AN25" i="23"/>
  <c r="AN30" i="23" s="1"/>
  <c r="AC11" i="23"/>
  <c r="AB77" i="24" s="1"/>
  <c r="AC25" i="23"/>
  <c r="AC30" i="23" s="1"/>
  <c r="K11" i="23"/>
  <c r="J77" i="24" s="1"/>
  <c r="K25" i="23"/>
  <c r="K30" i="23" s="1"/>
  <c r="T11" i="23"/>
  <c r="S77" i="24" s="1"/>
  <c r="T25" i="23"/>
  <c r="T30" i="23" s="1"/>
  <c r="W11" i="23"/>
  <c r="V77" i="24" s="1"/>
  <c r="W25" i="23"/>
  <c r="W30" i="23" s="1"/>
  <c r="S11" i="23"/>
  <c r="R77" i="24" s="1"/>
  <c r="S25" i="23"/>
  <c r="S30" i="23" s="1"/>
  <c r="G11" i="23"/>
  <c r="F77" i="24" s="1"/>
  <c r="G25" i="23"/>
  <c r="G30" i="23" s="1"/>
  <c r="AQ25" i="23"/>
  <c r="AQ30" i="23" s="1"/>
  <c r="AQ11" i="23"/>
  <c r="AP77" i="24" s="1"/>
  <c r="Z11" i="23"/>
  <c r="Y77" i="24" s="1"/>
  <c r="Z25" i="23"/>
  <c r="Z30" i="23" s="1"/>
  <c r="F11" i="23"/>
  <c r="E77" i="24" s="1"/>
  <c r="F25" i="23"/>
  <c r="F30" i="23" s="1"/>
  <c r="N11" i="23"/>
  <c r="M77" i="24" s="1"/>
  <c r="N25" i="23"/>
  <c r="N30" i="23" s="1"/>
  <c r="I11" i="23"/>
  <c r="H77" i="24" s="1"/>
  <c r="I25" i="23"/>
  <c r="I30" i="23" s="1"/>
  <c r="AL11" i="23"/>
  <c r="AK77" i="24" s="1"/>
  <c r="AL25" i="23"/>
  <c r="AL30" i="23" s="1"/>
  <c r="AH11" i="23"/>
  <c r="AG77" i="24" s="1"/>
  <c r="AH25" i="23"/>
  <c r="AH30" i="23" s="1"/>
  <c r="AR25" i="23"/>
  <c r="AR30" i="23" s="1"/>
  <c r="AR11" i="23"/>
  <c r="AQ77" i="24" s="1"/>
  <c r="X11" i="23"/>
  <c r="W77" i="24" s="1"/>
  <c r="X25" i="23"/>
  <c r="X30" i="23" s="1"/>
  <c r="AS25" i="23"/>
  <c r="AS30" i="23" s="1"/>
  <c r="AS11" i="23"/>
  <c r="AR77" i="24" s="1"/>
  <c r="R11" i="23"/>
  <c r="Q77" i="24" s="1"/>
  <c r="R25" i="23"/>
  <c r="R30" i="23" s="1"/>
  <c r="AT11" i="23"/>
  <c r="AS77" i="24" s="1"/>
  <c r="AT25" i="23"/>
  <c r="AT30" i="23" s="1"/>
  <c r="D11" i="23"/>
  <c r="D25" i="23"/>
  <c r="O11" i="23"/>
  <c r="N77" i="24" s="1"/>
  <c r="O25" i="23"/>
  <c r="O30" i="23" s="1"/>
  <c r="AO11" i="23"/>
  <c r="AN77" i="24" s="1"/>
  <c r="AO25" i="23"/>
  <c r="AO30" i="23" s="1"/>
  <c r="J11" i="23"/>
  <c r="I77" i="24" s="1"/>
  <c r="J25" i="23"/>
  <c r="J30" i="23" s="1"/>
  <c r="AP11" i="23"/>
  <c r="AO77" i="24" s="1"/>
  <c r="AP25" i="23"/>
  <c r="AP30" i="23" s="1"/>
  <c r="AA11" i="23"/>
  <c r="Z77" i="24" s="1"/>
  <c r="AA25" i="23"/>
  <c r="AA30" i="23" s="1"/>
  <c r="U11" i="23"/>
  <c r="T77" i="24" s="1"/>
  <c r="U25" i="23"/>
  <c r="U30" i="23" s="1"/>
  <c r="AE11" i="23"/>
  <c r="AD77" i="24" s="1"/>
  <c r="AE25" i="23"/>
  <c r="AE30" i="23" s="1"/>
  <c r="AB11" i="23"/>
  <c r="AA77" i="24" s="1"/>
  <c r="AB25" i="23"/>
  <c r="AB30" i="23" s="1"/>
  <c r="AU11" i="23"/>
  <c r="AT77" i="24" s="1"/>
  <c r="AU25" i="23"/>
  <c r="AU30" i="23" s="1"/>
  <c r="L131" i="22"/>
  <c r="L133" i="22"/>
  <c r="L132" i="22"/>
  <c r="C118" i="23" l="1"/>
  <c r="B79" i="24" a="1"/>
  <c r="B79" i="24" s="1"/>
  <c r="I106" i="24"/>
  <c r="I102" i="24"/>
  <c r="J101" i="23"/>
  <c r="D112" i="23"/>
  <c r="C112" i="23"/>
  <c r="G112" i="23"/>
  <c r="B85" i="23"/>
  <c r="B89" i="23" s="1"/>
  <c r="B77" i="24"/>
  <c r="AN97" i="23"/>
  <c r="AK101" i="23"/>
  <c r="AV101" i="23"/>
  <c r="Z101" i="23"/>
  <c r="AD97" i="23"/>
  <c r="P101" i="23"/>
  <c r="AG101" i="23"/>
  <c r="AT101" i="23"/>
  <c r="AC97" i="23"/>
  <c r="T97" i="23"/>
  <c r="AH101" i="23"/>
  <c r="AK97" i="23"/>
  <c r="AI101" i="23"/>
  <c r="AL97" i="23"/>
  <c r="AE101" i="23"/>
  <c r="U97" i="23"/>
  <c r="AF101" i="23"/>
  <c r="Q101" i="23"/>
  <c r="Y101" i="23"/>
  <c r="AH97" i="23"/>
  <c r="N101" i="23"/>
  <c r="AI97" i="23"/>
  <c r="AN101" i="23"/>
  <c r="AQ97" i="23"/>
  <c r="Y97" i="23"/>
  <c r="M97" i="23"/>
  <c r="Q97" i="23"/>
  <c r="S101" i="23"/>
  <c r="W97" i="23"/>
  <c r="AU101" i="23"/>
  <c r="N97" i="23"/>
  <c r="AF97" i="23"/>
  <c r="AP101" i="23"/>
  <c r="AS97" i="23"/>
  <c r="AJ101" i="23"/>
  <c r="AM97" i="23"/>
  <c r="P97" i="23"/>
  <c r="X97" i="23"/>
  <c r="AC101" i="23"/>
  <c r="AB97" i="23"/>
  <c r="AE97" i="23"/>
  <c r="O101" i="23"/>
  <c r="AR101" i="23"/>
  <c r="AU97" i="23"/>
  <c r="R97" i="23"/>
  <c r="W101" i="23"/>
  <c r="R101" i="23"/>
  <c r="AB101" i="23"/>
  <c r="AM101" i="23"/>
  <c r="AP97" i="23"/>
  <c r="AS101" i="23"/>
  <c r="AV97" i="23"/>
  <c r="AA97" i="23"/>
  <c r="AA101" i="23"/>
  <c r="X101" i="23"/>
  <c r="L101" i="23"/>
  <c r="K101" i="23"/>
  <c r="M101" i="23"/>
  <c r="V97" i="23"/>
  <c r="S97" i="23"/>
  <c r="V101" i="23"/>
  <c r="AJ97" i="23"/>
  <c r="Z97" i="23"/>
  <c r="AQ101" i="23"/>
  <c r="AT97" i="23"/>
  <c r="L97" i="23"/>
  <c r="T101" i="23"/>
  <c r="AL101" i="23"/>
  <c r="AO97" i="23"/>
  <c r="O97" i="23"/>
  <c r="AG97" i="23"/>
  <c r="AO101" i="23"/>
  <c r="AR97" i="23"/>
  <c r="K97" i="23"/>
  <c r="U101" i="23"/>
  <c r="AD101" i="23"/>
  <c r="L102" i="24"/>
  <c r="S102" i="24"/>
  <c r="U101" i="24"/>
  <c r="J106" i="24"/>
  <c r="P106" i="24"/>
  <c r="O106" i="24"/>
  <c r="K102" i="24"/>
  <c r="N106" i="24"/>
  <c r="N102" i="24"/>
  <c r="S106" i="24"/>
  <c r="Q106" i="24"/>
  <c r="L106" i="24"/>
  <c r="Q102" i="24"/>
  <c r="V113" i="24"/>
  <c r="V114" i="24" s="1"/>
  <c r="W76" i="24"/>
  <c r="V100" i="24"/>
  <c r="V101" i="24" s="1"/>
  <c r="P102" i="24"/>
  <c r="R102" i="24"/>
  <c r="AV70" i="23"/>
  <c r="AV56" i="23" s="1"/>
  <c r="AV57" i="23" s="1"/>
  <c r="AV36" i="23"/>
  <c r="AV37" i="23" s="1"/>
  <c r="M102" i="24"/>
  <c r="M106" i="24"/>
  <c r="O102" i="24"/>
  <c r="J102" i="24"/>
  <c r="R106" i="24"/>
  <c r="K106" i="24"/>
  <c r="C77" i="24"/>
  <c r="B11" i="23"/>
  <c r="B44" i="23"/>
  <c r="E43" i="23"/>
  <c r="E50" i="23" s="1"/>
  <c r="C64" i="23"/>
  <c r="C50" i="23"/>
  <c r="C70" i="23" s="1"/>
  <c r="C56" i="23" s="1"/>
  <c r="B123" i="23"/>
  <c r="C119" i="23"/>
  <c r="C120" i="23"/>
  <c r="T120" i="23"/>
  <c r="T119" i="23"/>
  <c r="AD119" i="23"/>
  <c r="AD120" i="23"/>
  <c r="AG119" i="23"/>
  <c r="AG120" i="23"/>
  <c r="AF119" i="23"/>
  <c r="AF120" i="23"/>
  <c r="AO119" i="23"/>
  <c r="AO120" i="23"/>
  <c r="AM119" i="23"/>
  <c r="AM120" i="23"/>
  <c r="AB120" i="23"/>
  <c r="AB119" i="23"/>
  <c r="AP120" i="23"/>
  <c r="AP119" i="23"/>
  <c r="AT119" i="23"/>
  <c r="AT120" i="23"/>
  <c r="AQ120" i="23"/>
  <c r="AQ119" i="23"/>
  <c r="AR120" i="23"/>
  <c r="AR119" i="23"/>
  <c r="K119" i="23"/>
  <c r="K120" i="23"/>
  <c r="P119" i="23"/>
  <c r="P120" i="23"/>
  <c r="E120" i="23"/>
  <c r="E119" i="23"/>
  <c r="Z120" i="23"/>
  <c r="Z119" i="23"/>
  <c r="AS120" i="23"/>
  <c r="AS119" i="23"/>
  <c r="F119" i="23"/>
  <c r="F120" i="23"/>
  <c r="AE119" i="23"/>
  <c r="AE120" i="23"/>
  <c r="J120" i="23"/>
  <c r="J119" i="23"/>
  <c r="V119" i="23"/>
  <c r="V120" i="23"/>
  <c r="AH120" i="23"/>
  <c r="AH119" i="23"/>
  <c r="I119" i="23"/>
  <c r="I120" i="23"/>
  <c r="AC119" i="23"/>
  <c r="AC120" i="23"/>
  <c r="AI119" i="23"/>
  <c r="AI120" i="23"/>
  <c r="H119" i="23"/>
  <c r="H120" i="23"/>
  <c r="AL119" i="23"/>
  <c r="AL120" i="23"/>
  <c r="X119" i="23"/>
  <c r="X120" i="23"/>
  <c r="G119" i="23"/>
  <c r="G120" i="23"/>
  <c r="U120" i="23"/>
  <c r="U119" i="23"/>
  <c r="O119" i="23"/>
  <c r="O120" i="23"/>
  <c r="M119" i="23"/>
  <c r="M120" i="23"/>
  <c r="N119" i="23"/>
  <c r="N120" i="23"/>
  <c r="R120" i="23"/>
  <c r="R119" i="23"/>
  <c r="W119" i="23"/>
  <c r="W120" i="23"/>
  <c r="AN119" i="23"/>
  <c r="AN120" i="23"/>
  <c r="Y119" i="23"/>
  <c r="Y120" i="23"/>
  <c r="Q119" i="23"/>
  <c r="Q120" i="23"/>
  <c r="S120" i="23"/>
  <c r="S119" i="23"/>
  <c r="AJ119" i="23"/>
  <c r="AJ120" i="23"/>
  <c r="AU119" i="23"/>
  <c r="AU120" i="23"/>
  <c r="AA119" i="23"/>
  <c r="AA120" i="23"/>
  <c r="D119" i="23"/>
  <c r="D120" i="23"/>
  <c r="AK119" i="23"/>
  <c r="AK120" i="23"/>
  <c r="L119" i="23"/>
  <c r="L120" i="23"/>
  <c r="D30" i="23"/>
  <c r="AT81" i="24"/>
  <c r="AU12" i="23"/>
  <c r="Z81" i="24"/>
  <c r="Z82" i="24" s="1"/>
  <c r="AA12" i="23"/>
  <c r="O12" i="23"/>
  <c r="AK81" i="24"/>
  <c r="AL12" i="23"/>
  <c r="Z12" i="23"/>
  <c r="W12" i="23"/>
  <c r="AM81" i="24"/>
  <c r="AN12" i="23"/>
  <c r="Y12" i="23"/>
  <c r="V12" i="23"/>
  <c r="AI81" i="24"/>
  <c r="AJ12" i="23"/>
  <c r="AP81" i="24"/>
  <c r="AQ12" i="23"/>
  <c r="AB12" i="23"/>
  <c r="AO81" i="24"/>
  <c r="AP12" i="23"/>
  <c r="C81" i="24"/>
  <c r="C82" i="24" s="1"/>
  <c r="D12" i="23"/>
  <c r="X12" i="23"/>
  <c r="H81" i="24"/>
  <c r="I12" i="23"/>
  <c r="T12" i="23"/>
  <c r="AD12" i="23"/>
  <c r="AG12" i="23"/>
  <c r="G81" i="24"/>
  <c r="H12" i="23"/>
  <c r="AJ81" i="24"/>
  <c r="AK12" i="23"/>
  <c r="AQ81" i="24"/>
  <c r="AR12" i="23"/>
  <c r="AE12" i="23"/>
  <c r="J12" i="23"/>
  <c r="AS81" i="24"/>
  <c r="AT12" i="23"/>
  <c r="N12" i="23"/>
  <c r="F81" i="24"/>
  <c r="F82" i="24" s="1"/>
  <c r="G12" i="23"/>
  <c r="K12" i="23"/>
  <c r="P12" i="23"/>
  <c r="D81" i="24"/>
  <c r="E12" i="23"/>
  <c r="L81" i="24"/>
  <c r="L82" i="24" s="1"/>
  <c r="M12" i="23"/>
  <c r="AF12" i="23"/>
  <c r="U12" i="23"/>
  <c r="AN81" i="24"/>
  <c r="AO12" i="23"/>
  <c r="R12" i="23"/>
  <c r="AH12" i="23"/>
  <c r="E81" i="24"/>
  <c r="F12" i="23"/>
  <c r="S12" i="23"/>
  <c r="AC12" i="23"/>
  <c r="AH81" i="24"/>
  <c r="AI12" i="23"/>
  <c r="L12" i="23"/>
  <c r="Q12" i="23"/>
  <c r="AL81" i="24"/>
  <c r="AM12" i="23"/>
  <c r="AR81" i="24"/>
  <c r="AS12" i="23"/>
  <c r="B58" i="23"/>
  <c r="AO70" i="23"/>
  <c r="AO56" i="23" s="1"/>
  <c r="AO57" i="23" s="1"/>
  <c r="AO36" i="23"/>
  <c r="AO37" i="23" s="1"/>
  <c r="P70" i="23"/>
  <c r="P56" i="23" s="1"/>
  <c r="P57" i="23" s="1"/>
  <c r="P36" i="23"/>
  <c r="P37" i="23" s="1"/>
  <c r="F70" i="23"/>
  <c r="F56" i="23" s="1"/>
  <c r="F57" i="23" s="1"/>
  <c r="F36" i="23"/>
  <c r="F37" i="23" s="1"/>
  <c r="AE70" i="23"/>
  <c r="AE56" i="23" s="1"/>
  <c r="AE57" i="23" s="1"/>
  <c r="AE36" i="23"/>
  <c r="AE37" i="23" s="1"/>
  <c r="I70" i="23"/>
  <c r="I56" i="23" s="1"/>
  <c r="I57" i="23" s="1"/>
  <c r="I36" i="23"/>
  <c r="I37" i="23" s="1"/>
  <c r="AH64" i="23"/>
  <c r="AH50" i="23"/>
  <c r="V50" i="23"/>
  <c r="J64" i="23"/>
  <c r="J50" i="23"/>
  <c r="AC50" i="23"/>
  <c r="AI50" i="23"/>
  <c r="H50" i="23"/>
  <c r="AL50" i="23"/>
  <c r="X50" i="23"/>
  <c r="G50" i="23"/>
  <c r="U50" i="23"/>
  <c r="O50" i="23"/>
  <c r="M50" i="23"/>
  <c r="N50" i="23"/>
  <c r="W50" i="23"/>
  <c r="AN50" i="23"/>
  <c r="Y50" i="23"/>
  <c r="Q50" i="23"/>
  <c r="S64" i="23"/>
  <c r="AJ50" i="23"/>
  <c r="AU64" i="23"/>
  <c r="AA50" i="23"/>
  <c r="D50" i="23"/>
  <c r="AK50" i="23"/>
  <c r="L50" i="23"/>
  <c r="T64" i="23"/>
  <c r="AD64" i="23"/>
  <c r="AG64" i="23"/>
  <c r="AF64" i="23"/>
  <c r="AO64" i="23"/>
  <c r="AM50" i="23"/>
  <c r="AB64" i="23"/>
  <c r="AP50" i="23"/>
  <c r="AT50" i="23"/>
  <c r="AQ50" i="23"/>
  <c r="AR50" i="23"/>
  <c r="K50" i="23"/>
  <c r="P64" i="23"/>
  <c r="Z64" i="23"/>
  <c r="AS64" i="23"/>
  <c r="F64" i="23"/>
  <c r="AE64" i="23"/>
  <c r="I64" i="23"/>
  <c r="B38" i="23"/>
  <c r="AS50" i="23"/>
  <c r="Z50" i="23"/>
  <c r="AB50" i="23"/>
  <c r="AG50" i="23"/>
  <c r="AU50" i="23"/>
  <c r="AD50" i="23"/>
  <c r="AQ64" i="23"/>
  <c r="B16" i="23"/>
  <c r="S50" i="23"/>
  <c r="AL64" i="23"/>
  <c r="M64" i="23"/>
  <c r="AC64" i="23"/>
  <c r="T50" i="23"/>
  <c r="AI64" i="23"/>
  <c r="AF50" i="23"/>
  <c r="O64" i="23"/>
  <c r="AK64" i="23"/>
  <c r="L64" i="23"/>
  <c r="AT64" i="23"/>
  <c r="AR64" i="23"/>
  <c r="AP64" i="23"/>
  <c r="AM64" i="23"/>
  <c r="H64" i="23"/>
  <c r="W64" i="23"/>
  <c r="AN64" i="23"/>
  <c r="Y64" i="23"/>
  <c r="Q64" i="23"/>
  <c r="N64" i="23"/>
  <c r="AJ64" i="23"/>
  <c r="AA64" i="23"/>
  <c r="X64" i="23"/>
  <c r="G64" i="23"/>
  <c r="U64" i="23"/>
  <c r="D64" i="23"/>
  <c r="R50" i="23"/>
  <c r="R64" i="23"/>
  <c r="W71" i="24"/>
  <c r="AR132" i="24"/>
  <c r="AB13" i="23"/>
  <c r="AP13" i="23"/>
  <c r="D13" i="23"/>
  <c r="X13" i="23"/>
  <c r="I13" i="23"/>
  <c r="T13" i="23"/>
  <c r="AD13" i="23"/>
  <c r="AG13" i="23"/>
  <c r="H13" i="23"/>
  <c r="AR13" i="23"/>
  <c r="AJ13" i="23"/>
  <c r="AE13" i="23"/>
  <c r="J13" i="23"/>
  <c r="AT13" i="23"/>
  <c r="N13" i="23"/>
  <c r="G13" i="23"/>
  <c r="K13" i="23"/>
  <c r="P13" i="23"/>
  <c r="E13" i="23"/>
  <c r="B24" i="23"/>
  <c r="AK13" i="23"/>
  <c r="U13" i="23"/>
  <c r="AO13" i="23"/>
  <c r="R13" i="23"/>
  <c r="AH13" i="23"/>
  <c r="F13" i="23"/>
  <c r="S13" i="23"/>
  <c r="AC13" i="23"/>
  <c r="AI13" i="23"/>
  <c r="L13" i="23"/>
  <c r="AS13" i="23"/>
  <c r="M13" i="23"/>
  <c r="AF13" i="23"/>
  <c r="AU13" i="23"/>
  <c r="AA13" i="23"/>
  <c r="O13" i="23"/>
  <c r="AL13" i="23"/>
  <c r="Z13" i="23"/>
  <c r="W13" i="23"/>
  <c r="AN13" i="23"/>
  <c r="Y13" i="23"/>
  <c r="V13" i="23"/>
  <c r="AQ13" i="23"/>
  <c r="Q13" i="23"/>
  <c r="AM13" i="23"/>
  <c r="L135" i="22"/>
  <c r="L134" i="22"/>
  <c r="L137" i="22" s="1"/>
  <c r="L136" i="22"/>
  <c r="T106" i="24" l="1"/>
  <c r="T102" i="24"/>
  <c r="M112" i="23"/>
  <c r="I112" i="23"/>
  <c r="J112" i="23"/>
  <c r="T112" i="23"/>
  <c r="O112" i="23"/>
  <c r="P112" i="23"/>
  <c r="N112" i="23"/>
  <c r="R112" i="23"/>
  <c r="L112" i="23"/>
  <c r="K112" i="23"/>
  <c r="Q112" i="23"/>
  <c r="S112" i="23"/>
  <c r="U102" i="24"/>
  <c r="U106" i="24"/>
  <c r="X76" i="24"/>
  <c r="W113" i="24"/>
  <c r="W114" i="24" s="1"/>
  <c r="W100" i="24"/>
  <c r="W101" i="24" s="1"/>
  <c r="F119" i="24"/>
  <c r="J115" i="24"/>
  <c r="E119" i="24"/>
  <c r="I115" i="24"/>
  <c r="D119" i="24"/>
  <c r="H115" i="24"/>
  <c r="C119" i="24"/>
  <c r="G115" i="24"/>
  <c r="B119" i="24"/>
  <c r="U119" i="24"/>
  <c r="F115" i="24"/>
  <c r="E115" i="24"/>
  <c r="T119" i="24"/>
  <c r="D115" i="24"/>
  <c r="B115" i="24"/>
  <c r="Q119" i="24"/>
  <c r="U115" i="24"/>
  <c r="Q115" i="24"/>
  <c r="L119" i="24"/>
  <c r="J119" i="24"/>
  <c r="N115" i="24"/>
  <c r="M115" i="24"/>
  <c r="L115" i="24"/>
  <c r="G119" i="24"/>
  <c r="S119" i="24"/>
  <c r="V115" i="24"/>
  <c r="P119" i="24"/>
  <c r="T115" i="24"/>
  <c r="O119" i="24"/>
  <c r="S115" i="24"/>
  <c r="N119" i="24"/>
  <c r="R115" i="24"/>
  <c r="M119" i="24"/>
  <c r="P115" i="24"/>
  <c r="K119" i="24"/>
  <c r="O115" i="24"/>
  <c r="I119" i="24"/>
  <c r="H119" i="24"/>
  <c r="R119" i="24"/>
  <c r="K115" i="24"/>
  <c r="C115" i="24"/>
  <c r="B43" i="23"/>
  <c r="B42" i="23"/>
  <c r="E64" i="23"/>
  <c r="B61" i="23" s="1"/>
  <c r="B49" i="23"/>
  <c r="E70" i="23"/>
  <c r="E56" i="23" s="1"/>
  <c r="E57" i="23" s="1"/>
  <c r="E36" i="23"/>
  <c r="E37" i="23" s="1"/>
  <c r="B41" i="23"/>
  <c r="B48" i="23"/>
  <c r="C36" i="23"/>
  <c r="C37" i="23" s="1"/>
  <c r="B50" i="23"/>
  <c r="C57" i="23"/>
  <c r="E82" i="24"/>
  <c r="B29" i="23"/>
  <c r="B120" i="23"/>
  <c r="B119" i="23"/>
  <c r="B118" i="23"/>
  <c r="D82" i="24"/>
  <c r="AT82" i="24"/>
  <c r="G82" i="24"/>
  <c r="AQ82" i="24"/>
  <c r="B12" i="23"/>
  <c r="C13" i="23"/>
  <c r="B13" i="23" s="1"/>
  <c r="S70" i="23"/>
  <c r="S56" i="23" s="1"/>
  <c r="S57" i="23" s="1"/>
  <c r="S36" i="23"/>
  <c r="S37" i="23" s="1"/>
  <c r="AS70" i="23"/>
  <c r="AS56" i="23" s="1"/>
  <c r="AS57" i="23" s="1"/>
  <c r="AS36" i="23"/>
  <c r="AS37" i="23" s="1"/>
  <c r="Y70" i="23"/>
  <c r="Y56" i="23" s="1"/>
  <c r="Y57" i="23" s="1"/>
  <c r="Y36" i="23"/>
  <c r="Y37" i="23" s="1"/>
  <c r="M70" i="23"/>
  <c r="M56" i="23" s="1"/>
  <c r="M57" i="23" s="1"/>
  <c r="M36" i="23"/>
  <c r="M37" i="23" s="1"/>
  <c r="X70" i="23"/>
  <c r="X56" i="23" s="1"/>
  <c r="X57" i="23" s="1"/>
  <c r="X36" i="23"/>
  <c r="X37" i="23" s="1"/>
  <c r="AC70" i="23"/>
  <c r="AC56" i="23" s="1"/>
  <c r="AC57" i="23" s="1"/>
  <c r="AC36" i="23"/>
  <c r="AC37" i="23" s="1"/>
  <c r="K70" i="23"/>
  <c r="K56" i="23" s="1"/>
  <c r="K57" i="23" s="1"/>
  <c r="K36" i="23"/>
  <c r="K37" i="23" s="1"/>
  <c r="AP70" i="23"/>
  <c r="AP56" i="23" s="1"/>
  <c r="AP57" i="23" s="1"/>
  <c r="AP36" i="23"/>
  <c r="AP37" i="23" s="1"/>
  <c r="L70" i="23"/>
  <c r="L56" i="23" s="1"/>
  <c r="L57" i="23" s="1"/>
  <c r="L36" i="23"/>
  <c r="L37" i="23" s="1"/>
  <c r="J70" i="23"/>
  <c r="J56" i="23" s="1"/>
  <c r="J57" i="23" s="1"/>
  <c r="J36" i="23"/>
  <c r="J37" i="23" s="1"/>
  <c r="AF70" i="23"/>
  <c r="AF56" i="23" s="1"/>
  <c r="AF57" i="23" s="1"/>
  <c r="AF36" i="23"/>
  <c r="AF37" i="23" s="1"/>
  <c r="AJ70" i="23"/>
  <c r="AJ56" i="23" s="1"/>
  <c r="AJ57" i="23" s="1"/>
  <c r="AJ36" i="23"/>
  <c r="AJ37" i="23" s="1"/>
  <c r="AN70" i="23"/>
  <c r="AN56" i="23" s="1"/>
  <c r="AN57" i="23" s="1"/>
  <c r="AN36" i="23"/>
  <c r="AN37" i="23" s="1"/>
  <c r="O70" i="23"/>
  <c r="O56" i="23" s="1"/>
  <c r="O57" i="23" s="1"/>
  <c r="O36" i="23"/>
  <c r="O37" i="23" s="1"/>
  <c r="AL70" i="23"/>
  <c r="AL56" i="23" s="1"/>
  <c r="AL57" i="23" s="1"/>
  <c r="AL36" i="23"/>
  <c r="AL37" i="23" s="1"/>
  <c r="AD70" i="23"/>
  <c r="AD56" i="23" s="1"/>
  <c r="AD57" i="23" s="1"/>
  <c r="AD36" i="23"/>
  <c r="AD37" i="23" s="1"/>
  <c r="AR70" i="23"/>
  <c r="AR56" i="23" s="1"/>
  <c r="AR57" i="23" s="1"/>
  <c r="AR36" i="23"/>
  <c r="AR37" i="23" s="1"/>
  <c r="AK70" i="23"/>
  <c r="AK56" i="23" s="1"/>
  <c r="AK57" i="23" s="1"/>
  <c r="AK36" i="23"/>
  <c r="AK37" i="23" s="1"/>
  <c r="R70" i="23"/>
  <c r="R56" i="23" s="1"/>
  <c r="R57" i="23" s="1"/>
  <c r="R36" i="23"/>
  <c r="R37" i="23" s="1"/>
  <c r="T70" i="23"/>
  <c r="T56" i="23" s="1"/>
  <c r="T57" i="23" s="1"/>
  <c r="T36" i="23"/>
  <c r="T37" i="23" s="1"/>
  <c r="AU70" i="23"/>
  <c r="AU56" i="23" s="1"/>
  <c r="AU57" i="23" s="1"/>
  <c r="AU36" i="23"/>
  <c r="AU37" i="23" s="1"/>
  <c r="D70" i="23"/>
  <c r="D36" i="23"/>
  <c r="D37" i="23" s="1"/>
  <c r="W70" i="23"/>
  <c r="W56" i="23" s="1"/>
  <c r="W57" i="23" s="1"/>
  <c r="W36" i="23"/>
  <c r="W37" i="23" s="1"/>
  <c r="U70" i="23"/>
  <c r="U56" i="23" s="1"/>
  <c r="U57" i="23" s="1"/>
  <c r="U36" i="23"/>
  <c r="U37" i="23" s="1"/>
  <c r="H70" i="23"/>
  <c r="H56" i="23" s="1"/>
  <c r="H57" i="23" s="1"/>
  <c r="H36" i="23"/>
  <c r="H37" i="23" s="1"/>
  <c r="V70" i="23"/>
  <c r="V56" i="23" s="1"/>
  <c r="V57" i="23" s="1"/>
  <c r="V36" i="23"/>
  <c r="V37" i="23" s="1"/>
  <c r="AG70" i="23"/>
  <c r="AG56" i="23" s="1"/>
  <c r="AG57" i="23" s="1"/>
  <c r="AG36" i="23"/>
  <c r="AG37" i="23" s="1"/>
  <c r="AQ70" i="23"/>
  <c r="AQ56" i="23" s="1"/>
  <c r="AQ57" i="23" s="1"/>
  <c r="AQ36" i="23"/>
  <c r="AQ37" i="23" s="1"/>
  <c r="AM70" i="23"/>
  <c r="AM56" i="23" s="1"/>
  <c r="AM57" i="23" s="1"/>
  <c r="AM36" i="23"/>
  <c r="AM37" i="23" s="1"/>
  <c r="AH70" i="23"/>
  <c r="AH56" i="23" s="1"/>
  <c r="AH57" i="23" s="1"/>
  <c r="AH36" i="23"/>
  <c r="AH37" i="23" s="1"/>
  <c r="AB70" i="23"/>
  <c r="AB56" i="23" s="1"/>
  <c r="AB57" i="23" s="1"/>
  <c r="AB36" i="23"/>
  <c r="AB37" i="23" s="1"/>
  <c r="AA70" i="23"/>
  <c r="AA56" i="23" s="1"/>
  <c r="AA57" i="23" s="1"/>
  <c r="AA36" i="23"/>
  <c r="AA37" i="23" s="1"/>
  <c r="Q70" i="23"/>
  <c r="Q56" i="23" s="1"/>
  <c r="Q57" i="23" s="1"/>
  <c r="Q36" i="23"/>
  <c r="Q37" i="23" s="1"/>
  <c r="N70" i="23"/>
  <c r="N56" i="23" s="1"/>
  <c r="N57" i="23" s="1"/>
  <c r="N36" i="23"/>
  <c r="N37" i="23" s="1"/>
  <c r="G70" i="23"/>
  <c r="G56" i="23" s="1"/>
  <c r="G57" i="23" s="1"/>
  <c r="G36" i="23"/>
  <c r="G37" i="23" s="1"/>
  <c r="AI70" i="23"/>
  <c r="AI56" i="23" s="1"/>
  <c r="AI57" i="23" s="1"/>
  <c r="AI36" i="23"/>
  <c r="AI37" i="23" s="1"/>
  <c r="Z70" i="23"/>
  <c r="Z56" i="23" s="1"/>
  <c r="Z57" i="23" s="1"/>
  <c r="Z36" i="23"/>
  <c r="Z37" i="23" s="1"/>
  <c r="AT70" i="23"/>
  <c r="AT56" i="23" s="1"/>
  <c r="AT57" i="23" s="1"/>
  <c r="AT36" i="23"/>
  <c r="AT37" i="23" s="1"/>
  <c r="O81" i="24"/>
  <c r="P81" i="24"/>
  <c r="Y81" i="24"/>
  <c r="AG81" i="24"/>
  <c r="AP82" i="24"/>
  <c r="H82" i="24"/>
  <c r="M81" i="24"/>
  <c r="AF81" i="24"/>
  <c r="V81" i="24"/>
  <c r="AL82" i="24"/>
  <c r="S81" i="24"/>
  <c r="I81" i="24"/>
  <c r="AA81" i="24"/>
  <c r="AI82" i="24"/>
  <c r="AC81" i="24"/>
  <c r="AM82" i="24"/>
  <c r="AB81" i="24"/>
  <c r="W81" i="24"/>
  <c r="AE81" i="24"/>
  <c r="U81" i="24"/>
  <c r="AJ82" i="24"/>
  <c r="T81" i="24"/>
  <c r="AS82" i="24"/>
  <c r="AD81" i="24"/>
  <c r="R81" i="24"/>
  <c r="AO82" i="24"/>
  <c r="X81" i="24"/>
  <c r="Q81" i="24"/>
  <c r="AR82" i="24"/>
  <c r="J81" i="24"/>
  <c r="AH82" i="24"/>
  <c r="N81" i="24"/>
  <c r="X71" i="24"/>
  <c r="AN82" i="24"/>
  <c r="K81" i="24"/>
  <c r="AK82" i="24"/>
  <c r="AS132" i="24"/>
  <c r="V112" i="23" l="1"/>
  <c r="V102" i="24"/>
  <c r="U112" i="23"/>
  <c r="V119" i="24"/>
  <c r="V106" i="24"/>
  <c r="Y76" i="24"/>
  <c r="X113" i="24"/>
  <c r="X114" i="24" s="1"/>
  <c r="X100" i="24"/>
  <c r="X101" i="24" s="1"/>
  <c r="B93" i="24"/>
  <c r="C93" i="24" s="1"/>
  <c r="B62" i="23"/>
  <c r="D56" i="23"/>
  <c r="B56" i="23" s="1"/>
  <c r="B67" i="23"/>
  <c r="B68" i="23"/>
  <c r="B37" i="23"/>
  <c r="B36" i="23"/>
  <c r="Q82" i="24"/>
  <c r="W82" i="24"/>
  <c r="Y71" i="24"/>
  <c r="AF82" i="24"/>
  <c r="K82" i="24"/>
  <c r="N82" i="24"/>
  <c r="J82" i="24"/>
  <c r="T82" i="24"/>
  <c r="AE82" i="24"/>
  <c r="M82" i="24"/>
  <c r="P82" i="24"/>
  <c r="AB82" i="24"/>
  <c r="AC82" i="24"/>
  <c r="O82" i="24"/>
  <c r="S82" i="24"/>
  <c r="X82" i="24"/>
  <c r="R82" i="24"/>
  <c r="AA82" i="24"/>
  <c r="AD82" i="24"/>
  <c r="V82" i="24"/>
  <c r="U82" i="24"/>
  <c r="I82" i="24"/>
  <c r="AG82" i="24"/>
  <c r="Y82" i="24"/>
  <c r="AT132" i="24"/>
  <c r="AU132" i="24"/>
  <c r="W115" i="24" l="1"/>
  <c r="W106" i="24"/>
  <c r="W102" i="24"/>
  <c r="W119" i="24"/>
  <c r="X106" i="24"/>
  <c r="X102" i="24"/>
  <c r="Z76" i="24"/>
  <c r="Y113" i="24"/>
  <c r="Y114" i="24" s="1"/>
  <c r="Y100" i="24"/>
  <c r="Y101" i="24" s="1"/>
  <c r="B82" i="24"/>
  <c r="D57" i="23"/>
  <c r="B57" i="23" s="1"/>
  <c r="D93" i="24"/>
  <c r="Z71" i="24"/>
  <c r="X119" i="24" l="1"/>
  <c r="X115" i="24"/>
  <c r="W112" i="23"/>
  <c r="Y106" i="24"/>
  <c r="AA76" i="24"/>
  <c r="Z100" i="24"/>
  <c r="Z101" i="24" s="1"/>
  <c r="Z113" i="24"/>
  <c r="Z114" i="24" s="1"/>
  <c r="AA71" i="24"/>
  <c r="E93" i="24"/>
  <c r="AE39" i="22" a="1"/>
  <c r="AE39" i="22" s="1"/>
  <c r="AE40" i="22" a="1"/>
  <c r="AE40" i="22" s="1"/>
  <c r="H178" i="22"/>
  <c r="H179" i="22"/>
  <c r="H180" i="22"/>
  <c r="Y115" i="24" l="1"/>
  <c r="Y119" i="24"/>
  <c r="Y102" i="24"/>
  <c r="Z115" i="24"/>
  <c r="Z106" i="24"/>
  <c r="AB76" i="24"/>
  <c r="AA113" i="24"/>
  <c r="AA114" i="24" s="1"/>
  <c r="AA100" i="24"/>
  <c r="AA101" i="24" s="1"/>
  <c r="F93" i="24"/>
  <c r="AB71" i="24"/>
  <c r="Z119" i="24" l="1"/>
  <c r="AC76" i="24"/>
  <c r="AB113" i="24"/>
  <c r="AB114" i="24" s="1"/>
  <c r="AA115" i="24" s="1"/>
  <c r="AB100" i="24"/>
  <c r="AB101" i="24" s="1"/>
  <c r="G93" i="24"/>
  <c r="AC71" i="24"/>
  <c r="AC100" i="24" l="1"/>
  <c r="AC101" i="24" s="1"/>
  <c r="AD76" i="24"/>
  <c r="AC113" i="24"/>
  <c r="AC114" i="24" s="1"/>
  <c r="AB115" i="24"/>
  <c r="AD71" i="24"/>
  <c r="H93" i="24"/>
  <c r="AC115" i="24" l="1"/>
  <c r="AE76" i="24"/>
  <c r="AD100" i="24"/>
  <c r="AD101" i="24" s="1"/>
  <c r="AD113" i="24"/>
  <c r="AD114" i="24" s="1"/>
  <c r="I93" i="24"/>
  <c r="AE71" i="24"/>
  <c r="AF76" i="24" l="1"/>
  <c r="AE100" i="24"/>
  <c r="AE101" i="24" s="1"/>
  <c r="AE113" i="24"/>
  <c r="AE114" i="24" s="1"/>
  <c r="AF71" i="24"/>
  <c r="J93" i="24"/>
  <c r="AG76" i="24" l="1"/>
  <c r="AF100" i="24"/>
  <c r="AF101" i="24" s="1"/>
  <c r="AF113" i="24"/>
  <c r="AF114" i="24" s="1"/>
  <c r="K93" i="24"/>
  <c r="AG71" i="24"/>
  <c r="AG100" i="24" l="1"/>
  <c r="AG101" i="24" s="1"/>
  <c r="AG113" i="24"/>
  <c r="AG114" i="24" s="1"/>
  <c r="AH76" i="24"/>
  <c r="AH71" i="24"/>
  <c r="L93" i="24"/>
  <c r="AI76" i="24" l="1"/>
  <c r="AH100" i="24"/>
  <c r="AH101" i="24" s="1"/>
  <c r="AH113" i="24"/>
  <c r="AH114" i="24" s="1"/>
  <c r="M93" i="24"/>
  <c r="AI71" i="24"/>
  <c r="AI113" i="24" l="1"/>
  <c r="AI114" i="24" s="1"/>
  <c r="AJ76" i="24"/>
  <c r="AI100" i="24"/>
  <c r="AI101" i="24" s="1"/>
  <c r="AJ71" i="24"/>
  <c r="N93" i="24"/>
  <c r="AK76" i="24" l="1"/>
  <c r="AJ100" i="24"/>
  <c r="AJ101" i="24" s="1"/>
  <c r="AJ113" i="24"/>
  <c r="AJ114" i="24" s="1"/>
  <c r="AI119" i="24"/>
  <c r="AK71" i="24"/>
  <c r="O93" i="24"/>
  <c r="AL76" i="24" l="1"/>
  <c r="AK113" i="24"/>
  <c r="AK114" i="24" s="1"/>
  <c r="AK100" i="24"/>
  <c r="AK101" i="24" s="1"/>
  <c r="P93" i="24"/>
  <c r="AL71" i="24"/>
  <c r="AL113" i="24" l="1"/>
  <c r="AL114" i="24" s="1"/>
  <c r="AL100" i="24"/>
  <c r="AL101" i="24" s="1"/>
  <c r="AM76" i="24"/>
  <c r="AM71" i="24"/>
  <c r="Q93" i="24"/>
  <c r="AM100" i="24" l="1"/>
  <c r="AM101" i="24" s="1"/>
  <c r="AN76" i="24"/>
  <c r="AM113" i="24"/>
  <c r="AM114" i="24" s="1"/>
  <c r="R93" i="24"/>
  <c r="AN71" i="24"/>
  <c r="AN100" i="24" l="1"/>
  <c r="AN101" i="24" s="1"/>
  <c r="AO76" i="24"/>
  <c r="AN113" i="24"/>
  <c r="AN114" i="24" s="1"/>
  <c r="AO71" i="24"/>
  <c r="S93" i="24"/>
  <c r="F31" i="16"/>
  <c r="F23" i="16"/>
  <c r="F16" i="16"/>
  <c r="AP76" i="24" l="1"/>
  <c r="AO113" i="24"/>
  <c r="AO114" i="24" s="1"/>
  <c r="AO100" i="24"/>
  <c r="AO101" i="24" s="1"/>
  <c r="T93" i="24"/>
  <c r="AP71" i="24"/>
  <c r="AP113" i="24" l="1"/>
  <c r="AP114" i="24" s="1"/>
  <c r="AP100" i="24"/>
  <c r="AP101" i="24" s="1"/>
  <c r="AQ76" i="24"/>
  <c r="AQ71" i="24"/>
  <c r="U93" i="24"/>
  <c r="AR76" i="24" l="1"/>
  <c r="AQ113" i="24"/>
  <c r="AQ114" i="24" s="1"/>
  <c r="AQ100" i="24"/>
  <c r="AQ101" i="24" s="1"/>
  <c r="V93" i="24"/>
  <c r="AR71" i="24"/>
  <c r="AS76" i="24" l="1"/>
  <c r="AR113" i="24"/>
  <c r="AR114" i="24" s="1"/>
  <c r="AR100" i="24"/>
  <c r="AR101" i="24" s="1"/>
  <c r="AS71" i="24"/>
  <c r="W93" i="24"/>
  <c r="AT76" i="24" l="1"/>
  <c r="AS100" i="24"/>
  <c r="AS101" i="24" s="1"/>
  <c r="AS113" i="24"/>
  <c r="AS114" i="24" s="1"/>
  <c r="X93" i="24"/>
  <c r="AT71" i="24"/>
  <c r="AU76" i="24" l="1"/>
  <c r="AT100" i="24"/>
  <c r="AT101" i="24" s="1"/>
  <c r="AT113" i="24"/>
  <c r="AT114" i="24" s="1"/>
  <c r="AU71" i="24"/>
  <c r="Y93" i="24"/>
  <c r="AU113" i="24" l="1"/>
  <c r="AU114" i="24" s="1"/>
  <c r="AU100" i="24"/>
  <c r="AU101" i="24" s="1"/>
  <c r="AN115" i="24" l="1"/>
  <c r="AM115" i="24"/>
  <c r="AG119" i="24"/>
  <c r="AO115" i="24"/>
  <c r="AE115" i="24"/>
  <c r="AD119" i="24"/>
  <c r="AJ119" i="24"/>
  <c r="AB119" i="24"/>
  <c r="AE119" i="24"/>
  <c r="AI115" i="24"/>
  <c r="AK119" i="24"/>
  <c r="AD115" i="24"/>
  <c r="AL119" i="24"/>
  <c r="AH115" i="24"/>
  <c r="AM119" i="24"/>
  <c r="AK115" i="24"/>
  <c r="AA119" i="24"/>
  <c r="AH119" i="24"/>
  <c r="AL115" i="24"/>
  <c r="AJ115" i="24"/>
  <c r="AG115" i="24"/>
  <c r="AC119" i="24"/>
  <c r="AF119" i="24"/>
  <c r="AF115" i="24"/>
  <c r="AO119" i="24"/>
  <c r="AQ119" i="24"/>
  <c r="AS115" i="24"/>
  <c r="AT115" i="24"/>
  <c r="AN119" i="24"/>
  <c r="AQ115" i="24"/>
  <c r="AR119" i="24"/>
  <c r="AR115" i="24"/>
  <c r="AP115" i="24"/>
  <c r="AU115" i="24"/>
  <c r="AT119" i="24"/>
  <c r="AS119" i="24"/>
  <c r="AP119" i="24"/>
  <c r="AU119" i="24"/>
  <c r="Z102" i="24"/>
  <c r="Z93" i="24" s="1"/>
  <c r="AC102" i="24"/>
  <c r="AB106" i="24"/>
  <c r="AB102" i="24"/>
  <c r="AE102" i="24"/>
  <c r="AC106" i="24"/>
  <c r="AA102" i="24"/>
  <c r="AE106" i="24"/>
  <c r="AD102" i="24"/>
  <c r="AF102" i="24"/>
  <c r="AM102" i="24"/>
  <c r="AH102" i="24"/>
  <c r="AF106" i="24"/>
  <c r="AA106" i="24"/>
  <c r="AG102" i="24"/>
  <c r="AN106" i="24"/>
  <c r="AM106" i="24"/>
  <c r="AI102" i="24"/>
  <c r="AD106" i="24"/>
  <c r="AL102" i="24"/>
  <c r="AI106" i="24"/>
  <c r="AN102" i="24"/>
  <c r="AJ102" i="24"/>
  <c r="AP102" i="24"/>
  <c r="AJ106" i="24"/>
  <c r="AK106" i="24"/>
  <c r="AG106" i="24"/>
  <c r="AP106" i="24"/>
  <c r="AL106" i="24"/>
  <c r="AH106" i="24"/>
  <c r="AO102" i="24"/>
  <c r="AK102" i="24"/>
  <c r="AT102" i="24"/>
  <c r="AR102" i="24"/>
  <c r="AT106" i="24"/>
  <c r="AO106" i="24"/>
  <c r="AS102" i="24"/>
  <c r="AR106" i="24"/>
  <c r="AU102" i="24"/>
  <c r="AU106" i="24"/>
  <c r="AQ102" i="24"/>
  <c r="AQ106" i="24"/>
  <c r="AS106" i="24"/>
  <c r="AA93" i="24" l="1"/>
  <c r="AB93" i="24" s="1"/>
  <c r="AC93" i="24" l="1"/>
  <c r="AD93" i="24" l="1"/>
  <c r="AE93" i="24" l="1"/>
  <c r="AF93" i="24" l="1"/>
  <c r="AG93" i="24" l="1"/>
  <c r="AH93" i="24" l="1"/>
  <c r="AI93" i="24" l="1"/>
  <c r="AJ93" i="24" l="1"/>
  <c r="AK93" i="24" l="1"/>
  <c r="AL93" i="24" l="1"/>
  <c r="AM93" i="24" l="1"/>
  <c r="AN93" i="24" l="1"/>
  <c r="AO93" i="24" l="1"/>
  <c r="AP93" i="24" l="1"/>
  <c r="AQ93" i="24" l="1"/>
  <c r="AR93" i="24" l="1"/>
  <c r="AS93" i="24" l="1"/>
  <c r="AT93" i="24" l="1"/>
  <c r="AU93" i="24" l="1"/>
  <c r="AI72" i="24" l="1"/>
  <c r="AI70" i="24" s="1"/>
  <c r="AG72" i="24"/>
  <c r="AE72" i="24"/>
  <c r="AD72" i="24"/>
  <c r="AQ72" i="24"/>
  <c r="AQ70" i="24" s="1"/>
  <c r="AP72" i="24"/>
  <c r="AP70" i="24" s="1"/>
  <c r="AH72" i="24"/>
  <c r="AH70" i="24" s="1"/>
  <c r="AL72" i="24"/>
  <c r="AL70" i="24" s="1"/>
  <c r="AJ72" i="24"/>
  <c r="AJ70" i="24" s="1"/>
  <c r="AF72" i="24"/>
  <c r="AF70" i="24" s="1"/>
  <c r="X72" i="24"/>
  <c r="X70" i="24" s="1"/>
  <c r="AC72" i="24"/>
  <c r="AC70" i="24" s="1"/>
  <c r="AB72" i="24"/>
  <c r="AB70" i="24" s="1"/>
  <c r="AU72" i="24"/>
  <c r="AU70" i="24" s="1"/>
  <c r="AA72" i="24"/>
  <c r="AA70" i="24" s="1"/>
  <c r="AT72" i="24"/>
  <c r="AT70" i="24" s="1"/>
  <c r="Z72" i="24"/>
  <c r="Z70" i="24" s="1"/>
  <c r="AS72" i="24"/>
  <c r="AS70" i="24" s="1"/>
  <c r="Y72" i="24"/>
  <c r="Y70" i="24" s="1"/>
  <c r="AR72" i="24"/>
  <c r="AR70" i="24" s="1"/>
  <c r="W72" i="24"/>
  <c r="W70" i="24" s="1"/>
  <c r="V72" i="24"/>
  <c r="AO72" i="24"/>
  <c r="AN72" i="24"/>
  <c r="AM72" i="24"/>
  <c r="AK72" i="24"/>
  <c r="AK70" i="24" s="1"/>
  <c r="V70" i="24"/>
  <c r="AD70" i="24"/>
  <c r="AE70" i="24"/>
  <c r="AM70" i="24"/>
  <c r="AN70" i="24"/>
  <c r="AG70" i="24"/>
  <c r="AO70" i="24"/>
  <c r="AE66" i="24" l="1"/>
  <c r="AE134" i="24" s="1"/>
  <c r="W66" i="24"/>
  <c r="W134" i="24" s="1"/>
  <c r="X66" i="24"/>
  <c r="X134" i="24" s="1"/>
  <c r="AK66" i="24"/>
  <c r="AK134" i="24" s="1"/>
  <c r="AC66" i="24"/>
  <c r="AC134" i="24" s="1"/>
  <c r="AH66" i="24"/>
  <c r="AA66" i="24"/>
  <c r="AA134" i="24" s="1"/>
  <c r="AO66" i="24"/>
  <c r="AT66" i="24"/>
  <c r="AG66" i="24"/>
  <c r="AG134" i="24" s="1"/>
  <c r="AL66" i="24"/>
  <c r="AJ66" i="24"/>
  <c r="AU66" i="24"/>
  <c r="AU134" i="24" s="1"/>
  <c r="AD66" i="24"/>
  <c r="AD134" i="24" s="1"/>
  <c r="AQ66" i="24"/>
  <c r="AQ134" i="24" s="1"/>
  <c r="AR66" i="24"/>
  <c r="AR134" i="24" s="1"/>
  <c r="Z66" i="24"/>
  <c r="Z134" i="24" s="1"/>
  <c r="AN66" i="24"/>
  <c r="AN134" i="24" s="1"/>
  <c r="AF66" i="24"/>
  <c r="AF134" i="24" s="1"/>
  <c r="AS66" i="24"/>
  <c r="AB66" i="24"/>
  <c r="Y66" i="24"/>
  <c r="Y134" i="24" s="1"/>
  <c r="AP66" i="24"/>
  <c r="AP134" i="24" s="1"/>
  <c r="AM66" i="24"/>
  <c r="V66" i="24"/>
  <c r="AI66" i="24"/>
  <c r="AI134" i="24" s="1"/>
  <c r="AJ134" i="24" l="1"/>
  <c r="AM134" i="24"/>
  <c r="AS134" i="24"/>
  <c r="AH134" i="24"/>
  <c r="V134" i="24"/>
  <c r="AL134" i="24"/>
  <c r="AT134" i="24"/>
  <c r="AO134" i="24"/>
  <c r="AB134" i="24"/>
  <c r="C72" i="24" l="1"/>
  <c r="C70" i="24" s="1"/>
  <c r="C66" i="24" s="1"/>
  <c r="O72" i="24"/>
  <c r="O70" i="24" s="1"/>
  <c r="O66" i="24" s="1"/>
  <c r="G72" i="24"/>
  <c r="G70" i="24" s="1"/>
  <c r="G66" i="24" s="1"/>
  <c r="N72" i="24"/>
  <c r="N70" i="24" s="1"/>
  <c r="N66" i="24" s="1"/>
  <c r="F72" i="24"/>
  <c r="F70" i="24" s="1"/>
  <c r="F66" i="24" s="1"/>
  <c r="B72" i="24"/>
  <c r="B70" i="24" s="1"/>
  <c r="B66" i="24" s="1"/>
  <c r="M72" i="24"/>
  <c r="M70" i="24" s="1"/>
  <c r="M66" i="24" s="1"/>
  <c r="M134" i="24" s="1"/>
  <c r="K72" i="24"/>
  <c r="K70" i="24" s="1"/>
  <c r="K66" i="24" s="1"/>
  <c r="K134" i="24" s="1"/>
  <c r="I72" i="24"/>
  <c r="I70" i="24" s="1"/>
  <c r="I66" i="24" s="1"/>
  <c r="D72" i="24"/>
  <c r="D70" i="24" s="1"/>
  <c r="D66" i="24" s="1"/>
  <c r="D134" i="24" s="1"/>
  <c r="U72" i="24"/>
  <c r="U70" i="24" s="1"/>
  <c r="U66" i="24" s="1"/>
  <c r="T72" i="24"/>
  <c r="T70" i="24" s="1"/>
  <c r="T66" i="24" s="1"/>
  <c r="Q72" i="24"/>
  <c r="Q70" i="24" s="1"/>
  <c r="Q66" i="24" s="1"/>
  <c r="Q134" i="24" s="1"/>
  <c r="P72" i="24"/>
  <c r="P70" i="24" s="1"/>
  <c r="P66" i="24" s="1"/>
  <c r="L72" i="24"/>
  <c r="L70" i="24" s="1"/>
  <c r="L66" i="24" s="1"/>
  <c r="L134" i="24" s="1"/>
  <c r="R72" i="24"/>
  <c r="R70" i="24" s="1"/>
  <c r="R66" i="24" s="1"/>
  <c r="J72" i="24"/>
  <c r="J70" i="24" s="1"/>
  <c r="J66" i="24" s="1"/>
  <c r="H72" i="24"/>
  <c r="H70" i="24" s="1"/>
  <c r="H66" i="24" s="1"/>
  <c r="E72" i="24"/>
  <c r="E70" i="24" s="1"/>
  <c r="E66" i="24" s="1"/>
  <c r="E134" i="24" s="1"/>
  <c r="S72" i="24"/>
  <c r="S70" i="24" s="1"/>
  <c r="S66" i="24" s="1"/>
  <c r="S134" i="24" l="1"/>
  <c r="P134" i="24"/>
  <c r="H134" i="24"/>
  <c r="U134" i="24"/>
  <c r="I134" i="24"/>
  <c r="B134" i="24"/>
  <c r="F134" i="24"/>
  <c r="J134" i="24"/>
  <c r="T134" i="24"/>
  <c r="N134" i="24"/>
  <c r="G134" i="24"/>
  <c r="O134" i="24"/>
  <c r="R134" i="24"/>
  <c r="C134" i="24"/>
  <c r="Z112" i="23" l="1"/>
  <c r="Y112" i="23"/>
  <c r="X112" i="23"/>
  <c r="H112" i="23"/>
  <c r="E112" i="23"/>
  <c r="F112" i="23"/>
  <c r="V94" i="16" l="1"/>
  <c r="CY94" i="16"/>
  <c r="W94" i="16"/>
  <c r="V125" i="16"/>
  <c r="CY125" i="16"/>
  <c r="W125" i="16"/>
  <c r="I75" i="23"/>
  <c r="I74" i="23"/>
  <c r="W235" i="16"/>
  <c r="CY235" i="16"/>
  <c r="V235" i="16"/>
  <c r="V189" i="16"/>
  <c r="CY189" i="16"/>
  <c r="W189" i="16"/>
  <c r="W274" i="16"/>
  <c r="CY274" i="16"/>
  <c r="V274" i="16"/>
  <c r="AM75" i="23"/>
  <c r="AM74" i="23"/>
  <c r="V198" i="16"/>
  <c r="CY198" i="16"/>
  <c r="W198" i="16"/>
  <c r="W468" i="16"/>
  <c r="CY468" i="16"/>
  <c r="V468" i="16"/>
  <c r="AR106" i="23"/>
  <c r="AR109" i="23"/>
  <c r="V496" i="16"/>
  <c r="CY496" i="16"/>
  <c r="W496" i="16"/>
  <c r="W437" i="16"/>
  <c r="CY437" i="16"/>
  <c r="V437" i="16"/>
  <c r="M92" i="24"/>
  <c r="W443" i="16"/>
  <c r="CY443" i="16"/>
  <c r="V443" i="16"/>
  <c r="W76" i="16"/>
  <c r="CY76" i="16"/>
  <c r="V76" i="16"/>
  <c r="W82" i="16"/>
  <c r="CY82" i="16"/>
  <c r="V82" i="16"/>
  <c r="AU106" i="23"/>
  <c r="AU109" i="23"/>
  <c r="W256" i="16"/>
  <c r="CY256" i="16"/>
  <c r="V256" i="16"/>
  <c r="W336" i="16"/>
  <c r="CY336" i="16"/>
  <c r="V336" i="16"/>
  <c r="Y75" i="23"/>
  <c r="Y74" i="23"/>
  <c r="V490" i="16"/>
  <c r="CY490" i="16"/>
  <c r="W490" i="16"/>
  <c r="W70" i="16"/>
  <c r="CY70" i="16"/>
  <c r="V70" i="16"/>
  <c r="W103" i="16"/>
  <c r="CY103" i="16"/>
  <c r="V103" i="16"/>
  <c r="W436" i="16"/>
  <c r="CY436" i="16"/>
  <c r="V436" i="16"/>
  <c r="W371" i="16"/>
  <c r="CY371" i="16"/>
  <c r="V371" i="16"/>
  <c r="AU96" i="24"/>
  <c r="AT96" i="24"/>
  <c r="AS96" i="24"/>
  <c r="AR96" i="24"/>
  <c r="AQ96" i="24"/>
  <c r="AP96" i="24"/>
  <c r="AO96" i="24"/>
  <c r="AN96" i="24"/>
  <c r="AM96" i="24"/>
  <c r="AL96" i="24"/>
  <c r="AK96" i="24"/>
  <c r="AJ96" i="24"/>
  <c r="B96" i="24"/>
  <c r="C96" i="24"/>
  <c r="D96" i="24"/>
  <c r="E96" i="24"/>
  <c r="F96" i="24"/>
  <c r="G96" i="24"/>
  <c r="H96" i="24"/>
  <c r="I96" i="24"/>
  <c r="J96" i="24"/>
  <c r="K96" i="24"/>
  <c r="L96" i="24"/>
  <c r="M96" i="24"/>
  <c r="N96" i="24"/>
  <c r="O96" i="24"/>
  <c r="P96" i="24"/>
  <c r="Q96" i="24"/>
  <c r="R96" i="24"/>
  <c r="S96" i="24"/>
  <c r="T96" i="24"/>
  <c r="U96" i="24"/>
  <c r="V96" i="24"/>
  <c r="W96" i="24"/>
  <c r="X96" i="24"/>
  <c r="Y96" i="24"/>
  <c r="Z96" i="24"/>
  <c r="AA96" i="24"/>
  <c r="AB96" i="24"/>
  <c r="AC96" i="24"/>
  <c r="AD96" i="24"/>
  <c r="AE96" i="24"/>
  <c r="AF96" i="24"/>
  <c r="AG96" i="24"/>
  <c r="AH96" i="24"/>
  <c r="AI96" i="24"/>
  <c r="W295" i="16"/>
  <c r="CY295" i="16"/>
  <c r="V295" i="16"/>
  <c r="AS92" i="24"/>
  <c r="V333" i="16"/>
  <c r="CY333" i="16"/>
  <c r="W333" i="16"/>
  <c r="B133" i="24"/>
  <c r="B67" i="24"/>
  <c r="B68" i="24"/>
  <c r="W459" i="16"/>
  <c r="CY459" i="16"/>
  <c r="V459" i="16"/>
  <c r="V179" i="16"/>
  <c r="CY179" i="16"/>
  <c r="W179" i="16"/>
  <c r="V510" i="16"/>
  <c r="CY510" i="16"/>
  <c r="W510" i="16"/>
  <c r="V305" i="16"/>
  <c r="CY305" i="16"/>
  <c r="W305" i="16"/>
  <c r="V185" i="16"/>
  <c r="CY185" i="16"/>
  <c r="W185" i="16"/>
  <c r="AU136" i="23"/>
  <c r="AT89" i="24"/>
  <c r="AT124" i="24"/>
  <c r="AT88" i="24"/>
  <c r="AP92" i="24"/>
  <c r="F132" i="23"/>
  <c r="F137" i="23"/>
  <c r="F130" i="23"/>
  <c r="F131" i="23"/>
  <c r="W482" i="16"/>
  <c r="CY482" i="16"/>
  <c r="V482" i="16"/>
  <c r="AT68" i="24"/>
  <c r="AT103" i="24"/>
  <c r="AT98" i="24"/>
  <c r="AT67" i="24"/>
  <c r="AT133" i="24"/>
  <c r="V447" i="16"/>
  <c r="CY447" i="16"/>
  <c r="W447" i="16"/>
  <c r="AU112" i="23"/>
  <c r="V107" i="24"/>
  <c r="AE111" i="24"/>
  <c r="AE116" i="24"/>
  <c r="W466" i="16"/>
  <c r="CY466" i="16"/>
  <c r="V466" i="16"/>
  <c r="V388" i="16"/>
  <c r="CY388" i="16"/>
  <c r="W388" i="16"/>
  <c r="AH112" i="23"/>
  <c r="I107" i="24"/>
  <c r="AP106" i="23"/>
  <c r="AP109" i="23"/>
  <c r="AA111" i="24"/>
  <c r="AA116" i="24"/>
  <c r="W195" i="16"/>
  <c r="CY195" i="16"/>
  <c r="V195" i="16"/>
  <c r="E111" i="24"/>
  <c r="E116" i="24"/>
  <c r="W116" i="16"/>
  <c r="CY116" i="16"/>
  <c r="V116" i="16"/>
  <c r="AE133" i="24"/>
  <c r="AE67" i="24"/>
  <c r="AE68" i="24"/>
  <c r="M75" i="23"/>
  <c r="M74" i="23"/>
  <c r="AE131" i="23"/>
  <c r="AE137" i="23"/>
  <c r="AE130" i="23"/>
  <c r="AE132" i="23"/>
  <c r="AL75" i="23"/>
  <c r="AL74" i="23"/>
  <c r="Y92" i="24"/>
  <c r="V294" i="16"/>
  <c r="CY294" i="16"/>
  <c r="W294" i="16"/>
  <c r="AR111" i="24"/>
  <c r="AR116" i="24"/>
  <c r="R76" i="23"/>
  <c r="W144" i="16"/>
  <c r="CY144" i="16"/>
  <c r="V144" i="16"/>
  <c r="R111" i="24"/>
  <c r="R116" i="24"/>
  <c r="AR136" i="23"/>
  <c r="AQ89" i="24"/>
  <c r="AQ124" i="24"/>
  <c r="AQ88" i="24"/>
  <c r="AB111" i="24"/>
  <c r="AB116" i="24"/>
  <c r="V419" i="16"/>
  <c r="CY419" i="16"/>
  <c r="W419" i="16"/>
  <c r="V93" i="16"/>
  <c r="CY93" i="16"/>
  <c r="W93" i="16"/>
  <c r="G23" i="16"/>
  <c r="V498" i="16"/>
  <c r="CY498" i="16"/>
  <c r="W498" i="16"/>
  <c r="R98" i="23"/>
  <c r="R95" i="23"/>
  <c r="R74" i="23"/>
  <c r="R75" i="23"/>
  <c r="W315" i="16"/>
  <c r="CY315" i="16"/>
  <c r="V315" i="16"/>
  <c r="AT92" i="24"/>
  <c r="V291" i="16"/>
  <c r="CY291" i="16"/>
  <c r="W291" i="16"/>
  <c r="AH68" i="24"/>
  <c r="AH67" i="24"/>
  <c r="AH133" i="24"/>
  <c r="Z75" i="23"/>
  <c r="Z74" i="23"/>
  <c r="H68" i="24"/>
  <c r="H67" i="24"/>
  <c r="H133" i="24"/>
  <c r="W367" i="16"/>
  <c r="CY367" i="16"/>
  <c r="V367" i="16"/>
  <c r="D136" i="23"/>
  <c r="C124" i="24"/>
  <c r="C88" i="24"/>
  <c r="C89" i="24"/>
  <c r="W270" i="16"/>
  <c r="CY270" i="16"/>
  <c r="V270" i="16"/>
  <c r="V302" i="16"/>
  <c r="CY302" i="16"/>
  <c r="W302" i="16"/>
  <c r="O76" i="23"/>
  <c r="W406" i="16"/>
  <c r="CY406" i="16"/>
  <c r="V406" i="16"/>
  <c r="AD106" i="23"/>
  <c r="AD109" i="23"/>
  <c r="W281" i="16"/>
  <c r="CY281" i="16"/>
  <c r="V281" i="16"/>
  <c r="Z76" i="23"/>
  <c r="Z98" i="23"/>
  <c r="Z95" i="23"/>
  <c r="Z93" i="23"/>
  <c r="AB106" i="23"/>
  <c r="AB109" i="23"/>
  <c r="W513" i="16"/>
  <c r="CY513" i="16"/>
  <c r="V513" i="16"/>
  <c r="W300" i="16"/>
  <c r="CY300" i="16"/>
  <c r="V300" i="16"/>
  <c r="V206" i="16"/>
  <c r="CY206" i="16"/>
  <c r="W206" i="16"/>
  <c r="C68" i="24"/>
  <c r="C103" i="24"/>
  <c r="C98" i="24"/>
  <c r="C67" i="24"/>
  <c r="C133" i="24"/>
  <c r="AA75" i="23"/>
  <c r="AA74" i="23"/>
  <c r="I98" i="23"/>
  <c r="I95" i="23"/>
  <c r="I76" i="23"/>
  <c r="AK75" i="23"/>
  <c r="AK74" i="23"/>
  <c r="AM132" i="23"/>
  <c r="AM137" i="23"/>
  <c r="AM130" i="23"/>
  <c r="AM131" i="23"/>
  <c r="V288" i="16"/>
  <c r="CY288" i="16"/>
  <c r="W288" i="16"/>
  <c r="AA106" i="23"/>
  <c r="AA109" i="23"/>
  <c r="V399" i="16"/>
  <c r="CY399" i="16"/>
  <c r="W399" i="16"/>
  <c r="W322" i="16"/>
  <c r="CY322" i="16"/>
  <c r="V322" i="16"/>
  <c r="I93" i="23"/>
  <c r="I106" i="23"/>
  <c r="I109" i="23"/>
  <c r="T68" i="24"/>
  <c r="T67" i="24"/>
  <c r="T133" i="24"/>
  <c r="W320" i="16"/>
  <c r="CY320" i="16"/>
  <c r="V320" i="16"/>
  <c r="W171" i="16"/>
  <c r="CY171" i="16"/>
  <c r="V171" i="16"/>
  <c r="AT131" i="23"/>
  <c r="AT137" i="23"/>
  <c r="AT130" i="23"/>
  <c r="AT132" i="23"/>
  <c r="Z92" i="24"/>
  <c r="F68" i="24"/>
  <c r="F67" i="24"/>
  <c r="F133" i="24"/>
  <c r="AH92" i="24"/>
  <c r="B92" i="24"/>
  <c r="AQ111" i="24"/>
  <c r="AQ116" i="24"/>
  <c r="U93" i="23"/>
  <c r="U106" i="23"/>
  <c r="U109" i="23"/>
  <c r="I131" i="23"/>
  <c r="I137" i="23"/>
  <c r="I130" i="23"/>
  <c r="I132" i="23"/>
  <c r="V124" i="16"/>
  <c r="CY124" i="16"/>
  <c r="W124" i="16"/>
  <c r="W168" i="16"/>
  <c r="CY168" i="16"/>
  <c r="V168" i="16"/>
  <c r="G93" i="23"/>
  <c r="G106" i="23"/>
  <c r="G109" i="23"/>
  <c r="D132" i="23"/>
  <c r="D137" i="23"/>
  <c r="D130" i="23"/>
  <c r="D131" i="23"/>
  <c r="G136" i="23"/>
  <c r="F88" i="24"/>
  <c r="F89" i="24"/>
  <c r="F103" i="24"/>
  <c r="F98" i="24"/>
  <c r="F124" i="24"/>
  <c r="V153" i="16"/>
  <c r="CY153" i="16"/>
  <c r="W153" i="16"/>
  <c r="AC106" i="23"/>
  <c r="AC109" i="23"/>
  <c r="D111" i="24"/>
  <c r="D116" i="24"/>
  <c r="V454" i="16"/>
  <c r="CY454" i="16"/>
  <c r="W454" i="16"/>
  <c r="W273" i="16"/>
  <c r="CY273" i="16"/>
  <c r="V273" i="16"/>
  <c r="V75" i="23"/>
  <c r="V74" i="23"/>
  <c r="U136" i="23"/>
  <c r="T88" i="24"/>
  <c r="T124" i="24"/>
  <c r="T103" i="24"/>
  <c r="T98" i="24"/>
  <c r="T89" i="24"/>
  <c r="W227" i="16"/>
  <c r="CY227" i="16"/>
  <c r="V227" i="16"/>
  <c r="V289" i="16"/>
  <c r="CY289" i="16"/>
  <c r="W289" i="16"/>
  <c r="V372" i="16"/>
  <c r="CY372" i="16"/>
  <c r="W372" i="16"/>
  <c r="V57" i="16"/>
  <c r="CY57" i="16"/>
  <c r="W57" i="16"/>
  <c r="W373" i="16"/>
  <c r="CY373" i="16"/>
  <c r="V373" i="16"/>
  <c r="V370" i="16"/>
  <c r="CY370" i="16"/>
  <c r="W370" i="16"/>
  <c r="K133" i="24"/>
  <c r="K67" i="24"/>
  <c r="K68" i="24"/>
  <c r="N131" i="23"/>
  <c r="N137" i="23"/>
  <c r="N130" i="23"/>
  <c r="N132" i="23"/>
  <c r="V358" i="16"/>
  <c r="CY358" i="16"/>
  <c r="W358" i="16"/>
  <c r="W201" i="16"/>
  <c r="CY201" i="16"/>
  <c r="V201" i="16"/>
  <c r="L93" i="23"/>
  <c r="L106" i="23"/>
  <c r="L109" i="23"/>
  <c r="AN106" i="23"/>
  <c r="AN109" i="23"/>
  <c r="H20" i="16"/>
  <c r="H20" i="16" a="1"/>
  <c r="H35" i="16"/>
  <c r="H35" i="16" a="1"/>
  <c r="H25" i="16"/>
  <c r="H25" i="16" a="1"/>
  <c r="H34" i="16"/>
  <c r="H34" i="16" a="1"/>
  <c r="H17" i="16"/>
  <c r="H17" i="16" a="1"/>
  <c r="H19" i="16"/>
  <c r="H19" i="16" a="1"/>
  <c r="H32" i="16"/>
  <c r="H32" i="16" a="1"/>
  <c r="H33" i="16"/>
  <c r="H33" i="16" a="1"/>
  <c r="H24" i="16"/>
  <c r="H24" i="16" a="1"/>
  <c r="H26" i="16"/>
  <c r="H26" i="16" a="1"/>
  <c r="H27" i="16"/>
  <c r="H27" i="16" a="1"/>
  <c r="H18" i="16"/>
  <c r="W49" i="16"/>
  <c r="H18" i="16" a="1"/>
  <c r="AS94" i="24"/>
  <c r="AT94" i="24"/>
  <c r="AU94" i="24"/>
  <c r="AU92" i="24"/>
  <c r="AE92" i="24"/>
  <c r="V98" i="23"/>
  <c r="V95" i="23"/>
  <c r="V76" i="23"/>
  <c r="M122" i="24"/>
  <c r="N118" i="24"/>
  <c r="AF115" i="23"/>
  <c r="AI122" i="24"/>
  <c r="AM118" i="24"/>
  <c r="AG85" i="24"/>
  <c r="AK85" i="24"/>
  <c r="J85" i="24"/>
  <c r="U105" i="24"/>
  <c r="E85" i="24"/>
  <c r="AF85" i="24"/>
  <c r="Q122" i="24"/>
  <c r="I85" i="24"/>
  <c r="E111" i="23"/>
  <c r="AU118" i="24"/>
  <c r="G105" i="24"/>
  <c r="X118" i="24"/>
  <c r="AF122" i="24"/>
  <c r="Y122" i="24"/>
  <c r="AJ111" i="23"/>
  <c r="L115" i="23"/>
  <c r="U111" i="23"/>
  <c r="T115" i="23"/>
  <c r="AA109" i="24"/>
  <c r="AS122" i="24"/>
  <c r="E115" i="23"/>
  <c r="AS118" i="24"/>
  <c r="AF118" i="24"/>
  <c r="AS111" i="23"/>
  <c r="N122" i="24"/>
  <c r="V118" i="24"/>
  <c r="J122" i="24"/>
  <c r="AA118" i="24"/>
  <c r="G122" i="24"/>
  <c r="M85" i="24"/>
  <c r="P118" i="24"/>
  <c r="J118" i="24"/>
  <c r="AQ105" i="24"/>
  <c r="S85" i="24"/>
  <c r="U115" i="23"/>
  <c r="AK122" i="24"/>
  <c r="U109" i="24"/>
  <c r="K115" i="23"/>
  <c r="AB111" i="23"/>
  <c r="AO111" i="23"/>
  <c r="Y111" i="23"/>
  <c r="W105" i="24"/>
  <c r="AO105" i="24"/>
  <c r="O118" i="24"/>
  <c r="W85" i="24"/>
  <c r="H109" i="24"/>
  <c r="AE115" i="23"/>
  <c r="AJ85" i="24"/>
  <c r="D109" i="24"/>
  <c r="D118" i="24"/>
  <c r="O109" i="24"/>
  <c r="V105" i="24"/>
  <c r="AM122" i="24"/>
  <c r="L118" i="24"/>
  <c r="L122" i="24"/>
  <c r="D122" i="24"/>
  <c r="H85" i="24"/>
  <c r="AL105" i="24"/>
  <c r="I109" i="24"/>
  <c r="AP122" i="24"/>
  <c r="S105" i="24"/>
  <c r="C109" i="24"/>
  <c r="R111" i="23"/>
  <c r="AQ115" i="23"/>
  <c r="AA115" i="23"/>
  <c r="R115" i="23"/>
  <c r="C111" i="23"/>
  <c r="E109" i="24"/>
  <c r="AD105" i="24"/>
  <c r="C115" i="23"/>
  <c r="O111" i="23"/>
  <c r="V111" i="23"/>
  <c r="S111" i="23"/>
  <c r="AE122" i="24"/>
  <c r="N85" i="24"/>
  <c r="AT105" i="24"/>
  <c r="O115" i="23"/>
  <c r="Z118" i="24"/>
  <c r="AH109" i="24"/>
  <c r="AS85" i="24"/>
  <c r="AB105" i="24"/>
  <c r="AK109" i="24"/>
  <c r="AA85" i="24"/>
  <c r="AP105" i="24"/>
  <c r="I105" i="24"/>
  <c r="U85" i="24"/>
  <c r="AJ115" i="23"/>
  <c r="P122" i="24"/>
  <c r="AN115" i="23"/>
  <c r="F85" i="24"/>
  <c r="AJ109" i="24"/>
  <c r="X85" i="24"/>
  <c r="R109" i="24"/>
  <c r="AD122" i="24"/>
  <c r="AD118" i="24"/>
  <c r="I111" i="23"/>
  <c r="K105" i="24"/>
  <c r="AD111" i="23"/>
  <c r="AO122" i="24"/>
  <c r="AL122" i="24"/>
  <c r="Z122" i="24"/>
  <c r="R122" i="24"/>
  <c r="AE109" i="24"/>
  <c r="D85" i="24"/>
  <c r="L111" i="23"/>
  <c r="G115" i="23"/>
  <c r="V109" i="24"/>
  <c r="AI105" i="24"/>
  <c r="Z109" i="24"/>
  <c r="O85" i="24"/>
  <c r="AJ122" i="24"/>
  <c r="AM85" i="24"/>
  <c r="T85" i="24"/>
  <c r="P111" i="23"/>
  <c r="AC85" i="24"/>
  <c r="E118" i="24"/>
  <c r="AQ118" i="24"/>
  <c r="AR109" i="24"/>
  <c r="M118" i="24"/>
  <c r="P85" i="24"/>
  <c r="M115" i="23"/>
  <c r="J115" i="23"/>
  <c r="P105" i="24"/>
  <c r="J111" i="23"/>
  <c r="AO115" i="23"/>
  <c r="AF105" i="24"/>
  <c r="U118" i="24"/>
  <c r="L85" i="24"/>
  <c r="H115" i="23"/>
  <c r="AS115" i="23"/>
  <c r="AR105" i="24"/>
  <c r="AL115" i="23"/>
  <c r="N115" i="23"/>
  <c r="L105" i="24"/>
  <c r="D105" i="24"/>
  <c r="AC111" i="23"/>
  <c r="S115" i="23"/>
  <c r="AB115" i="23"/>
  <c r="Z111" i="23"/>
  <c r="AC105" i="24"/>
  <c r="M111" i="23"/>
  <c r="AG105" i="24"/>
  <c r="AD85" i="24"/>
  <c r="E122" i="24"/>
  <c r="AS105" i="24"/>
  <c r="AU105" i="24"/>
  <c r="AH85" i="24"/>
  <c r="AQ111" i="23"/>
  <c r="O122" i="24"/>
  <c r="AV115" i="23"/>
  <c r="AI85" i="24"/>
  <c r="AC109" i="24"/>
  <c r="AN122" i="24"/>
  <c r="AA105" i="24"/>
  <c r="AK111" i="23"/>
  <c r="AO85" i="24"/>
  <c r="T109" i="24"/>
  <c r="H105" i="24"/>
  <c r="V122" i="24"/>
  <c r="AC118" i="24"/>
  <c r="AK115" i="23"/>
  <c r="T118" i="24"/>
  <c r="Y115" i="23"/>
  <c r="W109" i="24"/>
  <c r="AO118" i="24"/>
  <c r="AT85" i="24"/>
  <c r="AC115" i="23"/>
  <c r="D111" i="23"/>
  <c r="AN85" i="24"/>
  <c r="AQ122" i="24"/>
  <c r="AJ105" i="24"/>
  <c r="AH111" i="23"/>
  <c r="N109" i="24"/>
  <c r="AK118" i="24"/>
  <c r="R85" i="24"/>
  <c r="AM109" i="24"/>
  <c r="AR118" i="24"/>
  <c r="AF111" i="23"/>
  <c r="AE105" i="24"/>
  <c r="AT111" i="23"/>
  <c r="G118" i="24"/>
  <c r="AG109" i="24"/>
  <c r="AR85" i="24"/>
  <c r="AQ85" i="24"/>
  <c r="AF109" i="24"/>
  <c r="J109" i="24"/>
  <c r="AJ118" i="24"/>
  <c r="AP118" i="24"/>
  <c r="Q109" i="24"/>
  <c r="P109" i="24"/>
  <c r="S122" i="24"/>
  <c r="P115" i="23"/>
  <c r="AT118" i="24"/>
  <c r="K118" i="24"/>
  <c r="Z85" i="24"/>
  <c r="B122" i="24"/>
  <c r="Q118" i="24"/>
  <c r="G85" i="24"/>
  <c r="AC122" i="24"/>
  <c r="AB85" i="24"/>
  <c r="Z115" i="23"/>
  <c r="K122" i="24"/>
  <c r="AP109" i="24"/>
  <c r="B109" i="24"/>
  <c r="AU122" i="24"/>
  <c r="AT122" i="24"/>
  <c r="X115" i="23"/>
  <c r="M109" i="24"/>
  <c r="F111" i="23"/>
  <c r="I118" i="24"/>
  <c r="AM115" i="23"/>
  <c r="AO109" i="24"/>
  <c r="AP111" i="23"/>
  <c r="D115" i="23"/>
  <c r="AU85" i="24"/>
  <c r="AN105" i="24"/>
  <c r="AA111" i="23"/>
  <c r="F122" i="24"/>
  <c r="H118" i="24"/>
  <c r="AL111" i="23"/>
  <c r="AH118" i="24"/>
  <c r="Z105" i="24"/>
  <c r="Y85" i="24"/>
  <c r="Y118" i="24"/>
  <c r="W118" i="24"/>
  <c r="AN109" i="24"/>
  <c r="AN118" i="24"/>
  <c r="AS109" i="24"/>
  <c r="AB122" i="24"/>
  <c r="Q105" i="24"/>
  <c r="B118" i="24"/>
  <c r="X109" i="24"/>
  <c r="AH115" i="23"/>
  <c r="AI118" i="24"/>
  <c r="T111" i="23"/>
  <c r="Q111" i="23"/>
  <c r="W122" i="24"/>
  <c r="AU109" i="24"/>
  <c r="M105" i="24"/>
  <c r="AG111" i="23"/>
  <c r="F118" i="24"/>
  <c r="X122" i="24"/>
  <c r="J105" i="24"/>
  <c r="W115" i="23"/>
  <c r="AP85" i="24"/>
  <c r="Q85" i="24"/>
  <c r="C122" i="24"/>
  <c r="F105" i="24"/>
  <c r="K111" i="23"/>
  <c r="AE118" i="24"/>
  <c r="Y109" i="24"/>
  <c r="S118" i="24"/>
  <c r="O105" i="24"/>
  <c r="AL109" i="24"/>
  <c r="AP115" i="23"/>
  <c r="AA122" i="24"/>
  <c r="C85" i="24"/>
  <c r="B85" i="24"/>
  <c r="AK105" i="24"/>
  <c r="T105" i="24"/>
  <c r="AM111" i="23"/>
  <c r="AL118" i="24"/>
  <c r="AE85" i="24"/>
  <c r="AT109" i="24"/>
  <c r="AR115" i="23"/>
  <c r="T122" i="24"/>
  <c r="Y105" i="24"/>
  <c r="K85" i="24"/>
  <c r="X111" i="23"/>
  <c r="AQ109" i="24"/>
  <c r="H111" i="23"/>
  <c r="I122" i="24"/>
  <c r="AI115" i="23"/>
  <c r="N105" i="24"/>
  <c r="G109" i="24"/>
  <c r="AB118" i="24"/>
  <c r="AN111" i="23"/>
  <c r="AD109" i="24"/>
  <c r="AU111" i="23"/>
  <c r="U122" i="24"/>
  <c r="AG122" i="24"/>
  <c r="AB109" i="24"/>
  <c r="AI111" i="23"/>
  <c r="AE111" i="23"/>
  <c r="AR122" i="24"/>
  <c r="V85" i="24"/>
  <c r="B105" i="24"/>
  <c r="E105" i="24"/>
  <c r="V115" i="23"/>
  <c r="R118" i="24"/>
  <c r="N111" i="23"/>
  <c r="AH105" i="24"/>
  <c r="AT115" i="23"/>
  <c r="AH122" i="24"/>
  <c r="X105" i="24"/>
  <c r="AM105" i="24"/>
  <c r="I115" i="23"/>
  <c r="F109" i="24"/>
  <c r="W111" i="23"/>
  <c r="L109" i="24"/>
  <c r="AV111" i="23"/>
  <c r="F115" i="23"/>
  <c r="AG115" i="23"/>
  <c r="G111" i="23"/>
  <c r="C118" i="24"/>
  <c r="K109" i="24"/>
  <c r="AI109" i="24"/>
  <c r="R105" i="24"/>
  <c r="AR111" i="23"/>
  <c r="AU115" i="23"/>
  <c r="AL85" i="24"/>
  <c r="C105" i="24"/>
  <c r="AG118" i="24"/>
  <c r="H122" i="24"/>
  <c r="S109" i="24"/>
  <c r="Q115" i="23"/>
  <c r="AD115" i="23"/>
  <c r="AQ132" i="23"/>
  <c r="AQ137" i="23"/>
  <c r="AQ130" i="23"/>
  <c r="AQ131" i="23"/>
  <c r="AM76" i="23"/>
  <c r="AM98" i="23"/>
  <c r="AM95" i="23"/>
  <c r="AM93" i="23"/>
  <c r="AQ133" i="24"/>
  <c r="AQ103" i="24"/>
  <c r="AQ98" i="24"/>
  <c r="AQ67" i="24"/>
  <c r="AQ68" i="24"/>
  <c r="W473" i="16"/>
  <c r="CY473" i="16"/>
  <c r="V473" i="16"/>
  <c r="V196" i="16"/>
  <c r="CY196" i="16"/>
  <c r="W196" i="16"/>
  <c r="AE104" i="23"/>
  <c r="AP104" i="23"/>
  <c r="L104" i="23"/>
  <c r="AI100" i="23"/>
  <c r="AJ100" i="23"/>
  <c r="U100" i="23"/>
  <c r="T100" i="23"/>
  <c r="AK100" i="23"/>
  <c r="AH104" i="23"/>
  <c r="AV104" i="23"/>
  <c r="AD104" i="23"/>
  <c r="AV100" i="23"/>
  <c r="K104" i="23"/>
  <c r="X100" i="23"/>
  <c r="N100" i="23"/>
  <c r="M100" i="23"/>
  <c r="AM104" i="23"/>
  <c r="AC100" i="23"/>
  <c r="N104" i="23"/>
  <c r="R100" i="23"/>
  <c r="AO104" i="23"/>
  <c r="AG100" i="23"/>
  <c r="W104" i="23"/>
  <c r="AH100" i="23"/>
  <c r="J100" i="23"/>
  <c r="B88" i="23"/>
  <c r="P100" i="23"/>
  <c r="R104" i="23"/>
  <c r="D104" i="23"/>
  <c r="J104" i="23"/>
  <c r="AK104" i="23"/>
  <c r="AE100" i="23"/>
  <c r="I104" i="23"/>
  <c r="F100" i="23"/>
  <c r="Y104" i="23"/>
  <c r="C104" i="23"/>
  <c r="AA104" i="23"/>
  <c r="AM100" i="23"/>
  <c r="M104" i="23"/>
  <c r="AP100" i="23"/>
  <c r="V104" i="23"/>
  <c r="AO100" i="23"/>
  <c r="I100" i="23"/>
  <c r="AL100" i="23"/>
  <c r="F104" i="23"/>
  <c r="AF104" i="23"/>
  <c r="S100" i="23"/>
  <c r="AA100" i="23"/>
  <c r="Z104" i="23"/>
  <c r="AQ104" i="23"/>
  <c r="AS100" i="23"/>
  <c r="AL104" i="23"/>
  <c r="S104" i="23"/>
  <c r="AS104" i="23"/>
  <c r="AT100" i="23"/>
  <c r="AG104" i="23"/>
  <c r="T104" i="23"/>
  <c r="AT104" i="23"/>
  <c r="E100" i="23"/>
  <c r="AN100" i="23"/>
  <c r="AR100" i="23"/>
  <c r="O100" i="23"/>
  <c r="AR104" i="23"/>
  <c r="AJ104" i="23"/>
  <c r="G104" i="23"/>
  <c r="AB100" i="23"/>
  <c r="O104" i="23"/>
  <c r="AF100" i="23"/>
  <c r="AI104" i="23"/>
  <c r="AQ100" i="23"/>
  <c r="AC104" i="23"/>
  <c r="E104" i="23"/>
  <c r="Q104" i="23"/>
  <c r="C100" i="23"/>
  <c r="AU100" i="23"/>
  <c r="AD100" i="23"/>
  <c r="L100" i="23"/>
  <c r="X104" i="23"/>
  <c r="G100" i="23"/>
  <c r="AN104" i="23"/>
  <c r="Q100" i="23"/>
  <c r="D100" i="23"/>
  <c r="Z100" i="23"/>
  <c r="V100" i="23"/>
  <c r="W100" i="23"/>
  <c r="AU104" i="23"/>
  <c r="AB104" i="23"/>
  <c r="Y100" i="23"/>
  <c r="K100" i="23"/>
  <c r="H104" i="23"/>
  <c r="H100" i="23"/>
  <c r="U104" i="23"/>
  <c r="C56" i="24"/>
  <c r="B84" i="23"/>
  <c r="P104" i="23"/>
  <c r="W149" i="16"/>
  <c r="CY149" i="16"/>
  <c r="V149" i="16"/>
  <c r="AC75" i="23"/>
  <c r="AC74" i="23"/>
  <c r="P131" i="23"/>
  <c r="P137" i="23"/>
  <c r="P130" i="23"/>
  <c r="P132" i="23"/>
  <c r="Z133" i="24"/>
  <c r="Z67" i="24"/>
  <c r="Z68" i="24"/>
  <c r="X68" i="24"/>
  <c r="X67" i="24"/>
  <c r="X133" i="24"/>
  <c r="W175" i="16"/>
  <c r="CY175" i="16"/>
  <c r="V175" i="16"/>
  <c r="W219" i="16"/>
  <c r="CY219" i="16"/>
  <c r="V219" i="16"/>
  <c r="V341" i="16"/>
  <c r="CY341" i="16"/>
  <c r="W341" i="16"/>
  <c r="V290" i="16"/>
  <c r="CY290" i="16"/>
  <c r="W290" i="16"/>
  <c r="R133" i="24"/>
  <c r="R67" i="24"/>
  <c r="R68" i="24"/>
  <c r="AQ75" i="23"/>
  <c r="AQ74" i="23"/>
  <c r="W79" i="16"/>
  <c r="CY79" i="16"/>
  <c r="V79" i="16"/>
  <c r="V77" i="16"/>
  <c r="CY77" i="16"/>
  <c r="W77" i="16"/>
  <c r="W62" i="16"/>
  <c r="CY62" i="16"/>
  <c r="V62" i="16"/>
  <c r="W416" i="16"/>
  <c r="CY416" i="16"/>
  <c r="V416" i="16"/>
  <c r="AO112" i="23"/>
  <c r="P107" i="24"/>
  <c r="AL111" i="24"/>
  <c r="AL116" i="24"/>
  <c r="AS131" i="23"/>
  <c r="AS137" i="23"/>
  <c r="AS130" i="23"/>
  <c r="AS132" i="23"/>
  <c r="AJ112" i="23"/>
  <c r="K107" i="24"/>
  <c r="AI75" i="23"/>
  <c r="AI74" i="23"/>
  <c r="AT75" i="23"/>
  <c r="AT74" i="23"/>
  <c r="W56" i="16"/>
  <c r="CY56" i="16"/>
  <c r="V56" i="16"/>
  <c r="W148" i="16"/>
  <c r="CY148" i="16"/>
  <c r="V148" i="16"/>
  <c r="AJ76" i="23"/>
  <c r="AJ93" i="23"/>
  <c r="W75" i="23"/>
  <c r="W74" i="23"/>
  <c r="AG133" i="24"/>
  <c r="AG67" i="24"/>
  <c r="AG68" i="24"/>
  <c r="H75" i="23"/>
  <c r="H74" i="23"/>
  <c r="V143" i="16"/>
  <c r="CY143" i="16"/>
  <c r="W143" i="16"/>
  <c r="V442" i="16"/>
  <c r="CY442" i="16"/>
  <c r="W442" i="16"/>
  <c r="J111" i="24"/>
  <c r="J116" i="24"/>
  <c r="P75" i="23"/>
  <c r="P74" i="23"/>
  <c r="W497" i="16"/>
  <c r="CY497" i="16"/>
  <c r="V497" i="16"/>
  <c r="U76" i="23"/>
  <c r="AP131" i="23"/>
  <c r="AP137" i="23"/>
  <c r="AP130" i="23"/>
  <c r="AP132" i="23"/>
  <c r="AJ98" i="23"/>
  <c r="AJ95" i="23"/>
  <c r="AJ74" i="23"/>
  <c r="AJ75" i="23"/>
  <c r="W338" i="16"/>
  <c r="CY338" i="16"/>
  <c r="V338" i="16"/>
  <c r="W111" i="24"/>
  <c r="W116" i="24"/>
  <c r="V366" i="16"/>
  <c r="CY366" i="16"/>
  <c r="W366" i="16"/>
  <c r="C111" i="24"/>
  <c r="C116" i="24"/>
  <c r="V412" i="16"/>
  <c r="CY412" i="16"/>
  <c r="W412" i="16"/>
  <c r="R93" i="23"/>
  <c r="R106" i="23"/>
  <c r="R109" i="23"/>
  <c r="C76" i="23"/>
  <c r="B76" i="23"/>
  <c r="K111" i="24"/>
  <c r="K116" i="24"/>
  <c r="W152" i="16"/>
  <c r="CY152" i="16"/>
  <c r="V152" i="16"/>
  <c r="W230" i="16"/>
  <c r="CY230" i="16"/>
  <c r="V230" i="16"/>
  <c r="W424" i="16"/>
  <c r="CY424" i="16"/>
  <c r="V424" i="16"/>
  <c r="AK111" i="24"/>
  <c r="AK116" i="24"/>
  <c r="W285" i="16"/>
  <c r="CY285" i="16"/>
  <c r="V285" i="16"/>
  <c r="W71" i="16"/>
  <c r="CY71" i="16"/>
  <c r="V71" i="16"/>
  <c r="V262" i="16"/>
  <c r="CY262" i="16"/>
  <c r="W262" i="16"/>
  <c r="Z88" i="24"/>
  <c r="Z124" i="24"/>
  <c r="Z89" i="24"/>
  <c r="Z103" i="24"/>
  <c r="Z98" i="24"/>
  <c r="AA136" i="23"/>
  <c r="W316" i="16"/>
  <c r="CY316" i="16"/>
  <c r="V316" i="16"/>
  <c r="Y136" i="23"/>
  <c r="X88" i="24"/>
  <c r="X89" i="24"/>
  <c r="X103" i="24"/>
  <c r="X98" i="24"/>
  <c r="X124" i="24"/>
  <c r="S76" i="23"/>
  <c r="AR94" i="24"/>
  <c r="AR92" i="24"/>
  <c r="V360" i="16"/>
  <c r="CY360" i="16"/>
  <c r="W360" i="16"/>
  <c r="W239" i="16"/>
  <c r="CY239" i="16"/>
  <c r="V239" i="16"/>
  <c r="J76" i="23"/>
  <c r="H23" i="16"/>
  <c r="W339" i="16"/>
  <c r="CY339" i="16"/>
  <c r="V339" i="16"/>
  <c r="Z132" i="23"/>
  <c r="Z137" i="23"/>
  <c r="Z130" i="23"/>
  <c r="Z131" i="23"/>
  <c r="W331" i="16"/>
  <c r="CY331" i="16"/>
  <c r="V331" i="16"/>
  <c r="W89" i="16"/>
  <c r="CY89" i="16"/>
  <c r="V89" i="16"/>
  <c r="V455" i="16"/>
  <c r="CY455" i="16"/>
  <c r="W455" i="16"/>
  <c r="W131" i="16"/>
  <c r="CY131" i="16"/>
  <c r="V131" i="16"/>
  <c r="U92" i="24"/>
  <c r="S98" i="23"/>
  <c r="S95" i="23"/>
  <c r="S74" i="23"/>
  <c r="S75" i="23"/>
  <c r="W342" i="16"/>
  <c r="CY342" i="16"/>
  <c r="V342" i="16"/>
  <c r="L136" i="23"/>
  <c r="K88" i="24"/>
  <c r="K124" i="24"/>
  <c r="K103" i="24"/>
  <c r="K98" i="24"/>
  <c r="K89" i="24"/>
  <c r="V131" i="23"/>
  <c r="V137" i="23"/>
  <c r="V130" i="23"/>
  <c r="V132" i="23"/>
  <c r="V430" i="16"/>
  <c r="CY430" i="16"/>
  <c r="W430" i="16"/>
  <c r="J98" i="23"/>
  <c r="J95" i="23"/>
  <c r="J74" i="23"/>
  <c r="J75" i="23"/>
  <c r="W252" i="16"/>
  <c r="CY252" i="16"/>
  <c r="V252" i="16"/>
  <c r="W435" i="16"/>
  <c r="CY435" i="16"/>
  <c r="V435" i="16"/>
  <c r="V359" i="16"/>
  <c r="CY359" i="16"/>
  <c r="W359" i="16"/>
  <c r="J131" i="23"/>
  <c r="J137" i="23"/>
  <c r="J130" i="23"/>
  <c r="J132" i="23"/>
  <c r="E109" i="23"/>
  <c r="E106" i="23"/>
  <c r="E93" i="23"/>
  <c r="AL93" i="23"/>
  <c r="AL98" i="23"/>
  <c r="AL95" i="23"/>
  <c r="AL76" i="23"/>
  <c r="AI106" i="23"/>
  <c r="AI109" i="23"/>
  <c r="L92" i="24"/>
  <c r="V231" i="16"/>
  <c r="CY231" i="16"/>
  <c r="W231" i="16"/>
  <c r="AS112" i="23"/>
  <c r="T107" i="24"/>
  <c r="AU68" i="24"/>
  <c r="AU67" i="24"/>
  <c r="AU133" i="24"/>
  <c r="H98" i="23"/>
  <c r="H95" i="23"/>
  <c r="H76" i="23"/>
  <c r="W463" i="16"/>
  <c r="CY463" i="16"/>
  <c r="V463" i="16"/>
  <c r="W433" i="16"/>
  <c r="CY433" i="16"/>
  <c r="V433" i="16"/>
  <c r="W493" i="16"/>
  <c r="CY493" i="16"/>
  <c r="V493" i="16"/>
  <c r="AV112" i="23"/>
  <c r="W107" i="24"/>
  <c r="W344" i="16"/>
  <c r="CY344" i="16"/>
  <c r="V344" i="16"/>
  <c r="V50" i="16"/>
  <c r="CY50" i="16"/>
  <c r="W50" i="16"/>
  <c r="W75" i="16"/>
  <c r="CY75" i="16"/>
  <c r="V75" i="16"/>
  <c r="AH88" i="24"/>
  <c r="AH89" i="24"/>
  <c r="AI136" i="23"/>
  <c r="AH103" i="24"/>
  <c r="AH98" i="24"/>
  <c r="AH124" i="24"/>
  <c r="V253" i="16"/>
  <c r="CY253" i="16"/>
  <c r="W253" i="16"/>
  <c r="W343" i="16"/>
  <c r="CY343" i="16"/>
  <c r="V343" i="16"/>
  <c r="AL92" i="24"/>
  <c r="AA92" i="24"/>
  <c r="C109" i="23"/>
  <c r="C106" i="23"/>
  <c r="C93" i="23"/>
  <c r="B93" i="23"/>
  <c r="S93" i="23"/>
  <c r="S106" i="23"/>
  <c r="S109" i="23"/>
  <c r="F92" i="24"/>
  <c r="V166" i="16"/>
  <c r="CY166" i="16"/>
  <c r="W166" i="16"/>
  <c r="V111" i="16"/>
  <c r="CY111" i="16"/>
  <c r="W111" i="16"/>
  <c r="P92" i="24"/>
  <c r="AK76" i="23"/>
  <c r="AK98" i="23"/>
  <c r="AK95" i="23"/>
  <c r="AK93" i="23"/>
  <c r="W180" i="16"/>
  <c r="CY180" i="16"/>
  <c r="V180" i="16"/>
  <c r="W319" i="16"/>
  <c r="CY319" i="16"/>
  <c r="V319" i="16"/>
  <c r="AN92" i="24"/>
  <c r="W117" i="16"/>
  <c r="CY117" i="16"/>
  <c r="V117" i="16"/>
  <c r="V104" i="16"/>
  <c r="CY104" i="16"/>
  <c r="W104" i="16"/>
  <c r="AU88" i="24"/>
  <c r="AU124" i="24"/>
  <c r="AU89" i="24"/>
  <c r="AU103" i="24"/>
  <c r="AU98" i="24"/>
  <c r="AV136" i="23"/>
  <c r="AJ88" i="24"/>
  <c r="AK136" i="23"/>
  <c r="AJ89" i="24"/>
  <c r="AJ124" i="24"/>
  <c r="AM92" i="24"/>
  <c r="AR75" i="23"/>
  <c r="AR74" i="23"/>
  <c r="AT106" i="23"/>
  <c r="AT109" i="23"/>
  <c r="V352" i="16"/>
  <c r="CY352" i="16"/>
  <c r="W352" i="16"/>
  <c r="M111" i="24"/>
  <c r="M116" i="24"/>
  <c r="AU111" i="24"/>
  <c r="AU116" i="24"/>
  <c r="E75" i="23"/>
  <c r="E74" i="23"/>
  <c r="K92" i="24"/>
  <c r="W174" i="16"/>
  <c r="CY174" i="16"/>
  <c r="V174" i="16"/>
  <c r="W486" i="16"/>
  <c r="CY486" i="16"/>
  <c r="V486" i="16"/>
  <c r="AA112" i="23"/>
  <c r="B107" i="24"/>
  <c r="I111" i="24"/>
  <c r="I116" i="24"/>
  <c r="W475" i="16"/>
  <c r="CY475" i="16"/>
  <c r="V475" i="16"/>
  <c r="AQ112" i="23"/>
  <c r="R107" i="24"/>
  <c r="AN112" i="23"/>
  <c r="O107" i="24"/>
  <c r="W120" i="16"/>
  <c r="CY120" i="16"/>
  <c r="V120" i="16"/>
  <c r="V91" i="16"/>
  <c r="CY91" i="16"/>
  <c r="W91" i="16"/>
  <c r="E98" i="23"/>
  <c r="E95" i="23"/>
  <c r="E76" i="23"/>
  <c r="AO106" i="23"/>
  <c r="AO109" i="23"/>
  <c r="V135" i="16"/>
  <c r="CY135" i="16"/>
  <c r="W135" i="16"/>
  <c r="W84" i="16"/>
  <c r="CY84" i="16"/>
  <c r="V84" i="16"/>
  <c r="W93" i="23"/>
  <c r="W106" i="23"/>
  <c r="W109" i="23"/>
  <c r="W354" i="16"/>
  <c r="CY354" i="16"/>
  <c r="V354" i="16"/>
  <c r="AB75" i="23"/>
  <c r="AB74" i="23"/>
  <c r="W177" i="16"/>
  <c r="CY177" i="16"/>
  <c r="V177" i="16"/>
  <c r="W200" i="16"/>
  <c r="CY200" i="16"/>
  <c r="V200" i="16"/>
  <c r="AC112" i="23"/>
  <c r="D107" i="24"/>
  <c r="W477" i="16"/>
  <c r="CY477" i="16"/>
  <c r="V477" i="16"/>
  <c r="P111" i="24"/>
  <c r="P116" i="24"/>
  <c r="W128" i="16"/>
  <c r="CY128" i="16"/>
  <c r="V128" i="16"/>
  <c r="AQ93" i="23"/>
  <c r="AQ98" i="23"/>
  <c r="AQ95" i="23"/>
  <c r="AQ76" i="23"/>
  <c r="O98" i="23"/>
  <c r="O95" i="23"/>
  <c r="O74" i="23"/>
  <c r="O75" i="23"/>
  <c r="V440" i="16"/>
  <c r="CY440" i="16"/>
  <c r="W440" i="16"/>
  <c r="W276" i="16"/>
  <c r="CY276" i="16"/>
  <c r="V276" i="16"/>
  <c r="V385" i="16"/>
  <c r="CY385" i="16"/>
  <c r="W385" i="16"/>
  <c r="V87" i="16"/>
  <c r="CY87" i="16"/>
  <c r="W87" i="16"/>
  <c r="T132" i="23"/>
  <c r="T137" i="23"/>
  <c r="T130" i="23"/>
  <c r="T131" i="23"/>
  <c r="N136" i="23"/>
  <c r="M89" i="24"/>
  <c r="M88" i="24"/>
  <c r="M124" i="24"/>
  <c r="AH131" i="23"/>
  <c r="AH137" i="23"/>
  <c r="AH130" i="23"/>
  <c r="AH132" i="23"/>
  <c r="AQ106" i="23"/>
  <c r="AQ109" i="23"/>
  <c r="W90" i="16"/>
  <c r="CY90" i="16"/>
  <c r="V90" i="16"/>
  <c r="E124" i="24"/>
  <c r="E89" i="24"/>
  <c r="E88" i="24"/>
  <c r="F136" i="23"/>
  <c r="AI132" i="23"/>
  <c r="AI137" i="23"/>
  <c r="AI130" i="23"/>
  <c r="AI131" i="23"/>
  <c r="G111" i="24"/>
  <c r="G116" i="24"/>
  <c r="M131" i="23"/>
  <c r="M137" i="23"/>
  <c r="M130" i="23"/>
  <c r="M132" i="23"/>
  <c r="W203" i="16"/>
  <c r="CY203" i="16"/>
  <c r="V203" i="16"/>
  <c r="AA124" i="24"/>
  <c r="AA88" i="24"/>
  <c r="AA89" i="24"/>
  <c r="AB136" i="23"/>
  <c r="Y93" i="23"/>
  <c r="Y98" i="23"/>
  <c r="Y95" i="23"/>
  <c r="Y76" i="23"/>
  <c r="W428" i="16"/>
  <c r="CY428" i="16"/>
  <c r="V428" i="16"/>
  <c r="V51" i="16"/>
  <c r="CY51" i="16"/>
  <c r="W51" i="16"/>
  <c r="AA132" i="23"/>
  <c r="AA137" i="23"/>
  <c r="AA130" i="23"/>
  <c r="AA131" i="23"/>
  <c r="AA76" i="23"/>
  <c r="AA98" i="23"/>
  <c r="AA95" i="23"/>
  <c r="AA93" i="23"/>
  <c r="U98" i="23"/>
  <c r="U95" i="23"/>
  <c r="U74" i="23"/>
  <c r="U75" i="23"/>
  <c r="V465" i="16"/>
  <c r="CY465" i="16"/>
  <c r="W465" i="16"/>
  <c r="R89" i="24"/>
  <c r="R124" i="24"/>
  <c r="S136" i="23"/>
  <c r="R103" i="24"/>
  <c r="R98" i="24"/>
  <c r="R88" i="24"/>
  <c r="V368" i="16"/>
  <c r="CY368" i="16"/>
  <c r="W368" i="16"/>
  <c r="V161" i="16"/>
  <c r="CY161" i="16"/>
  <c r="W161" i="16"/>
  <c r="T109" i="23"/>
  <c r="T106" i="23"/>
  <c r="T93" i="23"/>
  <c r="V115" i="16"/>
  <c r="CY115" i="16"/>
  <c r="W115" i="16"/>
  <c r="W72" i="16"/>
  <c r="CY72" i="16"/>
  <c r="V72" i="16"/>
  <c r="V80" i="16"/>
  <c r="CY80" i="16"/>
  <c r="W80" i="16"/>
  <c r="V194" i="16"/>
  <c r="CY194" i="16"/>
  <c r="W194" i="16"/>
  <c r="V264" i="16"/>
  <c r="CY264" i="16"/>
  <c r="W264" i="16"/>
  <c r="K76" i="23"/>
  <c r="E133" i="24"/>
  <c r="E103" i="24"/>
  <c r="E98" i="24"/>
  <c r="E67" i="24"/>
  <c r="E68" i="24"/>
  <c r="V470" i="16"/>
  <c r="CY470" i="16"/>
  <c r="W470" i="16"/>
  <c r="AN75" i="23"/>
  <c r="AN74" i="23"/>
  <c r="B131" i="23"/>
  <c r="C131" i="23"/>
  <c r="AP94" i="24"/>
  <c r="AQ94" i="24"/>
  <c r="AQ92" i="24"/>
  <c r="K132" i="23"/>
  <c r="K137" i="23"/>
  <c r="K130" i="23"/>
  <c r="K131" i="23"/>
  <c r="B88" i="24"/>
  <c r="B124" i="24"/>
  <c r="B89" i="24"/>
  <c r="AB93" i="23"/>
  <c r="AB98" i="23"/>
  <c r="AB95" i="23"/>
  <c r="AB76" i="23"/>
  <c r="W165" i="16"/>
  <c r="CY165" i="16"/>
  <c r="V165" i="16"/>
  <c r="K98" i="23"/>
  <c r="K95" i="23"/>
  <c r="K74" i="23"/>
  <c r="K75" i="23"/>
  <c r="V478" i="16"/>
  <c r="CY478" i="16"/>
  <c r="W478" i="16"/>
  <c r="N93" i="23"/>
  <c r="N106" i="23"/>
  <c r="N109" i="23"/>
  <c r="V476" i="16"/>
  <c r="CY476" i="16"/>
  <c r="W476" i="16"/>
  <c r="AO68" i="24"/>
  <c r="AO67" i="24"/>
  <c r="AO133" i="24"/>
  <c r="W142" i="16"/>
  <c r="CY142" i="16"/>
  <c r="V142" i="16"/>
  <c r="V504" i="16"/>
  <c r="CY504" i="16"/>
  <c r="W504" i="16"/>
  <c r="W460" i="16"/>
  <c r="CY460" i="16"/>
  <c r="V460" i="16"/>
  <c r="W484" i="16"/>
  <c r="CY484" i="16"/>
  <c r="V484" i="16"/>
  <c r="AT111" i="24"/>
  <c r="AT116" i="24"/>
  <c r="W441" i="16"/>
  <c r="CY441" i="16"/>
  <c r="V441" i="16"/>
  <c r="W83" i="16"/>
  <c r="CY83" i="16"/>
  <c r="V83" i="16"/>
  <c r="AM111" i="24"/>
  <c r="AM116" i="24"/>
  <c r="V95" i="16"/>
  <c r="CY95" i="16"/>
  <c r="W95" i="16"/>
  <c r="O111" i="24"/>
  <c r="O116" i="24"/>
  <c r="V225" i="16"/>
  <c r="CY225" i="16"/>
  <c r="W225" i="16"/>
  <c r="V99" i="16"/>
  <c r="CY99" i="16"/>
  <c r="W99" i="16"/>
  <c r="U111" i="24"/>
  <c r="U116" i="24"/>
  <c r="N92" i="24"/>
  <c r="W156" i="16"/>
  <c r="CY156" i="16"/>
  <c r="V156" i="16"/>
  <c r="V292" i="16"/>
  <c r="CY292" i="16"/>
  <c r="W292" i="16"/>
  <c r="AF131" i="23"/>
  <c r="AF137" i="23"/>
  <c r="AF130" i="23"/>
  <c r="AF132" i="23"/>
  <c r="AE89" i="24"/>
  <c r="AE124" i="24"/>
  <c r="AF136" i="23"/>
  <c r="AE103" i="24"/>
  <c r="AE98" i="24"/>
  <c r="AE88" i="24"/>
  <c r="AS106" i="23"/>
  <c r="AS109" i="23"/>
  <c r="W267" i="16"/>
  <c r="CY267" i="16"/>
  <c r="V267" i="16"/>
  <c r="W462" i="16"/>
  <c r="CY462" i="16"/>
  <c r="V462" i="16"/>
  <c r="S88" i="24"/>
  <c r="T136" i="23"/>
  <c r="S124" i="24"/>
  <c r="S89" i="24"/>
  <c r="AG88" i="24"/>
  <c r="AG124" i="24"/>
  <c r="AH136" i="23"/>
  <c r="AG103" i="24"/>
  <c r="AG98" i="24"/>
  <c r="AG89" i="24"/>
  <c r="W337" i="16"/>
  <c r="CY337" i="16"/>
  <c r="V337" i="16"/>
  <c r="W516" i="16"/>
  <c r="CY516" i="16"/>
  <c r="V516" i="16"/>
  <c r="V232" i="16"/>
  <c r="CY232" i="16"/>
  <c r="W232" i="16"/>
  <c r="W374" i="16"/>
  <c r="CY374" i="16"/>
  <c r="V374" i="16"/>
  <c r="W418" i="16"/>
  <c r="CY418" i="16"/>
  <c r="V418" i="16"/>
  <c r="W86" i="16"/>
  <c r="CY86" i="16"/>
  <c r="V86" i="16"/>
  <c r="V502" i="16"/>
  <c r="CY502" i="16"/>
  <c r="W502" i="16"/>
  <c r="W122" i="16"/>
  <c r="CY122" i="16"/>
  <c r="V122" i="16"/>
  <c r="V467" i="16"/>
  <c r="CY467" i="16"/>
  <c r="W467" i="16"/>
  <c r="W509" i="16"/>
  <c r="CY509" i="16"/>
  <c r="V509" i="16"/>
  <c r="V69" i="16"/>
  <c r="CY69" i="16"/>
  <c r="W69" i="16"/>
  <c r="W349" i="16"/>
  <c r="CY349" i="16"/>
  <c r="V349" i="16"/>
  <c r="V275" i="16"/>
  <c r="CY275" i="16"/>
  <c r="W275" i="16"/>
  <c r="V314" i="16"/>
  <c r="CY314" i="16"/>
  <c r="W314" i="16"/>
  <c r="V355" i="16"/>
  <c r="CY355" i="16"/>
  <c r="W355" i="16"/>
  <c r="W408" i="16"/>
  <c r="CY408" i="16"/>
  <c r="V408" i="16"/>
  <c r="AJ111" i="24"/>
  <c r="AJ116" i="24"/>
  <c r="W335" i="16"/>
  <c r="CY335" i="16"/>
  <c r="V335" i="16"/>
  <c r="AT112" i="23"/>
  <c r="U107" i="24"/>
  <c r="AE106" i="23"/>
  <c r="AE109" i="23"/>
  <c r="V511" i="16"/>
  <c r="CY511" i="16"/>
  <c r="W511" i="16"/>
  <c r="W127" i="16"/>
  <c r="CY127" i="16"/>
  <c r="V127" i="16"/>
  <c r="K93" i="23"/>
  <c r="K106" i="23"/>
  <c r="K109" i="23"/>
  <c r="V491" i="16"/>
  <c r="CY491" i="16"/>
  <c r="W491" i="16"/>
  <c r="W298" i="16"/>
  <c r="CY298" i="16"/>
  <c r="V298" i="16"/>
  <c r="AJ92" i="24"/>
  <c r="AC92" i="24"/>
  <c r="V456" i="16"/>
  <c r="CY456" i="16"/>
  <c r="W456" i="16"/>
  <c r="AD75" i="23"/>
  <c r="AD74" i="23"/>
  <c r="V376" i="16"/>
  <c r="CY376" i="16"/>
  <c r="W376" i="16"/>
  <c r="I92" i="24"/>
  <c r="Q92" i="24"/>
  <c r="V182" i="16"/>
  <c r="CY182" i="16"/>
  <c r="W182" i="16"/>
  <c r="V414" i="16"/>
  <c r="CY414" i="16"/>
  <c r="W414" i="16"/>
  <c r="AP89" i="24"/>
  <c r="AP88" i="24"/>
  <c r="AP124" i="24"/>
  <c r="AQ136" i="23"/>
  <c r="V248" i="16"/>
  <c r="CY248" i="16"/>
  <c r="W248" i="16"/>
  <c r="V217" i="16"/>
  <c r="CY217" i="16"/>
  <c r="W217" i="16"/>
  <c r="V236" i="16"/>
  <c r="CY236" i="16"/>
  <c r="W236" i="16"/>
  <c r="AV106" i="23"/>
  <c r="AV109" i="23"/>
  <c r="V384" i="16"/>
  <c r="CY384" i="16"/>
  <c r="W384" i="16"/>
  <c r="V126" i="16"/>
  <c r="CY126" i="16"/>
  <c r="W126" i="16"/>
  <c r="V395" i="16"/>
  <c r="CY395" i="16"/>
  <c r="W395" i="16"/>
  <c r="B91" i="23"/>
  <c r="V348" i="16"/>
  <c r="CY348" i="16"/>
  <c r="W348" i="16"/>
  <c r="V379" i="16"/>
  <c r="CY379" i="16"/>
  <c r="W379" i="16"/>
  <c r="W92" i="16"/>
  <c r="CY92" i="16"/>
  <c r="V92" i="16"/>
  <c r="V64" i="16"/>
  <c r="CY64" i="16"/>
  <c r="W64" i="16"/>
  <c r="V394" i="16"/>
  <c r="CY394" i="16"/>
  <c r="W394" i="16"/>
  <c r="L111" i="24"/>
  <c r="L116" i="24"/>
  <c r="N111" i="24"/>
  <c r="N116" i="24"/>
  <c r="X106" i="23"/>
  <c r="X109" i="23"/>
  <c r="Z106" i="23"/>
  <c r="Z109" i="23"/>
  <c r="M68" i="24"/>
  <c r="M103" i="24"/>
  <c r="M98" i="24"/>
  <c r="M67" i="24"/>
  <c r="M133" i="24"/>
  <c r="W97" i="16"/>
  <c r="CY97" i="16"/>
  <c r="V97" i="16"/>
  <c r="AS133" i="24"/>
  <c r="AS67" i="24"/>
  <c r="AS68" i="24"/>
  <c r="V257" i="16"/>
  <c r="CY257" i="16"/>
  <c r="W257" i="16"/>
  <c r="W488" i="16"/>
  <c r="CY488" i="16"/>
  <c r="V488" i="16"/>
  <c r="AF111" i="24"/>
  <c r="AF116" i="24"/>
  <c r="W494" i="16"/>
  <c r="CY494" i="16"/>
  <c r="V494" i="16"/>
  <c r="D133" i="24"/>
  <c r="D67" i="24"/>
  <c r="D68" i="24"/>
  <c r="V464" i="16"/>
  <c r="CY464" i="16"/>
  <c r="W464" i="16"/>
  <c r="V329" i="16"/>
  <c r="CY329" i="16"/>
  <c r="W329" i="16"/>
  <c r="M98" i="23"/>
  <c r="M95" i="23"/>
  <c r="M76" i="23"/>
  <c r="X92" i="24"/>
  <c r="U133" i="24"/>
  <c r="U67" i="24"/>
  <c r="U68" i="24"/>
  <c r="V377" i="16"/>
  <c r="CY377" i="16"/>
  <c r="W377" i="16"/>
  <c r="V222" i="16"/>
  <c r="CY222" i="16"/>
  <c r="W222" i="16"/>
  <c r="T76" i="23"/>
  <c r="V133" i="16"/>
  <c r="CY133" i="16"/>
  <c r="W133" i="16"/>
  <c r="V98" i="16"/>
  <c r="CY98" i="16"/>
  <c r="W98" i="16"/>
  <c r="V186" i="16"/>
  <c r="CY186" i="16"/>
  <c r="W186" i="16"/>
  <c r="I124" i="24"/>
  <c r="J136" i="23"/>
  <c r="I88" i="24"/>
  <c r="I89" i="24"/>
  <c r="V132" i="16"/>
  <c r="CY132" i="16"/>
  <c r="W132" i="16"/>
  <c r="AD112" i="23"/>
  <c r="E107" i="24"/>
  <c r="W514" i="16"/>
  <c r="CY514" i="16"/>
  <c r="V514" i="16"/>
  <c r="W457" i="16"/>
  <c r="CY457" i="16"/>
  <c r="V457" i="16"/>
  <c r="V187" i="16"/>
  <c r="CY187" i="16"/>
  <c r="W187" i="16"/>
  <c r="AG106" i="23"/>
  <c r="AG109" i="23"/>
  <c r="AH106" i="23"/>
  <c r="AH109" i="23"/>
  <c r="X75" i="23"/>
  <c r="X74" i="23"/>
  <c r="V261" i="16"/>
  <c r="CY261" i="16"/>
  <c r="W261" i="16"/>
  <c r="V108" i="16"/>
  <c r="CY108" i="16"/>
  <c r="W108" i="16"/>
  <c r="W229" i="16"/>
  <c r="CY229" i="16"/>
  <c r="V229" i="16"/>
  <c r="AF117" i="24"/>
  <c r="R110" i="23"/>
  <c r="AB117" i="24"/>
  <c r="AR121" i="24"/>
  <c r="AN104" i="24"/>
  <c r="P104" i="24"/>
  <c r="AN114" i="23"/>
  <c r="T84" i="24"/>
  <c r="AD104" i="24"/>
  <c r="AG104" i="24"/>
  <c r="W84" i="24"/>
  <c r="AC108" i="24"/>
  <c r="V84" i="24"/>
  <c r="AR117" i="24"/>
  <c r="D117" i="24"/>
  <c r="AV114" i="23"/>
  <c r="E108" i="24"/>
  <c r="AI84" i="24"/>
  <c r="Z84" i="24"/>
  <c r="E104" i="24"/>
  <c r="AM114" i="23"/>
  <c r="AH121" i="24"/>
  <c r="H117" i="24"/>
  <c r="AM121" i="24"/>
  <c r="X110" i="23"/>
  <c r="R121" i="24"/>
  <c r="AS104" i="24"/>
  <c r="V117" i="24"/>
  <c r="H121" i="24"/>
  <c r="G114" i="23"/>
  <c r="AD108" i="24"/>
  <c r="Q114" i="23"/>
  <c r="AT110" i="23"/>
  <c r="O104" i="24"/>
  <c r="AT114" i="23"/>
  <c r="AU104" i="24"/>
  <c r="F108" i="24"/>
  <c r="AO114" i="23"/>
  <c r="AO84" i="24"/>
  <c r="AA121" i="24"/>
  <c r="L114" i="23"/>
  <c r="S104" i="24"/>
  <c r="Y110" i="23"/>
  <c r="S110" i="23"/>
  <c r="Y104" i="24"/>
  <c r="L121" i="24"/>
  <c r="Z114" i="23"/>
  <c r="AN108" i="24"/>
  <c r="AM108" i="24"/>
  <c r="L84" i="24"/>
  <c r="AO110" i="23"/>
  <c r="AQ117" i="24"/>
  <c r="AS110" i="23"/>
  <c r="Q104" i="24"/>
  <c r="AP114" i="23"/>
  <c r="AK110" i="23"/>
  <c r="R114" i="23"/>
  <c r="G121" i="24"/>
  <c r="Y117" i="24"/>
  <c r="K110" i="23"/>
  <c r="P110" i="23"/>
  <c r="X121" i="24"/>
  <c r="D110" i="23"/>
  <c r="AI121" i="24"/>
  <c r="AC121" i="24"/>
  <c r="U114" i="23"/>
  <c r="J114" i="23"/>
  <c r="AG117" i="24"/>
  <c r="AI104" i="24"/>
  <c r="Y108" i="24"/>
  <c r="I117" i="24"/>
  <c r="AM117" i="24"/>
  <c r="AF84" i="24"/>
  <c r="V110" i="23"/>
  <c r="U104" i="24"/>
  <c r="M117" i="24"/>
  <c r="AO121" i="24"/>
  <c r="AS121" i="24"/>
  <c r="T108" i="24"/>
  <c r="AC104" i="24"/>
  <c r="F104" i="24"/>
  <c r="AP84" i="24"/>
  <c r="F84" i="24"/>
  <c r="AA114" i="23"/>
  <c r="J117" i="24"/>
  <c r="AU110" i="23"/>
  <c r="AV110" i="23"/>
  <c r="AH114" i="23"/>
  <c r="AN121" i="24"/>
  <c r="AA110" i="23"/>
  <c r="V121" i="24"/>
  <c r="AC110" i="23"/>
  <c r="C121" i="24"/>
  <c r="Y121" i="24"/>
  <c r="P108" i="24"/>
  <c r="G117" i="24"/>
  <c r="AQ104" i="24"/>
  <c r="Q121" i="24"/>
  <c r="C104" i="24"/>
  <c r="AM110" i="23"/>
  <c r="Z121" i="24"/>
  <c r="AG110" i="23"/>
  <c r="I104" i="24"/>
  <c r="I110" i="23"/>
  <c r="AN110" i="23"/>
  <c r="U110" i="23"/>
  <c r="I114" i="23"/>
  <c r="AD114" i="23"/>
  <c r="S121" i="24"/>
  <c r="AB110" i="23"/>
  <c r="S117" i="24"/>
  <c r="O108" i="24"/>
  <c r="AB108" i="24"/>
  <c r="AF114" i="23"/>
  <c r="F114" i="23"/>
  <c r="AD110" i="23"/>
  <c r="X117" i="24"/>
  <c r="AR84" i="24"/>
  <c r="AA117" i="24"/>
  <c r="AU121" i="24"/>
  <c r="Q110" i="23"/>
  <c r="AQ84" i="24"/>
  <c r="AI110" i="23"/>
  <c r="H110" i="23"/>
  <c r="T117" i="24"/>
  <c r="P84" i="24"/>
  <c r="H114" i="23"/>
  <c r="AN117" i="24"/>
  <c r="AD117" i="24"/>
  <c r="AO108" i="24"/>
  <c r="G108" i="24"/>
  <c r="K117" i="24"/>
  <c r="T114" i="23"/>
  <c r="P117" i="24"/>
  <c r="AP117" i="24"/>
  <c r="E117" i="24"/>
  <c r="K114" i="23"/>
  <c r="AQ110" i="23"/>
  <c r="C117" i="24"/>
  <c r="M108" i="24"/>
  <c r="AU108" i="24"/>
  <c r="AH110" i="23"/>
  <c r="M110" i="23"/>
  <c r="F121" i="24"/>
  <c r="I121" i="24"/>
  <c r="AT104" i="24"/>
  <c r="J84" i="24"/>
  <c r="M121" i="24"/>
  <c r="AB104" i="24"/>
  <c r="AK104" i="24"/>
  <c r="E121" i="24"/>
  <c r="AE110" i="23"/>
  <c r="AH117" i="24"/>
  <c r="AP108" i="24"/>
  <c r="AR104" i="24"/>
  <c r="AQ121" i="24"/>
  <c r="AS84" i="24"/>
  <c r="L110" i="23"/>
  <c r="AR110" i="23"/>
  <c r="AJ84" i="24"/>
  <c r="AE108" i="24"/>
  <c r="AG114" i="23"/>
  <c r="AL114" i="23"/>
  <c r="M114" i="23"/>
  <c r="AQ108" i="24"/>
  <c r="AC114" i="23"/>
  <c r="Y84" i="24"/>
  <c r="AN84" i="24"/>
  <c r="F110" i="23"/>
  <c r="AJ121" i="24"/>
  <c r="AP110" i="23"/>
  <c r="AQ114" i="23"/>
  <c r="AL108" i="24"/>
  <c r="X114" i="23"/>
  <c r="R117" i="24"/>
  <c r="T104" i="24"/>
  <c r="N84" i="24"/>
  <c r="AR108" i="24"/>
  <c r="AC117" i="24"/>
  <c r="W108" i="24"/>
  <c r="L104" i="24"/>
  <c r="K84" i="24"/>
  <c r="W104" i="24"/>
  <c r="Q84" i="24"/>
  <c r="AJ114" i="23"/>
  <c r="AK121" i="24"/>
  <c r="D84" i="24"/>
  <c r="AS114" i="23"/>
  <c r="J104" i="24"/>
  <c r="G110" i="23"/>
  <c r="AS117" i="24"/>
  <c r="P114" i="23"/>
  <c r="AH104" i="24"/>
  <c r="AO104" i="24"/>
  <c r="G104" i="24"/>
  <c r="B117" i="24"/>
  <c r="AA104" i="24"/>
  <c r="X108" i="24"/>
  <c r="R84" i="24"/>
  <c r="AD84" i="24"/>
  <c r="C84" i="24"/>
  <c r="V114" i="23"/>
  <c r="O117" i="24"/>
  <c r="AM84" i="24"/>
  <c r="Y114" i="23"/>
  <c r="E110" i="23"/>
  <c r="Q108" i="24"/>
  <c r="T121" i="24"/>
  <c r="G84" i="24"/>
  <c r="AB114" i="23"/>
  <c r="AL84" i="24"/>
  <c r="C108" i="24"/>
  <c r="AE104" i="24"/>
  <c r="AK108" i="24"/>
  <c r="AI114" i="23"/>
  <c r="AH108" i="24"/>
  <c r="N110" i="23"/>
  <c r="AA108" i="24"/>
  <c r="B108" i="24"/>
  <c r="N117" i="24"/>
  <c r="L108" i="24"/>
  <c r="V108" i="24"/>
  <c r="K104" i="24"/>
  <c r="M84" i="24"/>
  <c r="AJ104" i="24"/>
  <c r="AB121" i="24"/>
  <c r="AU84" i="24"/>
  <c r="AH84" i="24"/>
  <c r="AM104" i="24"/>
  <c r="O121" i="24"/>
  <c r="AO117" i="24"/>
  <c r="AB84" i="24"/>
  <c r="R104" i="24"/>
  <c r="B121" i="24"/>
  <c r="AC84" i="24"/>
  <c r="AT117" i="24"/>
  <c r="AA84" i="24"/>
  <c r="U84" i="24"/>
  <c r="F117" i="24"/>
  <c r="B104" i="24"/>
  <c r="D114" i="23"/>
  <c r="AT108" i="24"/>
  <c r="AU114" i="23"/>
  <c r="E84" i="24"/>
  <c r="X84" i="24"/>
  <c r="S84" i="24"/>
  <c r="AG121" i="24"/>
  <c r="AT84" i="24"/>
  <c r="S114" i="23"/>
  <c r="V104" i="24"/>
  <c r="D121" i="24"/>
  <c r="I108" i="24"/>
  <c r="AJ110" i="23"/>
  <c r="S108" i="24"/>
  <c r="AL121" i="24"/>
  <c r="W114" i="23"/>
  <c r="AF121" i="24"/>
  <c r="AE114" i="23"/>
  <c r="AL117" i="24"/>
  <c r="B84" i="24"/>
  <c r="AG108" i="24"/>
  <c r="U108" i="24"/>
  <c r="AL104" i="24"/>
  <c r="W121" i="24"/>
  <c r="AF110" i="23"/>
  <c r="AU117" i="24"/>
  <c r="AK114" i="23"/>
  <c r="O114" i="23"/>
  <c r="AP104" i="24"/>
  <c r="N114" i="23"/>
  <c r="C110" i="23"/>
  <c r="W110" i="23"/>
  <c r="Z108" i="24"/>
  <c r="AG84" i="24"/>
  <c r="AF108" i="24"/>
  <c r="J108" i="24"/>
  <c r="AL110" i="23"/>
  <c r="U117" i="24"/>
  <c r="AK84" i="24"/>
  <c r="W117" i="24"/>
  <c r="AR114" i="23"/>
  <c r="AS108" i="24"/>
  <c r="C114" i="23"/>
  <c r="N121" i="24"/>
  <c r="J110" i="23"/>
  <c r="AJ117" i="24"/>
  <c r="P121" i="24"/>
  <c r="AT121" i="24"/>
  <c r="AP121" i="24"/>
  <c r="O84" i="24"/>
  <c r="X104" i="24"/>
  <c r="O110" i="23"/>
  <c r="AI117" i="24"/>
  <c r="J121" i="24"/>
  <c r="N108" i="24"/>
  <c r="L117" i="24"/>
  <c r="AI108" i="24"/>
  <c r="D108" i="24"/>
  <c r="Z110" i="23"/>
  <c r="R108" i="24"/>
  <c r="I84" i="24"/>
  <c r="N104" i="24"/>
  <c r="K121" i="24"/>
  <c r="E114" i="23"/>
  <c r="AJ108" i="24"/>
  <c r="T110" i="23"/>
  <c r="Z104" i="24"/>
  <c r="D104" i="24"/>
  <c r="AD121" i="24"/>
  <c r="AE84" i="24"/>
  <c r="M104" i="24"/>
  <c r="AE117" i="24"/>
  <c r="H84" i="24"/>
  <c r="AF104" i="24"/>
  <c r="AK117" i="24"/>
  <c r="AE121" i="24"/>
  <c r="U121" i="24"/>
  <c r="Z117" i="24"/>
  <c r="H108" i="24"/>
  <c r="Q117" i="24"/>
  <c r="H104" i="24"/>
  <c r="K108" i="24"/>
  <c r="W247" i="16"/>
  <c r="CY247" i="16"/>
  <c r="V247" i="16"/>
  <c r="B135" i="23"/>
  <c r="B103" i="24"/>
  <c r="B98" i="24"/>
  <c r="C136" i="23"/>
  <c r="B136" i="23"/>
  <c r="W140" i="16"/>
  <c r="CY140" i="16"/>
  <c r="V140" i="16"/>
  <c r="V202" i="16"/>
  <c r="CY202" i="16"/>
  <c r="W202" i="16"/>
  <c r="V480" i="16"/>
  <c r="CY480" i="16"/>
  <c r="W480" i="16"/>
  <c r="AU132" i="23"/>
  <c r="AU137" i="23"/>
  <c r="AU130" i="23"/>
  <c r="AU131" i="23"/>
  <c r="W238" i="16"/>
  <c r="CY238" i="16"/>
  <c r="V238" i="16"/>
  <c r="AH75" i="23"/>
  <c r="AH74" i="23"/>
  <c r="J92" i="24"/>
  <c r="W415" i="16"/>
  <c r="CY415" i="16"/>
  <c r="V415" i="16"/>
  <c r="AP68" i="24"/>
  <c r="AP103" i="24"/>
  <c r="AP98" i="24"/>
  <c r="AP67" i="24"/>
  <c r="AP133" i="24"/>
  <c r="W172" i="16"/>
  <c r="CY172" i="16"/>
  <c r="V172" i="16"/>
  <c r="V88" i="16"/>
  <c r="CY88" i="16"/>
  <c r="W88" i="16"/>
  <c r="W234" i="16"/>
  <c r="CY234" i="16"/>
  <c r="V234" i="16"/>
  <c r="I133" i="24"/>
  <c r="I103" i="24"/>
  <c r="I98" i="24"/>
  <c r="I67" i="24"/>
  <c r="I68" i="24"/>
  <c r="W278" i="16"/>
  <c r="CY278" i="16"/>
  <c r="V278" i="16"/>
  <c r="V362" i="16"/>
  <c r="CY362" i="16"/>
  <c r="W362" i="16"/>
  <c r="AK131" i="23"/>
  <c r="AK137" i="23"/>
  <c r="AK130" i="23"/>
  <c r="AK132" i="23"/>
  <c r="W210" i="16"/>
  <c r="CY210" i="16"/>
  <c r="V210" i="16"/>
  <c r="W129" i="16"/>
  <c r="CY129" i="16"/>
  <c r="V129" i="16"/>
  <c r="AL94" i="24"/>
  <c r="AM94" i="24"/>
  <c r="AN94" i="24"/>
  <c r="AO94" i="24"/>
  <c r="AO92" i="24"/>
  <c r="V164" i="16"/>
  <c r="CY164" i="16"/>
  <c r="W164" i="16"/>
  <c r="V271" i="16"/>
  <c r="CY271" i="16"/>
  <c r="W271" i="16"/>
  <c r="V249" i="16"/>
  <c r="CY249" i="16"/>
  <c r="W249" i="16"/>
  <c r="V258" i="16"/>
  <c r="CY258" i="16"/>
  <c r="W258" i="16"/>
  <c r="V68" i="16"/>
  <c r="CY68" i="16"/>
  <c r="W68" i="16"/>
  <c r="AG111" i="24"/>
  <c r="AG116" i="24"/>
  <c r="W357" i="16"/>
  <c r="CY357" i="16"/>
  <c r="V357" i="16"/>
  <c r="W512" i="16"/>
  <c r="CY512" i="16"/>
  <c r="V512" i="16"/>
  <c r="V386" i="16"/>
  <c r="CY386" i="16"/>
  <c r="W386" i="16"/>
  <c r="W67" i="16"/>
  <c r="CY67" i="16"/>
  <c r="V67" i="16"/>
  <c r="V197" i="16"/>
  <c r="CY197" i="16"/>
  <c r="W197" i="16"/>
  <c r="D109" i="23"/>
  <c r="D106" i="23"/>
  <c r="D93" i="23"/>
  <c r="AH76" i="23"/>
  <c r="AH98" i="23"/>
  <c r="AH95" i="23"/>
  <c r="AH93" i="23"/>
  <c r="W451" i="16"/>
  <c r="CY451" i="16"/>
  <c r="V451" i="16"/>
  <c r="AB112" i="23"/>
  <c r="C107" i="24"/>
  <c r="W259" i="16"/>
  <c r="CY259" i="16"/>
  <c r="V259" i="16"/>
  <c r="V112" i="16"/>
  <c r="CY112" i="16"/>
  <c r="W112" i="16"/>
  <c r="W265" i="16"/>
  <c r="CY265" i="16"/>
  <c r="V265" i="16"/>
  <c r="Q131" i="23"/>
  <c r="Q137" i="23"/>
  <c r="Q130" i="23"/>
  <c r="Q132" i="23"/>
  <c r="V245" i="16"/>
  <c r="CY245" i="16"/>
  <c r="W245" i="16"/>
  <c r="V199" i="16"/>
  <c r="CY199" i="16"/>
  <c r="W199" i="16"/>
  <c r="V151" i="16"/>
  <c r="CY151" i="16"/>
  <c r="W151" i="16"/>
  <c r="V123" i="16"/>
  <c r="CY123" i="16"/>
  <c r="W123" i="16"/>
  <c r="R132" i="23"/>
  <c r="R137" i="23"/>
  <c r="R130" i="23"/>
  <c r="R131" i="23"/>
  <c r="V307" i="16"/>
  <c r="CY307" i="16"/>
  <c r="W307" i="16"/>
  <c r="W55" i="16"/>
  <c r="CY55" i="16"/>
  <c r="V55" i="16"/>
  <c r="V119" i="16"/>
  <c r="CY119" i="16"/>
  <c r="W119" i="16"/>
  <c r="W243" i="16"/>
  <c r="CY243" i="16"/>
  <c r="V243" i="16"/>
  <c r="V387" i="16"/>
  <c r="CY387" i="16"/>
  <c r="W387" i="16"/>
  <c r="V287" i="16"/>
  <c r="CY287" i="16"/>
  <c r="W287" i="16"/>
  <c r="AI68" i="24"/>
  <c r="AI67" i="24"/>
  <c r="AI133" i="24"/>
  <c r="W297" i="16"/>
  <c r="CY297" i="16"/>
  <c r="V297" i="16"/>
  <c r="L75" i="23"/>
  <c r="L74" i="23"/>
  <c r="X111" i="24"/>
  <c r="X116" i="24"/>
  <c r="W228" i="16"/>
  <c r="CY228" i="16"/>
  <c r="V228" i="16"/>
  <c r="AF92" i="24"/>
  <c r="W423" i="16"/>
  <c r="CY423" i="16"/>
  <c r="V423" i="16"/>
  <c r="D75" i="23"/>
  <c r="D74" i="23"/>
  <c r="V308" i="16"/>
  <c r="CY308" i="16"/>
  <c r="W308" i="16"/>
  <c r="W66" i="16"/>
  <c r="CY66" i="16"/>
  <c r="V66" i="16"/>
  <c r="L68" i="24"/>
  <c r="L67" i="24"/>
  <c r="L133" i="24"/>
  <c r="Y132" i="23"/>
  <c r="Y137" i="23"/>
  <c r="Y130" i="23"/>
  <c r="Y131" i="23"/>
  <c r="W193" i="16"/>
  <c r="CY193" i="16"/>
  <c r="V193" i="16"/>
  <c r="V353" i="16"/>
  <c r="CY353" i="16"/>
  <c r="W353" i="16"/>
  <c r="AR93" i="23"/>
  <c r="AR98" i="23"/>
  <c r="AR95" i="23"/>
  <c r="AR76" i="23"/>
  <c r="V102" i="16"/>
  <c r="CY102" i="16"/>
  <c r="W102" i="16"/>
  <c r="W452" i="16"/>
  <c r="CY452" i="16"/>
  <c r="V452" i="16"/>
  <c r="W68" i="24"/>
  <c r="W67" i="24"/>
  <c r="W133" i="24"/>
  <c r="AP136" i="23"/>
  <c r="AO88" i="24"/>
  <c r="AO124" i="24"/>
  <c r="AO103" i="24"/>
  <c r="AO98" i="24"/>
  <c r="AO89" i="24"/>
  <c r="D89" i="24"/>
  <c r="D124" i="24"/>
  <c r="D88" i="24"/>
  <c r="D103" i="24"/>
  <c r="D98" i="24"/>
  <c r="E136" i="23"/>
  <c r="AC111" i="24"/>
  <c r="AC116" i="24"/>
  <c r="V328" i="16"/>
  <c r="CY328" i="16"/>
  <c r="W328" i="16"/>
  <c r="W381" i="16"/>
  <c r="CY381" i="16"/>
  <c r="V381" i="16"/>
  <c r="W114" i="16"/>
  <c r="CY114" i="16"/>
  <c r="V114" i="16"/>
  <c r="AM112" i="23"/>
  <c r="N107" i="24"/>
  <c r="W216" i="16"/>
  <c r="CY216" i="16"/>
  <c r="V216" i="16"/>
  <c r="C92" i="24"/>
  <c r="W81" i="16"/>
  <c r="CY81" i="16"/>
  <c r="V81" i="16"/>
  <c r="W188" i="16"/>
  <c r="CY188" i="16"/>
  <c r="V188" i="16"/>
  <c r="W137" i="16"/>
  <c r="CY137" i="16"/>
  <c r="V137" i="16"/>
  <c r="M93" i="23"/>
  <c r="M106" i="23"/>
  <c r="M109" i="23"/>
  <c r="V167" i="16"/>
  <c r="CY167" i="16"/>
  <c r="W167" i="16"/>
  <c r="V407" i="16"/>
  <c r="CY407" i="16"/>
  <c r="W407" i="16"/>
  <c r="W323" i="16"/>
  <c r="CY323" i="16"/>
  <c r="V323" i="16"/>
  <c r="W361" i="16"/>
  <c r="CY361" i="16"/>
  <c r="V361" i="16"/>
  <c r="AO75" i="23"/>
  <c r="AO74" i="23"/>
  <c r="V204" i="16"/>
  <c r="CY204" i="16"/>
  <c r="W204" i="16"/>
  <c r="W98" i="23"/>
  <c r="W95" i="23"/>
  <c r="W76" i="23"/>
  <c r="V301" i="16"/>
  <c r="CY301" i="16"/>
  <c r="W301" i="16"/>
  <c r="V313" i="16"/>
  <c r="CY313" i="16"/>
  <c r="W313" i="16"/>
  <c r="P98" i="23"/>
  <c r="P95" i="23"/>
  <c r="P76" i="23"/>
  <c r="W158" i="16"/>
  <c r="CY158" i="16"/>
  <c r="V158" i="16"/>
  <c r="AP93" i="23"/>
  <c r="AP76" i="23"/>
  <c r="W432" i="16"/>
  <c r="CY432" i="16"/>
  <c r="V432" i="16"/>
  <c r="W109" i="16"/>
  <c r="CY109" i="16"/>
  <c r="V109" i="16"/>
  <c r="W269" i="16"/>
  <c r="CY269" i="16"/>
  <c r="V269" i="16"/>
  <c r="V141" i="16"/>
  <c r="CY141" i="16"/>
  <c r="W141" i="16"/>
  <c r="AD92" i="24"/>
  <c r="W63" i="16"/>
  <c r="CY63" i="16"/>
  <c r="V63" i="16"/>
  <c r="V326" i="16"/>
  <c r="CY326" i="16"/>
  <c r="W326" i="16"/>
  <c r="D92" i="24"/>
  <c r="V205" i="16"/>
  <c r="CY205" i="16"/>
  <c r="W205" i="16"/>
  <c r="V404" i="16"/>
  <c r="CY404" i="16"/>
  <c r="W404" i="16"/>
  <c r="AF112" i="23"/>
  <c r="G107" i="24"/>
  <c r="V218" i="16"/>
  <c r="CY218" i="16"/>
  <c r="W218" i="16"/>
  <c r="V283" i="16"/>
  <c r="CY283" i="16"/>
  <c r="W283" i="16"/>
  <c r="V250" i="16"/>
  <c r="CY250" i="16"/>
  <c r="W250" i="16"/>
  <c r="AR132" i="23"/>
  <c r="AR137" i="23"/>
  <c r="AR130" i="23"/>
  <c r="AR131" i="23"/>
  <c r="I136" i="23"/>
  <c r="H88" i="24"/>
  <c r="H89" i="24"/>
  <c r="H103" i="24"/>
  <c r="H98" i="24"/>
  <c r="H124" i="24"/>
  <c r="AJ133" i="24"/>
  <c r="AJ103" i="24"/>
  <c r="AJ98" i="24"/>
  <c r="AJ67" i="24"/>
  <c r="AJ68" i="24"/>
  <c r="V365" i="16"/>
  <c r="CY365" i="16"/>
  <c r="W365" i="16"/>
  <c r="W169" i="16"/>
  <c r="CY169" i="16"/>
  <c r="V169" i="16"/>
  <c r="W118" i="16"/>
  <c r="CY118" i="16"/>
  <c r="V118" i="16"/>
  <c r="AC76" i="23"/>
  <c r="AC98" i="23"/>
  <c r="AC95" i="23"/>
  <c r="AC93" i="23"/>
  <c r="W105" i="16"/>
  <c r="CY105" i="16"/>
  <c r="V105" i="16"/>
  <c r="V74" i="16"/>
  <c r="CY74" i="16"/>
  <c r="W74" i="16"/>
  <c r="AI93" i="23"/>
  <c r="AI98" i="23"/>
  <c r="AI95" i="23"/>
  <c r="AI76" i="23"/>
  <c r="AS88" i="24"/>
  <c r="AT136" i="23"/>
  <c r="AS89" i="24"/>
  <c r="AS103" i="24"/>
  <c r="AS98" i="24"/>
  <c r="AS124" i="24"/>
  <c r="W425" i="16"/>
  <c r="CY425" i="16"/>
  <c r="V425" i="16"/>
  <c r="V492" i="16"/>
  <c r="CY492" i="16"/>
  <c r="W492" i="16"/>
  <c r="B95" i="24"/>
  <c r="C95" i="24"/>
  <c r="D95" i="24"/>
  <c r="E95" i="24"/>
  <c r="F95" i="24"/>
  <c r="G95" i="24"/>
  <c r="H95" i="24"/>
  <c r="I95" i="24"/>
  <c r="J95" i="24"/>
  <c r="K95" i="24"/>
  <c r="L95" i="24"/>
  <c r="M95" i="24"/>
  <c r="N95" i="24"/>
  <c r="O95" i="24"/>
  <c r="P95" i="24"/>
  <c r="Q95" i="24"/>
  <c r="R95" i="24"/>
  <c r="S95" i="24"/>
  <c r="T95" i="24"/>
  <c r="U95" i="24"/>
  <c r="V95" i="24"/>
  <c r="W95" i="24"/>
  <c r="X95" i="24"/>
  <c r="Y95" i="24"/>
  <c r="Z95" i="24"/>
  <c r="AA95" i="24"/>
  <c r="AB95" i="24"/>
  <c r="AC95" i="24"/>
  <c r="AD95" i="24"/>
  <c r="AE95" i="24"/>
  <c r="AF95" i="24"/>
  <c r="AG95" i="24"/>
  <c r="AH95" i="24"/>
  <c r="AI95" i="24"/>
  <c r="AJ95" i="24"/>
  <c r="AK95" i="24"/>
  <c r="AL95" i="24"/>
  <c r="AM95" i="24"/>
  <c r="AN95" i="24"/>
  <c r="AO95" i="24"/>
  <c r="AP95" i="24"/>
  <c r="AQ95" i="24"/>
  <c r="AR95" i="24"/>
  <c r="AS95" i="24"/>
  <c r="AT95" i="24"/>
  <c r="AU95" i="24"/>
  <c r="W101" i="16"/>
  <c r="CY101" i="16"/>
  <c r="V101" i="16"/>
  <c r="W409" i="16"/>
  <c r="CY409" i="16"/>
  <c r="V409" i="16"/>
  <c r="V183" i="16"/>
  <c r="CY183" i="16"/>
  <c r="W183" i="16"/>
  <c r="V150" i="16"/>
  <c r="CY150" i="16"/>
  <c r="W150" i="16"/>
  <c r="AD132" i="23"/>
  <c r="AD137" i="23"/>
  <c r="AD130" i="23"/>
  <c r="AD131" i="23"/>
  <c r="W438" i="16"/>
  <c r="CY438" i="16"/>
  <c r="V438" i="16"/>
  <c r="AR89" i="24"/>
  <c r="AS136" i="23"/>
  <c r="AR124" i="24"/>
  <c r="AR88" i="24"/>
  <c r="W208" i="16"/>
  <c r="CY208" i="16"/>
  <c r="V208" i="16"/>
  <c r="V162" i="16"/>
  <c r="CY162" i="16"/>
  <c r="W162" i="16"/>
  <c r="S92" i="24"/>
  <c r="W489" i="16"/>
  <c r="CY489" i="16"/>
  <c r="V489" i="16"/>
  <c r="V85" i="16"/>
  <c r="CY85" i="16"/>
  <c r="W85" i="16"/>
  <c r="V506" i="16"/>
  <c r="CY506" i="16"/>
  <c r="W506" i="16"/>
  <c r="W410" i="16"/>
  <c r="CY410" i="16"/>
  <c r="V410" i="16"/>
  <c r="W383" i="16"/>
  <c r="CY383" i="16"/>
  <c r="V383" i="16"/>
  <c r="AG92" i="24"/>
  <c r="AB92" i="24"/>
  <c r="Z111" i="24"/>
  <c r="Z116" i="24"/>
  <c r="AG75" i="23"/>
  <c r="AG74" i="23"/>
  <c r="AM133" i="24"/>
  <c r="AM67" i="24"/>
  <c r="AM68" i="24"/>
  <c r="V226" i="16"/>
  <c r="CY226" i="16"/>
  <c r="W226" i="16"/>
  <c r="AR112" i="23"/>
  <c r="S107" i="24"/>
  <c r="W405" i="16"/>
  <c r="CY405" i="16"/>
  <c r="V405" i="16"/>
  <c r="V413" i="16"/>
  <c r="CY413" i="16"/>
  <c r="W413" i="16"/>
  <c r="W138" i="16"/>
  <c r="CY138" i="16"/>
  <c r="V138" i="16"/>
  <c r="W501" i="16"/>
  <c r="CY501" i="16"/>
  <c r="V501" i="16"/>
  <c r="V58" i="16"/>
  <c r="CY58" i="16"/>
  <c r="W58" i="16"/>
  <c r="AL106" i="23"/>
  <c r="AL109" i="23"/>
  <c r="AS111" i="24"/>
  <c r="AS116" i="24"/>
  <c r="W88" i="24"/>
  <c r="W89" i="24"/>
  <c r="X136" i="23"/>
  <c r="W103" i="24"/>
  <c r="W98" i="24"/>
  <c r="W124" i="24"/>
  <c r="V515" i="16"/>
  <c r="CY515" i="16"/>
  <c r="W515" i="16"/>
  <c r="Q109" i="23"/>
  <c r="Q106" i="23"/>
  <c r="Q93" i="23"/>
  <c r="W422" i="16"/>
  <c r="CY422" i="16"/>
  <c r="V422" i="16"/>
  <c r="L131" i="23"/>
  <c r="L137" i="23"/>
  <c r="L130" i="23"/>
  <c r="L132" i="23"/>
  <c r="AI112" i="23"/>
  <c r="J107" i="24"/>
  <c r="AJ106" i="23"/>
  <c r="AJ109" i="23"/>
  <c r="V351" i="16"/>
  <c r="CY351" i="16"/>
  <c r="W351" i="16"/>
  <c r="AP112" i="23"/>
  <c r="Q107" i="24"/>
  <c r="AA133" i="24"/>
  <c r="AA103" i="24"/>
  <c r="AA98" i="24"/>
  <c r="AA67" i="24"/>
  <c r="AA68" i="24"/>
  <c r="H31" i="16"/>
  <c r="V207" i="16"/>
  <c r="CY207" i="16"/>
  <c r="W207" i="16"/>
  <c r="V311" i="16"/>
  <c r="CY311" i="16"/>
  <c r="W311" i="16"/>
  <c r="W92" i="24"/>
  <c r="W163" i="16"/>
  <c r="CY163" i="16"/>
  <c r="V163" i="16"/>
  <c r="V303" i="16"/>
  <c r="CY303" i="16"/>
  <c r="W303" i="16"/>
  <c r="V92" i="24"/>
  <c r="V68" i="24"/>
  <c r="V67" i="24"/>
  <c r="V133" i="24"/>
  <c r="Y111" i="24"/>
  <c r="Y116" i="24"/>
  <c r="V93" i="23"/>
  <c r="V106" i="23"/>
  <c r="V109" i="23"/>
  <c r="V246" i="16"/>
  <c r="CY246" i="16"/>
  <c r="W246" i="16"/>
  <c r="V458" i="16"/>
  <c r="CY458" i="16"/>
  <c r="W458" i="16"/>
  <c r="V403" i="16"/>
  <c r="CY403" i="16"/>
  <c r="W403" i="16"/>
  <c r="V224" i="16"/>
  <c r="CY224" i="16"/>
  <c r="W224" i="16"/>
  <c r="W396" i="16"/>
  <c r="CY396" i="16"/>
  <c r="V396" i="16"/>
  <c r="V347" i="16"/>
  <c r="CY347" i="16"/>
  <c r="W347" i="16"/>
  <c r="W52" i="16"/>
  <c r="CY52" i="16"/>
  <c r="V52" i="16"/>
  <c r="W221" i="16"/>
  <c r="CY221" i="16"/>
  <c r="V221" i="16"/>
  <c r="AE112" i="23"/>
  <c r="F107" i="24"/>
  <c r="V499" i="16"/>
  <c r="CY499" i="16"/>
  <c r="W499" i="16"/>
  <c r="AH111" i="24"/>
  <c r="AH116" i="24"/>
  <c r="V426" i="16"/>
  <c r="CY426" i="16"/>
  <c r="W426" i="16"/>
  <c r="W310" i="16"/>
  <c r="CY310" i="16"/>
  <c r="V310" i="16"/>
  <c r="W157" i="16"/>
  <c r="CY157" i="16"/>
  <c r="V157" i="16"/>
  <c r="AP98" i="23"/>
  <c r="AP95" i="23"/>
  <c r="AP74" i="23"/>
  <c r="AP75" i="23"/>
  <c r="W176" i="16"/>
  <c r="CY176" i="16"/>
  <c r="V176" i="16"/>
  <c r="S68" i="24"/>
  <c r="S103" i="24"/>
  <c r="S98" i="24"/>
  <c r="S67" i="24"/>
  <c r="S133" i="24"/>
  <c r="X93" i="23"/>
  <c r="X98" i="23"/>
  <c r="X95" i="23"/>
  <c r="X76" i="23"/>
  <c r="AL112" i="23"/>
  <c r="M107" i="24"/>
  <c r="E132" i="23"/>
  <c r="E137" i="23"/>
  <c r="E130" i="23"/>
  <c r="E131" i="23"/>
  <c r="F76" i="23"/>
  <c r="AK112" i="23"/>
  <c r="L107" i="24"/>
  <c r="W378" i="16"/>
  <c r="CY378" i="16"/>
  <c r="V378" i="16"/>
  <c r="W184" i="16"/>
  <c r="CY184" i="16"/>
  <c r="V184" i="16"/>
  <c r="J68" i="24"/>
  <c r="J67" i="24"/>
  <c r="J133" i="24"/>
  <c r="V191" i="16"/>
  <c r="CY191" i="16"/>
  <c r="W191" i="16"/>
  <c r="M136" i="23"/>
  <c r="L88" i="24"/>
  <c r="L124" i="24"/>
  <c r="L103" i="24"/>
  <c r="L98" i="24"/>
  <c r="L89" i="24"/>
  <c r="V420" i="16"/>
  <c r="CY420" i="16"/>
  <c r="W420" i="16"/>
  <c r="T98" i="23"/>
  <c r="T95" i="23"/>
  <c r="T74" i="23"/>
  <c r="T75" i="23"/>
  <c r="V503" i="16"/>
  <c r="CY503" i="16"/>
  <c r="W503" i="16"/>
  <c r="AD93" i="23"/>
  <c r="AD98" i="23"/>
  <c r="AD95" i="23"/>
  <c r="AD76" i="23"/>
  <c r="V330" i="16"/>
  <c r="CY330" i="16"/>
  <c r="W330" i="16"/>
  <c r="W346" i="16"/>
  <c r="CY346" i="16"/>
  <c r="V346" i="16"/>
  <c r="V444" i="16"/>
  <c r="CY444" i="16"/>
  <c r="W444" i="16"/>
  <c r="AI111" i="24"/>
  <c r="AI116" i="24"/>
  <c r="V461" i="16"/>
  <c r="CY461" i="16"/>
  <c r="W461" i="16"/>
  <c r="V160" i="16"/>
  <c r="CY160" i="16"/>
  <c r="W160" i="16"/>
  <c r="V242" i="16"/>
  <c r="CY242" i="16"/>
  <c r="W242" i="16"/>
  <c r="W53" i="16"/>
  <c r="CY53" i="16"/>
  <c r="V53" i="16"/>
  <c r="V107" i="16"/>
  <c r="CY107" i="16"/>
  <c r="W107" i="16"/>
  <c r="V211" i="16"/>
  <c r="CY211" i="16"/>
  <c r="W211" i="16"/>
  <c r="AU93" i="23"/>
  <c r="AU76" i="23"/>
  <c r="W431" i="16"/>
  <c r="CY431" i="16"/>
  <c r="V431" i="16"/>
  <c r="V124" i="24"/>
  <c r="V88" i="24"/>
  <c r="V89" i="24"/>
  <c r="V103" i="24"/>
  <c r="V98" i="24"/>
  <c r="W136" i="23"/>
  <c r="W59" i="16"/>
  <c r="CY59" i="16"/>
  <c r="V59" i="16"/>
  <c r="W375" i="16"/>
  <c r="CY375" i="16"/>
  <c r="V375" i="16"/>
  <c r="V446" i="16"/>
  <c r="CY446" i="16"/>
  <c r="W446" i="16"/>
  <c r="V391" i="16"/>
  <c r="CY391" i="16"/>
  <c r="W391" i="16"/>
  <c r="S131" i="23"/>
  <c r="S137" i="23"/>
  <c r="S130" i="23"/>
  <c r="S132" i="23"/>
  <c r="AG132" i="23"/>
  <c r="AG137" i="23"/>
  <c r="AG130" i="23"/>
  <c r="AG131" i="23"/>
  <c r="W130" i="16"/>
  <c r="CY130" i="16"/>
  <c r="V130" i="16"/>
  <c r="V508" i="16"/>
  <c r="CY508" i="16"/>
  <c r="W508" i="16"/>
  <c r="AE75" i="23"/>
  <c r="AE74" i="23"/>
  <c r="V340" i="16"/>
  <c r="CY340" i="16"/>
  <c r="W340" i="16"/>
  <c r="V450" i="16"/>
  <c r="CY450" i="16"/>
  <c r="W450" i="16"/>
  <c r="AU98" i="23"/>
  <c r="AU95" i="23"/>
  <c r="AU74" i="23"/>
  <c r="AU75" i="23"/>
  <c r="B132" i="23"/>
  <c r="C132" i="23"/>
  <c r="W453" i="16"/>
  <c r="CY453" i="16"/>
  <c r="V453" i="16"/>
  <c r="W299" i="16"/>
  <c r="CY299" i="16"/>
  <c r="V299" i="16"/>
  <c r="AC88" i="24"/>
  <c r="AD136" i="23"/>
  <c r="AC124" i="24"/>
  <c r="AC89" i="24"/>
  <c r="W146" i="16"/>
  <c r="CY146" i="16"/>
  <c r="V146" i="16"/>
  <c r="V244" i="16"/>
  <c r="CY244" i="16"/>
  <c r="W244" i="16"/>
  <c r="AL131" i="23"/>
  <c r="AL137" i="23"/>
  <c r="AL130" i="23"/>
  <c r="AL132" i="23"/>
  <c r="AR133" i="24"/>
  <c r="AR103" i="24"/>
  <c r="AR98" i="24"/>
  <c r="AR67" i="24"/>
  <c r="AR68" i="24"/>
  <c r="W60" i="16"/>
  <c r="CY60" i="16"/>
  <c r="V60" i="16"/>
  <c r="W277" i="16"/>
  <c r="CY277" i="16"/>
  <c r="V277" i="16"/>
  <c r="AN132" i="23"/>
  <c r="AN137" i="23"/>
  <c r="AN130" i="23"/>
  <c r="AN131" i="23"/>
  <c r="W113" i="16"/>
  <c r="CY113" i="16"/>
  <c r="V113" i="16"/>
  <c r="O109" i="23"/>
  <c r="O106" i="23"/>
  <c r="O93" i="23"/>
  <c r="W421" i="16"/>
  <c r="CY421" i="16"/>
  <c r="V421" i="16"/>
  <c r="W178" i="16"/>
  <c r="CY178" i="16"/>
  <c r="V178" i="16"/>
  <c r="L98" i="23"/>
  <c r="L95" i="23"/>
  <c r="L76" i="23"/>
  <c r="W356" i="16"/>
  <c r="CY356" i="16"/>
  <c r="V356" i="16"/>
  <c r="T92" i="24"/>
  <c r="AM106" i="23"/>
  <c r="AM109" i="23"/>
  <c r="E92" i="24"/>
  <c r="W304" i="16"/>
  <c r="CY304" i="16"/>
  <c r="V304" i="16"/>
  <c r="V469" i="16"/>
  <c r="CY469" i="16"/>
  <c r="W469" i="16"/>
  <c r="V505" i="16"/>
  <c r="CY505" i="16"/>
  <c r="W505" i="16"/>
  <c r="AF89" i="24"/>
  <c r="AF124" i="24"/>
  <c r="AF88" i="24"/>
  <c r="AG136" i="23"/>
  <c r="V318" i="16"/>
  <c r="CY318" i="16"/>
  <c r="W318" i="16"/>
  <c r="W439" i="16"/>
  <c r="CY439" i="16"/>
  <c r="V439" i="16"/>
  <c r="Y68" i="24"/>
  <c r="Y67" i="24"/>
  <c r="Y133" i="24"/>
  <c r="V251" i="16"/>
  <c r="CY251" i="16"/>
  <c r="W251" i="16"/>
  <c r="R92" i="24"/>
  <c r="V507" i="16"/>
  <c r="CY507" i="16"/>
  <c r="W507" i="16"/>
  <c r="V479" i="16"/>
  <c r="CY479" i="16"/>
  <c r="W479" i="16"/>
  <c r="V220" i="16"/>
  <c r="CY220" i="16"/>
  <c r="W220" i="16"/>
  <c r="V134" i="16"/>
  <c r="CY134" i="16"/>
  <c r="W134" i="16"/>
  <c r="W159" i="16"/>
  <c r="CY159" i="16"/>
  <c r="V159" i="16"/>
  <c r="V154" i="16"/>
  <c r="CY154" i="16"/>
  <c r="W154" i="16"/>
  <c r="V272" i="16"/>
  <c r="CY272" i="16"/>
  <c r="W272" i="16"/>
  <c r="AS93" i="23"/>
  <c r="AS76" i="23"/>
  <c r="N68" i="24"/>
  <c r="N67" i="24"/>
  <c r="N133" i="24"/>
  <c r="V309" i="16"/>
  <c r="CY309" i="16"/>
  <c r="W309" i="16"/>
  <c r="Y124" i="24"/>
  <c r="Y89" i="24"/>
  <c r="Z136" i="23"/>
  <c r="Y103" i="24"/>
  <c r="Y98" i="24"/>
  <c r="Y88" i="24"/>
  <c r="AV102" i="23"/>
  <c r="R102" i="23"/>
  <c r="AU102" i="23"/>
  <c r="O102" i="23"/>
  <c r="T102" i="23"/>
  <c r="C102" i="23"/>
  <c r="AR102" i="23"/>
  <c r="H102" i="23"/>
  <c r="AB102" i="23"/>
  <c r="B86" i="23"/>
  <c r="AM102" i="23"/>
  <c r="I102" i="23"/>
  <c r="AO102" i="23"/>
  <c r="AS102" i="23"/>
  <c r="G102" i="23"/>
  <c r="AE102" i="23"/>
  <c r="AP102" i="23"/>
  <c r="L102" i="23"/>
  <c r="X102" i="23"/>
  <c r="AH102" i="23"/>
  <c r="E102" i="23"/>
  <c r="AA102" i="23"/>
  <c r="M102" i="23"/>
  <c r="Y102" i="23"/>
  <c r="U102" i="23"/>
  <c r="Z102" i="23"/>
  <c r="P102" i="23"/>
  <c r="AT102" i="23"/>
  <c r="AI102" i="23"/>
  <c r="AL102" i="23"/>
  <c r="AD102" i="23"/>
  <c r="AF102" i="23"/>
  <c r="AN102" i="23"/>
  <c r="AJ102" i="23"/>
  <c r="K102" i="23"/>
  <c r="AQ102" i="23"/>
  <c r="J102" i="23"/>
  <c r="V102" i="23"/>
  <c r="W102" i="23"/>
  <c r="F102" i="23"/>
  <c r="AC102" i="23"/>
  <c r="N102" i="23"/>
  <c r="S102" i="23"/>
  <c r="AK102" i="23"/>
  <c r="D102" i="23"/>
  <c r="Q102" i="23"/>
  <c r="AG102" i="23"/>
  <c r="AO93" i="23"/>
  <c r="AO98" i="23"/>
  <c r="AO95" i="23"/>
  <c r="AO76" i="23"/>
  <c r="W284" i="16"/>
  <c r="CY284" i="16"/>
  <c r="V284" i="16"/>
  <c r="Q111" i="24"/>
  <c r="Q116" i="24"/>
  <c r="H92" i="24"/>
  <c r="V296" i="16"/>
  <c r="CY296" i="16"/>
  <c r="W296" i="16"/>
  <c r="W237" i="16"/>
  <c r="CY237" i="16"/>
  <c r="V237" i="16"/>
  <c r="V380" i="16"/>
  <c r="CY380" i="16"/>
  <c r="W380" i="16"/>
  <c r="O92" i="24"/>
  <c r="W324" i="16"/>
  <c r="CY324" i="16"/>
  <c r="V324" i="16"/>
  <c r="AS98" i="23"/>
  <c r="AS95" i="23"/>
  <c r="AS74" i="23"/>
  <c r="AS75" i="23"/>
  <c r="V111" i="24"/>
  <c r="V116" i="24"/>
  <c r="W472" i="16"/>
  <c r="CY472" i="16"/>
  <c r="V472" i="16"/>
  <c r="W449" i="16"/>
  <c r="CY449" i="16"/>
  <c r="V449" i="16"/>
  <c r="G76" i="23"/>
  <c r="V240" i="16"/>
  <c r="CY240" i="16"/>
  <c r="W240" i="16"/>
  <c r="G92" i="24"/>
  <c r="Q76" i="23"/>
  <c r="AD89" i="24"/>
  <c r="AD124" i="24"/>
  <c r="AD88" i="24"/>
  <c r="AE136" i="23"/>
  <c r="W483" i="16"/>
  <c r="CY483" i="16"/>
  <c r="V483" i="16"/>
  <c r="W181" i="16"/>
  <c r="CY181" i="16"/>
  <c r="V181" i="16"/>
  <c r="AN89" i="24"/>
  <c r="AN124" i="24"/>
  <c r="AO136" i="23"/>
  <c r="AN88" i="24"/>
  <c r="AO111" i="24"/>
  <c r="AO116" i="24"/>
  <c r="G98" i="23"/>
  <c r="G95" i="23"/>
  <c r="G74" i="23"/>
  <c r="G75" i="23"/>
  <c r="H16" i="16"/>
  <c r="V389" i="16"/>
  <c r="CY389" i="16"/>
  <c r="W389" i="16"/>
  <c r="Q98" i="23"/>
  <c r="Q95" i="23"/>
  <c r="Q74" i="23"/>
  <c r="Q75" i="23"/>
  <c r="C130" i="23"/>
  <c r="B130" i="23"/>
  <c r="AF133" i="24"/>
  <c r="AF103" i="24"/>
  <c r="AF98" i="24"/>
  <c r="AF67" i="24"/>
  <c r="AF68" i="24"/>
  <c r="W411" i="16"/>
  <c r="CY411" i="16"/>
  <c r="V411" i="16"/>
  <c r="V448" i="16"/>
  <c r="CY448" i="16"/>
  <c r="W448" i="16"/>
  <c r="W213" i="16"/>
  <c r="CY213" i="16"/>
  <c r="V213" i="16"/>
  <c r="V233" i="16"/>
  <c r="CY233" i="16"/>
  <c r="W233" i="16"/>
  <c r="AV75" i="23"/>
  <c r="AV74" i="23"/>
  <c r="V286" i="16"/>
  <c r="CY286" i="16"/>
  <c r="W286" i="16"/>
  <c r="W61" i="16"/>
  <c r="CY61" i="16"/>
  <c r="V61" i="16"/>
  <c r="V212" i="16"/>
  <c r="CY212" i="16"/>
  <c r="W212" i="16"/>
  <c r="G16" i="16"/>
  <c r="W214" i="16"/>
  <c r="CY214" i="16"/>
  <c r="V214" i="16"/>
  <c r="W487" i="16"/>
  <c r="CY487" i="16"/>
  <c r="V487" i="16"/>
  <c r="W266" i="16"/>
  <c r="CY266" i="16"/>
  <c r="V266" i="16"/>
  <c r="W260" i="16"/>
  <c r="CY260" i="16"/>
  <c r="V260" i="16"/>
  <c r="W363" i="16"/>
  <c r="CY363" i="16"/>
  <c r="V363" i="16"/>
  <c r="T111" i="24"/>
  <c r="T116" i="24"/>
  <c r="AK106" i="23"/>
  <c r="AK109" i="23"/>
  <c r="W147" i="16"/>
  <c r="CY147" i="16"/>
  <c r="V147" i="16"/>
  <c r="V321" i="16"/>
  <c r="CY321" i="16"/>
  <c r="W321" i="16"/>
  <c r="V255" i="16"/>
  <c r="CY255" i="16"/>
  <c r="W255" i="16"/>
  <c r="E36" i="24"/>
  <c r="E35" i="24"/>
  <c r="E33" i="24"/>
  <c r="C137" i="23"/>
  <c r="B137" i="23"/>
  <c r="W192" i="16"/>
  <c r="CY192" i="16"/>
  <c r="V192" i="16"/>
  <c r="V280" i="16"/>
  <c r="CY280" i="16"/>
  <c r="W280" i="16"/>
  <c r="N89" i="24"/>
  <c r="N88" i="24"/>
  <c r="O136" i="23"/>
  <c r="N103" i="24"/>
  <c r="N98" i="24"/>
  <c r="N124" i="24"/>
  <c r="F98" i="23"/>
  <c r="F95" i="23"/>
  <c r="F74" i="23"/>
  <c r="F75" i="23"/>
  <c r="Q124" i="24"/>
  <c r="Q89" i="24"/>
  <c r="Q88" i="24"/>
  <c r="R136" i="23"/>
  <c r="AD68" i="24"/>
  <c r="AD103" i="24"/>
  <c r="AD98" i="24"/>
  <c r="AD67" i="24"/>
  <c r="AD133" i="24"/>
  <c r="AD111" i="24"/>
  <c r="AD116" i="24"/>
  <c r="W445" i="16"/>
  <c r="CY445" i="16"/>
  <c r="V445" i="16"/>
  <c r="V306" i="16"/>
  <c r="CY306" i="16"/>
  <c r="W306" i="16"/>
  <c r="W100" i="16"/>
  <c r="CY100" i="16"/>
  <c r="V100" i="16"/>
  <c r="V312" i="16"/>
  <c r="CY312" i="16"/>
  <c r="W312" i="16"/>
  <c r="W121" i="16"/>
  <c r="CY121" i="16"/>
  <c r="V121" i="16"/>
  <c r="U131" i="23"/>
  <c r="U137" i="23"/>
  <c r="U130" i="23"/>
  <c r="U132" i="23"/>
  <c r="B74" i="23"/>
  <c r="W106" i="16"/>
  <c r="CY106" i="16"/>
  <c r="V106" i="16"/>
  <c r="Q68" i="24"/>
  <c r="Q103" i="24"/>
  <c r="Q98" i="24"/>
  <c r="Q67" i="24"/>
  <c r="Q133" i="24"/>
  <c r="N76" i="23"/>
  <c r="W170" i="16"/>
  <c r="CY170" i="16"/>
  <c r="V170" i="16"/>
  <c r="S111" i="24"/>
  <c r="S116" i="24"/>
  <c r="W334" i="16"/>
  <c r="CY334" i="16"/>
  <c r="V334" i="16"/>
  <c r="F109" i="23"/>
  <c r="F106" i="23"/>
  <c r="F93" i="23"/>
  <c r="W390" i="16"/>
  <c r="CY390" i="16"/>
  <c r="V390" i="16"/>
  <c r="V139" i="16"/>
  <c r="CY139" i="16"/>
  <c r="W139" i="16"/>
  <c r="V215" i="16"/>
  <c r="CY215" i="16"/>
  <c r="W215" i="16"/>
  <c r="P89" i="24"/>
  <c r="P88" i="24"/>
  <c r="P124" i="24"/>
  <c r="Q136" i="23"/>
  <c r="W392" i="16"/>
  <c r="CY392" i="16"/>
  <c r="V392" i="16"/>
  <c r="H111" i="24"/>
  <c r="H116" i="24"/>
  <c r="X132" i="23"/>
  <c r="X137" i="23"/>
  <c r="X130" i="23"/>
  <c r="X131" i="23"/>
  <c r="W131" i="23"/>
  <c r="W137" i="23"/>
  <c r="W130" i="23"/>
  <c r="W132" i="23"/>
  <c r="V223" i="16"/>
  <c r="CY223" i="16"/>
  <c r="W223" i="16"/>
  <c r="C98" i="23"/>
  <c r="C95" i="23"/>
  <c r="C74" i="23"/>
  <c r="C75" i="23"/>
  <c r="B75" i="23"/>
  <c r="AL136" i="23"/>
  <c r="AK124" i="24"/>
  <c r="AK89" i="24"/>
  <c r="AK88" i="24"/>
  <c r="AN93" i="23"/>
  <c r="AN98" i="23"/>
  <c r="AN95" i="23"/>
  <c r="AN76" i="23"/>
  <c r="AT76" i="23"/>
  <c r="AT98" i="23"/>
  <c r="AT95" i="23"/>
  <c r="AT93" i="23"/>
  <c r="AP111" i="24"/>
  <c r="AP116" i="24"/>
  <c r="W110" i="16"/>
  <c r="CY110" i="16"/>
  <c r="V110" i="16"/>
  <c r="V382" i="16"/>
  <c r="CY382" i="16"/>
  <c r="W382" i="16"/>
  <c r="U88" i="24"/>
  <c r="U124" i="24"/>
  <c r="V136" i="23"/>
  <c r="U103" i="24"/>
  <c r="U98" i="24"/>
  <c r="U89" i="24"/>
  <c r="W427" i="16"/>
  <c r="CY427" i="16"/>
  <c r="V427" i="16"/>
  <c r="G89" i="24"/>
  <c r="G124" i="24"/>
  <c r="H136" i="23"/>
  <c r="G88" i="24"/>
  <c r="H109" i="23"/>
  <c r="H106" i="23"/>
  <c r="H93" i="23"/>
  <c r="AL133" i="24"/>
  <c r="AL67" i="24"/>
  <c r="AL68" i="24"/>
  <c r="Y106" i="23"/>
  <c r="Y109" i="23"/>
  <c r="V241" i="16"/>
  <c r="CY241" i="16"/>
  <c r="W241" i="16"/>
  <c r="V325" i="16"/>
  <c r="CY325" i="16"/>
  <c r="W325" i="16"/>
  <c r="G68" i="24"/>
  <c r="G103" i="24"/>
  <c r="G98" i="24"/>
  <c r="G67" i="24"/>
  <c r="G133" i="24"/>
  <c r="AO132" i="23"/>
  <c r="AO137" i="23"/>
  <c r="AO130" i="23"/>
  <c r="AO131" i="23"/>
  <c r="AN111" i="24"/>
  <c r="AN116" i="24"/>
  <c r="P109" i="23"/>
  <c r="P106" i="23"/>
  <c r="P93" i="23"/>
  <c r="V145" i="16"/>
  <c r="CY145" i="16"/>
  <c r="W145" i="16"/>
  <c r="N98" i="23"/>
  <c r="N95" i="23"/>
  <c r="N74" i="23"/>
  <c r="N75" i="23"/>
  <c r="AC132" i="23"/>
  <c r="AC137" i="23"/>
  <c r="AC130" i="23"/>
  <c r="AC131" i="23"/>
  <c r="W400" i="16"/>
  <c r="CY400" i="16"/>
  <c r="V400" i="16"/>
  <c r="V96" i="16"/>
  <c r="CY96" i="16"/>
  <c r="W96" i="16"/>
  <c r="H131" i="23"/>
  <c r="H137" i="23"/>
  <c r="H130" i="23"/>
  <c r="H132" i="23"/>
  <c r="P68" i="24"/>
  <c r="P103" i="24"/>
  <c r="P98" i="24"/>
  <c r="P67" i="24"/>
  <c r="P133" i="24"/>
  <c r="G132" i="23"/>
  <c r="G137" i="23"/>
  <c r="G130" i="23"/>
  <c r="G131" i="23"/>
  <c r="AF93" i="23"/>
  <c r="AF76" i="23"/>
  <c r="W401" i="16"/>
  <c r="CY401" i="16"/>
  <c r="V401" i="16"/>
  <c r="AK68" i="24"/>
  <c r="AK103" i="24"/>
  <c r="AK98" i="24"/>
  <c r="AK67" i="24"/>
  <c r="AK133" i="24"/>
  <c r="G17" i="16"/>
  <c r="G17" i="16" a="1"/>
  <c r="G34" i="16"/>
  <c r="G34" i="16" a="1"/>
  <c r="G33" i="16"/>
  <c r="G33" i="16" a="1"/>
  <c r="G27" i="16"/>
  <c r="G27" i="16" a="1"/>
  <c r="G26" i="16"/>
  <c r="G26" i="16" a="1"/>
  <c r="G18" i="16"/>
  <c r="G18" i="16" a="1"/>
  <c r="G25" i="16"/>
  <c r="G25" i="16" a="1"/>
  <c r="G35" i="16"/>
  <c r="G35" i="16" a="1"/>
  <c r="G19" i="16"/>
  <c r="G19" i="16" a="1"/>
  <c r="G24" i="16"/>
  <c r="G24" i="16" a="1"/>
  <c r="G32" i="16"/>
  <c r="G32" i="16" a="1"/>
  <c r="G20" i="16"/>
  <c r="CY49" i="16"/>
  <c r="V49" i="16"/>
  <c r="G20" i="16" a="1"/>
  <c r="AV131" i="23"/>
  <c r="AV137" i="23"/>
  <c r="AV130" i="23"/>
  <c r="AV132" i="23"/>
  <c r="O131" i="23"/>
  <c r="O137" i="23"/>
  <c r="O130" i="23"/>
  <c r="O132" i="23"/>
  <c r="AI92" i="24"/>
  <c r="W402" i="16"/>
  <c r="CY402" i="16"/>
  <c r="V402" i="16"/>
  <c r="V327" i="16"/>
  <c r="CY327" i="16"/>
  <c r="W327" i="16"/>
  <c r="V350" i="16"/>
  <c r="CY350" i="16"/>
  <c r="W350" i="16"/>
  <c r="V293" i="16"/>
  <c r="CY293" i="16"/>
  <c r="W293" i="16"/>
  <c r="V429" i="16"/>
  <c r="CY429" i="16"/>
  <c r="W429" i="16"/>
  <c r="V263" i="16"/>
  <c r="CY263" i="16"/>
  <c r="W263" i="16"/>
  <c r="AG112" i="23"/>
  <c r="H107" i="24"/>
  <c r="W209" i="16"/>
  <c r="CY209" i="16"/>
  <c r="V209" i="16"/>
  <c r="J109" i="23"/>
  <c r="J106" i="23"/>
  <c r="J93" i="23"/>
  <c r="AF98" i="23"/>
  <c r="AF95" i="23"/>
  <c r="AF74" i="23"/>
  <c r="AF75" i="23"/>
  <c r="B111" i="24"/>
  <c r="B116" i="24"/>
  <c r="W65" i="16"/>
  <c r="CY65" i="16"/>
  <c r="V65" i="16"/>
  <c r="AL88" i="24"/>
  <c r="AM136" i="23"/>
  <c r="AL89" i="24"/>
  <c r="AL103" i="24"/>
  <c r="AL98" i="24"/>
  <c r="AL124" i="24"/>
  <c r="V500" i="16"/>
  <c r="CY500" i="16"/>
  <c r="W500" i="16"/>
  <c r="AB88" i="24"/>
  <c r="AB89" i="24"/>
  <c r="AC136" i="23"/>
  <c r="AB124" i="24"/>
  <c r="D98" i="23"/>
  <c r="D95" i="23"/>
  <c r="D76" i="23"/>
  <c r="G31" i="16"/>
  <c r="AN68" i="24"/>
  <c r="AN103" i="24"/>
  <c r="AN98" i="24"/>
  <c r="AN67" i="24"/>
  <c r="AN133" i="24"/>
  <c r="B94" i="24"/>
  <c r="C94" i="24"/>
  <c r="D94" i="24"/>
  <c r="E94" i="24"/>
  <c r="F94" i="24"/>
  <c r="G94" i="24"/>
  <c r="H94" i="24"/>
  <c r="I94" i="24"/>
  <c r="J94" i="24"/>
  <c r="K94" i="24"/>
  <c r="L94" i="24"/>
  <c r="M94" i="24"/>
  <c r="N94" i="24"/>
  <c r="O94" i="24"/>
  <c r="P94" i="24"/>
  <c r="Q94" i="24"/>
  <c r="R94" i="24"/>
  <c r="S94" i="24"/>
  <c r="T94" i="24"/>
  <c r="U94" i="24"/>
  <c r="V94" i="24"/>
  <c r="W94" i="24"/>
  <c r="X94" i="24"/>
  <c r="Y94" i="24"/>
  <c r="Z94" i="24"/>
  <c r="AA94" i="24"/>
  <c r="AB94" i="24"/>
  <c r="AC94" i="24"/>
  <c r="AD94" i="24"/>
  <c r="AE94" i="24"/>
  <c r="AF94" i="24"/>
  <c r="AG94" i="24"/>
  <c r="AH94" i="24"/>
  <c r="AI94" i="24"/>
  <c r="AJ94" i="24"/>
  <c r="AK94" i="24"/>
  <c r="AK92" i="24"/>
  <c r="AI88" i="24"/>
  <c r="AI124" i="24"/>
  <c r="AJ136" i="23"/>
  <c r="AI103" i="24"/>
  <c r="AI98" i="24"/>
  <c r="AI89" i="24"/>
  <c r="W417" i="16"/>
  <c r="CY417" i="16"/>
  <c r="V417" i="16"/>
  <c r="W279" i="16"/>
  <c r="CY279" i="16"/>
  <c r="V279" i="16"/>
  <c r="W495" i="16"/>
  <c r="CY495" i="16"/>
  <c r="V495" i="16"/>
  <c r="W332" i="16"/>
  <c r="CY332" i="16"/>
  <c r="V332" i="16"/>
  <c r="V434" i="16"/>
  <c r="CY434" i="16"/>
  <c r="W434" i="16"/>
  <c r="W481" i="16"/>
  <c r="CY481" i="16"/>
  <c r="V481" i="16"/>
  <c r="V73" i="16"/>
  <c r="CY73" i="16"/>
  <c r="W73" i="16"/>
  <c r="V393" i="16"/>
  <c r="CY393" i="16"/>
  <c r="W393" i="16"/>
  <c r="O68" i="24"/>
  <c r="O67" i="24"/>
  <c r="O133" i="24"/>
  <c r="V282" i="16"/>
  <c r="CY282" i="16"/>
  <c r="W282" i="16"/>
  <c r="V54" i="16"/>
  <c r="CY54" i="16"/>
  <c r="W54" i="16"/>
  <c r="V471" i="16"/>
  <c r="CY471" i="16"/>
  <c r="W471" i="16"/>
  <c r="J124" i="24"/>
  <c r="J89" i="24"/>
  <c r="K136" i="23"/>
  <c r="J103" i="24"/>
  <c r="J98" i="24"/>
  <c r="J88" i="24"/>
  <c r="F111" i="24"/>
  <c r="F116" i="24"/>
  <c r="AF106" i="23"/>
  <c r="AF109" i="23"/>
  <c r="AC133" i="24"/>
  <c r="AC103" i="24"/>
  <c r="AC98" i="24"/>
  <c r="AC67" i="24"/>
  <c r="AC68" i="24"/>
  <c r="W317" i="16"/>
  <c r="CY317" i="16"/>
  <c r="V317" i="16"/>
  <c r="AM124" i="24"/>
  <c r="AM89" i="24"/>
  <c r="AN136" i="23"/>
  <c r="AM103" i="24"/>
  <c r="AM98" i="24"/>
  <c r="AM88" i="24"/>
  <c r="O88" i="24"/>
  <c r="P136" i="23"/>
  <c r="O89" i="24"/>
  <c r="O103" i="24"/>
  <c r="O98" i="24"/>
  <c r="O124" i="24"/>
  <c r="V136" i="16"/>
  <c r="CY136" i="16"/>
  <c r="W136" i="16"/>
  <c r="AJ131" i="23"/>
  <c r="AJ137" i="23"/>
  <c r="AJ130" i="23"/>
  <c r="AJ132" i="23"/>
  <c r="V78" i="16"/>
  <c r="CY78" i="16"/>
  <c r="W78" i="16"/>
  <c r="W345" i="16"/>
  <c r="CY345" i="16"/>
  <c r="V345" i="16"/>
  <c r="AL103" i="23"/>
  <c r="AN103" i="23"/>
  <c r="AK99" i="23"/>
  <c r="AS103" i="23"/>
  <c r="U99" i="23"/>
  <c r="F99" i="23"/>
  <c r="AA99" i="23"/>
  <c r="I99" i="23"/>
  <c r="N103" i="23"/>
  <c r="M103" i="23"/>
  <c r="AR99" i="23"/>
  <c r="G99" i="23"/>
  <c r="Z103" i="23"/>
  <c r="AD99" i="23"/>
  <c r="AE99" i="23"/>
  <c r="AG99" i="23"/>
  <c r="G103" i="23"/>
  <c r="AN99" i="23"/>
  <c r="AB99" i="23"/>
  <c r="N99" i="23"/>
  <c r="T103" i="23"/>
  <c r="W99" i="23"/>
  <c r="S103" i="23"/>
  <c r="AE103" i="23"/>
  <c r="J103" i="23"/>
  <c r="B87" i="23"/>
  <c r="AH99" i="23"/>
  <c r="Q103" i="23"/>
  <c r="U103" i="23"/>
  <c r="AF99" i="23"/>
  <c r="AV103" i="23"/>
  <c r="AT103" i="23"/>
  <c r="AQ103" i="23"/>
  <c r="AP99" i="23"/>
  <c r="AJ99" i="23"/>
  <c r="E103" i="23"/>
  <c r="M99" i="23"/>
  <c r="AD103" i="23"/>
  <c r="V99" i="23"/>
  <c r="AU103" i="23"/>
  <c r="AO103" i="23"/>
  <c r="O99" i="23"/>
  <c r="P99" i="23"/>
  <c r="AK103" i="23"/>
  <c r="K103" i="23"/>
  <c r="AC99" i="23"/>
  <c r="AC103" i="23"/>
  <c r="AH103" i="23"/>
  <c r="AT99" i="23"/>
  <c r="AA103" i="23"/>
  <c r="H99" i="23"/>
  <c r="X103" i="23"/>
  <c r="Z99" i="23"/>
  <c r="X99" i="23"/>
  <c r="AB103" i="23"/>
  <c r="R103" i="23"/>
  <c r="AV99" i="23"/>
  <c r="AP103" i="23"/>
  <c r="R99" i="23"/>
  <c r="AJ103" i="23"/>
  <c r="AU99" i="23"/>
  <c r="O103" i="23"/>
  <c r="AS99" i="23"/>
  <c r="D103" i="23"/>
  <c r="J99" i="23"/>
  <c r="Q99" i="23"/>
  <c r="AG103" i="23"/>
  <c r="C99" i="23"/>
  <c r="K99" i="23"/>
  <c r="E99" i="23"/>
  <c r="AM99" i="23"/>
  <c r="T99" i="23"/>
  <c r="AO99" i="23"/>
  <c r="P103" i="23"/>
  <c r="AI99" i="23"/>
  <c r="L99" i="23"/>
  <c r="AF103" i="23"/>
  <c r="V103" i="23"/>
  <c r="D99" i="23"/>
  <c r="C103" i="23"/>
  <c r="H103" i="23"/>
  <c r="W103" i="23"/>
  <c r="Y99" i="23"/>
  <c r="Y103" i="23"/>
  <c r="AI103" i="23"/>
  <c r="AQ99" i="23"/>
  <c r="I103" i="23"/>
  <c r="AM103" i="23"/>
  <c r="L103" i="23"/>
  <c r="AL99" i="23"/>
  <c r="S99" i="23"/>
  <c r="F103" i="23"/>
  <c r="C55" i="24"/>
  <c r="B83" i="23"/>
  <c r="AR103" i="23"/>
  <c r="W268" i="16"/>
  <c r="CY268" i="16"/>
  <c r="V268" i="16"/>
  <c r="C83" i="24"/>
  <c r="AH113" i="23"/>
  <c r="AK107" i="24"/>
  <c r="AS107" i="24"/>
  <c r="N120" i="24"/>
  <c r="AP83" i="24"/>
  <c r="Z113" i="23"/>
  <c r="T113" i="23"/>
  <c r="AS83" i="24"/>
  <c r="AK113" i="23"/>
  <c r="AE107" i="24"/>
  <c r="AN107" i="24"/>
  <c r="W120" i="24"/>
  <c r="J83" i="24"/>
  <c r="O113" i="23"/>
  <c r="Y83" i="24"/>
  <c r="AL107" i="24"/>
  <c r="Y120" i="24"/>
  <c r="AB107" i="24"/>
  <c r="AM113" i="23"/>
  <c r="Q120" i="24"/>
  <c r="Q113" i="23"/>
  <c r="G113" i="23"/>
  <c r="F83" i="24"/>
  <c r="AA107" i="24"/>
  <c r="E83" i="24"/>
  <c r="X107" i="24"/>
  <c r="AP120" i="24"/>
  <c r="W113" i="23"/>
  <c r="M120" i="24"/>
  <c r="R83" i="24"/>
  <c r="S120" i="24"/>
  <c r="AG107" i="24"/>
  <c r="AT113" i="23"/>
  <c r="L83" i="24"/>
  <c r="AN83" i="24"/>
  <c r="AU107" i="24"/>
  <c r="N113" i="23"/>
  <c r="AQ83" i="24"/>
  <c r="D35" i="24"/>
  <c r="X120" i="24"/>
  <c r="AJ113" i="23"/>
  <c r="X83" i="24"/>
  <c r="H113" i="23"/>
  <c r="AC120" i="24"/>
  <c r="AB83" i="24"/>
  <c r="AA120" i="24"/>
  <c r="B120" i="24"/>
  <c r="AR113" i="23"/>
  <c r="AM107" i="24"/>
  <c r="AD83" i="24"/>
  <c r="V113" i="23"/>
  <c r="S113" i="23"/>
  <c r="AC113" i="23"/>
  <c r="AS120" i="24"/>
  <c r="L120" i="24"/>
  <c r="I83" i="24"/>
  <c r="AD120" i="24"/>
  <c r="T83" i="24"/>
  <c r="Z107" i="24"/>
  <c r="AK83" i="24"/>
  <c r="AO113" i="23"/>
  <c r="O120" i="24"/>
  <c r="Z83" i="24"/>
  <c r="AR83" i="24"/>
  <c r="F120" i="24"/>
  <c r="Z120" i="24"/>
  <c r="AE120" i="24"/>
  <c r="AL113" i="23"/>
  <c r="AI107" i="24"/>
  <c r="V83" i="24"/>
  <c r="AU120" i="24"/>
  <c r="AP107" i="24"/>
  <c r="J120" i="24"/>
  <c r="AH107" i="24"/>
  <c r="AG113" i="23"/>
  <c r="AO107" i="24"/>
  <c r="AF113" i="23"/>
  <c r="C37" i="24"/>
  <c r="AH83" i="24"/>
  <c r="S83" i="24"/>
  <c r="AL83" i="24"/>
  <c r="Y113" i="23"/>
  <c r="E113" i="23"/>
  <c r="T120" i="24"/>
  <c r="AP113" i="23"/>
  <c r="AE113" i="23"/>
  <c r="G120" i="24"/>
  <c r="AF107" i="24"/>
  <c r="AG120" i="24"/>
  <c r="AT107" i="24"/>
  <c r="AU113" i="23"/>
  <c r="M113" i="23"/>
  <c r="AA113" i="23"/>
  <c r="AT120" i="24"/>
  <c r="M83" i="24"/>
  <c r="AL120" i="24"/>
  <c r="D36" i="24"/>
  <c r="AO83" i="24"/>
  <c r="D33" i="24"/>
  <c r="Q83" i="24"/>
  <c r="AH120" i="24"/>
  <c r="AQ120" i="24"/>
  <c r="AG83" i="24"/>
  <c r="D83" i="24"/>
  <c r="AB113" i="23"/>
  <c r="H83" i="24"/>
  <c r="G83" i="24"/>
  <c r="AM120" i="24"/>
  <c r="AI83" i="24"/>
  <c r="B83" i="24"/>
  <c r="AE83" i="24"/>
  <c r="N83" i="24"/>
  <c r="AT83" i="24"/>
  <c r="K120" i="24"/>
  <c r="AO120" i="24"/>
  <c r="AF120" i="24"/>
  <c r="R120" i="24"/>
  <c r="AQ113" i="23"/>
  <c r="U83" i="24"/>
  <c r="I113" i="23"/>
  <c r="V120" i="24"/>
  <c r="W83" i="24"/>
  <c r="P120" i="24"/>
  <c r="AQ107" i="24"/>
  <c r="R113" i="23"/>
  <c r="C120" i="24"/>
  <c r="L113" i="23"/>
  <c r="I120" i="24"/>
  <c r="AV113" i="23"/>
  <c r="AR107" i="24"/>
  <c r="E120" i="24"/>
  <c r="U113" i="23"/>
  <c r="F113" i="23"/>
  <c r="X113" i="23"/>
  <c r="C113" i="23"/>
  <c r="J113" i="23"/>
  <c r="AN113" i="23"/>
  <c r="AU83" i="24"/>
  <c r="AJ107" i="24"/>
  <c r="AR120" i="24"/>
  <c r="AC107" i="24"/>
  <c r="O83" i="24"/>
  <c r="AA83" i="24"/>
  <c r="AM83" i="24"/>
  <c r="U120" i="24"/>
  <c r="AK120" i="24"/>
  <c r="K113" i="23"/>
  <c r="C34" i="24"/>
  <c r="AB120" i="24"/>
  <c r="AF83" i="24"/>
  <c r="K83" i="24"/>
  <c r="AD107" i="24"/>
  <c r="Y107" i="24"/>
  <c r="AS113" i="23"/>
  <c r="D113" i="23"/>
  <c r="AN120" i="24"/>
  <c r="C35" i="24"/>
  <c r="AJ120" i="24"/>
  <c r="AC83" i="24"/>
  <c r="AI120" i="24"/>
  <c r="AI113" i="23"/>
  <c r="AJ83" i="24"/>
  <c r="H120" i="24"/>
  <c r="D120" i="24"/>
  <c r="D34" i="24"/>
  <c r="P113" i="23"/>
  <c r="P83" i="24"/>
  <c r="AD113" i="23"/>
  <c r="V155" i="16"/>
  <c r="CY155" i="16"/>
  <c r="W155" i="16"/>
  <c r="V364" i="16"/>
  <c r="CY364" i="16"/>
  <c r="W364" i="16"/>
  <c r="W485" i="16"/>
  <c r="CY485" i="16"/>
  <c r="V485" i="16"/>
  <c r="AV76" i="23"/>
  <c r="AV98" i="23"/>
  <c r="AV95" i="23"/>
  <c r="AV93" i="23"/>
  <c r="AB133" i="24"/>
  <c r="AB103" i="24"/>
  <c r="AB98" i="24"/>
  <c r="AB67" i="24"/>
  <c r="AB68" i="24"/>
  <c r="AE76" i="23"/>
  <c r="AE98" i="23"/>
  <c r="AE95" i="23"/>
  <c r="AE93" i="23"/>
  <c r="V397" i="16"/>
  <c r="CY397" i="16"/>
  <c r="W397" i="16"/>
  <c r="V398" i="16"/>
  <c r="CY398" i="16"/>
  <c r="W398" i="16"/>
  <c r="V173" i="16"/>
  <c r="CY173" i="16"/>
  <c r="W173" i="16"/>
  <c r="AB132" i="23"/>
  <c r="AB137" i="23"/>
  <c r="AB130" i="23"/>
  <c r="AB131" i="23"/>
  <c r="W369" i="16"/>
  <c r="CY369" i="16"/>
  <c r="V369" i="16"/>
  <c r="Q90" i="24"/>
  <c r="K90" i="24"/>
  <c r="AI90" i="24"/>
  <c r="Z90" i="24"/>
  <c r="AQ90" i="24"/>
  <c r="G90" i="24"/>
  <c r="L90" i="24"/>
  <c r="R90" i="24"/>
  <c r="J90" i="24"/>
  <c r="AS90" i="24"/>
  <c r="P90" i="24"/>
  <c r="W90" i="24"/>
  <c r="AB90" i="24"/>
  <c r="AC90" i="24"/>
  <c r="AE90" i="24"/>
  <c r="T90" i="24"/>
  <c r="AO90" i="24"/>
  <c r="E90" i="24"/>
  <c r="I90" i="24"/>
  <c r="AR90" i="24"/>
  <c r="H90" i="24"/>
  <c r="X90" i="24"/>
  <c r="AU90" i="24"/>
  <c r="C90" i="24"/>
  <c r="D90" i="24"/>
  <c r="AN90" i="24"/>
  <c r="AF90" i="24"/>
  <c r="AG90" i="24"/>
  <c r="AT90" i="24"/>
  <c r="AL90" i="24"/>
  <c r="AK90" i="24"/>
  <c r="U90" i="24"/>
  <c r="AA90" i="24"/>
  <c r="M90" i="24"/>
  <c r="AJ90" i="24"/>
  <c r="AD90" i="24"/>
  <c r="B90" i="24"/>
  <c r="V90" i="24"/>
  <c r="S90" i="24"/>
  <c r="Y90" i="24"/>
  <c r="O90" i="24"/>
  <c r="AP90" i="24"/>
  <c r="AM90" i="24"/>
  <c r="F90" i="24"/>
  <c r="N90" i="24"/>
  <c r="C36" i="24"/>
  <c r="AH90" i="24"/>
  <c r="V474" i="16"/>
  <c r="CY474" i="16"/>
  <c r="W474" i="16"/>
  <c r="AG76" i="23"/>
  <c r="AG98" i="23"/>
  <c r="AG95" i="23"/>
  <c r="AG93" i="23"/>
  <c r="W254" i="16"/>
  <c r="CY254" i="16"/>
  <c r="V254" i="16"/>
  <c r="V190" i="16"/>
  <c r="CY190" i="16"/>
  <c r="W190" i="16"/>
  <c r="EG431" i="16"/>
  <c r="DV90" i="16"/>
  <c r="DC73" i="16"/>
  <c r="ES397" i="16"/>
  <c r="ED135" i="16"/>
  <c r="DR126" i="16"/>
  <c r="EK103" i="16"/>
  <c r="DH374" i="16"/>
  <c r="CZ475" i="16"/>
  <c r="EE418" i="16"/>
  <c r="DJ110" i="16"/>
  <c r="DD431" i="16"/>
  <c r="EI284" i="16"/>
  <c r="EF151" i="16"/>
  <c r="CZ111" i="16"/>
  <c r="DB494" i="16"/>
  <c r="EK317" i="16"/>
  <c r="DL286" i="16"/>
  <c r="CZ493" i="16"/>
  <c r="EB366" i="16"/>
  <c r="EN197" i="16"/>
  <c r="EG414" i="16"/>
  <c r="CZ372" i="16"/>
  <c r="DD371" i="16"/>
  <c r="EO482" i="16"/>
  <c r="EJ258" i="16"/>
  <c r="DX108" i="16"/>
  <c r="DC496" i="16"/>
  <c r="EA196" i="16"/>
  <c r="DW424" i="16"/>
  <c r="EK197" i="16"/>
  <c r="DD479" i="16"/>
  <c r="DK448" i="16"/>
  <c r="DA485" i="16"/>
  <c r="DH372" i="16"/>
  <c r="DQ395" i="16"/>
  <c r="DC163" i="16"/>
  <c r="EH435" i="16"/>
  <c r="EI210" i="16"/>
  <c r="DI195" i="16"/>
  <c r="EC124" i="16"/>
  <c r="DD225" i="16"/>
  <c r="EC466" i="16"/>
  <c r="DM370" i="16"/>
  <c r="EO158" i="16"/>
  <c r="DZ300" i="16"/>
  <c r="DP285" i="16"/>
  <c r="DS417" i="16"/>
  <c r="DH360" i="16"/>
  <c r="DR383" i="16"/>
  <c r="EQ313" i="16"/>
  <c r="DA226" i="16"/>
  <c r="DJ407" i="16"/>
  <c r="EI345" i="16"/>
  <c r="ES226" i="16"/>
  <c r="DM141" i="16"/>
  <c r="DA250" i="16"/>
  <c r="DP419" i="16"/>
  <c r="DY462" i="16"/>
  <c r="DC428" i="16"/>
  <c r="EF169" i="16"/>
  <c r="DE510" i="16"/>
  <c r="EH287" i="16"/>
  <c r="DY393" i="16"/>
  <c r="DN279" i="16"/>
  <c r="EF440" i="16"/>
  <c r="DQ303" i="16"/>
  <c r="DQ167" i="16"/>
  <c r="EB249" i="16"/>
  <c r="DS379" i="16"/>
  <c r="DE341" i="16"/>
  <c r="EP110" i="16"/>
  <c r="DW50" i="16"/>
  <c r="DS183" i="16"/>
  <c r="DT312" i="16"/>
  <c r="DF178" i="16"/>
  <c r="EH174" i="16"/>
  <c r="CZ89" i="16"/>
  <c r="ER418" i="16"/>
  <c r="EN67" i="16"/>
  <c r="EG445" i="16"/>
  <c r="EL191" i="16"/>
  <c r="EF131" i="16"/>
  <c r="DM463" i="16"/>
  <c r="DI199" i="16"/>
  <c r="DV150" i="16"/>
  <c r="DT323" i="16"/>
  <c r="DB466" i="16"/>
  <c r="ES482" i="16"/>
  <c r="CZ351" i="16"/>
  <c r="EB287" i="16"/>
  <c r="DO458" i="16"/>
  <c r="EM84" i="16"/>
  <c r="EK95" i="16"/>
  <c r="DO342" i="16"/>
  <c r="DF465" i="16"/>
  <c r="EG214" i="16"/>
  <c r="DN498" i="16"/>
  <c r="EB123" i="16"/>
  <c r="DS292" i="16"/>
  <c r="EC400" i="16"/>
  <c r="DC450" i="16"/>
  <c r="EG307" i="16"/>
  <c r="DR271" i="16"/>
  <c r="DS92" i="16"/>
  <c r="DI310" i="16"/>
  <c r="EQ194" i="16"/>
  <c r="ER407" i="16"/>
  <c r="EK450" i="16"/>
  <c r="EC506" i="16"/>
  <c r="DG499" i="16"/>
  <c r="DB406" i="16"/>
  <c r="DE491" i="16"/>
  <c r="DF484" i="16"/>
  <c r="DQ147" i="16"/>
  <c r="DK346" i="16"/>
  <c r="DZ182" i="16"/>
  <c r="EF339" i="16"/>
  <c r="DN101" i="16"/>
  <c r="EJ468" i="16"/>
  <c r="DT351" i="16"/>
  <c r="DJ402" i="16"/>
  <c r="EO86" i="16"/>
  <c r="ES218" i="16"/>
  <c r="DK437" i="16"/>
  <c r="DQ280" i="16"/>
  <c r="DU54" i="16"/>
  <c r="DB200" i="16"/>
  <c r="ED430" i="16"/>
  <c r="ES490" i="16"/>
  <c r="DA329" i="16"/>
  <c r="ER337" i="16"/>
  <c r="DD209" i="16"/>
  <c r="DL428" i="16"/>
  <c r="ER372" i="16"/>
  <c r="DC382" i="16"/>
  <c r="DY492" i="16"/>
  <c r="DH191" i="16"/>
  <c r="EN276" i="16"/>
  <c r="EM125" i="16"/>
  <c r="EB353" i="16"/>
  <c r="ES132" i="16"/>
  <c r="EE212" i="16"/>
  <c r="DV401" i="16"/>
  <c r="DK381" i="16"/>
  <c r="EJ57" i="16"/>
  <c r="DI498" i="16"/>
  <c r="DW321" i="16"/>
  <c r="EA403" i="16"/>
  <c r="DA481" i="16"/>
  <c r="EN408" i="16"/>
  <c r="CZ361" i="16"/>
  <c r="DE436" i="16"/>
  <c r="DF391" i="16"/>
  <c r="EP143" i="16"/>
  <c r="DX389" i="16"/>
  <c r="CZ466" i="16"/>
  <c r="EB129" i="16"/>
  <c r="CZ138" i="16"/>
  <c r="DH122" i="16"/>
  <c r="DI509" i="16"/>
  <c r="DR501" i="16"/>
  <c r="DX58" i="16"/>
  <c r="DA131" i="16"/>
  <c r="DL91" i="16"/>
  <c r="DX510" i="16"/>
  <c r="EP345" i="16"/>
  <c r="DX121" i="16"/>
  <c r="DE315" i="16"/>
  <c r="DQ104" i="16"/>
  <c r="EH72" i="16"/>
  <c r="DL245" i="16"/>
  <c r="EB86" i="16"/>
  <c r="DM273" i="16"/>
  <c r="EL141" i="16"/>
  <c r="DT448" i="16"/>
  <c r="DW181" i="16"/>
  <c r="EC416" i="16"/>
  <c r="DC484" i="16"/>
  <c r="DZ463" i="16"/>
  <c r="DU420" i="16"/>
  <c r="ES509" i="16"/>
  <c r="DD299" i="16"/>
  <c r="EN491" i="16"/>
  <c r="EB339" i="16"/>
  <c r="EF285" i="16"/>
  <c r="ER494" i="16"/>
  <c r="DU476" i="16"/>
  <c r="EI495" i="16"/>
  <c r="EO419" i="16"/>
  <c r="EE326" i="16"/>
  <c r="DT301" i="16"/>
  <c r="DD158" i="16"/>
  <c r="EK501" i="16"/>
  <c r="DR133" i="16"/>
  <c r="DV359" i="16"/>
  <c r="EQ238" i="16"/>
  <c r="DU157" i="16"/>
  <c r="EM378" i="16"/>
  <c r="EM71" i="16"/>
  <c r="EQ101" i="16"/>
  <c r="EK84" i="16"/>
  <c r="ER451" i="16"/>
  <c r="DW184" i="16"/>
  <c r="EG289" i="16"/>
  <c r="DD397" i="16"/>
  <c r="EB352" i="16"/>
  <c r="DT427" i="16"/>
  <c r="EP376" i="16"/>
  <c r="EH348" i="16"/>
  <c r="EP486" i="16"/>
  <c r="EQ371" i="16"/>
  <c r="CZ414" i="16"/>
  <c r="DI275" i="16"/>
  <c r="DW202" i="16"/>
  <c r="DP327" i="16"/>
  <c r="DK228" i="16"/>
  <c r="DR79" i="16"/>
  <c r="EG271" i="16"/>
  <c r="DY463" i="16"/>
  <c r="EA242" i="16"/>
  <c r="DU328" i="16"/>
  <c r="DP153" i="16"/>
  <c r="EQ226" i="16"/>
  <c r="EN183" i="16"/>
  <c r="DD401" i="16"/>
  <c r="EF230" i="16"/>
  <c r="EL364" i="16"/>
  <c r="EO437" i="16"/>
  <c r="DQ366" i="16"/>
  <c r="EO395" i="16"/>
  <c r="DX504" i="16"/>
  <c r="CZ242" i="16"/>
  <c r="DB422" i="16"/>
  <c r="EE230" i="16"/>
  <c r="ED431" i="16"/>
  <c r="DK456" i="16"/>
  <c r="EN215" i="16"/>
  <c r="DH355" i="16"/>
  <c r="EQ88" i="16"/>
  <c r="ED245" i="16"/>
  <c r="ER56" i="16"/>
  <c r="DO255" i="16"/>
  <c r="EK128" i="16"/>
  <c r="EE304" i="16"/>
  <c r="DO137" i="16"/>
  <c r="EH211" i="16"/>
  <c r="EM483" i="16"/>
  <c r="EN60" i="16"/>
  <c r="DI264" i="16"/>
  <c r="DY371" i="16"/>
  <c r="DL449" i="16"/>
  <c r="DI369" i="16"/>
  <c r="DB296" i="16"/>
  <c r="EM317" i="16"/>
  <c r="DV338" i="16"/>
  <c r="DN410" i="16"/>
  <c r="EQ78" i="16"/>
  <c r="EL297" i="16"/>
  <c r="DP335" i="16"/>
  <c r="DX294" i="16"/>
  <c r="DX298" i="16"/>
  <c r="EH310" i="16"/>
  <c r="DI164" i="16"/>
  <c r="EE482" i="16"/>
  <c r="DX284" i="16"/>
  <c r="DP398" i="16"/>
  <c r="DS420" i="16"/>
  <c r="ER379" i="16"/>
  <c r="EF237" i="16"/>
  <c r="DZ206" i="16"/>
  <c r="EA295" i="16"/>
  <c r="DQ248" i="16"/>
  <c r="DY279" i="16"/>
  <c r="DD481" i="16"/>
  <c r="DD53" i="16"/>
  <c r="DN396" i="16"/>
  <c r="EF295" i="16"/>
  <c r="DS294" i="16"/>
  <c r="DB433" i="16"/>
  <c r="DT63" i="16"/>
  <c r="DG339" i="16"/>
  <c r="EH477" i="16"/>
  <c r="DQ510" i="16"/>
  <c r="DQ360" i="16"/>
  <c r="ED158" i="16"/>
  <c r="CZ167" i="16"/>
  <c r="DT477" i="16"/>
  <c r="DM434" i="16"/>
  <c r="DD338" i="16"/>
  <c r="DR124" i="16"/>
  <c r="DZ418" i="16"/>
  <c r="EB174" i="16"/>
  <c r="EI298" i="16"/>
  <c r="EB273" i="16"/>
  <c r="DM411" i="16"/>
  <c r="DZ392" i="16"/>
  <c r="DC433" i="16"/>
  <c r="DC427" i="16"/>
  <c r="DB219" i="16"/>
  <c r="EG191" i="16"/>
  <c r="DB338" i="16"/>
  <c r="EN402" i="16"/>
  <c r="EM511" i="16"/>
  <c r="EA101" i="16"/>
  <c r="EK493" i="16"/>
  <c r="DL473" i="16"/>
  <c r="EL70" i="16"/>
  <c r="DS435" i="16"/>
  <c r="DS314" i="16"/>
  <c r="DU247" i="16"/>
  <c r="DJ506" i="16"/>
  <c r="DE445" i="16"/>
  <c r="DF504" i="16"/>
  <c r="DC316" i="16"/>
  <c r="DT400" i="16"/>
  <c r="DM498" i="16"/>
  <c r="EI310" i="16"/>
  <c r="DO462" i="16"/>
  <c r="DB195" i="16"/>
  <c r="EB308" i="16"/>
  <c r="EE175" i="16"/>
  <c r="DL417" i="16"/>
  <c r="ER254" i="16"/>
  <c r="EO52" i="16"/>
  <c r="DL464" i="16"/>
  <c r="EE504" i="16"/>
  <c r="DV510" i="16"/>
  <c r="DJ122" i="16"/>
  <c r="DY87" i="16"/>
  <c r="DN362" i="16"/>
  <c r="DB173" i="16"/>
  <c r="DS365" i="16"/>
  <c r="EG277" i="16"/>
  <c r="DI514" i="16"/>
  <c r="EA228" i="16"/>
  <c r="DT70" i="16"/>
  <c r="DD117" i="16"/>
  <c r="DY475" i="16"/>
  <c r="DV488" i="16"/>
  <c r="DA351" i="16"/>
  <c r="DC396" i="16"/>
  <c r="DB156" i="16"/>
  <c r="DL162" i="16"/>
  <c r="ES408" i="16"/>
  <c r="EK440" i="16"/>
  <c r="DH439" i="16"/>
  <c r="EM394" i="16"/>
  <c r="DV239" i="16"/>
  <c r="EH269" i="16"/>
  <c r="DI93" i="16"/>
  <c r="ED455" i="16"/>
  <c r="DN500" i="16"/>
  <c r="ES418" i="16"/>
  <c r="DJ296" i="16"/>
  <c r="DI326" i="16"/>
  <c r="EN247" i="16"/>
  <c r="DO288" i="16"/>
  <c r="EO154" i="16"/>
  <c r="DL387" i="16"/>
  <c r="DN420" i="16"/>
  <c r="EA501" i="16"/>
  <c r="EL59" i="16"/>
  <c r="DQ217" i="16"/>
  <c r="EF455" i="16"/>
  <c r="DR368" i="16"/>
  <c r="DM480" i="16"/>
  <c r="DO287" i="16"/>
  <c r="DS240" i="16"/>
  <c r="EJ181" i="16"/>
  <c r="DZ316" i="16"/>
  <c r="ES302" i="16"/>
  <c r="EC282" i="16"/>
  <c r="DO349" i="16"/>
  <c r="DV393" i="16"/>
  <c r="DE423" i="16"/>
  <c r="DM280" i="16"/>
  <c r="EC161" i="16"/>
  <c r="DG169" i="16"/>
  <c r="EN78" i="16"/>
  <c r="DX182" i="16"/>
  <c r="EA290" i="16"/>
  <c r="EQ393" i="16"/>
  <c r="EN168" i="16"/>
  <c r="DN71" i="16"/>
  <c r="EL55" i="16"/>
  <c r="ER436" i="16"/>
  <c r="EM342" i="16"/>
  <c r="DA367" i="16"/>
  <c r="DA73" i="16"/>
  <c r="DJ447" i="16"/>
  <c r="DW371" i="16"/>
  <c r="EC441" i="16"/>
  <c r="EM465" i="16"/>
  <c r="ES349" i="16"/>
  <c r="DC281" i="16"/>
  <c r="DJ476" i="16"/>
  <c r="EP66" i="16"/>
  <c r="EJ243" i="16"/>
  <c r="EK468" i="16"/>
  <c r="DC192" i="16"/>
  <c r="EH182" i="16"/>
  <c r="EB367" i="16"/>
  <c r="EE440" i="16"/>
  <c r="EL334" i="16"/>
  <c r="DE288" i="16"/>
  <c r="DU407" i="16"/>
  <c r="DY232" i="16"/>
  <c r="EL495" i="16"/>
  <c r="DB267" i="16"/>
  <c r="DA170" i="16"/>
  <c r="DC105" i="16"/>
  <c r="DI472" i="16"/>
  <c r="EA370" i="16"/>
  <c r="DQ444" i="16"/>
  <c r="DB340" i="16"/>
  <c r="EO187" i="16"/>
  <c r="EE348" i="16"/>
  <c r="DS491" i="16"/>
  <c r="DZ267" i="16"/>
  <c r="DQ391" i="16"/>
  <c r="EJ69" i="16"/>
  <c r="EN485" i="16"/>
  <c r="DG388" i="16"/>
  <c r="DY53" i="16"/>
  <c r="DZ200" i="16"/>
  <c r="EF388" i="16"/>
  <c r="EG470" i="16"/>
  <c r="ER338" i="16"/>
  <c r="DQ68" i="16"/>
  <c r="DA71" i="16"/>
  <c r="DR481" i="16"/>
  <c r="DZ63" i="16"/>
  <c r="DB249" i="16"/>
  <c r="ES369" i="16"/>
  <c r="DQ281" i="16"/>
  <c r="DZ464" i="16"/>
  <c r="DK300" i="16"/>
  <c r="ED405" i="16"/>
  <c r="EI398" i="16"/>
  <c r="DZ349" i="16"/>
  <c r="DE508" i="16"/>
  <c r="ES512" i="16"/>
  <c r="DV492" i="16"/>
  <c r="EQ355" i="16"/>
  <c r="DL380" i="16"/>
  <c r="DG504" i="16"/>
  <c r="DS145" i="16"/>
  <c r="EE309" i="16"/>
  <c r="DL510" i="16"/>
  <c r="DM369" i="16"/>
  <c r="EB314" i="16"/>
  <c r="DQ468" i="16"/>
  <c r="DM492" i="16"/>
  <c r="ER249" i="16"/>
  <c r="EB294" i="16"/>
  <c r="DO356" i="16"/>
  <c r="DQ143" i="16"/>
  <c r="DS176" i="16"/>
  <c r="EP165" i="16"/>
  <c r="DV196" i="16"/>
  <c r="DJ100" i="16"/>
  <c r="EP303" i="16"/>
  <c r="DA419" i="16"/>
  <c r="DW240" i="16"/>
  <c r="ES441" i="16"/>
  <c r="DQ368" i="16"/>
  <c r="EJ290" i="16"/>
  <c r="EE254" i="16"/>
  <c r="CZ456" i="16"/>
  <c r="DU187" i="16"/>
  <c r="EL73" i="16"/>
  <c r="DI425" i="16"/>
  <c r="DU274" i="16"/>
  <c r="DZ410" i="16"/>
  <c r="DD333" i="16"/>
  <c r="EF415" i="16"/>
  <c r="DP257" i="16"/>
  <c r="DB475" i="16"/>
  <c r="CZ462" i="16"/>
  <c r="DN260" i="16"/>
  <c r="DE497" i="16"/>
  <c r="DI186" i="16"/>
  <c r="DV436" i="16"/>
  <c r="DK507" i="16"/>
  <c r="DY496" i="16"/>
  <c r="ER189" i="16"/>
  <c r="DY474" i="16"/>
  <c r="DD317" i="16"/>
  <c r="EM343" i="16"/>
  <c r="EQ57" i="16"/>
  <c r="ER307" i="16"/>
  <c r="DO341" i="16"/>
  <c r="DW65" i="16"/>
  <c r="DC394" i="16"/>
  <c r="DS282" i="16"/>
  <c r="DS275" i="16"/>
  <c r="DC511" i="16"/>
  <c r="EQ253" i="16"/>
  <c r="EE71" i="16"/>
  <c r="DR412" i="16"/>
  <c r="EG362" i="16"/>
  <c r="DL103" i="16"/>
  <c r="DM270" i="16"/>
  <c r="EF52" i="16"/>
  <c r="DX480" i="16"/>
  <c r="EL293" i="16"/>
  <c r="DT293" i="16"/>
  <c r="EI375" i="16"/>
  <c r="EF236" i="16"/>
  <c r="DR367" i="16"/>
  <c r="DS385" i="16"/>
  <c r="DQ90" i="16"/>
  <c r="DL348" i="16"/>
  <c r="EC366" i="16"/>
  <c r="DI476" i="16"/>
  <c r="CZ300" i="16"/>
  <c r="DE471" i="16"/>
  <c r="DV303" i="16"/>
  <c r="EH409" i="16"/>
  <c r="EB247" i="16"/>
  <c r="EL255" i="16"/>
  <c r="DD412" i="16"/>
  <c r="DZ343" i="16"/>
  <c r="DZ357" i="16"/>
  <c r="DZ52" i="16"/>
  <c r="EC270" i="16"/>
  <c r="CZ442" i="16"/>
  <c r="DJ477" i="16"/>
  <c r="ED384" i="16"/>
  <c r="ER78" i="16"/>
  <c r="EO350" i="16"/>
  <c r="DQ156" i="16"/>
  <c r="EN313" i="16"/>
  <c r="DR245" i="16"/>
  <c r="CZ438" i="16"/>
  <c r="DN343" i="16"/>
  <c r="DG113" i="16"/>
  <c r="DF244" i="16"/>
  <c r="EB263" i="16"/>
  <c r="DG491" i="16"/>
  <c r="DH304" i="16"/>
  <c r="DK482" i="16"/>
  <c r="DT452" i="16"/>
  <c r="EB379" i="16"/>
  <c r="DE64" i="16"/>
  <c r="EA332" i="16"/>
  <c r="DE272" i="16"/>
  <c r="DX306" i="16"/>
  <c r="DT77" i="16"/>
  <c r="DS362" i="16"/>
  <c r="EB146" i="16"/>
  <c r="DV55" i="16"/>
  <c r="EF501" i="16"/>
  <c r="ES469" i="16"/>
  <c r="DT440" i="16"/>
  <c r="EB189" i="16"/>
  <c r="ER453" i="16"/>
  <c r="EM475" i="16"/>
  <c r="ER134" i="16"/>
  <c r="DD137" i="16"/>
  <c r="ES294" i="16"/>
  <c r="EL131" i="16"/>
  <c r="ES381" i="16"/>
  <c r="DP183" i="16"/>
  <c r="ES238" i="16"/>
  <c r="EA346" i="16"/>
  <c r="DS355" i="16"/>
  <c r="DB486" i="16"/>
  <c r="EJ189" i="16"/>
  <c r="DN139" i="16"/>
  <c r="EA376" i="16"/>
  <c r="DO432" i="16"/>
  <c r="EF372" i="16"/>
  <c r="EQ405" i="16"/>
  <c r="EO139" i="16"/>
  <c r="EE191" i="16"/>
  <c r="DX90" i="16"/>
  <c r="ES335" i="16"/>
  <c r="ER350" i="16"/>
  <c r="DA80" i="16"/>
  <c r="DD235" i="16"/>
  <c r="EF342" i="16"/>
  <c r="DV433" i="16"/>
  <c r="DF256" i="16"/>
  <c r="EI478" i="16"/>
  <c r="DS108" i="16"/>
  <c r="EJ125" i="16"/>
  <c r="DH485" i="16"/>
  <c r="DU315" i="16"/>
  <c r="EJ79" i="16"/>
  <c r="EJ259" i="16"/>
  <c r="EG440" i="16"/>
  <c r="EJ148" i="16"/>
  <c r="EI308" i="16"/>
  <c r="EE433" i="16"/>
  <c r="EN161" i="16"/>
  <c r="ES162" i="16"/>
  <c r="EH264" i="16"/>
  <c r="EL158" i="16"/>
  <c r="DF373" i="16"/>
  <c r="DU445" i="16"/>
  <c r="DK389" i="16"/>
  <c r="DO397" i="16"/>
  <c r="EK214" i="16"/>
  <c r="DN83" i="16"/>
  <c r="EK380" i="16"/>
  <c r="DJ442" i="16"/>
  <c r="DX119" i="16"/>
  <c r="EB293" i="16"/>
  <c r="DW274" i="16"/>
  <c r="DQ462" i="16"/>
  <c r="DB191" i="16"/>
  <c r="EG158" i="16"/>
  <c r="EG330" i="16"/>
  <c r="DL425" i="16"/>
  <c r="EA503" i="16"/>
  <c r="EO290" i="16"/>
  <c r="DD512" i="16"/>
  <c r="DH499" i="16"/>
  <c r="DJ473" i="16"/>
  <c r="EH470" i="16"/>
  <c r="CZ58" i="16"/>
  <c r="CZ233" i="16"/>
  <c r="DZ386" i="16"/>
  <c r="CZ321" i="16"/>
  <c r="EL229" i="16"/>
  <c r="DZ282" i="16"/>
  <c r="DQ415" i="16"/>
  <c r="DU88" i="16"/>
  <c r="EE450" i="16"/>
  <c r="EJ385" i="16"/>
  <c r="ES108" i="16"/>
  <c r="DQ88" i="16"/>
  <c r="DC293" i="16"/>
  <c r="EI149" i="16"/>
  <c r="EH210" i="16"/>
  <c r="DO98" i="16"/>
  <c r="DC362" i="16"/>
  <c r="DT103" i="16"/>
  <c r="DE344" i="16"/>
  <c r="DR339" i="16"/>
  <c r="EE423" i="16"/>
  <c r="DF397" i="16"/>
  <c r="EB214" i="16"/>
  <c r="EN449" i="16"/>
  <c r="ED421" i="16"/>
  <c r="DI395" i="16"/>
  <c r="ES182" i="16"/>
  <c r="DH348" i="16"/>
  <c r="DV292" i="16"/>
  <c r="DW334" i="16"/>
  <c r="DA310" i="16"/>
  <c r="DA262" i="16"/>
  <c r="EK56" i="16"/>
  <c r="DV516" i="16"/>
  <c r="DX488" i="16"/>
  <c r="DI276" i="16"/>
  <c r="EM236" i="16"/>
  <c r="DC356" i="16"/>
  <c r="EG305" i="16"/>
  <c r="DD136" i="16"/>
  <c r="DH333" i="16"/>
  <c r="DO425" i="16"/>
  <c r="DT192" i="16"/>
  <c r="EH93" i="16"/>
  <c r="EC475" i="16"/>
  <c r="EG464" i="16"/>
  <c r="EQ154" i="16"/>
  <c r="DP319" i="16"/>
  <c r="DN367" i="16"/>
  <c r="EB265" i="16"/>
  <c r="EJ420" i="16"/>
  <c r="DR293" i="16"/>
  <c r="EL85" i="16"/>
  <c r="EH237" i="16"/>
  <c r="DU248" i="16"/>
  <c r="DB400" i="16"/>
  <c r="DJ327" i="16"/>
  <c r="DE383" i="16"/>
  <c r="DE511" i="16"/>
  <c r="DT216" i="16"/>
  <c r="CZ516" i="16"/>
  <c r="DK467" i="16"/>
  <c r="EO481" i="16"/>
  <c r="DQ460" i="16"/>
  <c r="ER235" i="16"/>
  <c r="EH421" i="16"/>
  <c r="EL170" i="16"/>
  <c r="DZ254" i="16"/>
  <c r="DI491" i="16"/>
  <c r="DT108" i="16"/>
  <c r="DQ153" i="16"/>
  <c r="DO77" i="16"/>
  <c r="DF304" i="16"/>
  <c r="DV428" i="16"/>
  <c r="DH514" i="16"/>
  <c r="DZ303" i="16"/>
  <c r="DL381" i="16"/>
  <c r="CZ363" i="16"/>
  <c r="DH409" i="16"/>
  <c r="EI330" i="16"/>
  <c r="DF385" i="16"/>
  <c r="DW489" i="16"/>
  <c r="DD493" i="16"/>
  <c r="DH279" i="16"/>
  <c r="DT69" i="16"/>
  <c r="DJ234" i="16"/>
  <c r="DF219" i="16"/>
  <c r="DU491" i="16"/>
  <c r="EK344" i="16"/>
  <c r="EK204" i="16"/>
  <c r="EH440" i="16"/>
  <c r="DD160" i="16"/>
  <c r="EC451" i="16"/>
  <c r="DO406" i="16"/>
  <c r="DD344" i="16"/>
  <c r="DH156" i="16"/>
  <c r="EF239" i="16"/>
  <c r="EE380" i="16"/>
  <c r="DY212" i="16"/>
  <c r="DR333" i="16"/>
  <c r="DA332" i="16"/>
  <c r="DX390" i="16"/>
  <c r="DO159" i="16"/>
  <c r="DI249" i="16"/>
  <c r="EG403" i="16"/>
  <c r="EJ172" i="16"/>
  <c r="DJ507" i="16"/>
  <c r="CZ373" i="16"/>
  <c r="EE471" i="16"/>
  <c r="DS104" i="16"/>
  <c r="DA142" i="16"/>
  <c r="EJ407" i="16"/>
  <c r="DX468" i="16"/>
  <c r="EQ82" i="16"/>
  <c r="DG459" i="16"/>
  <c r="EH270" i="16"/>
  <c r="EI363" i="16"/>
  <c r="DG127" i="16"/>
  <c r="EA471" i="16"/>
  <c r="EQ332" i="16"/>
  <c r="DA421" i="16"/>
  <c r="ED52" i="16"/>
  <c r="ES420" i="16"/>
  <c r="EQ500" i="16"/>
  <c r="EB282" i="16"/>
  <c r="DY365" i="16"/>
  <c r="DN347" i="16"/>
  <c r="DD234" i="16"/>
  <c r="CZ370" i="16"/>
  <c r="DP230" i="16"/>
  <c r="EQ428" i="16"/>
  <c r="DU58" i="16"/>
  <c r="DV463" i="16"/>
  <c r="EH419" i="16"/>
  <c r="DC267" i="16"/>
  <c r="EK98" i="16"/>
  <c r="DA307" i="16"/>
  <c r="EE367" i="16"/>
  <c r="DJ421" i="16"/>
  <c r="EI349" i="16"/>
  <c r="DW445" i="16"/>
  <c r="EF98" i="16"/>
  <c r="DM304" i="16"/>
  <c r="EC235" i="16"/>
  <c r="ES126" i="16"/>
  <c r="EF187" i="16"/>
  <c r="EI325" i="16"/>
  <c r="DL327" i="16"/>
  <c r="DK297" i="16"/>
  <c r="EK73" i="16"/>
  <c r="DB64" i="16"/>
  <c r="ED150" i="16"/>
  <c r="EJ300" i="16"/>
  <c r="EK407" i="16"/>
  <c r="DR459" i="16"/>
  <c r="DM394" i="16"/>
  <c r="EB459" i="16"/>
  <c r="EH273" i="16"/>
  <c r="EH494" i="16"/>
  <c r="DS350" i="16"/>
  <c r="EB475" i="16"/>
  <c r="DS344" i="16"/>
  <c r="EL435" i="16"/>
  <c r="DD354" i="16"/>
  <c r="EJ188" i="16"/>
  <c r="DZ139" i="16"/>
  <c r="DV448" i="16"/>
  <c r="DU451" i="16"/>
  <c r="EF235" i="16"/>
  <c r="DV484" i="16"/>
  <c r="EL406" i="16"/>
  <c r="DY133" i="16"/>
  <c r="EJ109" i="16"/>
  <c r="EL184" i="16"/>
  <c r="EP107" i="16"/>
  <c r="DW373" i="16"/>
  <c r="EJ133" i="16"/>
  <c r="DR274" i="16"/>
  <c r="DY360" i="16"/>
  <c r="DI160" i="16"/>
  <c r="DZ476" i="16"/>
  <c r="EJ349" i="16"/>
  <c r="DK494" i="16"/>
  <c r="DD484" i="16"/>
  <c r="EP223" i="16"/>
  <c r="ER224" i="16"/>
  <c r="EA367" i="16"/>
  <c r="DB297" i="16"/>
  <c r="DR371" i="16"/>
  <c r="DX357" i="16"/>
  <c r="DV179" i="16"/>
  <c r="EA481" i="16"/>
  <c r="EG441" i="16"/>
  <c r="DV204" i="16"/>
  <c r="DQ356" i="16"/>
  <c r="EG288" i="16"/>
  <c r="EF436" i="16"/>
  <c r="EG506" i="16"/>
  <c r="DO101" i="16"/>
  <c r="EH441" i="16"/>
  <c r="EF427" i="16"/>
  <c r="EG416" i="16"/>
  <c r="ES280" i="16"/>
  <c r="EJ503" i="16"/>
  <c r="DQ161" i="16"/>
  <c r="EP111" i="16"/>
  <c r="ES177" i="16"/>
  <c r="EL65" i="16"/>
  <c r="DP138" i="16"/>
  <c r="DL88" i="16"/>
  <c r="EP140" i="16"/>
  <c r="DZ354" i="16"/>
  <c r="DL192" i="16"/>
  <c r="EE438" i="16"/>
  <c r="ER217" i="16"/>
  <c r="EI326" i="16"/>
  <c r="DG483" i="16"/>
  <c r="EB253" i="16"/>
  <c r="EF438" i="16"/>
  <c r="DO505" i="16"/>
  <c r="CZ51" i="16"/>
  <c r="DQ492" i="16"/>
  <c r="ED491" i="16"/>
  <c r="DX340" i="16"/>
  <c r="EE345" i="16"/>
  <c r="DN426" i="16"/>
  <c r="DD226" i="16"/>
  <c r="EP491" i="16"/>
  <c r="DH298" i="16"/>
  <c r="ER228" i="16"/>
  <c r="EM282" i="16"/>
  <c r="DI313" i="16"/>
  <c r="DU105" i="16"/>
  <c r="DE109" i="16"/>
  <c r="EB428" i="16"/>
  <c r="DC113" i="16"/>
  <c r="DQ169" i="16"/>
  <c r="DL106" i="16"/>
  <c r="EI457" i="16"/>
  <c r="DF284" i="16"/>
  <c r="DA177" i="16"/>
  <c r="EG394" i="16"/>
  <c r="EE134" i="16"/>
  <c r="EF254" i="16"/>
  <c r="DZ278" i="16"/>
  <c r="DR428" i="16"/>
  <c r="DP81" i="16"/>
  <c r="DR213" i="16"/>
  <c r="DE202" i="16"/>
  <c r="DT444" i="16"/>
  <c r="DN493" i="16"/>
  <c r="DA144" i="16"/>
  <c r="DZ130" i="16"/>
  <c r="EG292" i="16"/>
  <c r="CZ61" i="16"/>
  <c r="DI423" i="16"/>
  <c r="EO59" i="16"/>
  <c r="DT309" i="16"/>
  <c r="EQ415" i="16"/>
  <c r="ER90" i="16"/>
  <c r="EG298" i="16"/>
  <c r="DO75" i="16"/>
  <c r="DB325" i="16"/>
  <c r="EM381" i="16"/>
  <c r="DR83" i="16"/>
  <c r="DL201" i="16"/>
  <c r="EK276" i="16"/>
  <c r="EB162" i="16"/>
  <c r="DF458" i="16"/>
  <c r="ED223" i="16"/>
  <c r="EK308" i="16"/>
  <c r="EA260" i="16"/>
  <c r="DP255" i="16"/>
  <c r="CZ245" i="16"/>
  <c r="DK79" i="16"/>
  <c r="DI494" i="16"/>
  <c r="DC368" i="16"/>
  <c r="EN237" i="16"/>
  <c r="DP297" i="16"/>
  <c r="DY373" i="16"/>
  <c r="DZ479" i="16"/>
  <c r="EK363" i="16"/>
  <c r="DK495" i="16"/>
  <c r="DT113" i="16"/>
  <c r="DE379" i="16"/>
  <c r="DL404" i="16"/>
  <c r="EN142" i="16"/>
  <c r="EG93" i="16"/>
  <c r="EQ285" i="16"/>
  <c r="EB419" i="16"/>
  <c r="EG146" i="16"/>
  <c r="EE495" i="16"/>
  <c r="DP65" i="16"/>
  <c r="EM383" i="16"/>
  <c r="DS492" i="16"/>
  <c r="EF463" i="16"/>
  <c r="DE399" i="16"/>
  <c r="DK160" i="16"/>
  <c r="EN392" i="16"/>
  <c r="DR379" i="16"/>
  <c r="DP181" i="16"/>
  <c r="EJ337" i="16"/>
  <c r="DO320" i="16"/>
  <c r="EN460" i="16"/>
  <c r="EJ326" i="16"/>
  <c r="EC93" i="16"/>
  <c r="DV471" i="16"/>
  <c r="EC104" i="16"/>
  <c r="EB492" i="16"/>
  <c r="DL136" i="16"/>
  <c r="EC365" i="16"/>
  <c r="EK78" i="16"/>
  <c r="DM165" i="16"/>
  <c r="DS483" i="16"/>
  <c r="DS376" i="16"/>
  <c r="DP198" i="16"/>
  <c r="EC74" i="16"/>
  <c r="DW389" i="16"/>
  <c r="DO64" i="16"/>
  <c r="EH58" i="16"/>
  <c r="EQ380" i="16"/>
  <c r="EB488" i="16"/>
  <c r="DK371" i="16"/>
  <c r="DR457" i="16"/>
  <c r="DG462" i="16"/>
  <c r="DM242" i="16"/>
  <c r="EJ204" i="16"/>
  <c r="EE337" i="16"/>
  <c r="EJ242" i="16"/>
  <c r="DV192" i="16"/>
  <c r="EA468" i="16"/>
  <c r="EM495" i="16"/>
  <c r="DK500" i="16"/>
  <c r="DM395" i="16"/>
  <c r="EJ248" i="16"/>
  <c r="DA469" i="16"/>
  <c r="ES212" i="16"/>
  <c r="DR116" i="16"/>
  <c r="DK444" i="16"/>
  <c r="EC144" i="16"/>
  <c r="DD256" i="16"/>
  <c r="DQ329" i="16"/>
  <c r="EI494" i="16"/>
  <c r="EJ90" i="16"/>
  <c r="ED485" i="16"/>
  <c r="EI420" i="16"/>
  <c r="EQ116" i="16"/>
  <c r="EG301" i="16"/>
  <c r="EG466" i="16"/>
  <c r="DQ201" i="16"/>
  <c r="DI440" i="16"/>
  <c r="DH98" i="16"/>
  <c r="DX366" i="16"/>
  <c r="DA225" i="16"/>
  <c r="ED452" i="16"/>
  <c r="EQ501" i="16"/>
  <c r="ES247" i="16"/>
  <c r="DG470" i="16"/>
  <c r="EC82" i="16"/>
  <c r="DW341" i="16"/>
  <c r="EB322" i="16"/>
  <c r="CZ382" i="16"/>
  <c r="EE94" i="16"/>
  <c r="DA513" i="16"/>
  <c r="DD482" i="16"/>
  <c r="EF234" i="16"/>
  <c r="EG55" i="16"/>
  <c r="DG100" i="16"/>
  <c r="EL81" i="16"/>
  <c r="EJ285" i="16"/>
  <c r="DK406" i="16"/>
  <c r="DI361" i="16"/>
  <c r="DR496" i="16"/>
  <c r="EL338" i="16"/>
  <c r="DS345" i="16"/>
  <c r="DP374" i="16"/>
  <c r="CZ509" i="16"/>
  <c r="DB391" i="16"/>
  <c r="DU400" i="16"/>
  <c r="DY283" i="16"/>
  <c r="DC90" i="16"/>
  <c r="EB356" i="16"/>
  <c r="EN151" i="16"/>
  <c r="DL376" i="16"/>
  <c r="DD494" i="16"/>
  <c r="ER108" i="16"/>
  <c r="ED329" i="16"/>
  <c r="DB461" i="16"/>
  <c r="DP494" i="16"/>
  <c r="DA265" i="16"/>
  <c r="DC472" i="16"/>
  <c r="ED146" i="16"/>
  <c r="DC366" i="16"/>
  <c r="ED240" i="16"/>
  <c r="DQ394" i="16"/>
  <c r="DN142" i="16"/>
  <c r="DT388" i="16"/>
  <c r="ER142" i="16"/>
  <c r="DP141" i="16"/>
  <c r="DJ138" i="16"/>
  <c r="DE348" i="16"/>
  <c r="DB189" i="16"/>
  <c r="DL409" i="16"/>
  <c r="EL428" i="16"/>
  <c r="DE453" i="16"/>
  <c r="DB452" i="16"/>
  <c r="EN398" i="16"/>
  <c r="DZ217" i="16"/>
  <c r="EE96" i="16"/>
  <c r="EQ242" i="16"/>
  <c r="DL447" i="16"/>
  <c r="DH469" i="16"/>
  <c r="DG424" i="16"/>
  <c r="DM344" i="16"/>
  <c r="DB96" i="16"/>
  <c r="EF78" i="16"/>
  <c r="DP372" i="16"/>
  <c r="DD490" i="16"/>
  <c r="ED298" i="16"/>
  <c r="DJ457" i="16"/>
  <c r="EN349" i="16"/>
  <c r="EC510" i="16"/>
  <c r="EI197" i="16"/>
  <c r="DR369" i="16"/>
  <c r="EC71" i="16"/>
  <c r="DV199" i="16"/>
  <c r="ES240" i="16"/>
  <c r="EE395" i="16"/>
  <c r="DF237" i="16"/>
  <c r="DJ326" i="16"/>
  <c r="ED461" i="16"/>
  <c r="DI458" i="16"/>
  <c r="ES133" i="16"/>
  <c r="DO92" i="16"/>
  <c r="DP204" i="16"/>
  <c r="ER501" i="16"/>
  <c r="DC239" i="16"/>
  <c r="DY309" i="16"/>
  <c r="DK221" i="16"/>
  <c r="EN173" i="16"/>
  <c r="DP109" i="16"/>
  <c r="DU418" i="16"/>
  <c r="EQ92" i="16"/>
  <c r="DQ417" i="16"/>
  <c r="EN406" i="16"/>
  <c r="EE480" i="16"/>
  <c r="DV225" i="16"/>
  <c r="DK316" i="16"/>
  <c r="DV278" i="16"/>
  <c r="EK356" i="16"/>
  <c r="DI436" i="16"/>
  <c r="EJ221" i="16"/>
  <c r="EJ371" i="16"/>
  <c r="ER480" i="16"/>
  <c r="EN304" i="16"/>
  <c r="DP339" i="16"/>
  <c r="EN452" i="16"/>
  <c r="DN411" i="16"/>
  <c r="DK237" i="16"/>
  <c r="DQ422" i="16"/>
  <c r="EC263" i="16"/>
  <c r="EK153" i="16"/>
  <c r="DI467" i="16"/>
  <c r="DX383" i="16"/>
  <c r="DJ460" i="16"/>
  <c r="EP245" i="16"/>
  <c r="DV201" i="16"/>
  <c r="DL116" i="16"/>
  <c r="DQ504" i="16"/>
  <c r="DT50" i="16"/>
  <c r="DM123" i="16"/>
  <c r="EB384" i="16"/>
  <c r="DN351" i="16"/>
  <c r="ED252" i="16"/>
  <c r="DG378" i="16"/>
  <c r="DW60" i="16"/>
  <c r="DC482" i="16"/>
  <c r="DZ179" i="16"/>
  <c r="DL138" i="16"/>
  <c r="DH74" i="16"/>
  <c r="DP207" i="16"/>
  <c r="EP97" i="16"/>
  <c r="DI53" i="16"/>
  <c r="EI436" i="16"/>
  <c r="EJ382" i="16"/>
  <c r="EH283" i="16"/>
  <c r="EK293" i="16"/>
  <c r="DP400" i="16"/>
  <c r="ED147" i="16"/>
  <c r="EC302" i="16"/>
  <c r="DC381" i="16"/>
  <c r="DN111" i="16"/>
  <c r="EO449" i="16"/>
  <c r="EF88" i="16"/>
  <c r="DW477" i="16"/>
  <c r="ED276" i="16"/>
  <c r="DY297" i="16"/>
  <c r="EL499" i="16"/>
  <c r="EN266" i="16"/>
  <c r="DG500" i="16"/>
  <c r="EP430" i="16"/>
  <c r="DF282" i="16"/>
  <c r="DZ400" i="16"/>
  <c r="DB142" i="16"/>
  <c r="DV284" i="16"/>
  <c r="EG446" i="16"/>
  <c r="EP175" i="16"/>
  <c r="EQ402" i="16"/>
  <c r="DY235" i="16"/>
  <c r="EB403" i="16"/>
  <c r="DG348" i="16"/>
  <c r="DR185" i="16"/>
  <c r="DN78" i="16"/>
  <c r="DK254" i="16"/>
  <c r="EG511" i="16"/>
  <c r="DP53" i="16"/>
  <c r="DM459" i="16"/>
  <c r="DD292" i="16"/>
  <c r="EJ451" i="16"/>
  <c r="EC381" i="16"/>
  <c r="DJ479" i="16"/>
  <c r="EJ418" i="16"/>
  <c r="EC106" i="16"/>
  <c r="DB459" i="16"/>
  <c r="DR393" i="16"/>
  <c r="DV461" i="16"/>
  <c r="CZ117" i="16"/>
  <c r="EG364" i="16"/>
  <c r="DH391" i="16"/>
  <c r="DZ468" i="16"/>
  <c r="DJ315" i="16"/>
  <c r="DQ351" i="16"/>
  <c r="DN159" i="16"/>
  <c r="DV472" i="16"/>
  <c r="EA457" i="16"/>
  <c r="DC132" i="16"/>
  <c r="EB286" i="16"/>
  <c r="DB202" i="16"/>
  <c r="DC403" i="16"/>
  <c r="ER371" i="16"/>
  <c r="DK73" i="16"/>
  <c r="DT350" i="16"/>
  <c r="EE330" i="16"/>
  <c r="EL366" i="16"/>
  <c r="DL308" i="16"/>
  <c r="EG78" i="16"/>
  <c r="DA322" i="16"/>
  <c r="EF344" i="16"/>
  <c r="DZ280" i="16"/>
  <c r="DV445" i="16"/>
  <c r="EL277" i="16"/>
  <c r="DC414" i="16"/>
  <c r="EO189" i="16"/>
  <c r="EM366" i="16"/>
  <c r="DG361" i="16"/>
  <c r="DH496" i="16"/>
  <c r="EG458" i="16"/>
  <c r="EH380" i="16"/>
  <c r="EH298" i="16"/>
  <c r="DO291" i="16"/>
  <c r="DR113" i="16"/>
  <c r="DW470" i="16"/>
  <c r="DZ283" i="16"/>
  <c r="ER242" i="16"/>
  <c r="DR249" i="16"/>
  <c r="DL209" i="16"/>
  <c r="DL216" i="16"/>
  <c r="DK166" i="16"/>
  <c r="DC430" i="16"/>
  <c r="DG508" i="16"/>
  <c r="DM317" i="16"/>
  <c r="DR173" i="16"/>
  <c r="EC433" i="16"/>
  <c r="DF448" i="16"/>
  <c r="EB415" i="16"/>
  <c r="ED449" i="16"/>
  <c r="EI62" i="16"/>
  <c r="DI484" i="16"/>
  <c r="EJ108" i="16"/>
  <c r="ES158" i="16"/>
  <c r="DN331" i="16"/>
  <c r="DL183" i="16"/>
  <c r="EM255" i="16"/>
  <c r="DS480" i="16"/>
  <c r="DH276" i="16"/>
  <c r="EI383" i="16"/>
  <c r="EC411" i="16"/>
  <c r="EE478" i="16"/>
  <c r="EL176" i="16"/>
  <c r="DZ310" i="16"/>
  <c r="DH511" i="16"/>
  <c r="ES152" i="16"/>
  <c r="DR280" i="16"/>
  <c r="EE324" i="16"/>
  <c r="EI171" i="16"/>
  <c r="ER427" i="16"/>
  <c r="DY450" i="16"/>
  <c r="DA270" i="16"/>
  <c r="DH148" i="16"/>
  <c r="EG238" i="16"/>
  <c r="EM265" i="16"/>
  <c r="DQ199" i="16"/>
  <c r="DQ306" i="16"/>
  <c r="DV299" i="16"/>
  <c r="EA132" i="16"/>
  <c r="EJ409" i="16"/>
  <c r="EM418" i="16"/>
  <c r="DK349" i="16"/>
  <c r="EK296" i="16"/>
  <c r="DC264" i="16"/>
  <c r="ER315" i="16"/>
  <c r="DH504" i="16"/>
  <c r="DB323" i="16"/>
  <c r="EQ183" i="16"/>
  <c r="EG348" i="16"/>
  <c r="EB138" i="16"/>
  <c r="DH474" i="16"/>
  <c r="EN451" i="16"/>
  <c r="DY413" i="16"/>
  <c r="ER156" i="16"/>
  <c r="DN436" i="16"/>
  <c r="CZ394" i="16"/>
  <c r="DB453" i="16"/>
  <c r="DV431" i="16"/>
  <c r="DJ131" i="16"/>
  <c r="DA333" i="16"/>
  <c r="DD509" i="16"/>
  <c r="EC479" i="16"/>
  <c r="ER77" i="16"/>
  <c r="DX380" i="16"/>
  <c r="DF353" i="16"/>
  <c r="DN442" i="16"/>
  <c r="DV424" i="16"/>
  <c r="DW340" i="16"/>
  <c r="DB67" i="16"/>
  <c r="EJ236" i="16"/>
  <c r="DF255" i="16"/>
  <c r="DZ169" i="16"/>
  <c r="CZ99" i="16"/>
  <c r="EG335" i="16"/>
  <c r="DV78" i="16"/>
  <c r="EB337" i="16"/>
  <c r="DG222" i="16"/>
  <c r="DU359" i="16"/>
  <c r="EA491" i="16"/>
  <c r="DB158" i="16"/>
  <c r="DR263" i="16"/>
  <c r="EI158" i="16"/>
  <c r="DB104" i="16"/>
  <c r="EJ348" i="16"/>
  <c r="DK430" i="16"/>
  <c r="DY514" i="16"/>
  <c r="DY456" i="16"/>
  <c r="DF375" i="16"/>
  <c r="EP214" i="16"/>
  <c r="DU327" i="16"/>
  <c r="DR491" i="16"/>
  <c r="ED337" i="16"/>
  <c r="EK464" i="16"/>
  <c r="EQ260" i="16"/>
  <c r="DL372" i="16"/>
  <c r="DP434" i="16"/>
  <c r="DZ196" i="16"/>
  <c r="DD259" i="16"/>
  <c r="EP416" i="16"/>
  <c r="EF345" i="16"/>
  <c r="DY243" i="16"/>
  <c r="EL445" i="16"/>
  <c r="EE158" i="16"/>
  <c r="DJ228" i="16"/>
  <c r="ES461" i="16"/>
  <c r="CZ390" i="16"/>
  <c r="EF396" i="16"/>
  <c r="DN485" i="16"/>
  <c r="DO100" i="16"/>
  <c r="ES81" i="16"/>
  <c r="DO351" i="16"/>
  <c r="EC393" i="16"/>
  <c r="EI316" i="16"/>
  <c r="DA453" i="16"/>
  <c r="DH54" i="16"/>
  <c r="DD386" i="16"/>
  <c r="DU395" i="16"/>
  <c r="DO245" i="16"/>
  <c r="DZ236" i="16"/>
  <c r="DP332" i="16"/>
  <c r="DT374" i="16"/>
  <c r="EN350" i="16"/>
  <c r="ED303" i="16"/>
  <c r="DH443" i="16"/>
  <c r="DZ510" i="16"/>
  <c r="CZ168" i="16"/>
  <c r="DC317" i="16"/>
  <c r="EL416" i="16"/>
  <c r="DJ98" i="16"/>
  <c r="DR515" i="16"/>
  <c r="DQ328" i="16"/>
  <c r="DD113" i="16"/>
  <c r="DE221" i="16"/>
  <c r="DC271" i="16"/>
  <c r="EJ363" i="16"/>
  <c r="DP373" i="16"/>
  <c r="DT163" i="16"/>
  <c r="EK107" i="16"/>
  <c r="DV214" i="16"/>
  <c r="DS471" i="16"/>
  <c r="ER141" i="16"/>
  <c r="EK60" i="16"/>
  <c r="DX198" i="16"/>
  <c r="EJ212" i="16"/>
  <c r="DV148" i="16"/>
  <c r="DL257" i="16"/>
  <c r="DS458" i="16"/>
  <c r="EN472" i="16"/>
  <c r="DF331" i="16"/>
  <c r="DY300" i="16"/>
  <c r="DC369" i="16"/>
  <c r="EI289" i="16"/>
  <c r="EG366" i="16"/>
  <c r="DX474" i="16"/>
  <c r="DD372" i="16"/>
  <c r="DA412" i="16"/>
  <c r="DH378" i="16"/>
  <c r="DI513" i="16"/>
  <c r="DF343" i="16"/>
  <c r="DN230" i="16"/>
  <c r="DR500" i="16"/>
  <c r="DI328" i="16"/>
  <c r="EQ433" i="16"/>
  <c r="EG413" i="16"/>
  <c r="EJ488" i="16"/>
  <c r="DH419" i="16"/>
  <c r="EE462" i="16"/>
  <c r="DE299" i="16"/>
  <c r="CZ447" i="16"/>
  <c r="DS412" i="16"/>
  <c r="DX311" i="16"/>
  <c r="EB438" i="16"/>
  <c r="EF282" i="16"/>
  <c r="DF393" i="16"/>
  <c r="DT204" i="16"/>
  <c r="DG402" i="16"/>
  <c r="DP149" i="16"/>
  <c r="EK66" i="16"/>
  <c r="EE87" i="16"/>
  <c r="ED502" i="16"/>
  <c r="DP115" i="16"/>
  <c r="DS364" i="16"/>
  <c r="DT120" i="16"/>
  <c r="DQ250" i="16"/>
  <c r="ES51" i="16"/>
  <c r="DI424" i="16"/>
  <c r="DO412" i="16"/>
  <c r="EK515" i="16"/>
  <c r="EI247" i="16"/>
  <c r="DC373" i="16"/>
  <c r="DJ165" i="16"/>
  <c r="DD121" i="16"/>
  <c r="EA157" i="16"/>
  <c r="DO306" i="16"/>
  <c r="DD254" i="16"/>
  <c r="DI490" i="16"/>
  <c r="EI337" i="16"/>
  <c r="EH197" i="16"/>
  <c r="EB361" i="16"/>
  <c r="CZ172" i="16"/>
  <c r="EI402" i="16"/>
  <c r="EH337" i="16"/>
  <c r="DI442" i="16"/>
  <c r="DK402" i="16"/>
  <c r="DY162" i="16"/>
  <c r="DQ163" i="16"/>
  <c r="DO493" i="16"/>
  <c r="DD385" i="16"/>
  <c r="DX419" i="16"/>
  <c r="CZ150" i="16"/>
  <c r="DV407" i="16"/>
  <c r="ES103" i="16"/>
  <c r="DA193" i="16"/>
  <c r="ES501" i="16"/>
  <c r="EQ93" i="16"/>
  <c r="DI391" i="16"/>
  <c r="DI300" i="16"/>
  <c r="EH99" i="16"/>
  <c r="DQ477" i="16"/>
  <c r="EF102" i="16"/>
  <c r="DD427" i="16"/>
  <c r="DH157" i="16"/>
  <c r="DF332" i="16"/>
  <c r="DK57" i="16"/>
  <c r="DD52" i="16"/>
  <c r="DA374" i="16"/>
  <c r="EN258" i="16"/>
  <c r="DI122" i="16"/>
  <c r="DY319" i="16"/>
  <c r="EC359" i="16"/>
  <c r="EG264" i="16"/>
  <c r="EB206" i="16"/>
  <c r="EL168" i="16"/>
  <c r="DH413" i="16"/>
  <c r="DY284" i="16"/>
  <c r="DR406" i="16"/>
  <c r="DK481" i="16"/>
  <c r="DQ298" i="16"/>
  <c r="EC447" i="16"/>
  <c r="DJ453" i="16"/>
  <c r="DV277" i="16"/>
  <c r="DU162" i="16"/>
  <c r="EB77" i="16"/>
  <c r="EM461" i="16"/>
  <c r="EI365" i="16"/>
  <c r="EN382" i="16"/>
  <c r="DQ225" i="16"/>
  <c r="DF268" i="16"/>
  <c r="ES404" i="16"/>
  <c r="DC52" i="16"/>
  <c r="EF136" i="16"/>
  <c r="ED509" i="16"/>
  <c r="DF153" i="16"/>
  <c r="DW350" i="16"/>
  <c r="DI308" i="16"/>
  <c r="ES398" i="16"/>
  <c r="DD425" i="16"/>
  <c r="DS290" i="16"/>
  <c r="DT462" i="16"/>
  <c r="EC156" i="16"/>
  <c r="DU236" i="16"/>
  <c r="EE270" i="16"/>
  <c r="DI96" i="16"/>
  <c r="DM503" i="16"/>
  <c r="DW84" i="16"/>
  <c r="DK358" i="16"/>
  <c r="EO228" i="16"/>
  <c r="DZ270" i="16"/>
  <c r="EK459" i="16"/>
  <c r="EQ444" i="16"/>
  <c r="DA319" i="16"/>
  <c r="DC200" i="16"/>
  <c r="DI465" i="16"/>
  <c r="DA436" i="16"/>
  <c r="EI462" i="16"/>
  <c r="DV181" i="16"/>
  <c r="EG185" i="16"/>
  <c r="DW504" i="16"/>
  <c r="DU433" i="16"/>
  <c r="DU50" i="16"/>
  <c r="DW293" i="16"/>
  <c r="DB399" i="16"/>
  <c r="DV501" i="16"/>
  <c r="EQ457" i="16"/>
  <c r="DF50" i="16"/>
  <c r="EA274" i="16"/>
  <c r="EA454" i="16"/>
  <c r="DR471" i="16"/>
  <c r="DB429" i="16"/>
  <c r="DJ238" i="16"/>
  <c r="EC113" i="16"/>
  <c r="DZ430" i="16"/>
  <c r="DH241" i="16"/>
  <c r="DC465" i="16"/>
  <c r="DM398" i="16"/>
  <c r="DD148" i="16"/>
  <c r="DW435" i="16"/>
  <c r="DA482" i="16"/>
  <c r="DM128" i="16"/>
  <c r="DD436" i="16"/>
  <c r="DR508" i="16"/>
  <c r="EB267" i="16"/>
  <c r="DC388" i="16"/>
  <c r="DZ68" i="16"/>
  <c r="ER149" i="16"/>
  <c r="DN183" i="16"/>
  <c r="DG238" i="16"/>
  <c r="EM367" i="16"/>
  <c r="DQ275" i="16"/>
  <c r="EA301" i="16"/>
  <c r="DX322" i="16"/>
  <c r="DP195" i="16"/>
  <c r="DV298" i="16"/>
  <c r="DE70" i="16"/>
  <c r="DI355" i="16"/>
  <c r="EL310" i="16"/>
  <c r="DY439" i="16"/>
  <c r="DH376" i="16"/>
  <c r="EM376" i="16"/>
  <c r="EB75" i="16"/>
  <c r="DA349" i="16"/>
  <c r="DG321" i="16"/>
  <c r="DC502" i="16"/>
  <c r="DV385" i="16"/>
  <c r="EJ77" i="16"/>
  <c r="EC312" i="16"/>
  <c r="EO382" i="16"/>
  <c r="DG52" i="16"/>
  <c r="DX258" i="16"/>
  <c r="DJ398" i="16"/>
  <c r="EF296" i="16"/>
  <c r="EO259" i="16"/>
  <c r="ER73" i="16"/>
  <c r="DM413" i="16"/>
  <c r="DN194" i="16"/>
  <c r="EA461" i="16"/>
  <c r="DZ233" i="16"/>
  <c r="DS192" i="16"/>
  <c r="EA215" i="16"/>
  <c r="DW103" i="16"/>
  <c r="DR322" i="16"/>
  <c r="DB349" i="16"/>
  <c r="EP109" i="16"/>
  <c r="DB369" i="16"/>
  <c r="DB268" i="16"/>
  <c r="CZ287" i="16"/>
  <c r="DP387" i="16"/>
  <c r="EN144" i="16"/>
  <c r="DX362" i="16"/>
  <c r="ER97" i="16"/>
  <c r="DG398" i="16"/>
  <c r="DB483" i="16"/>
  <c r="EN407" i="16"/>
  <c r="DE275" i="16"/>
  <c r="EO457" i="16"/>
  <c r="EB264" i="16"/>
  <c r="DW491" i="16"/>
  <c r="DE207" i="16"/>
  <c r="DB490" i="16"/>
  <c r="DB80" i="16"/>
  <c r="DG74" i="16"/>
  <c r="DB277" i="16"/>
  <c r="EQ256" i="16"/>
  <c r="DB342" i="16"/>
  <c r="EQ209" i="16"/>
  <c r="EH474" i="16"/>
  <c r="EJ395" i="16"/>
  <c r="EE484" i="16"/>
  <c r="DQ511" i="16"/>
  <c r="EC264" i="16"/>
  <c r="EA470" i="16"/>
  <c r="DP444" i="16"/>
  <c r="DP140" i="16"/>
  <c r="EN318" i="16"/>
  <c r="DH346" i="16"/>
  <c r="EH295" i="16"/>
  <c r="DB76" i="16"/>
  <c r="DD274" i="16"/>
  <c r="ED188" i="16"/>
  <c r="EP122" i="16"/>
  <c r="DR476" i="16"/>
  <c r="EJ381" i="16"/>
  <c r="DI110" i="16"/>
  <c r="EB412" i="16"/>
  <c r="EK319" i="16"/>
  <c r="DX469" i="16"/>
  <c r="DL115" i="16"/>
  <c r="ES200" i="16"/>
  <c r="DZ447" i="16"/>
  <c r="DE244" i="16"/>
  <c r="DQ495" i="16"/>
  <c r="DL80" i="16"/>
  <c r="ER285" i="16"/>
  <c r="DI302" i="16"/>
  <c r="EB126" i="16"/>
  <c r="DO499" i="16"/>
  <c r="EN368" i="16"/>
  <c r="EC403" i="16"/>
  <c r="DE458" i="16"/>
  <c r="DF296" i="16"/>
  <c r="EH401" i="16"/>
  <c r="EK257" i="16"/>
  <c r="DF327" i="16"/>
  <c r="DU125" i="16"/>
  <c r="DY495" i="16"/>
  <c r="DW509" i="16"/>
  <c r="DM425" i="16"/>
  <c r="EE264" i="16"/>
  <c r="DY304" i="16"/>
  <c r="DW394" i="16"/>
  <c r="DQ111" i="16"/>
  <c r="DX405" i="16"/>
  <c r="DS281" i="16"/>
  <c r="EP208" i="16"/>
  <c r="EP366" i="16"/>
  <c r="DI73" i="16"/>
  <c r="DH327" i="16"/>
  <c r="DM445" i="16"/>
  <c r="ER269" i="16"/>
  <c r="EL508" i="16"/>
  <c r="EN497" i="16"/>
  <c r="DP238" i="16"/>
  <c r="EG359" i="16"/>
  <c r="DA373" i="16"/>
  <c r="DR452" i="16"/>
  <c r="EA121" i="16"/>
  <c r="EP74" i="16"/>
  <c r="ER399" i="16"/>
  <c r="DX212" i="16"/>
  <c r="EI78" i="16"/>
  <c r="DR272" i="16"/>
  <c r="DU381" i="16"/>
  <c r="EN55" i="16"/>
  <c r="EG408" i="16"/>
  <c r="DM261" i="16"/>
  <c r="DA338" i="16"/>
  <c r="DM109" i="16"/>
  <c r="EP419" i="16"/>
  <c r="EM429" i="16"/>
  <c r="EN81" i="16"/>
  <c r="DP256" i="16"/>
  <c r="DA457" i="16"/>
  <c r="DV515" i="16"/>
  <c r="DF455" i="16"/>
  <c r="EN261" i="16"/>
  <c r="EL325" i="16"/>
  <c r="DO192" i="16"/>
  <c r="DT282" i="16"/>
  <c r="DS189" i="16"/>
  <c r="DC262" i="16"/>
  <c r="EH65" i="16"/>
  <c r="EM436" i="16"/>
  <c r="EG107" i="16"/>
  <c r="DN75" i="16"/>
  <c r="DQ427" i="16"/>
  <c r="DY424" i="16"/>
  <c r="EE338" i="16"/>
  <c r="DO402" i="16"/>
  <c r="DU350" i="16"/>
  <c r="EC351" i="16"/>
  <c r="DW442" i="16"/>
  <c r="EH449" i="16"/>
  <c r="DT317" i="16"/>
  <c r="DF238" i="16"/>
  <c r="DM245" i="16"/>
  <c r="DM509" i="16"/>
  <c r="DE337" i="16"/>
  <c r="DE342" i="16"/>
  <c r="EA383" i="16"/>
  <c r="DN370" i="16"/>
  <c r="DU89" i="16"/>
  <c r="DM473" i="16"/>
  <c r="EA512" i="16"/>
  <c r="DS405" i="16"/>
  <c r="EA139" i="16"/>
  <c r="DQ455" i="16"/>
  <c r="DY109" i="16"/>
  <c r="DE318" i="16"/>
  <c r="ED422" i="16"/>
  <c r="DD231" i="16"/>
  <c r="DP92" i="16"/>
  <c r="EO394" i="16"/>
  <c r="DM421" i="16"/>
  <c r="DA466" i="16"/>
  <c r="EE411" i="16"/>
  <c r="EG299" i="16"/>
  <c r="DE503" i="16"/>
  <c r="DR326" i="16"/>
  <c r="DZ211" i="16"/>
  <c r="DK435" i="16"/>
  <c r="DD438" i="16"/>
  <c r="DR484" i="16"/>
  <c r="EO466" i="16"/>
  <c r="DS353" i="16"/>
  <c r="DN238" i="16"/>
  <c r="ES170" i="16"/>
  <c r="DB506" i="16"/>
  <c r="DH415" i="16"/>
  <c r="DX337" i="16"/>
  <c r="EJ436" i="16"/>
  <c r="DK247" i="16"/>
  <c r="EK486" i="16"/>
  <c r="EB290" i="16"/>
  <c r="DJ233" i="16"/>
  <c r="DU380" i="16"/>
  <c r="DS268" i="16"/>
  <c r="EB150" i="16"/>
  <c r="EG459" i="16"/>
  <c r="EE455" i="16"/>
  <c r="DI457" i="16"/>
  <c r="ED222" i="16"/>
  <c r="ES390" i="16"/>
  <c r="DA306" i="16"/>
  <c r="EK318" i="16"/>
  <c r="EJ165" i="16"/>
  <c r="DM356" i="16"/>
  <c r="DU250" i="16"/>
  <c r="ER333" i="16"/>
  <c r="DB134" i="16"/>
  <c r="EB511" i="16"/>
  <c r="DL70" i="16"/>
  <c r="DT279" i="16"/>
  <c r="ES62" i="16"/>
  <c r="CZ418" i="16"/>
  <c r="EM354" i="16"/>
  <c r="EI123" i="16"/>
  <c r="DO142" i="16"/>
  <c r="DV413" i="16"/>
  <c r="DJ396" i="16"/>
  <c r="DT367" i="16"/>
  <c r="EF87" i="16"/>
  <c r="DK268" i="16"/>
  <c r="EF255" i="16"/>
  <c r="DW100" i="16"/>
  <c r="EM123" i="16"/>
  <c r="EI321" i="16"/>
  <c r="EP185" i="16"/>
  <c r="DW333" i="16"/>
  <c r="EE497" i="16"/>
  <c r="DP391" i="16"/>
  <c r="DL455" i="16"/>
  <c r="DG381" i="16"/>
  <c r="EM168" i="16"/>
  <c r="CZ357" i="16"/>
  <c r="DA257" i="16"/>
  <c r="EG72" i="16"/>
  <c r="DH487" i="16"/>
  <c r="ED98" i="16"/>
  <c r="EF216" i="16"/>
  <c r="EJ247" i="16"/>
  <c r="DL470" i="16"/>
  <c r="DN215" i="16"/>
  <c r="DA476" i="16"/>
  <c r="DI325" i="16"/>
  <c r="DM149" i="16"/>
  <c r="EL502" i="16"/>
  <c r="DC129" i="16"/>
  <c r="DU514" i="16"/>
  <c r="DR507" i="16"/>
  <c r="EG333" i="16"/>
  <c r="DM176" i="16"/>
  <c r="EB336" i="16"/>
  <c r="DM102" i="16"/>
  <c r="ED319" i="16"/>
  <c r="EJ113" i="16"/>
  <c r="CZ502" i="16"/>
  <c r="EC96" i="16"/>
  <c r="DC413" i="16"/>
  <c r="EQ279" i="16"/>
  <c r="EP474" i="16"/>
  <c r="EF371" i="16"/>
  <c r="EM164" i="16"/>
  <c r="DF379" i="16"/>
  <c r="EB278" i="16"/>
  <c r="DK261" i="16"/>
  <c r="DW276" i="16"/>
  <c r="EE195" i="16"/>
  <c r="EH114" i="16"/>
  <c r="DN270" i="16"/>
  <c r="DV468" i="16"/>
  <c r="DL360" i="16"/>
  <c r="EG203" i="16"/>
  <c r="EG502" i="16"/>
  <c r="EN126" i="16"/>
  <c r="EK242" i="16"/>
  <c r="EH458" i="16"/>
  <c r="DH433" i="16"/>
  <c r="EK188" i="16"/>
  <c r="ED120" i="16"/>
  <c r="DJ510" i="16"/>
  <c r="DK499" i="16"/>
  <c r="EM113" i="16"/>
  <c r="ES453" i="16"/>
  <c r="ES367" i="16"/>
  <c r="EO276" i="16"/>
  <c r="DD200" i="16"/>
  <c r="EP224" i="16"/>
  <c r="DF368" i="16"/>
  <c r="DX420" i="16"/>
  <c r="DC274" i="16"/>
  <c r="DB417" i="16"/>
  <c r="EI464" i="16"/>
  <c r="DF95" i="16"/>
  <c r="DZ415" i="16"/>
  <c r="EG334" i="16"/>
  <c r="DD230" i="16"/>
  <c r="EL224" i="16"/>
  <c r="EE470" i="16"/>
  <c r="ES495" i="16"/>
  <c r="DT399" i="16"/>
  <c r="EH364" i="16"/>
  <c r="DW365" i="16"/>
  <c r="DS122" i="16"/>
  <c r="ED278" i="16"/>
  <c r="DH307" i="16"/>
  <c r="DE296" i="16"/>
  <c r="EQ193" i="16"/>
  <c r="EC246" i="16"/>
  <c r="DX253" i="16"/>
  <c r="DQ155" i="16"/>
  <c r="DI293" i="16"/>
  <c r="DB397" i="16"/>
  <c r="DP86" i="16"/>
  <c r="EO398" i="16"/>
  <c r="EF284" i="16"/>
  <c r="EN71" i="16"/>
  <c r="DK436" i="16"/>
  <c r="EO94" i="16"/>
  <c r="EB381" i="16"/>
  <c r="DJ252" i="16"/>
  <c r="DR260" i="16"/>
  <c r="ER239" i="16"/>
  <c r="CZ380" i="16"/>
  <c r="DU431" i="16"/>
  <c r="DG458" i="16"/>
  <c r="EF245" i="16"/>
  <c r="EO322" i="16"/>
  <c r="DT450" i="16"/>
  <c r="EM374" i="16"/>
  <c r="DF326" i="16"/>
  <c r="DW322" i="16"/>
  <c r="EJ477" i="16"/>
  <c r="ED376" i="16"/>
  <c r="DZ274" i="16"/>
  <c r="DG210" i="16"/>
  <c r="EH499" i="16"/>
  <c r="DC291" i="16"/>
  <c r="DE182" i="16"/>
  <c r="DS349" i="16"/>
  <c r="DQ158" i="16"/>
  <c r="DS475" i="16"/>
  <c r="DM443" i="16"/>
  <c r="DX246" i="16"/>
  <c r="DY258" i="16"/>
  <c r="EC319" i="16"/>
  <c r="EB514" i="16"/>
  <c r="CZ239" i="16"/>
  <c r="DG265" i="16"/>
  <c r="DQ287" i="16"/>
  <c r="EF185" i="16"/>
  <c r="EP511" i="16"/>
  <c r="EB67" i="16"/>
  <c r="DT339" i="16"/>
  <c r="EO101" i="16"/>
  <c r="DT439" i="16"/>
  <c r="EH491" i="16"/>
  <c r="DJ372" i="16"/>
  <c r="DH235" i="16"/>
  <c r="DS130" i="16"/>
  <c r="DO302" i="16"/>
  <c r="DG365" i="16"/>
  <c r="DH195" i="16"/>
  <c r="EM142" i="16"/>
  <c r="DH359" i="16"/>
  <c r="DF222" i="16"/>
  <c r="DV168" i="16"/>
  <c r="EC493" i="16"/>
  <c r="DV253" i="16"/>
  <c r="ED411" i="16"/>
  <c r="DA186" i="16"/>
  <c r="DP321" i="16"/>
  <c r="EB64" i="16"/>
  <c r="EA362" i="16"/>
  <c r="DB439" i="16"/>
  <c r="EM195" i="16"/>
  <c r="DD208" i="16"/>
  <c r="EJ354" i="16"/>
  <c r="DR174" i="16"/>
  <c r="EC175" i="16"/>
  <c r="EH80" i="16"/>
  <c r="EP489" i="16"/>
  <c r="EP418" i="16"/>
  <c r="DT71" i="16"/>
  <c r="EC391" i="16"/>
  <c r="DZ485" i="16"/>
  <c r="EK232" i="16"/>
  <c r="DO327" i="16"/>
  <c r="EL57" i="16"/>
  <c r="EC476" i="16"/>
  <c r="EJ213" i="16"/>
  <c r="DM468" i="16"/>
  <c r="EH381" i="16"/>
  <c r="DS134" i="16"/>
  <c r="DZ405" i="16"/>
  <c r="DV243" i="16"/>
  <c r="DI394" i="16"/>
  <c r="DL207" i="16"/>
  <c r="EF331" i="16"/>
  <c r="EM333" i="16"/>
  <c r="EF486" i="16"/>
  <c r="DQ243" i="16"/>
  <c r="EB313" i="16"/>
  <c r="DM155" i="16"/>
  <c r="DP453" i="16"/>
  <c r="DI356" i="16"/>
  <c r="DH400" i="16"/>
  <c r="EA452" i="16"/>
  <c r="EB476" i="16"/>
  <c r="DM186" i="16"/>
  <c r="DG408" i="16"/>
  <c r="DX281" i="16"/>
  <c r="DH379" i="16"/>
  <c r="EF165" i="16"/>
  <c r="ED429" i="16"/>
  <c r="EH262" i="16"/>
  <c r="DN506" i="16"/>
  <c r="EA143" i="16"/>
  <c r="EG494" i="16"/>
  <c r="DJ161" i="16"/>
  <c r="DJ142" i="16"/>
  <c r="DM332" i="16"/>
  <c r="DJ299" i="16"/>
  <c r="ED503" i="16"/>
  <c r="EQ243" i="16"/>
  <c r="EH185" i="16"/>
  <c r="DY248" i="16"/>
  <c r="EG345" i="16"/>
  <c r="EQ439" i="16"/>
  <c r="EK325" i="16"/>
  <c r="EG274" i="16"/>
  <c r="DI496" i="16"/>
  <c r="EK395" i="16"/>
  <c r="EO159" i="16"/>
  <c r="EB56" i="16"/>
  <c r="EB209" i="16"/>
  <c r="DH199" i="16"/>
  <c r="DG428" i="16"/>
  <c r="DJ425" i="16"/>
  <c r="DA376" i="16"/>
  <c r="DU422" i="16"/>
  <c r="DT298" i="16"/>
  <c r="DX482" i="16"/>
  <c r="EH104" i="16"/>
  <c r="CZ110" i="16"/>
  <c r="EA474" i="16"/>
  <c r="EN373" i="16"/>
  <c r="EM407" i="16"/>
  <c r="EF392" i="16"/>
  <c r="DZ158" i="16"/>
  <c r="CZ474" i="16"/>
  <c r="DO239" i="16"/>
  <c r="EJ319" i="16"/>
  <c r="DV368" i="16"/>
  <c r="EE100" i="16"/>
  <c r="DD88" i="16"/>
  <c r="EL375" i="16"/>
  <c r="DU379" i="16"/>
  <c r="ER356" i="16"/>
  <c r="EC187" i="16"/>
  <c r="EQ265" i="16"/>
  <c r="EJ191" i="16"/>
  <c r="DJ495" i="16"/>
  <c r="DU310" i="16"/>
  <c r="EH361" i="16"/>
  <c r="DW387" i="16"/>
  <c r="DH458" i="16"/>
  <c r="DP222" i="16"/>
  <c r="DD387" i="16"/>
  <c r="DV288" i="16"/>
  <c r="EF161" i="16"/>
  <c r="ED513" i="16"/>
  <c r="DU99" i="16"/>
  <c r="EE452" i="16"/>
  <c r="DX341" i="16"/>
  <c r="EF445" i="16"/>
  <c r="EE189" i="16"/>
  <c r="DV126" i="16"/>
  <c r="ER124" i="16"/>
  <c r="DF115" i="16"/>
  <c r="DU448" i="16"/>
  <c r="DR70" i="16"/>
  <c r="EI200" i="16"/>
  <c r="DO370" i="16"/>
  <c r="DT154" i="16"/>
  <c r="DW86" i="16"/>
  <c r="CZ236" i="16"/>
  <c r="EJ369" i="16"/>
  <c r="DZ507" i="16"/>
  <c r="ER431" i="16"/>
  <c r="EL159" i="16"/>
  <c r="EN128" i="16"/>
  <c r="DQ426" i="16"/>
  <c r="EG435" i="16"/>
  <c r="DF460" i="16"/>
  <c r="DR309" i="16"/>
  <c r="DW134" i="16"/>
  <c r="EH372" i="16"/>
  <c r="DZ394" i="16"/>
  <c r="DP87" i="16"/>
  <c r="ES380" i="16"/>
  <c r="EH276" i="16"/>
  <c r="EJ380" i="16"/>
  <c r="DA448" i="16"/>
  <c r="DB416" i="16"/>
  <c r="ER362" i="16"/>
  <c r="EL326" i="16"/>
  <c r="DA435" i="16"/>
  <c r="EB221" i="16"/>
  <c r="DD478" i="16"/>
  <c r="EI509" i="16"/>
  <c r="DM185" i="16"/>
  <c r="DN389" i="16"/>
  <c r="DJ418" i="16"/>
  <c r="DO472" i="16"/>
  <c r="EH316" i="16"/>
  <c r="DB346" i="16"/>
  <c r="EF398" i="16"/>
  <c r="DJ441" i="16"/>
  <c r="DM478" i="16"/>
  <c r="DM499" i="16"/>
  <c r="EQ67" i="16"/>
  <c r="DW53" i="16"/>
  <c r="EN282" i="16"/>
  <c r="EJ465" i="16"/>
  <c r="DP119" i="16"/>
  <c r="ER444" i="16"/>
  <c r="DH501" i="16"/>
  <c r="DQ429" i="16"/>
  <c r="DY236" i="16"/>
  <c r="DZ295" i="16"/>
  <c r="DI374" i="16"/>
  <c r="DW487" i="16"/>
  <c r="DU219" i="16"/>
  <c r="EM213" i="16"/>
  <c r="DU513" i="16"/>
  <c r="DY487" i="16"/>
  <c r="DQ397" i="16"/>
  <c r="DR71" i="16"/>
  <c r="CZ307" i="16"/>
  <c r="DN333" i="16"/>
  <c r="EA416" i="16"/>
  <c r="DZ307" i="16"/>
  <c r="EH123" i="16"/>
  <c r="EB137" i="16"/>
  <c r="EK152" i="16"/>
  <c r="DN456" i="16"/>
  <c r="DI283" i="16"/>
  <c r="DS148" i="16"/>
  <c r="DR364" i="16"/>
  <c r="DO480" i="16"/>
  <c r="DI349" i="16"/>
  <c r="DG299" i="16"/>
  <c r="EI492" i="16"/>
  <c r="DG218" i="16"/>
  <c r="EN216" i="16"/>
  <c r="DL374" i="16"/>
  <c r="EM112" i="16"/>
  <c r="DX352" i="16"/>
  <c r="DC342" i="16"/>
  <c r="EC439" i="16"/>
  <c r="DY195" i="16"/>
  <c r="DU305" i="16"/>
  <c r="EI95" i="16"/>
  <c r="DM104" i="16"/>
  <c r="EJ88" i="16"/>
  <c r="DE225" i="16"/>
  <c r="EN356" i="16"/>
  <c r="EB59" i="16"/>
  <c r="EB432" i="16"/>
  <c r="DD485" i="16"/>
  <c r="DS401" i="16"/>
  <c r="EL401" i="16"/>
  <c r="ER457" i="16"/>
  <c r="EO98" i="16"/>
  <c r="DO350" i="16"/>
  <c r="DM80" i="16"/>
  <c r="DL484" i="16"/>
  <c r="ED237" i="16"/>
  <c r="DH455" i="16"/>
  <c r="EF356" i="16"/>
  <c r="EN110" i="16"/>
  <c r="DE194" i="16"/>
  <c r="DU470" i="16"/>
  <c r="DR258" i="16"/>
  <c r="DN192" i="16"/>
  <c r="DB295" i="16"/>
  <c r="DY386" i="16"/>
  <c r="DW151" i="16"/>
  <c r="DR278" i="16"/>
  <c r="DU202" i="16"/>
  <c r="DY256" i="16"/>
  <c r="DP443" i="16"/>
  <c r="EF369" i="16"/>
  <c r="DA210" i="16"/>
  <c r="DD281" i="16"/>
  <c r="DO400" i="16"/>
  <c r="DE193" i="16"/>
  <c r="DQ318" i="16"/>
  <c r="DI443" i="16"/>
  <c r="EP242" i="16"/>
  <c r="DA335" i="16"/>
  <c r="DX430" i="16"/>
  <c r="DJ416" i="16"/>
  <c r="EM268" i="16"/>
  <c r="EO50" i="16"/>
  <c r="DR313" i="16"/>
  <c r="DC64" i="16"/>
  <c r="ER95" i="16"/>
  <c r="EC327" i="16"/>
  <c r="DD445" i="16"/>
  <c r="ES342" i="16"/>
  <c r="DC197" i="16"/>
  <c r="DG239" i="16"/>
  <c r="DO232" i="16"/>
  <c r="EP429" i="16"/>
  <c r="EN101" i="16"/>
  <c r="DS449" i="16"/>
  <c r="EI449" i="16"/>
  <c r="DL488" i="16"/>
  <c r="DE68" i="16"/>
  <c r="DT480" i="16"/>
  <c r="DQ449" i="16"/>
  <c r="EG490" i="16"/>
  <c r="EH392" i="16"/>
  <c r="EE78" i="16"/>
  <c r="DJ89" i="16"/>
  <c r="DN132" i="16"/>
  <c r="DS54" i="16"/>
  <c r="DZ292" i="16"/>
  <c r="DX507" i="16"/>
  <c r="DA410" i="16"/>
  <c r="DC315" i="16"/>
  <c r="DI83" i="16"/>
  <c r="DT151" i="16"/>
  <c r="DS91" i="16"/>
  <c r="EO428" i="16"/>
  <c r="DZ95" i="16"/>
  <c r="DD168" i="16"/>
  <c r="EC172" i="16"/>
  <c r="EB335" i="16"/>
  <c r="ES321" i="16"/>
  <c r="EH312" i="16"/>
  <c r="DF413" i="16"/>
  <c r="EE177" i="16"/>
  <c r="EB389" i="16"/>
  <c r="DG412" i="16"/>
  <c r="DS293" i="16"/>
  <c r="DW220" i="16"/>
  <c r="DI311" i="16"/>
  <c r="EP272" i="16"/>
  <c r="DT493" i="16"/>
  <c r="EL456" i="16"/>
  <c r="DB208" i="16"/>
  <c r="DK484" i="16"/>
  <c r="ER109" i="16"/>
  <c r="DE240" i="16"/>
  <c r="DC341" i="16"/>
  <c r="EH222" i="16"/>
  <c r="EP287" i="16"/>
  <c r="EF476" i="16"/>
  <c r="DW338" i="16"/>
  <c r="EP187" i="16"/>
  <c r="DY222" i="16"/>
  <c r="ED280" i="16"/>
  <c r="DI481" i="16"/>
  <c r="EC85" i="16"/>
  <c r="DK287" i="16"/>
  <c r="DK80" i="16"/>
  <c r="EQ438" i="16"/>
  <c r="DP218" i="16"/>
  <c r="DL301" i="16"/>
  <c r="EM114" i="16"/>
  <c r="DX451" i="16"/>
  <c r="EM273" i="16"/>
  <c r="DZ341" i="16"/>
  <c r="ED58" i="16"/>
  <c r="EH483" i="16"/>
  <c r="DT340" i="16"/>
  <c r="DU281" i="16"/>
  <c r="EF405" i="16"/>
  <c r="EN95" i="16"/>
  <c r="DU343" i="16"/>
  <c r="DP123" i="16"/>
  <c r="DO423" i="16"/>
  <c r="EG218" i="16"/>
  <c r="DL124" i="16"/>
  <c r="EK260" i="16"/>
  <c r="DD345" i="16"/>
  <c r="DY79" i="16"/>
  <c r="EO421" i="16"/>
  <c r="DL284" i="16"/>
  <c r="EL386" i="16"/>
  <c r="DT107" i="16"/>
  <c r="EO292" i="16"/>
  <c r="EJ288" i="16"/>
  <c r="EP495" i="16"/>
  <c r="DM254" i="16"/>
  <c r="DD418" i="16"/>
  <c r="DU156" i="16"/>
  <c r="DQ411" i="16"/>
  <c r="DL281" i="16"/>
  <c r="DU485" i="16"/>
  <c r="EL281" i="16"/>
  <c r="DW245" i="16"/>
  <c r="EB393" i="16"/>
  <c r="DU198" i="16"/>
  <c r="EM444" i="16"/>
  <c r="EB395" i="16"/>
  <c r="EO426" i="16"/>
  <c r="DU383" i="16"/>
  <c r="DK431" i="16"/>
  <c r="DC112" i="16"/>
  <c r="EM337" i="16"/>
  <c r="DQ216" i="16"/>
  <c r="EJ316" i="16"/>
  <c r="DN341" i="16"/>
  <c r="DQ385" i="16"/>
  <c r="EC491" i="16"/>
  <c r="EF130" i="16"/>
  <c r="DF287" i="16"/>
  <c r="DW507" i="16"/>
  <c r="EF443" i="16"/>
  <c r="DL76" i="16"/>
  <c r="EI217" i="16"/>
  <c r="DV264" i="16"/>
  <c r="EO338" i="16"/>
  <c r="DN318" i="16"/>
  <c r="EC300" i="16"/>
  <c r="EM443" i="16"/>
  <c r="DP324" i="16"/>
  <c r="DX416" i="16"/>
  <c r="EE316" i="16"/>
  <c r="DT371" i="16"/>
  <c r="DB438" i="16"/>
  <c r="DE121" i="16"/>
  <c r="DH110" i="16"/>
  <c r="DH301" i="16"/>
  <c r="DE407" i="16"/>
  <c r="DZ99" i="16"/>
  <c r="EF479" i="16"/>
  <c r="EH89" i="16"/>
  <c r="EP236" i="16"/>
  <c r="DC442" i="16"/>
  <c r="DZ313" i="16"/>
  <c r="DI118" i="16"/>
  <c r="EA484" i="16"/>
  <c r="DH364" i="16"/>
  <c r="DD73" i="16"/>
  <c r="DB52" i="16"/>
  <c r="DL516" i="16"/>
  <c r="EM79" i="16"/>
  <c r="DS398" i="16"/>
  <c r="DV434" i="16"/>
  <c r="CZ301" i="16"/>
  <c r="CZ348" i="16"/>
  <c r="ER194" i="16"/>
  <c r="DI167" i="16"/>
  <c r="EG175" i="16"/>
  <c r="EP49" i="16"/>
  <c r="DF396" i="16"/>
  <c r="DH389" i="16"/>
  <c r="EG316" i="16"/>
  <c r="DY432" i="16"/>
  <c r="DU312" i="16"/>
  <c r="CZ182" i="16"/>
  <c r="DM416" i="16"/>
  <c r="DA449" i="16"/>
  <c r="EG156" i="16"/>
  <c r="DO429" i="16"/>
  <c r="DN451" i="16"/>
  <c r="EM217" i="16"/>
  <c r="EM157" i="16"/>
  <c r="DI168" i="16"/>
  <c r="DJ414" i="16"/>
  <c r="EN203" i="16"/>
  <c r="EM426" i="16"/>
  <c r="DA288" i="16"/>
  <c r="EO146" i="16"/>
  <c r="DV483" i="16"/>
  <c r="DH425" i="16"/>
  <c r="DY441" i="16"/>
  <c r="EG208" i="16"/>
  <c r="EK177" i="16"/>
  <c r="EM148" i="16"/>
  <c r="EP342" i="16"/>
  <c r="DY472" i="16"/>
  <c r="DN110" i="16"/>
  <c r="DZ256" i="16"/>
  <c r="EH509" i="16"/>
  <c r="CZ399" i="16"/>
  <c r="EP299" i="16"/>
  <c r="EJ306" i="16"/>
  <c r="EA108" i="16"/>
  <c r="DF65" i="16"/>
  <c r="EH478" i="16"/>
  <c r="EN310" i="16"/>
  <c r="EM82" i="16"/>
  <c r="ES364" i="16"/>
  <c r="DR292" i="16"/>
  <c r="DK365" i="16"/>
  <c r="EO488" i="16"/>
  <c r="EI229" i="16"/>
  <c r="DM311" i="16"/>
  <c r="ER428" i="16"/>
  <c r="DU282" i="16"/>
  <c r="DK135" i="16"/>
  <c r="ED333" i="16"/>
  <c r="DC309" i="16"/>
  <c r="DE378" i="16"/>
  <c r="EA331" i="16"/>
  <c r="EB466" i="16"/>
  <c r="DO254" i="16"/>
  <c r="DZ333" i="16"/>
  <c r="EO296" i="16"/>
  <c r="DI71" i="16"/>
  <c r="DA359" i="16"/>
  <c r="EE137" i="16"/>
  <c r="DO467" i="16"/>
  <c r="ER160" i="16"/>
  <c r="ED446" i="16"/>
  <c r="DF494" i="16"/>
  <c r="DO83" i="16"/>
  <c r="DS199" i="16"/>
  <c r="EI183" i="16"/>
  <c r="DK265" i="16"/>
  <c r="EF393" i="16"/>
  <c r="DK56" i="16"/>
  <c r="DA180" i="16"/>
  <c r="DL400" i="16"/>
  <c r="DP188" i="16"/>
  <c r="DF351" i="16"/>
  <c r="EM280" i="16"/>
  <c r="DE396" i="16"/>
  <c r="DC215" i="16"/>
  <c r="DQ482" i="16"/>
  <c r="ES171" i="16"/>
  <c r="DP351" i="16"/>
  <c r="CZ360" i="16"/>
  <c r="EH282" i="16"/>
  <c r="EB480" i="16"/>
  <c r="DV161" i="16"/>
  <c r="DK476" i="16"/>
  <c r="DN120" i="16"/>
  <c r="ED310" i="16"/>
  <c r="DK373" i="16"/>
  <c r="DT272" i="16"/>
  <c r="DS89" i="16"/>
  <c r="EP239" i="16"/>
  <c r="ER507" i="16"/>
  <c r="EG427" i="16"/>
  <c r="EH327" i="16"/>
  <c r="EF184" i="16"/>
  <c r="EE392" i="16"/>
  <c r="DC214" i="16"/>
  <c r="EH318" i="16"/>
  <c r="DC203" i="16"/>
  <c r="EI479" i="16"/>
  <c r="EM313" i="16"/>
  <c r="EA385" i="16"/>
  <c r="DS72" i="16"/>
  <c r="DC290" i="16"/>
  <c r="ER328" i="16"/>
  <c r="ED284" i="16"/>
  <c r="DK354" i="16"/>
  <c r="DL200" i="16"/>
  <c r="DT364" i="16"/>
  <c r="DB470" i="16"/>
  <c r="DT352" i="16"/>
  <c r="ER161" i="16"/>
  <c r="DG380" i="16"/>
  <c r="EM136" i="16"/>
  <c r="DC147" i="16"/>
  <c r="EN476" i="16"/>
  <c r="DT449" i="16"/>
  <c r="DV380" i="16"/>
  <c r="DM54" i="16"/>
  <c r="DC402" i="16"/>
  <c r="EE156" i="16"/>
  <c r="DS160" i="16"/>
  <c r="DG426" i="16"/>
  <c r="EQ109" i="16"/>
  <c r="EP449" i="16"/>
  <c r="EA448" i="16"/>
  <c r="EA223" i="16"/>
  <c r="DB337" i="16"/>
  <c r="DE95" i="16"/>
  <c r="CZ448" i="16"/>
  <c r="EI121" i="16"/>
  <c r="DU65" i="16"/>
  <c r="EK306" i="16"/>
  <c r="DP471" i="16"/>
  <c r="DQ291" i="16"/>
  <c r="EE472" i="16"/>
  <c r="EJ131" i="16"/>
  <c r="DQ512" i="16"/>
  <c r="DB324" i="16"/>
  <c r="DD244" i="16"/>
  <c r="EB418" i="16"/>
  <c r="EN347" i="16"/>
  <c r="DV360" i="16"/>
  <c r="DU515" i="16"/>
  <c r="DY111" i="16"/>
  <c r="ED172" i="16"/>
  <c r="EI97" i="16"/>
  <c r="DR493" i="16"/>
  <c r="CZ253" i="16"/>
  <c r="DA345" i="16"/>
  <c r="DI427" i="16"/>
  <c r="DY390" i="16"/>
  <c r="DF85" i="16"/>
  <c r="DB472" i="16"/>
  <c r="DV291" i="16"/>
  <c r="DQ64" i="16"/>
  <c r="DE437" i="16"/>
  <c r="EH393" i="16"/>
  <c r="DN129" i="16"/>
  <c r="EP382" i="16"/>
  <c r="EE436" i="16"/>
  <c r="ER190" i="16"/>
  <c r="EJ82" i="16"/>
  <c r="DR395" i="16"/>
  <c r="DT404" i="16"/>
  <c r="EM306" i="16"/>
  <c r="DS467" i="16"/>
  <c r="EG396" i="16"/>
  <c r="DP399" i="16"/>
  <c r="DH234" i="16"/>
  <c r="DW80" i="16"/>
  <c r="EF63" i="16"/>
  <c r="DY347" i="16"/>
  <c r="DZ387" i="16"/>
  <c r="EB473" i="16"/>
  <c r="DK455" i="16"/>
  <c r="DM243" i="16"/>
  <c r="DQ322" i="16"/>
  <c r="DG425" i="16"/>
  <c r="EO451" i="16"/>
  <c r="DM323" i="16"/>
  <c r="DC375" i="16"/>
  <c r="EK458" i="16"/>
  <c r="EP85" i="16"/>
  <c r="EC431" i="16"/>
  <c r="DM472" i="16"/>
  <c r="EB204" i="16"/>
  <c r="EG61" i="16"/>
  <c r="DK185" i="16"/>
  <c r="EA430" i="16"/>
  <c r="EK387" i="16"/>
  <c r="EK250" i="16"/>
  <c r="DE364" i="16"/>
  <c r="DU242" i="16"/>
  <c r="DP495" i="16"/>
  <c r="ES194" i="16"/>
  <c r="EG188" i="16"/>
  <c r="DR144" i="16"/>
  <c r="EN391" i="16"/>
  <c r="EH410" i="16"/>
  <c r="DF475" i="16"/>
  <c r="DS247" i="16"/>
  <c r="DV318" i="16"/>
  <c r="DQ274" i="16"/>
  <c r="DS383" i="16"/>
  <c r="DJ267" i="16"/>
  <c r="DD58" i="16"/>
  <c r="DP277" i="16"/>
  <c r="EO454" i="16"/>
  <c r="EB164" i="16"/>
  <c r="DP461" i="16"/>
  <c r="DA90" i="16"/>
  <c r="DX458" i="16"/>
  <c r="ER181" i="16"/>
  <c r="DH313" i="16"/>
  <c r="DR499" i="16"/>
  <c r="CZ77" i="16"/>
  <c r="DN363" i="16"/>
  <c r="DD413" i="16"/>
  <c r="EP279" i="16"/>
  <c r="DC447" i="16"/>
  <c r="EM309" i="16"/>
  <c r="EI103" i="16"/>
  <c r="EF205" i="16"/>
  <c r="DI399" i="16"/>
  <c r="DE354" i="16"/>
  <c r="DC512" i="16"/>
  <c r="DQ416" i="16"/>
  <c r="DY147" i="16"/>
  <c r="ER208" i="16"/>
  <c r="EQ136" i="16"/>
  <c r="DH102" i="16"/>
  <c r="DK279" i="16"/>
  <c r="EN118" i="16"/>
  <c r="DA372" i="16"/>
  <c r="DF476" i="16"/>
  <c r="DS246" i="16"/>
  <c r="DT117" i="16"/>
  <c r="EA226" i="16"/>
  <c r="DY189" i="16"/>
  <c r="CZ356" i="16"/>
  <c r="DT353" i="16"/>
  <c r="DV221" i="16"/>
  <c r="EI340" i="16"/>
  <c r="EB487" i="16"/>
  <c r="EH309" i="16"/>
  <c r="DZ298" i="16"/>
  <c r="DV457" i="16"/>
  <c r="DW261" i="16"/>
  <c r="EF280" i="16"/>
  <c r="DJ95" i="16"/>
  <c r="EM139" i="16"/>
  <c r="DK174" i="16"/>
  <c r="DI304" i="16"/>
  <c r="DQ285" i="16"/>
  <c r="DS120" i="16"/>
  <c r="DC474" i="16"/>
  <c r="DP116" i="16"/>
  <c r="DT199" i="16"/>
  <c r="EM369" i="16"/>
  <c r="DN487" i="16"/>
  <c r="EM252" i="16"/>
  <c r="DQ424" i="16"/>
  <c r="DK339" i="16"/>
  <c r="CZ427" i="16"/>
  <c r="DW506" i="16"/>
  <c r="EF389" i="16"/>
  <c r="EK142" i="16"/>
  <c r="DQ115" i="16"/>
  <c r="EM420" i="16"/>
  <c r="DW344" i="16"/>
  <c r="DX431" i="16"/>
  <c r="DL386" i="16"/>
  <c r="DT465" i="16"/>
  <c r="EO351" i="16"/>
  <c r="EE321" i="16"/>
  <c r="DN377" i="16"/>
  <c r="DE389" i="16"/>
  <c r="DG180" i="16"/>
  <c r="EK370" i="16"/>
  <c r="EQ200" i="16"/>
  <c r="DJ348" i="16"/>
  <c r="EG406" i="16"/>
  <c r="EL250" i="16"/>
  <c r="DM252" i="16"/>
  <c r="DK505" i="16"/>
  <c r="EO129" i="16"/>
  <c r="EE55" i="16"/>
  <c r="DJ295" i="16"/>
  <c r="DY339" i="16"/>
  <c r="DZ159" i="16"/>
  <c r="EL64" i="16"/>
  <c r="ES274" i="16"/>
  <c r="DJ334" i="16"/>
  <c r="DT467" i="16"/>
  <c r="EH266" i="16"/>
  <c r="EI350" i="16"/>
  <c r="DV281" i="16"/>
  <c r="DN169" i="16"/>
  <c r="EK394" i="16"/>
  <c r="DM379" i="16"/>
  <c r="DN240" i="16"/>
  <c r="DC470" i="16"/>
  <c r="EC453" i="16"/>
  <c r="EJ84" i="16"/>
  <c r="DX427" i="16"/>
  <c r="DT273" i="16"/>
  <c r="DC143" i="16"/>
  <c r="EK320" i="16"/>
  <c r="DO281" i="16"/>
  <c r="DC458" i="16"/>
  <c r="DF350" i="16"/>
  <c r="EA342" i="16"/>
  <c r="DX93" i="16"/>
  <c r="EE421" i="16"/>
  <c r="EI163" i="16"/>
  <c r="DE336" i="16"/>
  <c r="DJ271" i="16"/>
  <c r="EM68" i="16"/>
  <c r="EB422" i="16"/>
  <c r="EJ298" i="16"/>
  <c r="DS327" i="16"/>
  <c r="EC387" i="16"/>
  <c r="DR76" i="16"/>
  <c r="DF239" i="16"/>
  <c r="DD89" i="16"/>
  <c r="DW501" i="16"/>
  <c r="DX377" i="16"/>
  <c r="DT337" i="16"/>
  <c r="EA195" i="16"/>
  <c r="DD118" i="16"/>
  <c r="DI474" i="16"/>
  <c r="DS265" i="16"/>
  <c r="EJ256" i="16"/>
  <c r="DU304" i="16"/>
  <c r="ER360" i="16"/>
  <c r="DT390" i="16"/>
  <c r="EN383" i="16"/>
  <c r="EE101" i="16"/>
  <c r="EB225" i="16"/>
  <c r="DA418" i="16"/>
  <c r="DL496" i="16"/>
  <c r="DR294" i="16"/>
  <c r="DL504" i="16"/>
  <c r="EI257" i="16"/>
  <c r="DQ123" i="16"/>
  <c r="DC476" i="16"/>
  <c r="DV67" i="16"/>
  <c r="DP346" i="16"/>
  <c r="EQ370" i="16"/>
  <c r="EF241" i="16"/>
  <c r="DW237" i="16"/>
  <c r="DV101" i="16"/>
  <c r="DK363" i="16"/>
  <c r="ES137" i="16"/>
  <c r="DW156" i="16"/>
  <c r="DG465" i="16"/>
  <c r="DW408" i="16"/>
  <c r="ER106" i="16"/>
  <c r="DR53" i="16"/>
  <c r="DB253" i="16"/>
  <c r="EM312" i="16"/>
  <c r="EE236" i="16"/>
  <c r="CZ297" i="16"/>
  <c r="DG111" i="16"/>
  <c r="DH403" i="16"/>
  <c r="DE339" i="16"/>
  <c r="DQ453" i="16"/>
  <c r="EA486" i="16"/>
  <c r="EP103" i="16"/>
  <c r="DS249" i="16"/>
  <c r="EK506" i="16"/>
  <c r="DR446" i="16"/>
  <c r="DG216" i="16"/>
  <c r="DH60" i="16"/>
  <c r="ER140" i="16"/>
  <c r="EA450" i="16"/>
  <c r="EI112" i="16"/>
  <c r="EQ144" i="16"/>
  <c r="EC469" i="16"/>
  <c r="DH416" i="16"/>
  <c r="DO495" i="16"/>
  <c r="EM274" i="16"/>
  <c r="DY321" i="16"/>
  <c r="DP300" i="16"/>
  <c r="DI224" i="16"/>
  <c r="DT396" i="16"/>
  <c r="ED469" i="16"/>
  <c r="DV197" i="16"/>
  <c r="DH248" i="16"/>
  <c r="DP384" i="16"/>
  <c r="DW416" i="16"/>
  <c r="ER430" i="16"/>
  <c r="DH381" i="16"/>
  <c r="EH170" i="16"/>
  <c r="DL345" i="16"/>
  <c r="DX347" i="16"/>
  <c r="CZ441" i="16"/>
  <c r="ER104" i="16"/>
  <c r="DJ206" i="16"/>
  <c r="DX315" i="16"/>
  <c r="EK415" i="16"/>
  <c r="EJ434" i="16"/>
  <c r="EI194" i="16"/>
  <c r="DI430" i="16"/>
  <c r="ED166" i="16"/>
  <c r="DO202" i="16"/>
  <c r="EK93" i="16"/>
  <c r="EK91" i="16"/>
  <c r="CZ118" i="16"/>
  <c r="DO418" i="16"/>
  <c r="EN437" i="16"/>
  <c r="DT211" i="16"/>
  <c r="EG411" i="16"/>
  <c r="DY417" i="16"/>
  <c r="DY440" i="16"/>
  <c r="DM352" i="16"/>
  <c r="DG287" i="16"/>
  <c r="ER72" i="16"/>
  <c r="DS276" i="16"/>
  <c r="DB421" i="16"/>
  <c r="DH180" i="16"/>
  <c r="DE376" i="16"/>
  <c r="EJ486" i="16"/>
  <c r="EL143" i="16"/>
  <c r="EI328" i="16"/>
  <c r="EL142" i="16"/>
  <c r="DG121" i="16"/>
  <c r="EK183" i="16"/>
  <c r="EJ393" i="16"/>
  <c r="EL283" i="16"/>
  <c r="ED346" i="16"/>
  <c r="EL504" i="16"/>
  <c r="DW263" i="16"/>
  <c r="DA324" i="16"/>
  <c r="EM440" i="16"/>
  <c r="EI273" i="16"/>
  <c r="DT482" i="16"/>
  <c r="DA275" i="16"/>
  <c r="DR256" i="16"/>
  <c r="DB148" i="16"/>
  <c r="EJ190" i="16"/>
  <c r="EG378" i="16"/>
  <c r="EE124" i="16"/>
  <c r="DK473" i="16"/>
  <c r="EQ382" i="16"/>
  <c r="DH253" i="16"/>
  <c r="EK403" i="16"/>
  <c r="EQ220" i="16"/>
  <c r="EN297" i="16"/>
  <c r="EC501" i="16"/>
  <c r="DO461" i="16"/>
  <c r="DC106" i="16"/>
  <c r="DM187" i="16"/>
  <c r="EC228" i="16"/>
  <c r="DI378" i="16"/>
  <c r="DP194" i="16"/>
  <c r="DH192" i="16"/>
  <c r="EI168" i="16"/>
  <c r="EH95" i="16"/>
  <c r="DJ123" i="16"/>
  <c r="EI254" i="16"/>
  <c r="DD411" i="16"/>
  <c r="DL490" i="16"/>
  <c r="EJ201" i="16"/>
  <c r="DS489" i="16"/>
  <c r="DT66" i="16"/>
  <c r="EJ501" i="16"/>
  <c r="DV282" i="16"/>
  <c r="DF472" i="16"/>
  <c r="EO391" i="16"/>
  <c r="EB481" i="16"/>
  <c r="DQ302" i="16"/>
  <c r="EO108" i="16"/>
  <c r="EC267" i="16"/>
  <c r="DE215" i="16"/>
  <c r="DV405" i="16"/>
  <c r="EB362" i="16"/>
  <c r="EI190" i="16"/>
  <c r="DV506" i="16"/>
  <c r="CZ343" i="16"/>
  <c r="ES96" i="16"/>
  <c r="DT296" i="16"/>
  <c r="EA264" i="16"/>
  <c r="EI497" i="16"/>
  <c r="ED486" i="16"/>
  <c r="DB291" i="16"/>
  <c r="DE321" i="16"/>
  <c r="DT456" i="16"/>
  <c r="DC515" i="16"/>
  <c r="DZ160" i="16"/>
  <c r="DV455" i="16"/>
  <c r="DF352" i="16"/>
  <c r="DT406" i="16"/>
  <c r="ES214" i="16"/>
  <c r="DG370" i="16"/>
  <c r="EC507" i="16"/>
  <c r="DZ234" i="16"/>
  <c r="EG227" i="16"/>
  <c r="DC322" i="16"/>
  <c r="DJ245" i="16"/>
  <c r="DM407" i="16"/>
  <c r="DK374" i="16"/>
  <c r="CZ311" i="16"/>
  <c r="DM253" i="16"/>
  <c r="DW419" i="16"/>
  <c r="DH500" i="16"/>
  <c r="DC276" i="16"/>
  <c r="EH457" i="16"/>
  <c r="EQ206" i="16"/>
  <c r="EF244" i="16"/>
  <c r="DR498" i="16"/>
  <c r="DW398" i="16"/>
  <c r="DX220" i="16"/>
  <c r="DX499" i="16"/>
  <c r="EF414" i="16"/>
  <c r="CZ60" i="16"/>
  <c r="DT508" i="16"/>
  <c r="EI341" i="16"/>
  <c r="DE334" i="16"/>
  <c r="DP155" i="16"/>
  <c r="DY158" i="16"/>
  <c r="EO78" i="16"/>
  <c r="EI127" i="16"/>
  <c r="DX452" i="16"/>
  <c r="DS413" i="16"/>
  <c r="DC74" i="16"/>
  <c r="EG393" i="16"/>
  <c r="DT489" i="16"/>
  <c r="DW368" i="16"/>
  <c r="EP167" i="16"/>
  <c r="EQ137" i="16"/>
  <c r="DZ330" i="16"/>
  <c r="DE154" i="16"/>
  <c r="EQ429" i="16"/>
  <c r="DJ458" i="16"/>
  <c r="EO342" i="16"/>
  <c r="DO321" i="16"/>
  <c r="EF384" i="16"/>
  <c r="DE402" i="16"/>
  <c r="DX508" i="16"/>
  <c r="DD239" i="16"/>
  <c r="DL437" i="16"/>
  <c r="DL403" i="16"/>
  <c r="EN299" i="16"/>
  <c r="DZ204" i="16"/>
  <c r="EK514" i="16"/>
  <c r="DL382" i="16"/>
  <c r="EO470" i="16"/>
  <c r="DX449" i="16"/>
  <c r="DB457" i="16"/>
  <c r="EN287" i="16"/>
  <c r="DJ312" i="16"/>
  <c r="DJ349" i="16"/>
  <c r="EC287" i="16"/>
  <c r="DB437" i="16"/>
  <c r="DG472" i="16"/>
  <c r="EA70" i="16"/>
  <c r="DE320" i="16"/>
  <c r="EF286" i="16"/>
  <c r="ES109" i="16"/>
  <c r="DX252" i="16"/>
  <c r="EE511" i="16"/>
  <c r="DP168" i="16"/>
  <c r="DL397" i="16"/>
  <c r="EM231" i="16"/>
  <c r="DT475" i="16"/>
  <c r="EB410" i="16"/>
  <c r="DB516" i="16"/>
  <c r="EF361" i="16"/>
  <c r="EP392" i="16"/>
  <c r="EM257" i="16"/>
  <c r="DX358" i="16"/>
  <c r="DX97" i="16"/>
  <c r="DN480" i="16"/>
  <c r="DR311" i="16"/>
  <c r="DW74" i="16"/>
  <c r="DT52" i="16"/>
  <c r="DF303" i="16"/>
  <c r="DS234" i="16"/>
  <c r="DP476" i="16"/>
  <c r="DS243" i="16"/>
  <c r="EJ157" i="16"/>
  <c r="DW343" i="16"/>
  <c r="ED357" i="16"/>
  <c r="EL393" i="16"/>
  <c r="DR186" i="16"/>
  <c r="ER492" i="16"/>
  <c r="EO177" i="16"/>
  <c r="EJ81" i="16"/>
  <c r="EN104" i="16"/>
  <c r="DG423" i="16"/>
  <c r="CZ344" i="16"/>
  <c r="DG170" i="16"/>
  <c r="DL335" i="16"/>
  <c r="DM234" i="16"/>
  <c r="DP350" i="16"/>
  <c r="EJ95" i="16"/>
  <c r="EC348" i="16"/>
  <c r="DO482" i="16"/>
  <c r="DN449" i="16"/>
  <c r="DJ410" i="16"/>
  <c r="DE197" i="16"/>
  <c r="EI407" i="16"/>
  <c r="CZ232" i="16"/>
  <c r="EG387" i="16"/>
  <c r="DP252" i="16"/>
  <c r="EM505" i="16"/>
  <c r="DO488" i="16"/>
  <c r="EA261" i="16"/>
  <c r="ES334" i="16"/>
  <c r="ER88" i="16"/>
  <c r="DP355" i="16"/>
  <c r="DM505" i="16"/>
  <c r="EB311" i="16"/>
  <c r="DV496" i="16"/>
  <c r="DB170" i="16"/>
  <c r="DV94" i="16"/>
  <c r="DF513" i="16"/>
  <c r="DI449" i="16"/>
  <c r="ES279" i="16"/>
  <c r="DA101" i="16"/>
  <c r="DI512" i="16"/>
  <c r="DP287" i="16"/>
  <c r="EI202" i="16"/>
  <c r="EA300" i="16"/>
  <c r="DR252" i="16"/>
  <c r="DR84" i="16"/>
  <c r="DH344" i="16"/>
  <c r="ED263" i="16"/>
  <c r="EL300" i="16"/>
  <c r="EE503" i="16"/>
  <c r="EF110" i="16"/>
  <c r="EJ153" i="16"/>
  <c r="DN481" i="16"/>
  <c r="DL396" i="16"/>
  <c r="DW250" i="16"/>
  <c r="DO453" i="16"/>
  <c r="EE220" i="16"/>
  <c r="EI305" i="16"/>
  <c r="DQ49" i="16"/>
  <c r="DZ272" i="16"/>
  <c r="EC280" i="16"/>
  <c r="ES376" i="16"/>
  <c r="DB72" i="16"/>
  <c r="DP503" i="16"/>
  <c r="DH162" i="16"/>
  <c r="DH480" i="16"/>
  <c r="EO275" i="16"/>
  <c r="DV216" i="16"/>
  <c r="EQ421" i="16"/>
  <c r="DL319" i="16"/>
  <c r="EQ374" i="16"/>
  <c r="DC179" i="16"/>
  <c r="DV362" i="16"/>
  <c r="DW417" i="16"/>
  <c r="EH267" i="16"/>
  <c r="EG309" i="16"/>
  <c r="EE488" i="16"/>
  <c r="DN153" i="16"/>
  <c r="DO228" i="16"/>
  <c r="EK399" i="16"/>
  <c r="EF470" i="16"/>
  <c r="EM450" i="16"/>
  <c r="DP180" i="16"/>
  <c r="ED334" i="16"/>
  <c r="DH84" i="16"/>
  <c r="DH260" i="16"/>
  <c r="EG52" i="16"/>
  <c r="EK460" i="16"/>
  <c r="DU313" i="16"/>
  <c r="DZ321" i="16"/>
  <c r="DS272" i="16"/>
  <c r="DD483" i="16"/>
  <c r="DZ276" i="16"/>
  <c r="DY451" i="16"/>
  <c r="EQ437" i="16"/>
  <c r="DU477" i="16"/>
  <c r="DL272" i="16"/>
  <c r="DJ502" i="16"/>
  <c r="CZ237" i="16"/>
  <c r="DV275" i="16"/>
  <c r="EM323" i="16"/>
  <c r="EQ462" i="16"/>
  <c r="DK282" i="16"/>
  <c r="DW479" i="16"/>
  <c r="DT267" i="16"/>
  <c r="DQ160" i="16"/>
  <c r="DU179" i="16"/>
  <c r="EG163" i="16"/>
  <c r="ER344" i="16"/>
  <c r="DG330" i="16"/>
  <c r="EA327" i="16"/>
  <c r="DV462" i="16"/>
  <c r="DS316" i="16"/>
  <c r="EP277" i="16"/>
  <c r="EG501" i="16"/>
  <c r="EG371" i="16"/>
  <c r="DC240" i="16"/>
  <c r="DR150" i="16"/>
  <c r="DT174" i="16"/>
  <c r="DK88" i="16"/>
  <c r="DS103" i="16"/>
  <c r="EF499" i="16"/>
  <c r="DA358" i="16"/>
  <c r="DN463" i="16"/>
  <c r="EM60" i="16"/>
  <c r="EQ171" i="16"/>
  <c r="DK178" i="16"/>
  <c r="DO242" i="16"/>
  <c r="EQ360" i="16"/>
  <c r="DS168" i="16"/>
  <c r="DO385" i="16"/>
  <c r="EF307" i="16"/>
  <c r="DX363" i="16"/>
  <c r="DK387" i="16"/>
  <c r="DE422" i="16"/>
  <c r="DV222" i="16"/>
  <c r="DB167" i="16"/>
  <c r="EL483" i="16"/>
  <c r="DS207" i="16"/>
  <c r="DO188" i="16"/>
  <c r="DN415" i="16"/>
  <c r="DM190" i="16"/>
  <c r="EL182" i="16"/>
  <c r="DN346" i="16"/>
  <c r="DJ121" i="16"/>
  <c r="DJ72" i="16"/>
  <c r="DV304" i="16"/>
  <c r="EN267" i="16"/>
  <c r="DP328" i="16"/>
  <c r="EK185" i="16"/>
  <c r="DN321" i="16"/>
  <c r="EF412" i="16"/>
  <c r="DZ155" i="16"/>
  <c r="DY107" i="16"/>
  <c r="EA243" i="16"/>
  <c r="DJ485" i="16"/>
  <c r="CZ508" i="16"/>
  <c r="EQ143" i="16"/>
  <c r="ED127" i="16"/>
  <c r="DP410" i="16"/>
  <c r="CZ211" i="16"/>
  <c r="CZ94" i="16"/>
  <c r="EB472" i="16"/>
  <c r="DR149" i="16"/>
  <c r="DX361" i="16"/>
  <c r="DR91" i="16"/>
  <c r="DC327" i="16"/>
  <c r="ER85" i="16"/>
  <c r="DL457" i="16"/>
  <c r="DH189" i="16"/>
  <c r="EQ175" i="16"/>
  <c r="EL490" i="16"/>
  <c r="ED241" i="16"/>
  <c r="DA391" i="16"/>
  <c r="DN366" i="16"/>
  <c r="EN463" i="16"/>
  <c r="DW425" i="16"/>
  <c r="EG73" i="16"/>
  <c r="CZ423" i="16"/>
  <c r="DU132" i="16"/>
  <c r="EL513" i="16"/>
  <c r="DH491" i="16"/>
  <c r="EO149" i="16"/>
  <c r="DJ478" i="16"/>
  <c r="DK296" i="16"/>
  <c r="DJ321" i="16"/>
  <c r="DV350" i="16"/>
  <c r="DQ386" i="16"/>
  <c r="DK327" i="16"/>
  <c r="DP483" i="16"/>
  <c r="EQ106" i="16"/>
  <c r="DV319" i="16"/>
  <c r="DP345" i="16"/>
  <c r="DF234" i="16"/>
  <c r="DB498" i="16"/>
  <c r="DS319" i="16"/>
  <c r="EI165" i="16"/>
  <c r="DK360" i="16"/>
  <c r="DI466" i="16"/>
  <c r="DF384" i="16"/>
  <c r="CZ316" i="16"/>
  <c r="DE329" i="16"/>
  <c r="DS90" i="16"/>
  <c r="EJ145" i="16"/>
  <c r="EP440" i="16"/>
  <c r="EO334" i="16"/>
  <c r="DU484" i="16"/>
  <c r="DM70" i="16"/>
  <c r="DG312" i="16"/>
  <c r="EB378" i="16"/>
  <c r="EJ289" i="16"/>
  <c r="DC416" i="16"/>
  <c r="DX415" i="16"/>
  <c r="DF185" i="16"/>
  <c r="CZ296" i="16"/>
  <c r="DD382" i="16"/>
  <c r="DL52" i="16"/>
  <c r="EK490" i="16"/>
  <c r="DZ360" i="16"/>
  <c r="EJ364" i="16"/>
  <c r="EF232" i="16"/>
  <c r="EL111" i="16"/>
  <c r="DU268" i="16"/>
  <c r="DL326" i="16"/>
  <c r="EK420" i="16"/>
  <c r="DT241" i="16"/>
  <c r="DN423" i="16"/>
  <c r="DW508" i="16"/>
  <c r="DY483" i="16"/>
  <c r="EM474" i="16"/>
  <c r="DJ194" i="16"/>
  <c r="DA206" i="16"/>
  <c r="DP249" i="16"/>
  <c r="DO251" i="16"/>
  <c r="DB359" i="16"/>
  <c r="DS76" i="16"/>
  <c r="DR472" i="16"/>
  <c r="EB296" i="16"/>
  <c r="DN106" i="16"/>
  <c r="EA247" i="16"/>
  <c r="ES370" i="16"/>
  <c r="EF198" i="16"/>
  <c r="DX325" i="16"/>
  <c r="EH428" i="16"/>
  <c r="EE372" i="16"/>
  <c r="DZ434" i="16"/>
  <c r="DY466" i="16"/>
  <c r="DE420" i="16"/>
  <c r="DG353" i="16"/>
  <c r="DV464" i="16"/>
  <c r="DR467" i="16"/>
  <c r="DA507" i="16"/>
  <c r="EL66" i="16"/>
  <c r="DL194" i="16"/>
  <c r="EK104" i="16"/>
  <c r="DC344" i="16"/>
  <c r="DC457" i="16"/>
  <c r="DR401" i="16"/>
  <c r="DI198" i="16"/>
  <c r="DX192" i="16"/>
  <c r="EN98" i="16"/>
  <c r="DW298" i="16"/>
  <c r="EO197" i="16"/>
  <c r="EF419" i="16"/>
  <c r="EO515" i="16"/>
  <c r="ES165" i="16"/>
  <c r="EE463" i="16"/>
  <c r="DN368" i="16"/>
  <c r="DK379" i="16"/>
  <c r="DB408" i="16"/>
  <c r="DG343" i="16"/>
  <c r="EF141" i="16"/>
  <c r="EQ49" i="16"/>
  <c r="DF169" i="16"/>
  <c r="DT386" i="16"/>
  <c r="DT447" i="16"/>
  <c r="EJ491" i="16"/>
  <c r="EJ447" i="16"/>
  <c r="DU399" i="16"/>
  <c r="DP342" i="16"/>
  <c r="EF422" i="16"/>
  <c r="EH146" i="16"/>
  <c r="DN320" i="16"/>
  <c r="DY114" i="16"/>
  <c r="DE264" i="16"/>
  <c r="DX441" i="16"/>
  <c r="DG99" i="16"/>
  <c r="CZ404" i="16"/>
  <c r="CZ119" i="16"/>
  <c r="DC151" i="16"/>
  <c r="EG319" i="16"/>
  <c r="EA459" i="16"/>
  <c r="EG259" i="16"/>
  <c r="EI332" i="16"/>
  <c r="EJ144" i="16"/>
  <c r="DS456" i="16"/>
  <c r="DX308" i="16"/>
  <c r="EN253" i="16"/>
  <c r="DR323" i="16"/>
  <c r="DU373" i="16"/>
  <c r="DY493" i="16"/>
  <c r="DR289" i="16"/>
  <c r="EN169" i="16"/>
  <c r="DL353" i="16"/>
  <c r="ER61" i="16"/>
  <c r="DI142" i="16"/>
  <c r="DZ344" i="16"/>
  <c r="DP253" i="16"/>
  <c r="DH473" i="16"/>
  <c r="DN239" i="16"/>
  <c r="DJ49" i="16"/>
  <c r="EM319" i="16"/>
  <c r="DU408" i="16"/>
  <c r="DA424" i="16"/>
  <c r="CZ424" i="16"/>
  <c r="EH367" i="16"/>
  <c r="DT401" i="16"/>
  <c r="EB274" i="16"/>
  <c r="EN479" i="16"/>
  <c r="DV341" i="16"/>
  <c r="DO167" i="16"/>
  <c r="DU195" i="16"/>
  <c r="DK165" i="16"/>
  <c r="DI194" i="16"/>
  <c r="EL355" i="16"/>
  <c r="EN184" i="16"/>
  <c r="DK74" i="16"/>
  <c r="DC376" i="16"/>
  <c r="DY299" i="16"/>
  <c r="DE253" i="16"/>
  <c r="EL185" i="16"/>
  <c r="DJ279" i="16"/>
  <c r="EN471" i="16"/>
  <c r="DD176" i="16"/>
  <c r="ED394" i="16"/>
  <c r="EO453" i="16"/>
  <c r="EM329" i="16"/>
  <c r="DF439" i="16"/>
  <c r="DQ98" i="16"/>
  <c r="DI227" i="16"/>
  <c r="EK472" i="16"/>
  <c r="DU299" i="16"/>
  <c r="DW377" i="16"/>
  <c r="DM99" i="16"/>
  <c r="DZ380" i="16"/>
  <c r="EG479" i="16"/>
  <c r="DH454" i="16"/>
  <c r="EB148" i="16"/>
  <c r="ED505" i="16"/>
  <c r="EH297" i="16"/>
  <c r="EG220" i="16"/>
  <c r="DX445" i="16"/>
  <c r="EJ132" i="16"/>
  <c r="ES491" i="16"/>
  <c r="ED180" i="16"/>
  <c r="DV226" i="16"/>
  <c r="EH235" i="16"/>
  <c r="EJ421" i="16"/>
  <c r="DC378" i="16"/>
  <c r="ER324" i="16"/>
  <c r="EG224" i="16"/>
  <c r="DG326" i="16"/>
  <c r="EG461" i="16"/>
  <c r="DC370" i="16"/>
  <c r="EQ508" i="16"/>
  <c r="EO327" i="16"/>
  <c r="EQ496" i="16"/>
  <c r="DG175" i="16"/>
  <c r="DJ167" i="16"/>
  <c r="DS374" i="16"/>
  <c r="DQ220" i="16"/>
  <c r="DE118" i="16"/>
  <c r="EB207" i="16"/>
  <c r="EB85" i="16"/>
  <c r="DI377" i="16"/>
  <c r="EN386" i="16"/>
  <c r="EJ293" i="16"/>
  <c r="DH383" i="16"/>
  <c r="DF418" i="16"/>
  <c r="EJ130" i="16"/>
  <c r="EF321" i="16"/>
  <c r="EB128" i="16"/>
  <c r="DR117" i="16"/>
  <c r="EP334" i="16"/>
  <c r="DS357" i="16"/>
  <c r="EC326" i="16"/>
  <c r="EC446" i="16"/>
  <c r="DJ277" i="16"/>
  <c r="EF168" i="16"/>
  <c r="EH294" i="16"/>
  <c r="EL239" i="16"/>
  <c r="EB161" i="16"/>
  <c r="ED402" i="16"/>
  <c r="EG114" i="16"/>
  <c r="DD316" i="16"/>
  <c r="DU294" i="16"/>
  <c r="EG130" i="16"/>
  <c r="CZ471" i="16"/>
  <c r="DB393" i="16"/>
  <c r="EP159" i="16"/>
  <c r="EK421" i="16"/>
  <c r="DS474" i="16"/>
  <c r="DQ420" i="16"/>
  <c r="EC335" i="16"/>
  <c r="EA263" i="16"/>
  <c r="ER96" i="16"/>
  <c r="ES363" i="16"/>
  <c r="DP190" i="16"/>
  <c r="EI281" i="16"/>
  <c r="DJ392" i="16"/>
  <c r="EA258" i="16"/>
  <c r="DI192" i="16"/>
  <c r="EJ340" i="16"/>
  <c r="EH369" i="16"/>
  <c r="DX453" i="16"/>
  <c r="EI98" i="16"/>
  <c r="EE461" i="16"/>
  <c r="DM64" i="16"/>
  <c r="DP216" i="16"/>
  <c r="DP446" i="16"/>
  <c r="EC408" i="16"/>
  <c r="DW404" i="16"/>
  <c r="DW281" i="16"/>
  <c r="DU223" i="16"/>
  <c r="DJ298" i="16"/>
  <c r="DF487" i="16"/>
  <c r="DQ343" i="16"/>
  <c r="DK68" i="16"/>
  <c r="EP139" i="16"/>
  <c r="DW273" i="16"/>
  <c r="EH447" i="16"/>
  <c r="DO415" i="16"/>
  <c r="ES285" i="16"/>
  <c r="EJ460" i="16"/>
  <c r="DH339" i="16"/>
  <c r="DT257" i="16"/>
  <c r="EG283" i="16"/>
  <c r="EG453" i="16"/>
  <c r="ES425" i="16"/>
  <c r="DB431" i="16"/>
  <c r="DK390" i="16"/>
  <c r="DG137" i="16"/>
  <c r="EQ346" i="16"/>
  <c r="DC500" i="16"/>
  <c r="DH435" i="16"/>
  <c r="DT410" i="16"/>
  <c r="EH395" i="16"/>
  <c r="DY329" i="16"/>
  <c r="EA145" i="16"/>
  <c r="ES83" i="16"/>
  <c r="DI376" i="16"/>
  <c r="DB212" i="16"/>
  <c r="DB302" i="16"/>
  <c r="DT512" i="16"/>
  <c r="EK439" i="16"/>
  <c r="EB350" i="16"/>
  <c r="DU452" i="16"/>
  <c r="EO125" i="16"/>
  <c r="DJ385" i="16"/>
  <c r="DE307" i="16"/>
  <c r="DG487" i="16"/>
  <c r="DG325" i="16"/>
  <c r="DX394" i="16"/>
  <c r="DN281" i="16"/>
  <c r="DS222" i="16"/>
  <c r="DZ428" i="16"/>
  <c r="EF512" i="16"/>
  <c r="EO69" i="16"/>
  <c r="DF409" i="16"/>
  <c r="EG125" i="16"/>
  <c r="EO469" i="16"/>
  <c r="EL339" i="16"/>
  <c r="DV77" i="16"/>
  <c r="DL156" i="16"/>
  <c r="EA245" i="16"/>
  <c r="DC487" i="16"/>
  <c r="DE500" i="16"/>
  <c r="ED341" i="16"/>
  <c r="ES388" i="16"/>
  <c r="DN461" i="16"/>
  <c r="DM294" i="16"/>
  <c r="DF99" i="16"/>
  <c r="DX326" i="16"/>
  <c r="EM414" i="16"/>
  <c r="DH488" i="16"/>
  <c r="DW224" i="16"/>
  <c r="EE91" i="16"/>
  <c r="DE297" i="16"/>
  <c r="EL412" i="16"/>
  <c r="EH459" i="16"/>
  <c r="DL436" i="16"/>
  <c r="EB109" i="16"/>
  <c r="DM229" i="16"/>
  <c r="DI119" i="16"/>
  <c r="EJ428" i="16"/>
  <c r="DK231" i="16"/>
  <c r="DK471" i="16"/>
  <c r="DM138" i="16"/>
  <c r="DH387" i="16"/>
  <c r="EO220" i="16"/>
  <c r="DI208" i="16"/>
  <c r="DF61" i="16"/>
  <c r="EN214" i="16"/>
  <c r="ER178" i="16"/>
  <c r="ED344" i="16"/>
  <c r="EI426" i="16"/>
  <c r="DQ393" i="16"/>
  <c r="EI156" i="16"/>
  <c r="DZ335" i="16"/>
  <c r="DE259" i="16"/>
  <c r="EF428" i="16"/>
  <c r="DF257" i="16"/>
  <c r="DO240" i="16"/>
  <c r="DE377" i="16"/>
  <c r="EA337" i="16"/>
  <c r="DA423" i="16"/>
  <c r="ER233" i="16"/>
  <c r="DQ133" i="16"/>
  <c r="DW510" i="16"/>
  <c r="DP292" i="16"/>
  <c r="DL415" i="16"/>
  <c r="EQ392" i="16"/>
  <c r="DF214" i="16"/>
  <c r="ES473" i="16"/>
  <c r="EG162" i="16"/>
  <c r="DT455" i="16"/>
  <c r="DR408" i="16"/>
  <c r="DU503" i="16"/>
  <c r="EM51" i="16"/>
  <c r="EI248" i="16"/>
  <c r="EQ495" i="16"/>
  <c r="EB394" i="16"/>
  <c r="DT481" i="16"/>
  <c r="ES155" i="16"/>
  <c r="DF143" i="16"/>
  <c r="DZ228" i="16"/>
  <c r="DG457" i="16"/>
  <c r="EC76" i="16"/>
  <c r="DX423" i="16"/>
  <c r="EN187" i="16"/>
  <c r="DK71" i="16"/>
  <c r="ED125" i="16"/>
  <c r="EM109" i="16"/>
  <c r="DP266" i="16"/>
  <c r="ER515" i="16"/>
  <c r="DW467" i="16"/>
  <c r="DA315" i="16"/>
  <c r="DE488" i="16"/>
  <c r="EK198" i="16"/>
  <c r="DS295" i="16"/>
  <c r="DM238" i="16"/>
  <c r="DK370" i="16"/>
  <c r="EJ443" i="16"/>
  <c r="DO246" i="16"/>
  <c r="EO336" i="16"/>
  <c r="EN342" i="16"/>
  <c r="DL221" i="16"/>
  <c r="ED138" i="16"/>
  <c r="DT145" i="16"/>
  <c r="EK58" i="16"/>
  <c r="DW430" i="16"/>
  <c r="EQ255" i="16"/>
  <c r="EF471" i="16"/>
  <c r="EH96" i="16"/>
  <c r="DZ390" i="16"/>
  <c r="EL139" i="16"/>
  <c r="DW146" i="16"/>
  <c r="DB430" i="16"/>
  <c r="EC363" i="16"/>
  <c r="EH200" i="16"/>
  <c r="DG473" i="16"/>
  <c r="DE78" i="16"/>
  <c r="ED254" i="16"/>
  <c r="DE130" i="16"/>
  <c r="DQ54" i="16"/>
  <c r="EL360" i="16"/>
  <c r="DK246" i="16"/>
  <c r="DD364" i="16"/>
  <c r="EG96" i="16"/>
  <c r="DR337" i="16"/>
  <c r="DY403" i="16"/>
  <c r="DL290" i="16"/>
  <c r="EE141" i="16"/>
  <c r="EA107" i="16"/>
  <c r="DU213" i="16"/>
  <c r="EI288" i="16"/>
  <c r="EK321" i="16"/>
  <c r="EK255" i="16"/>
  <c r="EG180" i="16"/>
  <c r="DW299" i="16"/>
  <c r="EI199" i="16"/>
  <c r="EF349" i="16"/>
  <c r="DH240" i="16"/>
  <c r="EM425" i="16"/>
  <c r="DK429" i="16"/>
  <c r="EG237" i="16"/>
  <c r="DA205" i="16"/>
  <c r="DD420" i="16"/>
  <c r="DZ189" i="16"/>
  <c r="DF339" i="16"/>
  <c r="DE71" i="16"/>
  <c r="EF58" i="16"/>
  <c r="DO443" i="16"/>
  <c r="DL53" i="16"/>
  <c r="EK258" i="16"/>
  <c r="EP169" i="16"/>
  <c r="DR455" i="16"/>
  <c r="EI167" i="16"/>
  <c r="EQ95" i="16"/>
  <c r="EP321" i="16"/>
  <c r="DM348" i="16"/>
  <c r="EG513" i="16"/>
  <c r="DF416" i="16"/>
  <c r="EA382" i="16"/>
  <c r="DE338" i="16"/>
  <c r="EI486" i="16"/>
  <c r="EN431" i="16"/>
  <c r="EP424" i="16"/>
  <c r="DG283" i="16"/>
  <c r="DV152" i="16"/>
  <c r="EL381" i="16"/>
  <c r="DV286" i="16"/>
  <c r="DH209" i="16"/>
  <c r="DK474" i="16"/>
  <c r="ES286" i="16"/>
  <c r="DC408" i="16"/>
  <c r="DS422" i="16"/>
  <c r="DY91" i="16"/>
  <c r="DH96" i="16"/>
  <c r="DQ168" i="16"/>
  <c r="EJ454" i="16"/>
  <c r="EG500" i="16"/>
  <c r="EI334" i="16"/>
  <c r="EA156" i="16"/>
  <c r="EA221" i="16"/>
  <c r="DN505" i="16"/>
  <c r="EQ288" i="16"/>
  <c r="DG447" i="16"/>
  <c r="DV408" i="16"/>
  <c r="DJ484" i="16"/>
  <c r="DM444" i="16"/>
  <c r="EG321" i="16"/>
  <c r="DY408" i="16"/>
  <c r="DP130" i="16"/>
  <c r="EG397" i="16"/>
  <c r="DO459" i="16"/>
  <c r="CZ292" i="16"/>
  <c r="DE165" i="16"/>
  <c r="EI418" i="16"/>
  <c r="EL484" i="16"/>
  <c r="CZ267" i="16"/>
  <c r="ER330" i="16"/>
  <c r="EB159" i="16"/>
  <c r="DM451" i="16"/>
  <c r="EO353" i="16"/>
  <c r="DP423" i="16"/>
  <c r="DQ226" i="16"/>
  <c r="EK451" i="16"/>
  <c r="EC474" i="16"/>
  <c r="DQ266" i="16"/>
  <c r="DF215" i="16"/>
  <c r="DG439" i="16"/>
  <c r="DB215" i="16"/>
  <c r="DD336" i="16"/>
  <c r="EF360" i="16"/>
  <c r="DD355" i="16"/>
  <c r="DB326" i="16"/>
  <c r="DX433" i="16"/>
  <c r="EO240" i="16"/>
  <c r="DB444" i="16"/>
  <c r="EI470" i="16"/>
  <c r="EI240" i="16"/>
  <c r="EM64" i="16"/>
  <c r="DG207" i="16"/>
  <c r="DY152" i="16"/>
  <c r="DF182" i="16"/>
  <c r="DA162" i="16"/>
  <c r="EO392" i="16"/>
  <c r="ES211" i="16"/>
  <c r="DO235" i="16"/>
  <c r="DC103" i="16"/>
  <c r="EL219" i="16"/>
  <c r="DC303" i="16"/>
  <c r="DY464" i="16"/>
  <c r="DV473" i="16"/>
  <c r="DJ331" i="16"/>
  <c r="EC225" i="16"/>
  <c r="DC329" i="16"/>
  <c r="EE164" i="16"/>
  <c r="DW356" i="16"/>
  <c r="DI305" i="16"/>
  <c r="DP385" i="16"/>
  <c r="DP143" i="16"/>
  <c r="EN361" i="16"/>
  <c r="DS341" i="16"/>
  <c r="EC305" i="16"/>
  <c r="EF359" i="16"/>
  <c r="ES457" i="16"/>
  <c r="DL287" i="16"/>
  <c r="EE402" i="16"/>
  <c r="EE186" i="16"/>
  <c r="EM270" i="16"/>
  <c r="DF135" i="16"/>
  <c r="EF326" i="16"/>
  <c r="DN233" i="16"/>
  <c r="ES500" i="16"/>
  <c r="DC352" i="16"/>
  <c r="EK149" i="16"/>
  <c r="DP481" i="16"/>
  <c r="EA423" i="16"/>
  <c r="EQ364" i="16"/>
  <c r="EP204" i="16"/>
  <c r="EG374" i="16"/>
  <c r="EO337" i="16"/>
  <c r="DI506" i="16"/>
  <c r="ED84" i="16"/>
  <c r="DQ436" i="16"/>
  <c r="EM216" i="16"/>
  <c r="DF359" i="16"/>
  <c r="DS253" i="16"/>
  <c r="DG290" i="16"/>
  <c r="EN125" i="16"/>
  <c r="EA163" i="16"/>
  <c r="DB225" i="16"/>
  <c r="DN339" i="16"/>
  <c r="DP228" i="16"/>
  <c r="EQ102" i="16"/>
  <c r="EQ77" i="16"/>
  <c r="DT494" i="16"/>
  <c r="EQ459" i="16"/>
  <c r="DD250" i="16"/>
  <c r="DN450" i="16"/>
  <c r="DZ54" i="16"/>
  <c r="EN280" i="16"/>
  <c r="EO229" i="16"/>
  <c r="DW131" i="16"/>
  <c r="DK443" i="16"/>
  <c r="DS461" i="16"/>
  <c r="DN59" i="16"/>
  <c r="DR201" i="16"/>
  <c r="ES323" i="16"/>
  <c r="DM418" i="16"/>
  <c r="DL501" i="16"/>
  <c r="EM305" i="16"/>
  <c r="DS444" i="16"/>
  <c r="DE83" i="16"/>
  <c r="DL313" i="16"/>
  <c r="EB413" i="16"/>
  <c r="EB190" i="16"/>
  <c r="DR281" i="16"/>
  <c r="EN56" i="16"/>
  <c r="DW481" i="16"/>
  <c r="EO60" i="16"/>
  <c r="EF71" i="16"/>
  <c r="DX491" i="16"/>
  <c r="DD111" i="16"/>
  <c r="DZ244" i="16"/>
  <c r="ES463" i="16"/>
  <c r="DA168" i="16"/>
  <c r="DF436" i="16"/>
  <c r="DJ377" i="16"/>
  <c r="DE470" i="16"/>
  <c r="EK193" i="16"/>
  <c r="ES485" i="16"/>
  <c r="ED516" i="16"/>
  <c r="DY461" i="16"/>
  <c r="DP473" i="16"/>
  <c r="EC181" i="16"/>
  <c r="DW459" i="16"/>
  <c r="DY237" i="16"/>
  <c r="EQ125" i="16"/>
  <c r="EH516" i="16"/>
  <c r="DK308" i="16"/>
  <c r="EH144" i="16"/>
  <c r="DG357" i="16"/>
  <c r="DL451" i="16"/>
  <c r="CZ200" i="16"/>
  <c r="DZ142" i="16"/>
  <c r="DW257" i="16"/>
  <c r="DL462" i="16"/>
  <c r="ER375" i="16"/>
  <c r="ER54" i="16"/>
  <c r="EM396" i="16"/>
  <c r="DS331" i="16"/>
  <c r="ER51" i="16"/>
  <c r="DH310" i="16"/>
  <c r="ER133" i="16"/>
  <c r="EF156" i="16"/>
  <c r="EI485" i="16"/>
  <c r="DZ238" i="16"/>
  <c r="DI163" i="16"/>
  <c r="EI317" i="16"/>
  <c r="EB435" i="16"/>
  <c r="EQ131" i="16"/>
  <c r="DK141" i="16"/>
  <c r="EC251" i="16"/>
  <c r="DT251" i="16"/>
  <c r="ER283" i="16"/>
  <c r="DT60" i="16"/>
  <c r="EJ70" i="16"/>
  <c r="EE508" i="16"/>
  <c r="DC313" i="16"/>
  <c r="DA455" i="16"/>
  <c r="DF104" i="16"/>
  <c r="EK170" i="16"/>
  <c r="DK200" i="16"/>
  <c r="EE244" i="16"/>
  <c r="DD289" i="16"/>
  <c r="EI379" i="16"/>
  <c r="DQ211" i="16"/>
  <c r="DQ224" i="16"/>
  <c r="DT85" i="16"/>
  <c r="DO447" i="16"/>
  <c r="EI401" i="16"/>
  <c r="DC206" i="16"/>
  <c r="DX175" i="16"/>
  <c r="DM479" i="16"/>
  <c r="DI437" i="16"/>
  <c r="DJ94" i="16"/>
  <c r="EN498" i="16"/>
  <c r="EQ97" i="16"/>
  <c r="DY513" i="16"/>
  <c r="DV467" i="16"/>
  <c r="EF99" i="16"/>
  <c r="DN424" i="16"/>
  <c r="EI208" i="16"/>
  <c r="EC268" i="16"/>
  <c r="DA413" i="16"/>
  <c r="DA357" i="16"/>
  <c r="DJ308" i="16"/>
  <c r="ED362" i="16"/>
  <c r="DQ91" i="16"/>
  <c r="ER424" i="16"/>
  <c r="EQ75" i="16"/>
  <c r="EE352" i="16"/>
  <c r="DU288" i="16"/>
  <c r="DS497" i="16"/>
  <c r="ED434" i="16"/>
  <c r="DZ362" i="16"/>
  <c r="EM211" i="16"/>
  <c r="EP351" i="16"/>
  <c r="ES298" i="16"/>
  <c r="DV446" i="16"/>
  <c r="EL188" i="16"/>
  <c r="EJ227" i="16"/>
  <c r="EM395" i="16"/>
  <c r="EB261" i="16"/>
  <c r="DA316" i="16"/>
  <c r="EP346" i="16"/>
  <c r="DA85" i="16"/>
  <c r="DY281" i="16"/>
  <c r="DD361" i="16"/>
  <c r="DR97" i="16"/>
  <c r="DG251" i="16"/>
  <c r="DJ169" i="16"/>
  <c r="EF261" i="16"/>
  <c r="DJ276" i="16"/>
  <c r="EG354" i="16"/>
  <c r="DA478" i="16"/>
  <c r="EC512" i="16"/>
  <c r="EE441" i="16"/>
  <c r="CZ455" i="16"/>
  <c r="DB293" i="16"/>
  <c r="DV443" i="16"/>
  <c r="EP229" i="16"/>
  <c r="EH71" i="16"/>
  <c r="DS487" i="16"/>
  <c r="DL228" i="16"/>
  <c r="EE368" i="16"/>
  <c r="EH506" i="16"/>
  <c r="DE440" i="16"/>
  <c r="DB204" i="16"/>
  <c r="DC284" i="16"/>
  <c r="DK312" i="16"/>
  <c r="DX123" i="16"/>
  <c r="DE184" i="16"/>
  <c r="EG258" i="16"/>
  <c r="EO254" i="16"/>
  <c r="CZ126" i="16"/>
  <c r="EH108" i="16"/>
  <c r="EI421" i="16"/>
  <c r="DA318" i="16"/>
  <c r="DR352" i="16"/>
  <c r="DF286" i="16"/>
  <c r="EC456" i="16"/>
  <c r="EO210" i="16"/>
  <c r="DF360" i="16"/>
  <c r="DV452" i="16"/>
  <c r="EH164" i="16"/>
  <c r="DW335" i="16"/>
  <c r="DO336" i="16"/>
  <c r="DV411" i="16"/>
  <c r="EI235" i="16"/>
  <c r="DX130" i="16"/>
  <c r="DB424" i="16"/>
  <c r="ES232" i="16"/>
  <c r="DU446" i="16"/>
  <c r="DB381" i="16"/>
  <c r="EI179" i="16"/>
  <c r="DD369" i="16"/>
  <c r="DN89" i="16"/>
  <c r="EH241" i="16"/>
  <c r="EL465" i="16"/>
  <c r="ER226" i="16"/>
  <c r="DM204" i="16"/>
  <c r="ER67" i="16"/>
  <c r="DB411" i="16"/>
  <c r="EQ148" i="16"/>
  <c r="EP510" i="16"/>
  <c r="EQ174" i="16"/>
  <c r="EH256" i="16"/>
  <c r="DU469" i="16"/>
  <c r="DD286" i="16"/>
  <c r="EQ86" i="16"/>
  <c r="DS514" i="16"/>
  <c r="DA232" i="16"/>
  <c r="EF453" i="16"/>
  <c r="DY66" i="16"/>
  <c r="EE489" i="16"/>
  <c r="DV369" i="16"/>
  <c r="DW88" i="16"/>
  <c r="DQ149" i="16"/>
  <c r="EG86" i="16"/>
  <c r="EJ449" i="16"/>
  <c r="DN515" i="16"/>
  <c r="EH154" i="16"/>
  <c r="DJ347" i="16"/>
  <c r="DS87" i="16"/>
  <c r="EA209" i="16"/>
  <c r="DQ488" i="16"/>
  <c r="DT326" i="16"/>
  <c r="DH56" i="16"/>
  <c r="EK361" i="16"/>
  <c r="DQ494" i="16"/>
  <c r="DH397" i="16"/>
  <c r="DO497" i="16"/>
  <c r="DF478" i="16"/>
  <c r="DK428" i="16"/>
  <c r="DQ179" i="16"/>
  <c r="ED49" i="16"/>
  <c r="EL284" i="16"/>
  <c r="DI438" i="16"/>
  <c r="EI300" i="16"/>
  <c r="EK100" i="16"/>
  <c r="DA354" i="16"/>
  <c r="EE286" i="16"/>
  <c r="EO99" i="16"/>
  <c r="DB392" i="16"/>
  <c r="DU336" i="16"/>
  <c r="DB207" i="16"/>
  <c r="DM336" i="16"/>
  <c r="EG455" i="16"/>
  <c r="DU208" i="16"/>
  <c r="DB237" i="16"/>
  <c r="DG288" i="16"/>
  <c r="DZ471" i="16"/>
  <c r="DJ162" i="16"/>
  <c r="EB318" i="16"/>
  <c r="DG416" i="16"/>
  <c r="EB257" i="16"/>
  <c r="EN436" i="16"/>
  <c r="DY271" i="16"/>
  <c r="DE69" i="16"/>
  <c r="DG434" i="16"/>
  <c r="EP251" i="16"/>
  <c r="DR299" i="16"/>
  <c r="DI354" i="16"/>
  <c r="DC406" i="16"/>
  <c r="EG118" i="16"/>
  <c r="EH510" i="16"/>
  <c r="EK165" i="16"/>
  <c r="DF382" i="16"/>
  <c r="ES154" i="16"/>
  <c r="EJ472" i="16"/>
  <c r="EJ410" i="16"/>
  <c r="EP480" i="16"/>
  <c r="ES216" i="16"/>
  <c r="DU376" i="16"/>
  <c r="EC83" i="16"/>
  <c r="DK328" i="16"/>
  <c r="DN137" i="16"/>
  <c r="EG356" i="16"/>
  <c r="DF468" i="16"/>
  <c r="DU371" i="16"/>
  <c r="EE119" i="16"/>
  <c r="DG316" i="16"/>
  <c r="EC254" i="16"/>
  <c r="ES405" i="16"/>
  <c r="EM225" i="16"/>
  <c r="DT280" i="16"/>
  <c r="ES129" i="16"/>
  <c r="DU335" i="16"/>
  <c r="ES147" i="16"/>
  <c r="DM272" i="16"/>
  <c r="DC184" i="16"/>
  <c r="DO413" i="16"/>
  <c r="ER103" i="16"/>
  <c r="DE63" i="16"/>
  <c r="EA389" i="16"/>
  <c r="DG505" i="16"/>
  <c r="EP96" i="16"/>
  <c r="DL87" i="16"/>
  <c r="DJ412" i="16"/>
  <c r="DS363" i="16"/>
  <c r="DO421" i="16"/>
  <c r="DH207" i="16"/>
  <c r="DX395" i="16"/>
  <c r="DR414" i="16"/>
  <c r="EC516" i="16"/>
  <c r="DM346" i="16"/>
  <c r="EH285" i="16"/>
  <c r="DJ452" i="16"/>
  <c r="DX288" i="16"/>
  <c r="DU508" i="16"/>
  <c r="DM268" i="16"/>
  <c r="DI508" i="16"/>
  <c r="EQ167" i="16"/>
  <c r="DU196" i="16"/>
  <c r="DX139" i="16"/>
  <c r="ED375" i="16"/>
  <c r="DI357" i="16"/>
  <c r="EF305" i="16"/>
  <c r="EC316" i="16"/>
  <c r="EH142" i="16"/>
  <c r="CZ499" i="16"/>
  <c r="EB216" i="16"/>
  <c r="DQ262" i="16"/>
  <c r="ED506" i="16"/>
  <c r="DF403" i="16"/>
  <c r="DJ113" i="16"/>
  <c r="DI483" i="16"/>
  <c r="DV421" i="16"/>
  <c r="DT438" i="16"/>
  <c r="DC407" i="16"/>
  <c r="DC140" i="16"/>
  <c r="DM264" i="16"/>
  <c r="EE148" i="16"/>
  <c r="EC357" i="16"/>
  <c r="EP465" i="16"/>
  <c r="DF92" i="16"/>
  <c r="ED330" i="16"/>
  <c r="DP479" i="16"/>
  <c r="EK500" i="16"/>
  <c r="DP330" i="16"/>
  <c r="EK392" i="16"/>
  <c r="ER445" i="16"/>
  <c r="ER513" i="16"/>
  <c r="EL187" i="16"/>
  <c r="DT368" i="16"/>
  <c r="DE75" i="16"/>
  <c r="DY176" i="16"/>
  <c r="DZ457" i="16"/>
  <c r="DA260" i="16"/>
  <c r="DV412" i="16"/>
  <c r="EK351" i="16"/>
  <c r="EI440" i="16"/>
  <c r="DG250" i="16"/>
  <c r="DO265" i="16"/>
  <c r="EB183" i="16"/>
  <c r="DV427" i="16"/>
  <c r="DP477" i="16"/>
  <c r="DQ71" i="16"/>
  <c r="EI455" i="16"/>
  <c r="EJ431" i="16"/>
  <c r="DR270" i="16"/>
  <c r="ER329" i="16"/>
  <c r="EF373" i="16"/>
  <c r="DQ278" i="16"/>
  <c r="EJ200" i="16"/>
  <c r="ED444" i="16"/>
  <c r="EI256" i="16"/>
  <c r="EP415" i="16"/>
  <c r="DK344" i="16"/>
  <c r="EG267" i="16"/>
  <c r="EN234" i="16"/>
  <c r="DY471" i="16"/>
  <c r="DY251" i="16"/>
  <c r="DK498" i="16"/>
  <c r="ED91" i="16"/>
  <c r="EQ245" i="16"/>
  <c r="DY397" i="16"/>
  <c r="DK191" i="16"/>
  <c r="EE448" i="16"/>
  <c r="DO270" i="16"/>
  <c r="EP278" i="16"/>
  <c r="CZ457" i="16"/>
  <c r="CZ308" i="16"/>
  <c r="DS317" i="16"/>
  <c r="DV430" i="16"/>
  <c r="DW363" i="16"/>
  <c r="DG436" i="16"/>
  <c r="DP52" i="16"/>
  <c r="DN380" i="16"/>
  <c r="DB250" i="16"/>
  <c r="EB165" i="16"/>
  <c r="DH323" i="16"/>
  <c r="DO442" i="16"/>
  <c r="DA253" i="16"/>
  <c r="EJ159" i="16"/>
  <c r="DL83" i="16"/>
  <c r="EQ63" i="16"/>
  <c r="DJ345" i="16"/>
  <c r="DW385" i="16"/>
  <c r="DH99" i="16"/>
  <c r="EF158" i="16"/>
  <c r="EG498" i="16"/>
  <c r="DT463" i="16"/>
  <c r="EC281" i="16"/>
  <c r="DM426" i="16"/>
  <c r="DY359" i="16"/>
  <c r="DE278" i="16"/>
  <c r="EF382" i="16"/>
  <c r="DJ474" i="16"/>
  <c r="EP442" i="16"/>
  <c r="EQ141" i="16"/>
  <c r="DQ469" i="16"/>
  <c r="EH161" i="16"/>
  <c r="DA438" i="16"/>
  <c r="EP67" i="16"/>
  <c r="DJ300" i="16"/>
  <c r="DZ239" i="16"/>
  <c r="ER462" i="16"/>
  <c r="DL480" i="16"/>
  <c r="DH337" i="16"/>
  <c r="DG97" i="16"/>
  <c r="DQ273" i="16"/>
  <c r="EF481" i="16"/>
  <c r="DX231" i="16"/>
  <c r="EL424" i="16"/>
  <c r="ES150" i="16"/>
  <c r="DH203" i="16"/>
  <c r="DW327" i="16"/>
  <c r="DS69" i="16"/>
  <c r="DC321" i="16"/>
  <c r="ER264" i="16"/>
  <c r="DY234" i="16"/>
  <c r="EC190" i="16"/>
  <c r="CZ381" i="16"/>
  <c r="DK459" i="16"/>
  <c r="DE428" i="16"/>
  <c r="DB455" i="16"/>
  <c r="EB427" i="16"/>
  <c r="DT430" i="16"/>
  <c r="DJ430" i="16"/>
  <c r="DM293" i="16"/>
  <c r="ED301" i="16"/>
  <c r="DQ210" i="16"/>
  <c r="EC377" i="16"/>
  <c r="DU511" i="16"/>
  <c r="EP327" i="16"/>
  <c r="DY84" i="16"/>
  <c r="EL132" i="16"/>
  <c r="DZ450" i="16"/>
  <c r="EE465" i="16"/>
  <c r="DN90" i="16"/>
  <c r="EI299" i="16"/>
  <c r="DR382" i="16"/>
  <c r="DR453" i="16"/>
  <c r="DV321" i="16"/>
  <c r="DA192" i="16"/>
  <c r="DJ356" i="16"/>
  <c r="EC378" i="16"/>
  <c r="EE310" i="16"/>
  <c r="DP431" i="16"/>
  <c r="DT329" i="16"/>
  <c r="CZ281" i="16"/>
  <c r="DA400" i="16"/>
  <c r="EJ198" i="16"/>
  <c r="DJ395" i="16"/>
  <c r="ED140" i="16"/>
  <c r="DG362" i="16"/>
  <c r="EJ470" i="16"/>
  <c r="DZ80" i="16"/>
  <c r="DJ200" i="16"/>
  <c r="DW161" i="16"/>
  <c r="DV193" i="16"/>
  <c r="DC253" i="16"/>
  <c r="ED499" i="16"/>
  <c r="EE516" i="16"/>
  <c r="DP486" i="16"/>
  <c r="DP260" i="16"/>
  <c r="ER110" i="16"/>
  <c r="DO243" i="16"/>
  <c r="DL146" i="16"/>
  <c r="ER267" i="16"/>
  <c r="DG228" i="16"/>
  <c r="EO264" i="16"/>
  <c r="DL90" i="16"/>
  <c r="EL478" i="16"/>
  <c r="DV189" i="16"/>
  <c r="DS287" i="16"/>
  <c r="EE325" i="16"/>
  <c r="EN77" i="16"/>
  <c r="DQ283" i="16"/>
  <c r="DQ341" i="16"/>
  <c r="DY296" i="16"/>
  <c r="EN190" i="16"/>
  <c r="EI376" i="16"/>
  <c r="DE316" i="16"/>
  <c r="DM420" i="16"/>
  <c r="EF288" i="16"/>
  <c r="ED370" i="16"/>
  <c r="DN184" i="16"/>
  <c r="EM328" i="16"/>
  <c r="EG171" i="16"/>
  <c r="DX264" i="16"/>
  <c r="EF68" i="16"/>
  <c r="EM191" i="16"/>
  <c r="DS181" i="16"/>
  <c r="DH220" i="16"/>
  <c r="EN445" i="16"/>
  <c r="DV439" i="16"/>
  <c r="EN506" i="16"/>
  <c r="DA191" i="16"/>
  <c r="EL258" i="16"/>
  <c r="EI431" i="16"/>
  <c r="DA321" i="16"/>
  <c r="DE255" i="16"/>
  <c r="CZ365" i="16"/>
  <c r="EB370" i="16"/>
  <c r="DA442" i="16"/>
  <c r="DH278" i="16"/>
  <c r="DN195" i="16"/>
  <c r="DT98" i="16"/>
  <c r="DB492" i="16"/>
  <c r="EI117" i="16"/>
  <c r="ED239" i="16"/>
  <c r="DQ297" i="16"/>
  <c r="EB83" i="16"/>
  <c r="DL330" i="16"/>
  <c r="DU163" i="16"/>
  <c r="DD353" i="16"/>
  <c r="DB287" i="16"/>
  <c r="DU413" i="16"/>
  <c r="DN484" i="16"/>
  <c r="EE103" i="16"/>
  <c r="EJ124" i="16"/>
  <c r="DR165" i="16"/>
  <c r="EI333" i="16"/>
  <c r="EI347" i="16"/>
  <c r="EQ411" i="16"/>
  <c r="DB367" i="16"/>
  <c r="DE438" i="16"/>
  <c r="DI216" i="16"/>
  <c r="EH349" i="16"/>
  <c r="DY437" i="16"/>
  <c r="DB318" i="16"/>
  <c r="EJ63" i="16"/>
  <c r="EM271" i="16"/>
  <c r="ER183" i="16"/>
  <c r="DA136" i="16"/>
  <c r="EA74" i="16"/>
  <c r="EA473" i="16"/>
  <c r="DP445" i="16"/>
  <c r="EB301" i="16"/>
  <c r="DS115" i="16"/>
  <c r="DT307" i="16"/>
  <c r="DL225" i="16"/>
  <c r="DE512" i="16"/>
  <c r="EC222" i="16"/>
  <c r="EJ215" i="16"/>
  <c r="DD133" i="16"/>
  <c r="DD410" i="16"/>
  <c r="EJ187" i="16"/>
  <c r="EQ461" i="16"/>
  <c r="EI214" i="16"/>
  <c r="DM214" i="16"/>
  <c r="DQ138" i="16"/>
  <c r="EB120" i="16"/>
  <c r="ED473" i="16"/>
  <c r="EM185" i="16"/>
  <c r="DE167" i="16"/>
  <c r="EL228" i="16"/>
  <c r="EK227" i="16"/>
  <c r="EQ420" i="16"/>
  <c r="EL140" i="16"/>
  <c r="EA328" i="16"/>
  <c r="DZ281" i="16"/>
  <c r="DC372" i="16"/>
  <c r="EC176" i="16"/>
  <c r="EK290" i="16"/>
  <c r="DR57" i="16"/>
  <c r="DX305" i="16"/>
  <c r="DC142" i="16"/>
  <c r="EP330" i="16"/>
  <c r="EB482" i="16"/>
  <c r="DF378" i="16"/>
  <c r="DW310" i="16"/>
  <c r="DB84" i="16"/>
  <c r="DR122" i="16"/>
  <c r="DI348" i="16"/>
  <c r="EG221" i="16"/>
  <c r="DQ374" i="16"/>
  <c r="EF260" i="16"/>
  <c r="DC207" i="16"/>
  <c r="EP117" i="16"/>
  <c r="DQ467" i="16"/>
  <c r="DN395" i="16"/>
  <c r="DM306" i="16"/>
  <c r="DD440" i="16"/>
  <c r="DV460" i="16"/>
  <c r="DF417" i="16"/>
  <c r="ES122" i="16"/>
  <c r="EL74" i="16"/>
  <c r="EI335" i="16"/>
  <c r="DX478" i="16"/>
  <c r="DA311" i="16"/>
  <c r="DG257" i="16"/>
  <c r="DL243" i="16"/>
  <c r="DV316" i="16"/>
  <c r="DF501" i="16"/>
  <c r="DC235" i="16"/>
  <c r="DC514" i="16"/>
  <c r="DO512" i="16"/>
  <c r="EG367" i="16"/>
  <c r="DF78" i="16"/>
  <c r="EG179" i="16"/>
  <c r="EQ400" i="16"/>
  <c r="DO197" i="16"/>
  <c r="DX152" i="16"/>
  <c r="DO303" i="16"/>
  <c r="DA408" i="16"/>
  <c r="EQ281" i="16"/>
  <c r="EH219" i="16"/>
  <c r="DA370" i="16"/>
  <c r="DP455" i="16"/>
  <c r="EP151" i="16"/>
  <c r="EM102" i="16"/>
  <c r="DO76" i="16"/>
  <c r="EA390" i="16"/>
  <c r="ER434" i="16"/>
  <c r="EN164" i="16"/>
  <c r="DI439" i="16"/>
  <c r="DM286" i="16"/>
  <c r="DT437" i="16"/>
  <c r="ED462" i="16"/>
  <c r="DR320" i="16"/>
  <c r="DG324" i="16"/>
  <c r="DD433" i="16"/>
  <c r="EG398" i="16"/>
  <c r="DG178" i="16"/>
  <c r="DE433" i="16"/>
  <c r="EG170" i="16"/>
  <c r="EQ163" i="16"/>
  <c r="EN420" i="16"/>
  <c r="DG93" i="16"/>
  <c r="EF303" i="16"/>
  <c r="DO150" i="16"/>
  <c r="EJ106" i="16"/>
  <c r="DT459" i="16"/>
  <c r="EP324" i="16"/>
  <c r="EI155" i="16"/>
  <c r="DR466" i="16"/>
  <c r="DC400" i="16"/>
  <c r="EO109" i="16"/>
  <c r="DH363" i="16"/>
  <c r="DQ489" i="16"/>
  <c r="DA221" i="16"/>
  <c r="DW219" i="16"/>
  <c r="DH303" i="16"/>
  <c r="DE447" i="16"/>
  <c r="DA208" i="16"/>
  <c r="ER71" i="16"/>
  <c r="DV177" i="16"/>
  <c r="DX270" i="16"/>
  <c r="EA496" i="16"/>
  <c r="EG196" i="16"/>
  <c r="DZ101" i="16"/>
  <c r="EC425" i="16"/>
  <c r="ES361" i="16"/>
  <c r="DA129" i="16"/>
  <c r="DJ80" i="16"/>
  <c r="DW311" i="16"/>
  <c r="DO411" i="16"/>
  <c r="DL448" i="16"/>
  <c r="EP106" i="16"/>
  <c r="DM477" i="16"/>
  <c r="DQ202" i="16"/>
  <c r="DJ432" i="16"/>
  <c r="DW285" i="16"/>
  <c r="EF96" i="16"/>
  <c r="DH325" i="16"/>
  <c r="DR194" i="16"/>
  <c r="EI108" i="16"/>
  <c r="DU415" i="16"/>
  <c r="DD504" i="16"/>
  <c r="EE383" i="16"/>
  <c r="ES366" i="16"/>
  <c r="DX424" i="16"/>
  <c r="DF253" i="16"/>
  <c r="DR349" i="16"/>
  <c r="DZ384" i="16"/>
  <c r="ED312" i="16"/>
  <c r="DP202" i="16"/>
  <c r="ER80" i="16"/>
  <c r="DI278" i="16"/>
  <c r="DR276" i="16"/>
  <c r="DU296" i="16"/>
  <c r="CZ492" i="16"/>
  <c r="ED200" i="16"/>
  <c r="DG441" i="16"/>
  <c r="DJ230" i="16"/>
  <c r="DF275" i="16"/>
  <c r="EO328" i="16"/>
  <c r="EE262" i="16"/>
  <c r="DV511" i="16"/>
  <c r="EA364" i="16"/>
  <c r="DX201" i="16"/>
  <c r="DT476" i="16"/>
  <c r="DF109" i="16"/>
  <c r="DA404" i="16"/>
  <c r="DU137" i="16"/>
  <c r="EB504" i="16"/>
  <c r="EM509" i="16"/>
  <c r="EJ103" i="16"/>
  <c r="ES88" i="16"/>
  <c r="EQ491" i="16"/>
  <c r="DF369" i="16"/>
  <c r="DN178" i="16"/>
  <c r="ES222" i="16"/>
  <c r="EK157" i="16"/>
  <c r="DY382" i="16"/>
  <c r="EO445" i="16"/>
  <c r="DQ105" i="16"/>
  <c r="DL196" i="16"/>
  <c r="ER401" i="16"/>
  <c r="EG444" i="16"/>
  <c r="EE69" i="16"/>
  <c r="CZ252" i="16"/>
  <c r="DY392" i="16"/>
  <c r="DG298" i="16"/>
  <c r="DG233" i="16"/>
  <c r="DB88" i="16"/>
  <c r="DO394" i="16"/>
  <c r="EE419" i="16"/>
  <c r="DT162" i="16"/>
  <c r="DR461" i="16"/>
  <c r="DM60" i="16"/>
  <c r="DH446" i="16"/>
  <c r="DU435" i="16"/>
  <c r="EB507" i="16"/>
  <c r="ED428" i="16"/>
  <c r="DE478" i="16"/>
  <c r="DV89" i="16"/>
  <c r="EB490" i="16"/>
  <c r="DI104" i="16"/>
  <c r="DK510" i="16"/>
  <c r="DB276" i="16"/>
  <c r="DF446" i="16"/>
  <c r="EI57" i="16"/>
  <c r="DF233" i="16"/>
  <c r="DD243" i="16"/>
  <c r="DE335" i="16"/>
  <c r="DR327" i="16"/>
  <c r="DZ328" i="16"/>
  <c r="DI475" i="16"/>
  <c r="DB233" i="16"/>
  <c r="DL251" i="16"/>
  <c r="DP298" i="16"/>
  <c r="CZ129" i="16"/>
  <c r="DK372" i="16"/>
  <c r="DR205" i="16"/>
  <c r="ES410" i="16"/>
  <c r="DQ61" i="16"/>
  <c r="DF429" i="16"/>
  <c r="EO176" i="16"/>
  <c r="DT419" i="16"/>
  <c r="DI286" i="16"/>
  <c r="DL173" i="16"/>
  <c r="DD82" i="16"/>
  <c r="DD241" i="16"/>
  <c r="EG372" i="16"/>
  <c r="DM481" i="16"/>
  <c r="EJ250" i="16"/>
  <c r="DX235" i="16"/>
  <c r="DM301" i="16"/>
  <c r="DJ439" i="16"/>
  <c r="DL222" i="16"/>
  <c r="DX243" i="16"/>
  <c r="EI353" i="16"/>
  <c r="DG211" i="16"/>
  <c r="DA503" i="16"/>
  <c r="DW359" i="16"/>
  <c r="ED246" i="16"/>
  <c r="DQ315" i="16"/>
  <c r="EQ98" i="16"/>
  <c r="DS185" i="16"/>
  <c r="DP187" i="16"/>
  <c r="DY369" i="16"/>
  <c r="DD135" i="16"/>
  <c r="DQ506" i="16"/>
  <c r="DF193" i="16"/>
  <c r="DC308" i="16"/>
  <c r="EF435" i="16"/>
  <c r="DB239" i="16"/>
  <c r="EO88" i="16"/>
  <c r="EA480" i="16"/>
  <c r="EK94" i="16"/>
  <c r="DY515" i="16"/>
  <c r="DG229" i="16"/>
  <c r="EI99" i="16"/>
  <c r="EJ194" i="16"/>
  <c r="DI421" i="16"/>
  <c r="DZ374" i="16"/>
  <c r="EN441" i="16"/>
  <c r="EE435" i="16"/>
  <c r="DA169" i="16"/>
  <c r="EA490" i="16"/>
  <c r="EM53" i="16"/>
  <c r="DL443" i="16"/>
  <c r="EP305" i="16"/>
  <c r="EE127" i="16"/>
  <c r="ED128" i="16"/>
  <c r="ES359" i="16"/>
  <c r="EB315" i="16"/>
  <c r="DE456" i="16"/>
  <c r="DG397" i="16"/>
  <c r="EJ508" i="16"/>
  <c r="EO267" i="16"/>
  <c r="DF281" i="16"/>
  <c r="DF75" i="16"/>
  <c r="DR348" i="16"/>
  <c r="EC428" i="16"/>
  <c r="DJ358" i="16"/>
  <c r="DU462" i="16"/>
  <c r="EF508" i="16"/>
  <c r="EH243" i="16"/>
  <c r="CZ79" i="16"/>
  <c r="DJ256" i="16"/>
  <c r="EM176" i="16"/>
  <c r="DP428" i="16"/>
  <c r="DB132" i="16"/>
  <c r="DF232" i="16"/>
  <c r="DX262" i="16"/>
  <c r="EQ325" i="16"/>
  <c r="EO399" i="16"/>
  <c r="DO353" i="16"/>
  <c r="DF443" i="16"/>
  <c r="DF464" i="16"/>
  <c r="DT421" i="16"/>
  <c r="DW223" i="16"/>
  <c r="DK454" i="16"/>
  <c r="DW485" i="16"/>
  <c r="DE463" i="16"/>
  <c r="EH450" i="16"/>
  <c r="DW352" i="16"/>
  <c r="DT486" i="16"/>
  <c r="ER230" i="16"/>
  <c r="CZ426" i="16"/>
  <c r="EN275" i="16"/>
  <c r="DV145" i="16"/>
  <c r="DM355" i="16"/>
  <c r="DI403" i="16"/>
  <c r="ED282" i="16"/>
  <c r="DO212" i="16"/>
  <c r="DW90" i="16"/>
  <c r="DP496" i="16"/>
  <c r="DV274" i="16"/>
  <c r="ER504" i="16"/>
  <c r="DN100" i="16"/>
  <c r="EH332" i="16"/>
  <c r="DO116" i="16"/>
  <c r="DB385" i="16"/>
  <c r="EH376" i="16"/>
  <c r="DO112" i="16"/>
  <c r="DI416" i="16"/>
  <c r="DM500" i="16"/>
  <c r="EM190" i="16"/>
  <c r="DQ268" i="16"/>
  <c r="EM433" i="16"/>
  <c r="DL256" i="16"/>
  <c r="DW197" i="16"/>
  <c r="ED212" i="16"/>
  <c r="DA402" i="16"/>
  <c r="DV479" i="16"/>
  <c r="EO134" i="16"/>
  <c r="DE303" i="16"/>
  <c r="DF432" i="16"/>
  <c r="EM134" i="16"/>
  <c r="DW317" i="16"/>
  <c r="EB53" i="16"/>
  <c r="EB187" i="16"/>
  <c r="EE187" i="16"/>
  <c r="EH375" i="16"/>
  <c r="DD273" i="16"/>
  <c r="EF489" i="16"/>
  <c r="DU93" i="16"/>
  <c r="DU227" i="16"/>
  <c r="EF327" i="16"/>
  <c r="EH362" i="16"/>
  <c r="DG168" i="16"/>
  <c r="DZ367" i="16"/>
  <c r="DJ318" i="16"/>
  <c r="EJ450" i="16"/>
  <c r="DD140" i="16"/>
  <c r="DL366" i="16"/>
  <c r="DK513" i="16"/>
  <c r="DR308" i="16"/>
  <c r="CZ362" i="16"/>
  <c r="DF482" i="16"/>
  <c r="DE241" i="16"/>
  <c r="DC462" i="16"/>
  <c r="DI85" i="16"/>
  <c r="DA273" i="16"/>
  <c r="EF500" i="16"/>
  <c r="DJ456" i="16"/>
  <c r="DC189" i="16"/>
  <c r="DI288" i="16"/>
  <c r="DJ468" i="16"/>
  <c r="EA317" i="16"/>
  <c r="EQ211" i="16"/>
  <c r="DF408" i="16"/>
  <c r="DS310" i="16"/>
  <c r="DD384" i="16"/>
  <c r="DB497" i="16"/>
  <c r="DE371" i="16"/>
  <c r="DE287" i="16"/>
  <c r="DG115" i="16"/>
  <c r="DH275" i="16"/>
  <c r="DK416" i="16"/>
  <c r="DL204" i="16"/>
  <c r="EI484" i="16"/>
  <c r="DO371" i="16"/>
  <c r="EL505" i="16"/>
  <c r="DD80" i="16"/>
  <c r="DY434" i="16"/>
  <c r="EC344" i="16"/>
  <c r="ED311" i="16"/>
  <c r="DK284" i="16"/>
  <c r="DH505" i="16"/>
  <c r="EL267" i="16"/>
  <c r="EG450" i="16"/>
  <c r="EN375" i="16"/>
  <c r="EO294" i="16"/>
  <c r="DB49" i="16"/>
  <c r="EF456" i="16"/>
  <c r="EK329" i="16"/>
  <c r="DG279" i="16"/>
  <c r="EP119" i="16"/>
  <c r="EA407" i="16"/>
  <c r="DG206" i="16"/>
  <c r="DC446" i="16"/>
  <c r="ES289" i="16"/>
  <c r="EC454" i="16"/>
  <c r="DU414" i="16"/>
  <c r="DI140" i="16"/>
  <c r="DY64" i="16"/>
  <c r="EQ195" i="16"/>
  <c r="CZ347" i="16"/>
  <c r="DP456" i="16"/>
  <c r="DZ75" i="16"/>
  <c r="DB503" i="16"/>
  <c r="DO401" i="16"/>
  <c r="DX174" i="16"/>
  <c r="EN413" i="16"/>
  <c r="EG279" i="16"/>
  <c r="DI289" i="16"/>
  <c r="EO49" i="16"/>
  <c r="ES348" i="16"/>
  <c r="DM194" i="16"/>
  <c r="DL435" i="16"/>
  <c r="ES72" i="16"/>
  <c r="CZ503" i="16"/>
  <c r="EN163" i="16"/>
  <c r="ED478" i="16"/>
  <c r="ED307" i="16"/>
  <c r="DC250" i="16"/>
  <c r="DQ496" i="16"/>
  <c r="DN269" i="16"/>
  <c r="EM361" i="16"/>
  <c r="EK505" i="16"/>
  <c r="ED108" i="16"/>
  <c r="DD348" i="16"/>
  <c r="EF256" i="16"/>
  <c r="DA346" i="16"/>
  <c r="EE299" i="16"/>
  <c r="DW270" i="16"/>
  <c r="DV437" i="16"/>
  <c r="ES166" i="16"/>
  <c r="DI147" i="16"/>
  <c r="DF489" i="16"/>
  <c r="ED69" i="16"/>
  <c r="EF406" i="16"/>
  <c r="EG419" i="16"/>
  <c r="EP90" i="16"/>
  <c r="DY213" i="16"/>
  <c r="DY481" i="16"/>
  <c r="EM154" i="16"/>
  <c r="DE397" i="16"/>
  <c r="EE68" i="16"/>
  <c r="DR297" i="16"/>
  <c r="EE176" i="16"/>
  <c r="DO404" i="16"/>
  <c r="EL71" i="16"/>
  <c r="DS329" i="16"/>
  <c r="DC157" i="16"/>
  <c r="DJ129" i="16"/>
  <c r="DC213" i="16"/>
  <c r="EQ362" i="16"/>
  <c r="DH285" i="16"/>
  <c r="EQ412" i="16"/>
  <c r="DP259" i="16"/>
  <c r="DT225" i="16"/>
  <c r="DG515" i="16"/>
  <c r="DQ317" i="16"/>
  <c r="DE432" i="16"/>
  <c r="EP115" i="16"/>
  <c r="EC191" i="16"/>
  <c r="DM240" i="16"/>
  <c r="EP286" i="16"/>
  <c r="DR192" i="16"/>
  <c r="DH153" i="16"/>
  <c r="DN457" i="16"/>
  <c r="DO280" i="16"/>
  <c r="EP209" i="16"/>
  <c r="DD305" i="16"/>
  <c r="EQ424" i="16"/>
  <c r="DY405" i="16"/>
  <c r="EN432" i="16"/>
  <c r="DM282" i="16"/>
  <c r="EM294" i="16"/>
  <c r="EE290" i="16"/>
  <c r="EN256" i="16"/>
  <c r="CZ349" i="16"/>
  <c r="DW412" i="16"/>
  <c r="EJ252" i="16"/>
  <c r="DM52" i="16"/>
  <c r="ER52" i="16"/>
  <c r="DG404" i="16"/>
  <c r="DZ480" i="16"/>
  <c r="DX147" i="16"/>
  <c r="EO191" i="16"/>
  <c r="DK158" i="16"/>
  <c r="EK92" i="16"/>
  <c r="DG327" i="16"/>
  <c r="CZ350" i="16"/>
  <c r="DA199" i="16"/>
  <c r="EK159" i="16"/>
  <c r="DB354" i="16"/>
  <c r="DU325" i="16"/>
  <c r="DJ411" i="16"/>
  <c r="DT413" i="16"/>
  <c r="DX83" i="16"/>
  <c r="EJ362" i="16"/>
  <c r="DT434" i="16"/>
  <c r="ES515" i="16"/>
  <c r="DC363" i="16"/>
  <c r="DG260" i="16"/>
  <c r="DV73" i="16"/>
  <c r="EC488" i="16"/>
  <c r="DJ386" i="16"/>
  <c r="DK460" i="16"/>
  <c r="DC339" i="16"/>
  <c r="DM106" i="16"/>
  <c r="DJ291" i="16"/>
  <c r="DR329" i="16"/>
  <c r="EC295" i="16"/>
  <c r="EM145" i="16"/>
  <c r="EF75" i="16"/>
  <c r="DY185" i="16"/>
  <c r="DR277" i="16"/>
  <c r="EM351" i="16"/>
  <c r="DM375" i="16"/>
  <c r="DG246" i="16"/>
  <c r="DN105" i="16"/>
  <c r="DC357" i="16"/>
  <c r="DZ167" i="16"/>
  <c r="CZ341" i="16"/>
  <c r="DH270" i="16"/>
  <c r="EN325" i="16"/>
  <c r="EJ423" i="16"/>
  <c r="DZ181" i="16"/>
  <c r="CZ266" i="16"/>
  <c r="EQ158" i="16"/>
  <c r="DW143" i="16"/>
  <c r="DW325" i="16"/>
  <c r="EJ96" i="16"/>
  <c r="DC148" i="16"/>
  <c r="EA465" i="16"/>
  <c r="DX516" i="16"/>
  <c r="DU246" i="16"/>
  <c r="ER368" i="16"/>
  <c r="EK339" i="16"/>
  <c r="EC61" i="16"/>
  <c r="EO91" i="16"/>
  <c r="EG198" i="16"/>
  <c r="EF90" i="16"/>
  <c r="DN314" i="16"/>
  <c r="EC209" i="16"/>
  <c r="CZ435" i="16"/>
  <c r="EJ347" i="16"/>
  <c r="DU68" i="16"/>
  <c r="EK487" i="16"/>
  <c r="DY384" i="16"/>
  <c r="EM192" i="16"/>
  <c r="EE429" i="16"/>
  <c r="EK298" i="16"/>
  <c r="DC335" i="16"/>
  <c r="DJ273" i="16"/>
  <c r="DN348" i="16"/>
  <c r="DO393" i="16"/>
  <c r="EQ296" i="16"/>
  <c r="DR402" i="16"/>
  <c r="EM453" i="16"/>
  <c r="ES98" i="16"/>
  <c r="EM83" i="16"/>
  <c r="DF280" i="16"/>
  <c r="DG242" i="16"/>
  <c r="EE485" i="16"/>
  <c r="DT183" i="16"/>
  <c r="DK113" i="16"/>
  <c r="DF192" i="16"/>
  <c r="DO63" i="16"/>
  <c r="DK343" i="16"/>
  <c r="EA131" i="16"/>
  <c r="EA178" i="16"/>
  <c r="DS469" i="16"/>
  <c r="EP483" i="16"/>
  <c r="DE284" i="16"/>
  <c r="EA93" i="16"/>
  <c r="EL220" i="16"/>
  <c r="EH260" i="16"/>
  <c r="EF292" i="16"/>
  <c r="DQ228" i="16"/>
  <c r="DI507" i="16"/>
  <c r="DD396" i="16"/>
  <c r="DT335" i="16"/>
  <c r="EL119" i="16"/>
  <c r="DI77" i="16"/>
  <c r="EB251" i="16"/>
  <c r="DA516" i="16"/>
  <c r="EG492" i="16"/>
  <c r="DU241" i="16"/>
  <c r="ED117" i="16"/>
  <c r="DB54" i="16"/>
  <c r="ED482" i="16"/>
  <c r="ED425" i="16"/>
  <c r="DG450" i="16"/>
  <c r="DD143" i="16"/>
  <c r="DX465" i="16"/>
  <c r="ED328" i="16"/>
  <c r="EI323" i="16"/>
  <c r="DU258" i="16"/>
  <c r="EB132" i="16"/>
  <c r="DJ481" i="16"/>
  <c r="DR331" i="16"/>
  <c r="DD253" i="16"/>
  <c r="EC184" i="16"/>
  <c r="EK112" i="16"/>
  <c r="ED464" i="16"/>
  <c r="DV245" i="16"/>
  <c r="DJ146" i="16"/>
  <c r="EI231" i="16"/>
  <c r="EJ315" i="16"/>
  <c r="DM502" i="16"/>
  <c r="EE509" i="16"/>
  <c r="DG392" i="16"/>
  <c r="EB456" i="16"/>
  <c r="DG391" i="16"/>
  <c r="DB243" i="16"/>
  <c r="DZ225" i="16"/>
  <c r="DA514" i="16"/>
  <c r="ES53" i="16"/>
  <c r="DX328" i="16"/>
  <c r="EG452" i="16"/>
  <c r="EP414" i="16"/>
  <c r="DF160" i="16"/>
  <c r="ED354" i="16"/>
  <c r="DW415" i="16"/>
  <c r="DS136" i="16"/>
  <c r="DN400" i="16"/>
  <c r="DL254" i="16"/>
  <c r="EP146" i="16"/>
  <c r="EJ487" i="16"/>
  <c r="DD389" i="16"/>
  <c r="DO180" i="16"/>
  <c r="DS470" i="16"/>
  <c r="DP354" i="16"/>
  <c r="ER119" i="16"/>
  <c r="DT342" i="16"/>
  <c r="DK224" i="16"/>
  <c r="DA487" i="16"/>
  <c r="EE210" i="16"/>
  <c r="DN180" i="16"/>
  <c r="DZ458" i="16"/>
  <c r="EC329" i="16"/>
  <c r="DJ394" i="16"/>
  <c r="DN502" i="16"/>
  <c r="DT277" i="16"/>
  <c r="EG69" i="16"/>
  <c r="DE180" i="16"/>
  <c r="ED93" i="16"/>
  <c r="DY112" i="16"/>
  <c r="EE205" i="16"/>
  <c r="DK125" i="16"/>
  <c r="DZ425" i="16"/>
  <c r="CZ91" i="16"/>
  <c r="DF66" i="16"/>
  <c r="DH453" i="16"/>
  <c r="DR417" i="16"/>
  <c r="DZ108" i="16"/>
  <c r="EO147" i="16"/>
  <c r="EI83" i="16"/>
  <c r="EB407" i="16"/>
  <c r="DL515" i="16"/>
  <c r="EJ107" i="16"/>
  <c r="EJ126" i="16"/>
  <c r="DA286" i="16"/>
  <c r="EN260" i="16"/>
  <c r="DB482" i="16"/>
  <c r="EM133" i="16"/>
  <c r="DG495" i="16"/>
  <c r="DK109" i="16"/>
  <c r="DD406" i="16"/>
  <c r="DR132" i="16"/>
  <c r="EF265" i="16"/>
  <c r="DK134" i="16"/>
  <c r="DN458" i="16"/>
  <c r="DS322" i="16"/>
  <c r="EN359" i="16"/>
  <c r="ER243" i="16"/>
  <c r="EO132" i="16"/>
  <c r="DZ474" i="16"/>
  <c r="ES317" i="16"/>
  <c r="EA432" i="16"/>
  <c r="ES110" i="16"/>
  <c r="DN92" i="16"/>
  <c r="EA129" i="16"/>
  <c r="CZ326" i="16"/>
  <c r="DA252" i="16"/>
  <c r="DT112" i="16"/>
  <c r="EH439" i="16"/>
  <c r="DU480" i="16"/>
  <c r="DH427" i="16"/>
  <c r="DU239" i="16"/>
  <c r="EF357" i="16"/>
  <c r="DR112" i="16"/>
  <c r="DI444" i="16"/>
  <c r="DJ132" i="16"/>
  <c r="EB288" i="16"/>
  <c r="DY215" i="16"/>
  <c r="DQ242" i="16"/>
  <c r="DJ156" i="16"/>
  <c r="ED501" i="16"/>
  <c r="DH494" i="16"/>
  <c r="DW255" i="16"/>
  <c r="EH249" i="16"/>
  <c r="EN339" i="16"/>
  <c r="DX512" i="16"/>
  <c r="DB255" i="16"/>
  <c r="EL78" i="16"/>
  <c r="ED296" i="16"/>
  <c r="EJ515" i="16"/>
  <c r="DX399" i="16"/>
  <c r="DA123" i="16"/>
  <c r="DR419" i="16"/>
  <c r="DD451" i="16"/>
  <c r="DD491" i="16"/>
  <c r="EG99" i="16"/>
  <c r="EH445" i="16"/>
  <c r="EL441" i="16"/>
  <c r="DN513" i="16"/>
  <c r="DB224" i="16"/>
  <c r="DE232" i="16"/>
  <c r="DK338" i="16"/>
  <c r="DJ289" i="16"/>
  <c r="DA287" i="16"/>
  <c r="DR451" i="16"/>
  <c r="DB153" i="16"/>
  <c r="DR86" i="16"/>
  <c r="EH503" i="16"/>
  <c r="DV514" i="16"/>
  <c r="EF193" i="16"/>
  <c r="DK199" i="16"/>
  <c r="CZ353" i="16"/>
  <c r="DM63" i="16"/>
  <c r="EQ237" i="16"/>
  <c r="EG253" i="16"/>
  <c r="DW357" i="16"/>
  <c r="DD304" i="16"/>
  <c r="EQ298" i="16"/>
  <c r="DV422" i="16"/>
  <c r="DU492" i="16"/>
  <c r="DP105" i="16"/>
  <c r="EP454" i="16"/>
  <c r="DT381" i="16"/>
  <c r="DI244" i="16"/>
  <c r="DQ87" i="16"/>
  <c r="EN130" i="16"/>
  <c r="EO248" i="16"/>
  <c r="ES356" i="16"/>
  <c r="DV297" i="16"/>
  <c r="DU261" i="16"/>
  <c r="DX344" i="16"/>
  <c r="DY458" i="16"/>
  <c r="ES101" i="16"/>
  <c r="DT369" i="16"/>
  <c r="EE425" i="16"/>
  <c r="EE366" i="16"/>
  <c r="DM334" i="16"/>
  <c r="DS271" i="16"/>
  <c r="EJ216" i="16"/>
  <c r="CZ278" i="16"/>
  <c r="DH141" i="16"/>
  <c r="EF248" i="16"/>
  <c r="DP499" i="16"/>
  <c r="EI458" i="16"/>
  <c r="DU481" i="16"/>
  <c r="DX126" i="16"/>
  <c r="EL156" i="16"/>
  <c r="EL88" i="16"/>
  <c r="DO478" i="16"/>
  <c r="EJ314" i="16"/>
  <c r="DC480" i="16"/>
  <c r="DS151" i="16"/>
  <c r="CZ132" i="16"/>
  <c r="ED382" i="16"/>
  <c r="DR450" i="16"/>
  <c r="DC149" i="16"/>
  <c r="EJ64" i="16"/>
  <c r="DB507" i="16"/>
  <c r="DB206" i="16"/>
  <c r="EO123" i="16"/>
  <c r="DG307" i="16"/>
  <c r="EP455" i="16"/>
  <c r="DR429" i="16"/>
  <c r="EJ284" i="16"/>
  <c r="DK106" i="16"/>
  <c r="EI153" i="16"/>
  <c r="DA125" i="16"/>
  <c r="EO505" i="16"/>
  <c r="DE340" i="16"/>
  <c r="ES281" i="16"/>
  <c r="EG138" i="16"/>
  <c r="EB169" i="16"/>
  <c r="DY172" i="16"/>
  <c r="EO122" i="16"/>
  <c r="DW130" i="16"/>
  <c r="DM139" i="16"/>
  <c r="EO150" i="16"/>
  <c r="DN474" i="16"/>
  <c r="DC115" i="16"/>
  <c r="EF53" i="16"/>
  <c r="ES210" i="16"/>
  <c r="EN316" i="16"/>
  <c r="EH394" i="16"/>
  <c r="DN509" i="16"/>
  <c r="DB286" i="16"/>
  <c r="EH465" i="16"/>
  <c r="EB515" i="16"/>
  <c r="DJ222" i="16"/>
  <c r="DK351" i="16"/>
  <c r="EB176" i="16"/>
  <c r="DL494" i="16"/>
  <c r="EL407" i="16"/>
  <c r="DF337" i="16"/>
  <c r="DU516" i="16"/>
  <c r="EI198" i="16"/>
  <c r="EH87" i="16"/>
  <c r="DA392" i="16"/>
  <c r="DK353" i="16"/>
  <c r="EA78" i="16"/>
  <c r="DO347" i="16"/>
  <c r="EF464" i="16"/>
  <c r="EP374" i="16"/>
  <c r="DU417" i="16"/>
  <c r="EO225" i="16"/>
  <c r="DZ250" i="16"/>
  <c r="EO67" i="16"/>
  <c r="EN114" i="16"/>
  <c r="EQ513" i="16"/>
  <c r="DH208" i="16"/>
  <c r="DQ480" i="16"/>
  <c r="DM169" i="16"/>
  <c r="DP396" i="16"/>
  <c r="DF189" i="16"/>
  <c r="ER417" i="16"/>
  <c r="EI218" i="16"/>
  <c r="EP126" i="16"/>
  <c r="EG108" i="16"/>
  <c r="ER127" i="16"/>
  <c r="ES264" i="16"/>
  <c r="DJ434" i="16"/>
  <c r="DM250" i="16"/>
  <c r="DT485" i="16"/>
  <c r="DQ497" i="16"/>
  <c r="DH422" i="16"/>
  <c r="DU244" i="16"/>
  <c r="EG504" i="16"/>
  <c r="DD501" i="16"/>
  <c r="DU392" i="16"/>
  <c r="DR234" i="16"/>
  <c r="DE239" i="16"/>
  <c r="DC435" i="16"/>
  <c r="DA58" i="16"/>
  <c r="EG250" i="16"/>
  <c r="DV136" i="16"/>
  <c r="EA466" i="16"/>
  <c r="DY302" i="16"/>
  <c r="EK69" i="16"/>
  <c r="DW312" i="16"/>
  <c r="DZ223" i="16"/>
  <c r="DG87" i="16"/>
  <c r="DN126" i="16"/>
  <c r="ED63" i="16"/>
  <c r="EO311" i="16"/>
  <c r="DW420" i="16"/>
  <c r="DM409" i="16"/>
  <c r="ER255" i="16"/>
  <c r="EN152" i="16"/>
  <c r="DO440" i="16"/>
  <c r="EQ169" i="16"/>
  <c r="DW503" i="16"/>
  <c r="EQ177" i="16"/>
  <c r="ES327" i="16"/>
  <c r="EG460" i="16"/>
  <c r="DK404" i="16"/>
  <c r="EG473" i="16"/>
  <c r="DN115" i="16"/>
  <c r="DB361" i="16"/>
  <c r="ER251" i="16"/>
  <c r="EK155" i="16"/>
  <c r="DY58" i="16"/>
  <c r="DR385" i="16"/>
  <c r="DG114" i="16"/>
  <c r="DU280" i="16"/>
  <c r="ER461" i="16"/>
  <c r="EF434" i="16"/>
  <c r="DF336" i="16"/>
  <c r="DG440" i="16"/>
  <c r="EQ301" i="16"/>
  <c r="DC72" i="16"/>
  <c r="DH108" i="16"/>
  <c r="ED413" i="16"/>
  <c r="EE353" i="16"/>
  <c r="DP425" i="16"/>
  <c r="ED470" i="16"/>
  <c r="ER199" i="16"/>
  <c r="DO466" i="16"/>
  <c r="EJ494" i="16"/>
  <c r="ED134" i="16"/>
  <c r="EH492" i="16"/>
  <c r="DH105" i="16"/>
  <c r="EO486" i="16"/>
  <c r="DR335" i="16"/>
  <c r="DK475" i="16"/>
  <c r="DG313" i="16"/>
  <c r="DL99" i="16"/>
  <c r="DF124" i="16"/>
  <c r="DP371" i="16"/>
  <c r="DZ271" i="16"/>
  <c r="DS414" i="16"/>
  <c r="DX318" i="16"/>
  <c r="DJ486" i="16"/>
  <c r="DY267" i="16"/>
  <c r="DA157" i="16"/>
  <c r="DR389" i="16"/>
  <c r="EO283" i="16"/>
  <c r="DV317" i="16"/>
  <c r="DP262" i="16"/>
  <c r="EA325" i="16"/>
  <c r="EN487" i="16"/>
  <c r="DF240" i="16"/>
  <c r="EG284" i="16"/>
  <c r="DD172" i="16"/>
  <c r="EJ268" i="16"/>
  <c r="DC503" i="16"/>
  <c r="DA303" i="16"/>
  <c r="DH401" i="16"/>
  <c r="DK263" i="16"/>
  <c r="DP352" i="16"/>
  <c r="DN408" i="16"/>
  <c r="DF292" i="16"/>
  <c r="DC79" i="16"/>
  <c r="EB483" i="16"/>
  <c r="CZ473" i="16"/>
  <c r="EL298" i="16"/>
  <c r="EL498" i="16"/>
  <c r="DN300" i="16"/>
  <c r="EJ509" i="16"/>
  <c r="ER370" i="16"/>
  <c r="DT415" i="16"/>
  <c r="DV227" i="16"/>
  <c r="DJ415" i="16"/>
  <c r="DD194" i="16"/>
  <c r="DI267" i="16"/>
  <c r="EC404" i="16"/>
  <c r="DQ194" i="16"/>
  <c r="DU249" i="16"/>
  <c r="EF431" i="16"/>
  <c r="DI366" i="16"/>
  <c r="DT271" i="16"/>
  <c r="DR233" i="16"/>
  <c r="DD462" i="16"/>
  <c r="DY341" i="16"/>
  <c r="DU442" i="16"/>
  <c r="EQ121" i="16"/>
  <c r="EA422" i="16"/>
  <c r="DY399" i="16"/>
  <c r="CZ257" i="16"/>
  <c r="CZ400" i="16"/>
  <c r="EC407" i="16"/>
  <c r="DI486" i="16"/>
  <c r="EB297" i="16"/>
  <c r="DX355" i="16"/>
  <c r="EN80" i="16"/>
  <c r="DQ166" i="16"/>
  <c r="EA279" i="16"/>
  <c r="DX128" i="16"/>
  <c r="DY421" i="16"/>
  <c r="DX503" i="16"/>
  <c r="CZ227" i="16"/>
  <c r="DR143" i="16"/>
  <c r="DI459" i="16"/>
  <c r="DH205" i="16"/>
  <c r="ES393" i="16"/>
  <c r="EK131" i="16"/>
  <c r="DH245" i="16"/>
  <c r="EP453" i="16"/>
  <c r="EB100" i="16"/>
  <c r="DK347" i="16"/>
  <c r="DP137" i="16"/>
  <c r="EQ489" i="16"/>
  <c r="CZ501" i="16"/>
  <c r="ER331" i="16"/>
  <c r="EF64" i="16"/>
  <c r="EN365" i="16"/>
  <c r="EK230" i="16"/>
  <c r="ES61" i="16"/>
  <c r="DG513" i="16"/>
  <c r="DD495" i="16"/>
  <c r="EB477" i="16"/>
  <c r="DH436" i="16"/>
  <c r="DE172" i="16"/>
  <c r="DE401" i="16"/>
  <c r="EJ426" i="16"/>
  <c r="DS171" i="16"/>
  <c r="ED202" i="16"/>
  <c r="EP77" i="16"/>
  <c r="ED170" i="16"/>
  <c r="ES489" i="16"/>
  <c r="DS462" i="16"/>
  <c r="DO178" i="16"/>
  <c r="EO422" i="16"/>
  <c r="DC304" i="16"/>
  <c r="EO500" i="16"/>
  <c r="EL414" i="16"/>
  <c r="DU130" i="16"/>
  <c r="DK497" i="16"/>
  <c r="DK397" i="16"/>
  <c r="DZ379" i="16"/>
  <c r="EL201" i="16"/>
  <c r="EA109" i="16"/>
  <c r="EO512" i="16"/>
  <c r="EI109" i="16"/>
  <c r="DX242" i="16"/>
  <c r="DP450" i="16"/>
  <c r="DA439" i="16"/>
  <c r="DP366" i="16"/>
  <c r="EL178" i="16"/>
  <c r="DD377" i="16"/>
  <c r="DY334" i="16"/>
  <c r="DC286" i="16"/>
  <c r="DR403" i="16"/>
  <c r="EB371" i="16"/>
  <c r="EG56" i="16"/>
  <c r="CZ451" i="16"/>
  <c r="EP145" i="16"/>
  <c r="DA203" i="16"/>
  <c r="EI266" i="16"/>
  <c r="DE229" i="16"/>
  <c r="DF249" i="16"/>
  <c r="DW429" i="16"/>
  <c r="EK90" i="16"/>
  <c r="EN141" i="16"/>
  <c r="DG468" i="16"/>
  <c r="DJ203" i="16"/>
  <c r="DM364" i="16"/>
  <c r="DP274" i="16"/>
  <c r="EQ310" i="16"/>
  <c r="DW349" i="16"/>
  <c r="EK266" i="16"/>
  <c r="DL61" i="16"/>
  <c r="DO465" i="16"/>
  <c r="DA452" i="16"/>
  <c r="DU375" i="16"/>
  <c r="DM493" i="16"/>
  <c r="DQ276" i="16"/>
  <c r="EG388" i="16"/>
  <c r="DF447" i="16"/>
  <c r="DS163" i="16"/>
  <c r="EA252" i="16"/>
  <c r="DH213" i="16"/>
  <c r="DN283" i="16"/>
  <c r="DY338" i="16"/>
  <c r="DO234" i="16"/>
  <c r="DV273" i="16"/>
  <c r="DX111" i="16"/>
  <c r="DU243" i="16"/>
  <c r="DO162" i="16"/>
  <c r="DW122" i="16"/>
  <c r="DY193" i="16"/>
  <c r="CZ290" i="16"/>
  <c r="EH411" i="16"/>
  <c r="EI107" i="16"/>
  <c r="EI314" i="16"/>
  <c r="EK97" i="16"/>
  <c r="DY484" i="16"/>
  <c r="DF451" i="16"/>
  <c r="DS409" i="16"/>
  <c r="EC485" i="16"/>
  <c r="ER359" i="16"/>
  <c r="DI338" i="16"/>
  <c r="DR388" i="16"/>
  <c r="EE104" i="16"/>
  <c r="EC342" i="16"/>
  <c r="DB445" i="16"/>
  <c r="DR303" i="16"/>
  <c r="EE414" i="16"/>
  <c r="DA261" i="16"/>
  <c r="DW288" i="16"/>
  <c r="EJ301" i="16"/>
  <c r="DK401" i="16"/>
  <c r="ER91" i="16"/>
  <c r="DQ229" i="16"/>
  <c r="EK121" i="16"/>
  <c r="DO506" i="16"/>
  <c r="ED483" i="16"/>
  <c r="DG319" i="16"/>
  <c r="DA473" i="16"/>
  <c r="EN331" i="16"/>
  <c r="EB486" i="16"/>
  <c r="DL514" i="16"/>
  <c r="ER92" i="16"/>
  <c r="DM288" i="16"/>
  <c r="EM488" i="16"/>
  <c r="DL368" i="16"/>
  <c r="DT268" i="16"/>
  <c r="DR306" i="16"/>
  <c r="ES123" i="16"/>
  <c r="DL406" i="16"/>
  <c r="DJ70" i="16"/>
  <c r="CZ161" i="16"/>
  <c r="EC429" i="16"/>
  <c r="EI66" i="16"/>
  <c r="DO368" i="16"/>
  <c r="DI334" i="16"/>
  <c r="EE138" i="16"/>
  <c r="DD84" i="16"/>
  <c r="EC138" i="16"/>
  <c r="DJ364" i="16"/>
  <c r="DK92" i="16"/>
  <c r="DS66" i="16"/>
  <c r="ER373" i="16"/>
  <c r="DI242" i="16"/>
  <c r="DL294" i="16"/>
  <c r="DG202" i="16"/>
  <c r="EK349" i="16"/>
  <c r="DB231" i="16"/>
  <c r="EA259" i="16"/>
  <c r="DR302" i="16"/>
  <c r="DS360" i="16"/>
  <c r="EA354" i="16"/>
  <c r="DR312" i="16"/>
  <c r="EG71" i="16"/>
  <c r="DE122" i="16"/>
  <c r="DC488" i="16"/>
  <c r="EO397" i="16"/>
  <c r="DX280" i="16"/>
  <c r="DH120" i="16"/>
  <c r="DA320" i="16"/>
  <c r="DP306" i="16"/>
  <c r="EE171" i="16"/>
  <c r="ER478" i="16"/>
  <c r="EK301" i="16"/>
  <c r="EN376" i="16"/>
  <c r="EF467" i="16"/>
  <c r="DO469" i="16"/>
  <c r="EH189" i="16"/>
  <c r="DG410" i="16"/>
  <c r="DE476" i="16"/>
  <c r="EM477" i="16"/>
  <c r="DX484" i="16"/>
  <c r="DB316" i="16"/>
  <c r="DB314" i="16"/>
  <c r="DL143" i="16"/>
  <c r="DY418" i="16"/>
  <c r="EF421" i="16"/>
  <c r="DU319" i="16"/>
  <c r="EF67" i="16"/>
  <c r="DO475" i="16"/>
  <c r="DE113" i="16"/>
  <c r="ER321" i="16"/>
  <c r="DZ294" i="16"/>
  <c r="EP306" i="16"/>
  <c r="DA353" i="16"/>
  <c r="EQ471" i="16"/>
  <c r="EE243" i="16"/>
  <c r="DL273" i="16"/>
  <c r="DS226" i="16"/>
  <c r="EE248" i="16"/>
  <c r="DP281" i="16"/>
  <c r="EF460" i="16"/>
  <c r="DF290" i="16"/>
  <c r="DC137" i="16"/>
  <c r="DL410" i="16"/>
  <c r="DV155" i="16"/>
  <c r="EE515" i="16"/>
  <c r="DI185" i="16"/>
  <c r="DM125" i="16"/>
  <c r="EP297" i="16"/>
  <c r="DU493" i="16"/>
  <c r="EK146" i="16"/>
  <c r="EB213" i="16"/>
  <c r="EK57" i="16"/>
  <c r="EQ502" i="16"/>
  <c r="EL165" i="16"/>
  <c r="DL373" i="16"/>
  <c r="EA387" i="16"/>
  <c r="DP315" i="16"/>
  <c r="EA49" i="16"/>
  <c r="ED364" i="16"/>
  <c r="EE513" i="16"/>
  <c r="DN209" i="16"/>
  <c r="EO516" i="16"/>
  <c r="EL356" i="16"/>
  <c r="DG273" i="16"/>
  <c r="EP513" i="16"/>
  <c r="DZ345" i="16"/>
  <c r="DV465" i="16"/>
  <c r="ES270" i="16"/>
  <c r="DK85" i="16"/>
  <c r="DE345" i="16"/>
  <c r="DA366" i="16"/>
  <c r="EE271" i="16"/>
  <c r="DI210" i="16"/>
  <c r="ED109" i="16"/>
  <c r="DF200" i="16"/>
  <c r="EE476" i="16"/>
  <c r="DX426" i="16"/>
  <c r="EO241" i="16"/>
  <c r="DA242" i="16"/>
  <c r="DK376" i="16"/>
  <c r="DR386" i="16"/>
  <c r="DM50" i="16"/>
  <c r="DD404" i="16"/>
  <c r="DH302" i="16"/>
  <c r="DP337" i="16"/>
  <c r="ES295" i="16"/>
  <c r="DE349" i="16"/>
  <c r="DC164" i="16"/>
  <c r="DJ451" i="16"/>
  <c r="DP320" i="16"/>
  <c r="DK52" i="16"/>
  <c r="DS237" i="16"/>
  <c r="EG429" i="16"/>
  <c r="EM358" i="16"/>
  <c r="CZ476" i="16"/>
  <c r="DT230" i="16"/>
  <c r="DR178" i="16"/>
  <c r="EN69" i="16"/>
  <c r="DP240" i="16"/>
  <c r="EJ397" i="16"/>
  <c r="DG122" i="16"/>
  <c r="DA88" i="16"/>
  <c r="ES438" i="16"/>
  <c r="DS397" i="16"/>
  <c r="EN429" i="16"/>
  <c r="DN262" i="16"/>
  <c r="DI294" i="16"/>
  <c r="EI468" i="16"/>
  <c r="EA431" i="16"/>
  <c r="EI302" i="16"/>
  <c r="EJ118" i="16"/>
  <c r="EK173" i="16"/>
  <c r="DF466" i="16"/>
  <c r="DG230" i="16"/>
  <c r="EL472" i="16"/>
  <c r="DH324" i="16"/>
  <c r="CZ430" i="16"/>
  <c r="DY323" i="16"/>
  <c r="DF434" i="16"/>
  <c r="EP308" i="16"/>
  <c r="EG484" i="16"/>
  <c r="DA164" i="16"/>
  <c r="DR375" i="16"/>
  <c r="DH239" i="16"/>
  <c r="DR490" i="16"/>
  <c r="DZ308" i="16"/>
  <c r="DC404" i="16"/>
  <c r="DS516" i="16"/>
  <c r="DN364" i="16"/>
  <c r="DS455" i="16"/>
  <c r="DI387" i="16"/>
  <c r="EQ348" i="16"/>
  <c r="DZ135" i="16"/>
  <c r="DD220" i="16"/>
  <c r="DZ148" i="16"/>
  <c r="ED350" i="16"/>
  <c r="DS85" i="16"/>
  <c r="EP128" i="16"/>
  <c r="DH311" i="16"/>
  <c r="EI118" i="16"/>
  <c r="DO414" i="16"/>
  <c r="ER116" i="16"/>
  <c r="DM174" i="16"/>
  <c r="DH49" i="16"/>
  <c r="DT114" i="16"/>
  <c r="ES276" i="16"/>
  <c r="EO141" i="16"/>
  <c r="EQ294" i="16"/>
  <c r="EN307" i="16"/>
  <c r="CZ405" i="16"/>
  <c r="DN435" i="16"/>
  <c r="ED295" i="16"/>
  <c r="CZ391" i="16"/>
  <c r="DD429" i="16"/>
  <c r="DK269" i="16"/>
  <c r="DJ423" i="16"/>
  <c r="EC421" i="16"/>
  <c r="DH144" i="16"/>
  <c r="CZ385" i="16"/>
  <c r="EL261" i="16"/>
  <c r="DS500" i="16"/>
  <c r="EJ493" i="16"/>
  <c r="DD114" i="16"/>
  <c r="DL107" i="16"/>
  <c r="EM398" i="16"/>
  <c r="DP283" i="16"/>
  <c r="DW303" i="16"/>
  <c r="CZ453" i="16"/>
  <c r="DU265" i="16"/>
  <c r="EK457" i="16"/>
  <c r="DG484" i="16"/>
  <c r="EA305" i="16"/>
  <c r="EJ119" i="16"/>
  <c r="DF266" i="16"/>
  <c r="DT197" i="16"/>
  <c r="DF277" i="16"/>
  <c r="EB270" i="16"/>
  <c r="DY479" i="16"/>
  <c r="DO224" i="16"/>
  <c r="DV454" i="16"/>
  <c r="DT182" i="16"/>
  <c r="DP93" i="16"/>
  <c r="DA420" i="16"/>
  <c r="DN201" i="16"/>
  <c r="EO171" i="16"/>
  <c r="DV375" i="16"/>
  <c r="EP304" i="16"/>
  <c r="EB163" i="16"/>
  <c r="DL346" i="16"/>
  <c r="CZ204" i="16"/>
  <c r="EF340" i="16"/>
  <c r="DW94" i="16"/>
  <c r="ED277" i="16"/>
  <c r="EO477" i="16"/>
  <c r="EM405" i="16"/>
  <c r="ES233" i="16"/>
  <c r="EH340" i="16"/>
  <c r="EK489" i="16"/>
  <c r="DQ408" i="16"/>
  <c r="DF507" i="16"/>
  <c r="DK179" i="16"/>
  <c r="DP357" i="16"/>
  <c r="DZ105" i="16"/>
  <c r="EP311" i="16"/>
  <c r="EF492" i="16"/>
  <c r="DZ257" i="16"/>
  <c r="ER203" i="16"/>
  <c r="EE493" i="16"/>
  <c r="DC459" i="16"/>
  <c r="DQ457" i="16"/>
  <c r="EE255" i="16"/>
  <c r="DG347" i="16"/>
  <c r="DY110" i="16"/>
  <c r="DA440" i="16"/>
  <c r="DD233" i="16"/>
  <c r="DQ423" i="16"/>
  <c r="EQ306" i="16"/>
  <c r="EL265" i="16"/>
  <c r="EP164" i="16"/>
  <c r="DN412" i="16"/>
  <c r="DE191" i="16"/>
  <c r="ES84" i="16"/>
  <c r="DI303" i="16"/>
  <c r="ER475" i="16"/>
  <c r="EL60" i="16"/>
  <c r="EP93" i="16"/>
  <c r="DD403" i="16"/>
  <c r="EF330" i="16"/>
  <c r="DW190" i="16"/>
  <c r="EF268" i="16"/>
  <c r="ED441" i="16"/>
  <c r="DB436" i="16"/>
  <c r="EP421" i="16"/>
  <c r="CZ175" i="16"/>
  <c r="DH437" i="16"/>
  <c r="EG409" i="16"/>
  <c r="DZ378" i="16"/>
  <c r="DK99" i="16"/>
  <c r="DX446" i="16"/>
  <c r="DI489" i="16"/>
  <c r="EO201" i="16"/>
  <c r="DT259" i="16"/>
  <c r="EO509" i="16"/>
  <c r="EP50" i="16"/>
  <c r="ED433" i="16"/>
  <c r="EI480" i="16"/>
  <c r="DL325" i="16"/>
  <c r="EM132" i="16"/>
  <c r="DK116" i="16"/>
  <c r="DJ260" i="16"/>
  <c r="EG486" i="16"/>
  <c r="DL266" i="16"/>
  <c r="DE454" i="16"/>
  <c r="DI143" i="16"/>
  <c r="DL401" i="16"/>
  <c r="DT383" i="16"/>
  <c r="DX324" i="16"/>
  <c r="EH258" i="16"/>
  <c r="EL61" i="16"/>
  <c r="EM251" i="16"/>
  <c r="EO206" i="16"/>
  <c r="EJ220" i="16"/>
  <c r="EK247" i="16"/>
  <c r="DI95" i="16"/>
  <c r="DF301" i="16"/>
  <c r="ED194" i="16"/>
  <c r="ER76" i="16"/>
  <c r="DV416" i="16"/>
  <c r="DZ462" i="16"/>
  <c r="ES168" i="16"/>
  <c r="DP469" i="16"/>
  <c r="DJ144" i="16"/>
  <c r="DU390" i="16"/>
  <c r="EQ59" i="16"/>
  <c r="EO474" i="16"/>
  <c r="EN205" i="16"/>
  <c r="EA253" i="16"/>
  <c r="EA340" i="16"/>
  <c r="DT336" i="16"/>
  <c r="DG432" i="16"/>
  <c r="EN352" i="16"/>
  <c r="EH88" i="16"/>
  <c r="EF375" i="16"/>
  <c r="EC345" i="16"/>
  <c r="DZ266" i="16"/>
  <c r="DX189" i="16"/>
  <c r="EK191" i="16"/>
  <c r="EG252" i="16"/>
  <c r="EB386" i="16"/>
  <c r="DI285" i="16"/>
  <c r="ER440" i="16"/>
  <c r="DO508" i="16"/>
  <c r="DF96" i="16"/>
  <c r="DY423" i="16"/>
  <c r="ES63" i="16"/>
  <c r="DG291" i="16"/>
  <c r="DC232" i="16"/>
  <c r="DO496" i="16"/>
  <c r="DS229" i="16"/>
  <c r="EP227" i="16"/>
  <c r="EO379" i="16"/>
  <c r="DT80" i="16"/>
  <c r="DC156" i="16"/>
  <c r="EM491" i="16"/>
  <c r="DS429" i="16"/>
  <c r="DL512" i="16"/>
  <c r="DC299" i="16"/>
  <c r="DV466" i="16"/>
  <c r="EJ396" i="16"/>
  <c r="DM328" i="16"/>
  <c r="ED133" i="16"/>
  <c r="DP487" i="16"/>
  <c r="EM205" i="16"/>
  <c r="DW383" i="16"/>
  <c r="EK410" i="16"/>
  <c r="EB431" i="16"/>
  <c r="EF484" i="16"/>
  <c r="DT126" i="16"/>
  <c r="CZ483" i="16"/>
  <c r="DL359" i="16"/>
  <c r="DS325" i="16"/>
  <c r="DT461" i="16"/>
  <c r="DZ499" i="16"/>
  <c r="EK496" i="16"/>
  <c r="DL336" i="16"/>
  <c r="DK272" i="16"/>
  <c r="DG481" i="16"/>
  <c r="EG375" i="16"/>
  <c r="DK419" i="16"/>
  <c r="EE371" i="16"/>
  <c r="EK341" i="16"/>
  <c r="DN317" i="16"/>
  <c r="DX500" i="16"/>
  <c r="DW239" i="16"/>
  <c r="DS259" i="16"/>
  <c r="EJ496" i="16"/>
  <c r="EB461" i="16"/>
  <c r="DL95" i="16"/>
  <c r="DS242" i="16"/>
  <c r="DH412" i="16"/>
  <c r="EQ409" i="16"/>
  <c r="DQ256" i="16"/>
  <c r="DV313" i="16"/>
  <c r="DS375" i="16"/>
  <c r="DM258" i="16"/>
  <c r="DE412" i="16"/>
  <c r="EH63" i="16"/>
  <c r="EI329" i="16"/>
  <c r="DR284" i="16"/>
  <c r="DU333" i="16"/>
  <c r="EF240" i="16"/>
  <c r="CZ335" i="16"/>
  <c r="ED238" i="16"/>
  <c r="CZ133" i="16"/>
  <c r="EG496" i="16"/>
  <c r="EE498" i="16"/>
  <c r="DZ411" i="16"/>
  <c r="EK300" i="16"/>
  <c r="DY485" i="16"/>
  <c r="DK259" i="16"/>
  <c r="DJ270" i="16"/>
  <c r="DI316" i="16"/>
  <c r="EH239" i="16"/>
  <c r="CZ440" i="16"/>
  <c r="DK207" i="16"/>
  <c r="DJ57" i="16"/>
  <c r="EN219" i="16"/>
  <c r="EE221" i="16"/>
  <c r="EF188" i="16"/>
  <c r="DX143" i="16"/>
  <c r="EG432" i="16"/>
  <c r="DD83" i="16"/>
  <c r="EO298" i="16"/>
  <c r="EA96" i="16"/>
  <c r="EG243" i="16"/>
  <c r="EB310" i="16"/>
  <c r="EH423" i="16"/>
  <c r="DD363" i="16"/>
  <c r="EF432" i="16"/>
  <c r="EM492" i="16"/>
  <c r="DF299" i="16"/>
  <c r="EO448" i="16"/>
  <c r="DZ237" i="16"/>
  <c r="DQ437" i="16"/>
  <c r="EI114" i="16"/>
  <c r="DZ97" i="16"/>
  <c r="EN186" i="16"/>
  <c r="EJ60" i="16"/>
  <c r="DV458" i="16"/>
  <c r="DF387" i="16"/>
  <c r="EC437" i="16"/>
  <c r="DX450" i="16"/>
  <c r="DG150" i="16"/>
  <c r="EN395" i="16"/>
  <c r="EH356" i="16"/>
  <c r="DR363" i="16"/>
  <c r="DN227" i="16"/>
  <c r="DS389" i="16"/>
  <c r="EN262" i="16"/>
  <c r="DU502" i="16"/>
  <c r="EM221" i="16"/>
  <c r="DS510" i="16"/>
  <c r="DD441" i="16"/>
  <c r="EA267" i="16"/>
  <c r="DF71" i="16"/>
  <c r="EH333" i="16"/>
  <c r="DX173" i="16"/>
  <c r="DB257" i="16"/>
  <c r="EC247" i="16"/>
  <c r="DV315" i="16"/>
  <c r="DV481" i="16"/>
  <c r="DP489" i="16"/>
  <c r="DQ114" i="16"/>
  <c r="DJ332" i="16"/>
  <c r="DQ389" i="16"/>
  <c r="DE507" i="16"/>
  <c r="EH408" i="16"/>
  <c r="DZ129" i="16"/>
  <c r="ED81" i="16"/>
  <c r="DJ227" i="16"/>
  <c r="DR350" i="16"/>
  <c r="ES493" i="16"/>
  <c r="EK323" i="16"/>
  <c r="ES330" i="16"/>
  <c r="EB223" i="16"/>
  <c r="DO109" i="16"/>
  <c r="DE467" i="16"/>
  <c r="EM387" i="16"/>
  <c r="DD480" i="16"/>
  <c r="DQ171" i="16"/>
  <c r="EH193" i="16"/>
  <c r="DN460" i="16"/>
  <c r="DZ385" i="16"/>
  <c r="DK329" i="16"/>
  <c r="CZ116" i="16"/>
  <c r="DQ456" i="16"/>
  <c r="DJ224" i="16"/>
  <c r="DY354" i="16"/>
  <c r="DU152" i="16"/>
  <c r="EJ334" i="16"/>
  <c r="EI374" i="16"/>
  <c r="DD323" i="16"/>
  <c r="DW378" i="16"/>
  <c r="DF262" i="16"/>
  <c r="EH501" i="16"/>
  <c r="DE425" i="16"/>
  <c r="DA430" i="16"/>
  <c r="DS482" i="16"/>
  <c r="DA153" i="16"/>
  <c r="EG478" i="16"/>
  <c r="DV104" i="16"/>
  <c r="EG439" i="16"/>
  <c r="DJ387" i="16"/>
  <c r="DL318" i="16"/>
  <c r="DY72" i="16"/>
  <c r="EC467" i="16"/>
  <c r="DW386" i="16"/>
  <c r="DC244" i="16"/>
  <c r="DR430" i="16"/>
  <c r="DY200" i="16"/>
  <c r="DN57" i="16"/>
  <c r="DQ439" i="16"/>
  <c r="ED190" i="16"/>
  <c r="EB392" i="16"/>
  <c r="EG361" i="16"/>
  <c r="DH252" i="16"/>
  <c r="EC252" i="16"/>
  <c r="DW256" i="16"/>
  <c r="DU406" i="16"/>
  <c r="DH449" i="16"/>
  <c r="DN255" i="16"/>
  <c r="DZ319" i="16"/>
  <c r="DK107" i="16"/>
  <c r="DJ424" i="16"/>
  <c r="DX342" i="16"/>
  <c r="DI239" i="16"/>
  <c r="EE393" i="16"/>
  <c r="DI362" i="16"/>
  <c r="DM93" i="16"/>
  <c r="DW414" i="16"/>
  <c r="EN165" i="16"/>
  <c r="EJ186" i="16"/>
  <c r="ES430" i="16"/>
  <c r="DL328" i="16"/>
  <c r="DE487" i="16"/>
  <c r="DR119" i="16"/>
  <c r="DN470" i="16"/>
  <c r="EE289" i="16"/>
  <c r="EQ485" i="16"/>
  <c r="EB510" i="16"/>
  <c r="DX168" i="16"/>
  <c r="EM279" i="16"/>
  <c r="DW241" i="16"/>
  <c r="DM378" i="16"/>
  <c r="EI79" i="16"/>
  <c r="DS139" i="16"/>
  <c r="DW458" i="16"/>
  <c r="EN79" i="16"/>
  <c r="EA137" i="16"/>
  <c r="EE256" i="16"/>
  <c r="EI359" i="16"/>
  <c r="DS424" i="16"/>
  <c r="EM95" i="16"/>
  <c r="EK134" i="16"/>
  <c r="DQ459" i="16"/>
  <c r="ES358" i="16"/>
  <c r="EE360" i="16"/>
  <c r="EE133" i="16"/>
  <c r="DT471" i="16"/>
  <c r="DV200" i="16"/>
  <c r="DR244" i="16"/>
  <c r="EH427" i="16"/>
  <c r="DK452" i="16"/>
  <c r="EM147" i="16"/>
  <c r="EM97" i="16"/>
  <c r="EI414" i="16"/>
  <c r="EO249" i="16"/>
  <c r="DM385" i="16"/>
  <c r="EC494" i="16"/>
  <c r="EF319" i="16"/>
  <c r="DL317" i="16"/>
  <c r="EQ426" i="16"/>
  <c r="DI401" i="16"/>
  <c r="DT169" i="16"/>
  <c r="DA239" i="16"/>
  <c r="DX343" i="16"/>
  <c r="DM487" i="16"/>
  <c r="ED199" i="16"/>
  <c r="EH207" i="16"/>
  <c r="EF441" i="16"/>
  <c r="EB441" i="16"/>
  <c r="EL475" i="16"/>
  <c r="DQ320" i="16"/>
  <c r="EH132" i="16"/>
  <c r="EM237" i="16"/>
  <c r="DU497" i="16"/>
  <c r="DR170" i="16"/>
  <c r="EA350" i="16"/>
  <c r="DG91" i="16"/>
  <c r="EC146" i="16"/>
  <c r="EM472" i="16"/>
  <c r="DH254" i="16"/>
  <c r="DI487" i="16"/>
  <c r="EK314" i="16"/>
  <c r="DG413" i="16"/>
  <c r="DX365" i="16"/>
  <c r="DN439" i="16"/>
  <c r="DD232" i="16"/>
  <c r="DR314" i="16"/>
  <c r="EL346" i="16"/>
  <c r="DU393" i="16"/>
  <c r="DP56" i="16"/>
  <c r="EQ326" i="16"/>
  <c r="CZ489" i="16"/>
  <c r="DJ111" i="16"/>
  <c r="DV235" i="16"/>
  <c r="EC77" i="16"/>
  <c r="DI417" i="16"/>
  <c r="EJ474" i="16"/>
  <c r="DH410" i="16"/>
  <c r="DP144" i="16"/>
  <c r="EH291" i="16"/>
  <c r="DU316" i="16"/>
  <c r="DU182" i="16"/>
  <c r="EO504" i="16"/>
  <c r="EF482" i="16"/>
  <c r="EA167" i="16"/>
  <c r="DY280" i="16"/>
  <c r="EN123" i="16"/>
  <c r="DH95" i="16"/>
  <c r="DR127" i="16"/>
  <c r="EE174" i="16"/>
  <c r="EI282" i="16"/>
  <c r="ED124" i="16"/>
  <c r="DD474" i="16"/>
  <c r="DD314" i="16"/>
  <c r="DA512" i="16"/>
  <c r="DI382" i="16"/>
  <c r="EQ104" i="16"/>
  <c r="CZ331" i="16"/>
  <c r="EP332" i="16"/>
  <c r="DO143" i="16"/>
  <c r="EE457" i="16"/>
  <c r="DE473" i="16"/>
  <c r="DE136" i="16"/>
  <c r="DT325" i="16"/>
  <c r="DA471" i="16"/>
  <c r="DZ180" i="16"/>
  <c r="ES484" i="16"/>
  <c r="DE370" i="16"/>
  <c r="DQ198" i="16"/>
  <c r="DE479" i="16"/>
  <c r="EE159" i="16"/>
  <c r="EI516" i="16"/>
  <c r="EP280" i="16"/>
  <c r="EG270" i="16"/>
  <c r="DS408" i="16"/>
  <c r="ED365" i="16"/>
  <c r="EM152" i="16"/>
  <c r="CZ491" i="16"/>
  <c r="DQ197" i="16"/>
  <c r="EB55" i="16"/>
  <c r="EL377" i="16"/>
  <c r="EP425" i="16"/>
  <c r="EN327" i="16"/>
  <c r="DN308" i="16"/>
  <c r="EP200" i="16"/>
  <c r="DB137" i="16"/>
  <c r="DQ238" i="16"/>
  <c r="DJ405" i="16"/>
  <c r="EM485" i="16"/>
  <c r="EO465" i="16"/>
  <c r="EJ78" i="16"/>
  <c r="EL437" i="16"/>
  <c r="DI222" i="16"/>
  <c r="DE343" i="16"/>
  <c r="DF406" i="16"/>
  <c r="EB168" i="16"/>
  <c r="DM103" i="16"/>
  <c r="EI144" i="16"/>
  <c r="ER177" i="16"/>
  <c r="DE421" i="16"/>
  <c r="DH358" i="16"/>
  <c r="DP151" i="16"/>
  <c r="DM461" i="16"/>
  <c r="DU337" i="16"/>
  <c r="EA380" i="16"/>
  <c r="DG272" i="16"/>
  <c r="EK471" i="16"/>
  <c r="EP399" i="16"/>
  <c r="EQ100" i="16"/>
  <c r="DS156" i="16"/>
  <c r="DS260" i="16"/>
  <c r="DA401" i="16"/>
  <c r="CZ352" i="16"/>
  <c r="EP501" i="16"/>
  <c r="CZ166" i="16"/>
  <c r="EL197" i="16"/>
  <c r="DS359" i="16"/>
  <c r="DZ125" i="16"/>
  <c r="ED471" i="16"/>
  <c r="EO361" i="16"/>
  <c r="EO104" i="16"/>
  <c r="EM144" i="16"/>
  <c r="DM159" i="16"/>
  <c r="EP131" i="16"/>
  <c r="DN443" i="16"/>
  <c r="EI487" i="16"/>
  <c r="DP248" i="16"/>
  <c r="ED55" i="16"/>
  <c r="DP74" i="16"/>
  <c r="DU97" i="16"/>
  <c r="DD112" i="16"/>
  <c r="EK273" i="16"/>
  <c r="EC217" i="16"/>
  <c r="DH463" i="16"/>
  <c r="DO387" i="16"/>
  <c r="DT423" i="16"/>
  <c r="EF251" i="16"/>
  <c r="EC157" i="16"/>
  <c r="DV314" i="16"/>
  <c r="DS190" i="16"/>
  <c r="DH368" i="16"/>
  <c r="DL84" i="16"/>
  <c r="EH169" i="16"/>
  <c r="DZ284" i="16"/>
  <c r="DQ362" i="16"/>
  <c r="DN221" i="16"/>
  <c r="DY404" i="16"/>
  <c r="DE474" i="16"/>
  <c r="EA232" i="16"/>
  <c r="DG212" i="16"/>
  <c r="EN294" i="16"/>
  <c r="DS512" i="16"/>
  <c r="EJ311" i="16"/>
  <c r="EE247" i="16"/>
  <c r="DH502" i="16"/>
  <c r="DC478" i="16"/>
  <c r="DG120" i="16"/>
  <c r="DF419" i="16"/>
  <c r="DF461" i="16"/>
  <c r="EJ361" i="16"/>
  <c r="ED355" i="16"/>
  <c r="DT269" i="16"/>
  <c r="EB498" i="16"/>
  <c r="DY490" i="16"/>
  <c r="EA388" i="16"/>
  <c r="EG493" i="16"/>
  <c r="DS339" i="16"/>
  <c r="DP184" i="16"/>
  <c r="DS436" i="16"/>
  <c r="DV336" i="16"/>
  <c r="DC54" i="16"/>
  <c r="EC298" i="16"/>
  <c r="DD307" i="16"/>
  <c r="EO388" i="16"/>
  <c r="EI500" i="16"/>
  <c r="DX313" i="16"/>
  <c r="EO496" i="16"/>
  <c r="ER361" i="16"/>
  <c r="EL289" i="16"/>
  <c r="DP452" i="16"/>
  <c r="DN373" i="16"/>
  <c r="DT263" i="16"/>
  <c r="EM100" i="16"/>
  <c r="DM236" i="16"/>
  <c r="EB405" i="16"/>
  <c r="DL180" i="16"/>
  <c r="DK487" i="16"/>
  <c r="DR373" i="16"/>
  <c r="DT355" i="16"/>
  <c r="DN307" i="16"/>
  <c r="DJ320" i="16"/>
  <c r="DF60" i="16"/>
  <c r="DV438" i="16"/>
  <c r="EB197" i="16"/>
  <c r="DX204" i="16"/>
  <c r="DU234" i="16"/>
  <c r="DF316" i="16"/>
  <c r="EN274" i="16"/>
  <c r="EQ442" i="16"/>
  <c r="DL323" i="16"/>
  <c r="DL51" i="16"/>
  <c r="DC92" i="16"/>
  <c r="DZ393" i="16"/>
  <c r="EQ353" i="16"/>
  <c r="DT229" i="16"/>
  <c r="DP78" i="16"/>
  <c r="DN316" i="16"/>
  <c r="DZ456" i="16"/>
  <c r="DW101" i="16"/>
  <c r="DK219" i="16"/>
  <c r="DT300" i="16"/>
  <c r="DC358" i="16"/>
  <c r="DK412" i="16"/>
  <c r="DO237" i="16"/>
  <c r="EN385" i="16"/>
  <c r="DH356" i="16"/>
  <c r="EH488" i="16"/>
  <c r="EG174" i="16"/>
  <c r="EA214" i="16"/>
  <c r="CZ490" i="16"/>
  <c r="DH243" i="16"/>
  <c r="EI371" i="16"/>
  <c r="DI415" i="16"/>
  <c r="EE287" i="16"/>
  <c r="DK352" i="16"/>
  <c r="EM487" i="16"/>
  <c r="DV382" i="16"/>
  <c r="EJ310" i="16"/>
  <c r="EG381" i="16"/>
  <c r="DF371" i="16"/>
  <c r="ES478" i="16"/>
  <c r="EM507" i="16"/>
  <c r="DL493" i="16"/>
  <c r="DM448" i="16"/>
  <c r="ER135" i="16"/>
  <c r="EQ312" i="16"/>
  <c r="DB474" i="16"/>
  <c r="DU454" i="16"/>
  <c r="CZ465" i="16"/>
  <c r="DG141" i="16"/>
  <c r="EE512" i="16"/>
  <c r="DR421" i="16"/>
  <c r="EO237" i="16"/>
  <c r="EK359" i="16"/>
  <c r="EM199" i="16"/>
  <c r="DV173" i="16"/>
  <c r="DA313" i="16"/>
  <c r="DL426" i="16"/>
  <c r="CZ470" i="16"/>
  <c r="EH384" i="16"/>
  <c r="EE405" i="16"/>
  <c r="EI276" i="16"/>
  <c r="DS124" i="16"/>
  <c r="EQ122" i="16"/>
  <c r="DT224" i="16"/>
  <c r="EG235" i="16"/>
  <c r="EL171" i="16"/>
  <c r="DB473" i="16"/>
  <c r="DM414" i="16"/>
  <c r="DL261" i="16"/>
  <c r="DF144" i="16"/>
  <c r="DO313" i="16"/>
  <c r="DF243" i="16"/>
  <c r="DZ199" i="16"/>
  <c r="DJ381" i="16"/>
  <c r="EL363" i="16"/>
  <c r="DB398" i="16"/>
  <c r="EH400" i="16"/>
  <c r="EA224" i="16"/>
  <c r="DQ364" i="16"/>
  <c r="DG143" i="16"/>
  <c r="DD330" i="16"/>
  <c r="DU384" i="16"/>
  <c r="DS132" i="16"/>
  <c r="EJ452" i="16"/>
  <c r="DF394" i="16"/>
  <c r="DE147" i="16"/>
  <c r="EE157" i="16"/>
  <c r="EO300" i="16"/>
  <c r="DT193" i="16"/>
  <c r="DN510" i="16"/>
  <c r="DX359" i="16"/>
  <c r="DP341" i="16"/>
  <c r="DE152" i="16"/>
  <c r="DY292" i="16"/>
  <c r="DZ340" i="16"/>
  <c r="DV322" i="16"/>
  <c r="DW258" i="16"/>
  <c r="ES465" i="16"/>
  <c r="DU104" i="16"/>
  <c r="ER93" i="16"/>
  <c r="EG341" i="16"/>
  <c r="DW351" i="16"/>
  <c r="CZ403" i="16"/>
  <c r="DO392" i="16"/>
  <c r="DO360" i="16"/>
  <c r="EN117" i="16"/>
  <c r="DG306" i="16"/>
  <c r="EP406" i="16"/>
  <c r="DO176" i="16"/>
  <c r="DY102" i="16"/>
  <c r="DW215" i="16"/>
  <c r="DZ490" i="16"/>
  <c r="EL458" i="16"/>
  <c r="ES305" i="16"/>
  <c r="DB278" i="16"/>
  <c r="DF55" i="16"/>
  <c r="DX492" i="16"/>
  <c r="DZ246" i="16"/>
  <c r="EC459" i="16"/>
  <c r="DL459" i="16"/>
  <c r="DP508" i="16"/>
  <c r="CZ407" i="16"/>
  <c r="DT139" i="16"/>
  <c r="CZ62" i="16"/>
  <c r="DF88" i="16"/>
  <c r="DR142" i="16"/>
  <c r="EE125" i="16"/>
  <c r="DV480" i="16"/>
  <c r="EH326" i="16"/>
  <c r="DO195" i="16"/>
  <c r="DH160" i="16"/>
  <c r="DJ210" i="16"/>
  <c r="EQ361" i="16"/>
  <c r="DK311" i="16"/>
  <c r="DK245" i="16"/>
  <c r="ER314" i="16"/>
  <c r="ES49" i="16"/>
  <c r="EI204" i="16"/>
  <c r="DA249" i="16"/>
  <c r="DQ339" i="16"/>
  <c r="EL215" i="16"/>
  <c r="DZ88" i="16"/>
  <c r="DQ112" i="16"/>
  <c r="EI453" i="16"/>
  <c r="DQ501" i="16"/>
  <c r="DD285" i="16"/>
  <c r="EB231" i="16"/>
  <c r="DR275" i="16"/>
  <c r="DT479" i="16"/>
  <c r="DT405" i="16"/>
  <c r="EE491" i="16"/>
  <c r="DS305" i="16"/>
  <c r="EN263" i="16"/>
  <c r="ES423" i="16"/>
  <c r="EG373" i="16"/>
  <c r="DK98" i="16"/>
  <c r="CZ194" i="16"/>
  <c r="DK449" i="16"/>
  <c r="EF380" i="16"/>
  <c r="DS499" i="16"/>
  <c r="DP426" i="16"/>
  <c r="ER500" i="16"/>
  <c r="DU77" i="16"/>
  <c r="DB353" i="16"/>
  <c r="EH407" i="16"/>
  <c r="DU504" i="16"/>
  <c r="EQ318" i="16"/>
  <c r="CZ327" i="16"/>
  <c r="EH274" i="16"/>
  <c r="EC514" i="16"/>
  <c r="DF300" i="16"/>
  <c r="DZ358" i="16"/>
  <c r="DX448" i="16"/>
  <c r="DM455" i="16"/>
  <c r="DU441" i="16"/>
  <c r="EA447" i="16"/>
  <c r="DV64" i="16"/>
  <c r="DX400" i="16"/>
  <c r="DC172" i="16"/>
  <c r="DQ433" i="16"/>
  <c r="ED514" i="16"/>
  <c r="EI324" i="16"/>
  <c r="EF226" i="16"/>
  <c r="DS421" i="16"/>
  <c r="DC486" i="16"/>
  <c r="DB394" i="16"/>
  <c r="EO411" i="16"/>
  <c r="EB305" i="16"/>
  <c r="DM260" i="16"/>
  <c r="EM206" i="16"/>
  <c r="DJ255" i="16"/>
  <c r="DE346" i="16"/>
  <c r="DC177" i="16"/>
  <c r="DE490" i="16"/>
  <c r="EM284" i="16"/>
  <c r="EJ142" i="16"/>
  <c r="EK289" i="16"/>
  <c r="CZ269" i="16"/>
  <c r="ED321" i="16"/>
  <c r="EG131" i="16"/>
  <c r="DQ304" i="16"/>
  <c r="DG184" i="16"/>
  <c r="DK149" i="16"/>
  <c r="EH341" i="16"/>
  <c r="DV330" i="16"/>
  <c r="DL505" i="16"/>
  <c r="DA167" i="16"/>
  <c r="EJ415" i="16"/>
  <c r="EP436" i="16"/>
  <c r="DG414" i="16"/>
  <c r="DJ139" i="16"/>
  <c r="DO267" i="16"/>
  <c r="EI307" i="16"/>
  <c r="DG64" i="16"/>
  <c r="CZ505" i="16"/>
  <c r="DD379" i="16"/>
  <c r="DG274" i="16"/>
  <c r="ER163" i="16"/>
  <c r="EJ373" i="16"/>
  <c r="EP439" i="16"/>
  <c r="DK491" i="16"/>
  <c r="CZ488" i="16"/>
  <c r="DL498" i="16"/>
  <c r="EK447" i="16"/>
  <c r="EM111" i="16"/>
  <c r="EC131" i="16"/>
  <c r="DW280" i="16"/>
  <c r="EO446" i="16"/>
  <c r="DJ306" i="16"/>
  <c r="ES213" i="16"/>
  <c r="DC445" i="16"/>
  <c r="DF358" i="16"/>
  <c r="DI170" i="16"/>
  <c r="EF452" i="16"/>
  <c r="DJ330" i="16"/>
  <c r="EN511" i="16"/>
  <c r="DF298" i="16"/>
  <c r="EE460" i="16"/>
  <c r="DM482" i="16"/>
  <c r="CZ406" i="16"/>
  <c r="EF192" i="16"/>
  <c r="EB299" i="16"/>
  <c r="DZ389" i="16"/>
  <c r="DJ378" i="16"/>
  <c r="EH490" i="16"/>
  <c r="DR422" i="16"/>
  <c r="EM151" i="16"/>
  <c r="DQ435" i="16"/>
  <c r="DZ156" i="16"/>
  <c r="DV163" i="16"/>
  <c r="DY512" i="16"/>
  <c r="DH159" i="16"/>
  <c r="EO233" i="16"/>
  <c r="ED121" i="16"/>
  <c r="EG471" i="16"/>
  <c r="DU74" i="16"/>
  <c r="EI205" i="16"/>
  <c r="EN335" i="16"/>
  <c r="EL198" i="16"/>
  <c r="EK133" i="16"/>
  <c r="DY337" i="16"/>
  <c r="EB399" i="16"/>
  <c r="EI461" i="16"/>
  <c r="ES291" i="16"/>
  <c r="EG272" i="16"/>
  <c r="DQ63" i="16"/>
  <c r="DX67" i="16"/>
  <c r="DT507" i="16"/>
  <c r="EH354" i="16"/>
  <c r="EI393" i="16"/>
  <c r="ER214" i="16"/>
  <c r="DB357" i="16"/>
  <c r="EP261" i="16"/>
  <c r="DS384" i="16"/>
  <c r="DO344" i="16"/>
  <c r="DO307" i="16"/>
  <c r="DV132" i="16"/>
  <c r="DB407" i="16"/>
  <c r="DQ414" i="16"/>
  <c r="DT217" i="16"/>
  <c r="EC134" i="16"/>
  <c r="DD177" i="16"/>
  <c r="DJ219" i="16"/>
  <c r="DK466" i="16"/>
  <c r="EJ150" i="16"/>
  <c r="DD312" i="16"/>
  <c r="DB415" i="16"/>
  <c r="ER460" i="16"/>
  <c r="DF217" i="16"/>
  <c r="EB351" i="16"/>
  <c r="EE190" i="16"/>
  <c r="EK467" i="16"/>
  <c r="DE486" i="16"/>
  <c r="DF342" i="16"/>
  <c r="DZ195" i="16"/>
  <c r="DC398" i="16"/>
  <c r="DM476" i="16"/>
  <c r="DE124" i="16"/>
  <c r="DI211" i="16"/>
  <c r="EB250" i="16"/>
  <c r="EL209" i="16"/>
  <c r="EN286" i="16"/>
  <c r="EG186" i="16"/>
  <c r="EJ68" i="16"/>
  <c r="DC418" i="16"/>
  <c r="DZ436" i="16"/>
  <c r="DJ216" i="16"/>
  <c r="ER153" i="16"/>
  <c r="ED60" i="16"/>
  <c r="DE233" i="16"/>
  <c r="DB427" i="16"/>
  <c r="DY367" i="16"/>
  <c r="DL439" i="16"/>
  <c r="DG295" i="16"/>
  <c r="DK83" i="16"/>
  <c r="DS251" i="16"/>
  <c r="EL252" i="16"/>
  <c r="EN236" i="16"/>
  <c r="DA295" i="16"/>
  <c r="DF74" i="16"/>
  <c r="EC135" i="16"/>
  <c r="DF328" i="16"/>
  <c r="EC508" i="16"/>
  <c r="ER74" i="16"/>
  <c r="DB366" i="16"/>
  <c r="EK80" i="16"/>
  <c r="DY428" i="16"/>
  <c r="EH469" i="16"/>
  <c r="DG485" i="16"/>
  <c r="DZ255" i="16"/>
  <c r="DS358" i="16"/>
  <c r="DV478" i="16"/>
  <c r="CZ206" i="16"/>
  <c r="EH415" i="16"/>
  <c r="EG442" i="16"/>
  <c r="DO233" i="16"/>
  <c r="DJ257" i="16"/>
  <c r="DX428" i="16"/>
  <c r="EL153" i="16"/>
  <c r="DW242" i="16"/>
  <c r="EB71" i="16"/>
  <c r="DI454" i="16"/>
  <c r="DN421" i="16"/>
  <c r="EC205" i="16"/>
  <c r="ES315" i="16"/>
  <c r="DB477" i="16"/>
  <c r="DD125" i="16"/>
  <c r="EA75" i="16"/>
  <c r="EH496" i="16"/>
  <c r="EM497" i="16"/>
  <c r="DU207" i="16"/>
  <c r="EK419" i="16"/>
  <c r="DU206" i="16"/>
  <c r="EG106" i="16"/>
  <c r="EO222" i="16"/>
  <c r="EL507" i="16"/>
  <c r="CZ268" i="16"/>
  <c r="DZ402" i="16"/>
  <c r="DC319" i="16"/>
  <c r="EN330" i="16"/>
  <c r="DM363" i="16"/>
  <c r="DQ205" i="16"/>
  <c r="DR505" i="16"/>
  <c r="DG395" i="16"/>
  <c r="EA393" i="16"/>
  <c r="EC398" i="16"/>
  <c r="DY372" i="16"/>
  <c r="DC506" i="16"/>
  <c r="EP499" i="16"/>
  <c r="EA299" i="16"/>
  <c r="DL215" i="16"/>
  <c r="DI493" i="16"/>
  <c r="EG260" i="16"/>
  <c r="EC392" i="16"/>
  <c r="EP383" i="16"/>
  <c r="CZ181" i="16"/>
  <c r="DS56" i="16"/>
  <c r="DQ340" i="16"/>
  <c r="DX339" i="16"/>
  <c r="EE265" i="16"/>
  <c r="DX409" i="16"/>
  <c r="DP246" i="16"/>
  <c r="EL154" i="16"/>
  <c r="EJ164" i="16"/>
  <c r="EI370" i="16"/>
  <c r="EC86" i="16"/>
  <c r="DV105" i="16"/>
  <c r="DL122" i="16"/>
  <c r="EQ345" i="16"/>
  <c r="ED508" i="16"/>
  <c r="DF435" i="16"/>
  <c r="DE435" i="16"/>
  <c r="DY378" i="16"/>
  <c r="DU266" i="16"/>
  <c r="DO367" i="16"/>
  <c r="DN376" i="16"/>
  <c r="DM283" i="16"/>
  <c r="EL471" i="16"/>
  <c r="EM262" i="16"/>
  <c r="DM372" i="16"/>
  <c r="DJ223" i="16"/>
  <c r="DA302" i="16"/>
  <c r="DM232" i="16"/>
  <c r="EE377" i="16"/>
  <c r="DQ464" i="16"/>
  <c r="DW166" i="16"/>
  <c r="DD422" i="16"/>
  <c r="DP418" i="16"/>
  <c r="DG366" i="16"/>
  <c r="DS179" i="16"/>
  <c r="DV502" i="16"/>
  <c r="DK504" i="16"/>
  <c r="EI351" i="16"/>
  <c r="DJ429" i="16"/>
  <c r="DC437" i="16"/>
  <c r="EC279" i="16"/>
  <c r="DF441" i="16"/>
  <c r="DK465" i="16"/>
  <c r="DW455" i="16"/>
  <c r="EM177" i="16"/>
  <c r="ER213" i="16"/>
  <c r="EI105" i="16"/>
  <c r="DD514" i="16"/>
  <c r="DT258" i="16"/>
  <c r="EH73" i="16"/>
  <c r="EC55" i="16"/>
  <c r="DP344" i="16"/>
  <c r="DJ58" i="16"/>
  <c r="DB352" i="16"/>
  <c r="DP96" i="16"/>
  <c r="DA334" i="16"/>
  <c r="DQ325" i="16"/>
  <c r="DI151" i="16"/>
  <c r="CZ299" i="16"/>
  <c r="DL242" i="16"/>
  <c r="EQ129" i="16"/>
  <c r="DR199" i="16"/>
  <c r="DK516" i="16"/>
  <c r="DA365" i="16"/>
  <c r="DL172" i="16"/>
  <c r="DB336" i="16"/>
  <c r="DZ435" i="16"/>
  <c r="DQ430" i="16"/>
  <c r="DE405" i="16"/>
  <c r="EC388" i="16"/>
  <c r="EL330" i="16"/>
  <c r="DQ62" i="16"/>
  <c r="ES255" i="16"/>
  <c r="DI428" i="16"/>
  <c r="EB226" i="16"/>
  <c r="DM504" i="16"/>
  <c r="DS438" i="16"/>
  <c r="DY82" i="16"/>
  <c r="ED374" i="16"/>
  <c r="EL271" i="16"/>
  <c r="EC423" i="16"/>
  <c r="EF300" i="16"/>
  <c r="DT373" i="16"/>
  <c r="DY411" i="16"/>
  <c r="DU171" i="16"/>
  <c r="DK51" i="16"/>
  <c r="EA410" i="16"/>
  <c r="DQ93" i="16"/>
  <c r="DU185" i="16"/>
  <c r="EI212" i="16"/>
  <c r="ED253" i="16"/>
  <c r="DW476" i="16"/>
  <c r="DB508" i="16"/>
  <c r="EB248" i="16"/>
  <c r="EM293" i="16"/>
  <c r="DQ300" i="16"/>
  <c r="ES189" i="16"/>
  <c r="ES311" i="16"/>
  <c r="DH217" i="16"/>
  <c r="DI67" i="16"/>
  <c r="DH509" i="16"/>
  <c r="EE128" i="16"/>
  <c r="DN453" i="16"/>
  <c r="EQ480" i="16"/>
  <c r="EN351" i="16"/>
  <c r="CZ368" i="16"/>
  <c r="DX475" i="16"/>
  <c r="EI313" i="16"/>
  <c r="EH157" i="16"/>
  <c r="EO165" i="16"/>
  <c r="DC227" i="16"/>
  <c r="DL139" i="16"/>
  <c r="EQ120" i="16"/>
  <c r="DJ246" i="16"/>
  <c r="DD152" i="16"/>
  <c r="DI88" i="16"/>
  <c r="DX99" i="16"/>
  <c r="DQ466" i="16"/>
  <c r="EN249" i="16"/>
  <c r="EJ129" i="16"/>
  <c r="EB494" i="16"/>
  <c r="DI502" i="16"/>
  <c r="EO333" i="16"/>
  <c r="DC120" i="16"/>
  <c r="EI507" i="16"/>
  <c r="EC250" i="16"/>
  <c r="DG140" i="16"/>
  <c r="ED210" i="16"/>
  <c r="DE209" i="16"/>
  <c r="DE460" i="16"/>
  <c r="EQ268" i="16"/>
  <c r="DB467" i="16"/>
  <c r="DM438" i="16"/>
  <c r="DY278" i="16"/>
  <c r="EO269" i="16"/>
  <c r="DL167" i="16"/>
  <c r="DM211" i="16"/>
  <c r="DB179" i="16"/>
  <c r="EH55" i="16"/>
  <c r="DD461" i="16"/>
  <c r="DD368" i="16"/>
  <c r="DK242" i="16"/>
  <c r="DV312" i="16"/>
  <c r="EL313" i="16"/>
  <c r="DK238" i="16"/>
  <c r="DH404" i="16"/>
  <c r="EE123" i="16"/>
  <c r="DO292" i="16"/>
  <c r="EE263" i="16"/>
  <c r="EI71" i="16"/>
  <c r="EF173" i="16"/>
  <c r="DJ491" i="16"/>
  <c r="EN140" i="16"/>
  <c r="DM95" i="16"/>
  <c r="EH486" i="16"/>
  <c r="DR407" i="16"/>
  <c r="DX72" i="16"/>
  <c r="DE256" i="16"/>
  <c r="DB491" i="16"/>
  <c r="DF473" i="16"/>
  <c r="DK222" i="16"/>
  <c r="EM232" i="16"/>
  <c r="DD476" i="16"/>
  <c r="DC68" i="16"/>
  <c r="EE115" i="16"/>
  <c r="DL351" i="16"/>
  <c r="DR456" i="16"/>
  <c r="DW210" i="16"/>
  <c r="EK169" i="16"/>
  <c r="CZ364" i="16"/>
  <c r="DK299" i="16"/>
  <c r="EA212" i="16"/>
  <c r="DM117" i="16"/>
  <c r="EC121" i="16"/>
  <c r="DX107" i="16"/>
  <c r="EH473" i="16"/>
  <c r="EB84" i="16"/>
  <c r="EB421" i="16"/>
  <c r="DY422" i="16"/>
  <c r="DI413" i="16"/>
  <c r="DS457" i="16"/>
  <c r="EI380" i="16"/>
  <c r="EM184" i="16"/>
  <c r="EA266" i="16"/>
  <c r="ER158" i="16"/>
  <c r="DM507" i="16"/>
  <c r="EQ191" i="16"/>
  <c r="DV185" i="16"/>
  <c r="DN514" i="16"/>
  <c r="DB141" i="16"/>
  <c r="DT256" i="16"/>
  <c r="EP254" i="16"/>
  <c r="ED269" i="16"/>
  <c r="DT266" i="16"/>
  <c r="EF368" i="16"/>
  <c r="DX374" i="16"/>
  <c r="EH215" i="16"/>
  <c r="DO317" i="16"/>
  <c r="DP323" i="16"/>
  <c r="DF221" i="16"/>
  <c r="EF362" i="16"/>
  <c r="DP80" i="16"/>
  <c r="DV459" i="16"/>
  <c r="DV503" i="16"/>
  <c r="DX260" i="16"/>
  <c r="EC427" i="16"/>
  <c r="DQ70" i="16"/>
  <c r="EM173" i="16"/>
  <c r="EK220" i="16"/>
  <c r="EK70" i="16"/>
  <c r="EJ514" i="16"/>
  <c r="DT144" i="16"/>
  <c r="EP288" i="16"/>
  <c r="EI185" i="16"/>
  <c r="DH516" i="16"/>
  <c r="DP466" i="16"/>
  <c r="EB373" i="16"/>
  <c r="DL458" i="16"/>
  <c r="DA281" i="16"/>
  <c r="DR246" i="16"/>
  <c r="ED247" i="16"/>
  <c r="DP290" i="16"/>
  <c r="EB355" i="16"/>
  <c r="DH384" i="16"/>
  <c r="DM316" i="16"/>
  <c r="EJ481" i="16"/>
  <c r="DB216" i="16"/>
  <c r="EJ322" i="16"/>
  <c r="DK477" i="16"/>
  <c r="EE365" i="16"/>
  <c r="EP462" i="16"/>
  <c r="DX112" i="16"/>
  <c r="EE409" i="16"/>
  <c r="DT219" i="16"/>
  <c r="CZ468" i="16"/>
  <c r="ED458" i="16"/>
  <c r="EE357" i="16"/>
  <c r="DF423" i="16"/>
  <c r="DP509" i="16"/>
  <c r="EH301" i="16"/>
  <c r="DC195" i="16"/>
  <c r="DF324" i="16"/>
  <c r="EJ359" i="16"/>
  <c r="EI120" i="16"/>
  <c r="CZ374" i="16"/>
  <c r="DN237" i="16"/>
  <c r="EH475" i="16"/>
  <c r="DG258" i="16"/>
  <c r="DQ473" i="16"/>
  <c r="EG257" i="16"/>
  <c r="EQ511" i="16"/>
  <c r="EL350" i="16"/>
  <c r="ER322" i="16"/>
  <c r="DI246" i="16"/>
  <c r="DT491" i="16"/>
  <c r="EC256" i="16"/>
  <c r="EM57" i="16"/>
  <c r="DM329" i="16"/>
  <c r="DR475" i="16"/>
  <c r="EL89" i="16"/>
  <c r="DG66" i="16"/>
  <c r="EC269" i="16"/>
  <c r="DK335" i="16"/>
  <c r="DF317" i="16"/>
  <c r="DI166" i="16"/>
  <c r="DD470" i="16"/>
  <c r="DU449" i="16"/>
  <c r="DH373" i="16"/>
  <c r="EL423" i="16"/>
  <c r="CZ80" i="16"/>
  <c r="DN365" i="16"/>
  <c r="DI479" i="16"/>
  <c r="DV486" i="16"/>
  <c r="EA166" i="16"/>
  <c r="DP54" i="16"/>
  <c r="DQ69" i="16"/>
  <c r="DX317" i="16"/>
  <c r="EQ234" i="16"/>
  <c r="DM368" i="16"/>
  <c r="DW475" i="16"/>
  <c r="DK294" i="16"/>
  <c r="ED359" i="16"/>
  <c r="EI446" i="16"/>
  <c r="DD202" i="16"/>
  <c r="EK376" i="16"/>
  <c r="DK383" i="16"/>
  <c r="DV379" i="16"/>
  <c r="DA173" i="16"/>
  <c r="DO249" i="16"/>
  <c r="EB143" i="16"/>
  <c r="EL452" i="16"/>
  <c r="DY401" i="16"/>
  <c r="EQ295" i="16"/>
  <c r="EH363" i="16"/>
  <c r="DQ247" i="16"/>
  <c r="DJ455" i="16"/>
  <c r="DW127" i="16"/>
  <c r="ED261" i="16"/>
  <c r="EG217" i="16"/>
  <c r="CZ422" i="16"/>
  <c r="EI439" i="16"/>
  <c r="ES300" i="16"/>
  <c r="EB111" i="16"/>
  <c r="EB149" i="16"/>
  <c r="DN107" i="16"/>
  <c r="DV353" i="16"/>
  <c r="DS465" i="16"/>
  <c r="EN430" i="16"/>
  <c r="EC364" i="16"/>
  <c r="DX371" i="16"/>
  <c r="EB479" i="16"/>
  <c r="EF324" i="16"/>
  <c r="DC324" i="16"/>
  <c r="DB83" i="16"/>
  <c r="DV91" i="16"/>
  <c r="DP511" i="16"/>
  <c r="DI204" i="16"/>
  <c r="EE228" i="16"/>
  <c r="DB108" i="16"/>
  <c r="ES199" i="16"/>
  <c r="DM164" i="16"/>
  <c r="EN179" i="16"/>
  <c r="EK366" i="16"/>
  <c r="DM440" i="16"/>
  <c r="EE399" i="16"/>
  <c r="EJ171" i="16"/>
  <c r="EK384" i="16"/>
  <c r="DF56" i="16"/>
  <c r="DJ64" i="16"/>
  <c r="DU360" i="16"/>
  <c r="EO204" i="16"/>
  <c r="EI515" i="16"/>
  <c r="DS112" i="16"/>
  <c r="DO88" i="16"/>
  <c r="DY98" i="16"/>
  <c r="EH179" i="16"/>
  <c r="DV106" i="16"/>
  <c r="DH70" i="16"/>
  <c r="EE278" i="16"/>
  <c r="DX162" i="16"/>
  <c r="DB460" i="16"/>
  <c r="EC148" i="16"/>
  <c r="DI120" i="16"/>
  <c r="DB114" i="16"/>
  <c r="DH262" i="16"/>
  <c r="DC481" i="16"/>
  <c r="DR315" i="16"/>
  <c r="DS392" i="16"/>
  <c r="EB364" i="16"/>
  <c r="DD434" i="16"/>
  <c r="DG189" i="16"/>
  <c r="EI415" i="16"/>
  <c r="DS450" i="16"/>
  <c r="DA212" i="16"/>
  <c r="DD71" i="16"/>
  <c r="DE295" i="16"/>
  <c r="EK437" i="16"/>
  <c r="DP325" i="16"/>
  <c r="EM119" i="16"/>
  <c r="EN482" i="16"/>
  <c r="DQ409" i="16"/>
  <c r="DV425" i="16"/>
  <c r="DH173" i="16"/>
  <c r="DU120" i="16"/>
  <c r="EF348" i="16"/>
  <c r="DC371" i="16"/>
  <c r="DN191" i="16"/>
  <c r="DQ438" i="16"/>
  <c r="DK144" i="16"/>
  <c r="DI233" i="16"/>
  <c r="DM298" i="16"/>
  <c r="DU253" i="16"/>
  <c r="EL207" i="16"/>
  <c r="DE465" i="16"/>
  <c r="EC399" i="16"/>
  <c r="DU151" i="16"/>
  <c r="DD352" i="16"/>
  <c r="DK407" i="16"/>
  <c r="DE386" i="16"/>
  <c r="DW355" i="16"/>
  <c r="EI412" i="16"/>
  <c r="DF433" i="16"/>
  <c r="DR222" i="16"/>
  <c r="DZ279" i="16"/>
  <c r="EQ159" i="16"/>
  <c r="DF490" i="16"/>
  <c r="EI128" i="16"/>
  <c r="DA119" i="16"/>
  <c r="EL133" i="16"/>
  <c r="DN492" i="16"/>
  <c r="DP403" i="16"/>
  <c r="EA506" i="16"/>
  <c r="DQ392" i="16"/>
  <c r="EJ440" i="16"/>
  <c r="EB235" i="16"/>
  <c r="DK54" i="16"/>
  <c r="DW275" i="16"/>
  <c r="EO238" i="16"/>
  <c r="DP134" i="16"/>
  <c r="EC299" i="16"/>
  <c r="DE217" i="16"/>
  <c r="EH204" i="16"/>
  <c r="EH140" i="16"/>
  <c r="DJ157" i="16"/>
  <c r="DL311" i="16"/>
  <c r="DH280" i="16"/>
  <c r="EN456" i="16"/>
  <c r="EI291" i="16"/>
  <c r="EG407" i="16"/>
  <c r="EP247" i="16"/>
  <c r="EC273" i="16"/>
  <c r="DM430" i="16"/>
  <c r="DA241" i="16"/>
  <c r="DL384" i="16"/>
  <c r="ES275" i="16"/>
  <c r="DX373" i="16"/>
  <c r="DR342" i="16"/>
  <c r="DO49" i="16"/>
  <c r="EJ408" i="16"/>
  <c r="EI134" i="16"/>
  <c r="DH274" i="16"/>
  <c r="DM267" i="16"/>
  <c r="EG87" i="16"/>
  <c r="EG515" i="16"/>
  <c r="EB446" i="16"/>
  <c r="EK342" i="16"/>
  <c r="DU475" i="16"/>
  <c r="EQ239" i="16"/>
  <c r="DH107" i="16"/>
  <c r="DE410" i="16"/>
  <c r="EI471" i="16"/>
  <c r="EI427" i="16"/>
  <c r="DK342" i="16"/>
  <c r="DC126" i="16"/>
  <c r="DD262" i="16"/>
  <c r="DG474" i="16"/>
  <c r="DW495" i="16"/>
  <c r="DB264" i="16"/>
  <c r="EE252" i="16"/>
  <c r="DD477" i="16"/>
  <c r="DZ243" i="16"/>
  <c r="EQ66" i="16"/>
  <c r="DB194" i="16"/>
  <c r="ES116" i="16"/>
  <c r="EO105" i="16"/>
  <c r="DO322" i="16"/>
  <c r="EC497" i="16"/>
  <c r="DE319" i="16"/>
  <c r="ER365" i="16"/>
  <c r="EP83" i="16"/>
  <c r="EM416" i="16"/>
  <c r="ER290" i="16"/>
  <c r="EE449" i="16"/>
  <c r="DI149" i="16"/>
  <c r="DC283" i="16"/>
  <c r="EM227" i="16"/>
  <c r="EP460" i="16"/>
  <c r="DD210" i="16"/>
  <c r="DI261" i="16"/>
  <c r="DQ352" i="16"/>
  <c r="DX320" i="16"/>
  <c r="EF93" i="16"/>
  <c r="DL258" i="16"/>
  <c r="DW278" i="16"/>
  <c r="ED305" i="16"/>
  <c r="EP219" i="16"/>
  <c r="ED487" i="16"/>
  <c r="DI207" i="16"/>
  <c r="EA188" i="16"/>
  <c r="EP473" i="16"/>
  <c r="DC377" i="16"/>
  <c r="EH103" i="16"/>
  <c r="DB275" i="16"/>
  <c r="DW114" i="16"/>
  <c r="DA197" i="16"/>
  <c r="DG511" i="16"/>
  <c r="DE282" i="16"/>
  <c r="EF354" i="16"/>
  <c r="EA120" i="16"/>
  <c r="EQ422" i="16"/>
  <c r="ER184" i="16"/>
  <c r="DF295" i="16"/>
  <c r="EQ115" i="16"/>
  <c r="DB79" i="16"/>
  <c r="DE366" i="16"/>
  <c r="EP216" i="16"/>
  <c r="EN329" i="16"/>
  <c r="DN275" i="16"/>
  <c r="DG418" i="16"/>
  <c r="EI141" i="16"/>
  <c r="DG293" i="16"/>
  <c r="DO388" i="16"/>
  <c r="DZ489" i="16"/>
  <c r="DO53" i="16"/>
  <c r="EL384" i="16"/>
  <c r="DH175" i="16"/>
  <c r="DA445" i="16"/>
  <c r="EG369" i="16"/>
  <c r="EO148" i="16"/>
  <c r="ED474" i="16"/>
  <c r="EB404" i="16"/>
  <c r="DL299" i="16"/>
  <c r="ES244" i="16"/>
  <c r="EN209" i="16"/>
  <c r="DF63" i="16"/>
  <c r="CZ431" i="16"/>
  <c r="ES140" i="16"/>
  <c r="DW505" i="16"/>
  <c r="EG265" i="16"/>
  <c r="CZ258" i="16"/>
  <c r="DY165" i="16"/>
  <c r="EB252" i="16"/>
  <c r="ES470" i="16"/>
  <c r="DC334" i="16"/>
  <c r="EI416" i="16"/>
  <c r="DV453" i="16"/>
  <c r="EN176" i="16"/>
  <c r="DC265" i="16"/>
  <c r="EM110" i="16"/>
  <c r="ER297" i="16"/>
  <c r="EP313" i="16"/>
  <c r="EA306" i="16"/>
  <c r="DZ132" i="16"/>
  <c r="ER53" i="16"/>
  <c r="DR513" i="16"/>
  <c r="DX404" i="16"/>
  <c r="DE52" i="16"/>
  <c r="EP94" i="16"/>
  <c r="EF73" i="16"/>
  <c r="EL112" i="16"/>
  <c r="EN200" i="16"/>
  <c r="DG268" i="16"/>
  <c r="CZ142" i="16"/>
  <c r="DA82" i="16"/>
  <c r="DU361" i="16"/>
  <c r="DU142" i="16"/>
  <c r="EG438" i="16"/>
  <c r="DC337" i="16"/>
  <c r="EO272" i="16"/>
  <c r="EQ344" i="16"/>
  <c r="EI400" i="16"/>
  <c r="EM118" i="16"/>
  <c r="DH385" i="16"/>
  <c r="DB188" i="16"/>
  <c r="EA509" i="16"/>
  <c r="EO184" i="16"/>
  <c r="DV418" i="16"/>
  <c r="DZ93" i="16"/>
  <c r="CZ122" i="16"/>
  <c r="EI315" i="16"/>
  <c r="ER237" i="16"/>
  <c r="DU83" i="16"/>
  <c r="DT55" i="16"/>
  <c r="EM239" i="16"/>
  <c r="ER423" i="16"/>
  <c r="DM326" i="16"/>
  <c r="EH94" i="16"/>
  <c r="EE382" i="16"/>
  <c r="CZ260" i="16"/>
  <c r="EI362" i="16"/>
  <c r="DD108" i="16"/>
  <c r="EQ271" i="16"/>
  <c r="DN409" i="16"/>
  <c r="DS366" i="16"/>
  <c r="DN311" i="16"/>
  <c r="EA99" i="16"/>
  <c r="EB72" i="16"/>
  <c r="DB301" i="16"/>
  <c r="DM320" i="16"/>
  <c r="ED504" i="16"/>
  <c r="EQ278" i="16"/>
  <c r="DP447" i="16"/>
  <c r="EK172" i="16"/>
  <c r="EC463" i="16"/>
  <c r="DK409" i="16"/>
  <c r="DI516" i="16"/>
  <c r="ER294" i="16"/>
  <c r="CZ108" i="16"/>
  <c r="DB112" i="16"/>
  <c r="ED398" i="16"/>
  <c r="EA318" i="16"/>
  <c r="DR324" i="16"/>
  <c r="DX80" i="16"/>
  <c r="CZ449" i="16"/>
  <c r="DL152" i="16"/>
  <c r="EI50" i="16"/>
  <c r="EI502" i="16"/>
  <c r="EH398" i="16"/>
  <c r="DE129" i="16"/>
  <c r="EH377" i="16"/>
  <c r="DH198" i="16"/>
  <c r="EI481" i="16"/>
  <c r="EA220" i="16"/>
  <c r="EC266" i="16"/>
  <c r="EQ202" i="16"/>
  <c r="EC330" i="16"/>
  <c r="EN326" i="16"/>
  <c r="DE285" i="16"/>
  <c r="EE74" i="16"/>
  <c r="CZ176" i="16"/>
  <c r="EJ459" i="16"/>
  <c r="EM389" i="16"/>
  <c r="EJ102" i="16"/>
  <c r="DK286" i="16"/>
  <c r="EI196" i="16"/>
  <c r="ED142" i="16"/>
  <c r="ED279" i="16"/>
  <c r="DY90" i="16"/>
  <c r="EL222" i="16"/>
  <c r="EC339" i="16"/>
  <c r="DR394" i="16"/>
  <c r="DW364" i="16"/>
  <c r="DD510" i="16"/>
  <c r="EO244" i="16"/>
  <c r="DV141" i="16"/>
  <c r="DG393" i="16"/>
  <c r="DO319" i="16"/>
  <c r="EK231" i="16"/>
  <c r="ES320" i="16"/>
  <c r="EI69" i="16"/>
  <c r="DY447" i="16"/>
  <c r="ED409" i="16"/>
  <c r="EI91" i="16"/>
  <c r="DY264" i="16"/>
  <c r="DR251" i="16"/>
  <c r="DL460" i="16"/>
  <c r="DI157" i="16"/>
  <c r="EA378" i="16"/>
  <c r="EP322" i="16"/>
  <c r="DX414" i="16"/>
  <c r="EQ291" i="16"/>
  <c r="EA384" i="16"/>
  <c r="ER157" i="16"/>
  <c r="DN143" i="16"/>
  <c r="DD378" i="16"/>
  <c r="EB449" i="16"/>
  <c r="DG72" i="16"/>
  <c r="DF450" i="16"/>
  <c r="DJ128" i="16"/>
  <c r="EC477" i="16"/>
  <c r="EO343" i="16"/>
  <c r="DC59" i="16"/>
  <c r="EH242" i="16"/>
  <c r="DR487" i="16"/>
  <c r="DG480" i="16"/>
  <c r="DW289" i="16"/>
  <c r="DK364" i="16"/>
  <c r="DD366" i="16"/>
  <c r="DI452" i="16"/>
  <c r="EG213" i="16"/>
  <c r="DD398" i="16"/>
  <c r="EC70" i="16"/>
  <c r="EA176" i="16"/>
  <c r="DJ288" i="16"/>
  <c r="ED415" i="16"/>
  <c r="EB260" i="16"/>
  <c r="DW174" i="16"/>
  <c r="DL442" i="16"/>
  <c r="EQ151" i="16"/>
  <c r="EH504" i="16"/>
  <c r="DJ501" i="16"/>
  <c r="DA415" i="16"/>
  <c r="EM156" i="16"/>
  <c r="EN116" i="16"/>
  <c r="DY52" i="16"/>
  <c r="EQ416" i="16"/>
  <c r="DF357" i="16"/>
  <c r="EC212" i="16"/>
  <c r="CZ288" i="16"/>
  <c r="DG303" i="16"/>
  <c r="DI200" i="16"/>
  <c r="DS440" i="16"/>
  <c r="DN291" i="16"/>
  <c r="DD456" i="16"/>
  <c r="DK305" i="16"/>
  <c r="DA223" i="16"/>
  <c r="DX165" i="16"/>
  <c r="DW209" i="16"/>
  <c r="EQ81" i="16"/>
  <c r="DF122" i="16"/>
  <c r="DB221" i="16"/>
  <c r="DH461" i="16"/>
  <c r="DE266" i="16"/>
  <c r="CZ393" i="16"/>
  <c r="EA443" i="16"/>
  <c r="ED169" i="16"/>
  <c r="EL311" i="16"/>
  <c r="EJ270" i="16"/>
  <c r="EB474" i="16"/>
  <c r="DB244" i="16"/>
  <c r="EL337" i="16"/>
  <c r="EK135" i="16"/>
  <c r="DY470" i="16"/>
  <c r="DI259" i="16"/>
  <c r="DU193" i="16"/>
  <c r="DJ60" i="16"/>
  <c r="EB201" i="16"/>
  <c r="DN213" i="16"/>
  <c r="DU263" i="16"/>
  <c r="DW319" i="16"/>
  <c r="EK412" i="16"/>
  <c r="EO97" i="16"/>
  <c r="EJ283" i="16"/>
  <c r="DY414" i="16"/>
  <c r="EP457" i="16"/>
  <c r="EP331" i="16"/>
  <c r="EN120" i="16"/>
  <c r="ED110" i="16"/>
  <c r="DQ440" i="16"/>
  <c r="EC211" i="16"/>
  <c r="ED331" i="16"/>
  <c r="EH275" i="16"/>
  <c r="DA405" i="16"/>
  <c r="DI129" i="16"/>
  <c r="ES379" i="16"/>
  <c r="DM483" i="16"/>
  <c r="DL268" i="16"/>
  <c r="DV108" i="16"/>
  <c r="DB388" i="16"/>
  <c r="DM172" i="16"/>
  <c r="EK417" i="16"/>
  <c r="DG278" i="16"/>
  <c r="DI295" i="16"/>
  <c r="DK468" i="16"/>
  <c r="DT457" i="16"/>
  <c r="DY433" i="16"/>
  <c r="DK320" i="16"/>
  <c r="DT177" i="16"/>
  <c r="ED151" i="16"/>
  <c r="DU424" i="16"/>
  <c r="EJ207" i="16"/>
  <c r="DQ307" i="16"/>
  <c r="EF94" i="16"/>
  <c r="DC331" i="16"/>
  <c r="EI442" i="16"/>
  <c r="EP58" i="16"/>
  <c r="EP403" i="16"/>
  <c r="EG353" i="16"/>
  <c r="EJ405" i="16"/>
  <c r="DU356" i="16"/>
  <c r="EK475" i="16"/>
  <c r="DE219" i="16"/>
  <c r="DS334" i="16"/>
  <c r="DT464" i="16"/>
  <c r="DV320" i="16"/>
  <c r="DA231" i="16"/>
  <c r="DV250" i="16"/>
  <c r="DQ355" i="16"/>
  <c r="EO199" i="16"/>
  <c r="EA451" i="16"/>
  <c r="DQ441" i="16"/>
  <c r="DH320" i="16"/>
  <c r="DC85" i="16"/>
  <c r="DB59" i="16"/>
  <c r="DA393" i="16"/>
  <c r="DG385" i="16"/>
  <c r="DQ144" i="16"/>
  <c r="DQ337" i="16"/>
  <c r="CZ83" i="16"/>
  <c r="EJ139" i="16"/>
  <c r="DD444" i="16"/>
  <c r="EB332" i="16"/>
  <c r="ER412" i="16"/>
  <c r="DA61" i="16"/>
  <c r="DN342" i="16"/>
  <c r="DK424" i="16"/>
  <c r="EO285" i="16"/>
  <c r="DC217" i="16"/>
  <c r="DN134" i="16"/>
  <c r="EA330" i="16"/>
  <c r="DO284" i="16"/>
  <c r="EB145" i="16"/>
  <c r="DS302" i="16"/>
  <c r="DZ337" i="16"/>
  <c r="DA433" i="16"/>
  <c r="EO309" i="16"/>
  <c r="EM234" i="16"/>
  <c r="DE367" i="16"/>
  <c r="EB242" i="16"/>
  <c r="EA289" i="16"/>
  <c r="DO257" i="16"/>
  <c r="EG421" i="16"/>
  <c r="DM274" i="16"/>
  <c r="DQ221" i="16"/>
  <c r="DQ227" i="16"/>
  <c r="DK380" i="16"/>
  <c r="DY508" i="16"/>
  <c r="DC93" i="16"/>
  <c r="DZ232" i="16"/>
  <c r="DR480" i="16"/>
  <c r="EE63" i="16"/>
  <c r="DJ445" i="16"/>
  <c r="DH284" i="16"/>
  <c r="EG128" i="16"/>
  <c r="EI234" i="16"/>
  <c r="EN64" i="16"/>
  <c r="EB375" i="16"/>
  <c r="EH304" i="16"/>
  <c r="EM301" i="16"/>
  <c r="EQ490" i="16"/>
  <c r="EL376" i="16"/>
  <c r="DE60" i="16"/>
  <c r="DO295" i="16"/>
  <c r="DM376" i="16"/>
  <c r="DG356" i="16"/>
  <c r="DI50" i="16"/>
  <c r="DQ76" i="16"/>
  <c r="DU80" i="16"/>
  <c r="EA308" i="16"/>
  <c r="EQ254" i="16"/>
  <c r="DB360" i="16"/>
  <c r="DO229" i="16"/>
  <c r="ED443" i="16"/>
  <c r="EJ419" i="16"/>
  <c r="DP429" i="16"/>
  <c r="ES78" i="16"/>
  <c r="EL214" i="16"/>
  <c r="EP498" i="16"/>
  <c r="DE464" i="16"/>
  <c r="EJ366" i="16"/>
  <c r="DZ422" i="16"/>
  <c r="EK114" i="16"/>
  <c r="EF223" i="16"/>
  <c r="EO57" i="16"/>
  <c r="EN201" i="16"/>
  <c r="DA395" i="16"/>
  <c r="EG365" i="16"/>
  <c r="DW82" i="16"/>
  <c r="EL172" i="16"/>
  <c r="DF444" i="16"/>
  <c r="EH265" i="16"/>
  <c r="DN182" i="16"/>
  <c r="EG472" i="16"/>
  <c r="EK175" i="16"/>
  <c r="DD296" i="16"/>
  <c r="EQ386" i="16"/>
  <c r="EH278" i="16"/>
  <c r="DS451" i="16"/>
  <c r="DB217" i="16"/>
  <c r="DQ294" i="16"/>
  <c r="EB227" i="16"/>
  <c r="DV217" i="16"/>
  <c r="ED268" i="16"/>
  <c r="ER473" i="16"/>
  <c r="EN132" i="16"/>
  <c r="DZ89" i="16"/>
  <c r="EM215" i="16"/>
  <c r="EK205" i="16"/>
  <c r="ES119" i="16"/>
  <c r="DQ316" i="16"/>
  <c r="EL115" i="16"/>
  <c r="DH312" i="16"/>
  <c r="EO66" i="16"/>
  <c r="DH493" i="16"/>
  <c r="DJ374" i="16"/>
  <c r="EG135" i="16"/>
  <c r="DK375" i="16"/>
  <c r="DY504" i="16"/>
  <c r="DE123" i="16"/>
  <c r="EL164" i="16"/>
  <c r="EA511" i="16"/>
  <c r="EP496" i="16"/>
  <c r="ED185" i="16"/>
  <c r="DL141" i="16"/>
  <c r="DW300" i="16"/>
  <c r="EA437" i="16"/>
  <c r="DY138" i="16"/>
  <c r="DB333" i="16"/>
  <c r="EM74" i="16"/>
  <c r="EK219" i="16"/>
  <c r="DT487" i="16"/>
  <c r="DD465" i="16"/>
  <c r="DQ498" i="16"/>
  <c r="EC338" i="16"/>
  <c r="ED361" i="16"/>
  <c r="EG140" i="16"/>
  <c r="DX287" i="16"/>
  <c r="EE398" i="16"/>
  <c r="DE477" i="16"/>
  <c r="EE434" i="16"/>
  <c r="DP69" i="16"/>
  <c r="DQ353" i="16"/>
  <c r="EQ369" i="16"/>
  <c r="EK53" i="16"/>
  <c r="DY391" i="16"/>
  <c r="EJ272" i="16"/>
  <c r="EF310" i="16"/>
  <c r="DL338" i="16"/>
  <c r="DN127" i="16"/>
  <c r="DD153" i="16"/>
  <c r="DZ438" i="16"/>
  <c r="DW162" i="16"/>
  <c r="DB334" i="16"/>
  <c r="EH192" i="16"/>
  <c r="EJ219" i="16"/>
  <c r="DA409" i="16"/>
  <c r="ES167" i="16"/>
  <c r="EA321" i="16"/>
  <c r="DN186" i="16"/>
  <c r="DG215" i="16"/>
  <c r="DK190" i="16"/>
  <c r="EN444" i="16"/>
  <c r="DE277" i="16"/>
  <c r="DW272" i="16"/>
  <c r="DF319" i="16"/>
  <c r="DG83" i="16"/>
  <c r="EJ291" i="16"/>
  <c r="DO420" i="16"/>
  <c r="EB429" i="16"/>
  <c r="DV302" i="16"/>
  <c r="EH422" i="16"/>
  <c r="EQ448" i="16"/>
  <c r="DQ452" i="16"/>
  <c r="CZ130" i="16"/>
  <c r="DJ69" i="16"/>
  <c r="DS200" i="16"/>
  <c r="DF392" i="16"/>
  <c r="DD224" i="16"/>
  <c r="DK89" i="16"/>
  <c r="DL427" i="16"/>
  <c r="EB325" i="16"/>
  <c r="DB454" i="16"/>
  <c r="EB469" i="16"/>
  <c r="EO320" i="16"/>
  <c r="EI277" i="16"/>
  <c r="EK241" i="16"/>
  <c r="DU134" i="16"/>
  <c r="DZ369" i="16"/>
  <c r="DJ382" i="16"/>
  <c r="DN185" i="16"/>
  <c r="EC141" i="16"/>
  <c r="EP197" i="16"/>
  <c r="DA127" i="16"/>
  <c r="EK279" i="16"/>
  <c r="EN106" i="16"/>
  <c r="DQ219" i="16"/>
  <c r="DK461" i="16"/>
  <c r="CZ207" i="16"/>
  <c r="EF391" i="16"/>
  <c r="EA395" i="16"/>
  <c r="DZ469" i="16"/>
  <c r="EI86" i="16"/>
  <c r="DE419" i="16"/>
  <c r="DW283" i="16"/>
  <c r="DB129" i="16"/>
  <c r="DO364" i="16"/>
  <c r="EO219" i="16"/>
  <c r="EC258" i="16"/>
  <c r="EH460" i="16"/>
  <c r="EK151" i="16"/>
  <c r="ED313" i="16"/>
  <c r="DA149" i="16"/>
  <c r="DD347" i="16"/>
  <c r="DE55" i="16"/>
  <c r="DH306" i="16"/>
  <c r="EB219" i="16"/>
  <c r="DF454" i="16"/>
  <c r="DG85" i="16"/>
  <c r="ER49" i="16"/>
  <c r="DC483" i="16"/>
  <c r="DP334" i="16"/>
  <c r="DB401" i="16"/>
  <c r="EJ211" i="16"/>
  <c r="EP515" i="16"/>
  <c r="EG474" i="16"/>
  <c r="CZ96" i="16"/>
  <c r="DH341" i="16"/>
  <c r="EL280" i="16"/>
  <c r="ER263" i="16"/>
  <c r="EA319" i="16"/>
  <c r="EP405" i="16"/>
  <c r="DS125" i="16"/>
  <c r="DE482" i="16"/>
  <c r="DI62" i="16"/>
  <c r="DK321" i="16"/>
  <c r="EC245" i="16"/>
  <c r="EK269" i="16"/>
  <c r="EN210" i="16"/>
  <c r="EG350" i="16"/>
  <c r="EL181" i="16"/>
  <c r="DJ182" i="16"/>
  <c r="EL162" i="16"/>
  <c r="DH489" i="16"/>
  <c r="DY353" i="16"/>
  <c r="EA338" i="16"/>
  <c r="DM353" i="16"/>
  <c r="EE292" i="16"/>
  <c r="EA200" i="16"/>
  <c r="EH268" i="16"/>
  <c r="DL297" i="16"/>
  <c r="DS58" i="16"/>
  <c r="ED73" i="16"/>
  <c r="DS381" i="16"/>
  <c r="ES76" i="16"/>
  <c r="DW483" i="16"/>
  <c r="CZ469" i="16"/>
  <c r="DJ151" i="16"/>
  <c r="DB288" i="16"/>
  <c r="EG423" i="16"/>
  <c r="DJ444" i="16"/>
  <c r="DP510" i="16"/>
  <c r="EJ75" i="16"/>
  <c r="DT319" i="16"/>
  <c r="EC436" i="16"/>
  <c r="EG275" i="16"/>
  <c r="EC434" i="16"/>
  <c r="EF211" i="16"/>
  <c r="EB200" i="16"/>
  <c r="DZ506" i="16"/>
  <c r="DK490" i="16"/>
  <c r="ER266" i="16"/>
  <c r="DI371" i="16"/>
  <c r="DN253" i="16"/>
  <c r="DK157" i="16"/>
  <c r="DV337" i="16"/>
  <c r="EP451" i="16"/>
  <c r="ER221" i="16"/>
  <c r="EI309" i="16"/>
  <c r="EB347" i="16"/>
  <c r="DK230" i="16"/>
  <c r="DX336" i="16"/>
  <c r="ER400" i="16"/>
  <c r="DS162" i="16"/>
  <c r="EI181" i="16"/>
  <c r="DP288" i="16"/>
  <c r="DT344" i="16"/>
  <c r="DT513" i="16"/>
  <c r="EB391" i="16"/>
  <c r="DJ324" i="16"/>
  <c r="DZ203" i="16"/>
  <c r="DM402" i="16"/>
  <c r="DB504" i="16"/>
  <c r="DQ398" i="16"/>
  <c r="EJ222" i="16"/>
  <c r="DN203" i="16"/>
  <c r="EN390" i="16"/>
  <c r="EM401" i="16"/>
  <c r="EE329" i="16"/>
  <c r="DP505" i="16"/>
  <c r="DY312" i="16"/>
  <c r="DL102" i="16"/>
  <c r="DE263" i="16"/>
  <c r="DU184" i="16"/>
  <c r="DA148" i="16"/>
  <c r="DJ399" i="16"/>
  <c r="EF466" i="16"/>
  <c r="DN245" i="16"/>
  <c r="ER304" i="16"/>
  <c r="ER105" i="16"/>
  <c r="EL53" i="16"/>
  <c r="DB347" i="16"/>
  <c r="EL439" i="16"/>
  <c r="EP60" i="16"/>
  <c r="EK235" i="16"/>
  <c r="DI400" i="16"/>
  <c r="DA236" i="16"/>
  <c r="EN153" i="16"/>
  <c r="EL408" i="16"/>
  <c r="DV283" i="16"/>
  <c r="DK336" i="16"/>
  <c r="EG454" i="16"/>
  <c r="EC422" i="16"/>
  <c r="ED515" i="16"/>
  <c r="DF355" i="16"/>
  <c r="DA289" i="16"/>
  <c r="DP264" i="16"/>
  <c r="DN486" i="16"/>
  <c r="DI144" i="16"/>
  <c r="DD380" i="16"/>
  <c r="DF247" i="16"/>
  <c r="DV194" i="16"/>
  <c r="EO387" i="16"/>
  <c r="EA79" i="16"/>
  <c r="DG435" i="16"/>
  <c r="DY406" i="16"/>
  <c r="DH417" i="16"/>
  <c r="DY460" i="16"/>
  <c r="CZ478" i="16"/>
  <c r="DQ234" i="16"/>
  <c r="DY448" i="16"/>
  <c r="DW304" i="16"/>
  <c r="EF429" i="16"/>
  <c r="EB283" i="16"/>
  <c r="EC196" i="16"/>
  <c r="DZ486" i="16"/>
  <c r="DT171" i="16"/>
  <c r="DX498" i="16"/>
  <c r="EJ66" i="16"/>
  <c r="EK61" i="16"/>
  <c r="DD246" i="16"/>
  <c r="EF329" i="16"/>
  <c r="EA482" i="16"/>
  <c r="EN405" i="16"/>
  <c r="DG449" i="16"/>
  <c r="ES120" i="16"/>
  <c r="CZ319" i="16"/>
  <c r="EE412" i="16"/>
  <c r="DV233" i="16"/>
  <c r="EF420" i="16"/>
  <c r="ED257" i="16"/>
  <c r="EH126" i="16"/>
  <c r="EG134" i="16"/>
  <c r="DU324" i="16"/>
  <c r="DY163" i="16"/>
  <c r="ED498" i="16"/>
  <c r="EG509" i="16"/>
  <c r="EQ299" i="16"/>
  <c r="DB103" i="16"/>
  <c r="DX238" i="16"/>
  <c r="DB60" i="16"/>
  <c r="DU404" i="16"/>
  <c r="DE116" i="16"/>
  <c r="DS138" i="16"/>
  <c r="EJ360" i="16"/>
  <c r="DF420" i="16"/>
  <c r="ED392" i="16"/>
  <c r="EH299" i="16"/>
  <c r="DS119" i="16"/>
  <c r="DG368" i="16"/>
  <c r="DE411" i="16"/>
  <c r="EB141" i="16"/>
  <c r="ER413" i="16"/>
  <c r="DC453" i="16"/>
  <c r="DB496" i="16"/>
  <c r="EL105" i="16"/>
  <c r="CZ346" i="16"/>
  <c r="ED315" i="16"/>
  <c r="EM438" i="16"/>
  <c r="DI331" i="16"/>
  <c r="DS354" i="16"/>
  <c r="ED171" i="16"/>
  <c r="DR463" i="16"/>
  <c r="EQ395" i="16"/>
  <c r="EN111" i="16"/>
  <c r="DK65" i="16"/>
  <c r="DV392" i="16"/>
  <c r="DO424" i="16"/>
  <c r="EI250" i="16"/>
  <c r="EK246" i="16"/>
  <c r="ED377" i="16"/>
  <c r="EH247" i="16"/>
  <c r="DX466" i="16"/>
  <c r="DC392" i="16"/>
  <c r="ER463" i="16"/>
  <c r="DX57" i="16"/>
  <c r="ED192" i="16"/>
  <c r="DH114" i="16"/>
  <c r="EO432" i="16"/>
  <c r="DE300" i="16"/>
  <c r="EF400" i="16"/>
  <c r="DO259" i="16"/>
  <c r="EJ432" i="16"/>
  <c r="DZ454" i="16"/>
  <c r="EH429" i="16"/>
  <c r="EG89" i="16"/>
  <c r="DM305" i="16"/>
  <c r="DE103" i="16"/>
  <c r="ED95" i="16"/>
  <c r="DA446" i="16"/>
  <c r="DA447" i="16"/>
  <c r="EM421" i="16"/>
  <c r="ES160" i="16"/>
  <c r="DI202" i="16"/>
  <c r="ER112" i="16"/>
  <c r="DA496" i="16"/>
  <c r="DR184" i="16"/>
  <c r="EF247" i="16"/>
  <c r="DZ247" i="16"/>
  <c r="EF495" i="16"/>
  <c r="EI100" i="16"/>
  <c r="DA77" i="16"/>
  <c r="DY454" i="16"/>
  <c r="EG323" i="16"/>
  <c r="DC114" i="16"/>
  <c r="DJ305" i="16"/>
  <c r="EC64" i="16"/>
  <c r="EC218" i="16"/>
  <c r="EP95" i="16"/>
  <c r="DR464" i="16"/>
  <c r="EM384" i="16"/>
  <c r="DY375" i="16"/>
  <c r="EG204" i="16"/>
  <c r="DH183" i="16"/>
  <c r="DQ425" i="16"/>
  <c r="DZ273" i="16"/>
  <c r="DF311" i="16"/>
  <c r="EI413" i="16"/>
  <c r="ES230" i="16"/>
  <c r="DF503" i="16"/>
  <c r="EN181" i="16"/>
  <c r="EG304" i="16"/>
  <c r="DV508" i="16"/>
  <c r="DA427" i="16"/>
  <c r="DR175" i="16"/>
  <c r="DQ324" i="16"/>
  <c r="EC81" i="16"/>
  <c r="DM265" i="16"/>
  <c r="DN452" i="16"/>
  <c r="DG63" i="16"/>
  <c r="DA133" i="16"/>
  <c r="DV220" i="16"/>
  <c r="EB437" i="16"/>
  <c r="DX224" i="16"/>
  <c r="EJ121" i="16"/>
  <c r="ER408" i="16"/>
  <c r="DV444" i="16"/>
  <c r="DD497" i="16"/>
  <c r="DT359" i="16"/>
  <c r="EO242" i="16"/>
  <c r="EC220" i="16"/>
  <c r="EJ352" i="16"/>
  <c r="DW292" i="16"/>
  <c r="EP508" i="16"/>
  <c r="EK148" i="16"/>
  <c r="DD98" i="16"/>
  <c r="ER386" i="16"/>
  <c r="EH205" i="16"/>
  <c r="EA213" i="16"/>
  <c r="DM446" i="16"/>
  <c r="EL236" i="16"/>
  <c r="ES58" i="16"/>
  <c r="DA363" i="16"/>
  <c r="DU61" i="16"/>
  <c r="DV365" i="16"/>
  <c r="EF224" i="16"/>
  <c r="EL322" i="16"/>
  <c r="EJ482" i="16"/>
  <c r="DK367" i="16"/>
  <c r="DG512" i="16"/>
  <c r="EN259" i="16"/>
  <c r="DB261" i="16"/>
  <c r="DE404" i="16"/>
  <c r="ED388" i="16"/>
  <c r="EF197" i="16"/>
  <c r="DW287" i="16"/>
  <c r="DV432" i="16"/>
  <c r="DQ117" i="16"/>
  <c r="DB254" i="16"/>
  <c r="DV270" i="16"/>
  <c r="EQ458" i="16"/>
  <c r="DT221" i="16"/>
  <c r="DK332" i="16"/>
  <c r="DR228" i="16"/>
  <c r="EE354" i="16"/>
  <c r="ER98" i="16"/>
  <c r="DW135" i="16"/>
  <c r="DU303" i="16"/>
  <c r="EK217" i="16"/>
  <c r="DG328" i="16"/>
  <c r="DB513" i="16"/>
  <c r="DY468" i="16"/>
  <c r="DQ450" i="16"/>
  <c r="EA475" i="16"/>
  <c r="EP350" i="16"/>
  <c r="DB65" i="16"/>
  <c r="DY313" i="16"/>
  <c r="EN453" i="16"/>
  <c r="ER193" i="16"/>
  <c r="DQ478" i="16"/>
  <c r="DU447" i="16"/>
  <c r="DZ409" i="16"/>
  <c r="DM119" i="16"/>
  <c r="EA244" i="16"/>
  <c r="ES454" i="16"/>
  <c r="EO324" i="16"/>
  <c r="DY49" i="16"/>
  <c r="DS186" i="16"/>
  <c r="DD119" i="16"/>
  <c r="EE302" i="16"/>
  <c r="DC254" i="16"/>
  <c r="EB170" i="16"/>
  <c r="EP432" i="16"/>
  <c r="EA149" i="16"/>
  <c r="DR445" i="16"/>
  <c r="DP304" i="16"/>
  <c r="EH342" i="16"/>
  <c r="EF308" i="16"/>
  <c r="DN242" i="16"/>
  <c r="DK244" i="16"/>
  <c r="DV451" i="16"/>
  <c r="EF353" i="16"/>
  <c r="ED50" i="16"/>
  <c r="DS204" i="16"/>
  <c r="EI482" i="16"/>
  <c r="EE319" i="16"/>
  <c r="DL182" i="16"/>
  <c r="EP385" i="16"/>
  <c r="EH436" i="16"/>
  <c r="DZ123" i="16"/>
  <c r="EP282" i="16"/>
  <c r="EA363" i="16"/>
  <c r="DR179" i="16"/>
  <c r="EK365" i="16"/>
  <c r="DI190" i="16"/>
  <c r="ER343" i="16"/>
  <c r="DS372" i="16"/>
  <c r="EO142" i="16"/>
  <c r="DR511" i="16"/>
  <c r="DZ102" i="16"/>
  <c r="EQ235" i="16"/>
  <c r="EP423" i="16"/>
  <c r="DE424" i="16"/>
  <c r="DC497" i="16"/>
  <c r="DR52" i="16"/>
  <c r="DC467" i="16"/>
  <c r="CZ340" i="16"/>
  <c r="EF146" i="16"/>
  <c r="DO352" i="16"/>
  <c r="EN422" i="16"/>
  <c r="DE450" i="16"/>
  <c r="EB396" i="16"/>
  <c r="EM266" i="16"/>
  <c r="EP89" i="16"/>
  <c r="DO156" i="16"/>
  <c r="DQ79" i="16"/>
  <c r="EF385" i="16"/>
  <c r="DN259" i="16"/>
  <c r="DD359" i="16"/>
  <c r="EK473" i="16"/>
  <c r="DY442" i="16"/>
  <c r="EP220" i="16"/>
  <c r="DC241" i="16"/>
  <c r="DG384" i="16"/>
  <c r="DY387" i="16"/>
  <c r="DU437" i="16"/>
  <c r="DN477" i="16"/>
  <c r="EQ53" i="16"/>
  <c r="EC301" i="16"/>
  <c r="EO424" i="16"/>
  <c r="EF195" i="16"/>
  <c r="DY100" i="16"/>
  <c r="DH431" i="16"/>
  <c r="EM479" i="16"/>
  <c r="DA389" i="16"/>
  <c r="EJ225" i="16"/>
  <c r="EB192" i="16"/>
  <c r="EF147" i="16"/>
  <c r="EG436" i="16"/>
  <c r="DW225" i="16"/>
  <c r="DS393" i="16"/>
  <c r="EC133" i="16"/>
  <c r="DG374" i="16"/>
  <c r="DT260" i="16"/>
  <c r="DX87" i="16"/>
  <c r="EI275" i="16"/>
  <c r="DY130" i="16"/>
  <c r="EK145" i="16"/>
  <c r="DS194" i="16"/>
  <c r="DZ306" i="16"/>
  <c r="DC333" i="16"/>
  <c r="DZ347" i="16"/>
  <c r="EC170" i="16"/>
  <c r="EM174" i="16"/>
  <c r="DT127" i="16"/>
  <c r="DP267" i="16"/>
  <c r="EQ383" i="16"/>
  <c r="DK440" i="16"/>
  <c r="DA116" i="16"/>
  <c r="ER311" i="16"/>
  <c r="EN300" i="16"/>
  <c r="EJ444" i="16"/>
  <c r="EH138" i="16"/>
  <c r="DY270" i="16"/>
  <c r="DP378" i="16"/>
  <c r="EN138" i="16"/>
  <c r="DJ333" i="16"/>
  <c r="DX321" i="16"/>
  <c r="ED290" i="16"/>
  <c r="DX354" i="16"/>
  <c r="DJ278" i="16"/>
  <c r="DF469" i="16"/>
  <c r="DH92" i="16"/>
  <c r="EI322" i="16"/>
  <c r="DW395" i="16"/>
  <c r="EK233" i="16"/>
  <c r="EF379" i="16"/>
  <c r="DO362" i="16"/>
  <c r="ER355" i="16"/>
  <c r="DX460" i="16"/>
  <c r="DR264" i="16"/>
  <c r="EC120" i="16"/>
  <c r="DK418" i="16"/>
  <c r="DY426" i="16"/>
  <c r="DG102" i="16"/>
  <c r="DS515" i="16"/>
  <c r="EH446" i="16"/>
  <c r="EH230" i="16"/>
  <c r="EE172" i="16"/>
  <c r="DY206" i="16"/>
  <c r="DY379" i="16"/>
  <c r="EH390" i="16"/>
  <c r="DP97" i="16"/>
  <c r="DE257" i="16"/>
  <c r="DG503" i="16"/>
  <c r="ER176" i="16"/>
  <c r="DX194" i="16"/>
  <c r="DM235" i="16"/>
  <c r="DK359" i="16"/>
  <c r="DB351" i="16"/>
  <c r="EP195" i="16"/>
  <c r="DL64" i="16"/>
  <c r="EM135" i="16"/>
  <c r="DI219" i="16"/>
  <c r="EM356" i="16"/>
  <c r="DF159" i="16"/>
  <c r="DW413" i="16"/>
  <c r="EI135" i="16"/>
  <c r="EA165" i="16"/>
  <c r="ES498" i="16"/>
  <c r="EQ198" i="16"/>
  <c r="EA219" i="16"/>
  <c r="DB489" i="16"/>
  <c r="DM428" i="16"/>
  <c r="EI513" i="16"/>
  <c r="DT291" i="16"/>
  <c r="DX459" i="16"/>
  <c r="DR492" i="16"/>
  <c r="EP154" i="16"/>
  <c r="DU428" i="16"/>
  <c r="DI79" i="16"/>
  <c r="EH418" i="16"/>
  <c r="DR462" i="16"/>
  <c r="EK400" i="16"/>
  <c r="DH292" i="16"/>
  <c r="EA189" i="16"/>
  <c r="DT161" i="16"/>
  <c r="DL176" i="16"/>
  <c r="EB106" i="16"/>
  <c r="EF274" i="16"/>
  <c r="DW449" i="16"/>
  <c r="DL229" i="16"/>
  <c r="DH149" i="16"/>
  <c r="DJ433" i="16"/>
  <c r="EH167" i="16"/>
  <c r="DY187" i="16"/>
  <c r="DI74" i="16"/>
  <c r="DU487" i="16"/>
  <c r="DY121" i="16"/>
  <c r="DT514" i="16"/>
  <c r="EG306" i="16"/>
  <c r="ER275" i="16"/>
  <c r="EC315" i="16"/>
  <c r="DY445" i="16"/>
  <c r="EM298" i="16"/>
  <c r="DL390" i="16"/>
  <c r="DH233" i="16"/>
  <c r="DV234" i="16"/>
  <c r="DP430" i="16"/>
  <c r="EL75" i="16"/>
  <c r="DL352" i="16"/>
  <c r="DJ346" i="16"/>
  <c r="EF367" i="16"/>
  <c r="EF180" i="16"/>
  <c r="DI460" i="16"/>
  <c r="DZ478" i="16"/>
  <c r="DN280" i="16"/>
  <c r="EI170" i="16"/>
  <c r="EE481" i="16"/>
  <c r="EB376" i="16"/>
  <c r="ES68" i="16"/>
  <c r="DI426" i="16"/>
  <c r="DR75" i="16"/>
  <c r="EM399" i="16"/>
  <c r="DM486" i="16"/>
  <c r="DZ467" i="16"/>
  <c r="DN218" i="16"/>
  <c r="DV324" i="16"/>
  <c r="DY331" i="16"/>
  <c r="EO270" i="16"/>
  <c r="EH464" i="16"/>
  <c r="EK147" i="16"/>
  <c r="DX135" i="16"/>
  <c r="EN175" i="16"/>
  <c r="DI505" i="16"/>
  <c r="EG80" i="16"/>
  <c r="DE322" i="16"/>
  <c r="DH125" i="16"/>
  <c r="DP389" i="16"/>
  <c r="DD326" i="16"/>
  <c r="EE403" i="16"/>
  <c r="DF223" i="16"/>
  <c r="DM382" i="16"/>
  <c r="EJ398" i="16"/>
  <c r="CZ486" i="16"/>
  <c r="DA340" i="16"/>
  <c r="EB259" i="16"/>
  <c r="DU465" i="16"/>
  <c r="DJ388" i="16"/>
  <c r="EF449" i="16"/>
  <c r="DT324" i="16"/>
  <c r="DR458" i="16"/>
  <c r="DD185" i="16"/>
  <c r="DH104" i="16"/>
  <c r="DK130" i="16"/>
  <c r="DK129" i="16"/>
  <c r="DO408" i="16"/>
  <c r="EQ155" i="16"/>
  <c r="ED119" i="16"/>
  <c r="DW450" i="16"/>
  <c r="EN439" i="16"/>
  <c r="DI353" i="16"/>
  <c r="EC284" i="16"/>
  <c r="DW433" i="16"/>
  <c r="DG281" i="16"/>
  <c r="CZ514" i="16"/>
  <c r="CZ416" i="16"/>
  <c r="ER63" i="16"/>
  <c r="DS332" i="16"/>
  <c r="DF364" i="16"/>
  <c r="DA450" i="16"/>
  <c r="ED390" i="16"/>
  <c r="EB471" i="16"/>
  <c r="DT516" i="16"/>
  <c r="CZ389" i="16"/>
  <c r="DD335" i="16"/>
  <c r="DK492" i="16"/>
  <c r="DT411" i="16"/>
  <c r="EN428" i="16"/>
  <c r="EL485" i="16"/>
  <c r="DA375" i="16"/>
  <c r="DO169" i="16"/>
  <c r="EN374" i="16"/>
  <c r="DW133" i="16"/>
  <c r="ER211" i="16"/>
  <c r="EG339" i="16"/>
  <c r="DH392" i="16"/>
  <c r="EG295" i="16"/>
  <c r="EP51" i="16"/>
  <c r="DP261" i="16"/>
  <c r="DF493" i="16"/>
  <c r="DZ475" i="16"/>
  <c r="DV333" i="16"/>
  <c r="DV261" i="16"/>
  <c r="DZ477" i="16"/>
  <c r="DU425" i="16"/>
  <c r="DM338" i="16"/>
  <c r="DT252" i="16"/>
  <c r="EF297" i="16"/>
  <c r="DC355" i="16"/>
  <c r="DB434" i="16"/>
  <c r="EB79" i="16"/>
  <c r="EE514" i="16"/>
  <c r="EH209" i="16"/>
  <c r="DD365" i="16"/>
  <c r="ED62" i="16"/>
  <c r="DQ487" i="16"/>
  <c r="DP239" i="16"/>
  <c r="DG252" i="16"/>
  <c r="DJ172" i="16"/>
  <c r="DM168" i="16"/>
  <c r="EO114" i="16"/>
  <c r="DP361" i="16"/>
  <c r="DK503" i="16"/>
  <c r="DL185" i="16"/>
  <c r="DA258" i="16"/>
  <c r="EC471" i="16"/>
  <c r="DW91" i="16"/>
  <c r="DK315" i="16"/>
  <c r="EK243" i="16"/>
  <c r="EP357" i="16"/>
  <c r="EF334" i="16"/>
  <c r="ER148" i="16"/>
  <c r="DW126" i="16"/>
  <c r="EK368" i="16"/>
  <c r="DL271" i="16"/>
  <c r="DK508" i="16"/>
  <c r="DF315" i="16"/>
  <c r="DB85" i="16"/>
  <c r="DY511" i="16"/>
  <c r="DU84" i="16"/>
  <c r="EA339" i="16"/>
  <c r="EE336" i="16"/>
  <c r="EH437" i="16"/>
  <c r="DZ301" i="16"/>
  <c r="ER198" i="16"/>
  <c r="EG240" i="16"/>
  <c r="DG80" i="16"/>
  <c r="DM386" i="16"/>
  <c r="DZ443" i="16"/>
  <c r="DX62" i="16"/>
  <c r="EE300" i="16"/>
  <c r="CZ443" i="16"/>
  <c r="DD70" i="16"/>
  <c r="DN344" i="16"/>
  <c r="DA278" i="16"/>
  <c r="EB81" i="16"/>
  <c r="DA356" i="16"/>
  <c r="DC424" i="16"/>
  <c r="DG133" i="16"/>
  <c r="CZ325" i="16"/>
  <c r="DJ406" i="16"/>
  <c r="DM144" i="16"/>
  <c r="EC234" i="16"/>
  <c r="DV487" i="16"/>
  <c r="DT283" i="16"/>
  <c r="DT466" i="16"/>
  <c r="EE454" i="16"/>
  <c r="ES375" i="16"/>
  <c r="DH367" i="16"/>
  <c r="EB240" i="16"/>
  <c r="DS503" i="16"/>
  <c r="DZ221" i="16"/>
  <c r="DU111" i="16"/>
  <c r="EG351" i="16"/>
  <c r="DL276" i="16"/>
  <c r="EJ239" i="16"/>
  <c r="DL205" i="16"/>
  <c r="DT201" i="16"/>
  <c r="EJ475" i="16"/>
  <c r="DG134" i="16"/>
  <c r="DK161" i="16"/>
  <c r="DT210" i="16"/>
  <c r="ER207" i="16"/>
  <c r="ES106" i="16"/>
  <c r="ES436" i="16"/>
  <c r="ER137" i="16"/>
  <c r="EJ427" i="16"/>
  <c r="DX360" i="16"/>
  <c r="DB154" i="16"/>
  <c r="ED511" i="16"/>
  <c r="DW493" i="16"/>
  <c r="DW108" i="16"/>
  <c r="EN97" i="16"/>
  <c r="DL105" i="16"/>
  <c r="EQ390" i="16"/>
  <c r="ED383" i="16"/>
  <c r="EA469" i="16"/>
  <c r="DZ224" i="16"/>
  <c r="EN174" i="16"/>
  <c r="EP409" i="16"/>
  <c r="DU342" i="16"/>
  <c r="DK421" i="16"/>
  <c r="DP376" i="16"/>
  <c r="EG385" i="16"/>
  <c r="ED445" i="16"/>
  <c r="EJ244" i="16"/>
  <c r="EK244" i="16"/>
  <c r="EC505" i="16"/>
  <c r="EF79" i="16"/>
  <c r="EF107" i="16"/>
  <c r="DC410" i="16"/>
  <c r="DM433" i="16"/>
  <c r="EK398" i="16"/>
  <c r="DE353" i="16"/>
  <c r="EH438" i="16"/>
  <c r="EO287" i="16"/>
  <c r="EC509" i="16"/>
  <c r="DX245" i="16"/>
  <c r="ER227" i="16"/>
  <c r="EQ233" i="16"/>
  <c r="DS312" i="16"/>
  <c r="DX456" i="16"/>
  <c r="DR94" i="16"/>
  <c r="ES273" i="16"/>
  <c r="ER107" i="16"/>
  <c r="EI228" i="16"/>
  <c r="DR304" i="16"/>
  <c r="EC210" i="16"/>
  <c r="EO441" i="16"/>
  <c r="DJ54" i="16"/>
  <c r="DQ214" i="16"/>
  <c r="ED479" i="16"/>
  <c r="DN455" i="16"/>
  <c r="DZ293" i="16"/>
  <c r="DA434" i="16"/>
  <c r="EJ327" i="16"/>
  <c r="EP294" i="16"/>
  <c r="DP296" i="16"/>
  <c r="DK502" i="16"/>
  <c r="EQ307" i="16"/>
  <c r="EM422" i="16"/>
  <c r="DP329" i="16"/>
  <c r="DO430" i="16"/>
  <c r="ER369" i="16"/>
  <c r="DT93" i="16"/>
  <c r="DL424" i="16"/>
  <c r="DU215" i="16"/>
  <c r="DG351" i="16"/>
  <c r="CZ402" i="16"/>
  <c r="EO358" i="16"/>
  <c r="EP388" i="16"/>
  <c r="ED232" i="16"/>
  <c r="DD502" i="16"/>
  <c r="DI298" i="16"/>
  <c r="DO50" i="16"/>
  <c r="EM372" i="16"/>
  <c r="EC462" i="16"/>
  <c r="DY510" i="16"/>
  <c r="DM452" i="16"/>
  <c r="EI230" i="16"/>
  <c r="EB254" i="16"/>
  <c r="ES124" i="16"/>
  <c r="ED59" i="16"/>
  <c r="DL285" i="16"/>
  <c r="DO285" i="16"/>
  <c r="EF491" i="16"/>
  <c r="DC444" i="16"/>
  <c r="DT97" i="16"/>
  <c r="DN217" i="16"/>
  <c r="DI297" i="16"/>
  <c r="EO56" i="16"/>
  <c r="DR287" i="16"/>
  <c r="DK288" i="16"/>
  <c r="DX364" i="16"/>
  <c r="DU276" i="16"/>
  <c r="EE468" i="16"/>
  <c r="DB299" i="16"/>
  <c r="EI327" i="16"/>
  <c r="DI223" i="16"/>
  <c r="DF323" i="16"/>
  <c r="DB123" i="16"/>
  <c r="DF272" i="16"/>
  <c r="DC439" i="16"/>
  <c r="EF257" i="16"/>
  <c r="EC177" i="16"/>
  <c r="EE406" i="16"/>
  <c r="EH220" i="16"/>
  <c r="EJ329" i="16"/>
  <c r="EO70" i="16"/>
  <c r="EN417" i="16"/>
  <c r="EE404" i="16"/>
  <c r="EQ99" i="16"/>
  <c r="ES414" i="16"/>
  <c r="EN112" i="16"/>
  <c r="DW238" i="16"/>
  <c r="DP196" i="16"/>
  <c r="DY416" i="16"/>
  <c r="EM299" i="16"/>
  <c r="DV441" i="16"/>
  <c r="EA170" i="16"/>
  <c r="EP312" i="16"/>
  <c r="EC51" i="16"/>
  <c r="DF405" i="16"/>
  <c r="EL503" i="16"/>
  <c r="EJ163" i="16"/>
  <c r="DI464" i="16"/>
  <c r="DV335" i="16"/>
  <c r="EA381" i="16"/>
  <c r="DG349" i="16"/>
  <c r="DB402" i="16"/>
  <c r="DC108" i="16"/>
  <c r="EA510" i="16"/>
  <c r="EP428" i="16"/>
  <c r="DV191" i="16"/>
  <c r="EQ414" i="16"/>
  <c r="EF433" i="16"/>
  <c r="CZ378" i="16"/>
  <c r="DR212" i="16"/>
  <c r="DY449" i="16"/>
  <c r="EC328" i="16"/>
  <c r="EM58" i="16"/>
  <c r="DO457" i="16"/>
  <c r="DY131" i="16"/>
  <c r="DG421" i="16"/>
  <c r="DB307" i="16"/>
  <c r="DW441" i="16"/>
  <c r="CZ247" i="16"/>
  <c r="DM78" i="16"/>
  <c r="DV417" i="16"/>
  <c r="EG468" i="16"/>
  <c r="EC145" i="16"/>
  <c r="EB440" i="16"/>
  <c r="DD302" i="16"/>
  <c r="ED129" i="16"/>
  <c r="EP132" i="16"/>
  <c r="EJ205" i="16"/>
  <c r="EM428" i="16"/>
  <c r="DS65" i="16"/>
  <c r="ES142" i="16"/>
  <c r="EA361" i="16"/>
  <c r="DI323" i="16"/>
  <c r="EQ493" i="16"/>
  <c r="DE293" i="16"/>
  <c r="DZ79" i="16"/>
  <c r="DK515" i="16"/>
  <c r="EG193" i="16"/>
  <c r="EO438" i="16"/>
  <c r="EQ441" i="16"/>
  <c r="DY343" i="16"/>
  <c r="DL236" i="16"/>
  <c r="EF218" i="16"/>
  <c r="DA489" i="16"/>
  <c r="EL146" i="16"/>
  <c r="DW484" i="16"/>
  <c r="EL128" i="16"/>
  <c r="DP382" i="16"/>
  <c r="DT67" i="16"/>
  <c r="DW195" i="16"/>
  <c r="DY151" i="16"/>
  <c r="DA280" i="16"/>
  <c r="DU149" i="16"/>
  <c r="DP258" i="16"/>
  <c r="EG177" i="16"/>
  <c r="CZ452" i="16"/>
  <c r="EQ357" i="16"/>
  <c r="DZ251" i="16"/>
  <c r="EL492" i="16"/>
  <c r="ES399" i="16"/>
  <c r="EI262" i="16"/>
  <c r="DQ124" i="16"/>
  <c r="CZ479" i="16"/>
  <c r="DA360" i="16"/>
  <c r="DY282" i="16"/>
  <c r="DK489" i="16"/>
  <c r="EC370" i="16"/>
  <c r="DM471" i="16"/>
  <c r="DT160" i="16"/>
  <c r="EK178" i="16"/>
  <c r="DE140" i="16"/>
  <c r="EJ441" i="16"/>
  <c r="EM441" i="16"/>
  <c r="DD492" i="16"/>
  <c r="DM115" i="16"/>
  <c r="EQ483" i="16"/>
  <c r="EA111" i="16"/>
  <c r="DA494" i="16"/>
  <c r="EE112" i="16"/>
  <c r="DN434" i="16"/>
  <c r="DZ348" i="16"/>
  <c r="ED181" i="16"/>
  <c r="ED297" i="16"/>
  <c r="DO510" i="16"/>
  <c r="DE159" i="16"/>
  <c r="EP237" i="16"/>
  <c r="DM410" i="16"/>
  <c r="EQ65" i="16"/>
  <c r="DD162" i="16"/>
  <c r="DE94" i="16"/>
  <c r="EQ354" i="16"/>
  <c r="EM473" i="16"/>
  <c r="DG405" i="16"/>
  <c r="EO503" i="16"/>
  <c r="EN457" i="16"/>
  <c r="EG111" i="16"/>
  <c r="DG173" i="16"/>
  <c r="EE81" i="16"/>
  <c r="ES204" i="16"/>
  <c r="DZ484" i="16"/>
  <c r="EC513" i="16"/>
  <c r="DR504" i="16"/>
  <c r="DT417" i="16"/>
  <c r="DV512" i="16"/>
  <c r="DG49" i="16"/>
  <c r="CZ309" i="16"/>
  <c r="EK221" i="16"/>
  <c r="EN396" i="16"/>
  <c r="DV429" i="16"/>
  <c r="EL340" i="16"/>
  <c r="EK348" i="16"/>
  <c r="DP432" i="16"/>
  <c r="DN482" i="16"/>
  <c r="EI207" i="16"/>
  <c r="DS507" i="16"/>
  <c r="DW374" i="16"/>
  <c r="DS402" i="16"/>
  <c r="DL118" i="16"/>
  <c r="ED391" i="16"/>
  <c r="EN348" i="16"/>
  <c r="DK319" i="16"/>
  <c r="EH417" i="16"/>
  <c r="DB69" i="16"/>
  <c r="ER154" i="16"/>
  <c r="EH117" i="16"/>
  <c r="ER145" i="16"/>
  <c r="DV476" i="16"/>
  <c r="EK374" i="16"/>
  <c r="DC263" i="16"/>
  <c r="DF170" i="16"/>
  <c r="EO175" i="16"/>
  <c r="ES149" i="16"/>
  <c r="DX332" i="16"/>
  <c r="DJ401" i="16"/>
  <c r="DY252" i="16"/>
  <c r="EB513" i="16"/>
  <c r="DL385" i="16"/>
  <c r="DR418" i="16"/>
  <c r="DQ369" i="16"/>
  <c r="ED427" i="16"/>
  <c r="EL305" i="16"/>
  <c r="DR479" i="16"/>
  <c r="EQ156" i="16"/>
  <c r="EM332" i="16"/>
  <c r="EM166" i="16"/>
  <c r="EH485" i="16"/>
  <c r="DM343" i="16"/>
  <c r="DR286" i="16"/>
  <c r="DW141" i="16"/>
  <c r="EO433" i="16"/>
  <c r="EC464" i="16"/>
  <c r="DX319" i="16"/>
  <c r="DN294" i="16"/>
  <c r="EK74" i="16"/>
  <c r="EK304" i="16"/>
  <c r="EG209" i="16"/>
  <c r="DB115" i="16"/>
  <c r="DH321" i="16"/>
  <c r="ES151" i="16"/>
  <c r="EL107" i="16"/>
  <c r="DE513" i="16"/>
  <c r="DN282" i="16"/>
  <c r="DM354" i="16"/>
  <c r="EO304" i="16"/>
  <c r="DX170" i="16"/>
  <c r="EP291" i="16"/>
  <c r="DS62" i="16"/>
  <c r="DI455" i="16"/>
  <c r="ES278" i="16"/>
  <c r="DB251" i="16"/>
  <c r="DM467" i="16"/>
  <c r="EN88" i="16"/>
  <c r="EA449" i="16"/>
  <c r="ER397" i="16"/>
  <c r="DF150" i="16"/>
  <c r="DE361" i="16"/>
  <c r="EK237" i="16"/>
  <c r="DX382" i="16"/>
  <c r="DI268" i="16"/>
  <c r="DI56" i="16"/>
  <c r="DU439" i="16"/>
  <c r="DN445" i="16"/>
  <c r="DC117" i="16"/>
  <c r="EF154" i="16"/>
  <c r="EI297" i="16"/>
  <c r="EH502" i="16"/>
  <c r="DP177" i="16"/>
  <c r="DH145" i="16"/>
  <c r="DA96" i="16"/>
  <c r="ES502" i="16"/>
  <c r="EF475" i="16"/>
  <c r="DL234" i="16"/>
  <c r="EI450" i="16"/>
  <c r="DT416" i="16"/>
  <c r="DK450" i="16"/>
  <c r="EC149" i="16"/>
  <c r="DE452" i="16"/>
  <c r="EQ252" i="16"/>
  <c r="DH482" i="16"/>
  <c r="DP462" i="16"/>
  <c r="ED183" i="16"/>
  <c r="EO369" i="16"/>
  <c r="DG106" i="16"/>
  <c r="DZ81" i="16"/>
  <c r="DW315" i="16"/>
  <c r="EB417" i="16"/>
  <c r="EI443" i="16"/>
  <c r="DU409" i="16"/>
  <c r="DA350" i="16"/>
  <c r="DZ509" i="16"/>
  <c r="DU340" i="16"/>
  <c r="EN446" i="16"/>
  <c r="EC375" i="16"/>
  <c r="DN286" i="16"/>
  <c r="EE427" i="16"/>
  <c r="DI320" i="16"/>
  <c r="EA187" i="16"/>
  <c r="DN511" i="16"/>
  <c r="EF150" i="16"/>
  <c r="DS486" i="16"/>
  <c r="EE322" i="16"/>
  <c r="DN464" i="16"/>
  <c r="DQ483" i="16"/>
  <c r="CZ178" i="16"/>
  <c r="EF507" i="16"/>
  <c r="EF462" i="16"/>
  <c r="CZ203" i="16"/>
  <c r="EG349" i="16"/>
  <c r="DW185" i="16"/>
  <c r="DU368" i="16"/>
  <c r="DO487" i="16"/>
  <c r="DT382" i="16"/>
  <c r="DD423" i="16"/>
  <c r="DN432" i="16"/>
  <c r="DL378" i="16"/>
  <c r="DJ492" i="16"/>
  <c r="EN358" i="16"/>
  <c r="DV287" i="16"/>
  <c r="DZ286" i="16"/>
  <c r="DZ287" i="16"/>
  <c r="ER187" i="16"/>
  <c r="DU251" i="16"/>
  <c r="DY137" i="16"/>
  <c r="DB90" i="16"/>
  <c r="DV373" i="16"/>
  <c r="EK429" i="16"/>
  <c r="EE150" i="16"/>
  <c r="DY230" i="16"/>
  <c r="ED225" i="16"/>
  <c r="DO89" i="16"/>
  <c r="DW478" i="16"/>
  <c r="DP336" i="16"/>
  <c r="EM406" i="16"/>
  <c r="EN510" i="16"/>
  <c r="ER138" i="16"/>
  <c r="EN159" i="16"/>
  <c r="EK444" i="16"/>
  <c r="DV355" i="16"/>
  <c r="ES355" i="16"/>
  <c r="DI206" i="16"/>
  <c r="DL307" i="16"/>
  <c r="DD195" i="16"/>
  <c r="DI471" i="16"/>
  <c r="DO145" i="16"/>
  <c r="DC255" i="16"/>
  <c r="DZ146" i="16"/>
  <c r="EH148" i="16"/>
  <c r="EK311" i="16"/>
  <c r="EK292" i="16"/>
  <c r="EB105" i="16"/>
  <c r="DH250" i="16"/>
  <c r="EN363" i="16"/>
  <c r="EQ419" i="16"/>
  <c r="DJ322" i="16"/>
  <c r="EJ67" i="16"/>
  <c r="DW345" i="16"/>
  <c r="EO155" i="16"/>
  <c r="DB98" i="16"/>
  <c r="DU122" i="16"/>
  <c r="EG239" i="16"/>
  <c r="DZ140" i="16"/>
  <c r="DF516" i="16"/>
  <c r="DY509" i="16"/>
  <c r="DK167" i="16"/>
  <c r="DZ497" i="16"/>
  <c r="EA485" i="16"/>
  <c r="DJ466" i="16"/>
  <c r="EJ274" i="16"/>
  <c r="DW393" i="16"/>
  <c r="EJ277" i="16"/>
  <c r="DX304" i="16"/>
  <c r="CZ358" i="16"/>
  <c r="EQ201" i="16"/>
  <c r="DZ505" i="16"/>
  <c r="DU273" i="16"/>
  <c r="CZ137" i="16"/>
  <c r="EF505" i="16"/>
  <c r="DU438" i="16"/>
  <c r="DA326" i="16"/>
  <c r="DV305" i="16"/>
  <c r="DH299" i="16"/>
  <c r="DX495" i="16"/>
  <c r="EF377" i="16"/>
  <c r="EA515" i="16"/>
  <c r="DK325" i="16"/>
  <c r="EO355" i="16"/>
  <c r="EP443" i="16"/>
  <c r="EJ489" i="16"/>
  <c r="DJ503" i="16"/>
  <c r="DH430" i="16"/>
  <c r="EF315" i="16"/>
  <c r="DR145" i="16"/>
  <c r="DQ503" i="16"/>
  <c r="DV79" i="16"/>
  <c r="DB448" i="16"/>
  <c r="EB262" i="16"/>
  <c r="DW472" i="16"/>
  <c r="EH404" i="16"/>
  <c r="EA476" i="16"/>
  <c r="ES434" i="16"/>
  <c r="DH492" i="16"/>
  <c r="DH365" i="16"/>
  <c r="EP309" i="16"/>
  <c r="DI128" i="16"/>
  <c r="ED369" i="16"/>
  <c r="EE238" i="16"/>
  <c r="DK331" i="16"/>
  <c r="DD486" i="16"/>
  <c r="EA240" i="16"/>
  <c r="EJ217" i="16"/>
  <c r="ES435" i="16"/>
  <c r="DK394" i="16"/>
  <c r="DN63" i="16"/>
  <c r="DG220" i="16"/>
  <c r="DX505" i="16"/>
  <c r="EM470" i="16"/>
  <c r="DR100" i="16"/>
  <c r="CZ436" i="16"/>
  <c r="EA326" i="16"/>
  <c r="DU78" i="16"/>
  <c r="EF497" i="16"/>
  <c r="DO398" i="16"/>
  <c r="ES193" i="16"/>
  <c r="EL72" i="16"/>
  <c r="EB196" i="16"/>
  <c r="DB368" i="16"/>
  <c r="EK336" i="16"/>
  <c r="EH412" i="16"/>
  <c r="EL202" i="16"/>
  <c r="CZ184" i="16"/>
  <c r="DR157" i="16"/>
  <c r="EF175" i="16"/>
  <c r="DV146" i="16"/>
  <c r="DI229" i="16"/>
  <c r="CZ398" i="16"/>
  <c r="ES188" i="16"/>
  <c r="EB340" i="16"/>
  <c r="EB303" i="16"/>
  <c r="DO209" i="16"/>
  <c r="DT195" i="16"/>
  <c r="DQ96" i="16"/>
  <c r="EO464" i="16"/>
  <c r="DT90" i="16"/>
  <c r="EJ350" i="16"/>
  <c r="DT215" i="16"/>
  <c r="DU262" i="16"/>
  <c r="EI411" i="16"/>
  <c r="EI253" i="16"/>
  <c r="EK184" i="16"/>
  <c r="EK195" i="16"/>
  <c r="EP500" i="16"/>
  <c r="EQ506" i="16"/>
  <c r="DA294" i="16"/>
  <c r="DB240" i="16"/>
  <c r="DH182" i="16"/>
  <c r="DO446" i="16"/>
  <c r="DK204" i="16"/>
  <c r="CZ304" i="16"/>
  <c r="EK294" i="16"/>
  <c r="EC386" i="16"/>
  <c r="ER171" i="16"/>
  <c r="DZ442" i="16"/>
  <c r="DV206" i="16"/>
  <c r="DW431" i="16"/>
  <c r="DW515" i="16"/>
  <c r="DR424" i="16"/>
  <c r="DG345" i="16"/>
  <c r="ED234" i="16"/>
  <c r="EE453" i="16"/>
  <c r="DK415" i="16"/>
  <c r="DY366" i="16"/>
  <c r="DS219" i="16"/>
  <c r="DN62" i="16"/>
  <c r="EL87" i="16"/>
  <c r="DS262" i="16"/>
  <c r="DY196" i="16"/>
  <c r="EK129" i="16"/>
  <c r="DI379" i="16"/>
  <c r="DD295" i="16"/>
  <c r="EH500" i="16"/>
  <c r="DY276" i="16"/>
  <c r="ER326" i="16"/>
  <c r="DM140" i="16"/>
  <c r="CZ241" i="16"/>
  <c r="DJ281" i="16"/>
  <c r="DJ114" i="16"/>
  <c r="EN442" i="16"/>
  <c r="DA492" i="16"/>
  <c r="DH193" i="16"/>
  <c r="DA202" i="16"/>
  <c r="ES117" i="16"/>
  <c r="EN49" i="16"/>
  <c r="DQ261" i="16"/>
  <c r="DP412" i="16"/>
  <c r="DL511" i="16"/>
  <c r="EI306" i="16"/>
  <c r="DY81" i="16"/>
  <c r="EL262" i="16"/>
  <c r="DU494" i="16"/>
  <c r="EF407" i="16"/>
  <c r="DZ240" i="16"/>
  <c r="ES407" i="16"/>
  <c r="EH70" i="16"/>
  <c r="EJ193" i="16"/>
  <c r="EJ169" i="16"/>
  <c r="DK103" i="16"/>
  <c r="DZ175" i="16"/>
  <c r="EC450" i="16"/>
  <c r="CZ444" i="16"/>
  <c r="EO263" i="16"/>
  <c r="EN281" i="16"/>
  <c r="DG117" i="16"/>
  <c r="EK509" i="16"/>
  <c r="DT140" i="16"/>
  <c r="ES55" i="16"/>
  <c r="EQ434" i="16"/>
  <c r="EM423" i="16"/>
  <c r="DI70" i="16"/>
  <c r="DT398" i="16"/>
  <c r="EK409" i="16"/>
  <c r="EO145" i="16"/>
  <c r="EG401" i="16"/>
  <c r="DW128" i="16"/>
  <c r="CZ262" i="16"/>
  <c r="DR411" i="16"/>
  <c r="EE500" i="16"/>
  <c r="DH393" i="16"/>
  <c r="EQ514" i="16"/>
  <c r="EN265" i="16"/>
  <c r="DZ376" i="16"/>
  <c r="EQ134" i="16"/>
  <c r="ES242" i="16"/>
  <c r="ED97" i="16"/>
  <c r="DH264" i="16"/>
  <c r="DN299" i="16"/>
  <c r="EE272" i="16"/>
  <c r="DE484" i="16"/>
  <c r="DE61" i="16"/>
  <c r="DX227" i="16"/>
  <c r="DQ231" i="16"/>
  <c r="DT315" i="16"/>
  <c r="DG506" i="16"/>
  <c r="CZ145" i="16"/>
  <c r="DE457" i="16"/>
  <c r="ES451" i="16"/>
  <c r="EN62" i="16"/>
  <c r="DU245" i="16"/>
  <c r="DI248" i="16"/>
  <c r="DW139" i="16"/>
  <c r="EQ430" i="16"/>
  <c r="DX274" i="16"/>
  <c r="DH343" i="16"/>
  <c r="DI197" i="16"/>
  <c r="DE446" i="16"/>
  <c r="DR334" i="16"/>
  <c r="EJ120" i="16"/>
  <c r="DP278" i="16"/>
  <c r="DC509" i="16"/>
  <c r="EM80" i="16"/>
  <c r="DP244" i="16"/>
  <c r="DT238" i="16"/>
  <c r="DE220" i="16"/>
  <c r="DN244" i="16"/>
  <c r="DZ391" i="16"/>
  <c r="DT402" i="16"/>
  <c r="DM470" i="16"/>
  <c r="DA444" i="16"/>
  <c r="DJ265" i="16"/>
  <c r="EF304" i="16"/>
  <c r="EI343" i="16"/>
  <c r="DV391" i="16"/>
  <c r="EJ383" i="16"/>
  <c r="EB324" i="16"/>
  <c r="DT362" i="16"/>
  <c r="DN97" i="16"/>
  <c r="DG454" i="16"/>
  <c r="DZ285" i="16"/>
  <c r="EN364" i="16"/>
  <c r="DQ485" i="16"/>
  <c r="DZ106" i="16"/>
  <c r="DE230" i="16"/>
  <c r="EA404" i="16"/>
  <c r="DY197" i="16"/>
  <c r="EH289" i="16"/>
  <c r="DU150" i="16"/>
  <c r="EA190" i="16"/>
  <c r="EA72" i="16"/>
  <c r="DX378" i="16"/>
  <c r="ED335" i="16"/>
  <c r="ER496" i="16"/>
  <c r="ER485" i="16"/>
  <c r="EG254" i="16"/>
  <c r="EB443" i="16"/>
  <c r="EC350" i="16"/>
  <c r="DT242" i="16"/>
  <c r="EA315" i="16"/>
  <c r="EF100" i="16"/>
  <c r="ER289" i="16"/>
  <c r="DN438" i="16"/>
  <c r="ES448" i="16"/>
  <c r="DU444" i="16"/>
  <c r="EF229" i="16"/>
  <c r="CZ124" i="16"/>
  <c r="DY364" i="16"/>
  <c r="DC491" i="16"/>
  <c r="DN79" i="16"/>
  <c r="DP135" i="16"/>
  <c r="ES229" i="16"/>
  <c r="EN109" i="16"/>
  <c r="EN401" i="16"/>
  <c r="DY125" i="16"/>
  <c r="DQ288" i="16"/>
  <c r="DF241" i="16"/>
  <c r="EH370" i="16"/>
  <c r="DR103" i="16"/>
  <c r="DB419" i="16"/>
  <c r="DY120" i="16"/>
  <c r="DS502" i="16"/>
  <c r="EH444" i="16"/>
  <c r="EP341" i="16"/>
  <c r="DT274" i="16"/>
  <c r="DR390" i="16"/>
  <c r="EQ108" i="16"/>
  <c r="EN177" i="16"/>
  <c r="DN507" i="16"/>
  <c r="DY346" i="16"/>
  <c r="DK218" i="16"/>
  <c r="DE216" i="16"/>
  <c r="EA428" i="16"/>
  <c r="DA178" i="16"/>
  <c r="EQ219" i="16"/>
  <c r="EH434" i="16"/>
  <c r="DN479" i="16"/>
  <c r="EK393" i="16"/>
  <c r="EF258" i="16"/>
  <c r="DK203" i="16"/>
  <c r="DO332" i="16"/>
  <c r="DH405" i="16"/>
  <c r="DC364" i="16"/>
  <c r="DX208" i="16"/>
  <c r="DA343" i="16"/>
  <c r="ED320" i="16"/>
  <c r="DX271" i="16"/>
  <c r="DQ301" i="16"/>
  <c r="DK124" i="16"/>
  <c r="EA425" i="16"/>
  <c r="EH254" i="16"/>
  <c r="DQ516" i="16"/>
  <c r="DK511" i="16"/>
  <c r="DQ284" i="16"/>
  <c r="DL337" i="16"/>
  <c r="EH253" i="16"/>
  <c r="DL288" i="16"/>
  <c r="DF190" i="16"/>
  <c r="DN94" i="16"/>
  <c r="ED165" i="16"/>
  <c r="EF511" i="16"/>
  <c r="DY358" i="16"/>
  <c r="EB63" i="16"/>
  <c r="DS320" i="16"/>
  <c r="DE175" i="16"/>
  <c r="CZ282" i="16"/>
  <c r="DF276" i="16"/>
  <c r="DH407" i="16"/>
  <c r="ED472" i="16"/>
  <c r="EE79" i="16"/>
  <c r="EI137" i="16"/>
  <c r="EN372" i="16"/>
  <c r="EE369" i="16"/>
  <c r="DI266" i="16"/>
  <c r="DZ87" i="16"/>
  <c r="EG91" i="16"/>
  <c r="DL333" i="16"/>
  <c r="EA369" i="16"/>
  <c r="EH238" i="16"/>
  <c r="DW244" i="16"/>
  <c r="DO431" i="16"/>
  <c r="ED299" i="16"/>
  <c r="EK280" i="16"/>
  <c r="DB81" i="16"/>
  <c r="EE162" i="16"/>
  <c r="CZ510" i="16"/>
  <c r="EJ278" i="16"/>
  <c r="EN131" i="16"/>
  <c r="DK175" i="16"/>
  <c r="EB462" i="16"/>
  <c r="CZ229" i="16"/>
  <c r="CZ293" i="16"/>
  <c r="DP161" i="16"/>
  <c r="EF328" i="16"/>
  <c r="DS68" i="16"/>
  <c r="EL233" i="16"/>
  <c r="DS274" i="16"/>
  <c r="EA400" i="16"/>
  <c r="DQ378" i="16"/>
  <c r="DY489" i="16"/>
  <c r="DF93" i="16"/>
  <c r="ES260" i="16"/>
  <c r="ER83" i="16"/>
  <c r="DA196" i="16"/>
  <c r="CZ199" i="16"/>
  <c r="EC91" i="16"/>
  <c r="EF483" i="16"/>
  <c r="EC69" i="16"/>
  <c r="DD128" i="16"/>
  <c r="DK405" i="16"/>
  <c r="EJ287" i="16"/>
  <c r="EO213" i="16"/>
  <c r="EI110" i="16"/>
  <c r="ER292" i="16"/>
  <c r="DC249" i="16"/>
  <c r="EC118" i="16"/>
  <c r="EI454" i="16"/>
  <c r="DZ514" i="16"/>
  <c r="EE400" i="16"/>
  <c r="DN338" i="16"/>
  <c r="EL54" i="16"/>
  <c r="DV475" i="16"/>
  <c r="DO416" i="16"/>
  <c r="DK400" i="16"/>
  <c r="DT473" i="16"/>
  <c r="DE495" i="16"/>
  <c r="DX402" i="16"/>
  <c r="DZ383" i="16"/>
  <c r="DP269" i="16"/>
  <c r="ED114" i="16"/>
  <c r="EH151" i="16"/>
  <c r="EF271" i="16"/>
  <c r="EO119" i="16"/>
  <c r="EI122" i="16"/>
  <c r="DP99" i="16"/>
  <c r="EH135" i="16"/>
  <c r="DI383" i="16"/>
  <c r="DF261" i="16"/>
  <c r="DG232" i="16"/>
  <c r="DD115" i="16"/>
  <c r="DL456" i="16"/>
  <c r="DK479" i="16"/>
  <c r="EB167" i="16"/>
  <c r="EG62" i="16"/>
  <c r="DH462" i="16"/>
  <c r="DD452" i="16"/>
  <c r="DC501" i="16"/>
  <c r="EM248" i="16"/>
  <c r="DS184" i="16"/>
  <c r="DJ426" i="16"/>
  <c r="DN310" i="16"/>
  <c r="CZ202" i="16"/>
  <c r="EA282" i="16"/>
  <c r="DM514" i="16"/>
  <c r="DP497" i="16"/>
  <c r="EN321" i="16"/>
  <c r="DY294" i="16"/>
  <c r="DG489" i="16"/>
  <c r="DA515" i="16"/>
  <c r="EH296" i="16"/>
  <c r="EJ430" i="16"/>
  <c r="DX300" i="16"/>
  <c r="DJ218" i="16"/>
  <c r="ER86" i="16"/>
  <c r="ED302" i="16"/>
  <c r="DH317" i="16"/>
  <c r="EF490" i="16"/>
  <c r="DM210" i="16"/>
  <c r="EH250" i="16"/>
  <c r="DX131" i="16"/>
  <c r="ES284" i="16"/>
  <c r="EQ117" i="16"/>
  <c r="EO436" i="16"/>
  <c r="DU66" i="16"/>
  <c r="EG497" i="16"/>
  <c r="DA86" i="16"/>
  <c r="EG370" i="16"/>
  <c r="EJ208" i="16"/>
  <c r="DG130" i="16"/>
  <c r="DV140" i="16"/>
  <c r="DW194" i="16"/>
  <c r="DN109" i="16"/>
  <c r="DQ476" i="16"/>
  <c r="DJ90" i="16"/>
  <c r="DJ352" i="16"/>
  <c r="DY293" i="16"/>
  <c r="EC102" i="16"/>
  <c r="DG460" i="16"/>
  <c r="DF162" i="16"/>
  <c r="ED379" i="16"/>
  <c r="EE50" i="16"/>
  <c r="DI80" i="16"/>
  <c r="EO458" i="16"/>
  <c r="EO196" i="16"/>
  <c r="EI161" i="16"/>
  <c r="DD66" i="16"/>
  <c r="EK164" i="16"/>
  <c r="DF309" i="16"/>
  <c r="EP171" i="16"/>
  <c r="DZ445" i="16"/>
  <c r="DL202" i="16"/>
  <c r="EO82" i="16"/>
  <c r="DU183" i="16"/>
  <c r="DW497" i="16"/>
  <c r="DS79" i="16"/>
  <c r="ER378" i="16"/>
  <c r="DP368" i="16"/>
  <c r="DV342" i="16"/>
  <c r="DV58" i="16"/>
  <c r="EJ442" i="16"/>
  <c r="DH369" i="16"/>
  <c r="EK491" i="16"/>
  <c r="DE515" i="16"/>
  <c r="ES191" i="16"/>
  <c r="DW111" i="16"/>
  <c r="EL93" i="16"/>
  <c r="DY395" i="16"/>
  <c r="DJ337" i="16"/>
  <c r="DL154" i="16"/>
  <c r="CZ157" i="16"/>
  <c r="DG417" i="16"/>
  <c r="DL320" i="16"/>
  <c r="DJ50" i="16"/>
  <c r="EH196" i="16"/>
  <c r="ES161" i="16"/>
  <c r="DY190" i="16"/>
  <c r="EO417" i="16"/>
  <c r="DA81" i="16"/>
  <c r="EQ334" i="16"/>
  <c r="ES422" i="16"/>
  <c r="EL76" i="16"/>
  <c r="DQ92" i="16"/>
  <c r="EL496" i="16"/>
  <c r="EP157" i="16"/>
  <c r="DE360" i="16"/>
  <c r="DX276" i="16"/>
  <c r="EK64" i="16"/>
  <c r="EC383" i="16"/>
  <c r="DF485" i="16"/>
  <c r="DR506" i="16"/>
  <c r="ER286" i="16"/>
  <c r="DE73" i="16"/>
  <c r="EQ280" i="16"/>
  <c r="ES266" i="16"/>
  <c r="DT311" i="16"/>
  <c r="DX211" i="16"/>
  <c r="EG380" i="16"/>
  <c r="EN211" i="16"/>
  <c r="DM431" i="16"/>
  <c r="EH358" i="16"/>
  <c r="EA233" i="16"/>
  <c r="DG286" i="16"/>
  <c r="DT203" i="16"/>
  <c r="DW183" i="16"/>
  <c r="EM506" i="16"/>
  <c r="EL391" i="16"/>
  <c r="DU453" i="16"/>
  <c r="EQ340" i="16"/>
  <c r="EA161" i="16"/>
  <c r="DB265" i="16"/>
  <c r="ES312" i="16"/>
  <c r="EL489" i="16"/>
  <c r="EL476" i="16"/>
  <c r="DN268" i="16"/>
  <c r="DA474" i="16"/>
  <c r="CZ256" i="16"/>
  <c r="EO314" i="16"/>
  <c r="EG410" i="16"/>
  <c r="DV290" i="16"/>
  <c r="DW232" i="16"/>
  <c r="DW64" i="16"/>
  <c r="EA366" i="16"/>
  <c r="DY202" i="16"/>
  <c r="DX221" i="16"/>
  <c r="EF442" i="16"/>
  <c r="DR98" i="16"/>
  <c r="DF175" i="16"/>
  <c r="EL516" i="16"/>
  <c r="EA499" i="16"/>
  <c r="EM52" i="16"/>
  <c r="EC171" i="16"/>
  <c r="DK64" i="16"/>
  <c r="DM84" i="16"/>
  <c r="DC225" i="16"/>
  <c r="DP392" i="16"/>
  <c r="DZ309" i="16"/>
  <c r="EL341" i="16"/>
  <c r="EO127" i="16"/>
  <c r="DK122" i="16"/>
  <c r="EE298" i="16"/>
  <c r="CZ291" i="16"/>
  <c r="DP158" i="16"/>
  <c r="DH147" i="16"/>
  <c r="DN336" i="16"/>
  <c r="DD275" i="16"/>
  <c r="EE90" i="16"/>
  <c r="EH416" i="16"/>
  <c r="DH354" i="16"/>
  <c r="DI240" i="16"/>
  <c r="DR269" i="16"/>
  <c r="EH178" i="16"/>
  <c r="DV485" i="16"/>
  <c r="DF453" i="16"/>
  <c r="DG78" i="16"/>
  <c r="DX256" i="16"/>
  <c r="ED123" i="16"/>
  <c r="DA114" i="16"/>
  <c r="DI228" i="16"/>
  <c r="EL285" i="16"/>
  <c r="DR267" i="16"/>
  <c r="EE58" i="16"/>
  <c r="EQ309" i="16"/>
  <c r="DH170" i="16"/>
  <c r="DY336" i="16"/>
  <c r="EL463" i="16"/>
  <c r="DU278" i="16"/>
  <c r="DH294" i="16"/>
  <c r="EE384" i="16"/>
  <c r="EN250" i="16"/>
  <c r="EE295" i="16"/>
  <c r="EK422" i="16"/>
  <c r="DA83" i="16"/>
  <c r="DC492" i="16"/>
  <c r="DE262" i="16"/>
  <c r="EL102" i="16"/>
  <c r="DN69" i="16"/>
  <c r="EK113" i="16"/>
  <c r="EI456" i="16"/>
  <c r="EM187" i="16"/>
  <c r="DA211" i="16"/>
  <c r="EH85" i="16"/>
  <c r="EP266" i="16"/>
  <c r="EI184" i="16"/>
  <c r="EL183" i="16"/>
  <c r="DZ126" i="16"/>
  <c r="EI390" i="16"/>
  <c r="EF82" i="16"/>
  <c r="EQ286" i="16"/>
  <c r="ED113" i="16"/>
  <c r="DB190" i="16"/>
  <c r="DY332" i="16"/>
  <c r="DQ471" i="16"/>
  <c r="EJ384" i="16"/>
  <c r="DS81" i="16"/>
  <c r="EK426" i="16"/>
  <c r="DS395" i="16"/>
  <c r="EB218" i="16"/>
  <c r="EK382" i="16"/>
  <c r="DP91" i="16"/>
  <c r="DN229" i="16"/>
  <c r="DG158" i="16"/>
  <c r="EI143" i="16"/>
  <c r="DR134" i="16"/>
  <c r="ED273" i="16"/>
  <c r="EP114" i="16"/>
  <c r="EB465" i="16"/>
  <c r="EC384" i="16"/>
  <c r="DX213" i="16"/>
  <c r="EF386" i="16"/>
  <c r="DW165" i="16"/>
  <c r="DG427" i="16"/>
  <c r="DB140" i="16"/>
  <c r="EK375" i="16"/>
  <c r="DW396" i="16"/>
  <c r="DY503" i="16"/>
  <c r="DE380" i="16"/>
  <c r="DQ209" i="16"/>
  <c r="DV340" i="16"/>
  <c r="DA215" i="16"/>
  <c r="DH69" i="16"/>
  <c r="DZ55" i="16"/>
  <c r="EL260" i="16"/>
  <c r="DH338" i="16"/>
  <c r="ES282" i="16"/>
  <c r="EH147" i="16"/>
  <c r="EM210" i="16"/>
  <c r="EO164" i="16"/>
  <c r="EQ487" i="16"/>
  <c r="EE444" i="16"/>
  <c r="EH508" i="16"/>
  <c r="DE274" i="16"/>
  <c r="DP516" i="16"/>
  <c r="DK469" i="16"/>
  <c r="EJ510" i="16"/>
  <c r="EP375" i="16"/>
  <c r="DM77" i="16"/>
  <c r="DC415" i="16"/>
  <c r="EK166" i="16"/>
  <c r="EC59" i="16"/>
  <c r="DC246" i="16"/>
  <c r="DW92" i="16"/>
  <c r="EP221" i="16"/>
  <c r="DG337" i="16"/>
  <c r="DX375" i="16"/>
  <c r="DJ379" i="16"/>
  <c r="EP102" i="16"/>
  <c r="DC171" i="16"/>
  <c r="ED201" i="16"/>
  <c r="EK225" i="16"/>
  <c r="DR197" i="16"/>
  <c r="DA437" i="16"/>
  <c r="DK225" i="16"/>
  <c r="DK369" i="16"/>
  <c r="EE239" i="16"/>
  <c r="DK314" i="16"/>
  <c r="DE356" i="16"/>
  <c r="ES429" i="16"/>
  <c r="DB248" i="16"/>
  <c r="DE351" i="16"/>
  <c r="DW328" i="16"/>
  <c r="EF272" i="16"/>
  <c r="EP53" i="16"/>
  <c r="EQ162" i="16"/>
  <c r="DR442" i="16"/>
  <c r="DY148" i="16"/>
  <c r="EH118" i="16"/>
  <c r="EB276" i="16"/>
  <c r="DK384" i="16"/>
  <c r="EI511" i="16"/>
  <c r="EO111" i="16"/>
  <c r="DL377" i="16"/>
  <c r="ED456" i="16"/>
  <c r="EI474" i="16"/>
  <c r="ES102" i="16"/>
  <c r="EK346" i="16"/>
  <c r="DD213" i="16"/>
  <c r="ED141" i="16"/>
  <c r="DU322" i="16"/>
  <c r="DU279" i="16"/>
  <c r="DI105" i="16"/>
  <c r="DY317" i="16"/>
  <c r="DL298" i="16"/>
  <c r="DX297" i="16"/>
  <c r="EE53" i="16"/>
  <c r="DW99" i="16"/>
  <c r="ES262" i="16"/>
  <c r="EJ263" i="16"/>
  <c r="EA140" i="16"/>
  <c r="DK211" i="16"/>
  <c r="DV119" i="16"/>
  <c r="DL486" i="16"/>
  <c r="DD170" i="16"/>
  <c r="DY349" i="16"/>
  <c r="DN70" i="16"/>
  <c r="EF314" i="16"/>
  <c r="DG514" i="16"/>
  <c r="EG169" i="16"/>
  <c r="DT389" i="16"/>
  <c r="DQ421" i="16"/>
  <c r="DO131" i="16"/>
  <c r="DI57" i="16"/>
  <c r="EO135" i="16"/>
  <c r="DX477" i="16"/>
  <c r="ES373" i="16"/>
  <c r="EN145" i="16"/>
  <c r="DL465" i="16"/>
  <c r="DV187" i="16"/>
  <c r="DL461" i="16"/>
  <c r="DC61" i="16"/>
  <c r="EO408" i="16"/>
  <c r="EL336" i="16"/>
  <c r="DH305" i="16"/>
  <c r="DI482" i="16"/>
  <c r="DA150" i="16"/>
  <c r="DE250" i="16"/>
  <c r="DV456" i="16"/>
  <c r="EM276" i="16"/>
  <c r="EJ305" i="16"/>
  <c r="DW59" i="16"/>
  <c r="DF51" i="16"/>
  <c r="EM219" i="16"/>
  <c r="EM494" i="16"/>
  <c r="DK93" i="16"/>
  <c r="DJ509" i="16"/>
  <c r="DH475" i="16"/>
  <c r="DS504" i="16"/>
  <c r="EM352" i="16"/>
  <c r="DD237" i="16"/>
  <c r="DH398" i="16"/>
  <c r="DJ188" i="16"/>
  <c r="EO390" i="16"/>
  <c r="DL433" i="16"/>
  <c r="DU338" i="16"/>
  <c r="DF110" i="16"/>
  <c r="EJ425" i="16"/>
  <c r="EF203" i="16"/>
  <c r="EH231" i="16"/>
  <c r="DY127" i="16"/>
  <c r="EM360" i="16"/>
  <c r="EK315" i="16"/>
  <c r="DL339" i="16"/>
  <c r="EC430" i="16"/>
  <c r="EA186" i="16"/>
  <c r="DF354" i="16"/>
  <c r="EB383" i="16"/>
  <c r="DY500" i="16"/>
  <c r="ES386" i="16"/>
  <c r="EF104" i="16"/>
  <c r="EP435" i="16"/>
  <c r="EE250" i="16"/>
  <c r="DU385" i="16"/>
  <c r="EM445" i="16"/>
  <c r="EE431" i="16"/>
  <c r="EA302" i="16"/>
  <c r="DB235" i="16"/>
  <c r="DG164" i="16"/>
  <c r="DX179" i="16"/>
  <c r="DP454" i="16"/>
  <c r="DH242" i="16"/>
  <c r="DX408" i="16"/>
  <c r="DE279" i="16"/>
  <c r="EE199" i="16"/>
  <c r="EN332" i="16"/>
  <c r="EL240" i="16"/>
  <c r="DN398" i="16"/>
  <c r="DZ446" i="16"/>
  <c r="EL51" i="16"/>
  <c r="DZ77" i="16"/>
  <c r="DK198" i="16"/>
  <c r="DV111" i="16"/>
  <c r="DA499" i="16"/>
  <c r="DX421" i="16"/>
  <c r="EC376" i="16"/>
  <c r="EP62" i="16"/>
  <c r="DK100" i="16"/>
  <c r="DV469" i="16"/>
  <c r="DC318" i="16"/>
  <c r="EE165" i="16"/>
  <c r="EK144" i="16"/>
  <c r="DF216" i="16"/>
  <c r="DQ323" i="16"/>
  <c r="EI292" i="16"/>
  <c r="DT125" i="16"/>
  <c r="EM161" i="16"/>
  <c r="DC360" i="16"/>
  <c r="EN73" i="16"/>
  <c r="EL511" i="16"/>
  <c r="DC510" i="16"/>
  <c r="EK373" i="16"/>
  <c r="DD395" i="16"/>
  <c r="DA267" i="16"/>
  <c r="DC326" i="16"/>
  <c r="EK338" i="16"/>
  <c r="DL148" i="16"/>
  <c r="EP252" i="16"/>
  <c r="ER312" i="16"/>
  <c r="CZ85" i="16"/>
  <c r="DS169" i="16"/>
  <c r="DO452" i="16"/>
  <c r="DU318" i="16"/>
  <c r="DX188" i="16"/>
  <c r="DQ403" i="16"/>
  <c r="EM403" i="16"/>
  <c r="DC82" i="16"/>
  <c r="DJ81" i="16"/>
  <c r="EF402" i="16"/>
  <c r="DL213" i="16"/>
  <c r="DQ67" i="16"/>
  <c r="CZ189" i="16"/>
  <c r="DC134" i="16"/>
  <c r="DX345" i="16"/>
  <c r="EJ230" i="16"/>
  <c r="DD166" i="16"/>
  <c r="EF426" i="16"/>
  <c r="DF119" i="16"/>
  <c r="DW502" i="16"/>
  <c r="ER139" i="16"/>
  <c r="DE138" i="16"/>
  <c r="ER511" i="16"/>
  <c r="DD271" i="16"/>
  <c r="EE84" i="16"/>
  <c r="DQ142" i="16"/>
  <c r="DB121" i="16"/>
  <c r="EE469" i="16"/>
  <c r="DE242" i="16"/>
  <c r="DW332" i="16"/>
  <c r="DY324" i="16"/>
  <c r="EL459" i="16"/>
  <c r="DL370" i="16"/>
  <c r="EC314" i="16"/>
  <c r="EC117" i="16"/>
  <c r="DM182" i="16"/>
  <c r="EB506" i="16"/>
  <c r="EG280" i="16"/>
  <c r="DF415" i="16"/>
  <c r="DR168" i="16"/>
  <c r="DI187" i="16"/>
  <c r="DE125" i="16"/>
  <c r="DU434" i="16"/>
  <c r="DL471" i="16"/>
  <c r="DH132" i="16"/>
  <c r="EQ323" i="16"/>
  <c r="DE269" i="16"/>
  <c r="DW129" i="16"/>
  <c r="EN146" i="16"/>
  <c r="EA276" i="16"/>
  <c r="EH324" i="16"/>
  <c r="DW461" i="16"/>
  <c r="DQ405" i="16"/>
  <c r="DM116" i="16"/>
  <c r="CZ497" i="16"/>
  <c r="DV482" i="16"/>
  <c r="EM364" i="16"/>
  <c r="EC87" i="16"/>
  <c r="CZ249" i="16"/>
  <c r="EB255" i="16"/>
  <c r="DL214" i="16"/>
  <c r="EC213" i="16"/>
  <c r="DJ264" i="16"/>
  <c r="DE82" i="16"/>
  <c r="EM218" i="16"/>
  <c r="EO92" i="16"/>
  <c r="DK97" i="16"/>
  <c r="DX407" i="16"/>
  <c r="EJ105" i="16"/>
  <c r="CZ506" i="16"/>
  <c r="DB484" i="16"/>
  <c r="DI412" i="16"/>
  <c r="DG379" i="16"/>
  <c r="EK234" i="16"/>
  <c r="EE77" i="16"/>
  <c r="DX312" i="16"/>
  <c r="EK481" i="16"/>
  <c r="CZ354" i="16"/>
  <c r="EC214" i="16"/>
  <c r="DA500" i="16"/>
  <c r="DI174" i="16"/>
  <c r="ER410" i="16"/>
  <c r="DI68" i="16"/>
  <c r="DK168" i="16"/>
  <c r="DE100" i="16"/>
  <c r="DO117" i="16"/>
  <c r="DH150" i="16"/>
  <c r="ES513" i="16"/>
  <c r="EE339" i="16"/>
  <c r="EJ168" i="16"/>
  <c r="ES59" i="16"/>
  <c r="DC49" i="16"/>
  <c r="EO162" i="16"/>
  <c r="EB430" i="16"/>
  <c r="EB385" i="16"/>
  <c r="DL306" i="16"/>
  <c r="ED148" i="16"/>
  <c r="DN246" i="16"/>
  <c r="EJ279" i="16"/>
  <c r="DG234" i="16"/>
  <c r="EH122" i="16"/>
  <c r="DD159" i="16"/>
  <c r="DF147" i="16"/>
  <c r="EP506" i="16"/>
  <c r="DK186" i="16"/>
  <c r="EN399" i="16"/>
  <c r="EE397" i="16"/>
  <c r="DR220" i="16"/>
  <c r="DC305" i="16"/>
  <c r="DX444" i="16"/>
  <c r="EH110" i="16"/>
  <c r="DD221" i="16"/>
  <c r="EF59" i="16"/>
  <c r="EC500" i="16"/>
  <c r="EB445" i="16"/>
  <c r="EQ123" i="16"/>
  <c r="DF390" i="16"/>
  <c r="DU349" i="16"/>
  <c r="EE389" i="16"/>
  <c r="EG178" i="16"/>
  <c r="DK95" i="16"/>
  <c r="DV70" i="16"/>
  <c r="DL357" i="16"/>
  <c r="DZ177" i="16"/>
  <c r="EH420" i="16"/>
  <c r="DA107" i="16"/>
  <c r="EL127" i="16"/>
  <c r="DQ207" i="16"/>
  <c r="DM49" i="16"/>
  <c r="EF123" i="16"/>
  <c r="DT240" i="16"/>
  <c r="DP459" i="16"/>
  <c r="DY478" i="16"/>
  <c r="EN404" i="16"/>
  <c r="EB312" i="16"/>
  <c r="EO456" i="16"/>
  <c r="EH74" i="16"/>
  <c r="EL235" i="16"/>
  <c r="ED214" i="16"/>
  <c r="EK343" i="16"/>
  <c r="EN150" i="16"/>
  <c r="DF132" i="16"/>
  <c r="EQ74" i="16"/>
  <c r="DF188" i="16"/>
  <c r="DH336" i="16"/>
  <c r="EM76" i="16"/>
  <c r="EF77" i="16"/>
  <c r="DM247" i="16"/>
  <c r="ER347" i="16"/>
  <c r="EE106" i="16"/>
  <c r="CZ428" i="16"/>
  <c r="EA483" i="16"/>
  <c r="DG270" i="16"/>
  <c r="DZ222" i="16"/>
  <c r="EK156" i="16"/>
  <c r="DW187" i="16"/>
  <c r="DE304" i="16"/>
  <c r="DB198" i="16"/>
  <c r="DA271" i="16"/>
  <c r="DT232" i="16"/>
  <c r="DW76" i="16"/>
  <c r="EL461" i="16"/>
  <c r="EB423" i="16"/>
  <c r="EM496" i="16"/>
  <c r="DB139" i="16"/>
  <c r="DS150" i="16"/>
  <c r="DO186" i="16"/>
  <c r="DT468" i="16"/>
  <c r="CZ481" i="16"/>
  <c r="DQ513" i="16"/>
  <c r="DY340" i="16"/>
  <c r="EN121" i="16"/>
  <c r="ED227" i="16"/>
  <c r="DL379" i="16"/>
  <c r="DQ432" i="16"/>
  <c r="DK216" i="16"/>
  <c r="DB107" i="16"/>
  <c r="DT327" i="16"/>
  <c r="DO503" i="16"/>
  <c r="EQ114" i="16"/>
  <c r="EH351" i="16"/>
  <c r="EI488" i="16"/>
  <c r="EF157" i="16"/>
  <c r="EG317" i="16"/>
  <c r="EB94" i="16"/>
  <c r="EK122" i="16"/>
  <c r="DB499" i="16"/>
  <c r="EP180" i="16"/>
  <c r="ER245" i="16"/>
  <c r="DJ79" i="16"/>
  <c r="EK210" i="16"/>
  <c r="DZ201" i="16"/>
  <c r="EI239" i="16"/>
  <c r="DW473" i="16"/>
  <c r="EC470" i="16"/>
  <c r="DS269" i="16"/>
  <c r="DP513" i="16"/>
  <c r="EC515" i="16"/>
  <c r="EE340" i="16"/>
  <c r="EC88" i="16"/>
  <c r="CZ408" i="16"/>
  <c r="DI386" i="16"/>
  <c r="DL195" i="16"/>
  <c r="DL253" i="16"/>
  <c r="DT305" i="16"/>
  <c r="DD95" i="16"/>
  <c r="EL257" i="16"/>
  <c r="EI136" i="16"/>
  <c r="CZ515" i="16"/>
  <c r="ER115" i="16"/>
  <c r="CZ318" i="16"/>
  <c r="ER274" i="16"/>
  <c r="DO279" i="16"/>
  <c r="EO84" i="16"/>
  <c r="EN467" i="16"/>
  <c r="DR247" i="16"/>
  <c r="DT304" i="16"/>
  <c r="EF366" i="16"/>
  <c r="ER282" i="16"/>
  <c r="EH347" i="16"/>
  <c r="EF502" i="16"/>
  <c r="DI97" i="16"/>
  <c r="DN393" i="16"/>
  <c r="DM263" i="16"/>
  <c r="DN325" i="16"/>
  <c r="DK176" i="16"/>
  <c r="DJ285" i="16"/>
  <c r="EO307" i="16"/>
  <c r="EF417" i="16"/>
  <c r="EB402" i="16"/>
  <c r="EO170" i="16"/>
  <c r="DN413" i="16"/>
  <c r="EQ132" i="16"/>
  <c r="EB452" i="16"/>
  <c r="EK488" i="16"/>
  <c r="DM62" i="16"/>
  <c r="EA462" i="16"/>
  <c r="DA472" i="16"/>
  <c r="DP118" i="16"/>
  <c r="EF238" i="16"/>
  <c r="DU115" i="16"/>
  <c r="EO90" i="16"/>
  <c r="EF97" i="16"/>
  <c r="DF348" i="16"/>
  <c r="DJ242" i="16"/>
  <c r="EJ483" i="16"/>
  <c r="EO260" i="16"/>
  <c r="EL501" i="16"/>
  <c r="DC65" i="16"/>
  <c r="DE280" i="16"/>
  <c r="EP231" i="16"/>
  <c r="EB203" i="16"/>
  <c r="DD188" i="16"/>
  <c r="EN377" i="16"/>
  <c r="DC508" i="16"/>
  <c r="DM257" i="16"/>
  <c r="EC50" i="16"/>
  <c r="EM107" i="16"/>
  <c r="DR101" i="16"/>
  <c r="EL149" i="16"/>
  <c r="DG407" i="16"/>
  <c r="EF374" i="16"/>
  <c r="EK516" i="16"/>
  <c r="EA412" i="16"/>
  <c r="DW372" i="16"/>
  <c r="DA364" i="16"/>
  <c r="EB243" i="16"/>
  <c r="CZ397" i="16"/>
  <c r="ER209" i="16"/>
  <c r="EP250" i="16"/>
  <c r="EE253" i="16"/>
  <c r="DB515" i="16"/>
  <c r="DN437" i="16"/>
  <c r="DI274" i="16"/>
  <c r="EL137" i="16"/>
  <c r="CZ205" i="16"/>
  <c r="ER111" i="16"/>
  <c r="DR128" i="16"/>
  <c r="DE492" i="16"/>
  <c r="DO205" i="16"/>
  <c r="DV409" i="16"/>
  <c r="DB458" i="16"/>
  <c r="EL79" i="16"/>
  <c r="DF53" i="16"/>
  <c r="EQ197" i="16"/>
  <c r="DG271" i="16"/>
  <c r="DM396" i="16"/>
  <c r="DC346" i="16"/>
  <c r="EN52" i="16"/>
  <c r="DK447" i="16"/>
  <c r="DN150" i="16"/>
  <c r="DO61" i="16"/>
  <c r="EH511" i="16"/>
  <c r="EA297" i="16"/>
  <c r="ED230" i="16"/>
  <c r="EA95" i="16"/>
  <c r="DF228" i="16"/>
  <c r="DX184" i="16"/>
  <c r="EI472" i="16"/>
  <c r="DO230" i="16"/>
  <c r="ES224" i="16"/>
  <c r="DF457" i="16"/>
  <c r="EG311" i="16"/>
  <c r="EQ111" i="16"/>
  <c r="DN298" i="16"/>
  <c r="EF112" i="16"/>
  <c r="ED249" i="16"/>
  <c r="DX396" i="16"/>
  <c r="EH335" i="16"/>
  <c r="DD154" i="16"/>
  <c r="DD327" i="16"/>
  <c r="ED448" i="16"/>
  <c r="DZ100" i="16"/>
  <c r="EF473" i="16"/>
  <c r="ES329" i="16"/>
  <c r="DY219" i="16"/>
  <c r="DZ502" i="16"/>
  <c r="DH456" i="16"/>
  <c r="EN107" i="16"/>
  <c r="DA505" i="16"/>
  <c r="DF102" i="16"/>
  <c r="DO297" i="16"/>
  <c r="DH129" i="16"/>
  <c r="EI191" i="16"/>
  <c r="DO450" i="16"/>
  <c r="EQ408" i="16"/>
  <c r="EH456" i="16"/>
  <c r="ES283" i="16"/>
  <c r="DX269" i="16"/>
  <c r="EA514" i="16"/>
  <c r="ES455" i="16"/>
  <c r="DE228" i="16"/>
  <c r="DN77" i="16"/>
  <c r="ED176" i="16"/>
  <c r="DV113" i="16"/>
  <c r="DC150" i="16"/>
  <c r="EI405" i="16"/>
  <c r="EI126" i="16"/>
  <c r="EG481" i="16"/>
  <c r="DD362" i="16"/>
  <c r="EC112" i="16"/>
  <c r="DN495" i="16"/>
  <c r="DY381" i="16"/>
  <c r="DD496" i="16"/>
  <c r="ER468" i="16"/>
  <c r="DK50" i="16"/>
  <c r="DL73" i="16"/>
  <c r="DP67" i="16"/>
  <c r="DZ339" i="16"/>
  <c r="DE143" i="16"/>
  <c r="EG404" i="16"/>
  <c r="DR232" i="16"/>
  <c r="EN90" i="16"/>
  <c r="EN171" i="16"/>
  <c r="EN496" i="16"/>
  <c r="DX216" i="16"/>
  <c r="DR210" i="16"/>
  <c r="DV398" i="16"/>
  <c r="DU51" i="16"/>
  <c r="EC221" i="16"/>
  <c r="DI277" i="16"/>
  <c r="DQ475" i="16"/>
  <c r="DL125" i="16"/>
  <c r="DJ55" i="16"/>
  <c r="EQ263" i="16"/>
  <c r="EH448" i="16"/>
  <c r="EH52" i="16"/>
  <c r="ED309" i="16"/>
  <c r="DD343" i="16"/>
  <c r="DB379" i="16"/>
  <c r="DV144" i="16"/>
  <c r="DO309" i="16"/>
  <c r="EQ227" i="16"/>
  <c r="EQ515" i="16"/>
  <c r="DB432" i="16"/>
  <c r="EF122" i="16"/>
  <c r="EG418" i="16"/>
  <c r="EL173" i="16"/>
  <c r="EQ436" i="16"/>
  <c r="DW57" i="16"/>
  <c r="DI419" i="16"/>
  <c r="DZ118" i="16"/>
  <c r="EG512" i="16"/>
  <c r="EO385" i="16"/>
  <c r="CZ100" i="16"/>
  <c r="EB90" i="16"/>
  <c r="DF156" i="16"/>
  <c r="DU228" i="16"/>
  <c r="EJ435" i="16"/>
  <c r="DS73" i="16"/>
  <c r="DM450" i="16"/>
  <c r="DM57" i="16"/>
  <c r="DV507" i="16"/>
  <c r="DQ390" i="16"/>
  <c r="DS478" i="16"/>
  <c r="DK163" i="16"/>
  <c r="DT168" i="16"/>
  <c r="DR159" i="16"/>
  <c r="CZ487" i="16"/>
  <c r="EQ455" i="16"/>
  <c r="DM76" i="16"/>
  <c r="EE163" i="16"/>
  <c r="DA470" i="16"/>
  <c r="DF220" i="16"/>
  <c r="EK352" i="16"/>
  <c r="DW71" i="16"/>
  <c r="EN233" i="16"/>
  <c r="DV504" i="16"/>
  <c r="DS321" i="16"/>
  <c r="ED352" i="16"/>
  <c r="EB98" i="16"/>
  <c r="EN68" i="16"/>
  <c r="DH123" i="16"/>
  <c r="DV497" i="16"/>
  <c r="DG375" i="16"/>
  <c r="EQ230" i="16"/>
  <c r="EC311" i="16"/>
  <c r="DA188" i="16"/>
  <c r="DX417" i="16"/>
  <c r="DP200" i="16"/>
  <c r="DW56" i="16"/>
  <c r="EE370" i="16"/>
  <c r="EO55" i="16"/>
  <c r="DN471" i="16"/>
  <c r="EM322" i="16"/>
  <c r="EG384" i="16"/>
  <c r="EB152" i="16"/>
  <c r="EB220" i="16"/>
  <c r="ED438" i="16"/>
  <c r="DS220" i="16"/>
  <c r="DQ101" i="16"/>
  <c r="EM179" i="16"/>
  <c r="DD277" i="16"/>
  <c r="EM233" i="16"/>
  <c r="DK485" i="16"/>
  <c r="DY207" i="16"/>
  <c r="ES411" i="16"/>
  <c r="EI388" i="16"/>
  <c r="DM454" i="16"/>
  <c r="DJ417" i="16"/>
  <c r="EC159" i="16"/>
  <c r="EJ478" i="16"/>
  <c r="DB442" i="16"/>
  <c r="DO491" i="16"/>
  <c r="DV123" i="16"/>
  <c r="EN409" i="16"/>
  <c r="EG222" i="16"/>
  <c r="DW73" i="16"/>
  <c r="EB491" i="16"/>
  <c r="DB174" i="16"/>
  <c r="ER159" i="16"/>
  <c r="DM122" i="16"/>
  <c r="DZ183" i="16"/>
  <c r="DV389" i="16"/>
  <c r="DC100" i="16"/>
  <c r="DA140" i="16"/>
  <c r="EL449" i="16"/>
  <c r="DU199" i="16"/>
  <c r="DF377" i="16"/>
  <c r="EN447" i="16"/>
  <c r="DP411" i="16"/>
  <c r="EO393" i="16"/>
  <c r="EA234" i="16"/>
  <c r="DI84" i="16"/>
  <c r="DL101" i="16"/>
  <c r="DS511" i="16"/>
  <c r="EC103" i="16"/>
  <c r="EQ76" i="16"/>
  <c r="DM206" i="16"/>
  <c r="EN355" i="16"/>
  <c r="EF488" i="16"/>
  <c r="DG403" i="16"/>
  <c r="CZ434" i="16"/>
  <c r="EQ55" i="16"/>
  <c r="DT202" i="16"/>
  <c r="ED107" i="16"/>
  <c r="DO207" i="16"/>
  <c r="DR187" i="16"/>
  <c r="EB266" i="16"/>
  <c r="EF513" i="16"/>
  <c r="DI462" i="16"/>
  <c r="DG151" i="16"/>
  <c r="DJ367" i="16"/>
  <c r="DX56" i="16"/>
  <c r="EQ391" i="16"/>
  <c r="DB376" i="16"/>
  <c r="EH468" i="16"/>
  <c r="DS94" i="16"/>
  <c r="DO374" i="16"/>
  <c r="DB383" i="16"/>
  <c r="DQ152" i="16"/>
  <c r="DG455" i="16"/>
  <c r="DF260" i="16"/>
  <c r="DD469" i="16"/>
  <c r="DT394" i="16"/>
  <c r="EA275" i="16"/>
  <c r="DQ181" i="16"/>
  <c r="DR305" i="16"/>
  <c r="ED100" i="16"/>
  <c r="EE145" i="16"/>
  <c r="DE261" i="16"/>
  <c r="DL235" i="16"/>
  <c r="DA92" i="16"/>
  <c r="EG338" i="16"/>
  <c r="DL210" i="16"/>
  <c r="DF356" i="16"/>
  <c r="CZ464" i="16"/>
  <c r="DJ177" i="16"/>
  <c r="DN274" i="16"/>
  <c r="DZ62" i="16"/>
  <c r="DI503" i="16"/>
  <c r="ES176" i="16"/>
  <c r="DP451" i="16"/>
  <c r="EM160" i="16"/>
  <c r="EF101" i="16"/>
  <c r="EI189" i="16"/>
  <c r="EF253" i="16"/>
  <c r="DR177" i="16"/>
  <c r="EI476" i="16"/>
  <c r="EK96" i="16"/>
  <c r="EG103" i="16"/>
  <c r="DZ470" i="16"/>
  <c r="DL463" i="16"/>
  <c r="ER489" i="16"/>
  <c r="EI264" i="16"/>
  <c r="DI269" i="16"/>
  <c r="CZ82" i="16"/>
  <c r="DN404" i="16"/>
  <c r="EN136" i="16"/>
  <c r="EL432" i="16"/>
  <c r="DZ291" i="16"/>
  <c r="DX356" i="16"/>
  <c r="CZ367" i="16"/>
  <c r="EQ443" i="16"/>
  <c r="DI257" i="16"/>
  <c r="DR325" i="16"/>
  <c r="DO395" i="16"/>
  <c r="DI337" i="16"/>
  <c r="DB370" i="16"/>
  <c r="DF179" i="16"/>
  <c r="EI489" i="16"/>
  <c r="EQ172" i="16"/>
  <c r="EL135" i="16"/>
  <c r="DK255" i="16"/>
  <c r="EF84" i="16"/>
  <c r="EQ232" i="16"/>
  <c r="DW147" i="16"/>
  <c r="DK196" i="16"/>
  <c r="DW97" i="16"/>
  <c r="CZ235" i="16"/>
  <c r="DF452" i="16"/>
  <c r="EF246" i="16"/>
  <c r="EN220" i="16"/>
  <c r="DD301" i="16"/>
  <c r="EH280" i="16"/>
  <c r="DV474" i="16"/>
  <c r="DJ160" i="16"/>
  <c r="DB178" i="16"/>
  <c r="DM90" i="16"/>
  <c r="EC100" i="16"/>
  <c r="DN448" i="16"/>
  <c r="DY160" i="16"/>
  <c r="DG289" i="16"/>
  <c r="DY257" i="16"/>
  <c r="EK223" i="16"/>
  <c r="DS404" i="16"/>
  <c r="DW66" i="16"/>
  <c r="EQ406" i="16"/>
  <c r="EH355" i="16"/>
  <c r="DP154" i="16"/>
  <c r="ES245" i="16"/>
  <c r="DM179" i="16"/>
  <c r="DE155" i="16"/>
  <c r="EM260" i="16"/>
  <c r="EK474" i="16"/>
  <c r="EK327" i="16"/>
  <c r="EI395" i="16"/>
  <c r="DG119" i="16"/>
  <c r="DS328" i="16"/>
  <c r="DY246" i="16"/>
  <c r="ER146" i="16"/>
  <c r="DB292" i="16"/>
  <c r="EH397" i="16"/>
  <c r="DK104" i="16"/>
  <c r="DC350" i="16"/>
  <c r="DC178" i="16"/>
  <c r="ER441" i="16"/>
  <c r="ER456" i="16"/>
  <c r="ES450" i="16"/>
  <c r="DY327" i="16"/>
  <c r="DS193" i="16"/>
  <c r="DS400" i="16"/>
  <c r="EE249" i="16"/>
  <c r="DS114" i="16"/>
  <c r="EP186" i="16"/>
  <c r="DT357" i="16"/>
  <c r="EH322" i="16"/>
  <c r="DV107" i="16"/>
  <c r="DD500" i="16"/>
  <c r="DN190" i="16"/>
  <c r="DI132" i="16"/>
  <c r="DK480" i="16"/>
  <c r="EP69" i="16"/>
  <c r="DB511" i="16"/>
  <c r="EQ262" i="16"/>
  <c r="DK55" i="16"/>
  <c r="DO203" i="16"/>
  <c r="DE268" i="16"/>
  <c r="DK173" i="16"/>
  <c r="DJ178" i="16"/>
  <c r="DZ92" i="16"/>
  <c r="DI432" i="16"/>
  <c r="DD381" i="16"/>
  <c r="DH229" i="16"/>
  <c r="DR497" i="16"/>
  <c r="EG207" i="16"/>
  <c r="DY221" i="16"/>
  <c r="DJ237" i="16"/>
  <c r="EE331" i="16"/>
  <c r="DG443" i="16"/>
  <c r="EN384" i="16"/>
  <c r="EB319" i="16"/>
  <c r="EL136" i="16"/>
  <c r="EO313" i="16"/>
  <c r="EP338" i="16"/>
  <c r="EH98" i="16"/>
  <c r="DL391" i="16"/>
  <c r="DZ216" i="16"/>
  <c r="EE260" i="16"/>
  <c r="DH478" i="16"/>
  <c r="DG317" i="16"/>
  <c r="EM169" i="16"/>
  <c r="DW438" i="16"/>
  <c r="ED424" i="16"/>
  <c r="EF163" i="16"/>
  <c r="DS410" i="16"/>
  <c r="EQ205" i="16"/>
  <c r="DW137" i="16"/>
  <c r="EH451" i="16"/>
  <c r="ED323" i="16"/>
  <c r="DW309" i="16"/>
  <c r="DN258" i="16"/>
  <c r="DA268" i="16"/>
  <c r="EM66" i="16"/>
  <c r="DG105" i="16"/>
  <c r="ES503" i="16"/>
  <c r="DZ264" i="16"/>
  <c r="ED495" i="16"/>
  <c r="EH149" i="16"/>
  <c r="CZ251" i="16"/>
  <c r="EN189" i="16"/>
  <c r="DG110" i="16"/>
  <c r="DT244" i="16"/>
  <c r="DK53" i="16"/>
  <c r="DB113" i="16"/>
  <c r="EC402" i="16"/>
  <c r="DX109" i="16"/>
  <c r="EG97" i="16"/>
  <c r="EL303" i="16"/>
  <c r="EC296" i="16"/>
  <c r="DG497" i="16"/>
  <c r="DI414" i="16"/>
  <c r="DT188" i="16"/>
  <c r="DP317" i="16"/>
  <c r="DW297" i="16"/>
  <c r="EP230" i="16"/>
  <c r="EI339" i="16"/>
  <c r="DI322" i="16"/>
  <c r="DQ177" i="16"/>
  <c r="CZ228" i="16"/>
  <c r="DT64" i="16"/>
  <c r="DN431" i="16"/>
  <c r="ES427" i="16"/>
  <c r="DN428" i="16"/>
  <c r="EM447" i="16"/>
  <c r="DZ495" i="16"/>
  <c r="EQ246" i="16"/>
  <c r="EH106" i="16"/>
  <c r="EM330" i="16"/>
  <c r="ER265" i="16"/>
  <c r="DF285" i="16"/>
  <c r="DC226" i="16"/>
  <c r="DQ332" i="16"/>
  <c r="DA214" i="16"/>
  <c r="DU114" i="16"/>
  <c r="EI58" i="16"/>
  <c r="EA396" i="16"/>
  <c r="EG74" i="16"/>
  <c r="DB214" i="16"/>
  <c r="DH470" i="16"/>
  <c r="DL429" i="16"/>
  <c r="EP88" i="16"/>
  <c r="DD311" i="16"/>
  <c r="EN343" i="16"/>
  <c r="EN333" i="16"/>
  <c r="EM159" i="16"/>
  <c r="ED304" i="16"/>
  <c r="EJ166" i="16"/>
  <c r="DG355" i="16"/>
  <c r="EL440" i="16"/>
  <c r="ER55" i="16"/>
  <c r="EC417" i="16"/>
  <c r="EO510" i="16"/>
  <c r="EI477" i="16"/>
  <c r="EP477" i="16"/>
  <c r="ES74" i="16"/>
  <c r="DV371" i="16"/>
  <c r="DI52" i="16"/>
  <c r="DU311" i="16"/>
  <c r="DK132" i="16"/>
  <c r="EH49" i="16"/>
  <c r="DW145" i="16"/>
  <c r="CZ507" i="16"/>
  <c r="EL177" i="16"/>
  <c r="DD334" i="16"/>
  <c r="DL477" i="16"/>
  <c r="DA486" i="16"/>
  <c r="EP289" i="16"/>
  <c r="DP70" i="16"/>
  <c r="EM127" i="16"/>
  <c r="DF236" i="16"/>
  <c r="DS479" i="16"/>
  <c r="DU394" i="16"/>
  <c r="DV490" i="16"/>
  <c r="DH63" i="16"/>
  <c r="DW379" i="16"/>
  <c r="DH263" i="16"/>
  <c r="EA249" i="16"/>
  <c r="DS403" i="16"/>
  <c r="DY141" i="16"/>
  <c r="DS213" i="16"/>
  <c r="DS425" i="16"/>
  <c r="DH283" i="16"/>
  <c r="DY352" i="16"/>
  <c r="DR405" i="16"/>
  <c r="DW89" i="16"/>
  <c r="DH396" i="16"/>
  <c r="DK257" i="16"/>
  <c r="DL278" i="16"/>
  <c r="DP82" i="16"/>
  <c r="EK213" i="16"/>
  <c r="EQ283" i="16"/>
  <c r="DS335" i="16"/>
  <c r="ER57" i="16"/>
  <c r="EN278" i="16"/>
  <c r="EN425" i="16"/>
  <c r="DC76" i="16"/>
  <c r="DA304" i="16"/>
  <c r="DL145" i="16"/>
  <c r="EF448" i="16"/>
  <c r="DO405" i="16"/>
  <c r="EJ255" i="16"/>
  <c r="DJ303" i="16"/>
  <c r="EP71" i="16"/>
  <c r="DG259" i="16"/>
  <c r="EE232" i="16"/>
  <c r="DA312" i="16"/>
  <c r="DS141" i="16"/>
  <c r="DW384" i="16"/>
  <c r="DL509" i="16"/>
  <c r="EC129" i="16"/>
  <c r="DT54" i="16"/>
  <c r="DM400" i="16"/>
  <c r="EO434" i="16"/>
  <c r="DF383" i="16"/>
  <c r="DB161" i="16"/>
  <c r="DU291" i="16"/>
  <c r="DK333" i="16"/>
  <c r="DF269" i="16"/>
  <c r="EB99" i="16"/>
  <c r="DL365" i="16"/>
  <c r="DA235" i="16"/>
  <c r="DE101" i="16"/>
  <c r="DI237" i="16"/>
  <c r="ER367" i="16"/>
  <c r="EM220" i="16"/>
  <c r="DZ373" i="16"/>
  <c r="EP233" i="16"/>
  <c r="DC385" i="16"/>
  <c r="DC102" i="16"/>
  <c r="DK159" i="16"/>
  <c r="DR67" i="16"/>
  <c r="ES372" i="16"/>
  <c r="CZ103" i="16"/>
  <c r="DU466" i="16"/>
  <c r="EG82" i="16"/>
  <c r="EQ207" i="16"/>
  <c r="DO70" i="16"/>
  <c r="DQ299" i="16"/>
  <c r="DX226" i="16"/>
  <c r="EC201" i="16"/>
  <c r="EP426" i="16"/>
  <c r="DC300" i="16"/>
  <c r="DB343" i="16"/>
  <c r="DC210" i="16"/>
  <c r="EB160" i="16"/>
  <c r="EC380" i="16"/>
  <c r="EE142" i="16"/>
  <c r="DS49" i="16"/>
  <c r="EC215" i="16"/>
  <c r="EE475" i="16"/>
  <c r="EM62" i="16"/>
  <c r="DI158" i="16"/>
  <c r="EG242" i="16"/>
  <c r="DI291" i="16"/>
  <c r="ER168" i="16"/>
  <c r="EJ74" i="16"/>
  <c r="DP89" i="16"/>
  <c r="DT82" i="16"/>
  <c r="ED381" i="16"/>
  <c r="EC173" i="16"/>
  <c r="DW397" i="16"/>
  <c r="EO179" i="16"/>
  <c r="DL92" i="16"/>
  <c r="EL205" i="16"/>
  <c r="DC193" i="16"/>
  <c r="DD97" i="16"/>
  <c r="EC272" i="16"/>
  <c r="DZ377" i="16"/>
  <c r="DD331" i="16"/>
  <c r="DZ277" i="16"/>
  <c r="EB80" i="16"/>
  <c r="DL270" i="16"/>
  <c r="EA316" i="16"/>
  <c r="ES57" i="16"/>
  <c r="DR437" i="16"/>
  <c r="DD507" i="16"/>
  <c r="ED358" i="16"/>
  <c r="DH332" i="16"/>
  <c r="DB462" i="16"/>
  <c r="DL393" i="16"/>
  <c r="DP88" i="16"/>
  <c r="DS498" i="16"/>
  <c r="DT454" i="16"/>
  <c r="EI369" i="16"/>
  <c r="EJ389" i="16"/>
  <c r="DZ453" i="16"/>
  <c r="DZ229" i="16"/>
  <c r="DG494" i="16"/>
  <c r="EE349" i="16"/>
  <c r="DA429" i="16"/>
  <c r="CZ219" i="16"/>
  <c r="ES93" i="16"/>
  <c r="DP157" i="16"/>
  <c r="DW418" i="16"/>
  <c r="DY186" i="16"/>
  <c r="DM345" i="16"/>
  <c r="EO140" i="16"/>
  <c r="EL231" i="16"/>
  <c r="DH402" i="16"/>
  <c r="EJ173" i="16"/>
  <c r="DB488" i="16"/>
  <c r="EP407" i="16"/>
  <c r="DF412" i="16"/>
  <c r="DG193" i="16"/>
  <c r="DA59" i="16"/>
  <c r="DD175" i="16"/>
  <c r="DF204" i="16"/>
  <c r="DI213" i="16"/>
  <c r="DH481" i="16"/>
  <c r="DP470" i="16"/>
  <c r="DQ245" i="16"/>
  <c r="DD99" i="16"/>
  <c r="ES354" i="16"/>
  <c r="EJ266" i="16"/>
  <c r="DN406" i="16"/>
  <c r="DF267" i="16"/>
  <c r="DL300" i="16"/>
  <c r="EL243" i="16"/>
  <c r="DU57" i="16"/>
  <c r="EE432" i="16"/>
  <c r="EE152" i="16"/>
  <c r="DS297" i="16"/>
  <c r="ES479" i="16"/>
  <c r="DC228" i="16"/>
  <c r="DB412" i="16"/>
  <c r="DQ354" i="16"/>
  <c r="ES406" i="16"/>
  <c r="DP237" i="16"/>
  <c r="EP467" i="16"/>
  <c r="DB171" i="16"/>
  <c r="EN292" i="16"/>
  <c r="DK239" i="16"/>
  <c r="DC338" i="16"/>
  <c r="DZ403" i="16"/>
  <c r="EH323" i="16"/>
  <c r="DU76" i="16"/>
  <c r="DJ373" i="16"/>
  <c r="DH508" i="16"/>
  <c r="DA248" i="16"/>
  <c r="EC309" i="16"/>
  <c r="EL292" i="16"/>
  <c r="DQ113" i="16"/>
  <c r="ED178" i="16"/>
  <c r="EB101" i="16"/>
  <c r="DL109" i="16"/>
  <c r="ER210" i="16"/>
  <c r="EC136" i="16"/>
  <c r="DZ260" i="16"/>
  <c r="EB241" i="16"/>
  <c r="EL206" i="16"/>
  <c r="EN239" i="16"/>
  <c r="EB341" i="16"/>
  <c r="DC173" i="16"/>
  <c r="DU421" i="16"/>
  <c r="DR203" i="16"/>
  <c r="DU112" i="16"/>
  <c r="DS394" i="16"/>
  <c r="EM391" i="16"/>
  <c r="EK453" i="16"/>
  <c r="EF363" i="16"/>
  <c r="CZ107" i="16"/>
  <c r="DJ397" i="16"/>
  <c r="DT409" i="16"/>
  <c r="EJ286" i="16"/>
  <c r="DL291" i="16"/>
  <c r="EN440" i="16"/>
  <c r="DJ181" i="16"/>
  <c r="ES60" i="16"/>
  <c r="DC516" i="16"/>
  <c r="DO164" i="16"/>
  <c r="EM431" i="16"/>
  <c r="DM436" i="16"/>
  <c r="EM193" i="16"/>
  <c r="DL283" i="16"/>
  <c r="DA174" i="16"/>
  <c r="ED368" i="16"/>
  <c r="DW279" i="16"/>
  <c r="EE332" i="16"/>
  <c r="DI260" i="16"/>
  <c r="EF159" i="16"/>
  <c r="ED363" i="16"/>
  <c r="DO377" i="16"/>
  <c r="DJ329" i="16"/>
  <c r="EM264" i="16"/>
  <c r="DP488" i="16"/>
  <c r="DR298" i="16"/>
  <c r="DF121" i="16"/>
  <c r="DW513" i="16"/>
  <c r="EA184" i="16"/>
  <c r="DU486" i="16"/>
  <c r="DO52" i="16"/>
  <c r="DG386" i="16"/>
  <c r="EA477" i="16"/>
  <c r="DA327" i="16"/>
  <c r="DF440" i="16"/>
  <c r="EF290" i="16"/>
  <c r="DE248" i="16"/>
  <c r="EL470" i="16"/>
  <c r="DY419" i="16"/>
  <c r="DA497" i="16"/>
  <c r="EC227" i="16"/>
  <c r="DM360" i="16"/>
  <c r="DY459" i="16"/>
  <c r="DA498" i="16"/>
  <c r="DW360" i="16"/>
  <c r="DO375" i="16"/>
  <c r="EA82" i="16"/>
  <c r="DW236" i="16"/>
  <c r="DW164" i="16"/>
  <c r="DI406" i="16"/>
  <c r="DA314" i="16"/>
  <c r="DP422" i="16"/>
  <c r="DA468" i="16"/>
  <c r="DX333" i="16"/>
  <c r="EC140" i="16"/>
  <c r="DZ511" i="16"/>
  <c r="EG49" i="16"/>
  <c r="DA135" i="16"/>
  <c r="DP406" i="16"/>
  <c r="DK501" i="16"/>
  <c r="EI173" i="16"/>
  <c r="EO423" i="16"/>
  <c r="DS416" i="16"/>
  <c r="DM189" i="16"/>
  <c r="DY516" i="16"/>
  <c r="EH472" i="16"/>
  <c r="DM91" i="16"/>
  <c r="DB410" i="16"/>
  <c r="DQ349" i="16"/>
  <c r="EH484" i="16"/>
  <c r="EC166" i="16"/>
  <c r="CZ261" i="16"/>
  <c r="DR514" i="16"/>
  <c r="DR273" i="16"/>
  <c r="DC393" i="16"/>
  <c r="EA138" i="16"/>
  <c r="EM121" i="16"/>
  <c r="EF242" i="16"/>
  <c r="EC379" i="16"/>
  <c r="DZ50" i="16"/>
  <c r="DL362" i="16"/>
  <c r="DX134" i="16"/>
  <c r="DD216" i="16"/>
  <c r="DV171" i="16"/>
  <c r="DP142" i="16"/>
  <c r="EA479" i="16"/>
  <c r="EJ307" i="16"/>
  <c r="EH391" i="16"/>
  <c r="DC448" i="16"/>
  <c r="DG467" i="16"/>
  <c r="DK82" i="16"/>
  <c r="EF221" i="16"/>
  <c r="EP323" i="16"/>
  <c r="DZ78" i="16"/>
  <c r="DG498" i="16"/>
  <c r="ES487" i="16"/>
  <c r="DY356" i="16"/>
  <c r="EQ492" i="16"/>
  <c r="DG70" i="16"/>
  <c r="CZ480" i="16"/>
  <c r="ES220" i="16"/>
  <c r="DK188" i="16"/>
  <c r="EP178" i="16"/>
  <c r="ED131" i="16"/>
  <c r="ED389" i="16"/>
  <c r="EA398" i="16"/>
  <c r="DV296" i="16"/>
  <c r="EQ73" i="16"/>
  <c r="DC280" i="16"/>
  <c r="DA189" i="16"/>
  <c r="DJ304" i="16"/>
  <c r="DP375" i="16"/>
  <c r="ER64" i="16"/>
  <c r="DG275" i="16"/>
  <c r="EC487" i="16"/>
  <c r="DS188" i="16"/>
  <c r="DS291" i="16"/>
  <c r="DU118" i="16"/>
  <c r="DO417" i="16"/>
  <c r="EL481" i="16"/>
  <c r="DF467" i="16"/>
  <c r="CZ231" i="16"/>
  <c r="DE406" i="16"/>
  <c r="DU272" i="16"/>
  <c r="DP63" i="16"/>
  <c r="DQ383" i="16"/>
  <c r="EI346" i="16"/>
  <c r="DB332" i="16"/>
  <c r="DV343" i="16"/>
  <c r="DP465" i="16"/>
  <c r="EK390" i="16"/>
  <c r="DX470" i="16"/>
  <c r="DP171" i="16"/>
  <c r="DW75" i="16"/>
  <c r="DK326" i="16"/>
  <c r="EJ161" i="16"/>
  <c r="EO71" i="16"/>
  <c r="DF259" i="16"/>
  <c r="DA160" i="16"/>
  <c r="DK194" i="16"/>
  <c r="DW305" i="16"/>
  <c r="DD219" i="16"/>
  <c r="EN509" i="16"/>
  <c r="EI409" i="16"/>
  <c r="DA462" i="16"/>
  <c r="EO58" i="16"/>
  <c r="ED78" i="16"/>
  <c r="EQ335" i="16"/>
  <c r="DR253" i="16"/>
  <c r="DZ136" i="16"/>
  <c r="DU457" i="16"/>
  <c r="ER164" i="16"/>
  <c r="DU55" i="16"/>
  <c r="DV68" i="16"/>
  <c r="EH221" i="16"/>
  <c r="DY409" i="16"/>
  <c r="EQ398" i="16"/>
  <c r="DK514" i="16"/>
  <c r="DA209" i="16"/>
  <c r="ES184" i="16"/>
  <c r="ES415" i="16"/>
  <c r="DX473" i="16"/>
  <c r="DN114" i="16"/>
  <c r="DJ217" i="16"/>
  <c r="DQ330" i="16"/>
  <c r="DL434" i="16"/>
  <c r="DS208" i="16"/>
  <c r="DM457" i="16"/>
  <c r="ER503" i="16"/>
  <c r="DY502" i="16"/>
  <c r="DI251" i="16"/>
  <c r="EK281" i="16"/>
  <c r="EB447" i="16"/>
  <c r="DO355" i="16"/>
  <c r="DG329" i="16"/>
  <c r="EO216" i="16"/>
  <c r="DL343" i="16"/>
  <c r="EO291" i="16"/>
  <c r="EQ58" i="16"/>
  <c r="DY498" i="16"/>
  <c r="ER136" i="16"/>
  <c r="DO474" i="16"/>
  <c r="DG57" i="16"/>
  <c r="DJ489" i="16"/>
  <c r="DP416" i="16"/>
  <c r="EM207" i="16"/>
  <c r="EG296" i="16"/>
  <c r="DA386" i="16"/>
  <c r="DZ427" i="16"/>
  <c r="DV279" i="16"/>
  <c r="DV98" i="16"/>
  <c r="ES146" i="16"/>
  <c r="EB368" i="16"/>
  <c r="DW63" i="16"/>
  <c r="DH137" i="16"/>
  <c r="DI409" i="16"/>
  <c r="EF132" i="16"/>
  <c r="ER419" i="16"/>
  <c r="EJ240" i="16"/>
  <c r="DE330" i="16"/>
  <c r="EL405" i="16"/>
  <c r="EE261" i="16"/>
  <c r="DM359" i="16"/>
  <c r="DI359" i="16"/>
  <c r="DA344" i="16"/>
  <c r="EN86" i="16"/>
  <c r="EL155" i="16"/>
  <c r="EP68" i="16"/>
  <c r="DF288" i="16"/>
  <c r="EM456" i="16"/>
  <c r="DZ124" i="16"/>
  <c r="DA204" i="16"/>
  <c r="DU301" i="16"/>
  <c r="EM272" i="16"/>
  <c r="DT53" i="16"/>
  <c r="EE390" i="16"/>
  <c r="DS55" i="16"/>
  <c r="ED102" i="16"/>
  <c r="EL125" i="16"/>
  <c r="DR502" i="16"/>
  <c r="EK328" i="16"/>
  <c r="EJ202" i="16"/>
  <c r="DZ512" i="16"/>
  <c r="DQ358" i="16"/>
  <c r="ER411" i="16"/>
  <c r="EL323" i="16"/>
  <c r="EH130" i="16"/>
  <c r="DW61" i="16"/>
  <c r="EI53" i="16"/>
  <c r="EA177" i="16"/>
  <c r="DN234" i="16"/>
  <c r="DR58" i="16"/>
  <c r="DT102" i="16"/>
  <c r="DH457" i="16"/>
  <c r="EK67" i="16"/>
  <c r="EL421" i="16"/>
  <c r="EH186" i="16"/>
  <c r="DS217" i="16"/>
  <c r="EB342" i="16"/>
  <c r="EK414" i="16"/>
  <c r="DN160" i="16"/>
  <c r="DP220" i="16"/>
  <c r="DS70" i="16"/>
  <c r="EA246" i="16"/>
  <c r="EB114" i="16"/>
  <c r="DU94" i="16"/>
  <c r="EB232" i="16"/>
  <c r="ED206" i="16"/>
  <c r="EC440" i="16"/>
  <c r="DU200" i="16"/>
  <c r="EP507" i="16"/>
  <c r="EK483" i="16"/>
  <c r="DA57" i="16"/>
  <c r="DH206" i="16"/>
  <c r="DV224" i="16"/>
  <c r="DW199" i="16"/>
  <c r="DB345" i="16"/>
  <c r="EC78" i="16"/>
  <c r="EM141" i="16"/>
  <c r="EB495" i="16"/>
  <c r="DM276" i="16"/>
  <c r="DN354" i="16"/>
  <c r="EG499" i="16"/>
  <c r="DZ426" i="16"/>
  <c r="EP65" i="16"/>
  <c r="DJ66" i="16"/>
  <c r="DS255" i="16"/>
  <c r="DP223" i="16"/>
  <c r="DZ114" i="16"/>
  <c r="ER414" i="16"/>
  <c r="DU396" i="16"/>
  <c r="CZ277" i="16"/>
  <c r="EA420" i="16"/>
  <c r="DE222" i="16"/>
  <c r="DH184" i="16"/>
  <c r="DK249" i="16"/>
  <c r="ER334" i="16"/>
  <c r="EF338" i="16"/>
  <c r="DY156" i="16"/>
  <c r="DG300" i="16"/>
  <c r="EI52" i="16"/>
  <c r="DQ134" i="16"/>
  <c r="EM101" i="16"/>
  <c r="EB357" i="16"/>
  <c r="DS284" i="16"/>
  <c r="DV95" i="16"/>
  <c r="DN292" i="16"/>
  <c r="EJ176" i="16"/>
  <c r="DM163" i="16"/>
  <c r="DT407" i="16"/>
  <c r="DQ484" i="16"/>
  <c r="DO481" i="16"/>
  <c r="EJ414" i="16"/>
  <c r="EI425" i="16"/>
  <c r="DY398" i="16"/>
  <c r="DX247" i="16"/>
  <c r="DP427" i="16"/>
  <c r="ED207" i="16"/>
  <c r="EI104" i="16"/>
  <c r="DG302" i="16"/>
  <c r="DJ342" i="16"/>
  <c r="DF381" i="16"/>
  <c r="EJ456" i="16"/>
  <c r="EC244" i="16"/>
  <c r="DB125" i="16"/>
  <c r="EE334" i="16"/>
  <c r="EA493" i="16"/>
  <c r="DY54" i="16"/>
  <c r="DN175" i="16"/>
  <c r="DM515" i="16"/>
  <c r="DA355" i="16"/>
  <c r="DT366" i="16"/>
  <c r="DW406" i="16"/>
  <c r="DU257" i="16"/>
  <c r="DE431" i="16"/>
  <c r="DW496" i="16"/>
  <c r="DP132" i="16"/>
  <c r="DI407" i="16"/>
  <c r="DX295" i="16"/>
  <c r="DE102" i="16"/>
  <c r="DN323" i="16"/>
  <c r="DV87" i="16"/>
  <c r="ED399" i="16"/>
  <c r="DU412" i="16"/>
  <c r="DW434" i="16"/>
  <c r="DS304" i="16"/>
  <c r="DX367" i="16"/>
  <c r="EL382" i="16"/>
  <c r="DJ389" i="16"/>
  <c r="DP275" i="16"/>
  <c r="DP313" i="16"/>
  <c r="ES459" i="16"/>
  <c r="DQ174" i="16"/>
  <c r="EK510" i="16"/>
  <c r="EE183" i="16"/>
  <c r="EM104" i="16"/>
  <c r="DS289" i="16"/>
  <c r="DB451" i="16"/>
  <c r="DH361" i="16"/>
  <c r="EE273" i="16"/>
  <c r="DH291" i="16"/>
  <c r="DV83" i="16"/>
  <c r="DP299" i="16"/>
  <c r="DQ150" i="16"/>
  <c r="DM341" i="16"/>
  <c r="EA92" i="16"/>
  <c r="DJ189" i="16"/>
  <c r="DC332" i="16"/>
  <c r="EP260" i="16"/>
  <c r="DY335" i="16"/>
  <c r="DW140" i="16"/>
  <c r="EE54" i="16"/>
  <c r="ER429" i="16"/>
  <c r="DC389" i="16"/>
  <c r="DD388" i="16"/>
  <c r="DJ316" i="16"/>
  <c r="EQ213" i="16"/>
  <c r="EO180" i="16"/>
  <c r="DL482" i="16"/>
  <c r="DH273" i="16"/>
  <c r="EF408" i="16"/>
  <c r="DF91" i="16"/>
  <c r="EJ403" i="16"/>
  <c r="DX261" i="16"/>
  <c r="EM339" i="16"/>
  <c r="DN466" i="16"/>
  <c r="DX68" i="16"/>
  <c r="DA200" i="16"/>
  <c r="EP253" i="16"/>
  <c r="DB220" i="16"/>
  <c r="ED450" i="16"/>
  <c r="EN229" i="16"/>
  <c r="EB292" i="16"/>
  <c r="DX511" i="16"/>
  <c r="EQ150" i="16"/>
  <c r="DW452" i="16"/>
  <c r="EJ388" i="16"/>
  <c r="DK457" i="16"/>
  <c r="EN459" i="16"/>
  <c r="DY362" i="16"/>
  <c r="EP183" i="16"/>
  <c r="ED72" i="16"/>
  <c r="DC429" i="16"/>
  <c r="EK206" i="16"/>
  <c r="EH339" i="16"/>
  <c r="EL362" i="16"/>
  <c r="ED233" i="16"/>
  <c r="DD321" i="16"/>
  <c r="DL394" i="16"/>
  <c r="DW163" i="16"/>
  <c r="EG291" i="16"/>
  <c r="ED465" i="16"/>
  <c r="DW188" i="16"/>
  <c r="DK137" i="16"/>
  <c r="DZ248" i="16"/>
  <c r="EF133" i="16"/>
  <c r="EJ174" i="16"/>
  <c r="EK137" i="16"/>
  <c r="DC202" i="16"/>
  <c r="DU72" i="16"/>
  <c r="EP155" i="16"/>
  <c r="EI259" i="16"/>
  <c r="DB146" i="16"/>
  <c r="DM351" i="16"/>
  <c r="EG102" i="16"/>
  <c r="DD288" i="16"/>
  <c r="EP205" i="16"/>
  <c r="DV396" i="16"/>
  <c r="DL481" i="16"/>
  <c r="DB256" i="16"/>
  <c r="DV450" i="16"/>
  <c r="DN171" i="16"/>
  <c r="EL453" i="16"/>
  <c r="EI378" i="16"/>
  <c r="EG216" i="16"/>
  <c r="DU478" i="16"/>
  <c r="EJ446" i="16"/>
  <c r="DM137" i="16"/>
  <c r="EB320" i="16"/>
  <c r="EM481" i="16"/>
  <c r="EB360" i="16"/>
  <c r="EE293" i="16"/>
  <c r="EO277" i="16"/>
  <c r="EG255" i="16"/>
  <c r="EK326" i="16"/>
  <c r="CZ217" i="16"/>
  <c r="DO354" i="16"/>
  <c r="DN340" i="16"/>
  <c r="DS263" i="16"/>
  <c r="DN462" i="16"/>
  <c r="EF263" i="16"/>
  <c r="EA206" i="16"/>
  <c r="DY170" i="16"/>
  <c r="EP319" i="16"/>
  <c r="EQ224" i="16"/>
  <c r="EJ134" i="16"/>
  <c r="DY316" i="16"/>
  <c r="DR202" i="16"/>
  <c r="EK456" i="16"/>
  <c r="ER271" i="16"/>
  <c r="ER182" i="16"/>
  <c r="DT83" i="16"/>
  <c r="DD142" i="16"/>
  <c r="EG266" i="16"/>
  <c r="EG485" i="16"/>
  <c r="ES319" i="16"/>
  <c r="EA147" i="16"/>
  <c r="DL174" i="16"/>
  <c r="EP300" i="16"/>
  <c r="ER167" i="16"/>
  <c r="CZ420" i="16"/>
  <c r="DB377" i="16"/>
  <c r="DS313" i="16"/>
  <c r="DO58" i="16"/>
  <c r="EA444" i="16"/>
  <c r="DI51" i="16"/>
  <c r="EE342" i="16"/>
  <c r="EO265" i="16"/>
  <c r="EF350" i="16"/>
  <c r="DR478" i="16"/>
  <c r="DJ376" i="16"/>
  <c r="CZ472" i="16"/>
  <c r="DE314" i="16"/>
  <c r="DK414" i="16"/>
  <c r="EH386" i="16"/>
  <c r="DA290" i="16"/>
  <c r="DA55" i="16"/>
  <c r="DX88" i="16"/>
  <c r="EB338" i="16"/>
  <c r="DG174" i="16"/>
  <c r="DS277" i="16"/>
  <c r="EP373" i="16"/>
  <c r="DD318" i="16"/>
  <c r="DZ84" i="16"/>
  <c r="DO366" i="16"/>
  <c r="EP479" i="16"/>
  <c r="EP134" i="16"/>
  <c r="DJ185" i="16"/>
  <c r="ED224" i="16"/>
  <c r="EG241" i="16"/>
  <c r="DM67" i="16"/>
  <c r="EH153" i="16"/>
  <c r="EI355" i="16"/>
  <c r="EJ479" i="16"/>
  <c r="DU370" i="16"/>
  <c r="DW72" i="16"/>
  <c r="EL357" i="16"/>
  <c r="DW426" i="16"/>
  <c r="ER455" i="16"/>
  <c r="EQ91" i="16"/>
  <c r="CZ113" i="16"/>
  <c r="DD167" i="16"/>
  <c r="EH387" i="16"/>
  <c r="EM486" i="16"/>
  <c r="DG510" i="16"/>
  <c r="EG451" i="16"/>
  <c r="EG483" i="16"/>
  <c r="EA238" i="16"/>
  <c r="DI181" i="16"/>
  <c r="EQ440" i="16"/>
  <c r="EM404" i="16"/>
  <c r="DL275" i="16"/>
  <c r="ER219" i="16"/>
  <c r="ED414" i="16"/>
  <c r="EQ504" i="16"/>
  <c r="EO194" i="16"/>
  <c r="EC60" i="16"/>
  <c r="DQ175" i="16"/>
  <c r="EN134" i="16"/>
  <c r="EF469" i="16"/>
  <c r="ER201" i="16"/>
  <c r="ER385" i="16"/>
  <c r="DJ226" i="16"/>
  <c r="DR485" i="16"/>
  <c r="DN123" i="16"/>
  <c r="EC419" i="16"/>
  <c r="DA330" i="16"/>
  <c r="DK385" i="16"/>
  <c r="EA504" i="16"/>
  <c r="DZ449" i="16"/>
  <c r="DH447" i="16"/>
  <c r="DK208" i="16"/>
  <c r="EL394" i="16"/>
  <c r="DJ75" i="16"/>
  <c r="DW269" i="16"/>
  <c r="DP307" i="16"/>
  <c r="ED51" i="16"/>
  <c r="DR108" i="16"/>
  <c r="DN394" i="16"/>
  <c r="EL433" i="16"/>
  <c r="DF422" i="16"/>
  <c r="DW291" i="16"/>
  <c r="DL296" i="16"/>
  <c r="EA90" i="16"/>
  <c r="EQ303" i="16"/>
  <c r="DV310" i="16"/>
  <c r="DV210" i="16"/>
  <c r="EE72" i="16"/>
  <c r="ES449" i="16"/>
  <c r="DY507" i="16"/>
  <c r="DA154" i="16"/>
  <c r="DT375" i="16"/>
  <c r="DC384" i="16"/>
  <c r="DL55" i="16"/>
  <c r="DX350" i="16"/>
  <c r="EO278" i="16"/>
  <c r="EO513" i="16"/>
  <c r="DA117" i="16"/>
  <c r="DI384" i="16"/>
  <c r="EQ388" i="16"/>
  <c r="ES251" i="16"/>
  <c r="DG79" i="16"/>
  <c r="EL117" i="16"/>
  <c r="DN250" i="16"/>
  <c r="DF289" i="16"/>
  <c r="DE365" i="16"/>
  <c r="DS306" i="16"/>
  <c r="DL264" i="16"/>
  <c r="EJ376" i="16"/>
  <c r="ES365" i="16"/>
  <c r="DX455" i="16"/>
  <c r="DS279" i="16"/>
  <c r="EI63" i="16"/>
  <c r="DG160" i="16"/>
  <c r="DD473" i="16"/>
  <c r="EF124" i="16"/>
  <c r="DY425" i="16"/>
  <c r="DH426" i="16"/>
  <c r="DQ342" i="16"/>
  <c r="DF497" i="16"/>
  <c r="DG224" i="16"/>
  <c r="DU81" i="16"/>
  <c r="ES309" i="16"/>
  <c r="DC310" i="16"/>
  <c r="DZ198" i="16"/>
  <c r="EC178" i="16"/>
  <c r="EM230" i="16"/>
  <c r="EM412" i="16"/>
  <c r="DJ470" i="16"/>
  <c r="DB389" i="16"/>
  <c r="DC247" i="16"/>
  <c r="EP356" i="16"/>
  <c r="DE372" i="16"/>
  <c r="DU377" i="16"/>
  <c r="DB501" i="16"/>
  <c r="DL472" i="16"/>
  <c r="DV513" i="16"/>
  <c r="DW109" i="16"/>
  <c r="DT218" i="16"/>
  <c r="DU391" i="16"/>
  <c r="DS216" i="16"/>
  <c r="EP396" i="16"/>
  <c r="DM318" i="16"/>
  <c r="DG318" i="16"/>
  <c r="DA161" i="16"/>
  <c r="DQ151" i="16"/>
  <c r="EI268" i="16"/>
  <c r="EG332" i="16"/>
  <c r="DR147" i="16"/>
  <c r="DP467" i="16"/>
  <c r="DX472" i="16"/>
  <c r="EB155" i="16"/>
  <c r="EB156" i="16"/>
  <c r="DZ359" i="16"/>
  <c r="CZ337" i="16"/>
  <c r="DY136" i="16"/>
  <c r="DL364" i="16"/>
  <c r="DG463" i="16"/>
  <c r="DR377" i="16"/>
  <c r="DJ370" i="16"/>
  <c r="DF229" i="16"/>
  <c r="DV477" i="16"/>
  <c r="DD300" i="16"/>
  <c r="DU217" i="16"/>
  <c r="DR235" i="16"/>
  <c r="DJ282" i="16"/>
  <c r="DG76" i="16"/>
  <c r="DF430" i="16"/>
  <c r="ED317" i="16"/>
  <c r="ED507" i="16"/>
  <c r="DO181" i="16"/>
  <c r="EH379" i="16"/>
  <c r="DX50" i="16"/>
  <c r="DO289" i="16"/>
  <c r="DC391" i="16"/>
  <c r="DM358" i="16"/>
  <c r="DS252" i="16"/>
  <c r="DC243" i="16"/>
  <c r="EL295" i="16"/>
  <c r="EH166" i="16"/>
  <c r="DM391" i="16"/>
  <c r="EP61" i="16"/>
  <c r="CZ513" i="16"/>
  <c r="CZ395" i="16"/>
  <c r="DF64" i="16"/>
  <c r="DM300" i="16"/>
  <c r="DD282" i="16"/>
  <c r="DS423" i="16"/>
  <c r="DM310" i="16"/>
  <c r="DA233" i="16"/>
  <c r="DP217" i="16"/>
  <c r="DI255" i="16"/>
  <c r="CZ366" i="16"/>
  <c r="DF491" i="16"/>
  <c r="EG346" i="16"/>
  <c r="DZ437" i="16"/>
  <c r="DR431" i="16"/>
  <c r="EF293" i="16"/>
  <c r="DF265" i="16"/>
  <c r="DM432" i="16"/>
  <c r="DV103" i="16"/>
  <c r="DR509" i="16"/>
  <c r="DC205" i="16"/>
  <c r="DM366" i="16"/>
  <c r="DE347" i="16"/>
  <c r="DI418" i="16"/>
  <c r="DX196" i="16"/>
  <c r="DC361" i="16"/>
  <c r="DL269" i="16"/>
  <c r="DU91" i="16"/>
  <c r="DV387" i="16"/>
  <c r="DA147" i="16"/>
  <c r="EK208" i="16"/>
  <c r="EF355" i="16"/>
  <c r="DC63" i="16"/>
  <c r="DZ382" i="16"/>
  <c r="DN335" i="16"/>
  <c r="DC417" i="16"/>
  <c r="EC482" i="16"/>
  <c r="EL443" i="16"/>
  <c r="DR162" i="16"/>
  <c r="DC269" i="16"/>
  <c r="DU471" i="16"/>
  <c r="EB425" i="16"/>
  <c r="EP315" i="16"/>
  <c r="DQ232" i="16"/>
  <c r="EC232" i="16"/>
  <c r="DM449" i="16"/>
  <c r="ES139" i="16"/>
  <c r="EB279" i="16"/>
  <c r="EL97" i="16"/>
  <c r="EL368" i="16"/>
  <c r="DN454" i="16"/>
  <c r="DF325" i="16"/>
  <c r="DR470" i="16"/>
  <c r="DF308" i="16"/>
  <c r="DD229" i="16"/>
  <c r="DC498" i="16"/>
  <c r="DA109" i="16"/>
  <c r="DX387" i="16"/>
  <c r="DA411" i="16"/>
  <c r="DQ176" i="16"/>
  <c r="DD455" i="16"/>
  <c r="DL175" i="16"/>
  <c r="EF66" i="16"/>
  <c r="DI375" i="16"/>
  <c r="DD156" i="16"/>
  <c r="DJ450" i="16"/>
  <c r="DU290" i="16"/>
  <c r="DG244" i="16"/>
  <c r="CZ401" i="16"/>
  <c r="ED287" i="16"/>
  <c r="DS101" i="16"/>
  <c r="EK229" i="16"/>
  <c r="EF128" i="16"/>
  <c r="EJ104" i="16"/>
  <c r="DV170" i="16"/>
  <c r="DT499" i="16"/>
  <c r="ER131" i="16"/>
  <c r="EF323" i="16"/>
  <c r="ER299" i="16"/>
  <c r="EE282" i="16"/>
  <c r="DR243" i="16"/>
  <c r="DC348" i="16"/>
  <c r="DF515" i="16"/>
  <c r="DL450" i="16"/>
  <c r="DB290" i="16"/>
  <c r="EI242" i="16"/>
  <c r="DF499" i="16"/>
  <c r="DI420" i="16"/>
  <c r="DQ446" i="16"/>
  <c r="ER276" i="16"/>
  <c r="DC473" i="16"/>
  <c r="DS109" i="16"/>
  <c r="DJ71" i="16"/>
  <c r="DJ158" i="16"/>
  <c r="DY214" i="16"/>
  <c r="EG342" i="16"/>
  <c r="DU332" i="16"/>
  <c r="EF103" i="16"/>
  <c r="CZ240" i="16"/>
  <c r="DN508" i="16"/>
  <c r="DC471" i="16"/>
  <c r="DX158" i="16"/>
  <c r="EE359" i="16"/>
  <c r="DP77" i="16"/>
  <c r="DR351" i="16"/>
  <c r="EL244" i="16"/>
  <c r="DH87" i="16"/>
  <c r="EK99" i="16"/>
  <c r="DW462" i="16"/>
  <c r="ER303" i="16"/>
  <c r="DB100" i="16"/>
  <c r="DI64" i="16"/>
  <c r="EJ141" i="16"/>
  <c r="EN284" i="16"/>
  <c r="EQ214" i="16"/>
  <c r="EG276" i="16"/>
  <c r="DL247" i="16"/>
  <c r="DL69" i="16"/>
  <c r="EK50" i="16"/>
  <c r="DR444" i="16"/>
  <c r="DT391" i="16"/>
  <c r="ER448" i="16"/>
  <c r="EN421" i="16"/>
  <c r="DD217" i="16"/>
  <c r="EJ476" i="16"/>
  <c r="DN207" i="16"/>
  <c r="CZ214" i="16"/>
  <c r="DZ356" i="16"/>
  <c r="DU235" i="16"/>
  <c r="EN191" i="16"/>
  <c r="DN475" i="16"/>
  <c r="DL334" i="16"/>
  <c r="DU489" i="16"/>
  <c r="DT505" i="16"/>
  <c r="DZ72" i="16"/>
  <c r="DB209" i="16"/>
  <c r="DK270" i="16"/>
  <c r="EP265" i="16"/>
  <c r="EM340" i="16"/>
  <c r="EE303" i="16"/>
  <c r="DG77" i="16"/>
  <c r="ES480" i="16"/>
  <c r="DJ116" i="16"/>
  <c r="DH142" i="16"/>
  <c r="EC511" i="16"/>
  <c r="EI385" i="16"/>
  <c r="DM113" i="16"/>
  <c r="EI152" i="16"/>
  <c r="DV159" i="16"/>
  <c r="DB94" i="16"/>
  <c r="DQ309" i="16"/>
  <c r="DR433" i="16"/>
  <c r="EG368" i="16"/>
  <c r="CZ500" i="16"/>
  <c r="DC94" i="16"/>
  <c r="EB281" i="16"/>
  <c r="DU464" i="16"/>
  <c r="DY134" i="16"/>
  <c r="DJ290" i="16"/>
  <c r="EH127" i="16"/>
  <c r="EK167" i="16"/>
  <c r="CZ141" i="16"/>
  <c r="DT142" i="16"/>
  <c r="DQ125" i="16"/>
  <c r="DZ381" i="16"/>
  <c r="EO185" i="16"/>
  <c r="EG246" i="16"/>
  <c r="DC166" i="16"/>
  <c r="DU259" i="16"/>
  <c r="EQ62" i="16"/>
  <c r="EJ323" i="16"/>
  <c r="EM150" i="16"/>
  <c r="EE296" i="16"/>
  <c r="EC94" i="16"/>
  <c r="DO191" i="16"/>
  <c r="ER195" i="16"/>
  <c r="EM88" i="16"/>
  <c r="DR503" i="16"/>
  <c r="EM326" i="16"/>
  <c r="DD297" i="16"/>
  <c r="DR354" i="16"/>
  <c r="DS324" i="16"/>
  <c r="DQ472" i="16"/>
  <c r="EE350" i="16"/>
  <c r="DL223" i="16"/>
  <c r="EI145" i="16"/>
  <c r="EA500" i="16"/>
  <c r="DG98" i="16"/>
  <c r="DL454" i="16"/>
  <c r="EO173" i="16"/>
  <c r="DO316" i="16"/>
  <c r="EA455" i="16"/>
  <c r="EA494" i="16"/>
  <c r="DW180" i="16"/>
  <c r="EL259" i="16"/>
  <c r="DW284" i="16"/>
  <c r="ES112" i="16"/>
  <c r="EF278" i="16"/>
  <c r="DX438" i="16"/>
  <c r="DJ354" i="16"/>
  <c r="DR242" i="16"/>
  <c r="DS51" i="16"/>
  <c r="EJ375" i="16"/>
  <c r="EH82" i="16"/>
  <c r="DD197" i="16"/>
  <c r="DQ58" i="16"/>
  <c r="DC110" i="16"/>
  <c r="DQ222" i="16"/>
  <c r="DG394" i="16"/>
  <c r="DW152" i="16"/>
  <c r="EI506" i="16"/>
  <c r="DE281" i="16"/>
  <c r="EQ266" i="16"/>
  <c r="DS443" i="16"/>
  <c r="DW457" i="16"/>
  <c r="DR396" i="16"/>
  <c r="DV241" i="16"/>
  <c r="DQ136" i="16"/>
  <c r="DR56" i="16"/>
  <c r="DD505" i="16"/>
  <c r="DL502" i="16"/>
  <c r="EL263" i="16"/>
  <c r="DE504" i="16"/>
  <c r="EA343" i="16"/>
  <c r="DS175" i="16"/>
  <c r="EF190" i="16"/>
  <c r="DL321" i="16"/>
  <c r="DJ490" i="16"/>
  <c r="ED87" i="16"/>
  <c r="DG103" i="16"/>
  <c r="EJ455" i="16"/>
  <c r="DH380" i="16"/>
  <c r="EN513" i="16"/>
  <c r="DM511" i="16"/>
  <c r="DH178" i="16"/>
  <c r="EO215" i="16"/>
  <c r="DS261" i="16"/>
  <c r="DC460" i="16"/>
  <c r="EG83" i="16"/>
  <c r="DX81" i="16"/>
  <c r="EJ368" i="16"/>
  <c r="DU165" i="16"/>
  <c r="DG437" i="16"/>
  <c r="EE464" i="16"/>
  <c r="DH128" i="16"/>
  <c r="EC465" i="16"/>
  <c r="EI174" i="16"/>
  <c r="ER151" i="16"/>
  <c r="EQ399" i="16"/>
  <c r="EH159" i="16"/>
  <c r="EG261" i="16"/>
  <c r="EF480" i="16"/>
  <c r="DO311" i="16"/>
  <c r="EH345" i="16"/>
  <c r="DJ174" i="16"/>
  <c r="EO245" i="16"/>
  <c r="DE171" i="16"/>
  <c r="DT428" i="16"/>
  <c r="DG301" i="16"/>
  <c r="EH79" i="16"/>
  <c r="DH164" i="16"/>
  <c r="DK127" i="16"/>
  <c r="EQ467" i="16"/>
  <c r="DW388" i="16"/>
  <c r="DL199" i="16"/>
  <c r="DY351" i="16"/>
  <c r="DA65" i="16"/>
  <c r="EG269" i="16"/>
  <c r="EP268" i="16"/>
  <c r="ER118" i="16"/>
  <c r="EP201" i="16"/>
  <c r="EP463" i="16"/>
  <c r="EP118" i="16"/>
  <c r="DF83" i="16"/>
  <c r="EA413" i="16"/>
  <c r="DJ459" i="16"/>
  <c r="EM375" i="16"/>
  <c r="DS299" i="16"/>
  <c r="DC127" i="16"/>
  <c r="ED463" i="16"/>
  <c r="CZ421" i="16"/>
  <c r="DB341" i="16"/>
  <c r="DT432" i="16"/>
  <c r="EQ112" i="16"/>
  <c r="DW490" i="16"/>
  <c r="DU53" i="16"/>
  <c r="EO461" i="16"/>
  <c r="EC418" i="16"/>
  <c r="DU358" i="16"/>
  <c r="DO71" i="16"/>
  <c r="EB442" i="16"/>
  <c r="DE177" i="16"/>
  <c r="DI342" i="16"/>
  <c r="EI406" i="16"/>
  <c r="DW488" i="16"/>
  <c r="EQ196" i="16"/>
  <c r="DO483" i="16"/>
  <c r="DH293" i="16"/>
  <c r="DP272" i="16"/>
  <c r="DT361" i="16"/>
  <c r="DJ254" i="16"/>
  <c r="DO426" i="16"/>
  <c r="EJ498" i="16"/>
  <c r="DT515" i="16"/>
  <c r="DU160" i="16"/>
  <c r="EF202" i="16"/>
  <c r="DB330" i="16"/>
  <c r="DB321" i="16"/>
  <c r="DT65" i="16"/>
  <c r="DK184" i="16"/>
  <c r="CZ69" i="16"/>
  <c r="DJ275" i="16"/>
  <c r="DG67" i="16"/>
  <c r="EO54" i="16"/>
  <c r="EQ180" i="16"/>
  <c r="DH228" i="16"/>
  <c r="DE91" i="16"/>
  <c r="DL392" i="16"/>
  <c r="EQ401" i="16"/>
  <c r="DM208" i="16"/>
  <c r="DU426" i="16"/>
  <c r="EJ386" i="16"/>
  <c r="EE387" i="16"/>
  <c r="DI393" i="16"/>
  <c r="DX429" i="16"/>
  <c r="DZ212" i="16"/>
  <c r="EF194" i="16"/>
  <c r="EB398" i="16"/>
  <c r="EH365" i="16"/>
  <c r="DL508" i="16"/>
  <c r="EG395" i="16"/>
  <c r="ER438" i="16"/>
  <c r="EL390" i="16"/>
  <c r="DQ178" i="16"/>
  <c r="DA298" i="16"/>
  <c r="DF483" i="16"/>
  <c r="ES467" i="16"/>
  <c r="EE196" i="16"/>
  <c r="EM183" i="16"/>
  <c r="EK452" i="16"/>
  <c r="DI492" i="16"/>
  <c r="DQ74" i="16"/>
  <c r="DX167" i="16"/>
  <c r="EG325" i="16"/>
  <c r="EJ335" i="16"/>
  <c r="ES231" i="16"/>
  <c r="DI388" i="16"/>
  <c r="DT264" i="16"/>
  <c r="DJ344" i="16"/>
  <c r="ED420" i="16"/>
  <c r="EG463" i="16"/>
  <c r="DB382" i="16"/>
  <c r="DH176" i="16"/>
  <c r="DW464" i="16"/>
  <c r="DN206" i="16"/>
  <c r="DZ147" i="16"/>
  <c r="EF514" i="16"/>
  <c r="ES263" i="16"/>
  <c r="DO253" i="16"/>
  <c r="DD416" i="16"/>
  <c r="DO124" i="16"/>
  <c r="DH468" i="16"/>
  <c r="DC296" i="16"/>
  <c r="EM388" i="16"/>
  <c r="DQ82" i="16"/>
  <c r="DV51" i="16"/>
  <c r="DO340" i="16"/>
  <c r="DX323" i="16"/>
  <c r="DP448" i="16"/>
  <c r="DM285" i="16"/>
  <c r="EO427" i="16"/>
  <c r="EK364" i="16"/>
  <c r="DG389" i="16"/>
  <c r="EI312" i="16"/>
  <c r="DM447" i="16"/>
  <c r="EB374" i="16"/>
  <c r="EB171" i="16"/>
  <c r="DM279" i="16"/>
  <c r="DF52" i="16"/>
  <c r="EL123" i="16"/>
  <c r="DE310" i="16"/>
  <c r="EJ136" i="16"/>
  <c r="EL288" i="16"/>
  <c r="DZ289" i="16"/>
  <c r="DT393" i="16"/>
  <c r="EP363" i="16"/>
  <c r="DI256" i="16"/>
  <c r="EL314" i="16"/>
  <c r="DL489" i="16"/>
  <c r="DV251" i="16"/>
  <c r="DQ314" i="16"/>
  <c r="DK427" i="16"/>
  <c r="EB96" i="16"/>
  <c r="EK115" i="16"/>
  <c r="DO454" i="16"/>
  <c r="EL109" i="16"/>
  <c r="ES290" i="16"/>
  <c r="EF347" i="16"/>
  <c r="EK179" i="16"/>
  <c r="EG226" i="16"/>
  <c r="DS485" i="16"/>
  <c r="DC188" i="16"/>
  <c r="DJ197" i="16"/>
  <c r="DN241" i="16"/>
  <c r="ED264" i="16"/>
  <c r="ES391" i="16"/>
  <c r="DF226" i="16"/>
  <c r="EG482" i="16"/>
  <c r="ED283" i="16"/>
  <c r="DJ504" i="16"/>
  <c r="EL152" i="16"/>
  <c r="EK201" i="16"/>
  <c r="DC456" i="16"/>
  <c r="DV349" i="16"/>
  <c r="DF338" i="16"/>
  <c r="DQ264" i="16"/>
  <c r="EB329" i="16"/>
  <c r="DE472" i="16"/>
  <c r="EJ394" i="16"/>
  <c r="EN228" i="16"/>
  <c r="EK431" i="16"/>
  <c r="DT262" i="16"/>
  <c r="EH462" i="16"/>
  <c r="DX275" i="16"/>
  <c r="EA489" i="16"/>
  <c r="DF118" i="16"/>
  <c r="DG118" i="16"/>
  <c r="DF142" i="16"/>
  <c r="DO380" i="16"/>
  <c r="DH506" i="16"/>
  <c r="EE61" i="16"/>
  <c r="DG50" i="16"/>
  <c r="EP259" i="16"/>
  <c r="DS433" i="16"/>
  <c r="DX310" i="16"/>
  <c r="DM101" i="16"/>
  <c r="DN148" i="16"/>
  <c r="EO468" i="16"/>
  <c r="CZ315" i="16"/>
  <c r="DE104" i="16"/>
  <c r="ER132" i="16"/>
  <c r="EH248" i="16"/>
  <c r="DV252" i="16"/>
  <c r="EQ161" i="16"/>
  <c r="EG282" i="16"/>
  <c r="DL224" i="16"/>
  <c r="CZ285" i="16"/>
  <c r="DD513" i="16"/>
  <c r="DR237" i="16"/>
  <c r="DZ150" i="16"/>
  <c r="EM295" i="16"/>
  <c r="CZ302" i="16"/>
  <c r="EQ352" i="16"/>
  <c r="DT213" i="16"/>
  <c r="DG382" i="16"/>
  <c r="DI262" i="16"/>
  <c r="DY140" i="16"/>
  <c r="EJ353" i="16"/>
  <c r="DU488" i="16"/>
  <c r="DX228" i="16"/>
  <c r="DE302" i="16"/>
  <c r="DT321" i="16"/>
  <c r="DN231" i="16"/>
  <c r="DE150" i="16"/>
  <c r="EG376" i="16"/>
  <c r="DB322" i="16"/>
  <c r="EE70" i="16"/>
  <c r="DB117" i="16"/>
  <c r="EI244" i="16"/>
  <c r="EN494" i="16"/>
  <c r="DP353" i="16"/>
  <c r="EC349" i="16"/>
  <c r="EF228" i="16"/>
  <c r="DN254" i="16"/>
  <c r="DJ404" i="16"/>
  <c r="DJ82" i="16"/>
  <c r="DX132" i="16"/>
  <c r="DT68" i="16"/>
  <c r="DX509" i="16"/>
  <c r="EC80" i="16"/>
  <c r="DA79" i="16"/>
  <c r="DY506" i="16"/>
  <c r="DJ319" i="16"/>
  <c r="EG197" i="16"/>
  <c r="EB238" i="16"/>
  <c r="DG390" i="16"/>
  <c r="EM155" i="16"/>
  <c r="DQ372" i="16"/>
  <c r="EB62" i="16"/>
  <c r="DW262" i="16"/>
  <c r="EA347" i="16"/>
  <c r="DB335" i="16"/>
  <c r="EA304" i="16"/>
  <c r="DP121" i="16"/>
  <c r="EE285" i="16"/>
  <c r="EH59" i="16"/>
  <c r="DK446" i="16"/>
  <c r="EL254" i="16"/>
  <c r="DT289" i="16"/>
  <c r="ES174" i="16"/>
  <c r="DD453" i="16"/>
  <c r="ER81" i="16"/>
  <c r="DG333" i="16"/>
  <c r="DH314" i="16"/>
  <c r="EM131" i="16"/>
  <c r="DB404" i="16"/>
  <c r="DU192" i="16"/>
  <c r="DK357" i="16"/>
  <c r="ER341" i="16"/>
  <c r="DW474" i="16"/>
  <c r="EQ297" i="16"/>
  <c r="ES516" i="16"/>
  <c r="DH347" i="16"/>
  <c r="DO153" i="16"/>
  <c r="DK240" i="16"/>
  <c r="EQ404" i="16"/>
  <c r="DN296" i="16"/>
  <c r="EO435" i="16"/>
  <c r="DE485" i="16"/>
  <c r="EN59" i="16"/>
  <c r="DJ454" i="16"/>
  <c r="DA431" i="16"/>
  <c r="DL302" i="16"/>
  <c r="DR360" i="16"/>
  <c r="DR255" i="16"/>
  <c r="EB331" i="16"/>
  <c r="DP136" i="16"/>
  <c r="DX241" i="16"/>
  <c r="DT79" i="16"/>
  <c r="DN427" i="16"/>
  <c r="ES297" i="16"/>
  <c r="DZ325" i="16"/>
  <c r="DN378" i="16"/>
  <c r="EH425" i="16"/>
  <c r="DU456" i="16"/>
  <c r="DO158" i="16"/>
  <c r="DC198" i="16"/>
  <c r="DX372" i="16"/>
  <c r="EE246" i="16"/>
  <c r="DN93" i="16"/>
  <c r="EF166" i="16"/>
  <c r="EO157" i="16"/>
  <c r="DJ438" i="16"/>
  <c r="DB384" i="16"/>
  <c r="EF106" i="16"/>
  <c r="DT497" i="16"/>
  <c r="EC182" i="16"/>
  <c r="ES292" i="16"/>
  <c r="ED492" i="16"/>
  <c r="DR72" i="16"/>
  <c r="DB280" i="16"/>
  <c r="DR225" i="16"/>
  <c r="EL245" i="16"/>
  <c r="EF113" i="16"/>
  <c r="CZ104" i="16"/>
  <c r="EQ135" i="16"/>
  <c r="EP172" i="16"/>
  <c r="DY394" i="16"/>
  <c r="DM296" i="16"/>
  <c r="EN500" i="16"/>
  <c r="DR420" i="16"/>
  <c r="EA62" i="16"/>
  <c r="EF425" i="16"/>
  <c r="DM508" i="16"/>
  <c r="DW179" i="16"/>
  <c r="DJ359" i="16"/>
  <c r="DK366" i="16"/>
  <c r="DV115" i="16"/>
  <c r="EG475" i="16"/>
  <c r="EJ296" i="16"/>
  <c r="EL468" i="16"/>
  <c r="DW54" i="16"/>
  <c r="DC81" i="16"/>
  <c r="DU410" i="16"/>
  <c r="EP129" i="16"/>
  <c r="DI389" i="16"/>
  <c r="EL104" i="16"/>
  <c r="DL181" i="16"/>
  <c r="DH225" i="16"/>
  <c r="DC507" i="16"/>
  <c r="DJ383" i="16"/>
  <c r="EO214" i="16"/>
  <c r="EC90" i="16"/>
  <c r="EE361" i="16"/>
  <c r="EI469" i="16"/>
  <c r="DZ515" i="16"/>
  <c r="DR156" i="16"/>
  <c r="DY291" i="16"/>
  <c r="DV246" i="16"/>
  <c r="DI315" i="16"/>
  <c r="DA291" i="16"/>
  <c r="ED385" i="16"/>
  <c r="DJ141" i="16"/>
  <c r="DO54" i="16"/>
  <c r="DN49" i="16"/>
  <c r="DN266" i="16"/>
  <c r="DK355" i="16"/>
  <c r="DR443" i="16"/>
  <c r="DP55" i="16"/>
  <c r="EM73" i="16"/>
  <c r="DE148" i="16"/>
  <c r="EO310" i="16"/>
  <c r="DT208" i="16"/>
  <c r="DB273" i="16"/>
  <c r="ED57" i="16"/>
  <c r="EJ321" i="16"/>
  <c r="DI390" i="16"/>
  <c r="DK285" i="16"/>
  <c r="EK270" i="16"/>
  <c r="DY342" i="16"/>
  <c r="EQ320" i="16"/>
  <c r="DY430" i="16"/>
  <c r="DH52" i="16"/>
  <c r="DL507" i="16"/>
  <c r="EP447" i="16"/>
  <c r="DE506" i="16"/>
  <c r="DS212" i="16"/>
  <c r="ED235" i="16"/>
  <c r="DI148" i="16"/>
  <c r="DS203" i="16"/>
  <c r="DM485" i="16"/>
  <c r="EM78" i="16"/>
  <c r="CZ306" i="16"/>
  <c r="EO356" i="16"/>
  <c r="DV219" i="16"/>
  <c r="DR436" i="16"/>
  <c r="DX49" i="16"/>
  <c r="DQ447" i="16"/>
  <c r="DO211" i="16"/>
  <c r="DM88" i="16"/>
  <c r="EJ297" i="16"/>
  <c r="DI55" i="16"/>
  <c r="DL86" i="16"/>
  <c r="DZ82" i="16"/>
  <c r="DS368" i="16"/>
  <c r="DI230" i="16"/>
  <c r="DY361" i="16"/>
  <c r="DR262" i="16"/>
  <c r="DW212" i="16"/>
  <c r="CZ289" i="16"/>
  <c r="DY143" i="16"/>
  <c r="EB420" i="16"/>
  <c r="EH272" i="16"/>
  <c r="DF191" i="16"/>
  <c r="DY166" i="16"/>
  <c r="ER466" i="16"/>
  <c r="EM345" i="16"/>
  <c r="DH151" i="16"/>
  <c r="DH326" i="16"/>
  <c r="DD155" i="16"/>
  <c r="DQ119" i="16"/>
  <c r="DM442" i="16"/>
  <c r="DL469" i="16"/>
  <c r="ES325" i="16"/>
  <c r="DV276" i="16"/>
  <c r="CZ384" i="16"/>
  <c r="DK170" i="16"/>
  <c r="EE258" i="16"/>
  <c r="EA198" i="16"/>
  <c r="DX259" i="16"/>
  <c r="EA59" i="16"/>
  <c r="DN355" i="16"/>
  <c r="EM181" i="16"/>
  <c r="EF337" i="16"/>
  <c r="ED488" i="16"/>
  <c r="EE132" i="16"/>
  <c r="DZ461" i="16"/>
  <c r="EL180" i="16"/>
  <c r="ES452" i="16"/>
  <c r="DZ94" i="16"/>
  <c r="DM422" i="16"/>
  <c r="EP354" i="16"/>
  <c r="EK430" i="16"/>
  <c r="DJ105" i="16"/>
  <c r="DY345" i="16"/>
  <c r="DU490" i="16"/>
  <c r="EB87" i="16"/>
  <c r="DC211" i="16"/>
  <c r="DZ491" i="16"/>
  <c r="DY250" i="16"/>
  <c r="EL383" i="16"/>
  <c r="DM230" i="16"/>
  <c r="DE294" i="16"/>
  <c r="ES417" i="16"/>
  <c r="EK345" i="16"/>
  <c r="DJ419" i="16"/>
  <c r="EH84" i="16"/>
  <c r="DC436" i="16"/>
  <c r="DP409" i="16"/>
  <c r="EG194" i="16"/>
  <c r="DW366" i="16"/>
  <c r="ES318" i="16"/>
  <c r="DU79" i="16"/>
  <c r="EI270" i="16"/>
  <c r="DN483" i="16"/>
  <c r="DQ311" i="16"/>
  <c r="EJ170" i="16"/>
  <c r="DP193" i="16"/>
  <c r="DU264" i="16"/>
  <c r="EK119" i="16"/>
  <c r="DU355" i="16"/>
  <c r="EN341" i="16"/>
  <c r="EJ370" i="16"/>
  <c r="EE315" i="16"/>
  <c r="DH169" i="16"/>
  <c r="DT299" i="16"/>
  <c r="EC137" i="16"/>
  <c r="ED76" i="16"/>
  <c r="DE260" i="16"/>
  <c r="DL82" i="16"/>
  <c r="DM212" i="16"/>
  <c r="EA239" i="16"/>
  <c r="DB228" i="16"/>
  <c r="DL309" i="16"/>
  <c r="EC290" i="16"/>
  <c r="DT76" i="16"/>
  <c r="DU203" i="16"/>
  <c r="EJ265" i="16"/>
  <c r="DL492" i="16"/>
  <c r="EJ231" i="16"/>
  <c r="EP194" i="16"/>
  <c r="DF58" i="16"/>
  <c r="EB202" i="16"/>
  <c r="EC444" i="16"/>
  <c r="DM441" i="16"/>
  <c r="DA195" i="16"/>
  <c r="EK295" i="16"/>
  <c r="DQ486" i="16"/>
  <c r="DQ203" i="16"/>
  <c r="EP395" i="16"/>
  <c r="DG471" i="16"/>
  <c r="DK411" i="16"/>
  <c r="DM404" i="16"/>
  <c r="CZ412" i="16"/>
  <c r="DD187" i="16"/>
  <c r="ES239" i="16"/>
  <c r="CZ56" i="16"/>
  <c r="EO65" i="16"/>
  <c r="DL413" i="16"/>
  <c r="CZ484" i="16"/>
  <c r="DA171" i="16"/>
  <c r="EM197" i="16"/>
  <c r="DU210" i="16"/>
  <c r="DX369" i="16"/>
  <c r="EO231" i="16"/>
  <c r="DQ240" i="16"/>
  <c r="EA230" i="16"/>
  <c r="EB239" i="16"/>
  <c r="EE351" i="16"/>
  <c r="EM462" i="16"/>
  <c r="ED325" i="16"/>
  <c r="EQ149" i="16"/>
  <c r="EJ117" i="16"/>
  <c r="DZ157" i="16"/>
  <c r="DG147" i="16"/>
  <c r="DJ464" i="16"/>
  <c r="EC410" i="16"/>
  <c r="DV120" i="16"/>
  <c r="EK332" i="16"/>
  <c r="DM292" i="16"/>
  <c r="ER102" i="16"/>
  <c r="DM195" i="16"/>
  <c r="EP398" i="16"/>
  <c r="CZ324" i="16"/>
  <c r="EB321" i="16"/>
  <c r="CZ54" i="16"/>
  <c r="EJ233" i="16"/>
  <c r="DA382" i="16"/>
  <c r="EM510" i="16"/>
  <c r="DG254" i="16"/>
  <c r="DD400" i="16"/>
  <c r="DA336" i="16"/>
  <c r="DB331" i="16"/>
  <c r="DO154" i="16"/>
  <c r="DM51" i="16"/>
  <c r="EC219" i="16"/>
  <c r="CZ185" i="16"/>
  <c r="DF508" i="16"/>
  <c r="EJ54" i="16"/>
  <c r="DR140" i="16"/>
  <c r="DF498" i="16"/>
  <c r="DD173" i="16"/>
  <c r="DK280" i="16"/>
  <c r="EL62" i="16"/>
  <c r="EG503" i="16"/>
  <c r="DZ492" i="16"/>
  <c r="EO452" i="16"/>
  <c r="DH377" i="16"/>
  <c r="EA88" i="16"/>
  <c r="CZ177" i="16"/>
  <c r="CZ312" i="16"/>
  <c r="EA440" i="16"/>
  <c r="EQ185" i="16"/>
  <c r="DE427" i="16"/>
  <c r="ER268" i="16"/>
  <c r="EA256" i="16"/>
  <c r="EH292" i="16"/>
  <c r="DC323" i="16"/>
  <c r="DS99" i="16"/>
  <c r="DF372" i="16"/>
  <c r="DR440" i="16"/>
  <c r="ES221" i="16"/>
  <c r="DF345" i="16"/>
  <c r="DF163" i="16"/>
  <c r="DM207" i="16"/>
  <c r="EC483" i="16"/>
  <c r="DG280" i="16"/>
  <c r="ES172" i="16"/>
  <c r="ED205" i="16"/>
  <c r="DO278" i="16"/>
  <c r="DO146" i="16"/>
  <c r="DD67" i="16"/>
  <c r="EO460" i="16"/>
  <c r="DZ96" i="16"/>
  <c r="ED404" i="16"/>
  <c r="ES374" i="16"/>
  <c r="EM434" i="16"/>
  <c r="DY254" i="16"/>
  <c r="DM297" i="16"/>
  <c r="DG126" i="16"/>
  <c r="DO168" i="16"/>
  <c r="EP160" i="16"/>
  <c r="DU144" i="16"/>
  <c r="DM154" i="16"/>
  <c r="DV110" i="16"/>
  <c r="DD203" i="16"/>
  <c r="DX368" i="16"/>
  <c r="DU190" i="16"/>
  <c r="DK227" i="16"/>
  <c r="DD341" i="16"/>
  <c r="EJ111" i="16"/>
  <c r="DQ514" i="16"/>
  <c r="EJ490" i="16"/>
  <c r="DY412" i="16"/>
  <c r="EO76" i="16"/>
  <c r="EE167" i="16"/>
  <c r="EQ300" i="16"/>
  <c r="DS391" i="16"/>
  <c r="DX202" i="16"/>
  <c r="EP228" i="16"/>
  <c r="DG221" i="16"/>
  <c r="DC367" i="16"/>
  <c r="ES70" i="16"/>
  <c r="EJ320" i="16"/>
  <c r="EF318" i="16"/>
  <c r="EI505" i="16"/>
  <c r="DZ192" i="16"/>
  <c r="EG210" i="16"/>
  <c r="EF189" i="16"/>
  <c r="EI164" i="16"/>
  <c r="DE493" i="16"/>
  <c r="DQ508" i="16"/>
  <c r="DW51" i="16"/>
  <c r="EO340" i="16"/>
  <c r="EG120" i="16"/>
  <c r="DF67" i="16"/>
  <c r="DK266" i="16"/>
  <c r="DU297" i="16"/>
  <c r="EM446" i="16"/>
  <c r="EA401" i="16"/>
  <c r="EA467" i="16"/>
  <c r="CZ369" i="16"/>
  <c r="EF267" i="16"/>
  <c r="ED510" i="16"/>
  <c r="EB470" i="16"/>
  <c r="EE416" i="16"/>
  <c r="EN122" i="16"/>
  <c r="EQ284" i="16"/>
  <c r="DO252" i="16"/>
  <c r="DQ400" i="16"/>
  <c r="DQ172" i="16"/>
  <c r="EC66" i="16"/>
  <c r="EC147" i="16"/>
  <c r="DB443" i="16"/>
  <c r="DP347" i="16"/>
  <c r="DI500" i="16"/>
  <c r="DH452" i="16"/>
  <c r="DJ108" i="16"/>
  <c r="DG342" i="16"/>
  <c r="EB328" i="16"/>
  <c r="DZ171" i="16"/>
  <c r="DN248" i="16"/>
  <c r="EQ446" i="16"/>
  <c r="DJ498" i="16"/>
  <c r="DB373" i="16"/>
  <c r="DY268" i="16"/>
  <c r="DT483" i="16"/>
  <c r="DA99" i="16"/>
  <c r="DH308" i="16"/>
  <c r="EM515" i="16"/>
  <c r="DT110" i="16"/>
  <c r="DC440" i="16"/>
  <c r="DR154" i="16"/>
  <c r="EQ432" i="16"/>
  <c r="DR415" i="16"/>
  <c r="DY55" i="16"/>
  <c r="DV202" i="16"/>
  <c r="DF114" i="16"/>
  <c r="DH467" i="16"/>
  <c r="DK283" i="16"/>
  <c r="DW214" i="16"/>
  <c r="DR469" i="16"/>
  <c r="EM464" i="16"/>
  <c r="EL208" i="16"/>
  <c r="EG63" i="16"/>
  <c r="DC401" i="16"/>
  <c r="EC435" i="16"/>
  <c r="DK323" i="16"/>
  <c r="ES444" i="16"/>
  <c r="EA464" i="16"/>
  <c r="EK76" i="16"/>
  <c r="EI54" i="16"/>
  <c r="EI139" i="16"/>
  <c r="ED494" i="16"/>
  <c r="EB199" i="16"/>
  <c r="ER296" i="16"/>
  <c r="DV96" i="16"/>
  <c r="DN162" i="16"/>
  <c r="CZ225" i="16"/>
  <c r="DE163" i="16"/>
  <c r="EC122" i="16"/>
  <c r="EA110" i="16"/>
  <c r="EP184" i="16"/>
  <c r="EQ218" i="16"/>
  <c r="DP333" i="16"/>
  <c r="DG479" i="16"/>
  <c r="EA94" i="16"/>
  <c r="EB234" i="16"/>
  <c r="DZ76" i="16"/>
  <c r="DH390" i="16"/>
  <c r="DY263" i="16"/>
  <c r="DW267" i="16"/>
  <c r="ER130" i="16"/>
  <c r="DG88" i="16"/>
  <c r="DQ319" i="16"/>
  <c r="EI51" i="16"/>
  <c r="DC161" i="16"/>
  <c r="EL462" i="16"/>
  <c r="EE200" i="16"/>
  <c r="DD90" i="16"/>
  <c r="DA479" i="16"/>
  <c r="ER346" i="16"/>
  <c r="EA341" i="16"/>
  <c r="DD189" i="16"/>
  <c r="EF212" i="16"/>
  <c r="DW253" i="16"/>
  <c r="EL227" i="16"/>
  <c r="DJ239" i="16"/>
  <c r="EF145" i="16"/>
  <c r="DE388" i="16"/>
  <c r="DA459" i="16"/>
  <c r="DJ214" i="16"/>
  <c r="DY438" i="16"/>
  <c r="EK65" i="16"/>
  <c r="EO476" i="16"/>
  <c r="DZ91" i="16"/>
  <c r="EH368" i="16"/>
  <c r="DW400" i="16"/>
  <c r="EQ336" i="16"/>
  <c r="DH201" i="16"/>
  <c r="DO470" i="16"/>
  <c r="EJ92" i="16"/>
  <c r="ER309" i="16"/>
  <c r="DI153" i="16"/>
  <c r="DU232" i="16"/>
  <c r="DP182" i="16"/>
  <c r="DW290" i="16"/>
  <c r="EE99" i="16"/>
  <c r="DY383" i="16"/>
  <c r="DK153" i="16"/>
  <c r="DZ332" i="16"/>
  <c r="EP475" i="16"/>
  <c r="DZ103" i="16"/>
  <c r="EP211" i="16"/>
  <c r="DC314" i="16"/>
  <c r="EI201" i="16"/>
  <c r="EG434" i="16"/>
  <c r="EM242" i="16"/>
  <c r="CZ305" i="16"/>
  <c r="DX61" i="16"/>
  <c r="DX172" i="16"/>
  <c r="DE481" i="16"/>
  <c r="DG182" i="16"/>
  <c r="DK422" i="16"/>
  <c r="DF431" i="16"/>
  <c r="DS390" i="16"/>
  <c r="DA115" i="16"/>
  <c r="DI60" i="16"/>
  <c r="DQ382" i="16"/>
  <c r="DP414" i="16"/>
  <c r="EB95" i="16"/>
  <c r="DY326" i="16"/>
  <c r="DI126" i="16"/>
  <c r="DG509" i="16"/>
  <c r="DO511" i="16"/>
  <c r="EQ425" i="16"/>
  <c r="DW206" i="16"/>
  <c r="EG132" i="16"/>
  <c r="CZ298" i="16"/>
  <c r="DS100" i="16"/>
  <c r="DR381" i="16"/>
  <c r="EN492" i="16"/>
  <c r="EP310" i="16"/>
  <c r="EC155" i="16"/>
  <c r="EK389" i="16"/>
  <c r="EL287" i="16"/>
  <c r="EM281" i="16"/>
  <c r="DQ252" i="16"/>
  <c r="ER406" i="16"/>
  <c r="DK330" i="16"/>
  <c r="DK275" i="16"/>
  <c r="DZ318" i="16"/>
  <c r="ES187" i="16"/>
  <c r="DR449" i="16"/>
  <c r="EJ378" i="16"/>
  <c r="EH512" i="16"/>
  <c r="DR181" i="16"/>
  <c r="DR332" i="16"/>
  <c r="EL241" i="16"/>
  <c r="DU277" i="16"/>
  <c r="DN173" i="16"/>
  <c r="DC234" i="16"/>
  <c r="DM221" i="16"/>
  <c r="DG354" i="16"/>
  <c r="DP393" i="16"/>
  <c r="EK416" i="16"/>
  <c r="EG377" i="16"/>
  <c r="DV153" i="16"/>
  <c r="DN65" i="16"/>
  <c r="DV447" i="16"/>
  <c r="EL211" i="16"/>
  <c r="DU397" i="16"/>
  <c r="DI327" i="16"/>
  <c r="EC389" i="16"/>
  <c r="EO415" i="16"/>
  <c r="DF250" i="16"/>
  <c r="DK309" i="16"/>
  <c r="EN337" i="16"/>
  <c r="DR288" i="16"/>
  <c r="DR434" i="16"/>
  <c r="EC371" i="16"/>
  <c r="DL165" i="16"/>
  <c r="EK136" i="16"/>
  <c r="ES181" i="16"/>
  <c r="EH143" i="16"/>
  <c r="EO186" i="16"/>
  <c r="DZ174" i="16"/>
  <c r="EN481" i="16"/>
  <c r="DD337" i="16"/>
  <c r="DR355" i="16"/>
  <c r="EG278" i="16"/>
  <c r="EP241" i="16"/>
  <c r="ED156" i="16"/>
  <c r="DG136" i="16"/>
  <c r="EG79" i="16"/>
  <c r="DZ397" i="16"/>
  <c r="ER342" i="16"/>
  <c r="EM397" i="16"/>
  <c r="DU512" i="16"/>
  <c r="DC107" i="16"/>
  <c r="DD383" i="16"/>
  <c r="DI225" i="16"/>
  <c r="DW112" i="16"/>
  <c r="DE429" i="16"/>
  <c r="DQ419" i="16"/>
  <c r="DR88" i="16"/>
  <c r="DE145" i="16"/>
  <c r="DI162" i="16"/>
  <c r="DF474" i="16"/>
  <c r="ER470" i="16"/>
  <c r="EP359" i="16"/>
  <c r="DH476" i="16"/>
  <c r="DU362" i="16"/>
  <c r="EC123" i="16"/>
  <c r="EJ246" i="16"/>
  <c r="DJ96" i="16"/>
  <c r="DD426" i="16"/>
  <c r="EF55" i="16"/>
  <c r="ER94" i="16"/>
  <c r="DR193" i="16"/>
  <c r="EH97" i="16"/>
  <c r="DE483" i="16"/>
  <c r="EI187" i="16"/>
  <c r="DG464" i="16"/>
  <c r="EQ509" i="16"/>
  <c r="DV240" i="16"/>
  <c r="DI247" i="16"/>
  <c r="DI141" i="16"/>
  <c r="EO203" i="16"/>
  <c r="EO381" i="16"/>
  <c r="DP362" i="16"/>
  <c r="DC80" i="16"/>
  <c r="DT509" i="16"/>
  <c r="DQ412" i="16"/>
  <c r="DA100" i="16"/>
  <c r="EH119" i="16"/>
  <c r="EN319" i="16"/>
  <c r="EP391" i="16"/>
  <c r="CZ128" i="16"/>
  <c r="EL238" i="16"/>
  <c r="DO183" i="16"/>
  <c r="DX278" i="16"/>
  <c r="EP98" i="16"/>
  <c r="DF97" i="16"/>
  <c r="EK303" i="16"/>
  <c r="DE99" i="16"/>
  <c r="EJ52" i="16"/>
  <c r="DI116" i="16"/>
  <c r="DW482" i="16"/>
  <c r="DH231" i="16"/>
  <c r="DO389" i="16"/>
  <c r="DH119" i="16"/>
  <c r="EG420" i="16"/>
  <c r="EC415" i="16"/>
  <c r="DC307" i="16"/>
  <c r="DS337" i="16"/>
  <c r="EM137" i="16"/>
  <c r="EK372" i="16"/>
  <c r="EL98" i="16"/>
  <c r="DG420" i="16"/>
  <c r="DC245" i="16"/>
  <c r="EE483" i="16"/>
  <c r="DK146" i="16"/>
  <c r="DH166" i="16"/>
  <c r="EO475" i="16"/>
  <c r="DE265" i="16"/>
  <c r="DN214" i="16"/>
  <c r="DU309" i="16"/>
  <c r="DP440" i="16"/>
  <c r="EN50" i="16"/>
  <c r="EG184" i="16"/>
  <c r="DG186" i="16"/>
  <c r="EO305" i="16"/>
  <c r="DW463" i="16"/>
  <c r="DT469" i="16"/>
  <c r="DK91" i="16"/>
  <c r="CZ144" i="16"/>
  <c r="DY117" i="16"/>
  <c r="EQ454" i="16"/>
  <c r="DA305" i="16"/>
  <c r="EH487" i="16"/>
  <c r="EI422" i="16"/>
  <c r="DX171" i="16"/>
  <c r="DM466" i="16"/>
  <c r="DF320" i="16"/>
  <c r="EF503" i="16"/>
  <c r="DW370" i="16"/>
  <c r="DZ364" i="16"/>
  <c r="EK168" i="16"/>
  <c r="EE269" i="16"/>
  <c r="DT433" i="16"/>
  <c r="DJ339" i="16"/>
  <c r="DK195" i="16"/>
  <c r="DN467" i="16"/>
  <c r="EH226" i="16"/>
  <c r="DT365" i="16"/>
  <c r="EJ325" i="16"/>
  <c r="EQ166" i="16"/>
  <c r="DB222" i="16"/>
  <c r="EE474" i="16"/>
  <c r="DW176" i="16"/>
  <c r="DL231" i="16"/>
  <c r="DS233" i="16"/>
  <c r="DG179" i="16"/>
  <c r="DL466" i="16"/>
  <c r="EO384" i="16"/>
  <c r="DC201" i="16"/>
  <c r="DS248" i="16"/>
  <c r="DY223" i="16"/>
  <c r="DE49" i="16"/>
  <c r="DO179" i="16"/>
  <c r="DE107" i="16"/>
  <c r="DU238" i="16"/>
  <c r="DK277" i="16"/>
  <c r="EB397" i="16"/>
  <c r="DT78" i="16"/>
  <c r="EJ497" i="16"/>
  <c r="CZ445" i="16"/>
  <c r="EG488" i="16"/>
  <c r="DN290" i="16"/>
  <c r="EP84" i="16"/>
  <c r="EO138" i="16"/>
  <c r="EC288" i="16"/>
  <c r="EE308" i="16"/>
  <c r="DR330" i="16"/>
  <c r="DH174" i="16"/>
  <c r="DX479" i="16"/>
  <c r="EA487" i="16"/>
  <c r="DN189" i="16"/>
  <c r="DI344" i="16"/>
  <c r="EK462" i="16"/>
  <c r="EF516" i="16"/>
  <c r="DX91" i="16"/>
  <c r="EC356" i="16"/>
  <c r="ES416" i="16"/>
  <c r="DH440" i="16"/>
  <c r="CZ64" i="16"/>
  <c r="DB500" i="16"/>
  <c r="DP114" i="16"/>
  <c r="DZ194" i="16"/>
  <c r="EC206" i="16"/>
  <c r="DL140" i="16"/>
  <c r="DV268" i="16"/>
  <c r="EA291" i="16"/>
  <c r="ER446" i="16"/>
  <c r="DF90" i="16"/>
  <c r="DP404" i="16"/>
  <c r="EN475" i="16"/>
  <c r="DV186" i="16"/>
  <c r="EA434" i="16"/>
  <c r="DY241" i="16"/>
  <c r="EP206" i="16"/>
  <c r="EA122" i="16"/>
  <c r="ED451" i="16"/>
  <c r="EB497" i="16"/>
  <c r="DS144" i="16"/>
  <c r="EI430" i="16"/>
  <c r="DZ83" i="16"/>
  <c r="DJ310" i="16"/>
  <c r="EF217" i="16"/>
  <c r="EJ214" i="16"/>
  <c r="EA283" i="16"/>
  <c r="DF89" i="16"/>
  <c r="EI94" i="16"/>
  <c r="DS187" i="16"/>
  <c r="DQ126" i="16"/>
  <c r="DY295" i="16"/>
  <c r="DL74" i="16"/>
  <c r="EA80" i="16"/>
  <c r="DD463" i="16"/>
  <c r="EE294" i="16"/>
  <c r="EQ199" i="16"/>
  <c r="DN306" i="16"/>
  <c r="ER174" i="16"/>
  <c r="EL145" i="16"/>
  <c r="DG331" i="16"/>
  <c r="DG486" i="16"/>
  <c r="DT186" i="16"/>
  <c r="DR362" i="16"/>
  <c r="EB246" i="16"/>
  <c r="DH349" i="16"/>
  <c r="DO304" i="16"/>
  <c r="DH133" i="16"/>
  <c r="DB101" i="16"/>
  <c r="DE509" i="16"/>
  <c r="EN486" i="16"/>
  <c r="DM392" i="16"/>
  <c r="EC152" i="16"/>
  <c r="DT214" i="16"/>
  <c r="DK274" i="16"/>
  <c r="EG437" i="16"/>
  <c r="EK357" i="16"/>
  <c r="EM413" i="16"/>
  <c r="DP174" i="16"/>
  <c r="EG139" i="16"/>
  <c r="DT349" i="16"/>
  <c r="EF335" i="16"/>
  <c r="ES180" i="16"/>
  <c r="DD279" i="16"/>
  <c r="DB55" i="16"/>
  <c r="DJ323" i="16"/>
  <c r="DN369" i="16"/>
  <c r="DZ323" i="16"/>
  <c r="EN328" i="16"/>
  <c r="DP192" i="16"/>
  <c r="EI384" i="16"/>
  <c r="DT185" i="16"/>
  <c r="DD414" i="16"/>
  <c r="DY328" i="16"/>
  <c r="DA341" i="16"/>
  <c r="DK217" i="16"/>
  <c r="DB74" i="16"/>
  <c r="DD466" i="16"/>
  <c r="ED419" i="16"/>
  <c r="ES488" i="16"/>
  <c r="DW116" i="16"/>
  <c r="DW124" i="16"/>
  <c r="DX411" i="16"/>
  <c r="DK313" i="16"/>
  <c r="DR432" i="16"/>
  <c r="DX214" i="16"/>
  <c r="DP460" i="16"/>
  <c r="DK235" i="16"/>
  <c r="EP173" i="16"/>
  <c r="EJ135" i="16"/>
  <c r="EO365" i="16"/>
  <c r="DP413" i="16"/>
  <c r="EF172" i="16"/>
  <c r="DP224" i="16"/>
  <c r="DG116" i="16"/>
  <c r="DH194" i="16"/>
  <c r="ES248" i="16"/>
  <c r="EA414" i="16"/>
  <c r="DE117" i="16"/>
  <c r="DB86" i="16"/>
  <c r="EP212" i="16"/>
  <c r="EQ113" i="16"/>
  <c r="DH350" i="16"/>
  <c r="DC230" i="16"/>
  <c r="EK347" i="16"/>
  <c r="DO185" i="16"/>
  <c r="DN277" i="16"/>
  <c r="EF370" i="16"/>
  <c r="ED94" i="16"/>
  <c r="EI286" i="16"/>
  <c r="DK105" i="16"/>
  <c r="DP359" i="16"/>
  <c r="DT132" i="16"/>
  <c r="DF495" i="16"/>
  <c r="ER495" i="16"/>
  <c r="DL342" i="16"/>
  <c r="DK303" i="16"/>
  <c r="DL500" i="16"/>
  <c r="DA228" i="16"/>
  <c r="DU341" i="16"/>
  <c r="DG305" i="16"/>
  <c r="DM439" i="16"/>
  <c r="DG358" i="16"/>
  <c r="DA509" i="16"/>
  <c r="DD499" i="16"/>
  <c r="DJ130" i="16"/>
  <c r="EF250" i="16"/>
  <c r="EN54" i="16"/>
  <c r="DT504" i="16"/>
  <c r="DK70" i="16"/>
  <c r="DK399" i="16"/>
  <c r="DG112" i="16"/>
  <c r="DY431" i="16"/>
  <c r="DO108" i="16"/>
  <c r="EA211" i="16"/>
  <c r="DU186" i="16"/>
  <c r="DG146" i="16"/>
  <c r="EM201" i="16"/>
  <c r="EN434" i="16"/>
  <c r="DC165" i="16"/>
  <c r="EA426" i="16"/>
  <c r="DK220" i="16"/>
  <c r="DL160" i="16"/>
  <c r="EE408" i="16"/>
  <c r="DZ113" i="16"/>
  <c r="DC96" i="16"/>
  <c r="ER232" i="16"/>
  <c r="DV498" i="16"/>
  <c r="CZ68" i="16"/>
  <c r="ER128" i="16"/>
  <c r="DZ207" i="16"/>
  <c r="ED349" i="16"/>
  <c r="EQ342" i="16"/>
  <c r="DK368" i="16"/>
  <c r="EO212" i="16"/>
  <c r="EC396" i="16"/>
  <c r="DU62" i="16"/>
  <c r="DP94" i="16"/>
  <c r="DY97" i="16"/>
  <c r="DQ458" i="16"/>
  <c r="DI280" i="16"/>
  <c r="DR404" i="16"/>
  <c r="CZ439" i="16"/>
  <c r="DG253" i="16"/>
  <c r="ER454" i="16"/>
  <c r="DO358" i="16"/>
  <c r="DT75" i="16"/>
  <c r="DW439" i="16"/>
  <c r="DN414" i="16"/>
  <c r="EP386" i="16"/>
  <c r="DP420" i="16"/>
  <c r="EK209" i="16"/>
  <c r="DT278" i="16"/>
  <c r="DX307" i="16"/>
  <c r="DO68" i="16"/>
  <c r="DB372" i="16"/>
  <c r="DL341" i="16"/>
  <c r="EG167" i="16"/>
  <c r="DS63" i="16"/>
  <c r="DV147" i="16"/>
  <c r="EN495" i="16"/>
  <c r="CZ433" i="16"/>
  <c r="EC496" i="16"/>
  <c r="EC125" i="16"/>
  <c r="ES271" i="16"/>
  <c r="EQ494" i="16"/>
  <c r="EF477" i="16"/>
  <c r="DT414" i="16"/>
  <c r="EN192" i="16"/>
  <c r="DC278" i="16"/>
  <c r="DW153" i="16"/>
  <c r="DX353" i="16"/>
  <c r="DY452" i="16"/>
  <c r="DM271" i="16"/>
  <c r="DX348" i="16"/>
  <c r="EO374" i="16"/>
  <c r="EM390" i="16"/>
  <c r="DM494" i="16"/>
  <c r="EF283" i="16"/>
  <c r="DO238" i="16"/>
  <c r="DN287" i="16"/>
  <c r="EJ387" i="16"/>
  <c r="DQ402" i="16"/>
  <c r="CZ276" i="16"/>
  <c r="DE84" i="16"/>
  <c r="EA84" i="16"/>
  <c r="DL431" i="16"/>
  <c r="EL371" i="16"/>
  <c r="DJ449" i="16"/>
  <c r="DA399" i="16"/>
  <c r="DN375" i="16"/>
  <c r="EB65" i="16"/>
  <c r="EJ184" i="16"/>
  <c r="EE184" i="16"/>
  <c r="EL333" i="16"/>
  <c r="EI222" i="16"/>
  <c r="DW307" i="16"/>
  <c r="DS315" i="16"/>
  <c r="ED326" i="16"/>
  <c r="EF69" i="16"/>
  <c r="DY480" i="16"/>
  <c r="DG310" i="16"/>
  <c r="EN204" i="16"/>
  <c r="EN317" i="16"/>
  <c r="DL158" i="16"/>
  <c r="DU499" i="16"/>
  <c r="EC347" i="16"/>
  <c r="ED203" i="16"/>
  <c r="ED393" i="16"/>
  <c r="DI226" i="16"/>
  <c r="DN96" i="16"/>
  <c r="DQ461" i="16"/>
  <c r="DX268" i="16"/>
  <c r="DV351" i="16"/>
  <c r="DS215" i="16"/>
  <c r="DW382" i="16"/>
  <c r="DZ170" i="16"/>
  <c r="DM151" i="16"/>
  <c r="CZ171" i="16"/>
  <c r="EE327" i="16"/>
  <c r="DO378" i="16"/>
  <c r="DJ235" i="16"/>
  <c r="DI477" i="16"/>
  <c r="EK340" i="16"/>
  <c r="DF270" i="16"/>
  <c r="DI145" i="16"/>
  <c r="DR392" i="16"/>
  <c r="DX92" i="16"/>
  <c r="EC362" i="16"/>
  <c r="EI294" i="16"/>
  <c r="DS96" i="16"/>
  <c r="DV223" i="16"/>
  <c r="EA293" i="16"/>
  <c r="DZ111" i="16"/>
  <c r="EH334" i="16"/>
  <c r="DH399" i="16"/>
  <c r="ED168" i="16"/>
  <c r="EE76" i="16"/>
  <c r="DD61" i="16"/>
  <c r="ED437" i="16"/>
  <c r="DR259" i="16"/>
  <c r="DC479" i="16"/>
  <c r="DH62" i="16"/>
  <c r="DK114" i="16"/>
  <c r="EN137" i="16"/>
  <c r="DA361" i="16"/>
  <c r="DH81" i="16"/>
  <c r="EB406" i="16"/>
  <c r="EP262" i="16"/>
  <c r="EE420" i="16"/>
  <c r="EM439" i="16"/>
  <c r="DC493" i="16"/>
  <c r="EH81" i="16"/>
  <c r="DN397" i="16"/>
  <c r="ES456" i="16"/>
  <c r="DZ109" i="16"/>
  <c r="EJ404" i="16"/>
  <c r="DM112" i="16"/>
  <c r="DE108" i="16"/>
  <c r="ER345" i="16"/>
  <c r="DS223" i="16"/>
  <c r="EB349" i="16"/>
  <c r="EJ429" i="16"/>
  <c r="DQ193" i="16"/>
  <c r="DO56" i="16"/>
  <c r="DF120" i="16"/>
  <c r="DG501" i="16"/>
  <c r="ES258" i="16"/>
  <c r="ES128" i="16"/>
  <c r="DO445" i="16"/>
  <c r="EB484" i="16"/>
  <c r="EI55" i="16"/>
  <c r="EG100" i="16"/>
  <c r="ER487" i="16"/>
  <c r="EK454" i="16"/>
  <c r="EF105" i="16"/>
  <c r="DT501" i="16"/>
  <c r="DM74" i="16"/>
  <c r="EF458" i="16"/>
  <c r="DO182" i="16"/>
  <c r="EO326" i="16"/>
  <c r="DN52" i="16"/>
  <c r="DA381" i="16"/>
  <c r="CZ169" i="16"/>
  <c r="DZ487" i="16"/>
  <c r="DC70" i="16"/>
  <c r="DN128" i="16"/>
  <c r="DQ118" i="16"/>
  <c r="DZ504" i="16"/>
  <c r="EF276" i="16"/>
  <c r="DD402" i="16"/>
  <c r="DE434" i="16"/>
  <c r="DJ437" i="16"/>
  <c r="DV311" i="16"/>
  <c r="EO282" i="16"/>
  <c r="DA490" i="16"/>
  <c r="EM502" i="16"/>
  <c r="DZ61" i="16"/>
  <c r="DI453" i="16"/>
  <c r="EQ216" i="16"/>
  <c r="EK369" i="16"/>
  <c r="ES347" i="16"/>
  <c r="EN257" i="16"/>
  <c r="DZ342" i="16"/>
  <c r="DX397" i="16"/>
  <c r="EQ52" i="16"/>
  <c r="DZ324" i="16"/>
  <c r="EP301" i="16"/>
  <c r="DU382" i="16"/>
  <c r="DO86" i="16"/>
  <c r="EG448" i="16"/>
  <c r="DO67" i="16"/>
  <c r="DI109" i="16"/>
  <c r="EH360" i="16"/>
  <c r="EL134" i="16"/>
  <c r="DQ80" i="16"/>
  <c r="EP372" i="16"/>
  <c r="EJ318" i="16"/>
  <c r="DA105" i="16"/>
  <c r="DU440" i="16"/>
  <c r="EP188" i="16"/>
  <c r="DJ366" i="16"/>
  <c r="EI285" i="16"/>
  <c r="EO483" i="16"/>
  <c r="DT51" i="16"/>
  <c r="DU146" i="16"/>
  <c r="DN84" i="16"/>
  <c r="EO103" i="16"/>
  <c r="ED103" i="16"/>
  <c r="EE185" i="16"/>
  <c r="DW252" i="16"/>
  <c r="DW329" i="16"/>
  <c r="EK109" i="16"/>
  <c r="DG334" i="16"/>
  <c r="EO87" i="16"/>
  <c r="EI463" i="16"/>
  <c r="DJ297" i="16"/>
  <c r="DV293" i="16"/>
  <c r="ED248" i="16"/>
  <c r="ER335" i="16"/>
  <c r="DO305" i="16"/>
  <c r="ED442" i="16"/>
  <c r="EB327" i="16"/>
  <c r="DZ112" i="16"/>
  <c r="DI336" i="16"/>
  <c r="DZ473" i="16"/>
  <c r="DR195" i="16"/>
  <c r="EP57" i="16"/>
  <c r="DL54" i="16"/>
  <c r="DV157" i="16"/>
  <c r="DT137" i="16"/>
  <c r="EK435" i="16"/>
  <c r="EG469" i="16"/>
  <c r="EJ411" i="16"/>
  <c r="EC204" i="16"/>
  <c r="DX215" i="16"/>
  <c r="DB481" i="16"/>
  <c r="DZ258" i="16"/>
  <c r="DV130" i="16"/>
  <c r="EO478" i="16"/>
  <c r="EC150" i="16"/>
  <c r="DX205" i="16"/>
  <c r="DM501" i="16"/>
  <c r="DQ367" i="16"/>
  <c r="DY88" i="16"/>
  <c r="DF462" i="16"/>
  <c r="DD263" i="16"/>
  <c r="EB457" i="16"/>
  <c r="DR282" i="16"/>
  <c r="EB175" i="16"/>
  <c r="DQ381" i="16"/>
  <c r="DH214" i="16"/>
  <c r="DU252" i="16"/>
  <c r="DE355" i="16"/>
  <c r="DD192" i="16"/>
  <c r="EG150" i="16"/>
  <c r="EM208" i="16"/>
  <c r="DC216" i="16"/>
  <c r="ER79" i="16"/>
  <c r="DH259" i="16"/>
  <c r="DR69" i="16"/>
  <c r="DO444" i="16"/>
  <c r="DS126" i="16"/>
  <c r="EP476" i="16"/>
  <c r="DO57" i="16"/>
  <c r="DY488" i="16"/>
  <c r="EM182" i="16"/>
  <c r="ES192" i="16"/>
  <c r="DR410" i="16"/>
  <c r="ES156" i="16"/>
  <c r="DD77" i="16"/>
  <c r="DD460" i="16"/>
  <c r="EH383" i="16"/>
  <c r="EA229" i="16"/>
  <c r="DR219" i="16"/>
  <c r="EJ89" i="16"/>
  <c r="DR151" i="16"/>
  <c r="DU275" i="16"/>
  <c r="EQ507" i="16"/>
  <c r="DF210" i="16"/>
  <c r="ER481" i="16"/>
  <c r="DN56" i="16"/>
  <c r="EQ427" i="16"/>
  <c r="EG443" i="16"/>
  <c r="DT288" i="16"/>
  <c r="ER143" i="16"/>
  <c r="DE133" i="16"/>
  <c r="EF510" i="16"/>
  <c r="DJ448" i="16"/>
  <c r="DU269" i="16"/>
  <c r="EB509" i="16"/>
  <c r="EO262" i="16"/>
  <c r="ED418" i="16"/>
  <c r="DB143" i="16"/>
  <c r="DE352" i="16"/>
  <c r="CZ375" i="16"/>
  <c r="DY224" i="16"/>
  <c r="EG294" i="16"/>
  <c r="DF437" i="16"/>
  <c r="DM374" i="16"/>
  <c r="EB61" i="16"/>
  <c r="DI123" i="16"/>
  <c r="DD64" i="16"/>
  <c r="EJ65" i="16"/>
  <c r="DK486" i="16"/>
  <c r="DA454" i="16"/>
  <c r="EI452" i="16"/>
  <c r="DM506" i="16"/>
  <c r="DB510" i="16"/>
  <c r="DD266" i="16"/>
  <c r="EO208" i="16"/>
  <c r="DU295" i="16"/>
  <c r="EQ453" i="16"/>
  <c r="DG163" i="16"/>
  <c r="DV125" i="16"/>
  <c r="DN243" i="16"/>
  <c r="DG191" i="16"/>
  <c r="DW95" i="16"/>
  <c r="DJ480" i="16"/>
  <c r="DK138" i="16"/>
  <c r="EN277" i="16"/>
  <c r="DD424" i="16"/>
  <c r="ED262" i="16"/>
  <c r="EK461" i="16"/>
  <c r="EA355" i="16"/>
  <c r="EL67" i="16"/>
  <c r="EA269" i="16"/>
  <c r="EK89" i="16"/>
  <c r="EH100" i="16"/>
  <c r="DM387" i="16"/>
  <c r="DG476" i="16"/>
  <c r="DS428" i="16"/>
  <c r="DT166" i="16"/>
  <c r="DM59" i="16"/>
  <c r="DC204" i="16"/>
  <c r="DX439" i="16"/>
  <c r="CZ461" i="16"/>
  <c r="DO339" i="16"/>
  <c r="ED493" i="16"/>
  <c r="DR427" i="16"/>
  <c r="DW448" i="16"/>
  <c r="EE197" i="16"/>
  <c r="DQ157" i="16"/>
  <c r="EO136" i="16"/>
  <c r="CZ71" i="16"/>
  <c r="DN236" i="16"/>
  <c r="DF456" i="16"/>
  <c r="ED137" i="16"/>
  <c r="DA220" i="16"/>
  <c r="DH362" i="16"/>
  <c r="DX66" i="16"/>
  <c r="DU85" i="16"/>
  <c r="EC306" i="16"/>
  <c r="EF95" i="16"/>
  <c r="DE325" i="16"/>
  <c r="DM401" i="16"/>
  <c r="DO126" i="16"/>
  <c r="DX137" i="16"/>
  <c r="DN418" i="16"/>
  <c r="DB512" i="16"/>
  <c r="DM315" i="16"/>
  <c r="DE139" i="16"/>
  <c r="DY249" i="16"/>
  <c r="DS380" i="16"/>
  <c r="EA335" i="16"/>
  <c r="DR241" i="16"/>
  <c r="EQ329" i="16"/>
  <c r="DO225" i="16"/>
  <c r="EK424" i="16"/>
  <c r="DW203" i="16"/>
  <c r="DT141" i="16"/>
  <c r="DM469" i="16"/>
  <c r="EC455" i="16"/>
  <c r="DL134" i="16"/>
  <c r="EK277" i="16"/>
  <c r="DM218" i="16"/>
  <c r="EO188" i="16"/>
  <c r="DV494" i="16"/>
  <c r="EP75" i="16"/>
  <c r="EA324" i="16"/>
  <c r="CZ415" i="16"/>
  <c r="DT363" i="16"/>
  <c r="EA495" i="16"/>
  <c r="DE443" i="16"/>
  <c r="DC272" i="16"/>
  <c r="ES468" i="16"/>
  <c r="DG166" i="16"/>
  <c r="DA331" i="16"/>
  <c r="DO293" i="16"/>
  <c r="ER327" i="16"/>
  <c r="DR188" i="16"/>
  <c r="EH314" i="16"/>
  <c r="EP256" i="16"/>
  <c r="EM310" i="16"/>
  <c r="ED316" i="16"/>
  <c r="EF200" i="16"/>
  <c r="EL116" i="16"/>
  <c r="DF199" i="16"/>
  <c r="DE237" i="16"/>
  <c r="DW498" i="16"/>
  <c r="EH498" i="16"/>
  <c r="EG67" i="16"/>
  <c r="DL112" i="16"/>
  <c r="EI192" i="16"/>
  <c r="EH507" i="16"/>
  <c r="EC239" i="16"/>
  <c r="DE455" i="16"/>
  <c r="EQ236" i="16"/>
  <c r="DM275" i="16"/>
  <c r="EO357" i="16"/>
  <c r="DR198" i="16"/>
  <c r="DW259" i="16"/>
  <c r="DU75" i="16"/>
  <c r="EQ403" i="16"/>
  <c r="DQ154" i="16"/>
  <c r="DN330" i="16"/>
  <c r="EC390" i="16"/>
  <c r="DZ263" i="16"/>
  <c r="EP99" i="16"/>
  <c r="EC352" i="16"/>
  <c r="EK88" i="16"/>
  <c r="DZ417" i="16"/>
  <c r="EO302" i="16"/>
  <c r="DD146" i="16"/>
  <c r="DU56" i="16"/>
  <c r="DM488" i="16"/>
  <c r="EL232" i="16"/>
  <c r="DY183" i="16"/>
  <c r="ED293" i="16"/>
  <c r="DU155" i="16"/>
  <c r="EO73" i="16"/>
  <c r="DY146" i="16"/>
  <c r="EA329" i="16"/>
  <c r="DV493" i="16"/>
  <c r="DT377" i="16"/>
  <c r="EH279" i="16"/>
  <c r="DI179" i="16"/>
  <c r="ER68" i="16"/>
  <c r="DB271" i="16"/>
  <c r="DZ214" i="16"/>
  <c r="EK267" i="16"/>
  <c r="DY180" i="16"/>
  <c r="DK59" i="16"/>
  <c r="DI127" i="16"/>
  <c r="EJ127" i="16"/>
  <c r="CZ154" i="16"/>
  <c r="EC432" i="16"/>
  <c r="DO152" i="16"/>
  <c r="EO106" i="16"/>
  <c r="DP71" i="16"/>
  <c r="EB359" i="16"/>
  <c r="EG77" i="16"/>
  <c r="EB188" i="16"/>
  <c r="CZ494" i="16"/>
  <c r="DG401" i="16"/>
  <c r="EL124" i="16"/>
  <c r="EH271" i="16"/>
  <c r="EF91" i="16"/>
  <c r="DZ67" i="16"/>
  <c r="EL436" i="16"/>
  <c r="DV415" i="16"/>
  <c r="DI299" i="16"/>
  <c r="DL408" i="16"/>
  <c r="DE516" i="16"/>
  <c r="DN324" i="16"/>
  <c r="ES107" i="16"/>
  <c r="EQ379" i="16"/>
  <c r="DJ171" i="16"/>
  <c r="DD439" i="16"/>
  <c r="ES91" i="16"/>
  <c r="EN340" i="16"/>
  <c r="EE242" i="16"/>
  <c r="EH184" i="16"/>
  <c r="EJ264" i="16"/>
  <c r="DS118" i="16"/>
  <c r="EM167" i="16"/>
  <c r="EO118" i="16"/>
  <c r="DS75" i="16"/>
  <c r="DC78" i="16"/>
  <c r="EF152" i="16"/>
  <c r="DY501" i="16"/>
  <c r="DM266" i="16"/>
  <c r="ES307" i="16"/>
  <c r="DM156" i="16"/>
  <c r="DA269" i="16"/>
  <c r="DP380" i="16"/>
  <c r="ER60" i="16"/>
  <c r="DW320" i="16"/>
  <c r="EM368" i="16"/>
  <c r="EO354" i="16"/>
  <c r="DY154" i="16"/>
  <c r="DT360" i="16"/>
  <c r="DJ150" i="16"/>
  <c r="DF113" i="16"/>
  <c r="EI419" i="16"/>
  <c r="DW336" i="16"/>
  <c r="EB82" i="16"/>
  <c r="DI201" i="16"/>
  <c r="EC307" i="16"/>
  <c r="EQ87" i="16"/>
  <c r="DB246" i="16"/>
  <c r="DL483" i="16"/>
  <c r="DC169" i="16"/>
  <c r="DA49" i="16"/>
  <c r="ER490" i="16"/>
  <c r="DR207" i="16"/>
  <c r="CZ152" i="16"/>
  <c r="DV470" i="16"/>
  <c r="DH423" i="16"/>
  <c r="EO250" i="16"/>
  <c r="DJ249" i="16"/>
  <c r="DM180" i="16"/>
  <c r="DT338" i="16"/>
  <c r="EC449" i="16"/>
  <c r="DQ474" i="16"/>
  <c r="EO323" i="16"/>
  <c r="EI491" i="16"/>
  <c r="EA372" i="16"/>
  <c r="EF219" i="16"/>
  <c r="DO114" i="16"/>
  <c r="DW228" i="16"/>
  <c r="DU388" i="16"/>
  <c r="DG266" i="16"/>
  <c r="DO485" i="16"/>
  <c r="DX257" i="16"/>
  <c r="DO217" i="16"/>
  <c r="EO329" i="16"/>
  <c r="CZ72" i="16"/>
  <c r="DU506" i="16"/>
  <c r="EI67" i="16"/>
  <c r="DE151" i="16"/>
  <c r="EH382" i="16"/>
  <c r="DV423" i="16"/>
  <c r="DG493" i="16"/>
  <c r="DC154" i="16"/>
  <c r="EC460" i="16"/>
  <c r="DP383" i="16"/>
  <c r="CZ243" i="16"/>
  <c r="DX422" i="16"/>
  <c r="DE375" i="16"/>
  <c r="DY118" i="16"/>
  <c r="DE369" i="16"/>
  <c r="ED340" i="16"/>
  <c r="EF312" i="16"/>
  <c r="DP457" i="16"/>
  <c r="EB300" i="16"/>
  <c r="EO247" i="16"/>
  <c r="EB91" i="16"/>
  <c r="DZ131" i="16"/>
  <c r="DJ92" i="16"/>
  <c r="ER202" i="16"/>
  <c r="EF299" i="16"/>
  <c r="DE106" i="16"/>
  <c r="DY402" i="16"/>
  <c r="DW118" i="16"/>
  <c r="DQ140" i="16"/>
  <c r="DI209" i="16"/>
  <c r="EJ500" i="16"/>
  <c r="DA102" i="16"/>
  <c r="DA378" i="16"/>
  <c r="EQ94" i="16"/>
  <c r="DT255" i="16"/>
  <c r="DU154" i="16"/>
  <c r="DP388" i="16"/>
  <c r="DG209" i="16"/>
  <c r="DY273" i="16"/>
  <c r="DE357" i="16"/>
  <c r="EF509" i="16"/>
  <c r="DX181" i="16"/>
  <c r="DO501" i="16"/>
  <c r="ER222" i="16"/>
  <c r="DV397" i="16"/>
  <c r="EQ373" i="16"/>
  <c r="DT121" i="16"/>
  <c r="CZ322" i="16"/>
  <c r="DJ85" i="16"/>
  <c r="DT159" i="16"/>
  <c r="EK411" i="16"/>
  <c r="DK337" i="16"/>
  <c r="DJ247" i="16"/>
  <c r="DN144" i="16"/>
  <c r="ES234" i="16"/>
  <c r="EL494" i="16"/>
  <c r="EG360" i="16"/>
  <c r="DK76" i="16"/>
  <c r="DJ209" i="16"/>
  <c r="DP231" i="16"/>
  <c r="DU436" i="16"/>
  <c r="DM284" i="16"/>
  <c r="EL163" i="16"/>
  <c r="DE290" i="16"/>
  <c r="DL262" i="16"/>
  <c r="DC123" i="16"/>
  <c r="EK362" i="16"/>
  <c r="DC167" i="16"/>
  <c r="EC238" i="16"/>
  <c r="EB92" i="16"/>
  <c r="EN135" i="16"/>
  <c r="ES201" i="16"/>
  <c r="DU180" i="16"/>
  <c r="DR266" i="16"/>
  <c r="DQ200" i="16"/>
  <c r="EA248" i="16"/>
  <c r="EB503" i="16"/>
  <c r="EN455" i="16"/>
  <c r="DX410" i="16"/>
  <c r="DL416" i="16"/>
  <c r="DA112" i="16"/>
  <c r="DP110" i="16"/>
  <c r="DC77" i="16"/>
  <c r="DA155" i="16"/>
  <c r="EF322" i="16"/>
  <c r="DA185" i="16"/>
  <c r="DY436" i="16"/>
  <c r="CZ153" i="16"/>
  <c r="DM497" i="16"/>
  <c r="EL396" i="16"/>
  <c r="DC99" i="16"/>
  <c r="EG390" i="16"/>
  <c r="EN58" i="16"/>
  <c r="EE275" i="16"/>
  <c r="EH246" i="16"/>
  <c r="ED397" i="16"/>
  <c r="DP212" i="16"/>
  <c r="ES64" i="16"/>
  <c r="DR172" i="16"/>
  <c r="DW200" i="16"/>
  <c r="ER277" i="16"/>
  <c r="DS164" i="16"/>
  <c r="DD475" i="16"/>
  <c r="EM452" i="16"/>
  <c r="DG444" i="16"/>
  <c r="DD201" i="16"/>
  <c r="DA284" i="16"/>
  <c r="EF416" i="16"/>
  <c r="ES52" i="16"/>
  <c r="EL480" i="16"/>
  <c r="DE514" i="16"/>
  <c r="DW189" i="16"/>
  <c r="DF514" i="16"/>
  <c r="ER173" i="16"/>
  <c r="EI438" i="16"/>
  <c r="EK391" i="16"/>
  <c r="EG405" i="16"/>
  <c r="EK138" i="16"/>
  <c r="ES337" i="16"/>
  <c r="DC443" i="16"/>
  <c r="DX277" i="16"/>
  <c r="DU270" i="16"/>
  <c r="EC486" i="16"/>
  <c r="EA102" i="16"/>
  <c r="DM129" i="16"/>
  <c r="EL147" i="16"/>
  <c r="EI433" i="16"/>
  <c r="DO123" i="16"/>
  <c r="EE194" i="16"/>
  <c r="DC141" i="16"/>
  <c r="DX282" i="16"/>
  <c r="DW354" i="16"/>
  <c r="DD306" i="16"/>
  <c r="EI150" i="16"/>
  <c r="EA91" i="16"/>
  <c r="ED112" i="16"/>
  <c r="EF60" i="16"/>
  <c r="DZ327" i="16"/>
  <c r="EM321" i="16"/>
  <c r="DJ136" i="16"/>
  <c r="EN323" i="16"/>
  <c r="DJ159" i="16"/>
  <c r="DU314" i="16"/>
  <c r="DO248" i="16"/>
  <c r="DY290" i="16"/>
  <c r="DW191" i="16"/>
  <c r="DE385" i="16"/>
  <c r="EH257" i="16"/>
  <c r="DF425" i="16"/>
  <c r="DF76" i="16"/>
  <c r="EM508" i="16"/>
  <c r="EI493" i="16"/>
  <c r="DO434" i="16"/>
  <c r="EL189" i="16"/>
  <c r="EC484" i="16"/>
  <c r="DK341" i="16"/>
  <c r="ED258" i="16"/>
  <c r="DR216" i="16"/>
  <c r="EL199" i="16"/>
  <c r="DA143" i="16"/>
  <c r="EH307" i="16"/>
  <c r="DM516" i="16"/>
  <c r="ES175" i="16"/>
  <c r="DX248" i="16"/>
  <c r="DC297" i="16"/>
  <c r="DL85" i="16"/>
  <c r="EL217" i="16"/>
  <c r="DT91" i="16"/>
  <c r="EO473" i="16"/>
  <c r="DX403" i="16"/>
  <c r="DQ308" i="16"/>
  <c r="DJ205" i="16"/>
  <c r="DI175" i="16"/>
  <c r="ED490" i="16"/>
  <c r="EG225" i="16"/>
  <c r="DD508" i="16"/>
  <c r="EP358" i="16"/>
  <c r="DH345" i="16"/>
  <c r="DI372" i="16"/>
  <c r="DG466" i="16"/>
  <c r="DG171" i="16"/>
  <c r="EM409" i="16"/>
  <c r="EC276" i="16"/>
  <c r="EP333" i="16"/>
  <c r="DV122" i="16"/>
  <c r="DY142" i="16"/>
  <c r="EP210" i="16"/>
  <c r="DV139" i="16"/>
  <c r="DS377" i="16"/>
  <c r="DJ368" i="16"/>
  <c r="ED187" i="16"/>
  <c r="DH507" i="16"/>
  <c r="DH101" i="16"/>
  <c r="DS147" i="16"/>
  <c r="ER516" i="16"/>
  <c r="DT95" i="16"/>
  <c r="EI295" i="16"/>
  <c r="EQ290" i="16"/>
  <c r="DF127" i="16"/>
  <c r="DD415" i="16"/>
  <c r="DN104" i="16"/>
  <c r="DC95" i="16"/>
  <c r="DQ239" i="16"/>
  <c r="EO167" i="16"/>
  <c r="DD328" i="16"/>
  <c r="EC253" i="16"/>
  <c r="DX331" i="16"/>
  <c r="EK371" i="16"/>
  <c r="DV208" i="16"/>
  <c r="EB464" i="16"/>
  <c r="CZ201" i="16"/>
  <c r="DV410" i="16"/>
  <c r="EQ475" i="16"/>
  <c r="ED82" i="16"/>
  <c r="EJ177" i="16"/>
  <c r="DY476" i="16"/>
  <c r="ED271" i="16"/>
  <c r="DL191" i="16"/>
  <c r="DP206" i="16"/>
  <c r="DC236" i="16"/>
  <c r="EF461" i="16"/>
  <c r="EC164" i="16"/>
  <c r="DM82" i="16"/>
  <c r="DV374" i="16"/>
  <c r="DU124" i="16"/>
  <c r="DU159" i="16"/>
  <c r="DM120" i="16"/>
  <c r="DM107" i="16"/>
  <c r="DF346" i="16"/>
  <c r="DY164" i="16"/>
  <c r="DR240" i="16"/>
  <c r="DV346" i="16"/>
  <c r="DG53" i="16"/>
  <c r="DX146" i="16"/>
  <c r="DA62" i="16"/>
  <c r="EB388" i="16"/>
  <c r="DK425" i="16"/>
  <c r="EA164" i="16"/>
  <c r="DT431" i="16"/>
  <c r="EG340" i="16"/>
  <c r="EK79" i="16"/>
  <c r="EA148" i="16"/>
  <c r="EP73" i="16"/>
  <c r="EA344" i="16"/>
  <c r="DU423" i="16"/>
  <c r="DM299" i="16"/>
  <c r="ES352" i="16"/>
  <c r="EG189" i="16"/>
  <c r="EJ254" i="16"/>
  <c r="DD54" i="16"/>
  <c r="EA294" i="16"/>
  <c r="DT418" i="16"/>
  <c r="DQ249" i="16"/>
  <c r="DI397" i="16"/>
  <c r="EG477" i="16"/>
  <c r="DY350" i="16"/>
  <c r="ER366" i="16"/>
  <c r="EE182" i="16"/>
  <c r="DC505" i="16"/>
  <c r="DQ192" i="16"/>
  <c r="DA69" i="16"/>
  <c r="DG226" i="16"/>
  <c r="DD399" i="16"/>
  <c r="EE394" i="16"/>
  <c r="EA411" i="16"/>
  <c r="EE407" i="16"/>
  <c r="DK306" i="16"/>
  <c r="EJ98" i="16"/>
  <c r="DE208" i="16"/>
  <c r="DA145" i="16"/>
  <c r="EO89" i="16"/>
  <c r="EE413" i="16"/>
  <c r="DZ138" i="16"/>
  <c r="CZ248" i="16"/>
  <c r="EO181" i="16"/>
  <c r="EG313" i="16"/>
  <c r="DZ513" i="16"/>
  <c r="DH72" i="16"/>
  <c r="DI58" i="16"/>
  <c r="ER172" i="16"/>
  <c r="DU133" i="16"/>
  <c r="EM128" i="16"/>
  <c r="DA504" i="16"/>
  <c r="DR121" i="16"/>
  <c r="ED179" i="16"/>
  <c r="DR211" i="16"/>
  <c r="DL120" i="16"/>
  <c r="DO275" i="16"/>
  <c r="DI392" i="16"/>
  <c r="DF94" i="16"/>
  <c r="EH68" i="16"/>
  <c r="EQ302" i="16"/>
  <c r="EG126" i="16"/>
  <c r="DV344" i="16"/>
  <c r="DS98" i="16"/>
  <c r="DV390" i="16"/>
  <c r="DQ189" i="16"/>
  <c r="EA436" i="16"/>
  <c r="EH102" i="16"/>
  <c r="DG332" i="16"/>
  <c r="ER493" i="16"/>
  <c r="DO315" i="16"/>
  <c r="DJ309" i="16"/>
  <c r="EA368" i="16"/>
  <c r="DE439" i="16"/>
  <c r="EI510" i="16"/>
  <c r="EL493" i="16"/>
  <c r="DC55" i="16"/>
  <c r="DK276" i="16"/>
  <c r="EF233" i="16"/>
  <c r="DB282" i="16"/>
  <c r="EF139" i="16"/>
  <c r="DY182" i="16"/>
  <c r="EP417" i="16"/>
  <c r="EG190" i="16"/>
  <c r="DL310" i="16"/>
  <c r="DG451" i="16"/>
  <c r="EA280" i="16"/>
  <c r="EP410" i="16"/>
  <c r="DH286" i="16"/>
  <c r="DT496" i="16"/>
  <c r="DU230" i="16"/>
  <c r="DA234" i="16"/>
  <c r="DL274" i="16"/>
  <c r="EB426" i="16"/>
  <c r="DT153" i="16"/>
  <c r="EG331" i="16"/>
  <c r="ED191" i="16"/>
  <c r="DO448" i="16"/>
  <c r="EQ103" i="16"/>
  <c r="DS505" i="16"/>
  <c r="EE283" i="16"/>
  <c r="DH382" i="16"/>
  <c r="ES377" i="16"/>
  <c r="DE226" i="16"/>
  <c r="DR291" i="16"/>
  <c r="DT511" i="16"/>
  <c r="EO95" i="16"/>
  <c r="EI101" i="16"/>
  <c r="DI515" i="16"/>
  <c r="EA296" i="16"/>
  <c r="EB344" i="16"/>
  <c r="DJ340" i="16"/>
  <c r="DA407" i="16"/>
  <c r="EL113" i="16"/>
  <c r="DU212" i="16"/>
  <c r="DV266" i="16"/>
  <c r="DC513" i="16"/>
  <c r="EJ507" i="16"/>
  <c r="DH316" i="16"/>
  <c r="DW171" i="16"/>
  <c r="DU401" i="16"/>
  <c r="DL412" i="16"/>
  <c r="DS60" i="16"/>
  <c r="DT376" i="16"/>
  <c r="EI227" i="16"/>
  <c r="DO220" i="16"/>
  <c r="CZ274" i="16"/>
  <c r="DM203" i="16"/>
  <c r="DM408" i="16"/>
  <c r="DX494" i="16"/>
  <c r="CZ208" i="16"/>
  <c r="DN416" i="16"/>
  <c r="DX234" i="16"/>
  <c r="EQ449" i="16"/>
  <c r="DK278" i="16"/>
  <c r="DM248" i="16"/>
  <c r="EO416" i="16"/>
  <c r="DU510" i="16"/>
  <c r="DG415" i="16"/>
  <c r="EM103" i="16"/>
  <c r="DV52" i="16"/>
  <c r="CZ112" i="16"/>
  <c r="DP379" i="16"/>
  <c r="DK356" i="16"/>
  <c r="DP295" i="16"/>
  <c r="DI402" i="16"/>
  <c r="DG204" i="16"/>
  <c r="DO268" i="16"/>
  <c r="DJ236" i="16"/>
  <c r="DG138" i="16"/>
  <c r="DZ326" i="16"/>
  <c r="DL375" i="16"/>
  <c r="DL81" i="16"/>
  <c r="DG185" i="16"/>
  <c r="DJ77" i="16"/>
  <c r="DL197" i="16"/>
  <c r="DM281" i="16"/>
  <c r="DX124" i="16"/>
  <c r="DE246" i="16"/>
  <c r="DB418" i="16"/>
  <c r="EM55" i="16"/>
  <c r="DB358" i="16"/>
  <c r="EG151" i="16"/>
  <c r="EO51" i="16"/>
  <c r="EN92" i="16"/>
  <c r="CZ81" i="16"/>
  <c r="EP80" i="16"/>
  <c r="EE343" i="16"/>
  <c r="DN219" i="16"/>
  <c r="DF180" i="16"/>
  <c r="DE391" i="16"/>
  <c r="DS446" i="16"/>
  <c r="ER246" i="16"/>
  <c r="DU141" i="16"/>
  <c r="DQ188" i="16"/>
  <c r="DM61" i="16"/>
  <c r="ES322" i="16"/>
  <c r="DU82" i="16"/>
  <c r="DZ137" i="16"/>
  <c r="DE475" i="16"/>
  <c r="DH434" i="16"/>
  <c r="DH53" i="16"/>
  <c r="DP438" i="16"/>
  <c r="EC163" i="16"/>
  <c r="DZ413" i="16"/>
  <c r="EM512" i="16"/>
  <c r="EP401" i="16"/>
  <c r="DE468" i="16"/>
  <c r="EE507" i="16"/>
  <c r="DW428" i="16"/>
  <c r="EJ463" i="16"/>
  <c r="EC189" i="16"/>
  <c r="EO467" i="16"/>
  <c r="DA501" i="16"/>
  <c r="EH373" i="16"/>
  <c r="ES169" i="16"/>
  <c r="EB130" i="16"/>
  <c r="EQ107" i="16"/>
  <c r="EP387" i="16"/>
  <c r="EI80" i="16"/>
  <c r="DU267" i="16"/>
  <c r="EG65" i="16"/>
  <c r="DW177" i="16"/>
  <c r="EP285" i="16"/>
  <c r="ED436" i="16"/>
  <c r="EB284" i="16"/>
  <c r="DZ288" i="16"/>
  <c r="DW469" i="16"/>
  <c r="DY175" i="16"/>
  <c r="EO168" i="16"/>
  <c r="ED339" i="16"/>
  <c r="DE442" i="16"/>
  <c r="EL385" i="16"/>
  <c r="DQ428" i="16"/>
  <c r="DC229" i="16"/>
  <c r="DJ53" i="16"/>
  <c r="DA337" i="16"/>
  <c r="DA56" i="16"/>
  <c r="EH424" i="16"/>
  <c r="ER75" i="16"/>
  <c r="DV92" i="16"/>
  <c r="DT408" i="16"/>
  <c r="DU175" i="16"/>
  <c r="EC420" i="16"/>
  <c r="DM460" i="16"/>
  <c r="DU127" i="16"/>
  <c r="DF344" i="16"/>
  <c r="EC89" i="16"/>
  <c r="DR435" i="16"/>
  <c r="DC88" i="16"/>
  <c r="EC499" i="16"/>
  <c r="EC197" i="16"/>
  <c r="DY77" i="16"/>
  <c r="DC295" i="16"/>
  <c r="ER383" i="16"/>
  <c r="EC262" i="16"/>
  <c r="EB108" i="16"/>
  <c r="DS116" i="16"/>
  <c r="ES227" i="16"/>
  <c r="EE146" i="16"/>
  <c r="DF184" i="16"/>
  <c r="CZ57" i="16"/>
  <c r="DC248" i="16"/>
  <c r="EI216" i="16"/>
  <c r="DS227" i="16"/>
  <c r="DL65" i="16"/>
  <c r="EL353" i="16"/>
  <c r="EG297" i="16"/>
  <c r="DQ251" i="16"/>
  <c r="EG176" i="16"/>
  <c r="EM65" i="16"/>
  <c r="DX218" i="16"/>
  <c r="DK229" i="16"/>
  <c r="DU293" i="16"/>
  <c r="EH107" i="16"/>
  <c r="ER225" i="16"/>
  <c r="EC317" i="16"/>
  <c r="DB270" i="16"/>
  <c r="DP60" i="16"/>
  <c r="DM362" i="16"/>
  <c r="EI206" i="16"/>
  <c r="DK438" i="16"/>
  <c r="DV176" i="16"/>
  <c r="DY153" i="16"/>
  <c r="EK77" i="16"/>
  <c r="DK470" i="16"/>
  <c r="DQ110" i="16"/>
  <c r="DZ423" i="16"/>
  <c r="ER425" i="16"/>
  <c r="EB291" i="16"/>
  <c r="EP193" i="16"/>
  <c r="ED197" i="16"/>
  <c r="DR307" i="16"/>
  <c r="ES185" i="16"/>
  <c r="DR318" i="16"/>
  <c r="EL274" i="16"/>
  <c r="EF148" i="16"/>
  <c r="EC360" i="16"/>
  <c r="DG54" i="16"/>
  <c r="DG101" i="16"/>
  <c r="EL302" i="16"/>
  <c r="EO299" i="16"/>
  <c r="DH268" i="16"/>
  <c r="EF424" i="16"/>
  <c r="DF361" i="16"/>
  <c r="EP232" i="16"/>
  <c r="EL418" i="16"/>
  <c r="EH431" i="16"/>
  <c r="ED410" i="16"/>
  <c r="DP358" i="16"/>
  <c r="DG431" i="16"/>
  <c r="EI331" i="16"/>
  <c r="DS419" i="16"/>
  <c r="DH287" i="16"/>
  <c r="DX200" i="16"/>
  <c r="EE492" i="16"/>
  <c r="DO449" i="16"/>
  <c r="DV384" i="16"/>
  <c r="DV231" i="16"/>
  <c r="EC382" i="16"/>
  <c r="EL77" i="16"/>
  <c r="DJ215" i="16"/>
  <c r="DY357" i="16"/>
  <c r="DW443" i="16"/>
  <c r="DJ292" i="16"/>
  <c r="DG217" i="16"/>
  <c r="DG167" i="16"/>
  <c r="EO349" i="16"/>
  <c r="DJ97" i="16"/>
  <c r="ED496" i="16"/>
  <c r="DP397" i="16"/>
  <c r="EJ185" i="16"/>
  <c r="ED416" i="16"/>
  <c r="DF186" i="16"/>
  <c r="EK226" i="16"/>
  <c r="DJ465" i="16"/>
  <c r="EI432" i="16"/>
  <c r="DI205" i="16"/>
  <c r="DP100" i="16"/>
  <c r="EA336" i="16"/>
  <c r="DA443" i="16"/>
  <c r="EE147" i="16"/>
  <c r="DR209" i="16"/>
  <c r="EQ349" i="16"/>
  <c r="EH374" i="16"/>
  <c r="EE381" i="16"/>
  <c r="DZ302" i="16"/>
  <c r="ED260" i="16"/>
  <c r="EA312" i="16"/>
  <c r="DX217" i="16"/>
  <c r="DP485" i="16"/>
  <c r="EB512" i="16"/>
  <c r="DZ210" i="16"/>
  <c r="DC251" i="16"/>
  <c r="EI269" i="16"/>
  <c r="DB386" i="16"/>
  <c r="DV404" i="16"/>
  <c r="EM307" i="16"/>
  <c r="DW432" i="16"/>
  <c r="DY407" i="16"/>
  <c r="EN271" i="16"/>
  <c r="EC236" i="16"/>
  <c r="ED136" i="16"/>
  <c r="DO194" i="16"/>
  <c r="DJ61" i="16"/>
  <c r="DS209" i="16"/>
  <c r="EE459" i="16"/>
  <c r="EG430" i="16"/>
  <c r="ED475" i="16"/>
  <c r="DZ363" i="16"/>
  <c r="EO332" i="16"/>
  <c r="DO219" i="16"/>
  <c r="ED220" i="16"/>
  <c r="DO226" i="16"/>
  <c r="DE415" i="16"/>
  <c r="EB193" i="16"/>
  <c r="EA270" i="16"/>
  <c r="DA84" i="16"/>
  <c r="ES486" i="16"/>
  <c r="EP86" i="16"/>
  <c r="DS340" i="16"/>
  <c r="DC298" i="16"/>
  <c r="ES143" i="16"/>
  <c r="EM501" i="16"/>
  <c r="ES235" i="16"/>
  <c r="DY444" i="16"/>
  <c r="EP120" i="16"/>
  <c r="EB380" i="16"/>
  <c r="DT490" i="16"/>
  <c r="EK441" i="16"/>
  <c r="EJ101" i="16"/>
  <c r="EL328" i="16"/>
  <c r="DG95" i="16"/>
  <c r="DT392" i="16"/>
  <c r="CZ148" i="16"/>
  <c r="DA388" i="16"/>
  <c r="DV131" i="16"/>
  <c r="DW380" i="16"/>
  <c r="ER298" i="16"/>
  <c r="DW301" i="16"/>
  <c r="DK171" i="16"/>
  <c r="EP317" i="16"/>
  <c r="CZ432" i="16"/>
  <c r="DF108" i="16"/>
  <c r="DY435" i="16"/>
  <c r="ED67" i="16"/>
  <c r="DN198" i="16"/>
  <c r="DT412" i="16"/>
  <c r="DK396" i="16"/>
  <c r="EA57" i="16"/>
  <c r="DC390" i="16"/>
  <c r="EH467" i="16"/>
  <c r="EB323" i="16"/>
  <c r="DT191" i="16"/>
  <c r="EL58" i="16"/>
  <c r="DU427" i="16"/>
  <c r="ER216" i="16"/>
  <c r="DY62" i="16"/>
  <c r="EO335" i="16"/>
  <c r="EA379" i="16"/>
  <c r="DP515" i="16"/>
  <c r="DC499" i="16"/>
  <c r="EI93" i="16"/>
  <c r="DZ503" i="16"/>
  <c r="DV364" i="16"/>
  <c r="DD270" i="16"/>
  <c r="DU320" i="16"/>
  <c r="DE79" i="16"/>
  <c r="EE67" i="16"/>
  <c r="DC347" i="16"/>
  <c r="DS254" i="16"/>
  <c r="DI270" i="16"/>
  <c r="EM275" i="16"/>
  <c r="EH183" i="16"/>
  <c r="EK307" i="16"/>
  <c r="DD284" i="16"/>
  <c r="EQ127" i="16"/>
  <c r="DT115" i="16"/>
  <c r="EE217" i="16"/>
  <c r="DA172" i="16"/>
  <c r="DU374" i="16"/>
  <c r="EC62" i="16"/>
  <c r="EA144" i="16"/>
  <c r="DD75" i="16"/>
  <c r="EF390" i="16"/>
  <c r="EH112" i="16"/>
  <c r="DO136" i="16"/>
  <c r="DQ479" i="16"/>
  <c r="EA153" i="16"/>
  <c r="DA301" i="16"/>
  <c r="EQ474" i="16"/>
  <c r="EP135" i="16"/>
  <c r="EH181" i="16"/>
  <c r="EM226" i="16"/>
  <c r="DF225" i="16"/>
  <c r="DO277" i="16"/>
  <c r="DS210" i="16"/>
  <c r="EF381" i="16"/>
  <c r="DR510" i="16"/>
  <c r="DK262" i="16"/>
  <c r="EB354" i="16"/>
  <c r="DX370" i="16"/>
  <c r="DJ248" i="16"/>
  <c r="DD269" i="16"/>
  <c r="EQ478" i="16"/>
  <c r="DK233" i="16"/>
  <c r="EJ343" i="16"/>
  <c r="ED500" i="16"/>
  <c r="DC58" i="16"/>
  <c r="DO196" i="16"/>
  <c r="DD206" i="16"/>
  <c r="DG172" i="16"/>
  <c r="EM469" i="16"/>
  <c r="ES75" i="16"/>
  <c r="EH343" i="16"/>
  <c r="DG276" i="16"/>
  <c r="EJ251" i="16"/>
  <c r="DF398" i="16"/>
  <c r="EE139" i="16"/>
  <c r="DM96" i="16"/>
  <c r="DN329" i="16"/>
  <c r="DH165" i="16"/>
  <c r="DQ173" i="16"/>
  <c r="DO130" i="16"/>
  <c r="EQ192" i="16"/>
  <c r="EA463" i="16"/>
  <c r="DZ482" i="16"/>
  <c r="DV142" i="16"/>
  <c r="EN242" i="16"/>
  <c r="DA139" i="16"/>
  <c r="DP289" i="16"/>
  <c r="DS236" i="16"/>
  <c r="EK123" i="16"/>
  <c r="EB345" i="16"/>
  <c r="EH233" i="16"/>
  <c r="DW409" i="16"/>
  <c r="DW77" i="16"/>
  <c r="DN141" i="16"/>
  <c r="DL59" i="16"/>
  <c r="DT239" i="16"/>
  <c r="DD458" i="16"/>
  <c r="DB363" i="16"/>
  <c r="EE447" i="16"/>
  <c r="DP421" i="16"/>
  <c r="DM131" i="16"/>
  <c r="DD214" i="16"/>
  <c r="DK273" i="16"/>
  <c r="DJ147" i="16"/>
  <c r="ES135" i="16"/>
  <c r="CZ88" i="16"/>
  <c r="EF225" i="16"/>
  <c r="DU498" i="16"/>
  <c r="DY50" i="16"/>
  <c r="DZ49" i="16"/>
  <c r="EE85" i="16"/>
  <c r="DK463" i="16"/>
  <c r="EB409" i="16"/>
  <c r="ER432" i="16"/>
  <c r="EN480" i="16"/>
  <c r="DN472" i="16"/>
  <c r="DA158" i="16"/>
  <c r="EN309" i="16"/>
  <c r="EM77" i="16"/>
  <c r="DW514" i="16"/>
  <c r="EM287" i="16"/>
  <c r="DJ243" i="16"/>
  <c r="CZ450" i="16"/>
  <c r="EA50" i="16"/>
  <c r="DJ400" i="16"/>
  <c r="DP191" i="16"/>
  <c r="DW410" i="16"/>
  <c r="EN194" i="16"/>
  <c r="DI250" i="16"/>
  <c r="DR365" i="16"/>
  <c r="DC469" i="16"/>
  <c r="DW362" i="16"/>
  <c r="DZ432" i="16"/>
  <c r="EJ506" i="16"/>
  <c r="DF173" i="16"/>
  <c r="DQ401" i="16"/>
  <c r="DT134" i="16"/>
  <c r="EO368" i="16"/>
  <c r="EL464" i="16"/>
  <c r="EQ366" i="16"/>
  <c r="DX296" i="16"/>
  <c r="EL253" i="16"/>
  <c r="DI180" i="16"/>
  <c r="EK116" i="16"/>
  <c r="ER389" i="16"/>
  <c r="EQ179" i="16"/>
  <c r="DL177" i="16"/>
  <c r="DX461" i="16"/>
  <c r="DL438" i="16"/>
  <c r="DW204" i="16"/>
  <c r="EI496" i="16"/>
  <c r="DS283" i="16"/>
  <c r="EJ137" i="16"/>
  <c r="ER317" i="16"/>
  <c r="DH503" i="16"/>
  <c r="DE298" i="16"/>
  <c r="EG422" i="16"/>
  <c r="EA68" i="16"/>
  <c r="DG341" i="16"/>
  <c r="EC198" i="16"/>
  <c r="EN227" i="16"/>
  <c r="DM331" i="16"/>
  <c r="EG112" i="16"/>
  <c r="DE292" i="16"/>
  <c r="EJ218" i="16"/>
  <c r="DT287" i="16"/>
  <c r="DS201" i="16"/>
  <c r="EH302" i="16"/>
  <c r="EF447" i="16"/>
  <c r="DY63" i="16"/>
  <c r="EA98" i="16"/>
  <c r="DD350" i="16"/>
  <c r="ER270" i="16"/>
  <c r="EJ422" i="16"/>
  <c r="EI391" i="16"/>
  <c r="EB112" i="16"/>
  <c r="DF471" i="16"/>
  <c r="EO62" i="16"/>
  <c r="DP235" i="16"/>
  <c r="DV307" i="16"/>
  <c r="ED387" i="16"/>
  <c r="DP279" i="16"/>
  <c r="DB242" i="16"/>
  <c r="EQ222" i="16"/>
  <c r="DY149" i="16"/>
  <c r="EP248" i="16"/>
  <c r="DM251" i="16"/>
  <c r="DX502" i="16"/>
  <c r="ER459" i="16"/>
  <c r="CZ339" i="16"/>
  <c r="EB363" i="16"/>
  <c r="DN476" i="16"/>
  <c r="EA150" i="16"/>
  <c r="EP461" i="16"/>
  <c r="EM460" i="16"/>
  <c r="EJ115" i="16"/>
  <c r="EG233" i="16"/>
  <c r="DV394" i="16"/>
  <c r="DE185" i="16"/>
  <c r="EJ180" i="16"/>
  <c r="DW421" i="16"/>
  <c r="DP83" i="16"/>
  <c r="EF457" i="16"/>
  <c r="DJ268" i="16"/>
  <c r="EP243" i="16"/>
  <c r="ER272" i="16"/>
  <c r="DJ212" i="16"/>
  <c r="EF364" i="16"/>
  <c r="DB289" i="16"/>
  <c r="DO190" i="16"/>
  <c r="DR224" i="16"/>
  <c r="DM200" i="16"/>
  <c r="DO132" i="16"/>
  <c r="DK156" i="16"/>
  <c r="DA328" i="16"/>
  <c r="DX349" i="16"/>
  <c r="DX74" i="16"/>
  <c r="EC274" i="16"/>
  <c r="DO294" i="16"/>
  <c r="EO151" i="16"/>
  <c r="DU71" i="16"/>
  <c r="EL446" i="16"/>
  <c r="DM462" i="16"/>
  <c r="DD489" i="16"/>
  <c r="DF506" i="16"/>
  <c r="ED255" i="16"/>
  <c r="EF252" i="16"/>
  <c r="EL506" i="16"/>
  <c r="DK162" i="16"/>
  <c r="DR372" i="16"/>
  <c r="EJ160" i="16"/>
  <c r="EJ377" i="16"/>
  <c r="DL255" i="16"/>
  <c r="EH195" i="16"/>
  <c r="EH489" i="16"/>
  <c r="DO166" i="16"/>
  <c r="DH67" i="16"/>
  <c r="DR465" i="16"/>
  <c r="DU306" i="16"/>
  <c r="DM255" i="16"/>
  <c r="DH322" i="16"/>
  <c r="DB184" i="16"/>
  <c r="DF486" i="16"/>
  <c r="EH223" i="16"/>
  <c r="EL422" i="16"/>
  <c r="DX142" i="16"/>
  <c r="DH64" i="16"/>
  <c r="EH69" i="16"/>
  <c r="EH263" i="16"/>
  <c r="DS239" i="16"/>
  <c r="EE235" i="16"/>
  <c r="DC104" i="16"/>
  <c r="DW316" i="16"/>
  <c r="EH86" i="16"/>
  <c r="EB516" i="16"/>
  <c r="EI258" i="16"/>
  <c r="DZ440" i="16"/>
  <c r="EF478" i="16"/>
  <c r="EF108" i="16"/>
  <c r="DX186" i="16"/>
  <c r="DA263" i="16"/>
  <c r="DH315" i="16"/>
  <c r="DP302" i="16"/>
  <c r="DM373" i="16"/>
  <c r="DA50" i="16"/>
  <c r="EM108" i="16"/>
  <c r="EM94" i="16"/>
  <c r="EB326" i="16"/>
  <c r="EQ270" i="16"/>
  <c r="DF165" i="16"/>
  <c r="DU363" i="16"/>
  <c r="DA493" i="16"/>
  <c r="DP122" i="16"/>
  <c r="DW314" i="16"/>
  <c r="DU205" i="16"/>
  <c r="DA216" i="16"/>
  <c r="DD332" i="16"/>
  <c r="DJ220" i="16"/>
  <c r="DN251" i="16"/>
  <c r="DB229" i="16"/>
  <c r="ER505" i="16"/>
  <c r="EF317" i="16"/>
  <c r="DN138" i="16"/>
  <c r="DK133" i="16"/>
  <c r="EA104" i="16"/>
  <c r="DU98" i="16"/>
  <c r="DT56" i="16"/>
  <c r="EP434" i="16"/>
  <c r="DZ459" i="16"/>
  <c r="DC86" i="16"/>
  <c r="DQ257" i="16"/>
  <c r="EG88" i="16"/>
  <c r="EC167" i="16"/>
  <c r="EL144" i="16"/>
  <c r="DG243" i="16"/>
  <c r="ED408" i="16"/>
  <c r="DF502" i="16"/>
  <c r="DC139" i="16"/>
  <c r="DC131" i="16"/>
  <c r="EK130" i="16"/>
  <c r="DS476" i="16"/>
  <c r="EQ456" i="16"/>
  <c r="DE267" i="16"/>
  <c r="DH448" i="16"/>
  <c r="DW186" i="16"/>
  <c r="EF376" i="16"/>
  <c r="DB120" i="16"/>
  <c r="EP464" i="16"/>
  <c r="DO231" i="16"/>
  <c r="ED175" i="16"/>
  <c r="DA467" i="16"/>
  <c r="DO138" i="16"/>
  <c r="DA108" i="16"/>
  <c r="EA151" i="16"/>
  <c r="DB93" i="16"/>
  <c r="DY314" i="16"/>
  <c r="DJ213" i="16"/>
  <c r="EA322" i="16"/>
  <c r="DL293" i="16"/>
  <c r="DY94" i="16"/>
  <c r="EH171" i="16"/>
  <c r="DQ491" i="16"/>
  <c r="EQ431" i="16"/>
  <c r="DE359" i="16"/>
  <c r="DF245" i="16"/>
  <c r="DA97" i="16"/>
  <c r="EQ308" i="16"/>
  <c r="DS407" i="16"/>
  <c r="EH141" i="16"/>
  <c r="DP164" i="16"/>
  <c r="DS399" i="16"/>
  <c r="EH137" i="16"/>
  <c r="EF336" i="16"/>
  <c r="EG123" i="16"/>
  <c r="EJ55" i="16"/>
  <c r="DL49" i="16"/>
  <c r="CZ67" i="16"/>
  <c r="DN488" i="16"/>
  <c r="EJ374" i="16"/>
  <c r="EF85" i="16"/>
  <c r="DI108" i="16"/>
  <c r="DL241" i="16"/>
  <c r="EA76" i="16"/>
  <c r="EN133" i="16"/>
  <c r="DU121" i="16"/>
  <c r="DJ286" i="16"/>
  <c r="EC127" i="16"/>
  <c r="EQ247" i="16"/>
  <c r="EK54" i="16"/>
  <c r="DD287" i="16"/>
  <c r="DA78" i="16"/>
  <c r="DT332" i="16"/>
  <c r="DA251" i="16"/>
  <c r="EE314" i="16"/>
  <c r="EE65" i="16"/>
  <c r="EN346" i="16"/>
  <c r="DZ208" i="16"/>
  <c r="EE154" i="16"/>
  <c r="EN230" i="16"/>
  <c r="CZ140" i="16"/>
  <c r="ES392" i="16"/>
  <c r="DX447" i="16"/>
  <c r="EO491" i="16"/>
  <c r="DC224" i="16"/>
  <c r="DN121" i="16"/>
  <c r="DN257" i="16"/>
  <c r="ER394" i="16"/>
  <c r="EF309" i="16"/>
  <c r="EM87" i="16"/>
  <c r="EM196" i="16"/>
  <c r="DG108" i="16"/>
  <c r="DU430" i="16"/>
  <c r="EN394" i="16"/>
  <c r="EB135" i="16"/>
  <c r="EN379" i="16"/>
  <c r="EB222" i="16"/>
  <c r="DS351" i="16"/>
  <c r="EP384" i="16"/>
  <c r="DQ344" i="16"/>
  <c r="DU443" i="16"/>
  <c r="DK426" i="16"/>
  <c r="EO316" i="16"/>
  <c r="DS71" i="16"/>
  <c r="EA61" i="16"/>
  <c r="EQ497" i="16"/>
  <c r="DY218" i="16"/>
  <c r="DB274" i="16"/>
  <c r="EN96" i="16"/>
  <c r="ER229" i="16"/>
  <c r="EI417" i="16"/>
  <c r="DL133" i="16"/>
  <c r="DX485" i="16"/>
  <c r="EH388" i="16"/>
  <c r="EM380" i="16"/>
  <c r="DN73" i="16"/>
  <c r="DP282" i="16"/>
  <c r="DG235" i="16"/>
  <c r="CZ279" i="16"/>
  <c r="DN66" i="16"/>
  <c r="DP103" i="16"/>
  <c r="EL103" i="16"/>
  <c r="EB387" i="16"/>
  <c r="DQ122" i="16"/>
  <c r="DE174" i="16"/>
  <c r="DV377" i="16"/>
  <c r="DV57" i="16"/>
  <c r="EB245" i="16"/>
  <c r="DH498" i="16"/>
  <c r="CZ482" i="16"/>
  <c r="EI68" i="16"/>
  <c r="EI106" i="16"/>
  <c r="DG190" i="16"/>
  <c r="EQ251" i="16"/>
  <c r="CZ334" i="16"/>
  <c r="DA159" i="16"/>
  <c r="EP349" i="16"/>
  <c r="DT87" i="16"/>
  <c r="EP367" i="16"/>
  <c r="EK445" i="16"/>
  <c r="DB449" i="16"/>
  <c r="DE311" i="16"/>
  <c r="EH319" i="16"/>
  <c r="EG133" i="16"/>
  <c r="EM410" i="16"/>
  <c r="EN248" i="16"/>
  <c r="ER147" i="16"/>
  <c r="DE128" i="16"/>
  <c r="DY396" i="16"/>
  <c r="DG84" i="16"/>
  <c r="EL276" i="16"/>
  <c r="DJ353" i="16"/>
  <c r="EN217" i="16"/>
  <c r="DZ235" i="16"/>
  <c r="DT302" i="16"/>
  <c r="DC170" i="16"/>
  <c r="DE309" i="16"/>
  <c r="DE243" i="16"/>
  <c r="EJ464" i="16"/>
  <c r="ES389" i="16"/>
  <c r="DI217" i="16"/>
  <c r="EK285" i="16"/>
  <c r="EP136" i="16"/>
  <c r="EK222" i="16"/>
  <c r="EE417" i="16"/>
  <c r="DG219" i="16"/>
  <c r="DG409" i="16"/>
  <c r="DI155" i="16"/>
  <c r="EG137" i="16"/>
  <c r="DQ445" i="16"/>
  <c r="DN220" i="16"/>
  <c r="DL475" i="16"/>
  <c r="EA334" i="16"/>
  <c r="ER320" i="16"/>
  <c r="DL166" i="16"/>
  <c r="DX391" i="16"/>
  <c r="DO198" i="16"/>
  <c r="DX159" i="16"/>
  <c r="DP199" i="16"/>
  <c r="EE108" i="16"/>
  <c r="DL157" i="16"/>
  <c r="EQ452" i="16"/>
  <c r="DK67" i="16"/>
  <c r="EF343" i="16"/>
  <c r="DG154" i="16"/>
  <c r="EQ187" i="16"/>
  <c r="EI293" i="16"/>
  <c r="DD163" i="16"/>
  <c r="DD150" i="16"/>
  <c r="DH154" i="16"/>
  <c r="DQ267" i="16"/>
  <c r="DX385" i="16"/>
  <c r="EJ249" i="16"/>
  <c r="DH445" i="16"/>
  <c r="EE122" i="16"/>
  <c r="DA246" i="16"/>
  <c r="DP514" i="16"/>
  <c r="DY159" i="16"/>
  <c r="ER377" i="16"/>
  <c r="DJ341" i="16"/>
  <c r="EA271" i="16"/>
  <c r="DS311" i="16"/>
  <c r="EA105" i="16"/>
  <c r="EG201" i="16"/>
  <c r="EC67" i="16"/>
  <c r="DR49" i="16"/>
  <c r="DZ164" i="16"/>
  <c r="DM453" i="16"/>
  <c r="DZ209" i="16"/>
  <c r="EB451" i="16"/>
  <c r="EH124" i="16"/>
  <c r="DE480" i="16"/>
  <c r="ED272" i="16"/>
  <c r="DY191" i="16"/>
  <c r="EO348" i="16"/>
  <c r="EL430" i="16"/>
  <c r="EE424" i="16"/>
  <c r="ER50" i="16"/>
  <c r="ES428" i="16"/>
  <c r="DC75" i="16"/>
  <c r="EQ89" i="16"/>
  <c r="DG227" i="16"/>
  <c r="DX163" i="16"/>
  <c r="DP108" i="16"/>
  <c r="EB485" i="16"/>
  <c r="DT384" i="16"/>
  <c r="EI241" i="16"/>
  <c r="ER486" i="16"/>
  <c r="EQ385" i="16"/>
  <c r="DD393" i="16"/>
  <c r="EI465" i="16"/>
  <c r="EH330" i="16"/>
  <c r="EB50" i="16"/>
  <c r="EE227" i="16"/>
  <c r="EJ154" i="16"/>
  <c r="ES178" i="16"/>
  <c r="DP66" i="16"/>
  <c r="DX150" i="16"/>
  <c r="DA387" i="16"/>
  <c r="DV376" i="16"/>
  <c r="EC286" i="16"/>
  <c r="DA181" i="16"/>
  <c r="EE208" i="16"/>
  <c r="DF107" i="16"/>
  <c r="DA416" i="16"/>
  <c r="DS361" i="16"/>
  <c r="DW105" i="16"/>
  <c r="DG263" i="16"/>
  <c r="DG247" i="16"/>
  <c r="DA477" i="16"/>
  <c r="DD238" i="16"/>
  <c r="DI341" i="16"/>
  <c r="DM85" i="16"/>
  <c r="DX425" i="16"/>
  <c r="DC422" i="16"/>
  <c r="DM227" i="16"/>
  <c r="EM451" i="16"/>
  <c r="DN350" i="16"/>
  <c r="DX144" i="16"/>
  <c r="EO301" i="16"/>
  <c r="DG194" i="16"/>
  <c r="DM319" i="16"/>
  <c r="EK408" i="16"/>
  <c r="EH158" i="16"/>
  <c r="DB258" i="16"/>
  <c r="DX272" i="16"/>
  <c r="EF249" i="16"/>
  <c r="DZ416" i="16"/>
  <c r="DK69" i="16"/>
  <c r="DN135" i="16"/>
  <c r="DA488" i="16"/>
  <c r="EL374" i="16"/>
  <c r="DG336" i="16"/>
  <c r="EO227" i="16"/>
  <c r="EK274" i="16"/>
  <c r="EH163" i="16"/>
  <c r="EH300" i="16"/>
  <c r="CZ97" i="16"/>
  <c r="CZ179" i="16"/>
  <c r="DY275" i="16"/>
  <c r="ES272" i="16"/>
  <c r="ES353" i="16"/>
  <c r="DF505" i="16"/>
  <c r="EI377" i="16"/>
  <c r="EM437" i="16"/>
  <c r="ES401" i="16"/>
  <c r="EG510" i="16"/>
  <c r="EF209" i="16"/>
  <c r="EH136" i="16"/>
  <c r="DL188" i="16"/>
  <c r="EO364" i="16"/>
  <c r="CZ93" i="16"/>
  <c r="DH66" i="16"/>
  <c r="EA185" i="16"/>
  <c r="EO182" i="16"/>
  <c r="DZ184" i="16"/>
  <c r="ER62" i="16"/>
  <c r="EB151" i="16"/>
  <c r="DL233" i="16"/>
  <c r="EP124" i="16"/>
  <c r="DW248" i="16"/>
  <c r="EI271" i="16"/>
  <c r="EH513" i="16"/>
  <c r="DC261" i="16"/>
  <c r="DO331" i="16"/>
  <c r="DN271" i="16"/>
  <c r="DV403" i="16"/>
  <c r="EJ448" i="16"/>
  <c r="EH214" i="16"/>
  <c r="ED367" i="16"/>
  <c r="DY303" i="16"/>
  <c r="EQ60" i="16"/>
  <c r="DC237" i="16"/>
  <c r="EP402" i="16"/>
  <c r="EJ76" i="16"/>
  <c r="EL282" i="16"/>
  <c r="ED195" i="16"/>
  <c r="EK291" i="16"/>
  <c r="EB493" i="16"/>
  <c r="EP485" i="16"/>
  <c r="DT181" i="16"/>
  <c r="DM226" i="16"/>
  <c r="DC311" i="16"/>
  <c r="ED338" i="16"/>
  <c r="DD342" i="16"/>
  <c r="DK410" i="16"/>
  <c r="EI195" i="16"/>
  <c r="EL500" i="16"/>
  <c r="EE245" i="16"/>
  <c r="EM259" i="16"/>
  <c r="DM135" i="16"/>
  <c r="DY194" i="16"/>
  <c r="EN61" i="16"/>
  <c r="DS477" i="16"/>
  <c r="DG516" i="16"/>
  <c r="EC373" i="16"/>
  <c r="ED162" i="16"/>
  <c r="DI363" i="16"/>
  <c r="DD181" i="16"/>
  <c r="EH352" i="16"/>
  <c r="EO234" i="16"/>
  <c r="ER363" i="16"/>
  <c r="DC122" i="16"/>
  <c r="EI61" i="16"/>
  <c r="DD448" i="16"/>
  <c r="EC341" i="16"/>
  <c r="DT294" i="16"/>
  <c r="DX149" i="16"/>
  <c r="DD339" i="16"/>
  <c r="DM162" i="16"/>
  <c r="DJ263" i="16"/>
  <c r="DU255" i="16"/>
  <c r="DO104" i="16"/>
  <c r="DY477" i="16"/>
  <c r="DZ193" i="16"/>
  <c r="DC116" i="16"/>
  <c r="EC58" i="16"/>
  <c r="DR447" i="16"/>
  <c r="DA276" i="16"/>
  <c r="EB448" i="16"/>
  <c r="DE198" i="16"/>
  <c r="EN285" i="16"/>
  <c r="DR366" i="16"/>
  <c r="DM277" i="16"/>
  <c r="DS202" i="16"/>
  <c r="EE155" i="16"/>
  <c r="EC230" i="16"/>
  <c r="DE449" i="16"/>
  <c r="DD218" i="16"/>
  <c r="EO347" i="16"/>
  <c r="EA353" i="16"/>
  <c r="EA307" i="16"/>
  <c r="DL316" i="16"/>
  <c r="DE469" i="16"/>
  <c r="DR182" i="16"/>
  <c r="DP265" i="16"/>
  <c r="DG139" i="16"/>
  <c r="DL305" i="16"/>
  <c r="EM86" i="16"/>
  <c r="ER471" i="16"/>
  <c r="DV326" i="16"/>
  <c r="EH120" i="16"/>
  <c r="EI435" i="16"/>
  <c r="DJ74" i="16"/>
  <c r="DW348" i="16"/>
  <c r="EA377" i="16"/>
  <c r="EE86" i="16"/>
  <c r="DY51" i="16"/>
  <c r="DJ187" i="16"/>
  <c r="EH359" i="16"/>
  <c r="DN264" i="16"/>
  <c r="DY126" i="16"/>
  <c r="CZ386" i="16"/>
  <c r="EG327" i="16"/>
  <c r="DJ168" i="16"/>
  <c r="EO372" i="16"/>
  <c r="EJ344" i="16"/>
  <c r="DJ183" i="16"/>
  <c r="DF194" i="16"/>
  <c r="DG338" i="16"/>
  <c r="DV285" i="16"/>
  <c r="EL226" i="16"/>
  <c r="DI159" i="16"/>
  <c r="DG256" i="16"/>
  <c r="DP254" i="16"/>
  <c r="ES54" i="16"/>
  <c r="DF271" i="16"/>
  <c r="DZ122" i="16"/>
  <c r="DJ211" i="16"/>
  <c r="DD147" i="16"/>
  <c r="EJ372" i="16"/>
  <c r="DE323" i="16"/>
  <c r="DG475" i="16"/>
  <c r="EM223" i="16"/>
  <c r="DD503" i="16"/>
  <c r="DE186" i="16"/>
  <c r="EE317" i="16"/>
  <c r="ED54" i="16"/>
  <c r="EQ365" i="16"/>
  <c r="DO441" i="16"/>
  <c r="DH277" i="16"/>
  <c r="EP445" i="16"/>
  <c r="EF270" i="16"/>
  <c r="DY307" i="16"/>
  <c r="EH461" i="16"/>
  <c r="EO107" i="16"/>
  <c r="DY70" i="16"/>
  <c r="EP133" i="16"/>
  <c r="DS303" i="16"/>
  <c r="EG236" i="16"/>
  <c r="DB505" i="16"/>
  <c r="DE251" i="16"/>
  <c r="ER185" i="16"/>
  <c r="EN208" i="16"/>
  <c r="CZ459" i="16"/>
  <c r="DU231" i="16"/>
  <c r="DP363" i="16"/>
  <c r="DE301" i="16"/>
  <c r="EL442" i="16"/>
  <c r="DV121" i="16"/>
  <c r="DF73" i="16"/>
  <c r="EK355" i="16"/>
  <c r="DF306" i="16"/>
  <c r="DV388" i="16"/>
  <c r="EP213" i="16"/>
  <c r="EF291" i="16"/>
  <c r="DH78" i="16"/>
  <c r="DC504" i="16"/>
  <c r="EC53" i="16"/>
  <c r="ER433" i="16"/>
  <c r="DB423" i="16"/>
  <c r="DP367" i="16"/>
  <c r="DN74" i="16"/>
  <c r="DG237" i="16"/>
  <c r="ED477" i="16"/>
  <c r="DH334" i="16"/>
  <c r="DW170" i="16"/>
  <c r="DW326" i="16"/>
  <c r="DR384" i="16"/>
  <c r="EE193" i="16"/>
  <c r="EQ488" i="16"/>
  <c r="EH190" i="16"/>
  <c r="DA219" i="16"/>
  <c r="DP468" i="16"/>
  <c r="DO118" i="16"/>
  <c r="EC188" i="16"/>
  <c r="DX493" i="16"/>
  <c r="DI78" i="16"/>
  <c r="DO376" i="16"/>
  <c r="EM285" i="16"/>
  <c r="DS441" i="16"/>
  <c r="DQ375" i="16"/>
  <c r="EC179" i="16"/>
  <c r="EH328" i="16"/>
  <c r="EA333" i="16"/>
  <c r="EN314" i="16"/>
  <c r="DE206" i="16"/>
  <c r="EP296" i="16"/>
  <c r="EK455" i="16"/>
  <c r="DD157" i="16"/>
  <c r="DY139" i="16"/>
  <c r="EC52" i="16"/>
  <c r="EN222" i="16"/>
  <c r="EF114" i="16"/>
  <c r="CZ463" i="16"/>
  <c r="DR512" i="16"/>
  <c r="DD49" i="16"/>
  <c r="DL67" i="16"/>
  <c r="DT116" i="16"/>
  <c r="EB180" i="16"/>
  <c r="EJ86" i="16"/>
  <c r="EK143" i="16"/>
  <c r="CZ314" i="16"/>
  <c r="DK142" i="16"/>
  <c r="EO492" i="16"/>
  <c r="DP280" i="16"/>
  <c r="DT378" i="16"/>
  <c r="DR489" i="16"/>
  <c r="DR468" i="16"/>
  <c r="DH212" i="16"/>
  <c r="EN207" i="16"/>
  <c r="DK49" i="16"/>
  <c r="EA117" i="16"/>
  <c r="DQ180" i="16"/>
  <c r="DB300" i="16"/>
  <c r="DB311" i="16"/>
  <c r="EN148" i="16"/>
  <c r="DU197" i="16"/>
  <c r="EJ80" i="16"/>
  <c r="EN410" i="16"/>
  <c r="DT222" i="16"/>
  <c r="DV74" i="16"/>
  <c r="DR73" i="16"/>
  <c r="EF397" i="16"/>
  <c r="DQ184" i="16"/>
  <c r="ED236" i="16"/>
  <c r="EN501" i="16"/>
  <c r="EL448" i="16"/>
  <c r="EK309" i="16"/>
  <c r="DW216" i="16"/>
  <c r="EI503" i="16"/>
  <c r="DE92" i="16"/>
  <c r="DL491" i="16"/>
  <c r="DG152" i="16"/>
  <c r="ES195" i="16"/>
  <c r="DE168" i="16"/>
  <c r="DV82" i="16"/>
  <c r="DO484" i="16"/>
  <c r="DD449" i="16"/>
  <c r="DG371" i="16"/>
  <c r="EE479" i="16"/>
  <c r="DY410" i="16"/>
  <c r="DX291" i="16"/>
  <c r="DH219" i="16"/>
  <c r="DK140" i="16"/>
  <c r="DR338" i="16"/>
  <c r="ES396" i="16"/>
  <c r="EP82" i="16"/>
  <c r="DR106" i="16"/>
  <c r="DO81" i="16"/>
  <c r="DV109" i="16"/>
  <c r="DT119" i="16"/>
  <c r="ES338" i="16"/>
  <c r="DC475" i="16"/>
  <c r="DP131" i="16"/>
  <c r="DT443" i="16"/>
  <c r="DW492" i="16"/>
  <c r="DL119" i="16"/>
  <c r="DB371" i="16"/>
  <c r="EC333" i="16"/>
  <c r="DU147" i="16"/>
  <c r="EQ468" i="16"/>
  <c r="DF341" i="16"/>
  <c r="DX413" i="16"/>
  <c r="EG155" i="16"/>
  <c r="DE459" i="16"/>
  <c r="DF198" i="16"/>
  <c r="DB283" i="16"/>
  <c r="DS509" i="16"/>
  <c r="EJ355" i="16"/>
  <c r="DI501" i="16"/>
  <c r="DV172" i="16"/>
  <c r="EK158" i="16"/>
  <c r="EO378" i="16"/>
  <c r="EE59" i="16"/>
  <c r="DI478" i="16"/>
  <c r="EF214" i="16"/>
  <c r="DE65" i="16"/>
  <c r="EH442" i="16"/>
  <c r="DD408" i="16"/>
  <c r="EK275" i="16"/>
  <c r="ES179" i="16"/>
  <c r="EL92" i="16"/>
  <c r="DF370" i="16"/>
  <c r="EH131" i="16"/>
  <c r="EC202" i="16"/>
  <c r="EG467" i="16"/>
  <c r="EA152" i="16"/>
  <c r="EH406" i="16"/>
  <c r="ER204" i="16"/>
  <c r="EQ460" i="16"/>
  <c r="EI272" i="16"/>
  <c r="DH497" i="16"/>
  <c r="DN469" i="16"/>
  <c r="DJ229" i="16"/>
  <c r="EE428" i="16"/>
  <c r="DK478" i="16"/>
  <c r="ED177" i="16"/>
  <c r="DA371" i="16"/>
  <c r="EJ253" i="16"/>
  <c r="DU176" i="16"/>
  <c r="EJ241" i="16"/>
  <c r="EB256" i="16"/>
  <c r="DW323" i="16"/>
  <c r="DA317" i="16"/>
  <c r="DV263" i="16"/>
  <c r="DR387" i="16"/>
  <c r="EO252" i="16"/>
  <c r="EQ72" i="16"/>
  <c r="EK397" i="16"/>
  <c r="DZ406" i="16"/>
  <c r="DK234" i="16"/>
  <c r="DM484" i="16"/>
  <c r="EF83" i="16"/>
  <c r="EE490" i="16"/>
  <c r="EC109" i="16"/>
  <c r="EH443" i="16"/>
  <c r="DS343" i="16"/>
  <c r="DB380" i="16"/>
  <c r="EJ457" i="16"/>
  <c r="EA373" i="16"/>
  <c r="ED322" i="16"/>
  <c r="EK482" i="16"/>
  <c r="DD56" i="16"/>
  <c r="DW142" i="16"/>
  <c r="DO244" i="16"/>
  <c r="DI433" i="16"/>
  <c r="DS513" i="16"/>
  <c r="EL389" i="16"/>
  <c r="EB178" i="16"/>
  <c r="EG412" i="16"/>
  <c r="DM321" i="16"/>
  <c r="DX244" i="16"/>
  <c r="DH135" i="16"/>
  <c r="EE206" i="16"/>
  <c r="DY85" i="16"/>
  <c r="DB308" i="16"/>
  <c r="DG73" i="16"/>
  <c r="EL256" i="16"/>
  <c r="EB304" i="16"/>
  <c r="EG94" i="16"/>
  <c r="DZ241" i="16"/>
  <c r="EP54" i="16"/>
  <c r="DF330" i="16"/>
  <c r="DK86" i="16"/>
  <c r="DV449" i="16"/>
  <c r="EL121" i="16"/>
  <c r="EH234" i="16"/>
  <c r="DB70" i="16"/>
  <c r="EH277" i="16"/>
  <c r="DJ193" i="16"/>
  <c r="DS460" i="16"/>
  <c r="EO239" i="16"/>
  <c r="EL454" i="16"/>
  <c r="EI111" i="16"/>
  <c r="ED512" i="16"/>
  <c r="DO451" i="16"/>
  <c r="EI356" i="16"/>
  <c r="ER293" i="16"/>
  <c r="DU429" i="16"/>
  <c r="EQ138" i="16"/>
  <c r="DJ176" i="16"/>
  <c r="DF248" i="16"/>
  <c r="ER388" i="16"/>
  <c r="DH251" i="16"/>
  <c r="DO513" i="16"/>
  <c r="EE213" i="16"/>
  <c r="EA438" i="16"/>
  <c r="ES66" i="16"/>
  <c r="DT470" i="16"/>
  <c r="EN225" i="16"/>
  <c r="EP52" i="16"/>
  <c r="DY204" i="16"/>
  <c r="DY274" i="16"/>
  <c r="DZ70" i="16"/>
  <c r="DB135" i="16"/>
  <c r="DX85" i="16"/>
  <c r="DF273" i="16"/>
  <c r="ER152" i="16"/>
  <c r="ER404" i="16"/>
  <c r="DU334" i="16"/>
  <c r="DE126" i="16"/>
  <c r="DT492" i="16"/>
  <c r="EN369" i="16"/>
  <c r="DB181" i="16"/>
  <c r="DK253" i="16"/>
  <c r="EN381" i="16"/>
  <c r="DH353" i="16"/>
  <c r="DU110" i="16"/>
  <c r="EG199" i="16"/>
  <c r="CZ419" i="16"/>
  <c r="DX412" i="16"/>
  <c r="EK182" i="16"/>
  <c r="EQ182" i="16"/>
  <c r="DY181" i="16"/>
  <c r="DR426" i="16"/>
  <c r="DL303" i="16"/>
  <c r="EK334" i="16"/>
  <c r="DD370" i="16"/>
  <c r="EN336" i="16"/>
  <c r="EE344" i="16"/>
  <c r="DL203" i="16"/>
  <c r="EL91" i="16"/>
  <c r="DQ254" i="16"/>
  <c r="ER114" i="16"/>
  <c r="EN308" i="16"/>
  <c r="EE151" i="16"/>
  <c r="DC349" i="16"/>
  <c r="DI510" i="16"/>
  <c r="DH181" i="16"/>
  <c r="DN140" i="16"/>
  <c r="EI76" i="16"/>
  <c r="EI336" i="16"/>
  <c r="EC320" i="16"/>
  <c r="EG181" i="16"/>
  <c r="DU509" i="16"/>
  <c r="DK72" i="16"/>
  <c r="EQ356" i="16"/>
  <c r="EO102" i="16"/>
  <c r="DT460" i="16"/>
  <c r="EO274" i="16"/>
  <c r="DJ493" i="16"/>
  <c r="DB149" i="16"/>
  <c r="EM482" i="16"/>
  <c r="DO102" i="16"/>
  <c r="DA390" i="16"/>
  <c r="DM291" i="16"/>
  <c r="DQ463" i="16"/>
  <c r="EA375" i="16"/>
  <c r="EK316" i="16"/>
  <c r="DR321" i="16"/>
  <c r="EF74" i="16"/>
  <c r="EA128" i="16"/>
  <c r="EN235" i="16"/>
  <c r="DE153" i="16"/>
  <c r="EB280" i="16"/>
  <c r="ES443" i="16"/>
  <c r="EK508" i="16"/>
  <c r="DJ143" i="16"/>
  <c r="DX177" i="16"/>
  <c r="DE144" i="16"/>
  <c r="DM365" i="16"/>
  <c r="DR81" i="16"/>
  <c r="DN224" i="16"/>
  <c r="DP478" i="16"/>
  <c r="DT207" i="16"/>
  <c r="DO359" i="16"/>
  <c r="DT173" i="16"/>
  <c r="EF137" i="16"/>
  <c r="DP242" i="16"/>
  <c r="DU467" i="16"/>
  <c r="ED64" i="16"/>
  <c r="DG201" i="16"/>
  <c r="ER380" i="16"/>
  <c r="DD324" i="16"/>
  <c r="EH160" i="16"/>
  <c r="DM79" i="16"/>
  <c r="EO410" i="16"/>
  <c r="DD87" i="16"/>
  <c r="EJ155" i="16"/>
  <c r="DG322" i="16"/>
  <c r="EM258" i="16"/>
  <c r="EJ51" i="16"/>
  <c r="EK331" i="16"/>
  <c r="EB124" i="16"/>
  <c r="DQ53" i="16"/>
  <c r="DN196" i="16"/>
  <c r="EM56" i="16"/>
  <c r="EP295" i="16"/>
  <c r="DD109" i="16"/>
  <c r="DZ202" i="16"/>
  <c r="EO174" i="16"/>
  <c r="DT435" i="16"/>
  <c r="DL347" i="16"/>
  <c r="EF301" i="16"/>
  <c r="DD394" i="16"/>
  <c r="DS494" i="16"/>
  <c r="EP497" i="16"/>
  <c r="CZ388" i="16"/>
  <c r="DG383" i="16"/>
  <c r="CZ212" i="16"/>
  <c r="DI469" i="16"/>
  <c r="DI347" i="16"/>
  <c r="DM153" i="16"/>
  <c r="DR399" i="16"/>
  <c r="EN139" i="16"/>
  <c r="DN328" i="16"/>
  <c r="DX53" i="16"/>
  <c r="ED83" i="16"/>
  <c r="EL301" i="16"/>
  <c r="DC69" i="16"/>
  <c r="DJ120" i="16"/>
  <c r="DI312" i="16"/>
  <c r="DR223" i="16"/>
  <c r="EA55" i="16"/>
  <c r="DE76" i="16"/>
  <c r="EK330" i="16"/>
  <c r="EE284" i="16"/>
  <c r="EQ292" i="16"/>
  <c r="DX392" i="16"/>
  <c r="EH331" i="16"/>
  <c r="EM370" i="16"/>
  <c r="DX207" i="16"/>
  <c r="EI459" i="16"/>
  <c r="DJ63" i="16"/>
  <c r="ER318" i="16"/>
  <c r="EO497" i="16"/>
  <c r="EP370" i="16"/>
  <c r="EM349" i="16"/>
  <c r="EI466" i="16"/>
  <c r="DJ201" i="16"/>
  <c r="DN315" i="16"/>
  <c r="EQ324" i="16"/>
  <c r="EC461" i="16"/>
  <c r="DH94" i="16"/>
  <c r="DI75" i="16"/>
  <c r="ER398" i="16"/>
  <c r="DO379" i="16"/>
  <c r="DS426" i="16"/>
  <c r="EC367" i="16"/>
  <c r="DY73" i="16"/>
  <c r="DH370" i="16"/>
  <c r="DC425" i="16"/>
  <c r="DM309" i="16"/>
  <c r="DY465" i="16"/>
  <c r="DM259" i="16"/>
  <c r="DN360" i="16"/>
  <c r="DS388" i="16"/>
  <c r="ES225" i="16"/>
  <c r="EG206" i="16"/>
  <c r="EM493" i="16"/>
  <c r="EE218" i="16"/>
  <c r="ED106" i="16"/>
  <c r="DO369" i="16"/>
  <c r="EA210" i="16"/>
  <c r="DM98" i="16"/>
  <c r="DW339" i="16"/>
  <c r="DB395" i="16"/>
  <c r="CZ70" i="16"/>
  <c r="DA464" i="16"/>
  <c r="EM140" i="16"/>
  <c r="EI237" i="16"/>
  <c r="EF378" i="16"/>
  <c r="DD248" i="16"/>
  <c r="DH215" i="16"/>
  <c r="EP113" i="16"/>
  <c r="EM212" i="16"/>
  <c r="EL447" i="16"/>
  <c r="DF205" i="16"/>
  <c r="DK458" i="16"/>
  <c r="DF511" i="16"/>
  <c r="CZ254" i="16"/>
  <c r="DK472" i="16"/>
  <c r="EL106" i="16"/>
  <c r="DN51" i="16"/>
  <c r="EQ389" i="16"/>
  <c r="DV357" i="16"/>
  <c r="EI186" i="16"/>
  <c r="DF251" i="16"/>
  <c r="EB125" i="16"/>
  <c r="DF84" i="16"/>
  <c r="EM324" i="16"/>
  <c r="EA197" i="16"/>
  <c r="DW79" i="16"/>
  <c r="ER247" i="16"/>
  <c r="EC249" i="16"/>
  <c r="DJ371" i="16"/>
  <c r="DN304" i="16"/>
  <c r="DS197" i="16"/>
  <c r="DV60" i="16"/>
  <c r="ES136" i="16"/>
  <c r="EA419" i="16"/>
  <c r="EK322" i="16"/>
  <c r="EG75" i="16"/>
  <c r="DA426" i="16"/>
  <c r="DJ78" i="16"/>
  <c r="EE430" i="16"/>
  <c r="DI306" i="16"/>
  <c r="EF120" i="16"/>
  <c r="DE205" i="16"/>
  <c r="EO130" i="16"/>
  <c r="DH429" i="16"/>
  <c r="DB309" i="16"/>
  <c r="DZ404" i="16"/>
  <c r="EO507" i="16"/>
  <c r="DF424" i="16"/>
  <c r="EC169" i="16"/>
  <c r="EE105" i="16"/>
  <c r="DV358" i="16"/>
  <c r="DV61" i="16"/>
  <c r="EN295" i="16"/>
  <c r="EN380" i="16"/>
  <c r="EK85" i="16"/>
  <c r="ED213" i="16"/>
  <c r="EN99" i="16"/>
  <c r="DV54" i="16"/>
  <c r="DZ141" i="16"/>
  <c r="DZ361" i="16"/>
  <c r="EO494" i="16"/>
  <c r="DP310" i="16"/>
  <c r="DS155" i="16"/>
  <c r="EB467" i="16"/>
  <c r="DX237" i="16"/>
  <c r="EN424" i="16"/>
  <c r="DT313" i="16"/>
  <c r="EB115" i="16"/>
  <c r="DY217" i="16"/>
  <c r="EJ232" i="16"/>
  <c r="EJ114" i="16"/>
  <c r="EI221" i="16"/>
  <c r="EN312" i="16"/>
  <c r="DA113" i="16"/>
  <c r="DE461" i="16"/>
  <c r="DQ66" i="16"/>
  <c r="EB121" i="16"/>
  <c r="DZ304" i="16"/>
  <c r="DU330" i="16"/>
  <c r="EM427" i="16"/>
  <c r="EG383" i="16"/>
  <c r="EP379" i="16"/>
  <c r="EF346" i="16"/>
  <c r="EP121" i="16"/>
  <c r="DF62" i="16"/>
  <c r="ES475" i="16"/>
  <c r="EE216" i="16"/>
  <c r="EQ269" i="16"/>
  <c r="EQ153" i="16"/>
  <c r="DA52" i="16"/>
  <c r="EG81" i="16"/>
  <c r="EF451" i="16"/>
  <c r="DQ334" i="16"/>
  <c r="DD144" i="16"/>
  <c r="DP139" i="16"/>
  <c r="DX98" i="16"/>
  <c r="EH344" i="16"/>
  <c r="EM224" i="16"/>
  <c r="DY123" i="16"/>
  <c r="EK238" i="16"/>
  <c r="DC287" i="16"/>
  <c r="DS387" i="16"/>
  <c r="DI94" i="16"/>
  <c r="EC271" i="16"/>
  <c r="DZ494" i="16"/>
  <c r="EI352" i="16"/>
  <c r="DL423" i="16"/>
  <c r="DB294" i="16"/>
  <c r="DF131" i="16"/>
  <c r="DK442" i="16"/>
  <c r="EA442" i="16"/>
  <c r="EP504" i="16"/>
  <c r="EO153" i="16"/>
  <c r="DO227" i="16"/>
  <c r="DW155" i="16"/>
  <c r="DR155" i="16"/>
  <c r="EC165" i="16"/>
  <c r="ED396" i="16"/>
  <c r="ER323" i="16"/>
  <c r="ED160" i="16"/>
  <c r="DB435" i="16"/>
  <c r="DZ472" i="16"/>
  <c r="DA156" i="16"/>
  <c r="DM322" i="16"/>
  <c r="DO299" i="16"/>
  <c r="EF468" i="16"/>
  <c r="DU458" i="16"/>
  <c r="EK259" i="16"/>
  <c r="EG337" i="16"/>
  <c r="EH366" i="16"/>
  <c r="DL355" i="16"/>
  <c r="DG456" i="16"/>
  <c r="DL452" i="16"/>
  <c r="ER287" i="16"/>
  <c r="DO144" i="16"/>
  <c r="DV236" i="16"/>
  <c r="EK111" i="16"/>
  <c r="DR50" i="16"/>
  <c r="EF57" i="16"/>
  <c r="DF481" i="16"/>
  <c r="DL324" i="16"/>
  <c r="EM146" i="16"/>
  <c r="EA202" i="16"/>
  <c r="DO490" i="16"/>
  <c r="DU460" i="16"/>
  <c r="DF206" i="16"/>
  <c r="DM417" i="16"/>
  <c r="DW70" i="16"/>
  <c r="DW440" i="16"/>
  <c r="EI301" i="16"/>
  <c r="DM269" i="16"/>
  <c r="DH186" i="16"/>
  <c r="EI387" i="16"/>
  <c r="DS431" i="16"/>
  <c r="EO339" i="16"/>
  <c r="DV308" i="16"/>
  <c r="DA368" i="16"/>
  <c r="DN385" i="16"/>
  <c r="DQ305" i="16"/>
  <c r="DX386" i="16"/>
  <c r="EB269" i="16"/>
  <c r="EN477" i="16"/>
  <c r="DT167" i="16"/>
  <c r="DY265" i="16"/>
  <c r="EE202" i="16"/>
  <c r="DD421" i="16"/>
  <c r="EL317" i="16"/>
  <c r="DF421" i="16"/>
  <c r="EO115" i="16"/>
  <c r="DN496" i="16"/>
  <c r="DU136" i="16"/>
  <c r="DY287" i="16"/>
  <c r="EG357" i="16"/>
  <c r="EI90" i="16"/>
  <c r="EQ217" i="16"/>
  <c r="DZ439" i="16"/>
  <c r="ER439" i="16"/>
  <c r="DE358" i="16"/>
  <c r="ES446" i="16"/>
  <c r="DC159" i="16"/>
  <c r="DM69" i="16"/>
  <c r="DX210" i="16"/>
  <c r="ES153" i="16"/>
  <c r="EP161" i="16"/>
  <c r="EI467" i="16"/>
  <c r="EP339" i="16"/>
  <c r="DI152" i="16"/>
  <c r="DL111" i="16"/>
  <c r="DA91" i="16"/>
  <c r="EJ112" i="16"/>
  <c r="DW411" i="16"/>
  <c r="DY325" i="16"/>
  <c r="EN75" i="16"/>
  <c r="ED80" i="16"/>
  <c r="DN225" i="16"/>
  <c r="EH134" i="16"/>
  <c r="EQ482" i="16"/>
  <c r="DW444" i="16"/>
  <c r="DL130" i="16"/>
  <c r="EM466" i="16"/>
  <c r="DX161" i="16"/>
  <c r="EE277" i="16"/>
  <c r="EQ277" i="16"/>
  <c r="DE254" i="16"/>
  <c r="DU501" i="16"/>
  <c r="DO298" i="16"/>
  <c r="EM49" i="16"/>
  <c r="EA218" i="16"/>
  <c r="DP152" i="16"/>
  <c r="EH251" i="16"/>
  <c r="DU271" i="16"/>
  <c r="DX122" i="16"/>
  <c r="DZ299" i="16"/>
  <c r="DS442" i="16"/>
  <c r="DI351" i="16"/>
  <c r="EA453" i="16"/>
  <c r="EO484" i="16"/>
  <c r="DP303" i="16"/>
  <c r="DA465" i="16"/>
  <c r="DP464" i="16"/>
  <c r="EQ466" i="16"/>
  <c r="DG197" i="16"/>
  <c r="EI475" i="16"/>
  <c r="DL171" i="16"/>
  <c r="DS157" i="16"/>
  <c r="DU300" i="16"/>
  <c r="DS172" i="16"/>
  <c r="DB339" i="16"/>
  <c r="DW213" i="16"/>
  <c r="EO160" i="16"/>
  <c r="DK432" i="16"/>
  <c r="EA314" i="16"/>
  <c r="EH50" i="16"/>
  <c r="DI66" i="16"/>
  <c r="DF427" i="16"/>
  <c r="DG81" i="16"/>
  <c r="DU214" i="16"/>
  <c r="DN285" i="16"/>
  <c r="DZ466" i="16"/>
  <c r="DW120" i="16"/>
  <c r="DT187" i="16"/>
  <c r="EB57" i="16"/>
  <c r="DA124" i="16"/>
  <c r="EN255" i="16"/>
  <c r="DA511" i="16"/>
  <c r="DJ155" i="16"/>
  <c r="DW117" i="16"/>
  <c r="DZ120" i="16"/>
  <c r="DO94" i="16"/>
  <c r="DD63" i="16"/>
  <c r="DH57" i="16"/>
  <c r="ER426" i="16"/>
  <c r="DG344" i="16"/>
  <c r="DM228" i="16"/>
  <c r="EP116" i="16"/>
  <c r="DN81" i="16"/>
  <c r="EE323" i="16"/>
  <c r="DP500" i="16"/>
  <c r="DM475" i="16"/>
  <c r="DV180" i="16"/>
  <c r="DN247" i="16"/>
  <c r="DA428" i="16"/>
  <c r="EK102" i="16"/>
  <c r="EC130" i="16"/>
  <c r="EC54" i="16"/>
  <c r="EC158" i="16"/>
  <c r="EI215" i="16"/>
  <c r="DL164" i="16"/>
  <c r="EQ80" i="16"/>
  <c r="DZ197" i="16"/>
  <c r="DR413" i="16"/>
  <c r="ED467" i="16"/>
  <c r="EA97" i="16"/>
  <c r="EO128" i="16"/>
  <c r="DN86" i="16"/>
  <c r="DU483" i="16"/>
  <c r="EE385" i="16"/>
  <c r="DD325" i="16"/>
  <c r="EB144" i="16"/>
  <c r="DP167" i="16"/>
  <c r="EC79" i="16"/>
  <c r="DE132" i="16"/>
  <c r="DC152" i="16"/>
  <c r="ES346" i="16"/>
  <c r="CZ105" i="16"/>
  <c r="EK218" i="16"/>
  <c r="EK187" i="16"/>
  <c r="EP189" i="16"/>
  <c r="DW158" i="16"/>
  <c r="DX454" i="16"/>
  <c r="DA296" i="16"/>
  <c r="DY178" i="16"/>
  <c r="EG347" i="16"/>
  <c r="DU119" i="16"/>
  <c r="ER374" i="16"/>
  <c r="DG469" i="16"/>
  <c r="DV352" i="16"/>
  <c r="EH453" i="16"/>
  <c r="EB107" i="16"/>
  <c r="ER452" i="16"/>
  <c r="DB157" i="16"/>
  <c r="DK260" i="16"/>
  <c r="EI424" i="16"/>
  <c r="ER257" i="16"/>
  <c r="DI89" i="16"/>
  <c r="DU346" i="16"/>
  <c r="DD186" i="16"/>
  <c r="DP417" i="16"/>
  <c r="DT118" i="16"/>
  <c r="EC331" i="16"/>
  <c r="EC405" i="16"/>
  <c r="DW52" i="16"/>
  <c r="DI296" i="16"/>
  <c r="EE64" i="16"/>
  <c r="EN412" i="16"/>
  <c r="DM224" i="16"/>
  <c r="DG156" i="16"/>
  <c r="DY277" i="16"/>
  <c r="ED275" i="16"/>
  <c r="DJ163" i="16"/>
  <c r="DX334" i="16"/>
  <c r="EE234" i="16"/>
  <c r="DE137" i="16"/>
  <c r="DD516" i="16"/>
  <c r="DW160" i="16"/>
  <c r="DE327" i="16"/>
  <c r="ES460" i="16"/>
  <c r="EF207" i="16"/>
  <c r="EE225" i="16"/>
  <c r="EF454" i="16"/>
  <c r="DB263" i="16"/>
  <c r="EM455" i="16"/>
  <c r="DL476" i="16"/>
  <c r="DU347" i="16"/>
  <c r="DM197" i="16"/>
  <c r="DN261" i="16"/>
  <c r="EF191" i="16"/>
  <c r="DE119" i="16"/>
  <c r="DY106" i="16"/>
  <c r="DS88" i="16"/>
  <c r="EK75" i="16"/>
  <c r="DC101" i="16"/>
  <c r="DD405" i="16"/>
  <c r="DW150" i="16"/>
  <c r="DW115" i="16"/>
  <c r="DY86" i="16"/>
  <c r="DP75" i="16"/>
  <c r="DB128" i="16"/>
  <c r="EL286" i="16"/>
  <c r="DX436" i="16"/>
  <c r="EN74" i="16"/>
  <c r="ER186" i="16"/>
  <c r="EC98" i="16"/>
  <c r="EM400" i="16"/>
  <c r="EJ445" i="16"/>
  <c r="DE212" i="16"/>
  <c r="DP165" i="16"/>
  <c r="EC414" i="16"/>
  <c r="EC115" i="16"/>
  <c r="EQ363" i="16"/>
  <c r="DB245" i="16"/>
  <c r="DP472" i="16"/>
  <c r="DB312" i="16"/>
  <c r="DG320" i="16"/>
  <c r="ER409" i="16"/>
  <c r="DQ333" i="16"/>
  <c r="EL56" i="16"/>
  <c r="DF235" i="16"/>
  <c r="DO170" i="16"/>
  <c r="EE426" i="16"/>
  <c r="DT510" i="16"/>
  <c r="EG433" i="16"/>
  <c r="DT395" i="16"/>
  <c r="DP442" i="16"/>
  <c r="DR135" i="16"/>
  <c r="DJ462" i="16"/>
  <c r="DN503" i="16"/>
  <c r="EB424" i="16"/>
  <c r="CZ224" i="16"/>
  <c r="EP78" i="16"/>
  <c r="EL473" i="16"/>
  <c r="EL373" i="16"/>
  <c r="EO472" i="16"/>
  <c r="DI290" i="16"/>
  <c r="DT343" i="16"/>
  <c r="DC128" i="16"/>
  <c r="DI495" i="16"/>
  <c r="DS57" i="16"/>
  <c r="DK378" i="16"/>
  <c r="DH272" i="16"/>
  <c r="CZ342" i="16"/>
  <c r="EK251" i="16"/>
  <c r="CZ147" i="16"/>
  <c r="DQ289" i="16"/>
  <c r="ED153" i="16"/>
  <c r="DL282" i="16"/>
  <c r="DE392" i="16"/>
  <c r="ED457" i="16"/>
  <c r="EG245" i="16"/>
  <c r="DJ508" i="16"/>
  <c r="DA309" i="16"/>
  <c r="DU96" i="16"/>
  <c r="EJ402" i="16"/>
  <c r="DO357" i="16"/>
  <c r="DS468" i="16"/>
  <c r="EK337" i="16"/>
  <c r="DI263" i="16"/>
  <c r="DV367" i="16"/>
  <c r="DI91" i="16"/>
  <c r="ES259" i="16"/>
  <c r="ES343" i="16"/>
  <c r="EI279" i="16"/>
  <c r="DB471" i="16"/>
  <c r="DP294" i="16"/>
  <c r="ED105" i="16"/>
  <c r="DP210" i="16"/>
  <c r="EE347" i="16"/>
  <c r="DH281" i="16"/>
  <c r="DE196" i="16"/>
  <c r="EC325" i="16"/>
  <c r="EA67" i="16"/>
  <c r="DB365" i="16"/>
  <c r="DU69" i="16"/>
  <c r="EQ147" i="16"/>
  <c r="EF153" i="16"/>
  <c r="EF176" i="16"/>
  <c r="DL479" i="16"/>
  <c r="ES510" i="16"/>
  <c r="DH495" i="16"/>
  <c r="DF274" i="16"/>
  <c r="EM138" i="16"/>
  <c r="DD322" i="16"/>
  <c r="DB227" i="16"/>
  <c r="ER205" i="16"/>
  <c r="EM278" i="16"/>
  <c r="DD468" i="16"/>
  <c r="DD357" i="16"/>
  <c r="EJ228" i="16"/>
  <c r="DR115" i="16"/>
  <c r="DJ280" i="16"/>
  <c r="DM71" i="16"/>
  <c r="DN391" i="16"/>
  <c r="DH97" i="16"/>
  <c r="EK449" i="16"/>
  <c r="EI338" i="16"/>
  <c r="DL419" i="16"/>
  <c r="DO103" i="16"/>
  <c r="DY374" i="16"/>
  <c r="DU364" i="16"/>
  <c r="DZ190" i="16"/>
  <c r="EG229" i="16"/>
  <c r="DI114" i="16"/>
  <c r="EE203" i="16"/>
  <c r="EO404" i="16"/>
  <c r="DV265" i="16"/>
  <c r="DF365" i="16"/>
  <c r="EA356" i="16"/>
  <c r="DP301" i="16"/>
  <c r="EN127" i="16"/>
  <c r="ER240" i="16"/>
  <c r="CZ115" i="16"/>
  <c r="DQ493" i="16"/>
  <c r="DU222" i="16"/>
  <c r="DO213" i="16"/>
  <c r="DI258" i="16"/>
  <c r="DW119" i="16"/>
  <c r="DI113" i="16"/>
  <c r="DA152" i="16"/>
  <c r="DV50" i="16"/>
  <c r="DU419" i="16"/>
  <c r="EH471" i="16"/>
  <c r="DH155" i="16"/>
  <c r="DF312" i="16"/>
  <c r="DU472" i="16"/>
  <c r="EP64" i="16"/>
  <c r="DE400" i="16"/>
  <c r="DP245" i="16"/>
  <c r="ES138" i="16"/>
  <c r="EN143" i="16"/>
  <c r="DL388" i="16"/>
  <c r="DG419" i="16"/>
  <c r="ED182" i="16"/>
  <c r="ED403" i="16"/>
  <c r="DU225" i="16"/>
  <c r="EO440" i="16"/>
  <c r="EM241" i="16"/>
  <c r="DB509" i="16"/>
  <c r="DR55" i="16"/>
  <c r="ED407" i="16"/>
  <c r="EO376" i="16"/>
  <c r="DG62" i="16"/>
  <c r="EF81" i="16"/>
  <c r="CZ187" i="16"/>
  <c r="DA441" i="16"/>
  <c r="DV53" i="16"/>
  <c r="EO493" i="16"/>
  <c r="DA70" i="16"/>
  <c r="EM153" i="16"/>
  <c r="DL445" i="16"/>
  <c r="DR283" i="16"/>
  <c r="ES95" i="16"/>
  <c r="EM498" i="16"/>
  <c r="EB377" i="16"/>
  <c r="DZ230" i="16"/>
  <c r="DC133" i="16"/>
  <c r="DL190" i="16"/>
  <c r="DH117" i="16"/>
  <c r="DQ78" i="16"/>
  <c r="EC207" i="16"/>
  <c r="DB378" i="16"/>
  <c r="EH109" i="16"/>
  <c r="DX195" i="16"/>
  <c r="ED115" i="16"/>
  <c r="EQ450" i="16"/>
  <c r="EO377" i="16"/>
  <c r="DD93" i="16"/>
  <c r="ER458" i="16"/>
  <c r="DT175" i="16"/>
  <c r="EA172" i="16"/>
  <c r="CZ86" i="16"/>
  <c r="EC452" i="16"/>
  <c r="DW446" i="16"/>
  <c r="DI117" i="16"/>
  <c r="EN288" i="16"/>
  <c r="EI360" i="16"/>
  <c r="EC257" i="16"/>
  <c r="DQ255" i="16"/>
  <c r="DO172" i="16"/>
  <c r="DM181" i="16"/>
  <c r="ER392" i="16"/>
  <c r="DM105" i="16"/>
  <c r="DE178" i="16"/>
  <c r="EJ304" i="16"/>
  <c r="DJ135" i="16"/>
  <c r="DX401" i="16"/>
  <c r="EK492" i="16"/>
  <c r="DN112" i="16"/>
  <c r="DX236" i="16"/>
  <c r="DW337" i="16"/>
  <c r="DJ241" i="16"/>
  <c r="DD247" i="16"/>
  <c r="EN213" i="16"/>
  <c r="DT316" i="16"/>
  <c r="DP126" i="16"/>
  <c r="EI75" i="16"/>
  <c r="DZ452" i="16"/>
  <c r="DO163" i="16"/>
  <c r="EC332" i="16"/>
  <c r="EA323" i="16"/>
  <c r="EM69" i="16"/>
  <c r="DP49" i="16"/>
  <c r="EG322" i="16"/>
  <c r="EB434" i="16"/>
  <c r="DU389" i="16"/>
  <c r="EE49" i="16"/>
  <c r="DC285" i="16"/>
  <c r="DC320" i="16"/>
  <c r="ES130" i="16"/>
  <c r="DT123" i="16"/>
  <c r="DV295" i="16"/>
  <c r="DA134" i="16"/>
  <c r="ES209" i="16"/>
  <c r="DQ515" i="16"/>
  <c r="EG489" i="16"/>
  <c r="DY494" i="16"/>
  <c r="EG109" i="16"/>
  <c r="EP326" i="16"/>
  <c r="EP127" i="16"/>
  <c r="DV124" i="16"/>
  <c r="DZ168" i="16"/>
  <c r="EQ170" i="16"/>
  <c r="DP490" i="16"/>
  <c r="DS82" i="16"/>
  <c r="DQ131" i="16"/>
  <c r="DJ467" i="16"/>
  <c r="EI274" i="16"/>
  <c r="DD169" i="16"/>
  <c r="DB425" i="16"/>
  <c r="ES277" i="16"/>
  <c r="EI501" i="16"/>
  <c r="DK152" i="16"/>
  <c r="EK106" i="16"/>
  <c r="EB195" i="16"/>
  <c r="DD106" i="16"/>
  <c r="DQ121" i="16"/>
  <c r="ED163" i="16"/>
  <c r="CZ477" i="16"/>
  <c r="EI102" i="16"/>
  <c r="EH286" i="16"/>
  <c r="DW125" i="16"/>
  <c r="EO202" i="16"/>
  <c r="DG195" i="16"/>
  <c r="EL269" i="16"/>
  <c r="DS309" i="16"/>
  <c r="DY253" i="16"/>
  <c r="EH113" i="16"/>
  <c r="EE477" i="16"/>
  <c r="DX286" i="16"/>
  <c r="DQ500" i="16"/>
  <c r="EA103" i="16"/>
  <c r="DO99" i="16"/>
  <c r="DK177" i="16"/>
  <c r="DX105" i="16"/>
  <c r="EK160" i="16"/>
  <c r="DS406" i="16"/>
  <c r="DI463" i="16"/>
  <c r="EO459" i="16"/>
  <c r="EQ516" i="16"/>
  <c r="DT59" i="16"/>
  <c r="DP111" i="16"/>
  <c r="ES439" i="16"/>
  <c r="DE227" i="16"/>
  <c r="EN182" i="16"/>
  <c r="EP389" i="16"/>
  <c r="EO498" i="16"/>
  <c r="DC135" i="16"/>
  <c r="DN371" i="16"/>
  <c r="DR397" i="16"/>
  <c r="ES257" i="16"/>
  <c r="ES99" i="16"/>
  <c r="EH111" i="16"/>
  <c r="DF105" i="16"/>
  <c r="DH80" i="16"/>
  <c r="ED371" i="16"/>
  <c r="DX104" i="16"/>
  <c r="DE57" i="16"/>
  <c r="DG477" i="16"/>
  <c r="DM81" i="16"/>
  <c r="DN302" i="16"/>
  <c r="DO119" i="16"/>
  <c r="DG155" i="16"/>
  <c r="EE439" i="16"/>
  <c r="ED208" i="16"/>
  <c r="DR254" i="16"/>
  <c r="EO371" i="16"/>
  <c r="CZ387" i="16"/>
  <c r="EO81" i="16"/>
  <c r="EH480" i="16"/>
  <c r="DA179" i="16"/>
  <c r="EF332" i="16"/>
  <c r="DP348" i="16"/>
  <c r="DR376" i="16"/>
  <c r="DS178" i="16"/>
  <c r="ER395" i="16"/>
  <c r="EE442" i="16"/>
  <c r="DR89" i="16"/>
  <c r="DL62" i="16"/>
  <c r="DZ414" i="16"/>
  <c r="EJ317" i="16"/>
  <c r="ES241" i="16"/>
  <c r="DD164" i="16"/>
  <c r="DR336" i="16"/>
  <c r="EL160" i="16"/>
  <c r="DS107" i="16"/>
  <c r="DR95" i="16"/>
  <c r="DS473" i="16"/>
  <c r="DS230" i="16"/>
  <c r="DP407" i="16"/>
  <c r="DC136" i="16"/>
  <c r="DM114" i="16"/>
  <c r="DV354" i="16"/>
  <c r="DT322" i="16"/>
  <c r="DF442" i="16"/>
  <c r="DL218" i="16"/>
  <c r="DO498" i="16"/>
  <c r="EM304" i="16"/>
  <c r="EE149" i="16"/>
  <c r="EK110" i="16"/>
  <c r="EI96" i="16"/>
  <c r="DB183" i="16"/>
  <c r="EB68" i="16"/>
  <c r="EJ203" i="16"/>
  <c r="ES299" i="16"/>
  <c r="EG249" i="16"/>
  <c r="EE422" i="16"/>
  <c r="DN401" i="16"/>
  <c r="EL266" i="16"/>
  <c r="EI303" i="16"/>
  <c r="EF493" i="16"/>
  <c r="ES304" i="16"/>
  <c r="DG359" i="16"/>
  <c r="DD459" i="16"/>
  <c r="EH218" i="16"/>
  <c r="DW466" i="16"/>
  <c r="EP72" i="16"/>
  <c r="EQ56" i="16"/>
  <c r="DQ442" i="16"/>
  <c r="DJ428" i="16"/>
  <c r="DE192" i="16"/>
  <c r="EP263" i="16"/>
  <c r="DN465" i="16"/>
  <c r="EM99" i="16"/>
  <c r="EQ397" i="16"/>
  <c r="DH266" i="16"/>
  <c r="EN53" i="16"/>
  <c r="DH65" i="16"/>
  <c r="DA297" i="16"/>
  <c r="EL273" i="16"/>
  <c r="DA461" i="16"/>
  <c r="EJ484" i="16"/>
  <c r="ED265" i="16"/>
  <c r="DO82" i="16"/>
  <c r="DL72" i="16"/>
  <c r="DL314" i="16"/>
  <c r="ER403" i="16"/>
  <c r="DN272" i="16"/>
  <c r="EF494" i="16"/>
  <c r="EQ152" i="16"/>
  <c r="DE201" i="16"/>
  <c r="EG293" i="16"/>
  <c r="DZ441" i="16"/>
  <c r="DO160" i="16"/>
  <c r="DW169" i="16"/>
  <c r="EB463" i="16"/>
  <c r="EI444" i="16"/>
  <c r="DL58" i="16"/>
  <c r="EF439" i="16"/>
  <c r="DL432" i="16"/>
  <c r="DL151" i="16"/>
  <c r="DR409" i="16"/>
  <c r="DB201" i="16"/>
  <c r="DI358" i="16"/>
  <c r="DT58" i="16"/>
  <c r="DQ359" i="16"/>
  <c r="DQ310" i="16"/>
  <c r="ES197" i="16"/>
  <c r="EI368" i="16"/>
  <c r="EG320" i="16"/>
  <c r="CZ417" i="16"/>
  <c r="EK202" i="16"/>
  <c r="EG465" i="16"/>
  <c r="DJ109" i="16"/>
  <c r="DP219" i="16"/>
  <c r="ED406" i="16"/>
  <c r="EN65" i="16"/>
  <c r="EN489" i="16"/>
  <c r="EN63" i="16"/>
  <c r="DP475" i="16"/>
  <c r="DD242" i="16"/>
  <c r="DD309" i="16"/>
  <c r="EQ337" i="16"/>
  <c r="EK469" i="16"/>
  <c r="EL52" i="16"/>
  <c r="EJ313" i="16"/>
  <c r="DJ505" i="16"/>
  <c r="DV230" i="16"/>
  <c r="DQ376" i="16"/>
  <c r="EN360" i="16"/>
  <c r="DD320" i="16"/>
  <c r="EE73" i="16"/>
  <c r="EL388" i="16"/>
  <c r="EE318" i="16"/>
  <c r="DH459" i="16"/>
  <c r="DA255" i="16"/>
  <c r="DU372" i="16"/>
  <c r="DY376" i="16"/>
  <c r="DE195" i="16"/>
  <c r="DP458" i="16"/>
  <c r="DD236" i="16"/>
  <c r="EC489" i="16"/>
  <c r="DM198" i="16"/>
  <c r="EG287" i="16"/>
  <c r="DG376" i="16"/>
  <c r="DX314" i="16"/>
  <c r="DM390" i="16"/>
  <c r="DD454" i="16"/>
  <c r="DU106" i="16"/>
  <c r="DJ515" i="16"/>
  <c r="DV63" i="16"/>
  <c r="EL278" i="16"/>
  <c r="EG262" i="16"/>
  <c r="EJ237" i="16"/>
  <c r="DH460" i="16"/>
  <c r="DS326" i="16"/>
  <c r="DE169" i="16"/>
  <c r="EJ473" i="16"/>
  <c r="ES223" i="16"/>
  <c r="DO428" i="16"/>
  <c r="CZ92" i="16"/>
  <c r="EQ261" i="16"/>
  <c r="DB348" i="16"/>
  <c r="EA277" i="16"/>
  <c r="EK252" i="16"/>
  <c r="DG387" i="16"/>
  <c r="EH350" i="16"/>
  <c r="DI254" i="16"/>
  <c r="EA86" i="16"/>
  <c r="DQ326" i="16"/>
  <c r="EO133" i="16"/>
  <c r="EP456" i="16"/>
  <c r="DI284" i="16"/>
  <c r="EM283" i="16"/>
  <c r="ED243" i="16"/>
  <c r="DR425" i="16"/>
  <c r="EM379" i="16"/>
  <c r="EQ61" i="16"/>
  <c r="EN85" i="16"/>
  <c r="EA113" i="16"/>
  <c r="EH317" i="16"/>
  <c r="EK485" i="16"/>
  <c r="DY239" i="16"/>
  <c r="DU353" i="16"/>
  <c r="DK164" i="16"/>
  <c r="DU101" i="16"/>
  <c r="EK196" i="16"/>
  <c r="DV256" i="16"/>
  <c r="DG128" i="16"/>
  <c r="DR82" i="16"/>
  <c r="DI373" i="16"/>
  <c r="DN379" i="16"/>
  <c r="DN349" i="16"/>
  <c r="EM454" i="16"/>
  <c r="DN359" i="16"/>
  <c r="EL86" i="16"/>
  <c r="DI364" i="16"/>
  <c r="DC183" i="16"/>
  <c r="DJ361" i="16"/>
  <c r="DO427" i="16"/>
  <c r="DU256" i="16"/>
  <c r="EB51" i="16"/>
  <c r="DU70" i="16"/>
  <c r="EK466" i="16"/>
  <c r="DF428" i="16"/>
  <c r="DU229" i="16"/>
  <c r="EM355" i="16"/>
  <c r="DO329" i="16"/>
  <c r="DD123" i="16"/>
  <c r="DL354" i="16"/>
  <c r="CZ59" i="16"/>
  <c r="DJ336" i="16"/>
  <c r="EC372" i="16"/>
  <c r="DA94" i="16"/>
  <c r="ED250" i="16"/>
  <c r="DN459" i="16"/>
  <c r="EE219" i="16"/>
  <c r="DO95" i="16"/>
  <c r="DT297" i="16"/>
  <c r="EK253" i="16"/>
  <c r="DL369" i="16"/>
  <c r="DV84" i="16"/>
  <c r="EJ151" i="16"/>
  <c r="DT500" i="16"/>
  <c r="EJ123" i="16"/>
  <c r="EQ140" i="16"/>
  <c r="DR482" i="16"/>
  <c r="EP360" i="16"/>
  <c r="DE403" i="16"/>
  <c r="EL216" i="16"/>
  <c r="DN85" i="16"/>
  <c r="DB78" i="16"/>
  <c r="EQ184" i="16"/>
  <c r="EN232" i="16"/>
  <c r="DM495" i="16"/>
  <c r="DM148" i="16"/>
  <c r="EM365" i="16"/>
  <c r="EK432" i="16"/>
  <c r="DD373" i="16"/>
  <c r="DL121" i="16"/>
  <c r="EM311" i="16"/>
  <c r="DR66" i="16"/>
  <c r="DT345" i="16"/>
  <c r="EN124" i="16"/>
  <c r="DE247" i="16"/>
  <c r="EE443" i="16"/>
  <c r="EM417" i="16"/>
  <c r="ES394" i="16"/>
  <c r="EM93" i="16"/>
  <c r="DB57" i="16"/>
  <c r="DJ436" i="16"/>
  <c r="DD183" i="16"/>
  <c r="DN263" i="16"/>
  <c r="DM307" i="16"/>
  <c r="EI283" i="16"/>
  <c r="DZ421" i="16"/>
  <c r="EK312" i="16"/>
  <c r="DV228" i="16"/>
  <c r="EO330" i="16"/>
  <c r="DN164" i="16"/>
  <c r="EB78" i="16"/>
  <c r="EF215" i="16"/>
  <c r="DU169" i="16"/>
  <c r="DH352" i="16"/>
  <c r="EM411" i="16"/>
  <c r="EA231" i="16"/>
  <c r="CZ270" i="16"/>
  <c r="EF266" i="16"/>
  <c r="EA60" i="16"/>
  <c r="DM335" i="16"/>
  <c r="DY225" i="16"/>
  <c r="DW201" i="16"/>
  <c r="EF515" i="16"/>
  <c r="EM200" i="16"/>
  <c r="DP463" i="16"/>
  <c r="CZ143" i="16"/>
  <c r="DG262" i="16"/>
  <c r="DX232" i="16"/>
  <c r="DO308" i="16"/>
  <c r="DD457" i="16"/>
  <c r="DH282" i="16"/>
  <c r="EB401" i="16"/>
  <c r="DX160" i="16"/>
  <c r="DF297" i="16"/>
  <c r="EP147" i="16"/>
  <c r="EH115" i="16"/>
  <c r="DP179" i="16"/>
  <c r="EJ424" i="16"/>
  <c r="EA192" i="16"/>
  <c r="DB89" i="16"/>
  <c r="DH50" i="16"/>
  <c r="EP255" i="16"/>
  <c r="EL247" i="16"/>
  <c r="EK236" i="16"/>
  <c r="EL210" i="16"/>
  <c r="DZ317" i="16"/>
  <c r="DF100" i="16"/>
  <c r="EN418" i="16"/>
  <c r="DF183" i="16"/>
  <c r="DQ94" i="16"/>
  <c r="DP433" i="16"/>
  <c r="EN357" i="16"/>
  <c r="DC282" i="16"/>
  <c r="DP435" i="16"/>
  <c r="EI132" i="16"/>
  <c r="DY259" i="16"/>
  <c r="DD182" i="16"/>
  <c r="ER59" i="16"/>
  <c r="DJ107" i="16"/>
  <c r="EA417" i="16"/>
  <c r="DF106" i="16"/>
  <c r="ED71" i="16"/>
  <c r="DK292" i="16"/>
  <c r="DH115" i="16"/>
  <c r="EB104" i="16"/>
  <c r="DB272" i="16"/>
  <c r="EQ445" i="16"/>
  <c r="DM216" i="16"/>
  <c r="EI296" i="16"/>
  <c r="DQ208" i="16"/>
  <c r="DI346" i="16"/>
  <c r="DZ396" i="16"/>
  <c r="EO217" i="16"/>
  <c r="DM406" i="16"/>
  <c r="EP512" i="16"/>
  <c r="EO462" i="16"/>
  <c r="EP355" i="16"/>
  <c r="DK388" i="16"/>
  <c r="EI182" i="16"/>
  <c r="DC340" i="16"/>
  <c r="EM158" i="16"/>
  <c r="DL499" i="16"/>
  <c r="DJ463" i="16"/>
  <c r="DJ259" i="16"/>
  <c r="DP390" i="16"/>
  <c r="DX249" i="16"/>
  <c r="DV440" i="16"/>
  <c r="DU220" i="16"/>
  <c r="ER256" i="16"/>
  <c r="EA191" i="16"/>
  <c r="DL123" i="16"/>
  <c r="DP205" i="16"/>
  <c r="EL387" i="16"/>
  <c r="ER416" i="16"/>
  <c r="CZ332" i="16"/>
  <c r="DH134" i="16"/>
  <c r="DU60" i="16"/>
  <c r="DB130" i="16"/>
  <c r="EQ84" i="16"/>
  <c r="EQ126" i="16"/>
  <c r="DW178" i="16"/>
  <c r="DQ396" i="16"/>
  <c r="ES50" i="16"/>
  <c r="DC190" i="16"/>
  <c r="DA66" i="16"/>
  <c r="EL200" i="16"/>
  <c r="DU92" i="16"/>
  <c r="EN334" i="16"/>
  <c r="DL331" i="16"/>
  <c r="ES113" i="16"/>
  <c r="DF176" i="16"/>
  <c r="DP243" i="16"/>
  <c r="EI74" i="16"/>
  <c r="EC324" i="16"/>
  <c r="DZ366" i="16"/>
  <c r="ES293" i="16"/>
  <c r="DX60" i="16"/>
  <c r="DN216" i="16"/>
  <c r="ER300" i="16"/>
  <c r="EO463" i="16"/>
  <c r="DJ461" i="16"/>
  <c r="DF258" i="16"/>
  <c r="DY467" i="16"/>
  <c r="EA408" i="16"/>
  <c r="DN382" i="16"/>
  <c r="DJ198" i="16"/>
  <c r="EA386" i="16"/>
  <c r="DY203" i="16"/>
  <c r="EQ157" i="16"/>
  <c r="EH232" i="16"/>
  <c r="EK480" i="16"/>
  <c r="DD467" i="16"/>
  <c r="DN64" i="16"/>
  <c r="EP182" i="16"/>
  <c r="EK162" i="16"/>
  <c r="EQ189" i="16"/>
  <c r="ER435" i="16"/>
  <c r="DB306" i="16"/>
  <c r="EF134" i="16"/>
  <c r="DD376" i="16"/>
  <c r="DE384" i="16"/>
  <c r="DM199" i="16"/>
  <c r="EJ324" i="16"/>
  <c r="DB109" i="16"/>
  <c r="DN419" i="16"/>
  <c r="DX398" i="16"/>
  <c r="DI154" i="16"/>
  <c r="DD407" i="16"/>
  <c r="DC87" i="16"/>
  <c r="DH490" i="16"/>
  <c r="DI189" i="16"/>
  <c r="DO334" i="16"/>
  <c r="DU505" i="16"/>
  <c r="DU216" i="16"/>
  <c r="EI169" i="16"/>
  <c r="DF149" i="16"/>
  <c r="ED111" i="16"/>
  <c r="DI480" i="16"/>
  <c r="DG192" i="16"/>
  <c r="DO72" i="16"/>
  <c r="EK442" i="16"/>
  <c r="EG234" i="16"/>
  <c r="ED101" i="16"/>
  <c r="DY119" i="16"/>
  <c r="EM72" i="16"/>
  <c r="DV100" i="16"/>
  <c r="DS86" i="16"/>
  <c r="EF487" i="16"/>
  <c r="EM357" i="16"/>
  <c r="DO489" i="16"/>
  <c r="ED480" i="16"/>
  <c r="DZ226" i="16"/>
  <c r="CZ215" i="16"/>
  <c r="DT458" i="16"/>
  <c r="DT156" i="16"/>
  <c r="EC361" i="16"/>
  <c r="EE401" i="16"/>
  <c r="DA394" i="16"/>
  <c r="DG350" i="16"/>
  <c r="DK118" i="16"/>
  <c r="DK180" i="16"/>
  <c r="DS235" i="16"/>
  <c r="DN390" i="16"/>
  <c r="EP314" i="16"/>
  <c r="DW260" i="16"/>
  <c r="ES202" i="16"/>
  <c r="DC426" i="16"/>
  <c r="DW123" i="16"/>
  <c r="EH430" i="16"/>
  <c r="EQ423" i="16"/>
  <c r="DN249" i="16"/>
  <c r="DU164" i="16"/>
  <c r="EL306" i="16"/>
  <c r="DA54" i="16"/>
  <c r="DH136" i="16"/>
  <c r="EC192" i="16"/>
  <c r="EO224" i="16"/>
  <c r="DL238" i="16"/>
  <c r="DR131" i="16"/>
  <c r="DS123" i="16"/>
  <c r="EP276" i="16"/>
  <c r="DG323" i="16"/>
  <c r="DV114" i="16"/>
  <c r="EI188" i="16"/>
  <c r="DC270" i="16"/>
  <c r="DT158" i="16"/>
  <c r="CZ131" i="16"/>
  <c r="EL457" i="16"/>
  <c r="EE97" i="16"/>
  <c r="DK214" i="16"/>
  <c r="DG109" i="16"/>
  <c r="EP452" i="16"/>
  <c r="DX496" i="16"/>
  <c r="EL347" i="16"/>
  <c r="ED351" i="16"/>
  <c r="EB117" i="16"/>
  <c r="DS177" i="16"/>
  <c r="DW113" i="16"/>
  <c r="DO141" i="16"/>
  <c r="DV363" i="16"/>
  <c r="EJ336" i="16"/>
  <c r="DX265" i="16"/>
  <c r="EK192" i="16"/>
  <c r="DF463" i="16"/>
  <c r="DH515" i="16"/>
  <c r="EO53" i="16"/>
  <c r="DK496" i="16"/>
  <c r="DG245" i="16"/>
  <c r="DK317" i="16"/>
  <c r="EA135" i="16"/>
  <c r="EN303" i="16"/>
  <c r="DA175" i="16"/>
  <c r="DT236" i="16"/>
  <c r="DX203" i="16"/>
  <c r="ER223" i="16"/>
  <c r="DA475" i="16"/>
  <c r="DO157" i="16"/>
  <c r="EL204" i="16"/>
  <c r="EK310" i="16"/>
  <c r="EB205" i="16"/>
  <c r="EO367" i="16"/>
  <c r="EQ351" i="16"/>
  <c r="EH202" i="16"/>
  <c r="DD204" i="16"/>
  <c r="DM193" i="16"/>
  <c r="DQ357" i="16"/>
  <c r="DK345" i="16"/>
  <c r="EM314" i="16"/>
  <c r="EO226" i="16"/>
  <c r="DU201" i="16"/>
  <c r="EG104" i="16"/>
  <c r="EC153" i="16"/>
  <c r="ED104" i="16"/>
  <c r="EO137" i="16"/>
  <c r="DS165" i="16"/>
  <c r="DQ481" i="16"/>
  <c r="DM371" i="16"/>
  <c r="EC503" i="16"/>
  <c r="EA174" i="16"/>
  <c r="DM111" i="16"/>
  <c r="EM308" i="16"/>
  <c r="EK446" i="16"/>
  <c r="DM388" i="16"/>
  <c r="DA383" i="16"/>
  <c r="DG58" i="16"/>
  <c r="EG514" i="16"/>
  <c r="DP170" i="16"/>
  <c r="EA391" i="16"/>
  <c r="DV509" i="16"/>
  <c r="DB266" i="16"/>
  <c r="DW277" i="16"/>
  <c r="EN474" i="16"/>
  <c r="DL230" i="16"/>
  <c r="ER261" i="16"/>
  <c r="DL179" i="16"/>
  <c r="EO331" i="16"/>
  <c r="DE50" i="16"/>
  <c r="DJ328" i="16"/>
  <c r="DA480" i="16"/>
  <c r="EJ516" i="16"/>
  <c r="EO403" i="16"/>
  <c r="DU386" i="16"/>
  <c r="EC243" i="16"/>
  <c r="EJ502" i="16"/>
  <c r="DO384" i="16"/>
  <c r="EQ190" i="16"/>
  <c r="EI348" i="16"/>
  <c r="DE162" i="16"/>
  <c r="DL113" i="16"/>
  <c r="EM457" i="16"/>
  <c r="DR171" i="16"/>
  <c r="EL294" i="16"/>
  <c r="EO64" i="16"/>
  <c r="EJ110" i="16"/>
  <c r="DG240" i="16"/>
  <c r="EP267" i="16"/>
  <c r="EM163" i="16"/>
  <c r="EN443" i="16"/>
  <c r="DJ186" i="16"/>
  <c r="DF161" i="16"/>
  <c r="DD443" i="16"/>
  <c r="DS110" i="16"/>
  <c r="EB230" i="16"/>
  <c r="EI211" i="16"/>
  <c r="DH319" i="16"/>
  <c r="EC139" i="16"/>
  <c r="EK282" i="16"/>
  <c r="DE93" i="16"/>
  <c r="DM262" i="16"/>
  <c r="DT290" i="16"/>
  <c r="EH217" i="16"/>
  <c r="EN72" i="16"/>
  <c r="DB344" i="16"/>
  <c r="EL138" i="16"/>
  <c r="EA472" i="16"/>
  <c r="EJ299" i="16"/>
  <c r="EJ294" i="16"/>
  <c r="DS437" i="16"/>
  <c r="DO310" i="16"/>
  <c r="DM83" i="16"/>
  <c r="DJ180" i="16"/>
  <c r="DG86" i="16"/>
  <c r="DU170" i="16"/>
  <c r="DK243" i="16"/>
  <c r="DO135" i="16"/>
  <c r="DM65" i="16"/>
  <c r="ES474" i="16"/>
  <c r="DY242" i="16"/>
  <c r="DR200" i="16"/>
  <c r="EB436" i="16"/>
  <c r="EB184" i="16"/>
  <c r="DL312" i="16"/>
  <c r="DC111" i="16"/>
  <c r="DZ516" i="16"/>
  <c r="EI233" i="16"/>
  <c r="DP271" i="16"/>
  <c r="DT106" i="16"/>
  <c r="EQ328" i="16"/>
  <c r="DU352" i="16"/>
  <c r="EL179" i="16"/>
  <c r="DV198" i="16"/>
  <c r="ER295" i="16"/>
  <c r="EP217" i="16"/>
  <c r="DS77" i="16"/>
  <c r="DV215" i="16"/>
  <c r="EI473" i="16"/>
  <c r="DD107" i="16"/>
  <c r="DX103" i="16"/>
  <c r="DR54" i="16"/>
  <c r="ER236" i="16"/>
  <c r="DD110" i="16"/>
  <c r="EG382" i="16"/>
  <c r="EE364" i="16"/>
  <c r="DE156" i="16"/>
  <c r="EL309" i="16"/>
  <c r="DD124" i="16"/>
  <c r="DE181" i="16"/>
  <c r="DB75" i="16"/>
  <c r="EA358" i="16"/>
  <c r="DV491" i="16"/>
  <c r="DB403" i="16"/>
  <c r="EH338" i="16"/>
  <c r="EA357" i="16"/>
  <c r="EF294" i="16"/>
  <c r="DM465" i="16"/>
  <c r="EF277" i="16"/>
  <c r="DX301" i="16"/>
  <c r="ER483" i="16"/>
  <c r="EE458" i="16"/>
  <c r="DE505" i="16"/>
  <c r="DT385" i="16"/>
  <c r="EB172" i="16"/>
  <c r="DH289" i="16"/>
  <c r="EA58" i="16"/>
  <c r="EK513" i="16"/>
  <c r="EQ188" i="16"/>
  <c r="EF178" i="16"/>
  <c r="DO301" i="16"/>
  <c r="EP471" i="16"/>
  <c r="DM108" i="16"/>
  <c r="DQ204" i="16"/>
  <c r="EA154" i="16"/>
  <c r="DG490" i="16"/>
  <c r="ES254" i="16"/>
  <c r="EG336" i="16"/>
  <c r="EQ375" i="16"/>
  <c r="DW361" i="16"/>
  <c r="DF252" i="16"/>
  <c r="DY92" i="16"/>
  <c r="EL118" i="16"/>
  <c r="DZ107" i="16"/>
  <c r="DH406" i="16"/>
  <c r="DD349" i="16"/>
  <c r="EI265" i="16"/>
  <c r="DJ145" i="16"/>
  <c r="EQ484" i="16"/>
  <c r="EG425" i="16"/>
  <c r="ES382" i="16"/>
  <c r="EM335" i="16"/>
  <c r="ES67" i="16"/>
  <c r="DX100" i="16"/>
  <c r="DY289" i="16"/>
  <c r="EH53" i="16"/>
  <c r="EH75" i="16"/>
  <c r="DV402" i="16"/>
  <c r="DA230" i="16"/>
  <c r="DI367" i="16"/>
  <c r="DH288" i="16"/>
  <c r="DP436" i="16"/>
  <c r="EJ513" i="16"/>
  <c r="DY60" i="16"/>
  <c r="EF352" i="16"/>
  <c r="DH75" i="16"/>
  <c r="EE98" i="16"/>
  <c r="EQ394" i="16"/>
  <c r="EE214" i="16"/>
  <c r="DF154" i="16"/>
  <c r="DV258" i="16"/>
  <c r="DS418" i="16"/>
  <c r="EP203" i="16"/>
  <c r="DV345" i="16"/>
  <c r="DA93" i="16"/>
  <c r="DW451" i="16"/>
  <c r="EQ274" i="16"/>
  <c r="EF183" i="16"/>
  <c r="DT180" i="16"/>
  <c r="EG59" i="16"/>
  <c r="EA285" i="16"/>
  <c r="ES314" i="16"/>
  <c r="EQ267" i="16"/>
  <c r="DB259" i="16"/>
  <c r="DS278" i="16"/>
  <c r="EP431" i="16"/>
  <c r="DD430" i="16"/>
  <c r="DD471" i="16"/>
  <c r="DE176" i="16"/>
  <c r="DE74" i="16"/>
  <c r="EF485" i="16"/>
  <c r="DQ388" i="16"/>
  <c r="DQ246" i="16"/>
  <c r="DH222" i="16"/>
  <c r="EN515" i="16"/>
  <c r="EL174" i="16"/>
  <c r="DU73" i="16"/>
  <c r="EB228" i="16"/>
  <c r="DW251" i="16"/>
  <c r="DH465" i="16"/>
  <c r="DS159" i="16"/>
  <c r="DX437" i="16"/>
  <c r="EN129" i="16"/>
  <c r="EB119" i="16"/>
  <c r="DY231" i="16"/>
  <c r="EK240" i="16"/>
  <c r="EQ376" i="16"/>
  <c r="DW83" i="16"/>
  <c r="DT152" i="16"/>
  <c r="EH329" i="16"/>
  <c r="DG55" i="16"/>
  <c r="EO444" i="16"/>
  <c r="DO410" i="16"/>
  <c r="EO163" i="16"/>
  <c r="EA222" i="16"/>
  <c r="DR343" i="16"/>
  <c r="DB218" i="16"/>
  <c r="DF197" i="16"/>
  <c r="CZ429" i="16"/>
  <c r="EJ351" i="16"/>
  <c r="DO250" i="16"/>
  <c r="DD409" i="16"/>
  <c r="DX115" i="16"/>
  <c r="DN193" i="16"/>
  <c r="DL75" i="16"/>
  <c r="DV117" i="16"/>
  <c r="EN154" i="16"/>
  <c r="EO124" i="16"/>
  <c r="DQ186" i="16"/>
  <c r="DJ86" i="16"/>
  <c r="EB58" i="16"/>
  <c r="EQ347" i="16"/>
  <c r="ER101" i="16"/>
  <c r="DE252" i="16"/>
  <c r="EM476" i="16"/>
  <c r="EB499" i="16"/>
  <c r="DK293" i="16"/>
  <c r="EO319" i="16"/>
  <c r="DB150" i="16"/>
  <c r="EJ73" i="16"/>
  <c r="EQ451" i="16"/>
  <c r="DZ56" i="16"/>
  <c r="DG223" i="16"/>
  <c r="DR78" i="16"/>
  <c r="DE211" i="16"/>
  <c r="EE140" i="16"/>
  <c r="DB446" i="16"/>
  <c r="DM202" i="16"/>
  <c r="EJ179" i="16"/>
  <c r="DY266" i="16"/>
  <c r="EQ231" i="16"/>
  <c r="DX467" i="16"/>
  <c r="DB374" i="16"/>
  <c r="EF450" i="16"/>
  <c r="EP59" i="16"/>
  <c r="ER144" i="16"/>
  <c r="DF157" i="16"/>
  <c r="DO314" i="16"/>
  <c r="DH113" i="16"/>
  <c r="DA95" i="16"/>
  <c r="DT495" i="16"/>
  <c r="DZ320" i="16"/>
  <c r="EC442" i="16"/>
  <c r="DG308" i="16"/>
  <c r="DN200" i="16"/>
  <c r="DP127" i="16"/>
  <c r="DI81" i="16"/>
  <c r="DB355" i="16"/>
  <c r="DM314" i="16"/>
  <c r="EK51" i="16"/>
  <c r="DO260" i="16"/>
  <c r="DO107" i="16"/>
  <c r="EP176" i="16"/>
  <c r="DG161" i="16"/>
  <c r="ES246" i="16"/>
  <c r="EF298" i="16"/>
  <c r="EF243" i="16"/>
  <c r="DT441" i="16"/>
  <c r="CZ221" i="16"/>
  <c r="DJ93" i="16"/>
  <c r="EL410" i="16"/>
  <c r="DG488" i="16"/>
  <c r="DK62" i="16"/>
  <c r="CZ250" i="16"/>
  <c r="DD122" i="16"/>
  <c r="EB365" i="16"/>
  <c r="DY150" i="16"/>
  <c r="DH211" i="16"/>
  <c r="EQ258" i="16"/>
  <c r="EC458" i="16"/>
  <c r="EA320" i="16"/>
  <c r="DX110" i="16"/>
  <c r="EB131" i="16"/>
  <c r="ES250" i="16"/>
  <c r="EM336" i="16"/>
  <c r="DI404" i="16"/>
  <c r="EK297" i="16"/>
  <c r="CZ135" i="16"/>
  <c r="EC457" i="16"/>
  <c r="DO134" i="16"/>
  <c r="DA502" i="16"/>
  <c r="EK264" i="16"/>
  <c r="DS495" i="16"/>
  <c r="EQ124" i="16"/>
  <c r="EO479" i="16"/>
  <c r="EE456" i="16"/>
  <c r="DJ350" i="16"/>
  <c r="EB505" i="16"/>
  <c r="EE506" i="16"/>
  <c r="DD50" i="16"/>
  <c r="EC260" i="16"/>
  <c r="ER200" i="16"/>
  <c r="EE510" i="16"/>
  <c r="ES261" i="16"/>
  <c r="DD450" i="16"/>
  <c r="DK290" i="16"/>
  <c r="DF79" i="16"/>
  <c r="EJ341" i="16"/>
  <c r="DF137" i="16"/>
  <c r="EH229" i="16"/>
  <c r="EI56" i="16"/>
  <c r="DQ410" i="16"/>
  <c r="DX64" i="16"/>
  <c r="EQ512" i="16"/>
  <c r="DB447" i="16"/>
  <c r="EK207" i="16"/>
  <c r="DS59" i="16"/>
  <c r="EQ331" i="16"/>
  <c r="EA288" i="16"/>
  <c r="DL260" i="16"/>
  <c r="EH172" i="16"/>
  <c r="EE341" i="16"/>
  <c r="EH481" i="16"/>
  <c r="DG461" i="16"/>
  <c r="DN210" i="16"/>
  <c r="EE313" i="16"/>
  <c r="DZ218" i="16"/>
  <c r="DI90" i="16"/>
  <c r="EA478" i="16"/>
  <c r="DM127" i="16"/>
  <c r="DT49" i="16"/>
  <c r="DI245" i="16"/>
  <c r="CZ409" i="16"/>
  <c r="DY167" i="16"/>
  <c r="CZ53" i="16"/>
  <c r="ER99" i="16"/>
  <c r="DZ162" i="16"/>
  <c r="DK169" i="16"/>
  <c r="DM222" i="16"/>
  <c r="DG68" i="16"/>
  <c r="EM347" i="16"/>
  <c r="DP233" i="16"/>
  <c r="DX117" i="16"/>
  <c r="EO143" i="16"/>
  <c r="DQ72" i="16"/>
  <c r="EK82" i="16"/>
  <c r="DL468" i="16"/>
  <c r="DB310" i="16"/>
  <c r="DM173" i="16"/>
  <c r="DA244" i="16"/>
  <c r="DZ186" i="16"/>
  <c r="EN218" i="16"/>
  <c r="DC279" i="16"/>
  <c r="EH476" i="16"/>
  <c r="DE394" i="16"/>
  <c r="DH428" i="16"/>
  <c r="DG367" i="16"/>
  <c r="DR160" i="16"/>
  <c r="EQ322" i="16"/>
  <c r="DH394" i="16"/>
  <c r="CZ336" i="16"/>
  <c r="DR74" i="16"/>
  <c r="DJ250" i="16"/>
  <c r="DF347" i="16"/>
  <c r="EG312" i="16"/>
  <c r="DC97" i="16"/>
  <c r="DQ502" i="16"/>
  <c r="DL131" i="16"/>
  <c r="DB177" i="16"/>
  <c r="EM267" i="16"/>
  <c r="EQ341" i="16"/>
  <c r="ES265" i="16"/>
  <c r="EQ464" i="16"/>
  <c r="DE164" i="16"/>
  <c r="DJ496" i="16"/>
  <c r="ES505" i="16"/>
  <c r="DR208" i="16"/>
  <c r="EG85" i="16"/>
  <c r="DU109" i="16"/>
  <c r="EA237" i="16"/>
  <c r="DF264" i="16"/>
  <c r="DS452" i="16"/>
  <c r="DK223" i="16"/>
  <c r="ED132" i="16"/>
  <c r="EJ100" i="16"/>
  <c r="DF98" i="16"/>
  <c r="EP516" i="16"/>
  <c r="ES458" i="16"/>
  <c r="DX462" i="16"/>
  <c r="DV419" i="16"/>
  <c r="DO110" i="16"/>
  <c r="EA180" i="16"/>
  <c r="DH386" i="16"/>
  <c r="DU329" i="16"/>
  <c r="DW516" i="16"/>
  <c r="EA64" i="16"/>
  <c r="DX82" i="16"/>
  <c r="EH224" i="16"/>
  <c r="DT275" i="16"/>
  <c r="EC116" i="16"/>
  <c r="DK123" i="16"/>
  <c r="EQ64" i="16"/>
  <c r="DA510" i="16"/>
  <c r="DM94" i="16"/>
  <c r="EQ338" i="16"/>
  <c r="DQ465" i="16"/>
  <c r="DO333" i="16"/>
  <c r="DR111" i="16"/>
  <c r="DJ91" i="16"/>
  <c r="DR295" i="16"/>
  <c r="EJ406" i="16"/>
  <c r="DJ127" i="16"/>
  <c r="DF374" i="16"/>
  <c r="DS78" i="16"/>
  <c r="EJ331" i="16"/>
  <c r="DD86" i="16"/>
  <c r="DY229" i="16"/>
  <c r="DR300" i="16"/>
  <c r="DL289" i="16"/>
  <c r="DY446" i="16"/>
  <c r="DX76" i="16"/>
  <c r="EO485" i="16"/>
  <c r="EG142" i="16"/>
  <c r="DQ290" i="16"/>
  <c r="DR378" i="16"/>
  <c r="EN119" i="16"/>
  <c r="EH433" i="16"/>
  <c r="EC255" i="16"/>
  <c r="EF262" i="16"/>
  <c r="DF227" i="16"/>
  <c r="DZ242" i="16"/>
  <c r="EG343" i="16"/>
  <c r="DT397" i="16"/>
  <c r="EP458" i="16"/>
  <c r="EE51" i="16"/>
  <c r="DB77" i="16"/>
  <c r="DW302" i="16"/>
  <c r="DX384" i="16"/>
  <c r="DY370" i="16"/>
  <c r="DM184" i="16"/>
  <c r="DN429" i="16"/>
  <c r="DN118" i="16"/>
  <c r="ES445" i="16"/>
  <c r="DK291" i="16"/>
  <c r="DR310" i="16"/>
  <c r="EE494" i="16"/>
  <c r="DG60" i="16"/>
  <c r="DT81" i="16"/>
  <c r="EA133" i="16"/>
  <c r="EK163" i="16"/>
  <c r="DM75" i="16"/>
  <c r="EM256" i="16"/>
  <c r="EL431" i="16"/>
  <c r="EE209" i="16"/>
  <c r="DK181" i="16"/>
  <c r="EH67" i="16"/>
  <c r="DJ87" i="16"/>
  <c r="EK83" i="16"/>
  <c r="DA237" i="16"/>
  <c r="DW427" i="16"/>
  <c r="DW460" i="16"/>
  <c r="EK265" i="16"/>
  <c r="DJ351" i="16"/>
  <c r="DI161" i="16"/>
  <c r="EK463" i="16"/>
  <c r="DW49" i="16"/>
  <c r="DS285" i="16"/>
  <c r="EQ51" i="16"/>
  <c r="EK248" i="16"/>
  <c r="DG400" i="16"/>
  <c r="EM432" i="16"/>
  <c r="DN136" i="16"/>
  <c r="DY192" i="16"/>
  <c r="EP433" i="16"/>
  <c r="EC409" i="16"/>
  <c r="EC289" i="16"/>
  <c r="DE306" i="16"/>
  <c r="DJ325" i="16"/>
  <c r="EB76" i="16"/>
  <c r="DG309" i="16"/>
  <c r="DT472" i="16"/>
  <c r="DB58" i="16"/>
  <c r="EF289" i="16"/>
  <c r="DN337" i="16"/>
  <c r="DI234" i="16"/>
  <c r="DW268" i="16"/>
  <c r="DM256" i="16"/>
  <c r="DW437" i="16"/>
  <c r="DE96" i="16"/>
  <c r="EB453" i="16"/>
  <c r="DD149" i="16"/>
  <c r="DI212" i="16"/>
  <c r="DL252" i="16"/>
  <c r="DG360" i="16"/>
  <c r="EG392" i="16"/>
  <c r="DI408" i="16"/>
  <c r="DS463" i="16"/>
  <c r="DD487" i="16"/>
  <c r="EH155" i="16"/>
  <c r="DC328" i="16"/>
  <c r="EE82" i="16"/>
  <c r="EF115" i="16"/>
  <c r="EH180" i="16"/>
  <c r="EA310" i="16"/>
  <c r="EG379" i="16"/>
  <c r="ER506" i="16"/>
  <c r="DP214" i="16"/>
  <c r="EN245" i="16"/>
  <c r="EA69" i="16"/>
  <c r="EQ229" i="16"/>
  <c r="DP113" i="16"/>
  <c r="DA240" i="16"/>
  <c r="DI352" i="16"/>
  <c r="DF380" i="16"/>
  <c r="DK433" i="16"/>
  <c r="DB502" i="16"/>
  <c r="DO262" i="16"/>
  <c r="DE170" i="16"/>
  <c r="ES368" i="16"/>
  <c r="EH455" i="16"/>
  <c r="CZ383" i="16"/>
  <c r="DO241" i="16"/>
  <c r="DZ488" i="16"/>
  <c r="DL79" i="16"/>
  <c r="DN252" i="16"/>
  <c r="DV149" i="16"/>
  <c r="DP305" i="16"/>
  <c r="DM429" i="16"/>
  <c r="DM384" i="16"/>
  <c r="EF472" i="16"/>
  <c r="DT99" i="16"/>
  <c r="DV500" i="16"/>
  <c r="DF213" i="16"/>
  <c r="EP420" i="16"/>
  <c r="DL440" i="16"/>
  <c r="EM516" i="16"/>
  <c r="DQ270" i="16"/>
  <c r="EF325" i="16"/>
  <c r="EM246" i="16"/>
  <c r="EF220" i="16"/>
  <c r="EC343" i="16"/>
  <c r="DN358" i="16"/>
  <c r="DX77" i="16"/>
  <c r="DQ470" i="16"/>
  <c r="DN91" i="16"/>
  <c r="DT176" i="16"/>
  <c r="DU108" i="16"/>
  <c r="ES173" i="16"/>
  <c r="DT284" i="16"/>
  <c r="EK186" i="16"/>
  <c r="EN305" i="16"/>
  <c r="DP386" i="16"/>
  <c r="EA216" i="16"/>
  <c r="DZ399" i="16"/>
  <c r="EL399" i="16"/>
  <c r="DZ483" i="16"/>
  <c r="EA204" i="16"/>
  <c r="EN160" i="16"/>
  <c r="EO221" i="16"/>
  <c r="DB175" i="16"/>
  <c r="DM100" i="16"/>
  <c r="EN223" i="16"/>
  <c r="DR206" i="16"/>
  <c r="DR61" i="16"/>
  <c r="DR183" i="16"/>
  <c r="ES395" i="16"/>
  <c r="ER491" i="16"/>
  <c r="DZ346" i="16"/>
  <c r="EM362" i="16"/>
  <c r="EK180" i="16"/>
  <c r="EB194" i="16"/>
  <c r="DF224" i="16"/>
  <c r="DV165" i="16"/>
  <c r="DK145" i="16"/>
  <c r="DH257" i="16"/>
  <c r="EB52" i="16"/>
  <c r="DD298" i="16"/>
  <c r="DH61" i="16"/>
  <c r="DG297" i="16"/>
  <c r="EB158" i="16"/>
  <c r="EC478" i="16"/>
  <c r="EI129" i="16"/>
  <c r="DT436" i="16"/>
  <c r="EC231" i="16"/>
  <c r="DC397" i="16"/>
  <c r="EJ238" i="16"/>
  <c r="DR163" i="16"/>
  <c r="EJ412" i="16"/>
  <c r="EQ472" i="16"/>
  <c r="DV386" i="16"/>
  <c r="DQ346" i="16"/>
  <c r="DP498" i="16"/>
  <c r="DG399" i="16"/>
  <c r="DK301" i="16"/>
  <c r="EJ162" i="16"/>
  <c r="DI319" i="16"/>
  <c r="DU432" i="16"/>
  <c r="CZ310" i="16"/>
  <c r="DJ65" i="16"/>
  <c r="DD193" i="16"/>
  <c r="DB73" i="16"/>
  <c r="EC261" i="16"/>
  <c r="DP178" i="16"/>
  <c r="EJ275" i="16"/>
  <c r="DY491" i="16"/>
  <c r="DQ165" i="16"/>
  <c r="DB396" i="16"/>
  <c r="DQ348" i="16"/>
  <c r="ED489" i="16"/>
  <c r="EK287" i="16"/>
  <c r="DU224" i="16"/>
  <c r="DO187" i="16"/>
  <c r="DH55" i="16"/>
  <c r="DW330" i="16"/>
  <c r="DP263" i="16"/>
  <c r="DZ331" i="16"/>
  <c r="DX254" i="16"/>
  <c r="DA166" i="16"/>
  <c r="DQ230" i="16"/>
  <c r="DD161" i="16"/>
  <c r="ER58" i="16"/>
  <c r="DC432" i="16"/>
  <c r="DC405" i="16"/>
  <c r="DL63" i="16"/>
  <c r="DQ77" i="16"/>
  <c r="EN397" i="16"/>
  <c r="ED226" i="16"/>
  <c r="ER308" i="16"/>
  <c r="ED79" i="16"/>
  <c r="ED116" i="16"/>
  <c r="DP68" i="16"/>
  <c r="EB454" i="16"/>
  <c r="ER260" i="16"/>
  <c r="CZ98" i="16"/>
  <c r="EL361" i="16"/>
  <c r="DM157" i="16"/>
  <c r="EH66" i="16"/>
  <c r="CZ216" i="16"/>
  <c r="DQ159" i="16"/>
  <c r="DC452" i="16"/>
  <c r="EE291" i="16"/>
  <c r="ED327" i="16"/>
  <c r="EG268" i="16"/>
  <c r="DA146" i="16"/>
  <c r="EC304" i="16"/>
  <c r="DP441" i="16"/>
  <c r="DG372" i="16"/>
  <c r="DT303" i="16"/>
  <c r="DS371" i="16"/>
  <c r="DX388" i="16"/>
  <c r="EG303" i="16"/>
  <c r="EL469" i="16"/>
  <c r="EG57" i="16"/>
  <c r="DN116" i="16"/>
  <c r="ER352" i="16"/>
  <c r="EO306" i="16"/>
  <c r="EL96" i="16"/>
  <c r="EN100" i="16"/>
  <c r="DI150" i="16"/>
  <c r="DV195" i="16"/>
  <c r="DP311" i="16"/>
  <c r="EN272" i="16"/>
  <c r="DT425" i="16"/>
  <c r="DT234" i="16"/>
  <c r="CZ90" i="16"/>
  <c r="DW211" i="16"/>
  <c r="EO360" i="16"/>
  <c r="EG462" i="16"/>
  <c r="EA284" i="16"/>
  <c r="EE320" i="16"/>
  <c r="DU344" i="16"/>
  <c r="DD62" i="16"/>
  <c r="DM337" i="16"/>
  <c r="ES80" i="16"/>
  <c r="EB330" i="16"/>
  <c r="DU461" i="16"/>
  <c r="EL100" i="16"/>
  <c r="CZ273" i="16"/>
  <c r="DZ205" i="16"/>
  <c r="EO442" i="16"/>
  <c r="DU326" i="16"/>
  <c r="DZ117" i="16"/>
  <c r="DW173" i="16"/>
  <c r="EL367" i="16"/>
  <c r="DE235" i="16"/>
  <c r="EB298" i="16"/>
  <c r="EL331" i="16"/>
  <c r="DS378" i="16"/>
  <c r="DT147" i="16"/>
  <c r="DM424" i="16"/>
  <c r="EH244" i="16"/>
  <c r="EA445" i="16"/>
  <c r="EP177" i="16"/>
  <c r="EP378" i="16"/>
  <c r="DZ350" i="16"/>
  <c r="DE409" i="16"/>
  <c r="DE362" i="16"/>
  <c r="EI423" i="16"/>
  <c r="EH57" i="16"/>
  <c r="DV75" i="16"/>
  <c r="DR99" i="16"/>
  <c r="ES472" i="16"/>
  <c r="DG411" i="16"/>
  <c r="DV301" i="16"/>
  <c r="CZ106" i="16"/>
  <c r="EE276" i="16"/>
  <c r="DQ443" i="16"/>
  <c r="EK71" i="16"/>
  <c r="DS370" i="16"/>
  <c r="EL411" i="16"/>
  <c r="EO126" i="16"/>
  <c r="DG82" i="16"/>
  <c r="DS411" i="16"/>
  <c r="DH255" i="16"/>
  <c r="DE333" i="16"/>
  <c r="DE149" i="16"/>
  <c r="EP137" i="16"/>
  <c r="DV166" i="16"/>
  <c r="DH510" i="16"/>
  <c r="EL488" i="16"/>
  <c r="DL108" i="16"/>
  <c r="EE130" i="16"/>
  <c r="CZ446" i="16"/>
  <c r="EQ90" i="16"/>
  <c r="EQ208" i="16"/>
  <c r="DO479" i="16"/>
  <c r="DW456" i="16"/>
  <c r="EM371" i="16"/>
  <c r="DC220" i="16"/>
  <c r="EO75" i="16"/>
  <c r="DH86" i="16"/>
  <c r="DZ110" i="16"/>
  <c r="EE89" i="16"/>
  <c r="DP331" i="16"/>
  <c r="DC138" i="16"/>
  <c r="EC99" i="16"/>
  <c r="ES252" i="16"/>
  <c r="DR357" i="16"/>
  <c r="EN426" i="16"/>
  <c r="EM292" i="16"/>
  <c r="DN405" i="16"/>
  <c r="EP190" i="16"/>
  <c r="DR344" i="16"/>
  <c r="EC108" i="16"/>
  <c r="DH479" i="16"/>
  <c r="EO514" i="16"/>
  <c r="EB271" i="16"/>
  <c r="DF181" i="16"/>
  <c r="EC63" i="16"/>
  <c r="EM67" i="16"/>
  <c r="DP229" i="16"/>
  <c r="DO471" i="16"/>
  <c r="EP478" i="16"/>
  <c r="DU321" i="16"/>
  <c r="DJ253" i="16"/>
  <c r="DW347" i="16"/>
  <c r="EP397" i="16"/>
  <c r="DM213" i="16"/>
  <c r="DU500" i="16"/>
  <c r="EP249" i="16"/>
  <c r="EH259" i="16"/>
  <c r="DT178" i="16"/>
  <c r="ER508" i="16"/>
  <c r="ED144" i="16"/>
  <c r="EA268" i="16"/>
  <c r="DH265" i="16"/>
  <c r="EK283" i="16"/>
  <c r="DA63" i="16"/>
  <c r="DO125" i="16"/>
  <c r="DO236" i="16"/>
  <c r="DB405" i="16"/>
  <c r="EM386" i="16"/>
  <c r="DN312" i="16"/>
  <c r="DK271" i="16"/>
  <c r="DW423" i="16"/>
  <c r="DK215" i="16"/>
  <c r="DG292" i="16"/>
  <c r="DB197" i="16"/>
  <c r="CZ156" i="16"/>
  <c r="DO312" i="16"/>
  <c r="EQ315" i="16"/>
  <c r="EG428" i="16"/>
  <c r="DF208" i="16"/>
  <c r="EL279" i="16"/>
  <c r="EL514" i="16"/>
  <c r="DU482" i="16"/>
  <c r="DD346" i="16"/>
  <c r="DE501" i="16"/>
  <c r="DM330" i="16"/>
  <c r="DN145" i="16"/>
  <c r="EL344" i="16"/>
  <c r="EG154" i="16"/>
  <c r="ES268" i="16"/>
  <c r="EL332" i="16"/>
  <c r="ES186" i="16"/>
  <c r="DR214" i="16"/>
  <c r="DG452" i="16"/>
  <c r="CZ355" i="16"/>
  <c r="DN473" i="16"/>
  <c r="DL150" i="16"/>
  <c r="DT150" i="16"/>
  <c r="ED348" i="16"/>
  <c r="DK307" i="16"/>
  <c r="DA76" i="16"/>
  <c r="EM353" i="16"/>
  <c r="ER469" i="16"/>
  <c r="EP490" i="16"/>
  <c r="DV205" i="16"/>
  <c r="DT488" i="16"/>
  <c r="DH68" i="16"/>
  <c r="ES324" i="16"/>
  <c r="EC480" i="16"/>
  <c r="EJ367" i="16"/>
  <c r="EC340" i="16"/>
  <c r="EE496" i="16"/>
  <c r="EP56" i="16"/>
  <c r="EQ333" i="16"/>
  <c r="EP492" i="16"/>
  <c r="DZ508" i="16"/>
  <c r="EO258" i="16"/>
  <c r="EK402" i="16"/>
  <c r="DV133" i="16"/>
  <c r="ER477" i="16"/>
  <c r="DD249" i="16"/>
  <c r="DH424" i="16"/>
  <c r="EP270" i="16"/>
  <c r="EJ308" i="16"/>
  <c r="DD207" i="16"/>
  <c r="EK360" i="16"/>
  <c r="DV97" i="16"/>
  <c r="DY177" i="16"/>
  <c r="DN232" i="16"/>
  <c r="EN367" i="16"/>
  <c r="EM327" i="16"/>
  <c r="DH167" i="16"/>
  <c r="DO221" i="16"/>
  <c r="EL426" i="16"/>
  <c r="DB211" i="16"/>
  <c r="CZ139" i="16"/>
  <c r="DK264" i="16"/>
  <c r="DO200" i="16"/>
  <c r="EH133" i="16"/>
  <c r="DJ73" i="16"/>
  <c r="DW375" i="16"/>
  <c r="DU181" i="16"/>
  <c r="DR454" i="16"/>
  <c r="DU140" i="16"/>
  <c r="DG94" i="16"/>
  <c r="DH152" i="16"/>
  <c r="EK200" i="16"/>
  <c r="DB92" i="16"/>
  <c r="DI422" i="16"/>
  <c r="DW175" i="16"/>
  <c r="EC95" i="16"/>
  <c r="EA142" i="16"/>
  <c r="DW235" i="16"/>
  <c r="EP163" i="16"/>
  <c r="DU174" i="16"/>
  <c r="DT235" i="16"/>
  <c r="DL142" i="16"/>
  <c r="DW500" i="16"/>
  <c r="DJ124" i="16"/>
  <c r="ES506" i="16"/>
  <c r="DE276" i="16"/>
  <c r="EG426" i="16"/>
  <c r="ED267" i="16"/>
  <c r="DW468" i="16"/>
  <c r="DN95" i="16"/>
  <c r="EO429" i="16"/>
  <c r="DH477" i="16"/>
  <c r="DU194" i="16"/>
  <c r="DO177" i="16"/>
  <c r="DT94" i="16"/>
  <c r="DY298" i="16"/>
  <c r="DN58" i="16"/>
  <c r="DG433" i="16"/>
  <c r="EL352" i="16"/>
  <c r="DG277" i="16"/>
  <c r="DH318" i="16"/>
  <c r="EA63" i="16"/>
  <c r="EE363" i="16"/>
  <c r="DS173" i="16"/>
  <c r="DU148" i="16"/>
  <c r="DC466" i="16"/>
  <c r="DJ343" i="16"/>
  <c r="EN94" i="16"/>
  <c r="EC303" i="16"/>
  <c r="EO420" i="16"/>
  <c r="ER262" i="16"/>
  <c r="DV505" i="16"/>
  <c r="DC71" i="16"/>
  <c r="EQ287" i="16"/>
  <c r="EO271" i="16"/>
  <c r="EL80" i="16"/>
  <c r="DD293" i="16"/>
  <c r="EL161" i="16"/>
  <c r="EP488" i="16"/>
  <c r="EP258" i="16"/>
  <c r="ES333" i="16"/>
  <c r="EJ338" i="16"/>
  <c r="DM171" i="16"/>
  <c r="EI287" i="16"/>
  <c r="DU191" i="16"/>
  <c r="EL150" i="16"/>
  <c r="DY209" i="16"/>
  <c r="DC379" i="16"/>
  <c r="DO507" i="16"/>
  <c r="EL409" i="16"/>
  <c r="DM124" i="16"/>
  <c r="DH513" i="16"/>
  <c r="DB284" i="16"/>
  <c r="ES402" i="16"/>
  <c r="EQ105" i="16"/>
  <c r="DC354" i="16"/>
  <c r="EQ83" i="16"/>
  <c r="ES442" i="16"/>
  <c r="DI511" i="16"/>
  <c r="EL308" i="16"/>
  <c r="ES163" i="16"/>
  <c r="DG208" i="16"/>
  <c r="DW346" i="16"/>
  <c r="DY59" i="16"/>
  <c r="DT506" i="16"/>
  <c r="EE207" i="16"/>
  <c r="EH165" i="16"/>
  <c r="DF480" i="16"/>
  <c r="DG241" i="16"/>
  <c r="DR191" i="16"/>
  <c r="DJ112" i="16"/>
  <c r="EL95" i="16"/>
  <c r="EC426" i="16"/>
  <c r="EJ462" i="16"/>
  <c r="DJ302" i="16"/>
  <c r="ER479" i="16"/>
  <c r="DU86" i="16"/>
  <c r="CZ338" i="16"/>
  <c r="DD228" i="16"/>
  <c r="EB139" i="16"/>
  <c r="ED412" i="16"/>
  <c r="DH177" i="16"/>
  <c r="EE355" i="16"/>
  <c r="EI252" i="16"/>
  <c r="DM239" i="16"/>
  <c r="EN468" i="16"/>
  <c r="DJ251" i="16"/>
  <c r="EQ463" i="16"/>
  <c r="DM512" i="16"/>
  <c r="DB298" i="16"/>
  <c r="EL370" i="16"/>
  <c r="DJ84" i="16"/>
  <c r="DB317" i="16"/>
  <c r="EC358" i="16"/>
  <c r="EL400" i="16"/>
  <c r="DE363" i="16"/>
  <c r="EH61" i="16"/>
  <c r="DN444" i="16"/>
  <c r="DP125" i="16"/>
  <c r="DD356" i="16"/>
  <c r="EM162" i="16"/>
  <c r="DI136" i="16"/>
  <c r="DL367" i="16"/>
  <c r="EM289" i="16"/>
  <c r="DQ277" i="16"/>
  <c r="DI504" i="16"/>
  <c r="ES310" i="16"/>
  <c r="DC66" i="16"/>
  <c r="EP318" i="16"/>
  <c r="ED139" i="16"/>
  <c r="ER122" i="16"/>
  <c r="ES121" i="16"/>
  <c r="EE388" i="16"/>
  <c r="EB116" i="16"/>
  <c r="ER197" i="16"/>
  <c r="EJ437" i="16"/>
  <c r="EC107" i="16"/>
  <c r="ER316" i="16"/>
  <c r="EG215" i="16"/>
  <c r="DX486" i="16"/>
  <c r="EI508" i="16"/>
  <c r="ES127" i="16"/>
  <c r="DR136" i="16"/>
  <c r="EP352" i="16"/>
  <c r="DE188" i="16"/>
  <c r="EM105" i="16"/>
  <c r="EO172" i="16"/>
  <c r="EN483" i="16"/>
  <c r="DX379" i="16"/>
  <c r="DL478" i="16"/>
  <c r="EK427" i="16"/>
  <c r="DR473" i="16"/>
  <c r="EK396" i="16"/>
  <c r="DX497" i="16"/>
  <c r="CZ159" i="16"/>
  <c r="EE135" i="16"/>
  <c r="EL425" i="16"/>
  <c r="DM383" i="16"/>
  <c r="EE102" i="16"/>
  <c r="DG507" i="16"/>
  <c r="DZ500" i="16"/>
  <c r="DO133" i="16"/>
  <c r="DB450" i="16"/>
  <c r="EM186" i="16"/>
  <c r="EL486" i="16"/>
  <c r="EC241" i="16"/>
  <c r="EH54" i="16"/>
  <c r="EQ327" i="16"/>
  <c r="EE222" i="16"/>
  <c r="DT96" i="16"/>
  <c r="EP381" i="16"/>
  <c r="DM97" i="16"/>
  <c r="DF111" i="16"/>
  <c r="DG314" i="16"/>
  <c r="DZ161" i="16"/>
  <c r="EF394" i="16"/>
  <c r="DR328" i="16"/>
  <c r="DL441" i="16"/>
  <c r="DE286" i="16"/>
  <c r="EN338" i="16"/>
  <c r="DP493" i="16"/>
  <c r="EB154" i="16"/>
  <c r="DS336" i="16"/>
  <c r="EE251" i="16"/>
  <c r="EE198" i="16"/>
  <c r="EN252" i="16"/>
  <c r="DC109" i="16"/>
  <c r="DV76" i="16"/>
  <c r="EG136" i="16"/>
  <c r="DR261" i="16"/>
  <c r="DC374" i="16"/>
  <c r="DR448" i="16"/>
  <c r="DL126" i="16"/>
  <c r="DH79" i="16"/>
  <c r="DX289" i="16"/>
  <c r="EB334" i="16"/>
  <c r="DR345" i="16"/>
  <c r="DJ137" i="16"/>
  <c r="ER387" i="16"/>
  <c r="DP338" i="16"/>
  <c r="DJ294" i="16"/>
  <c r="EJ138" i="16"/>
  <c r="DN446" i="16"/>
  <c r="EK105" i="16"/>
  <c r="EI219" i="16"/>
  <c r="EC180" i="16"/>
  <c r="EO499" i="16"/>
  <c r="EB275" i="16"/>
  <c r="EP292" i="16"/>
  <c r="EJ357" i="16"/>
  <c r="DK334" i="16"/>
  <c r="DY124" i="16"/>
  <c r="DW172" i="16"/>
  <c r="DP162" i="16"/>
  <c r="DJ262" i="16"/>
  <c r="DN327" i="16"/>
  <c r="EM204" i="16"/>
  <c r="DZ53" i="16"/>
  <c r="DA184" i="16"/>
  <c r="DF293" i="16"/>
  <c r="EN224" i="16"/>
  <c r="ED286" i="16"/>
  <c r="EH293" i="16"/>
  <c r="DQ233" i="16"/>
  <c r="DX89" i="16"/>
  <c r="DB230" i="16"/>
  <c r="DP377" i="16"/>
  <c r="DK147" i="16"/>
  <c r="DF307" i="16"/>
  <c r="DU339" i="16"/>
  <c r="ER357" i="16"/>
  <c r="DS434" i="16"/>
  <c r="DL430" i="16"/>
  <c r="DD367" i="16"/>
  <c r="DO514" i="16"/>
  <c r="DE131" i="16"/>
  <c r="EK63" i="16"/>
  <c r="DZ401" i="16"/>
  <c r="DS264" i="16"/>
  <c r="DA274" i="16"/>
  <c r="DP491" i="16"/>
  <c r="EN411" i="16"/>
  <c r="EB233" i="16"/>
  <c r="DC441" i="16"/>
  <c r="EN105" i="16"/>
  <c r="DR64" i="16"/>
  <c r="ES111" i="16"/>
  <c r="DW313" i="16"/>
  <c r="EB198" i="16"/>
  <c r="EG119" i="16"/>
  <c r="DB413" i="16"/>
  <c r="DD190" i="16"/>
  <c r="DO128" i="16"/>
  <c r="EQ96" i="16"/>
  <c r="EJ309" i="16"/>
  <c r="EL69" i="16"/>
  <c r="EO402" i="16"/>
  <c r="DE223" i="16"/>
  <c r="DH366" i="16"/>
  <c r="DM405" i="16"/>
  <c r="EE266" i="16"/>
  <c r="DA163" i="16"/>
  <c r="DP148" i="16"/>
  <c r="EH91" i="16"/>
  <c r="DM389" i="16"/>
  <c r="DY116" i="16"/>
  <c r="DU323" i="16"/>
  <c r="DP247" i="16"/>
  <c r="DE183" i="16"/>
  <c r="EG457" i="16"/>
  <c r="DM489" i="16"/>
  <c r="DQ107" i="16"/>
  <c r="DA282" i="16"/>
  <c r="DL474" i="16"/>
  <c r="DC266" i="16"/>
  <c r="EA394" i="16"/>
  <c r="DE51" i="16"/>
  <c r="DD68" i="16"/>
  <c r="ED66" i="16"/>
  <c r="DU102" i="16"/>
  <c r="DF139" i="16"/>
  <c r="DR130" i="16"/>
  <c r="DW230" i="16"/>
  <c r="DA187" i="16"/>
  <c r="EP340" i="16"/>
  <c r="DP213" i="16"/>
  <c r="DN133" i="16"/>
  <c r="DB111" i="16"/>
  <c r="DE98" i="16"/>
  <c r="EG476" i="16"/>
  <c r="DV257" i="16"/>
  <c r="DD283" i="16"/>
  <c r="DC256" i="16"/>
  <c r="EM222" i="16"/>
  <c r="DR265" i="16"/>
  <c r="DP415" i="16"/>
  <c r="EJ292" i="16"/>
  <c r="DX199" i="16"/>
  <c r="DY301" i="16"/>
  <c r="DZ143" i="16"/>
  <c r="DX114" i="16"/>
  <c r="DF117" i="16"/>
  <c r="DA293" i="16"/>
  <c r="DS131" i="16"/>
  <c r="EI367" i="16"/>
  <c r="DU161" i="16"/>
  <c r="EB118" i="16"/>
  <c r="EC308" i="16"/>
  <c r="EP493" i="16"/>
  <c r="EN512" i="16"/>
  <c r="EI60" i="16"/>
  <c r="DD417" i="16"/>
  <c r="DP504" i="16"/>
  <c r="DW208" i="16"/>
  <c r="EO121" i="16"/>
  <c r="DK302" i="16"/>
  <c r="EL114" i="16"/>
  <c r="DM350" i="16"/>
  <c r="DI165" i="16"/>
  <c r="DF69" i="16"/>
  <c r="EJ71" i="16"/>
  <c r="EM98" i="16"/>
  <c r="DK382" i="16"/>
  <c r="DG448" i="16"/>
  <c r="DB110" i="16"/>
  <c r="DQ373" i="16"/>
  <c r="DX95" i="16"/>
  <c r="EA250" i="16"/>
  <c r="DU64" i="16"/>
  <c r="DT285" i="16"/>
  <c r="EM214" i="16"/>
  <c r="DY68" i="16"/>
  <c r="DN372" i="16"/>
  <c r="DV151" i="16"/>
  <c r="DR217" i="16"/>
  <c r="EO409" i="16"/>
  <c r="EP264" i="16"/>
  <c r="DS93" i="16"/>
  <c r="DK393" i="16"/>
  <c r="EH414" i="16"/>
  <c r="CZ454" i="16"/>
  <c r="DP234" i="16"/>
  <c r="DC421" i="16"/>
  <c r="DL232" i="16"/>
  <c r="DZ219" i="16"/>
  <c r="DE283" i="16"/>
  <c r="DR486" i="16"/>
  <c r="DM289" i="16"/>
  <c r="DU177" i="16"/>
  <c r="EO77" i="16"/>
  <c r="DV323" i="16"/>
  <c r="EP273" i="16"/>
  <c r="DF363" i="16"/>
  <c r="EH320" i="16"/>
  <c r="DT100" i="16"/>
  <c r="EK313" i="16"/>
  <c r="DC461" i="16"/>
  <c r="EK215" i="16"/>
  <c r="DO386" i="16"/>
  <c r="EN70" i="16"/>
  <c r="DR166" i="16"/>
  <c r="DS506" i="16"/>
  <c r="DJ101" i="16"/>
  <c r="DN202" i="16"/>
  <c r="DC222" i="16"/>
  <c r="ED366" i="16"/>
  <c r="DI265" i="16"/>
  <c r="EM188" i="16"/>
  <c r="DW367" i="16"/>
  <c r="DX65" i="16"/>
  <c r="CZ295" i="16"/>
  <c r="EH56" i="16"/>
  <c r="DJ173" i="16"/>
  <c r="EI483" i="16"/>
  <c r="ED281" i="16"/>
  <c r="EM449" i="16"/>
  <c r="EK68" i="16"/>
  <c r="DX222" i="16"/>
  <c r="CZ114" i="16"/>
  <c r="DY455" i="16"/>
  <c r="DZ187" i="16"/>
  <c r="DS97" i="16"/>
  <c r="EO443" i="16"/>
  <c r="DR105" i="16"/>
  <c r="EB191" i="16"/>
  <c r="DH246" i="16"/>
  <c r="DV426" i="16"/>
  <c r="EI64" i="16"/>
  <c r="DM412" i="16"/>
  <c r="EE88" i="16"/>
  <c r="EG263" i="16"/>
  <c r="DO155" i="16"/>
  <c r="DM380" i="16"/>
  <c r="DE414" i="16"/>
  <c r="EL49" i="16"/>
  <c r="DK441" i="16"/>
  <c r="DO422" i="16"/>
  <c r="EM467" i="16"/>
  <c r="DM191" i="16"/>
  <c r="ER70" i="16"/>
  <c r="EO192" i="16"/>
  <c r="DX193" i="16"/>
  <c r="EJ280" i="16"/>
  <c r="DM367" i="16"/>
  <c r="DB493" i="16"/>
  <c r="DL332" i="16"/>
  <c r="DB168" i="16"/>
  <c r="DF279" i="16"/>
  <c r="DX483" i="16"/>
  <c r="DB210" i="16"/>
  <c r="CZ73" i="16"/>
  <c r="EB153" i="16"/>
  <c r="DE368" i="16"/>
  <c r="DX443" i="16"/>
  <c r="EJ229" i="16"/>
  <c r="DP128" i="16"/>
  <c r="DE426" i="16"/>
  <c r="DK150" i="16"/>
  <c r="DU416" i="16"/>
  <c r="DI429" i="16"/>
  <c r="EF140" i="16"/>
  <c r="DF283" i="16"/>
  <c r="EN290" i="16"/>
  <c r="DX156" i="16"/>
  <c r="EO200" i="16"/>
  <c r="ES308" i="16"/>
  <c r="EP100" i="16"/>
  <c r="EL438" i="16"/>
  <c r="EM253" i="16"/>
  <c r="EF498" i="16"/>
  <c r="EA359" i="16"/>
  <c r="DE81" i="16"/>
  <c r="DI63" i="16"/>
  <c r="DD184" i="16"/>
  <c r="DE289" i="16"/>
  <c r="DN222" i="16"/>
  <c r="ER120" i="16"/>
  <c r="DI203" i="16"/>
  <c r="ED356" i="16"/>
  <c r="DF166" i="16"/>
  <c r="CZ320" i="16"/>
  <c r="DA98" i="16"/>
  <c r="DJ384" i="16"/>
  <c r="DP211" i="16"/>
  <c r="DD101" i="16"/>
  <c r="EC143" i="16"/>
  <c r="DF407" i="16"/>
  <c r="EN202" i="16"/>
  <c r="EO431" i="16"/>
  <c r="EM503" i="16"/>
  <c r="EK386" i="16"/>
  <c r="DG296" i="16"/>
  <c r="DG284" i="16"/>
  <c r="DE430" i="16"/>
  <c r="DL168" i="16"/>
  <c r="EH432" i="16"/>
  <c r="DM58" i="16"/>
  <c r="EE410" i="16"/>
  <c r="EO112" i="16"/>
  <c r="CZ504" i="16"/>
  <c r="EE281" i="16"/>
  <c r="EC310" i="16"/>
  <c r="DN223" i="16"/>
  <c r="EH385" i="16"/>
  <c r="CZ283" i="16"/>
  <c r="DF318" i="16"/>
  <c r="EQ212" i="16"/>
  <c r="DU254" i="16"/>
  <c r="DN295" i="16"/>
  <c r="EQ321" i="16"/>
  <c r="DO84" i="16"/>
  <c r="EA273" i="16"/>
  <c r="ES362" i="16"/>
  <c r="DM324" i="16"/>
  <c r="DZ152" i="16"/>
  <c r="DN172" i="16"/>
  <c r="DU287" i="16"/>
  <c r="EL194" i="16"/>
  <c r="DT246" i="16"/>
  <c r="DR358" i="16"/>
  <c r="EO413" i="16"/>
  <c r="DN278" i="16"/>
  <c r="DG225" i="16"/>
  <c r="ER339" i="16"/>
  <c r="DW331" i="16"/>
  <c r="DH388" i="16"/>
  <c r="EA236" i="16"/>
  <c r="DE312" i="16"/>
  <c r="DA451" i="16"/>
  <c r="ES313" i="16"/>
  <c r="DA198" i="16"/>
  <c r="DK66" i="16"/>
  <c r="DG264" i="16"/>
  <c r="EP329" i="16"/>
  <c r="DN352" i="16"/>
  <c r="EJ210" i="16"/>
  <c r="EB444" i="16"/>
  <c r="DN80" i="16"/>
  <c r="DG282" i="16"/>
  <c r="DF313" i="16"/>
  <c r="DW369" i="16"/>
  <c r="DP241" i="16"/>
  <c r="EH389" i="16"/>
  <c r="DW93" i="16"/>
  <c r="DC121" i="16"/>
  <c r="EB411" i="16"/>
  <c r="DO438" i="16"/>
  <c r="CZ271" i="16"/>
  <c r="DW167" i="16"/>
  <c r="DS105" i="16"/>
  <c r="DJ301" i="16"/>
  <c r="EO412" i="16"/>
  <c r="DX489" i="16"/>
  <c r="DX206" i="16"/>
  <c r="DC330" i="16"/>
  <c r="DQ451" i="16"/>
  <c r="DB279" i="16"/>
  <c r="EL122" i="16"/>
  <c r="EP225" i="16"/>
  <c r="EO251" i="16"/>
  <c r="DP381" i="16"/>
  <c r="EN488" i="16"/>
  <c r="EN241" i="16"/>
  <c r="DQ271" i="16"/>
  <c r="EQ146" i="16"/>
  <c r="EO72" i="16"/>
  <c r="DN103" i="16"/>
  <c r="DT245" i="16"/>
  <c r="EC334" i="16"/>
  <c r="EN505" i="16"/>
  <c r="EG192" i="16"/>
  <c r="EH281" i="16"/>
  <c r="EO312" i="16"/>
  <c r="EA85" i="16"/>
  <c r="EB501" i="16"/>
  <c r="DZ355" i="16"/>
  <c r="DS135" i="16"/>
  <c r="DC84" i="16"/>
  <c r="DT330" i="16"/>
  <c r="DG352" i="16"/>
  <c r="DR158" i="16"/>
  <c r="DP506" i="16"/>
  <c r="DF167" i="16"/>
  <c r="DC380" i="16"/>
  <c r="EN387" i="16"/>
  <c r="DP107" i="16"/>
  <c r="DY226" i="16"/>
  <c r="DL100" i="16"/>
  <c r="DJ154" i="16"/>
  <c r="EF316" i="16"/>
  <c r="EN504" i="16"/>
  <c r="DI103" i="16"/>
  <c r="EE311" i="16"/>
  <c r="DP175" i="16"/>
  <c r="CZ52" i="16"/>
  <c r="EF118" i="16"/>
  <c r="EK443" i="16"/>
  <c r="EE161" i="16"/>
  <c r="ES499" i="16"/>
  <c r="EF210" i="16"/>
  <c r="EM59" i="16"/>
  <c r="DS228" i="16"/>
  <c r="ED215" i="16"/>
  <c r="EF51" i="16"/>
  <c r="DF459" i="16"/>
  <c r="DP405" i="16"/>
  <c r="DG177" i="16"/>
  <c r="ED256" i="16"/>
  <c r="DQ127" i="16"/>
  <c r="DH116" i="16"/>
  <c r="EH188" i="16"/>
  <c r="DN384" i="16"/>
  <c r="DW81" i="16"/>
  <c r="DJ362" i="16"/>
  <c r="ED68" i="16"/>
  <c r="ES115" i="16"/>
  <c r="ER393" i="16"/>
  <c r="EF162" i="16"/>
  <c r="DS142" i="16"/>
  <c r="EK55" i="16"/>
  <c r="DR229" i="16"/>
  <c r="DD447" i="16"/>
  <c r="EF49" i="16"/>
  <c r="EH76" i="16"/>
  <c r="EP320" i="16"/>
  <c r="DE97" i="16"/>
  <c r="DY320" i="16"/>
  <c r="EA309" i="16"/>
  <c r="EL345" i="16"/>
  <c r="EA155" i="16"/>
  <c r="EC237" i="16"/>
  <c r="EH426" i="16"/>
  <c r="EJ158" i="16"/>
  <c r="EB103" i="16"/>
  <c r="DW494" i="16"/>
  <c r="EI245" i="16"/>
  <c r="DA60" i="16"/>
  <c r="ES419" i="16"/>
  <c r="EP377" i="16"/>
  <c r="EM291" i="16"/>
  <c r="EH255" i="16"/>
  <c r="DB192" i="16"/>
  <c r="DD223" i="16"/>
  <c r="DE179" i="16"/>
  <c r="EI249" i="16"/>
  <c r="DR138" i="16"/>
  <c r="DU398" i="16"/>
  <c r="DE395" i="16"/>
  <c r="DS301" i="16"/>
  <c r="DN403" i="16"/>
  <c r="DH131" i="16"/>
  <c r="DO403" i="16"/>
  <c r="EH311" i="16"/>
  <c r="DF171" i="16"/>
  <c r="EK199" i="16"/>
  <c r="EE129" i="16"/>
  <c r="DC353" i="16"/>
  <c r="ER117" i="16"/>
  <c r="EG110" i="16"/>
  <c r="EH203" i="16"/>
  <c r="DO300" i="16"/>
  <c r="EA345" i="16"/>
  <c r="DV414" i="16"/>
  <c r="DL114" i="16"/>
  <c r="EI361" i="16"/>
  <c r="DE249" i="16"/>
  <c r="DR380" i="16"/>
  <c r="EG147" i="16"/>
  <c r="DC387" i="16"/>
  <c r="DT86" i="16"/>
  <c r="DT88" i="16"/>
  <c r="DN267" i="16"/>
  <c r="DE161" i="16"/>
  <c r="DE444" i="16"/>
  <c r="EG449" i="16"/>
  <c r="EA52" i="16"/>
  <c r="EB478" i="16"/>
  <c r="DW401" i="16"/>
  <c r="EE445" i="16"/>
  <c r="DM237" i="16"/>
  <c r="CZ485" i="16"/>
  <c r="DO272" i="16"/>
  <c r="EL482" i="16"/>
  <c r="DL144" i="16"/>
  <c r="DU283" i="16"/>
  <c r="ES87" i="16"/>
  <c r="DD428" i="16"/>
  <c r="CZ198" i="16"/>
  <c r="EO68" i="16"/>
  <c r="DL363" i="16"/>
  <c r="DD261" i="16"/>
  <c r="DD252" i="16"/>
  <c r="DQ84" i="16"/>
  <c r="EC259" i="16"/>
  <c r="EL434" i="16"/>
  <c r="DY132" i="16"/>
  <c r="DY145" i="16"/>
  <c r="DS348" i="16"/>
  <c r="EA399" i="16"/>
  <c r="ED198" i="16"/>
  <c r="DJ393" i="16"/>
  <c r="DD264" i="16"/>
  <c r="EQ319" i="16"/>
  <c r="EM463" i="16"/>
  <c r="CZ173" i="16"/>
  <c r="EH162" i="16"/>
  <c r="DQ139" i="16"/>
  <c r="DY135" i="16"/>
  <c r="DS133" i="16"/>
  <c r="DC277" i="16"/>
  <c r="DQ371" i="16"/>
  <c r="DL356" i="16"/>
  <c r="EM382" i="16"/>
  <c r="DG267" i="16"/>
  <c r="DT190" i="16"/>
  <c r="DX501" i="16"/>
  <c r="CZ63" i="16"/>
  <c r="DH244" i="16"/>
  <c r="DM399" i="16"/>
  <c r="DV184" i="16"/>
  <c r="DI431" i="16"/>
  <c r="DS267" i="16"/>
  <c r="EF213" i="16"/>
  <c r="DH71" i="16"/>
  <c r="DQ399" i="16"/>
  <c r="EP168" i="16"/>
  <c r="DW231" i="16"/>
  <c r="DB456" i="16"/>
  <c r="DJ443" i="16"/>
  <c r="EP469" i="16"/>
  <c r="DQ413" i="16"/>
  <c r="DC409" i="16"/>
  <c r="EL358" i="16"/>
  <c r="DK423" i="16"/>
  <c r="ES65" i="16"/>
  <c r="EK212" i="16"/>
  <c r="DB97" i="16"/>
  <c r="DJ103" i="16"/>
  <c r="EN83" i="16"/>
  <c r="DN113" i="16"/>
  <c r="ES287" i="16"/>
  <c r="DV207" i="16"/>
  <c r="CZ164" i="16"/>
  <c r="DU307" i="16"/>
  <c r="DX309" i="16"/>
  <c r="DI461" i="16"/>
  <c r="EP191" i="16"/>
  <c r="DD464" i="16"/>
  <c r="ER450" i="16"/>
  <c r="ED85" i="16"/>
  <c r="EQ275" i="16"/>
  <c r="DX279" i="16"/>
  <c r="DY333" i="16"/>
  <c r="DL259" i="16"/>
  <c r="EO286" i="16"/>
  <c r="DT146" i="16"/>
  <c r="EL510" i="16"/>
  <c r="EM143" i="16"/>
  <c r="DN187" i="16"/>
  <c r="EI176" i="16"/>
  <c r="EA201" i="16"/>
  <c r="DN430" i="16"/>
  <c r="DX183" i="16"/>
  <c r="DC351" i="16"/>
  <c r="DY61" i="16"/>
  <c r="ED89" i="16"/>
  <c r="EJ261" i="16"/>
  <c r="DD74" i="16"/>
  <c r="EQ413" i="16"/>
  <c r="ED251" i="16"/>
  <c r="EA507" i="16"/>
  <c r="DQ132" i="16"/>
  <c r="DQ237" i="16"/>
  <c r="EJ495" i="16"/>
  <c r="DB91" i="16"/>
  <c r="DA238" i="16"/>
  <c r="DK509" i="16"/>
  <c r="DW207" i="16"/>
  <c r="DE141" i="16"/>
  <c r="DS218" i="16"/>
  <c r="EC216" i="16"/>
  <c r="DW318" i="16"/>
  <c r="EB147" i="16"/>
  <c r="EG389" i="16"/>
  <c r="DT149" i="16"/>
  <c r="EP162" i="16"/>
  <c r="DT334" i="16"/>
  <c r="EA371" i="16"/>
  <c r="DO463" i="16"/>
  <c r="ES118" i="16"/>
  <c r="ER234" i="16"/>
  <c r="EM245" i="16"/>
  <c r="EO195" i="16"/>
  <c r="DF310" i="16"/>
  <c r="EO83" i="16"/>
  <c r="DM56" i="16"/>
  <c r="ER113" i="16"/>
  <c r="EK495" i="16"/>
  <c r="DE381" i="16"/>
  <c r="DU459" i="16"/>
  <c r="EH505" i="16"/>
  <c r="DE382" i="16"/>
  <c r="ES86" i="16"/>
  <c r="DM325" i="16"/>
  <c r="DL249" i="16"/>
  <c r="DH216" i="16"/>
  <c r="EJ400" i="16"/>
  <c r="DG422" i="16"/>
  <c r="DR250" i="16"/>
  <c r="DV361" i="16"/>
  <c r="DO247" i="16"/>
  <c r="DB464" i="16"/>
  <c r="DS238" i="16"/>
  <c r="DG196" i="16"/>
  <c r="ES464" i="16"/>
  <c r="DN82" i="16"/>
  <c r="ER437" i="16"/>
  <c r="DN297" i="16"/>
  <c r="EF341" i="16"/>
  <c r="ED219" i="16"/>
  <c r="DG142" i="16"/>
  <c r="DB136" i="16"/>
  <c r="EO166" i="16"/>
  <c r="DJ166" i="16"/>
  <c r="ED143" i="16"/>
  <c r="EO502" i="16"/>
  <c r="DP273" i="16"/>
  <c r="DW69" i="16"/>
  <c r="DX303" i="16"/>
  <c r="DU317" i="16"/>
  <c r="DC174" i="16"/>
  <c r="DB51" i="16"/>
  <c r="DS307" i="16"/>
  <c r="DK464" i="16"/>
  <c r="EE259" i="16"/>
  <c r="DJ499" i="16"/>
  <c r="CZ345" i="16"/>
  <c r="DZ166" i="16"/>
  <c r="DZ163" i="16"/>
  <c r="DN158" i="16"/>
  <c r="DZ398" i="16"/>
  <c r="EM229" i="16"/>
  <c r="EB369" i="16"/>
  <c r="EJ453" i="16"/>
  <c r="DF112" i="16"/>
  <c r="EF504" i="16"/>
  <c r="DZ66" i="16"/>
  <c r="DO175" i="16"/>
  <c r="DO271" i="16"/>
  <c r="EI290" i="16"/>
  <c r="EN516" i="16"/>
  <c r="DQ89" i="16"/>
  <c r="DQ108" i="16"/>
  <c r="EM228" i="16"/>
  <c r="EN66" i="16"/>
  <c r="DD145" i="16"/>
  <c r="CZ496" i="16"/>
  <c r="EI162" i="16"/>
  <c r="DL184" i="16"/>
  <c r="EE178" i="16"/>
  <c r="DF333" i="16"/>
  <c r="DJ494" i="16"/>
  <c r="DQ116" i="16"/>
  <c r="EQ384" i="16"/>
  <c r="EC322" i="16"/>
  <c r="DU348" i="16"/>
  <c r="EM124" i="16"/>
  <c r="EE109" i="16"/>
  <c r="DX55" i="16"/>
  <c r="EP130" i="16"/>
  <c r="EE92" i="16"/>
  <c r="DZ86" i="16"/>
  <c r="DR268" i="16"/>
  <c r="DJ513" i="16"/>
  <c r="DZ465" i="16"/>
  <c r="EG117" i="16"/>
  <c r="DY363" i="16"/>
  <c r="EG417" i="16"/>
  <c r="EG447" i="16"/>
  <c r="DB236" i="16"/>
  <c r="DW454" i="16"/>
  <c r="DM223" i="16"/>
  <c r="EJ333" i="16"/>
  <c r="DL246" i="16"/>
  <c r="EG64" i="16"/>
  <c r="CZ120" i="16"/>
  <c r="DX255" i="16"/>
  <c r="DQ350" i="16"/>
  <c r="EB157" i="16"/>
  <c r="DX209" i="16"/>
  <c r="DM178" i="16"/>
  <c r="DJ164" i="16"/>
  <c r="EO346" i="16"/>
  <c r="EE173" i="16"/>
  <c r="DD442" i="16"/>
  <c r="DN357" i="16"/>
  <c r="EF50" i="16"/>
  <c r="EO279" i="16"/>
  <c r="CZ371" i="16"/>
  <c r="ED440" i="16"/>
  <c r="EM468" i="16"/>
  <c r="ES206" i="16"/>
  <c r="EC438" i="16"/>
  <c r="DW149" i="16"/>
  <c r="DI169" i="16"/>
  <c r="DZ252" i="16"/>
  <c r="EO490" i="16"/>
  <c r="EB277" i="16"/>
  <c r="DP449" i="16"/>
  <c r="DS102" i="16"/>
  <c r="ER449" i="16"/>
  <c r="DW390" i="16"/>
  <c r="DD72" i="16"/>
  <c r="EO400" i="16"/>
  <c r="EE66" i="16"/>
  <c r="EG153" i="16"/>
  <c r="EA460" i="16"/>
  <c r="DI468" i="16"/>
  <c r="ED157" i="16"/>
  <c r="EE121" i="16"/>
  <c r="CZ55" i="16"/>
  <c r="EE188" i="16"/>
  <c r="EP344" i="16"/>
  <c r="DG135" i="16"/>
  <c r="ED126" i="16"/>
  <c r="DT189" i="16"/>
  <c r="DY453" i="16"/>
  <c r="DC60" i="16"/>
  <c r="DI329" i="16"/>
  <c r="EA255" i="16"/>
  <c r="EA441" i="16"/>
  <c r="EB285" i="16"/>
  <c r="DD191" i="16"/>
  <c r="DH269" i="16"/>
  <c r="EA65" i="16"/>
  <c r="DR167" i="16"/>
  <c r="DB116" i="16"/>
  <c r="EP281" i="16"/>
  <c r="EH261" i="16"/>
  <c r="DH444" i="16"/>
  <c r="DI345" i="16"/>
  <c r="EC72" i="16"/>
  <c r="EI404" i="16"/>
  <c r="EI133" i="16"/>
  <c r="ES466" i="16"/>
  <c r="EA281" i="16"/>
  <c r="EA498" i="16"/>
  <c r="EN198" i="16"/>
  <c r="DZ231" i="16"/>
  <c r="EL299" i="16"/>
  <c r="DG203" i="16"/>
  <c r="EB181" i="16"/>
  <c r="ER84" i="16"/>
  <c r="DD139" i="16"/>
  <c r="DE313" i="16"/>
  <c r="DI188" i="16"/>
  <c r="EO501" i="16"/>
  <c r="CZ223" i="16"/>
  <c r="DD294" i="16"/>
  <c r="DO93" i="16"/>
  <c r="EP412" i="16"/>
  <c r="EC355" i="16"/>
  <c r="DV232" i="16"/>
  <c r="EQ228" i="16"/>
  <c r="EP307" i="16"/>
  <c r="DF59" i="16"/>
  <c r="DK248" i="16"/>
  <c r="ES383" i="16"/>
  <c r="EN465" i="16"/>
  <c r="DJ311" i="16"/>
  <c r="DP395" i="16"/>
  <c r="ED231" i="16"/>
  <c r="ER125" i="16"/>
  <c r="DC292" i="16"/>
  <c r="DY420" i="16"/>
  <c r="DU226" i="16"/>
  <c r="DY348" i="16"/>
  <c r="DC494" i="16"/>
  <c r="EE52" i="16"/>
  <c r="CZ191" i="16"/>
  <c r="ES483" i="16"/>
  <c r="EO281" i="16"/>
  <c r="EP335" i="16"/>
  <c r="EJ499" i="16"/>
  <c r="DZ213" i="16"/>
  <c r="DX251" i="16"/>
  <c r="CZ425" i="16"/>
  <c r="EL427" i="16"/>
  <c r="EF437" i="16"/>
  <c r="DO492" i="16"/>
  <c r="EK261" i="16"/>
  <c r="DV260" i="16"/>
  <c r="EL324" i="16"/>
  <c r="ES351" i="16"/>
  <c r="EP411" i="16"/>
  <c r="DF470" i="16"/>
  <c r="DE80" i="16"/>
  <c r="DE398" i="16"/>
  <c r="EH216" i="16"/>
  <c r="EB460" i="16"/>
  <c r="DF402" i="16"/>
  <c r="ER502" i="16"/>
  <c r="DW205" i="16"/>
  <c r="ES477" i="16"/>
  <c r="EA409" i="16"/>
  <c r="EF474" i="16"/>
  <c r="DF395" i="16"/>
  <c r="EN238" i="16"/>
  <c r="DW168" i="16"/>
  <c r="ER510" i="16"/>
  <c r="EI394" i="16"/>
  <c r="EK284" i="16"/>
  <c r="DI61" i="16"/>
  <c r="DY201" i="16"/>
  <c r="ER279" i="16"/>
  <c r="EQ276" i="16"/>
  <c r="DS296" i="16"/>
  <c r="EN464" i="16"/>
  <c r="EL509" i="16"/>
  <c r="DE393" i="16"/>
  <c r="EO359" i="16"/>
  <c r="DZ119" i="16"/>
  <c r="DV118" i="16"/>
  <c r="EP108" i="16"/>
  <c r="ER278" i="16"/>
  <c r="DL421" i="16"/>
  <c r="ED65" i="16"/>
  <c r="DS396" i="16"/>
  <c r="DL211" i="16"/>
  <c r="DH73" i="16"/>
  <c r="DE238" i="16"/>
  <c r="DS154" i="16"/>
  <c r="DS286" i="16"/>
  <c r="DL350" i="16"/>
  <c r="DH375" i="16"/>
  <c r="EE93" i="16"/>
  <c r="EK418" i="16"/>
  <c r="DQ57" i="16"/>
  <c r="EI223" i="16"/>
  <c r="DD268" i="16"/>
  <c r="EB69" i="16"/>
  <c r="DS214" i="16"/>
  <c r="EN344" i="16"/>
  <c r="DN387" i="16"/>
  <c r="DA64" i="16"/>
  <c r="EQ410" i="16"/>
  <c r="DZ64" i="16"/>
  <c r="EI372" i="16"/>
  <c r="DW233" i="16"/>
  <c r="DF187" i="16"/>
  <c r="CZ498" i="16"/>
  <c r="DA138" i="16"/>
  <c r="DF404" i="16"/>
  <c r="DZ451" i="16"/>
  <c r="DT328" i="16"/>
  <c r="EP196" i="16"/>
  <c r="EI113" i="16"/>
  <c r="DD212" i="16"/>
  <c r="DQ292" i="16"/>
  <c r="DS195" i="16"/>
  <c r="CZ460" i="16"/>
  <c r="ED300" i="16"/>
  <c r="EJ282" i="16"/>
  <c r="EH199" i="16"/>
  <c r="DV400" i="16"/>
  <c r="DP360" i="16"/>
  <c r="DO282" i="16"/>
  <c r="DN256" i="16"/>
  <c r="EF399" i="16"/>
  <c r="DD265" i="16"/>
  <c r="EN251" i="16"/>
  <c r="EP202" i="16"/>
  <c r="DI309" i="16"/>
  <c r="DS342" i="16"/>
  <c r="EE267" i="16"/>
  <c r="DN197" i="16"/>
  <c r="DC449" i="16"/>
  <c r="EI177" i="16"/>
  <c r="EQ54" i="16"/>
  <c r="DT379" i="16"/>
  <c r="DB463" i="16"/>
  <c r="DC180" i="16"/>
  <c r="DQ406" i="16"/>
  <c r="DI156" i="16"/>
  <c r="EM346" i="16"/>
  <c r="EH240" i="16"/>
  <c r="DB71" i="16"/>
  <c r="EC321" i="16"/>
  <c r="DT243" i="16"/>
  <c r="DJ266" i="16"/>
  <c r="DF386" i="16"/>
  <c r="DT227" i="16"/>
  <c r="DR227" i="16"/>
  <c r="DB151" i="16"/>
  <c r="DN499" i="16"/>
  <c r="DF133" i="16"/>
  <c r="EM250" i="16"/>
  <c r="EH194" i="16"/>
  <c r="DE390" i="16"/>
  <c r="DT451" i="16"/>
  <c r="ED74" i="16"/>
  <c r="EF65" i="16"/>
  <c r="DL446" i="16"/>
  <c r="DC218" i="16"/>
  <c r="EA203" i="16"/>
  <c r="EM300" i="16"/>
  <c r="EK181" i="16"/>
  <c r="DB356" i="16"/>
  <c r="EN378" i="16"/>
  <c r="DF231" i="16"/>
  <c r="DV66" i="16"/>
  <c r="EG329" i="16"/>
  <c r="DM126" i="16"/>
  <c r="DW391" i="16"/>
  <c r="EM499" i="16"/>
  <c r="DF134" i="16"/>
  <c r="EK413" i="16"/>
  <c r="EL99" i="16"/>
  <c r="DV328" i="16"/>
  <c r="DN125" i="16"/>
  <c r="EC183" i="16"/>
  <c r="ES69" i="16"/>
  <c r="DI135" i="16"/>
  <c r="DU403" i="16"/>
  <c r="DD198" i="16"/>
  <c r="DQ293" i="16"/>
  <c r="DV366" i="16"/>
  <c r="DO346" i="16"/>
  <c r="DO266" i="16"/>
  <c r="ER288" i="16"/>
  <c r="ED306" i="16"/>
  <c r="EK405" i="16"/>
  <c r="EG144" i="16"/>
  <c r="ER166" i="16"/>
  <c r="DT370" i="16"/>
  <c r="DH340" i="16"/>
  <c r="DH441" i="16"/>
  <c r="DL237" i="16"/>
  <c r="DY179" i="16"/>
  <c r="EA51" i="16"/>
  <c r="EI304" i="16"/>
  <c r="EC132" i="16"/>
  <c r="DF209" i="16"/>
  <c r="EC193" i="16"/>
  <c r="DC301" i="16"/>
  <c r="EQ350" i="16"/>
  <c r="DK377" i="16"/>
  <c r="DH200" i="16"/>
  <c r="DZ311" i="16"/>
  <c r="EA241" i="16"/>
  <c r="DW148" i="16"/>
  <c r="EG232" i="16"/>
  <c r="ES326" i="16"/>
  <c r="DC438" i="16"/>
  <c r="DQ182" i="16"/>
  <c r="DR361" i="16"/>
  <c r="EO288" i="16"/>
  <c r="DC275" i="16"/>
  <c r="DJ390" i="16"/>
  <c r="EE180" i="16"/>
  <c r="EL242" i="16"/>
  <c r="EF170" i="16"/>
  <c r="EM126" i="16"/>
  <c r="DI220" i="16"/>
  <c r="DZ262" i="16"/>
  <c r="DS153" i="16"/>
  <c r="DO383" i="16"/>
  <c r="DX435" i="16"/>
  <c r="DP507" i="16"/>
  <c r="DO338" i="16"/>
  <c r="DG482" i="16"/>
  <c r="DE56" i="16"/>
  <c r="EQ470" i="16"/>
  <c r="DL77" i="16"/>
  <c r="DM510" i="16"/>
  <c r="EE362" i="16"/>
  <c r="EL63" i="16"/>
  <c r="DR423" i="16"/>
  <c r="ER169" i="16"/>
  <c r="EQ273" i="16"/>
  <c r="DF158" i="16"/>
  <c r="EP215" i="16"/>
  <c r="DP291" i="16"/>
  <c r="DS472" i="16"/>
  <c r="EC111" i="16"/>
  <c r="ER206" i="16"/>
  <c r="DO91" i="16"/>
  <c r="EC168" i="16"/>
  <c r="DM377" i="16"/>
  <c r="DC359" i="16"/>
  <c r="DY227" i="16"/>
  <c r="EL398" i="16"/>
  <c r="EO352" i="16"/>
  <c r="EN243" i="16"/>
  <c r="EE297" i="16"/>
  <c r="CZ328" i="16"/>
  <c r="EA458" i="16"/>
  <c r="EK262" i="16"/>
  <c r="DL414" i="16"/>
  <c r="DL96" i="16"/>
  <c r="DH168" i="16"/>
  <c r="DC431" i="16"/>
  <c r="DA122" i="16"/>
  <c r="DD92" i="16"/>
  <c r="EP283" i="16"/>
  <c r="EP104" i="16"/>
  <c r="DN147" i="16"/>
  <c r="EJ461" i="16"/>
  <c r="DI134" i="16"/>
  <c r="DF335" i="16"/>
  <c r="EJ209" i="16"/>
  <c r="EA292" i="16"/>
  <c r="EC294" i="16"/>
  <c r="EL335" i="16"/>
  <c r="DC185" i="16"/>
  <c r="EJ295" i="16"/>
  <c r="DA213" i="16"/>
  <c r="DL98" i="16"/>
  <c r="DQ50" i="16"/>
  <c r="DO201" i="16"/>
  <c r="EN188" i="16"/>
  <c r="ER421" i="16"/>
  <c r="DU123" i="16"/>
  <c r="DT101" i="16"/>
  <c r="DL395" i="16"/>
  <c r="DE214" i="16"/>
  <c r="DZ259" i="16"/>
  <c r="DP322" i="16"/>
  <c r="EK278" i="16"/>
  <c r="ER390" i="16"/>
  <c r="DF130" i="16"/>
  <c r="ED145" i="16"/>
  <c r="DN177" i="16"/>
  <c r="EL342" i="16"/>
  <c r="ES384" i="16"/>
  <c r="ER165" i="16"/>
  <c r="DI405" i="16"/>
  <c r="EH336" i="16"/>
  <c r="DW422" i="16"/>
  <c r="DA256" i="16"/>
  <c r="ER353" i="16"/>
  <c r="EE166" i="16"/>
  <c r="DO222" i="16"/>
  <c r="ES412" i="16"/>
  <c r="DZ314" i="16"/>
  <c r="EJ416" i="16"/>
  <c r="DV127" i="16"/>
  <c r="DO407" i="16"/>
  <c r="DL467" i="16"/>
  <c r="EG53" i="16"/>
  <c r="EK333" i="16"/>
  <c r="EB208" i="16"/>
  <c r="EH403" i="16"/>
  <c r="EK126" i="16"/>
  <c r="EE335" i="16"/>
  <c r="DI332" i="16"/>
  <c r="DX293" i="16"/>
  <c r="EB215" i="16"/>
  <c r="EK174" i="16"/>
  <c r="DI106" i="16"/>
  <c r="DV306" i="16"/>
  <c r="DM150" i="16"/>
  <c r="DQ170" i="16"/>
  <c r="EI445" i="16"/>
  <c r="DR347" i="16"/>
  <c r="EE487" i="16"/>
  <c r="DL169" i="16"/>
  <c r="EK263" i="16"/>
  <c r="DB169" i="16"/>
  <c r="DL135" i="16"/>
  <c r="EF413" i="16"/>
  <c r="DE273" i="16"/>
  <c r="DD103" i="16"/>
  <c r="EP441" i="16"/>
  <c r="EO161" i="16"/>
  <c r="EM513" i="16"/>
  <c r="DN489" i="16"/>
  <c r="DJ126" i="16"/>
  <c r="ED308" i="16"/>
  <c r="ED61" i="16"/>
  <c r="DR137" i="16"/>
  <c r="DS330" i="16"/>
  <c r="DV137" i="16"/>
  <c r="ED314" i="16"/>
  <c r="DF426" i="16"/>
  <c r="DV213" i="16"/>
  <c r="EJ312" i="16"/>
  <c r="DN273" i="16"/>
  <c r="EG164" i="16"/>
  <c r="DN407" i="16"/>
  <c r="DY443" i="16"/>
  <c r="DQ269" i="16"/>
  <c r="DI131" i="16"/>
  <c r="EG205" i="16"/>
  <c r="DK121" i="16"/>
  <c r="DS430" i="16"/>
  <c r="EA100" i="16"/>
  <c r="EE446" i="16"/>
  <c r="ED400" i="16"/>
  <c r="CZ264" i="16"/>
  <c r="DA51" i="16"/>
  <c r="DK386" i="16"/>
  <c r="DQ102" i="16"/>
  <c r="EB177" i="16"/>
  <c r="DD257" i="16"/>
  <c r="DI314" i="16"/>
  <c r="DS74" i="16"/>
  <c r="DI448" i="16"/>
  <c r="EH303" i="16"/>
  <c r="DN447" i="16"/>
  <c r="EN450" i="16"/>
  <c r="DQ434" i="16"/>
  <c r="DG377" i="16"/>
  <c r="DJ102" i="16"/>
  <c r="DR125" i="16"/>
  <c r="DE387" i="16"/>
  <c r="ED228" i="16"/>
  <c r="EJ345" i="16"/>
  <c r="DO148" i="16"/>
  <c r="DY228" i="16"/>
  <c r="DL50" i="16"/>
  <c r="DL110" i="16"/>
  <c r="DN313" i="16"/>
  <c r="EB136" i="16"/>
  <c r="EF119" i="16"/>
  <c r="DS347" i="16"/>
  <c r="EQ160" i="16"/>
  <c r="DO433" i="16"/>
  <c r="DN170" i="16"/>
  <c r="EN115" i="16"/>
  <c r="DI380" i="16"/>
  <c r="ER191" i="16"/>
  <c r="DV156" i="16"/>
  <c r="DU369" i="16"/>
  <c r="EB348" i="16"/>
  <c r="DP172" i="16"/>
  <c r="EC114" i="16"/>
  <c r="DO62" i="16"/>
  <c r="DL155" i="16"/>
  <c r="DJ184" i="16"/>
  <c r="DZ455" i="16"/>
  <c r="ER244" i="16"/>
  <c r="DP117" i="16"/>
  <c r="DX266" i="16"/>
  <c r="DP95" i="16"/>
  <c r="DH91" i="16"/>
  <c r="DP201" i="16"/>
  <c r="EF430" i="16"/>
  <c r="DC98" i="16"/>
  <c r="EJ99" i="16"/>
  <c r="CZ396" i="16"/>
  <c r="DO504" i="16"/>
  <c r="EB166" i="16"/>
  <c r="DC118" i="16"/>
  <c r="DT143" i="16"/>
  <c r="EM85" i="16"/>
  <c r="EI408" i="16"/>
  <c r="EG124" i="16"/>
  <c r="EB142" i="16"/>
  <c r="DS64" i="16"/>
  <c r="DQ370" i="16"/>
  <c r="DY368" i="16"/>
  <c r="DP408" i="16"/>
  <c r="DK252" i="16"/>
  <c r="DF123" i="16"/>
  <c r="EM296" i="16"/>
  <c r="DM110" i="16"/>
  <c r="DB479" i="16"/>
  <c r="DS280" i="16"/>
  <c r="DF81" i="16"/>
  <c r="ED56" i="16"/>
  <c r="EC369" i="16"/>
  <c r="EM344" i="16"/>
  <c r="EA54" i="16"/>
  <c r="ER476" i="16"/>
  <c r="EQ70" i="16"/>
  <c r="DP482" i="16"/>
  <c r="EF54" i="16"/>
  <c r="EO193" i="16"/>
  <c r="DL244" i="16"/>
  <c r="DX51" i="16"/>
  <c r="DP268" i="16"/>
  <c r="EA272" i="16"/>
  <c r="EG211" i="16"/>
  <c r="DM132" i="16"/>
  <c r="DH100" i="16"/>
  <c r="DD69" i="16"/>
  <c r="DC288" i="16"/>
  <c r="EC481" i="16"/>
  <c r="EI85" i="16"/>
  <c r="DP340" i="16"/>
  <c r="DQ75" i="16"/>
  <c r="DI107" i="16"/>
  <c r="DO274" i="16"/>
  <c r="DX138" i="16"/>
  <c r="EP141" i="16"/>
  <c r="DG162" i="16"/>
  <c r="EF149" i="16"/>
  <c r="EH371" i="16"/>
  <c r="DB193" i="16"/>
  <c r="DC302" i="16"/>
  <c r="DX515" i="16"/>
  <c r="EB236" i="16"/>
  <c r="DI330" i="16"/>
  <c r="DN440" i="16"/>
  <c r="DC383" i="16"/>
  <c r="DJ488" i="16"/>
  <c r="DU172" i="16"/>
  <c r="CZ255" i="16"/>
  <c r="DP293" i="16"/>
  <c r="EK350" i="16"/>
  <c r="EF333" i="16"/>
  <c r="CZ411" i="16"/>
  <c r="DR438" i="16"/>
  <c r="DZ145" i="16"/>
  <c r="DY285" i="16"/>
  <c r="DB185" i="16"/>
  <c r="DV85" i="16"/>
  <c r="EP63" i="16"/>
  <c r="EE62" i="16"/>
  <c r="EG115" i="16"/>
  <c r="EM115" i="16"/>
  <c r="EC229" i="16"/>
  <c r="DI398" i="16"/>
  <c r="DV249" i="16"/>
  <c r="EN212" i="16"/>
  <c r="DI340" i="16"/>
  <c r="DZ172" i="16"/>
  <c r="DD446" i="16"/>
  <c r="ER382" i="16"/>
  <c r="DK197" i="16"/>
  <c r="DB176" i="16"/>
  <c r="DN99" i="16"/>
  <c r="DR60" i="16"/>
  <c r="DG231" i="16"/>
  <c r="EF403" i="16"/>
  <c r="EF171" i="16"/>
  <c r="DN179" i="16"/>
  <c r="DX471" i="16"/>
  <c r="DN151" i="16"/>
  <c r="DP73" i="16"/>
  <c r="DV395" i="16"/>
  <c r="DH271" i="16"/>
  <c r="DW154" i="16"/>
  <c r="ED288" i="16"/>
  <c r="EH399" i="16"/>
  <c r="EG315" i="16"/>
  <c r="ES303" i="16"/>
  <c r="EJ234" i="16"/>
  <c r="EE386" i="16"/>
  <c r="EB185" i="16"/>
  <c r="EB102" i="16"/>
  <c r="DC495" i="16"/>
  <c r="DM340" i="16"/>
  <c r="EF61" i="16"/>
  <c r="DF500" i="16"/>
  <c r="DM72" i="16"/>
  <c r="DV495" i="16"/>
  <c r="DV143" i="16"/>
  <c r="DN88" i="16"/>
  <c r="EG70" i="16"/>
  <c r="DT133" i="16"/>
  <c r="ER126" i="16"/>
  <c r="EF177" i="16"/>
  <c r="DK226" i="16"/>
  <c r="DF168" i="16"/>
  <c r="EO321" i="16"/>
  <c r="EI373" i="16"/>
  <c r="DR290" i="16"/>
  <c r="DK512" i="16"/>
  <c r="EB74" i="16"/>
  <c r="EO144" i="16"/>
  <c r="EM338" i="16"/>
  <c r="DO96" i="16"/>
  <c r="DL349" i="16"/>
  <c r="EC128" i="16"/>
  <c r="DG159" i="16"/>
  <c r="DC260" i="16"/>
  <c r="EK434" i="16"/>
  <c r="DT89" i="16"/>
  <c r="ER447" i="16"/>
  <c r="DU126" i="16"/>
  <c r="EJ379" i="16"/>
  <c r="EA127" i="16"/>
  <c r="DU387" i="16"/>
  <c r="DO55" i="16"/>
  <c r="DY400" i="16"/>
  <c r="EK245" i="16"/>
  <c r="EF109" i="16"/>
  <c r="DZ154" i="16"/>
  <c r="EK124" i="16"/>
  <c r="DT124" i="16"/>
  <c r="DD308" i="16"/>
  <c r="DW102" i="16"/>
  <c r="EA66" i="16"/>
  <c r="ED154" i="16"/>
  <c r="EO257" i="16"/>
  <c r="DO276" i="16"/>
  <c r="DJ88" i="16"/>
  <c r="DA229" i="16"/>
  <c r="DW159" i="16"/>
  <c r="DH59" i="16"/>
  <c r="DJ170" i="16"/>
  <c r="DF496" i="16"/>
  <c r="EE502" i="16"/>
  <c r="EA254" i="16"/>
  <c r="EI434" i="16"/>
  <c r="EA87" i="16"/>
  <c r="EO110" i="16"/>
  <c r="DI441" i="16"/>
  <c r="DG346" i="16"/>
  <c r="EN315" i="16"/>
  <c r="DN301" i="16"/>
  <c r="EK132" i="16"/>
  <c r="EJ122" i="16"/>
  <c r="DE502" i="16"/>
  <c r="DJ207" i="16"/>
  <c r="DT261" i="16"/>
  <c r="DB180" i="16"/>
  <c r="DQ407" i="16"/>
  <c r="DL217" i="16"/>
  <c r="DM133" i="16"/>
  <c r="DP232" i="16"/>
  <c r="DR109" i="16"/>
  <c r="DM158" i="16"/>
  <c r="EL221" i="16"/>
  <c r="DM177" i="16"/>
  <c r="DZ268" i="16"/>
  <c r="DQ384" i="16"/>
  <c r="DT84" i="16"/>
  <c r="DC209" i="16"/>
  <c r="DW132" i="16"/>
  <c r="DJ435" i="16"/>
  <c r="EG424" i="16"/>
  <c r="DB62" i="16"/>
  <c r="DW254" i="16"/>
  <c r="DT74" i="16"/>
  <c r="DF101" i="16"/>
  <c r="EJ391" i="16"/>
  <c r="EL275" i="16"/>
  <c r="EO61" i="16"/>
  <c r="DR85" i="16"/>
  <c r="DA103" i="16"/>
  <c r="DP369" i="16"/>
  <c r="EN91" i="16"/>
  <c r="DJ391" i="16"/>
  <c r="DK120" i="16"/>
  <c r="EJ433" i="16"/>
  <c r="EB73" i="16"/>
  <c r="DG145" i="16"/>
  <c r="DH204" i="16"/>
  <c r="EL68" i="16"/>
  <c r="EN438" i="16"/>
  <c r="ED75" i="16"/>
  <c r="CZ49" i="16"/>
  <c r="EJ356" i="16"/>
  <c r="EJ512" i="16"/>
  <c r="ES73" i="16"/>
  <c r="EC368" i="16"/>
  <c r="DC196" i="16"/>
  <c r="CZ467" i="16"/>
  <c r="DB465" i="16"/>
  <c r="ER69" i="16"/>
  <c r="EN354" i="16"/>
  <c r="EC101" i="16"/>
  <c r="DK289" i="16"/>
  <c r="EJ183" i="16"/>
  <c r="DO373" i="16"/>
  <c r="ES203" i="16"/>
  <c r="EF387" i="16"/>
  <c r="EK367" i="16"/>
  <c r="DH486" i="16"/>
  <c r="EH284" i="16"/>
  <c r="EI261" i="16"/>
  <c r="ES253" i="16"/>
  <c r="DT281" i="16"/>
  <c r="DW471" i="16"/>
  <c r="DW296" i="16"/>
  <c r="DY101" i="16"/>
  <c r="EI92" i="16"/>
  <c r="ED53" i="16"/>
  <c r="DD211" i="16"/>
  <c r="DH223" i="16"/>
  <c r="EO318" i="16"/>
  <c r="DP250" i="16"/>
  <c r="EL307" i="16"/>
  <c r="DC312" i="16"/>
  <c r="DT453" i="16"/>
  <c r="DT333" i="16"/>
  <c r="DH93" i="16"/>
  <c r="DR356" i="16"/>
  <c r="DM437" i="16"/>
  <c r="DY385" i="16"/>
  <c r="DR239" i="16"/>
  <c r="DR301" i="16"/>
  <c r="DQ312" i="16"/>
  <c r="ES507" i="16"/>
  <c r="EQ210" i="16"/>
  <c r="EF302" i="16"/>
  <c r="DW399" i="16"/>
  <c r="EQ178" i="16"/>
  <c r="DH247" i="16"/>
  <c r="DL485" i="16"/>
  <c r="DA417" i="16"/>
  <c r="CZ209" i="16"/>
  <c r="DB186" i="16"/>
  <c r="DD280" i="16"/>
  <c r="DZ128" i="16"/>
  <c r="DI101" i="16"/>
  <c r="EO383" i="16"/>
  <c r="EI260" i="16"/>
  <c r="EF227" i="16"/>
  <c r="DG214" i="16"/>
  <c r="EM415" i="16"/>
  <c r="DJ375" i="16"/>
  <c r="DQ361" i="16"/>
  <c r="EC194" i="16"/>
  <c r="DO165" i="16"/>
  <c r="DA141" i="16"/>
  <c r="ES344" i="16"/>
  <c r="DV262" i="16"/>
  <c r="DO218" i="16"/>
  <c r="DQ296" i="16"/>
  <c r="DM146" i="16"/>
  <c r="DV334" i="16"/>
  <c r="EN178" i="16"/>
  <c r="EN301" i="16"/>
  <c r="DF218" i="16"/>
  <c r="DV489" i="16"/>
  <c r="EJ505" i="16"/>
  <c r="EC406" i="16"/>
  <c r="DM381" i="16"/>
  <c r="DO127" i="16"/>
  <c r="ER514" i="16"/>
  <c r="DZ116" i="16"/>
  <c r="ES92" i="16"/>
  <c r="EA106" i="16"/>
  <c r="DO174" i="16"/>
  <c r="DS158" i="16"/>
  <c r="DE271" i="16"/>
  <c r="EH176" i="16"/>
  <c r="DW447" i="16"/>
  <c r="ER301" i="16"/>
  <c r="EL380" i="16"/>
  <c r="DM73" i="16"/>
  <c r="DY427" i="16"/>
  <c r="DA245" i="16"/>
  <c r="DD65" i="16"/>
  <c r="DW243" i="16"/>
  <c r="DV356" i="16"/>
  <c r="EL348" i="16"/>
  <c r="EJ197" i="16"/>
  <c r="DU405" i="16"/>
  <c r="DB118" i="16"/>
  <c r="DY129" i="16"/>
  <c r="EG187" i="16"/>
  <c r="DD79" i="16"/>
  <c r="EN415" i="16"/>
  <c r="EO207" i="16"/>
  <c r="EO100" i="16"/>
  <c r="DF77" i="16"/>
  <c r="EP238" i="16"/>
  <c r="EC265" i="16"/>
  <c r="DI196" i="16"/>
  <c r="DY429" i="16"/>
  <c r="DI343" i="16"/>
  <c r="DI488" i="16"/>
  <c r="EL419" i="16"/>
  <c r="EF182" i="16"/>
  <c r="ES504" i="16"/>
  <c r="DJ56" i="16"/>
  <c r="DV188" i="16"/>
  <c r="ED289" i="16"/>
  <c r="DR346" i="16"/>
  <c r="EM91" i="16"/>
  <c r="EB302" i="16"/>
  <c r="EF142" i="16"/>
  <c r="DF367" i="16"/>
  <c r="EQ282" i="16"/>
  <c r="ES141" i="16"/>
  <c r="DR516" i="16"/>
  <c r="DT198" i="16"/>
  <c r="DK445" i="16"/>
  <c r="DX79" i="16"/>
  <c r="DK232" i="16"/>
  <c r="ER65" i="16"/>
  <c r="EH173" i="16"/>
  <c r="DR148" i="16"/>
  <c r="ES424" i="16"/>
  <c r="DH466" i="16"/>
  <c r="DS484" i="16"/>
  <c r="DM219" i="16"/>
  <c r="EM249" i="16"/>
  <c r="DK304" i="16"/>
  <c r="DW271" i="16"/>
  <c r="ES114" i="16"/>
  <c r="DK101" i="16"/>
  <c r="DK392" i="16"/>
  <c r="DJ307" i="16"/>
  <c r="DH296" i="16"/>
  <c r="DO105" i="16"/>
  <c r="EQ367" i="16"/>
  <c r="DH138" i="16"/>
  <c r="EN195" i="16"/>
  <c r="EK52" i="16"/>
  <c r="DS182" i="16"/>
  <c r="DO79" i="16"/>
  <c r="DR59" i="16"/>
  <c r="DC343" i="16"/>
  <c r="EC412" i="16"/>
  <c r="EP437" i="16"/>
  <c r="DA384" i="16"/>
  <c r="DY260" i="16"/>
  <c r="EO303" i="16"/>
  <c r="EN499" i="16"/>
  <c r="DN322" i="16"/>
  <c r="DP227" i="16"/>
  <c r="DP225" i="16"/>
  <c r="DN392" i="16"/>
  <c r="EN419" i="16"/>
  <c r="EJ257" i="16"/>
  <c r="DP150" i="16"/>
  <c r="EK118" i="16"/>
  <c r="DA118" i="16"/>
  <c r="EF121" i="16"/>
  <c r="DE331" i="16"/>
  <c r="DR176" i="16"/>
  <c r="DS121" i="16"/>
  <c r="DO69" i="16"/>
  <c r="EB502" i="16"/>
  <c r="EP92" i="16"/>
  <c r="EQ293" i="16"/>
  <c r="ES433" i="16"/>
  <c r="CZ294" i="16"/>
  <c r="DC395" i="16"/>
  <c r="DY75" i="16"/>
  <c r="DX338" i="16"/>
  <c r="DJ208" i="16"/>
  <c r="EP343" i="16"/>
  <c r="DM170" i="16"/>
  <c r="EL460" i="16"/>
  <c r="DA323" i="16"/>
  <c r="DJ403" i="16"/>
  <c r="DR204" i="16"/>
  <c r="DV259" i="16"/>
  <c r="ED242" i="16"/>
  <c r="EK494" i="16"/>
  <c r="DA406" i="16"/>
  <c r="EQ358" i="16"/>
  <c r="EC413" i="16"/>
  <c r="EN353" i="16"/>
  <c r="DO263" i="16"/>
  <c r="DO171" i="16"/>
  <c r="DU67" i="16"/>
  <c r="DU365" i="16"/>
  <c r="DO476" i="16"/>
  <c r="DE142" i="16"/>
  <c r="DU173" i="16"/>
  <c r="DF399" i="16"/>
  <c r="DZ372" i="16"/>
  <c r="EB97" i="16"/>
  <c r="DN68" i="16"/>
  <c r="DA342" i="16"/>
  <c r="DY262" i="16"/>
  <c r="DO396" i="16"/>
  <c r="DL159" i="16"/>
  <c r="EO289" i="16"/>
  <c r="EE113" i="16"/>
  <c r="DH512" i="16"/>
  <c r="DZ149" i="16"/>
  <c r="DS323" i="16"/>
  <c r="DC155" i="16"/>
  <c r="EK299" i="16"/>
  <c r="EE57" i="16"/>
  <c r="DT292" i="16"/>
  <c r="DU153" i="16"/>
  <c r="DC455" i="16"/>
  <c r="DM342" i="16"/>
  <c r="DK182" i="16"/>
  <c r="DW68" i="16"/>
  <c r="DH420" i="16"/>
  <c r="DY57" i="16"/>
  <c r="EQ473" i="16"/>
  <c r="EM50" i="16"/>
  <c r="DL153" i="16"/>
  <c r="EI499" i="16"/>
  <c r="ER192" i="16"/>
  <c r="EO406" i="16"/>
  <c r="DW381" i="16"/>
  <c r="EM116" i="16"/>
  <c r="ES145" i="16"/>
  <c r="EC472" i="16"/>
  <c r="EO495" i="16"/>
  <c r="DB428" i="16"/>
  <c r="EM170" i="16"/>
  <c r="EB307" i="16"/>
  <c r="DV331" i="16"/>
  <c r="DX59" i="16"/>
  <c r="DN399" i="16"/>
  <c r="DI410" i="16"/>
  <c r="DS143" i="16"/>
  <c r="DJ338" i="16"/>
  <c r="EI344" i="16"/>
  <c r="DN284" i="16"/>
  <c r="ER512" i="16"/>
  <c r="DW465" i="16"/>
  <c r="DE189" i="16"/>
  <c r="DB414" i="16"/>
  <c r="DN494" i="16"/>
  <c r="DW486" i="16"/>
  <c r="DP59" i="16"/>
  <c r="DJ469" i="16"/>
  <c r="EJ223" i="16"/>
  <c r="DK206" i="16"/>
  <c r="EN470" i="16"/>
  <c r="DJ446" i="16"/>
  <c r="EP156" i="16"/>
  <c r="DT248" i="16"/>
  <c r="DE190" i="16"/>
  <c r="DD303" i="16"/>
  <c r="DJ231" i="16"/>
  <c r="EM238" i="16"/>
  <c r="DP308" i="16"/>
  <c r="DE218" i="16"/>
  <c r="DA380" i="16"/>
  <c r="DD78" i="16"/>
  <c r="DA495" i="16"/>
  <c r="EM92" i="16"/>
  <c r="CZ101" i="16"/>
  <c r="EC293" i="16"/>
  <c r="EM106" i="16"/>
  <c r="DA414" i="16"/>
  <c r="EN370" i="16"/>
  <c r="EQ257" i="16"/>
  <c r="DD227" i="16"/>
  <c r="DL340" i="16"/>
  <c r="DB238" i="16"/>
  <c r="EO79" i="16"/>
  <c r="DY415" i="16"/>
  <c r="EI318" i="16"/>
  <c r="DY505" i="16"/>
  <c r="DS466" i="16"/>
  <c r="EB433" i="16"/>
  <c r="DD251" i="16"/>
  <c r="DZ115" i="16"/>
  <c r="DB199" i="16"/>
  <c r="EG141" i="16"/>
  <c r="EF208" i="16"/>
  <c r="DC252" i="16"/>
  <c r="DO502" i="16"/>
  <c r="DK154" i="16"/>
  <c r="DD104" i="16"/>
  <c r="EL126" i="16"/>
  <c r="EG402" i="16"/>
  <c r="EN362" i="16"/>
  <c r="ED466" i="16"/>
  <c r="EJ49" i="16"/>
  <c r="DF334" i="16"/>
  <c r="ES256" i="16"/>
  <c r="DH124" i="16"/>
  <c r="EI357" i="16"/>
  <c r="DL398" i="16"/>
  <c r="DQ65" i="16"/>
  <c r="DJ240" i="16"/>
  <c r="DC221" i="16"/>
  <c r="DG56" i="16"/>
  <c r="DP439" i="16"/>
  <c r="DD392" i="16"/>
  <c r="DL220" i="16"/>
  <c r="DI279" i="16"/>
  <c r="DV80" i="16"/>
  <c r="DX327" i="16"/>
  <c r="DV59" i="16"/>
  <c r="DW85" i="16"/>
  <c r="EE80" i="16"/>
  <c r="EL379" i="16"/>
  <c r="EC119" i="16"/>
  <c r="DN50" i="16"/>
  <c r="DR483" i="16"/>
  <c r="EB400" i="16"/>
  <c r="EG84" i="16"/>
  <c r="DX133" i="16"/>
  <c r="ES90" i="16"/>
  <c r="DG165" i="16"/>
  <c r="DX185" i="16"/>
  <c r="DA369" i="16"/>
  <c r="CZ151" i="16"/>
  <c r="DJ422" i="16"/>
  <c r="EB210" i="16"/>
  <c r="CZ272" i="16"/>
  <c r="DB87" i="16"/>
  <c r="DT249" i="16"/>
  <c r="DA277" i="16"/>
  <c r="DT220" i="16"/>
  <c r="DQ60" i="16"/>
  <c r="EM288" i="16"/>
  <c r="ED484" i="16"/>
  <c r="DO223" i="16"/>
  <c r="CZ323" i="16"/>
  <c r="EF126" i="16"/>
  <c r="ER384" i="16"/>
  <c r="EG166" i="16"/>
  <c r="DM287" i="16"/>
  <c r="DW353" i="16"/>
  <c r="DA130" i="16"/>
  <c r="ES306" i="16"/>
  <c r="DX240" i="16"/>
  <c r="EP149" i="16"/>
  <c r="EE288" i="16"/>
  <c r="ED417" i="16"/>
  <c r="EA429" i="16"/>
  <c r="DT354" i="16"/>
  <c r="EN155" i="16"/>
  <c r="EP222" i="16"/>
  <c r="DY310" i="16"/>
  <c r="DH130" i="16"/>
  <c r="EK324" i="16"/>
  <c r="EP148" i="16"/>
  <c r="DX86" i="16"/>
  <c r="DK102" i="16"/>
  <c r="DT200" i="16"/>
  <c r="EI159" i="16"/>
  <c r="DX69" i="16"/>
  <c r="EC495" i="16"/>
  <c r="EQ241" i="16"/>
  <c r="DH256" i="16"/>
  <c r="ES79" i="16"/>
  <c r="DH297" i="16"/>
  <c r="EG324" i="16"/>
  <c r="DV86" i="16"/>
  <c r="EE501" i="16"/>
  <c r="DU302" i="16"/>
  <c r="DY155" i="16"/>
  <c r="EA505" i="16"/>
  <c r="DM166" i="16"/>
  <c r="DG315" i="16"/>
  <c r="ES387" i="16"/>
  <c r="EO317" i="16"/>
  <c r="ER273" i="16"/>
  <c r="DV272" i="16"/>
  <c r="DI368" i="16"/>
  <c r="DH77" i="16"/>
  <c r="DO193" i="16"/>
  <c r="DM419" i="16"/>
  <c r="EF201" i="16"/>
  <c r="DI335" i="16"/>
  <c r="DQ282" i="16"/>
  <c r="DI182" i="16"/>
  <c r="EB133" i="16"/>
  <c r="EQ50" i="16"/>
  <c r="DJ119" i="16"/>
  <c r="EC323" i="16"/>
  <c r="DX299" i="16"/>
  <c r="ED229" i="16"/>
  <c r="CZ511" i="16"/>
  <c r="DY161" i="16"/>
  <c r="DF294" i="16"/>
  <c r="DC160" i="16"/>
  <c r="DX329" i="16"/>
  <c r="DM118" i="16"/>
  <c r="ED204" i="16"/>
  <c r="DF87" i="16"/>
  <c r="DV154" i="16"/>
  <c r="DU237" i="16"/>
  <c r="EM504" i="16"/>
  <c r="EC240" i="16"/>
  <c r="EH156" i="16"/>
  <c r="DC176" i="16"/>
  <c r="DE417" i="16"/>
  <c r="DF164" i="16"/>
  <c r="EE467" i="16"/>
  <c r="EQ250" i="16"/>
  <c r="EL467" i="16"/>
  <c r="DR279" i="16"/>
  <c r="DM130" i="16"/>
  <c r="DO335" i="16"/>
  <c r="DE258" i="16"/>
  <c r="DJ179" i="16"/>
  <c r="DT310" i="16"/>
  <c r="EI154" i="16"/>
  <c r="EN493" i="16"/>
  <c r="ER348" i="16"/>
  <c r="EP487" i="16"/>
  <c r="CZ410" i="16"/>
  <c r="DS232" i="16"/>
  <c r="EO190" i="16"/>
  <c r="DY311" i="16"/>
  <c r="DH451" i="16"/>
  <c r="EO280" i="16"/>
  <c r="EG286" i="16"/>
  <c r="DQ86" i="16"/>
  <c r="EH90" i="16"/>
  <c r="EQ304" i="16"/>
  <c r="EM458" i="16"/>
  <c r="DL322" i="16"/>
  <c r="ES267" i="16"/>
  <c r="EL466" i="16"/>
  <c r="EF320" i="16"/>
  <c r="DH85" i="16"/>
  <c r="DR317" i="16"/>
  <c r="EA488" i="16"/>
  <c r="DP90" i="16"/>
  <c r="DT474" i="16"/>
  <c r="EK59" i="16"/>
  <c r="DC89" i="16"/>
  <c r="DN388" i="16"/>
  <c r="CZ333" i="16"/>
  <c r="EP293" i="16"/>
  <c r="DD272" i="16"/>
  <c r="DS256" i="16"/>
  <c r="DX292" i="16"/>
  <c r="DJ196" i="16"/>
  <c r="ER349" i="16"/>
  <c r="DZ59" i="16"/>
  <c r="DH127" i="16"/>
  <c r="DS174" i="16"/>
  <c r="DD131" i="16"/>
  <c r="DH295" i="16"/>
  <c r="DW376" i="16"/>
  <c r="DE77" i="16"/>
  <c r="EI278" i="16"/>
  <c r="EA492" i="16"/>
  <c r="EI70" i="16"/>
  <c r="EM254" i="16"/>
  <c r="EI115" i="16"/>
  <c r="DX127" i="16"/>
  <c r="EG54" i="16"/>
  <c r="EA118" i="16"/>
  <c r="DM423" i="16"/>
  <c r="DZ371" i="16"/>
  <c r="DV238" i="16"/>
  <c r="EA225" i="16"/>
  <c r="DE166" i="16"/>
  <c r="ES217" i="16"/>
  <c r="EM172" i="16"/>
  <c r="ED186" i="16"/>
  <c r="DU100" i="16"/>
  <c r="DX190" i="16"/>
  <c r="DK413" i="16"/>
  <c r="EF116" i="16"/>
  <c r="DV167" i="16"/>
  <c r="EJ94" i="16"/>
  <c r="DQ99" i="16"/>
  <c r="EO120" i="16"/>
  <c r="EL429" i="16"/>
  <c r="DM456" i="16"/>
  <c r="DC53" i="16"/>
  <c r="DR110" i="16"/>
  <c r="DW295" i="16"/>
  <c r="DT131" i="16"/>
  <c r="EA159" i="16"/>
  <c r="DN361" i="16"/>
  <c r="DJ115" i="16"/>
  <c r="EN185" i="16"/>
  <c r="DB144" i="16"/>
  <c r="DA285" i="16"/>
  <c r="DO468" i="16"/>
  <c r="DQ206" i="16"/>
  <c r="DO173" i="16"/>
  <c r="DJ68" i="16"/>
  <c r="DW226" i="16"/>
  <c r="DE350" i="16"/>
  <c r="DS245" i="16"/>
  <c r="DQ321" i="16"/>
  <c r="DC125" i="16"/>
  <c r="EN435" i="16"/>
  <c r="EI193" i="16"/>
  <c r="ER391" i="16"/>
  <c r="DG373" i="16"/>
  <c r="DE72" i="16"/>
  <c r="DL163" i="16"/>
  <c r="DF401" i="16"/>
  <c r="DE115" i="16"/>
  <c r="ES215" i="16"/>
  <c r="ES400" i="16"/>
  <c r="DR141" i="16"/>
  <c r="DL250" i="16"/>
  <c r="EM130" i="16"/>
  <c r="DP145" i="16"/>
  <c r="DU463" i="16"/>
  <c r="EO407" i="16"/>
  <c r="EG386" i="16"/>
  <c r="DR123" i="16"/>
  <c r="DW308" i="16"/>
  <c r="DE200" i="16"/>
  <c r="EI125" i="16"/>
  <c r="DV499" i="16"/>
  <c r="EQ381" i="16"/>
  <c r="DK462" i="16"/>
  <c r="EQ372" i="16"/>
  <c r="EG363" i="16"/>
  <c r="DZ269" i="16"/>
  <c r="DA87" i="16"/>
  <c r="EN302" i="16"/>
  <c r="DB82" i="16"/>
  <c r="DB223" i="16"/>
  <c r="EQ248" i="16"/>
  <c r="EF423" i="16"/>
  <c r="DV102" i="16"/>
  <c r="EO261" i="16"/>
  <c r="CZ259" i="16"/>
  <c r="EL479" i="16"/>
  <c r="DW157" i="16"/>
  <c r="DU284" i="16"/>
  <c r="ES371" i="16"/>
  <c r="ER258" i="16"/>
  <c r="EO205" i="16"/>
  <c r="DK434" i="16"/>
  <c r="EA374" i="16"/>
  <c r="DW306" i="16"/>
  <c r="DI218" i="16"/>
  <c r="DN130" i="16"/>
  <c r="DN67" i="16"/>
  <c r="DV178" i="16"/>
  <c r="EK383" i="16"/>
  <c r="ER498" i="16"/>
  <c r="ES462" i="16"/>
  <c r="DD174" i="16"/>
  <c r="DF230" i="16"/>
  <c r="EN298" i="16"/>
  <c r="DG335" i="16"/>
  <c r="DB95" i="16"/>
  <c r="DU308" i="16"/>
  <c r="ES357" i="16"/>
  <c r="CZ313" i="16"/>
  <c r="DN131" i="16"/>
  <c r="EA183" i="16"/>
  <c r="EF264" i="16"/>
  <c r="DK172" i="16"/>
  <c r="DG446" i="16"/>
  <c r="DY173" i="16"/>
  <c r="EI399" i="16"/>
  <c r="EE229" i="16"/>
  <c r="DA72" i="16"/>
  <c r="EM514" i="16"/>
  <c r="DM490" i="16"/>
  <c r="DO516" i="16"/>
  <c r="DM161" i="16"/>
  <c r="EH168" i="16"/>
  <c r="ER358" i="16"/>
  <c r="EL203" i="16"/>
  <c r="DU468" i="16"/>
  <c r="DS273" i="16"/>
  <c r="DT356" i="16"/>
  <c r="ER281" i="16"/>
  <c r="EI243" i="16"/>
  <c r="EO113" i="16"/>
  <c r="DR80" i="16"/>
  <c r="EL151" i="16"/>
  <c r="DF438" i="16"/>
  <c r="DC273" i="16"/>
  <c r="DG107" i="16"/>
  <c r="DU138" i="16"/>
  <c r="EP364" i="16"/>
  <c r="DG149" i="16"/>
  <c r="DW106" i="16"/>
  <c r="DI396" i="16"/>
  <c r="DD351" i="16"/>
  <c r="EP368" i="16"/>
  <c r="DB213" i="16"/>
  <c r="DQ218" i="16"/>
  <c r="DT426" i="16"/>
  <c r="DK151" i="16"/>
  <c r="CZ146" i="16"/>
  <c r="DH139" i="16"/>
  <c r="DL399" i="16"/>
  <c r="DA283" i="16"/>
  <c r="DP286" i="16"/>
  <c r="DB99" i="16"/>
  <c r="EK249" i="16"/>
  <c r="DT348" i="16"/>
  <c r="EK470" i="16"/>
  <c r="EP125" i="16"/>
  <c r="DZ134" i="16"/>
  <c r="EJ401" i="16"/>
  <c r="EO253" i="16"/>
  <c r="DE498" i="16"/>
  <c r="EN469" i="16"/>
  <c r="EP158" i="16"/>
  <c r="EE179" i="16"/>
  <c r="EG92" i="16"/>
  <c r="DO337" i="16"/>
  <c r="EL84" i="16"/>
  <c r="EA497" i="16"/>
  <c r="DE54" i="16"/>
  <c r="ES339" i="16"/>
  <c r="EG495" i="16"/>
  <c r="DU345" i="16"/>
  <c r="EH479" i="16"/>
  <c r="ER482" i="16"/>
  <c r="DH190" i="16"/>
  <c r="DL68" i="16"/>
  <c r="EP166" i="16"/>
  <c r="EJ262" i="16"/>
  <c r="DX151" i="16"/>
  <c r="ED481" i="16"/>
  <c r="DI243" i="16"/>
  <c r="DT314" i="16"/>
  <c r="EG285" i="16"/>
  <c r="DX136" i="16"/>
  <c r="DX70" i="16"/>
  <c r="DJ118" i="16"/>
  <c r="ES288" i="16"/>
  <c r="DN516" i="16"/>
  <c r="EP446" i="16"/>
  <c r="EE170" i="16"/>
  <c r="DA272" i="16"/>
  <c r="EK497" i="16"/>
  <c r="DP480" i="16"/>
  <c r="DK143" i="16"/>
  <c r="DO283" i="16"/>
  <c r="DN166" i="16"/>
  <c r="CZ95" i="16"/>
  <c r="DT179" i="16"/>
  <c r="DG430" i="16"/>
  <c r="DD255" i="16"/>
  <c r="DR474" i="16"/>
  <c r="EO198" i="16"/>
  <c r="EJ267" i="16"/>
  <c r="EL351" i="16"/>
  <c r="DO215" i="16"/>
  <c r="EP450" i="16"/>
  <c r="EL246" i="16"/>
  <c r="DQ295" i="16"/>
  <c r="DC289" i="16"/>
  <c r="DR104" i="16"/>
  <c r="EH463" i="16"/>
  <c r="DC451" i="16"/>
  <c r="EL491" i="16"/>
  <c r="EA124" i="16"/>
  <c r="DN117" i="16"/>
  <c r="EP503" i="16"/>
  <c r="EJ303" i="16"/>
  <c r="DY208" i="16"/>
  <c r="ER231" i="16"/>
  <c r="DS166" i="16"/>
  <c r="EP502" i="16"/>
  <c r="DS111" i="16"/>
  <c r="EO439" i="16"/>
  <c r="DJ244" i="16"/>
  <c r="DY93" i="16"/>
  <c r="DO161" i="16"/>
  <c r="EO235" i="16"/>
  <c r="DK139" i="16"/>
  <c r="DC434" i="16"/>
  <c r="DO269" i="16"/>
  <c r="DC336" i="16"/>
  <c r="EF155" i="16"/>
  <c r="DS508" i="16"/>
  <c r="DJ440" i="16"/>
  <c r="CZ246" i="16"/>
  <c r="CZ50" i="16"/>
  <c r="DQ279" i="16"/>
  <c r="EB272" i="16"/>
  <c r="EA115" i="16"/>
  <c r="DY377" i="16"/>
  <c r="DA183" i="16"/>
  <c r="DB160" i="16"/>
  <c r="EK511" i="16"/>
  <c r="DB164" i="16"/>
  <c r="EJ281" i="16"/>
  <c r="EI460" i="16"/>
  <c r="DN54" i="16"/>
  <c r="EP369" i="16"/>
  <c r="DS266" i="16"/>
  <c r="EM96" i="16"/>
  <c r="DK267" i="16"/>
  <c r="DT420" i="16"/>
  <c r="DE332" i="16"/>
  <c r="DR221" i="16"/>
  <c r="DX283" i="16"/>
  <c r="EG116" i="16"/>
  <c r="DS448" i="16"/>
  <c r="EC448" i="16"/>
  <c r="DF449" i="16"/>
  <c r="DK96" i="16"/>
  <c r="DU357" i="16"/>
  <c r="EQ264" i="16"/>
  <c r="EA311" i="16"/>
  <c r="EE75" i="16"/>
  <c r="DZ460" i="16"/>
  <c r="DA75" i="16"/>
  <c r="ED155" i="16"/>
  <c r="DW136" i="16"/>
  <c r="DC145" i="16"/>
  <c r="DW407" i="16"/>
  <c r="EN57" i="16"/>
  <c r="EH325" i="16"/>
  <c r="ED372" i="16"/>
  <c r="DS481" i="16"/>
  <c r="ES157" i="16"/>
  <c r="EH405" i="16"/>
  <c r="DR341" i="16"/>
  <c r="DR153" i="16"/>
  <c r="EN273" i="16"/>
  <c r="DQ265" i="16"/>
  <c r="DH483" i="16"/>
  <c r="EL420" i="16"/>
  <c r="EB295" i="16"/>
  <c r="EF358" i="16"/>
  <c r="EN108" i="16"/>
  <c r="DB375" i="16"/>
  <c r="EL101" i="16"/>
  <c r="DI450" i="16"/>
  <c r="DK361" i="16"/>
  <c r="DK202" i="16"/>
  <c r="DI499" i="16"/>
  <c r="DS308" i="16"/>
  <c r="EC57" i="16"/>
  <c r="DA300" i="16"/>
  <c r="EC278" i="16"/>
  <c r="DM233" i="16"/>
  <c r="ES56" i="16"/>
  <c r="DE157" i="16"/>
  <c r="DF340" i="16"/>
  <c r="CZ263" i="16"/>
  <c r="EM175" i="16"/>
  <c r="DA422" i="16"/>
  <c r="DD437" i="16"/>
  <c r="EQ176" i="16"/>
  <c r="ER212" i="16"/>
  <c r="DI125" i="16"/>
  <c r="DN161" i="16"/>
  <c r="DS257" i="16"/>
  <c r="EN264" i="16"/>
  <c r="DG364" i="16"/>
  <c r="DF479" i="16"/>
  <c r="ED378" i="16"/>
  <c r="DM215" i="16"/>
  <c r="DW62" i="16"/>
  <c r="EF281" i="16"/>
  <c r="EP226" i="16"/>
  <c r="DV435" i="16"/>
  <c r="DH258" i="16"/>
  <c r="ER179" i="16"/>
  <c r="EQ225" i="16"/>
  <c r="EA405" i="16"/>
  <c r="DD358" i="16"/>
  <c r="DQ448" i="16"/>
  <c r="EN87" i="16"/>
  <c r="DA377" i="16"/>
  <c r="EG415" i="16"/>
  <c r="EB508" i="16"/>
  <c r="DP209" i="16"/>
  <c r="DZ431" i="16"/>
  <c r="EP422" i="16"/>
  <c r="ER306" i="16"/>
  <c r="EL320" i="16"/>
  <c r="EQ173" i="16"/>
  <c r="EB416" i="16"/>
  <c r="DC325" i="16"/>
  <c r="DN174" i="16"/>
  <c r="EI142" i="16"/>
  <c r="EE168" i="16"/>
  <c r="DC490" i="16"/>
  <c r="DF400" i="16"/>
  <c r="EP353" i="16"/>
  <c r="DS346" i="16"/>
  <c r="CZ220" i="16"/>
  <c r="DH261" i="16"/>
  <c r="EF365" i="16"/>
  <c r="EE117" i="16"/>
  <c r="EI392" i="16"/>
  <c r="CZ87" i="16"/>
  <c r="EG76" i="16"/>
  <c r="EQ330" i="16"/>
  <c r="DY89" i="16"/>
  <c r="DN157" i="16"/>
  <c r="DN383" i="16"/>
  <c r="DO214" i="16"/>
  <c r="EN89" i="16"/>
  <c r="EL169" i="16"/>
  <c r="DI360" i="16"/>
  <c r="CZ75" i="16"/>
  <c r="EG219" i="16"/>
  <c r="DY306" i="16"/>
  <c r="EF273" i="16"/>
  <c r="DT341" i="16"/>
  <c r="DO113" i="16"/>
  <c r="EH378" i="16"/>
  <c r="EA116" i="16"/>
  <c r="EK288" i="16"/>
  <c r="EI236" i="16"/>
  <c r="EL230" i="16"/>
  <c r="EO375" i="16"/>
  <c r="DZ265" i="16"/>
  <c r="DB147" i="16"/>
  <c r="DC62" i="16"/>
  <c r="DT247" i="16"/>
  <c r="DA247" i="16"/>
  <c r="EL369" i="16"/>
  <c r="ER150" i="16"/>
  <c r="EP348" i="16"/>
  <c r="ED193" i="16"/>
  <c r="DL208" i="16"/>
  <c r="DV218" i="16"/>
  <c r="DJ152" i="16"/>
  <c r="EK81" i="16"/>
  <c r="ES409" i="16"/>
  <c r="DQ135" i="16"/>
  <c r="DV255" i="16"/>
  <c r="EK101" i="16"/>
  <c r="EC226" i="16"/>
  <c r="EJ276" i="16"/>
  <c r="DC153" i="16"/>
  <c r="ES316" i="16"/>
  <c r="EH129" i="16"/>
  <c r="DK258" i="16"/>
  <c r="EA313" i="16"/>
  <c r="DE489" i="16"/>
  <c r="DN422" i="16"/>
  <c r="DU479" i="16"/>
  <c r="EE107" i="16"/>
  <c r="EQ435" i="16"/>
  <c r="DC233" i="16"/>
  <c r="DB187" i="16"/>
  <c r="EF311" i="16"/>
  <c r="EJ235" i="16"/>
  <c r="DM513" i="16"/>
  <c r="DV229" i="16"/>
  <c r="EA181" i="16"/>
  <c r="DL206" i="16"/>
  <c r="DZ315" i="16"/>
  <c r="EC223" i="16"/>
  <c r="EO211" i="16"/>
  <c r="DD141" i="16"/>
  <c r="EH495" i="16"/>
  <c r="DQ185" i="16"/>
  <c r="DX393" i="16"/>
  <c r="DT172" i="16"/>
  <c r="DR120" i="16"/>
  <c r="EE466" i="16"/>
  <c r="EL248" i="16"/>
  <c r="DL503" i="16"/>
  <c r="EM303" i="16"/>
  <c r="DI434" i="16"/>
  <c r="ER241" i="16"/>
  <c r="EC318" i="16"/>
  <c r="DE90" i="16"/>
  <c r="EE375" i="16"/>
  <c r="EA516" i="16"/>
  <c r="DJ313" i="16"/>
  <c r="EA349" i="16"/>
  <c r="EL296" i="16"/>
  <c r="EE305" i="16"/>
  <c r="EJ87" i="16"/>
  <c r="DL487" i="16"/>
  <c r="CZ379" i="16"/>
  <c r="DI215" i="16"/>
  <c r="EL392" i="16"/>
  <c r="DG183" i="16"/>
  <c r="DN208" i="16"/>
  <c r="DE127" i="16"/>
  <c r="DG157" i="16"/>
  <c r="DU87" i="16"/>
  <c r="EI280" i="16"/>
  <c r="EI354" i="16"/>
  <c r="DQ212" i="16"/>
  <c r="DO140" i="16"/>
  <c r="EI73" i="16"/>
  <c r="EC56" i="16"/>
  <c r="DS211" i="16"/>
  <c r="DT206" i="16"/>
  <c r="EE241" i="16"/>
  <c r="DD506" i="16"/>
  <c r="DM474" i="16"/>
  <c r="ES89" i="16"/>
  <c r="EQ204" i="16"/>
  <c r="EH213" i="16"/>
  <c r="DN61" i="16"/>
  <c r="DJ317" i="16"/>
  <c r="EE379" i="16"/>
  <c r="EI238" i="16"/>
  <c r="DC223" i="16"/>
  <c r="EN167" i="16"/>
  <c r="DJ487" i="16"/>
  <c r="DO73" i="16"/>
  <c r="DS373" i="16"/>
  <c r="EN508" i="16"/>
  <c r="DG249" i="16"/>
  <c r="EK150" i="16"/>
  <c r="EK62" i="16"/>
  <c r="ED453" i="16"/>
  <c r="EH493" i="16"/>
  <c r="EJ91" i="16"/>
  <c r="ED380" i="16"/>
  <c r="DF302" i="16"/>
  <c r="DE112" i="16"/>
  <c r="EE224" i="16"/>
  <c r="DJ195" i="16"/>
  <c r="EB258" i="16"/>
  <c r="DP364" i="16"/>
  <c r="DU135" i="16"/>
  <c r="EB414" i="16"/>
  <c r="DZ312" i="16"/>
  <c r="CZ359" i="16"/>
  <c r="DN386" i="16"/>
  <c r="DT205" i="16"/>
  <c r="DS453" i="16"/>
  <c r="DJ512" i="16"/>
  <c r="DA106" i="16"/>
  <c r="DT254" i="16"/>
  <c r="DL71" i="16"/>
  <c r="CZ392" i="16"/>
  <c r="DG502" i="16"/>
  <c r="DX153" i="16"/>
  <c r="EO380" i="16"/>
  <c r="DK63" i="16"/>
  <c r="EL213" i="16"/>
  <c r="DQ103" i="16"/>
  <c r="EN345" i="16"/>
  <c r="EC490" i="16"/>
  <c r="EO430" i="16"/>
  <c r="DX285" i="16"/>
  <c r="EL167" i="16"/>
  <c r="DO382" i="16"/>
  <c r="DL128" i="16"/>
  <c r="DI183" i="16"/>
  <c r="EP509" i="16"/>
  <c r="EQ311" i="16"/>
  <c r="DP163" i="16"/>
  <c r="EF404" i="16"/>
  <c r="DQ190" i="16"/>
  <c r="EI320" i="16"/>
  <c r="DB327" i="16"/>
  <c r="DV88" i="16"/>
  <c r="EN170" i="16"/>
  <c r="DV158" i="16"/>
  <c r="DY78" i="16"/>
  <c r="DJ293" i="16"/>
  <c r="EF269" i="16"/>
  <c r="DB440" i="16"/>
  <c r="ES340" i="16"/>
  <c r="EO232" i="16"/>
  <c r="DS50" i="16"/>
  <c r="EN414" i="16"/>
  <c r="EF222" i="16"/>
  <c r="EG290" i="16"/>
  <c r="EN289" i="16"/>
  <c r="DB68" i="16"/>
  <c r="DN332" i="16"/>
  <c r="EH290" i="16"/>
  <c r="CZ377" i="16"/>
  <c r="DI365" i="16"/>
  <c r="DB53" i="16"/>
  <c r="ER188" i="16"/>
  <c r="DB281" i="16"/>
  <c r="EN366" i="16"/>
  <c r="EA160" i="16"/>
  <c r="EP244" i="16"/>
  <c r="DD315" i="16"/>
  <c r="DA339" i="16"/>
  <c r="DP401" i="16"/>
  <c r="EJ226" i="16"/>
  <c r="DD129" i="16"/>
  <c r="ER175" i="16"/>
  <c r="DH179" i="16"/>
  <c r="CZ284" i="16"/>
  <c r="EC65" i="16"/>
  <c r="DQ363" i="16"/>
  <c r="DS205" i="16"/>
  <c r="DZ334" i="16"/>
  <c r="DA264" i="16"/>
  <c r="ER180" i="16"/>
  <c r="DV325" i="16"/>
  <c r="EJ269" i="16"/>
  <c r="EJ492" i="16"/>
  <c r="DP284" i="16"/>
  <c r="DB196" i="16"/>
  <c r="DO326" i="16"/>
  <c r="DQ490" i="16"/>
  <c r="DX169" i="16"/>
  <c r="DQ195" i="16"/>
  <c r="DV254" i="16"/>
  <c r="EM89" i="16"/>
  <c r="DZ153" i="16"/>
  <c r="DZ329" i="16"/>
  <c r="DJ175" i="16"/>
  <c r="EJ175" i="16"/>
  <c r="DN425" i="16"/>
  <c r="DI100" i="16"/>
  <c r="DO120" i="16"/>
  <c r="EM180" i="16"/>
  <c r="DK189" i="16"/>
  <c r="EJ83" i="16"/>
  <c r="DB155" i="16"/>
  <c r="DX63" i="16"/>
  <c r="DQ331" i="16"/>
  <c r="EA89" i="16"/>
  <c r="EK216" i="16"/>
  <c r="DB476" i="16"/>
  <c r="EH150" i="16"/>
  <c r="DM92" i="16"/>
  <c r="DS333" i="16"/>
  <c r="DP492" i="16"/>
  <c r="EP316" i="16"/>
  <c r="DP501" i="16"/>
  <c r="DG438" i="16"/>
  <c r="EK117" i="16"/>
  <c r="DC454" i="16"/>
  <c r="EQ339" i="16"/>
  <c r="DI121" i="16"/>
  <c r="DI130" i="16"/>
  <c r="EO152" i="16"/>
  <c r="DD419" i="16"/>
  <c r="DL304" i="16"/>
  <c r="EM448" i="16"/>
  <c r="DY499" i="16"/>
  <c r="EK87" i="16"/>
  <c r="ER376" i="16"/>
  <c r="DX101" i="16"/>
  <c r="DR169" i="16"/>
  <c r="EP302" i="16"/>
  <c r="EK171" i="16"/>
  <c r="DN72" i="16"/>
  <c r="EC445" i="16"/>
  <c r="EN458" i="16"/>
  <c r="EG60" i="16"/>
  <c r="DM302" i="16"/>
  <c r="ER488" i="16"/>
  <c r="DO78" i="16"/>
  <c r="DR51" i="16"/>
  <c r="EC199" i="16"/>
  <c r="DR400" i="16"/>
  <c r="DE236" i="16"/>
  <c r="DA194" i="16"/>
  <c r="DA176" i="16"/>
  <c r="DT253" i="16"/>
  <c r="DN87" i="16"/>
  <c r="DM196" i="16"/>
  <c r="EH454" i="16"/>
  <c r="DE199" i="16"/>
  <c r="DS224" i="16"/>
  <c r="EG251" i="16"/>
  <c r="EA262" i="16"/>
  <c r="ES131" i="16"/>
  <c r="ES269" i="16"/>
  <c r="DC468" i="16"/>
  <c r="DA120" i="16"/>
  <c r="EF199" i="16"/>
  <c r="EQ465" i="16"/>
  <c r="EB224" i="16"/>
  <c r="EK194" i="16"/>
  <c r="DX197" i="16"/>
  <c r="EO243" i="16"/>
  <c r="EG66" i="16"/>
  <c r="DI339" i="16"/>
  <c r="DB63" i="16"/>
  <c r="DE305" i="16"/>
  <c r="DH188" i="16"/>
  <c r="EL249" i="16"/>
  <c r="DZ290" i="16"/>
  <c r="EG157" i="16"/>
  <c r="EB70" i="16"/>
  <c r="EM500" i="16"/>
  <c r="EK211" i="16"/>
  <c r="EC248" i="16"/>
  <c r="DH236" i="16"/>
  <c r="DH196" i="16"/>
  <c r="ER248" i="16"/>
  <c r="DB303" i="16"/>
  <c r="ED318" i="16"/>
  <c r="EG399" i="16"/>
  <c r="EG50" i="16"/>
  <c r="DR77" i="16"/>
  <c r="DX154" i="16"/>
  <c r="DO419" i="16"/>
  <c r="EB49" i="16"/>
  <c r="DA111" i="16"/>
  <c r="DH221" i="16"/>
  <c r="DY128" i="16"/>
  <c r="DB478" i="16"/>
  <c r="DC477" i="16"/>
  <c r="EK377" i="16"/>
  <c r="DZ297" i="16"/>
  <c r="EP347" i="16"/>
  <c r="DL315" i="16"/>
  <c r="CZ183" i="16"/>
  <c r="EM61" i="16"/>
  <c r="EQ240" i="16"/>
  <c r="EH236" i="16"/>
  <c r="EP105" i="16"/>
  <c r="EI429" i="16"/>
  <c r="DF492" i="16"/>
  <c r="DD127" i="16"/>
  <c r="EN324" i="16"/>
  <c r="EA193" i="16"/>
  <c r="DQ162" i="16"/>
  <c r="DX157" i="16"/>
  <c r="DQ263" i="16"/>
  <c r="EO511" i="16"/>
  <c r="DG285" i="16"/>
  <c r="EK125" i="16"/>
  <c r="DN76" i="16"/>
  <c r="DH197" i="16"/>
  <c r="DD120" i="16"/>
  <c r="EF395" i="16"/>
  <c r="EO405" i="16"/>
  <c r="DA463" i="16"/>
  <c r="EC126" i="16"/>
  <c r="DT61" i="16"/>
  <c r="EJ199" i="16"/>
  <c r="ED221" i="16"/>
  <c r="EM489" i="16"/>
  <c r="DV164" i="16"/>
  <c r="DZ249" i="16"/>
  <c r="DP160" i="16"/>
  <c r="DK183" i="16"/>
  <c r="EI147" i="16"/>
  <c r="EL329" i="16"/>
  <c r="EJ140" i="16"/>
  <c r="EC84" i="16"/>
  <c r="DR90" i="16"/>
  <c r="DA182" i="16"/>
  <c r="EK379" i="16"/>
  <c r="DY322" i="16"/>
  <c r="DE110" i="16"/>
  <c r="DG144" i="16"/>
  <c r="DJ153" i="16"/>
  <c r="EK353" i="16"/>
  <c r="DW67" i="16"/>
  <c r="EH201" i="16"/>
  <c r="EA123" i="16"/>
  <c r="EP257" i="16"/>
  <c r="DO139" i="16"/>
  <c r="EN478" i="16"/>
  <c r="EK154" i="16"/>
  <c r="DF411" i="16"/>
  <c r="DB315" i="16"/>
  <c r="DZ151" i="16"/>
  <c r="DU411" i="16"/>
  <c r="ED99" i="16"/>
  <c r="DZ338" i="16"/>
  <c r="EQ481" i="16"/>
  <c r="ER302" i="16"/>
  <c r="DV128" i="16"/>
  <c r="DV116" i="16"/>
  <c r="DC420" i="16"/>
  <c r="DJ365" i="16"/>
  <c r="ER220" i="16"/>
  <c r="DV244" i="16"/>
  <c r="DH471" i="16"/>
  <c r="DH342" i="16"/>
  <c r="DK295" i="16"/>
  <c r="DS149" i="16"/>
  <c r="EI447" i="16"/>
  <c r="DB285" i="16"/>
  <c r="EH305" i="16"/>
  <c r="ES350" i="16"/>
  <c r="DP312" i="16"/>
  <c r="DI69" i="16"/>
  <c r="EI364" i="16"/>
  <c r="ER123" i="16"/>
  <c r="DI241" i="16"/>
  <c r="DM201" i="16"/>
  <c r="DI59" i="16"/>
  <c r="DK439" i="16"/>
  <c r="DS206" i="16"/>
  <c r="DI447" i="16"/>
  <c r="EI88" i="16"/>
  <c r="DZ408" i="16"/>
  <c r="DQ128" i="16"/>
  <c r="EO80" i="16"/>
  <c r="EM480" i="16"/>
  <c r="DW107" i="16"/>
  <c r="DY76" i="16"/>
  <c r="ED88" i="16"/>
  <c r="DX239" i="16"/>
  <c r="EG310" i="16"/>
  <c r="DP221" i="16"/>
  <c r="EJ346" i="16"/>
  <c r="EE83" i="16"/>
  <c r="EA508" i="16"/>
  <c r="ER396" i="16"/>
  <c r="EF143" i="16"/>
  <c r="DC238" i="16"/>
  <c r="DO184" i="16"/>
  <c r="DK192" i="16"/>
  <c r="DT129" i="16"/>
  <c r="DX187" i="16"/>
  <c r="EB134" i="16"/>
  <c r="DM393" i="16"/>
  <c r="EC401" i="16"/>
  <c r="ED189" i="16"/>
  <c r="DG442" i="16"/>
  <c r="ER252" i="16"/>
  <c r="DL280" i="16"/>
  <c r="EN473" i="16"/>
  <c r="ER499" i="16"/>
  <c r="EK381" i="16"/>
  <c r="DQ347" i="16"/>
  <c r="EM419" i="16"/>
  <c r="DH290" i="16"/>
  <c r="EI514" i="16"/>
  <c r="DY240" i="16"/>
  <c r="EJ342" i="16"/>
  <c r="EE110" i="16"/>
  <c r="DH450" i="16"/>
  <c r="DF129" i="16"/>
  <c r="DH112" i="16"/>
  <c r="EM385" i="16"/>
  <c r="EN461" i="16"/>
  <c r="EE231" i="16"/>
  <c r="DK348" i="16"/>
  <c r="EG168" i="16"/>
  <c r="EH315" i="16"/>
  <c r="DF126" i="16"/>
  <c r="DU63" i="16"/>
  <c r="EL120" i="16"/>
  <c r="DR139" i="16"/>
  <c r="DC399" i="16"/>
  <c r="DD240" i="16"/>
  <c r="DW453" i="16"/>
  <c r="EJ413" i="16"/>
  <c r="DM458" i="16"/>
  <c r="DL453" i="16"/>
  <c r="DI99" i="16"/>
  <c r="DK281" i="16"/>
  <c r="DX129" i="16"/>
  <c r="DM134" i="16"/>
  <c r="DX148" i="16"/>
  <c r="DC146" i="16"/>
  <c r="EC275" i="16"/>
  <c r="DR114" i="16"/>
  <c r="EC277" i="16"/>
  <c r="ES144" i="16"/>
  <c r="DD291" i="16"/>
  <c r="EN389" i="16"/>
  <c r="DH82" i="16"/>
  <c r="DF103" i="16"/>
  <c r="EC195" i="16"/>
  <c r="DI111" i="16"/>
  <c r="ER442" i="16"/>
  <c r="DR477" i="16"/>
  <c r="DD258" i="16"/>
  <c r="EN320" i="16"/>
  <c r="DW246" i="16"/>
  <c r="DD488" i="16"/>
  <c r="ED336" i="16"/>
  <c r="DN228" i="16"/>
  <c r="EI451" i="16"/>
  <c r="DN490" i="16"/>
  <c r="DT320" i="16"/>
  <c r="DA460" i="16"/>
  <c r="EI131" i="16"/>
  <c r="DU129" i="16"/>
  <c r="EE237" i="16"/>
  <c r="EL272" i="16"/>
  <c r="DT372" i="16"/>
  <c r="DN212" i="16"/>
  <c r="DS493" i="16"/>
  <c r="EO344" i="16"/>
  <c r="EL212" i="16"/>
  <c r="DA458" i="16"/>
  <c r="DZ227" i="16"/>
  <c r="EQ479" i="16"/>
  <c r="DV49" i="16"/>
  <c r="DU204" i="16"/>
  <c r="EI225" i="16"/>
  <c r="DL267" i="16"/>
  <c r="DX106" i="16"/>
  <c r="EJ365" i="16"/>
  <c r="DU240" i="16"/>
  <c r="DJ191" i="16"/>
  <c r="EJ182" i="16"/>
  <c r="ED159" i="16"/>
  <c r="DS369" i="16"/>
  <c r="DQ55" i="16"/>
  <c r="DL219" i="16"/>
  <c r="DX178" i="16"/>
  <c r="DP57" i="16"/>
  <c r="EA257" i="16"/>
  <c r="DZ185" i="16"/>
  <c r="EM244" i="16"/>
  <c r="DJ149" i="16"/>
  <c r="ES205" i="16"/>
  <c r="EG256" i="16"/>
  <c r="DP64" i="16"/>
  <c r="DV399" i="16"/>
  <c r="DP50" i="16"/>
  <c r="DM175" i="16"/>
  <c r="EQ221" i="16"/>
  <c r="EH62" i="16"/>
  <c r="EE111" i="16"/>
  <c r="EH121" i="16"/>
  <c r="ES431" i="16"/>
  <c r="CZ149" i="16"/>
  <c r="DO129" i="16"/>
  <c r="DO455" i="16"/>
  <c r="EQ128" i="16"/>
  <c r="DU286" i="16"/>
  <c r="CZ330" i="16"/>
  <c r="DP120" i="16"/>
  <c r="DV269" i="16"/>
  <c r="EE328" i="16"/>
  <c r="DV247" i="16"/>
  <c r="DX71" i="16"/>
  <c r="DT237" i="16"/>
  <c r="DA379" i="16"/>
  <c r="DS367" i="16"/>
  <c r="DH163" i="16"/>
  <c r="EP470" i="16"/>
  <c r="DU209" i="16"/>
  <c r="EP404" i="16"/>
  <c r="EH60" i="16"/>
  <c r="DQ146" i="16"/>
  <c r="EL270" i="16"/>
  <c r="DB152" i="16"/>
  <c r="EJ467" i="16"/>
  <c r="DW218" i="16"/>
  <c r="DE408" i="16"/>
  <c r="DL89" i="16"/>
  <c r="DK453" i="16"/>
  <c r="DU117" i="16"/>
  <c r="EP181" i="16"/>
  <c r="DH121" i="16"/>
  <c r="DS180" i="16"/>
  <c r="EN279" i="16"/>
  <c r="DW98" i="16"/>
  <c r="DF146" i="16"/>
  <c r="DM231" i="16"/>
  <c r="ES511" i="16"/>
  <c r="CZ329" i="16"/>
  <c r="DA218" i="16"/>
  <c r="EG223" i="16"/>
  <c r="CZ495" i="16"/>
  <c r="EM402" i="16"/>
  <c r="DX54" i="16"/>
  <c r="EP325" i="16"/>
  <c r="EA513" i="16"/>
  <c r="DT446" i="16"/>
  <c r="CZ376" i="16"/>
  <c r="DH202" i="16"/>
  <c r="DY244" i="16"/>
  <c r="EE257" i="16"/>
  <c r="DN181" i="16"/>
  <c r="DE135" i="16"/>
  <c r="EA83" i="16"/>
  <c r="DH351" i="16"/>
  <c r="DL198" i="16"/>
  <c r="EP336" i="16"/>
  <c r="DP349" i="16"/>
  <c r="EP438" i="16"/>
  <c r="DP104" i="16"/>
  <c r="DM246" i="16"/>
  <c r="EI504" i="16"/>
  <c r="DN417" i="16"/>
  <c r="EN490" i="16"/>
  <c r="EN502" i="16"/>
  <c r="EL403" i="16"/>
  <c r="DA483" i="16"/>
  <c r="DF376" i="16"/>
  <c r="EL83" i="16"/>
  <c r="DM53" i="16"/>
  <c r="EA424" i="16"/>
  <c r="DM55" i="16"/>
  <c r="DM295" i="16"/>
  <c r="EP138" i="16"/>
  <c r="EG129" i="16"/>
  <c r="DM142" i="16"/>
  <c r="DJ104" i="16"/>
  <c r="DO85" i="16"/>
  <c r="EG200" i="16"/>
  <c r="EG149" i="16"/>
  <c r="DW104" i="16"/>
  <c r="EP218" i="16"/>
  <c r="EL343" i="16"/>
  <c r="DB122" i="16"/>
  <c r="EJ466" i="16"/>
  <c r="DS427" i="16"/>
  <c r="EJ152" i="16"/>
  <c r="DV99" i="16"/>
  <c r="EL444" i="16"/>
  <c r="EP207" i="16"/>
  <c r="DK87" i="16"/>
  <c r="DM241" i="16"/>
  <c r="EE60" i="16"/>
  <c r="DS382" i="16"/>
  <c r="EJ146" i="16"/>
  <c r="DY469" i="16"/>
  <c r="DD59" i="16"/>
  <c r="ES237" i="16"/>
  <c r="DC386" i="16"/>
  <c r="EK385" i="16"/>
  <c r="ES190" i="16"/>
  <c r="EG314" i="16"/>
  <c r="EP150" i="16"/>
  <c r="ED196" i="16"/>
  <c r="EI146" i="16"/>
  <c r="DH472" i="16"/>
  <c r="EE211" i="16"/>
  <c r="DT135" i="16"/>
  <c r="EO341" i="16"/>
  <c r="EI157" i="16"/>
  <c r="DZ253" i="16"/>
  <c r="EQ368" i="16"/>
  <c r="DT105" i="16"/>
  <c r="DP61" i="16"/>
  <c r="DD179" i="16"/>
  <c r="ER291" i="16"/>
  <c r="EQ305" i="16"/>
  <c r="EB458" i="16"/>
  <c r="DK126" i="16"/>
  <c r="CZ196" i="16"/>
  <c r="ES208" i="16"/>
  <c r="ED459" i="16"/>
  <c r="DC212" i="16"/>
  <c r="EG302" i="16"/>
  <c r="DH103" i="16"/>
  <c r="DU113" i="16"/>
  <c r="DC162" i="16"/>
  <c r="EE374" i="16"/>
  <c r="DA506" i="16"/>
  <c r="DK58" i="16"/>
  <c r="DI497" i="16"/>
  <c r="DB105" i="16"/>
  <c r="DA308" i="16"/>
  <c r="DU145" i="16"/>
  <c r="DP208" i="16"/>
  <c r="EM459" i="16"/>
  <c r="EC346" i="16"/>
  <c r="DJ202" i="16"/>
  <c r="DQ431" i="16"/>
  <c r="DB61" i="16"/>
  <c r="ED259" i="16"/>
  <c r="DJ475" i="16"/>
  <c r="EK254" i="16"/>
  <c r="DU354" i="16"/>
  <c r="EF313" i="16"/>
  <c r="DB269" i="16"/>
  <c r="DD375" i="16"/>
  <c r="DZ74" i="16"/>
  <c r="DK362" i="16"/>
  <c r="DR316" i="16"/>
  <c r="DM192" i="16"/>
  <c r="DY269" i="16"/>
  <c r="DE134" i="16"/>
  <c r="DD310" i="16"/>
  <c r="DB145" i="16"/>
  <c r="ES413" i="16"/>
  <c r="DQ141" i="16"/>
  <c r="DT286" i="16"/>
  <c r="DV209" i="16"/>
  <c r="DZ433" i="16"/>
  <c r="EG183" i="16"/>
  <c r="DO456" i="16"/>
  <c r="EO362" i="16"/>
  <c r="DO330" i="16"/>
  <c r="DO323" i="16"/>
  <c r="DZ133" i="16"/>
  <c r="EN172" i="16"/>
  <c r="EE181" i="16"/>
  <c r="EB382" i="16"/>
  <c r="DE173" i="16"/>
  <c r="DZ71" i="16"/>
  <c r="EH208" i="16"/>
  <c r="DC258" i="16"/>
  <c r="DN293" i="16"/>
  <c r="DP424" i="16"/>
  <c r="EO131" i="16"/>
  <c r="DA53" i="16"/>
  <c r="DV237" i="16"/>
  <c r="DL344" i="16"/>
  <c r="DJ314" i="16"/>
  <c r="DB441" i="16"/>
  <c r="EJ358" i="16"/>
  <c r="CZ286" i="16"/>
  <c r="EI319" i="16"/>
  <c r="EL192" i="16"/>
  <c r="EA175" i="16"/>
  <c r="EB333" i="16"/>
  <c r="DY171" i="16"/>
  <c r="DD276" i="16"/>
  <c r="EF167" i="16"/>
  <c r="DB127" i="16"/>
  <c r="DG132" i="16"/>
  <c r="DQ260" i="16"/>
  <c r="DK108" i="16"/>
  <c r="EI220" i="16"/>
  <c r="EH206" i="16"/>
  <c r="ES497" i="16"/>
  <c r="DS83" i="16"/>
  <c r="DU158" i="16"/>
  <c r="EA352" i="16"/>
  <c r="ED217" i="16"/>
  <c r="DQ244" i="16"/>
  <c r="DQ379" i="16"/>
  <c r="DH249" i="16"/>
  <c r="CZ165" i="16"/>
  <c r="DP147" i="16"/>
  <c r="DW227" i="16"/>
  <c r="EI366" i="16"/>
  <c r="DV190" i="16"/>
  <c r="DF68" i="16"/>
  <c r="EQ503" i="16"/>
  <c r="EI224" i="16"/>
  <c r="EG95" i="16"/>
  <c r="EA136" i="16"/>
  <c r="DI333" i="16"/>
  <c r="DX376" i="16"/>
  <c r="DL227" i="16"/>
  <c r="EN102" i="16"/>
  <c r="EG231" i="16"/>
  <c r="DO256" i="16"/>
  <c r="DZ98" i="16"/>
  <c r="DB514" i="16"/>
  <c r="DH171" i="16"/>
  <c r="DI92" i="16"/>
  <c r="DV211" i="16"/>
  <c r="DX94" i="16"/>
  <c r="DR340" i="16"/>
  <c r="DP236" i="16"/>
  <c r="CZ162" i="16"/>
  <c r="DB469" i="16"/>
  <c r="EO396" i="16"/>
  <c r="DY168" i="16"/>
  <c r="ED447" i="16"/>
  <c r="DQ95" i="16"/>
  <c r="EM189" i="16"/>
  <c r="EM63" i="16"/>
  <c r="EM484" i="16"/>
  <c r="DK77" i="16"/>
  <c r="EP390" i="16"/>
  <c r="DR146" i="16"/>
  <c r="EL402" i="16"/>
  <c r="EM392" i="16"/>
  <c r="EJ339" i="16"/>
  <c r="DR374" i="16"/>
  <c r="DK148" i="16"/>
  <c r="EJ206" i="16"/>
  <c r="DI473" i="16"/>
  <c r="EN226" i="16"/>
  <c r="ER280" i="16"/>
  <c r="DB262" i="16"/>
  <c r="DJ355" i="16"/>
  <c r="DG200" i="16"/>
  <c r="ER464" i="16"/>
  <c r="EM424" i="16"/>
  <c r="EL166" i="16"/>
  <c r="DO494" i="16"/>
  <c r="CZ127" i="16"/>
  <c r="EP481" i="16"/>
  <c r="DQ335" i="16"/>
  <c r="EF351" i="16"/>
  <c r="DK350" i="16"/>
  <c r="EJ439" i="16"/>
  <c r="EO308" i="16"/>
  <c r="EA446" i="16"/>
  <c r="EE226" i="16"/>
  <c r="DA491" i="16"/>
  <c r="DE53" i="16"/>
  <c r="DI172" i="16"/>
  <c r="DO147" i="16"/>
  <c r="DH329" i="16"/>
  <c r="DW229" i="16"/>
  <c r="EI232" i="16"/>
  <c r="DO365" i="16"/>
  <c r="EK512" i="16"/>
  <c r="DL402" i="16"/>
  <c r="DQ137" i="16"/>
  <c r="DK94" i="16"/>
  <c r="DQ59" i="16"/>
  <c r="DO111" i="16"/>
  <c r="DX506" i="16"/>
  <c r="DB329" i="16"/>
  <c r="DH484" i="16"/>
  <c r="EK161" i="16"/>
  <c r="EJ480" i="16"/>
  <c r="DI273" i="16"/>
  <c r="EK507" i="16"/>
  <c r="DJ511" i="16"/>
  <c r="DK119" i="16"/>
  <c r="EL175" i="16"/>
  <c r="ER238" i="16"/>
  <c r="DT196" i="16"/>
  <c r="DG255" i="16"/>
  <c r="DC208" i="16"/>
  <c r="EG212" i="16"/>
  <c r="DV183" i="16"/>
  <c r="EI403" i="16"/>
  <c r="DB319" i="16"/>
  <c r="EE116" i="16"/>
  <c r="DJ83" i="16"/>
  <c r="EF206" i="16"/>
  <c r="EC292" i="16"/>
  <c r="DW286" i="16"/>
  <c r="EN427" i="16"/>
  <c r="ED291" i="16"/>
  <c r="DD472" i="16"/>
  <c r="EB237" i="16"/>
  <c r="DO361" i="16"/>
  <c r="DF321" i="16"/>
  <c r="EQ69" i="16"/>
  <c r="DK241" i="16"/>
  <c r="DT165" i="16"/>
  <c r="EO178" i="16"/>
  <c r="EB140" i="16"/>
  <c r="DV289" i="16"/>
  <c r="DN276" i="16"/>
  <c r="ES341" i="16"/>
  <c r="DB133" i="16"/>
  <c r="EP427" i="16"/>
  <c r="EN196" i="16"/>
  <c r="EH396" i="16"/>
  <c r="CZ170" i="16"/>
  <c r="DH331" i="16"/>
  <c r="DW121" i="16"/>
  <c r="DS146" i="16"/>
  <c r="DD151" i="16"/>
  <c r="EG487" i="16"/>
  <c r="EI81" i="16"/>
  <c r="DV69" i="16"/>
  <c r="DP226" i="16"/>
  <c r="DG304" i="16"/>
  <c r="DE58" i="16"/>
  <c r="EC337" i="16"/>
  <c r="DX513" i="16"/>
  <c r="DY103" i="16"/>
  <c r="DO216" i="16"/>
  <c r="DF477" i="16"/>
  <c r="DA397" i="16"/>
  <c r="DF125" i="16"/>
  <c r="DB172" i="16"/>
  <c r="DH408" i="16"/>
  <c r="DY95" i="16"/>
  <c r="EF164" i="16"/>
  <c r="EB212" i="16"/>
  <c r="DG148" i="16"/>
  <c r="DY69" i="16"/>
  <c r="DI485" i="16"/>
  <c r="EF231" i="16"/>
  <c r="EN221" i="16"/>
  <c r="CZ121" i="16"/>
  <c r="ER218" i="16"/>
  <c r="DG187" i="16"/>
  <c r="DU90" i="16"/>
  <c r="DM357" i="16"/>
  <c r="DQ129" i="16"/>
  <c r="DN154" i="16"/>
  <c r="DN326" i="16"/>
  <c r="EA427" i="16"/>
  <c r="EF181" i="16"/>
  <c r="DC257" i="16"/>
  <c r="DN98" i="16"/>
  <c r="EP466" i="16"/>
  <c r="ED218" i="16"/>
  <c r="DC411" i="16"/>
  <c r="EI255" i="16"/>
  <c r="DP316" i="16"/>
  <c r="EH116" i="16"/>
  <c r="ES508" i="16"/>
  <c r="DV383" i="16"/>
  <c r="EE169" i="16"/>
  <c r="EB179" i="16"/>
  <c r="EP152" i="16"/>
  <c r="EQ477" i="16"/>
  <c r="EH212" i="16"/>
  <c r="DL277" i="16"/>
  <c r="EI116" i="16"/>
  <c r="DT478" i="16"/>
  <c r="EO414" i="16"/>
  <c r="DP85" i="16"/>
  <c r="ED353" i="16"/>
  <c r="EP444" i="16"/>
  <c r="ED476" i="16"/>
  <c r="DQ183" i="16"/>
  <c r="DX225" i="16"/>
  <c r="EO293" i="16"/>
  <c r="DR68" i="16"/>
  <c r="EO223" i="16"/>
  <c r="DD105" i="16"/>
  <c r="DY199" i="16"/>
  <c r="DA279" i="16"/>
  <c r="DN374" i="16"/>
  <c r="EG508" i="16"/>
  <c r="DJ221" i="16"/>
  <c r="DO381" i="16"/>
  <c r="EJ504" i="16"/>
  <c r="EN206" i="16"/>
  <c r="DU131" i="16"/>
  <c r="DY83" i="16"/>
  <c r="ES492" i="16"/>
  <c r="ES296" i="16"/>
  <c r="DO51" i="16"/>
  <c r="EI72" i="16"/>
  <c r="DK506" i="16"/>
  <c r="EP394" i="16"/>
  <c r="EI386" i="16"/>
  <c r="EE499" i="16"/>
  <c r="DN289" i="16"/>
  <c r="DD199" i="16"/>
  <c r="DL78" i="16"/>
  <c r="CZ190" i="16"/>
  <c r="DZ275" i="16"/>
  <c r="EI396" i="16"/>
  <c r="EQ447" i="16"/>
  <c r="DD267" i="16"/>
  <c r="EH105" i="16"/>
  <c r="DS84" i="16"/>
  <c r="DY174" i="16"/>
  <c r="DV212" i="16"/>
  <c r="DW247" i="16"/>
  <c r="EO418" i="16"/>
  <c r="DB350" i="16"/>
  <c r="EL319" i="16"/>
  <c r="DU473" i="16"/>
  <c r="EL321" i="16"/>
  <c r="EM247" i="16"/>
  <c r="EP271" i="16"/>
  <c r="DA396" i="16"/>
  <c r="EG121" i="16"/>
  <c r="EK388" i="16"/>
  <c r="EK401" i="16"/>
  <c r="CZ226" i="16"/>
  <c r="DP159" i="16"/>
  <c r="DE373" i="16"/>
  <c r="EP298" i="16"/>
  <c r="DS318" i="16"/>
  <c r="EM122" i="16"/>
  <c r="DK210" i="16"/>
  <c r="DP169" i="16"/>
  <c r="DE120" i="16"/>
  <c r="DF116" i="16"/>
  <c r="EC291" i="16"/>
  <c r="EF465" i="16"/>
  <c r="DB328" i="16"/>
  <c r="DU59" i="16"/>
  <c r="DH330" i="16"/>
  <c r="EN423" i="16"/>
  <c r="DH210" i="16"/>
  <c r="ED426" i="16"/>
  <c r="DM464" i="16"/>
  <c r="DV134" i="16"/>
  <c r="EJ61" i="16"/>
  <c r="DQ313" i="16"/>
  <c r="DX75" i="16"/>
  <c r="DG429" i="16"/>
  <c r="EI180" i="16"/>
  <c r="EB182" i="16"/>
  <c r="DH88" i="16"/>
  <c r="DX273" i="16"/>
  <c r="DX164" i="16"/>
  <c r="DO437" i="16"/>
  <c r="DB304" i="16"/>
  <c r="ED292" i="16"/>
  <c r="EP198" i="16"/>
  <c r="DN165" i="16"/>
  <c r="EL349" i="16"/>
  <c r="DQ223" i="16"/>
  <c r="EP199" i="16"/>
  <c r="EP144" i="16"/>
  <c r="DL149" i="16"/>
  <c r="ER310" i="16"/>
  <c r="EP361" i="16"/>
  <c r="EL225" i="16"/>
  <c r="DG396" i="16"/>
  <c r="DO296" i="16"/>
  <c r="DX330" i="16"/>
  <c r="DY108" i="16"/>
  <c r="DC242" i="16"/>
  <c r="DS464" i="16"/>
  <c r="EH402" i="16"/>
  <c r="DJ472" i="16"/>
  <c r="DO206" i="16"/>
  <c r="DG406" i="16"/>
  <c r="EQ343" i="16"/>
  <c r="DM160" i="16"/>
  <c r="EP459" i="16"/>
  <c r="ED294" i="16"/>
  <c r="EA227" i="16"/>
  <c r="DW294" i="16"/>
  <c r="DF172" i="16"/>
  <c r="EG202" i="16"/>
  <c r="DM145" i="16"/>
  <c r="EA435" i="16"/>
  <c r="DV248" i="16"/>
  <c r="EO156" i="16"/>
  <c r="DN155" i="16"/>
  <c r="CZ413" i="16"/>
  <c r="ER484" i="16"/>
  <c r="DT502" i="16"/>
  <c r="EQ377" i="16"/>
  <c r="EE312" i="16"/>
  <c r="EI382" i="16"/>
  <c r="DX118" i="16"/>
  <c r="DT306" i="16"/>
  <c r="DI49" i="16"/>
  <c r="DL189" i="16"/>
  <c r="DX125" i="16"/>
  <c r="DP72" i="16"/>
  <c r="DP318" i="16"/>
  <c r="DC187" i="16"/>
  <c r="DF155" i="16"/>
  <c r="EN231" i="16"/>
  <c r="EF279" i="16"/>
  <c r="DW198" i="16"/>
  <c r="ED122" i="16"/>
  <c r="DY71" i="16"/>
  <c r="EO455" i="16"/>
  <c r="ER253" i="16"/>
  <c r="DI282" i="16"/>
  <c r="EM350" i="16"/>
  <c r="DS53" i="16"/>
  <c r="EB500" i="16"/>
  <c r="DX219" i="16"/>
  <c r="CZ155" i="16"/>
  <c r="EJ147" i="16"/>
  <c r="DT57" i="16"/>
  <c r="DL56" i="16"/>
  <c r="CZ84" i="16"/>
  <c r="DL279" i="16"/>
  <c r="DS225" i="16"/>
  <c r="DG261" i="16"/>
  <c r="EJ511" i="16"/>
  <c r="ED130" i="16"/>
  <c r="DM290" i="16"/>
  <c r="DI287" i="16"/>
  <c r="DA325" i="16"/>
  <c r="DY210" i="16"/>
  <c r="EP484" i="16"/>
  <c r="EC285" i="16"/>
  <c r="DT231" i="16"/>
  <c r="ES331" i="16"/>
  <c r="EE306" i="16"/>
  <c r="DT445" i="16"/>
  <c r="DE88" i="16"/>
  <c r="EG105" i="16"/>
  <c r="EA77" i="16"/>
  <c r="CZ193" i="16"/>
  <c r="EB346" i="16"/>
  <c r="ES94" i="16"/>
  <c r="EM435" i="16"/>
  <c r="DN146" i="16"/>
  <c r="DG90" i="16"/>
  <c r="DE441" i="16"/>
  <c r="DN265" i="16"/>
  <c r="DE87" i="16"/>
  <c r="EB317" i="16"/>
  <c r="DT308" i="16"/>
  <c r="DP203" i="16"/>
  <c r="DQ130" i="16"/>
  <c r="DR161" i="16"/>
  <c r="EL190" i="16"/>
  <c r="EO218" i="16"/>
  <c r="DF70" i="16"/>
  <c r="DM121" i="16"/>
  <c r="DT62" i="16"/>
  <c r="DZ424" i="16"/>
  <c r="EC242" i="16"/>
  <c r="DS52" i="16"/>
  <c r="ED209" i="16"/>
  <c r="DI133" i="16"/>
  <c r="EN84" i="16"/>
  <c r="ER250" i="16"/>
  <c r="DR416" i="16"/>
  <c r="DZ429" i="16"/>
  <c r="DZ336" i="16"/>
  <c r="DK115" i="16"/>
  <c r="DE160" i="16"/>
  <c r="DV93" i="16"/>
  <c r="EF259" i="16"/>
  <c r="EL365" i="16"/>
  <c r="EF496" i="16"/>
  <c r="EH152" i="16"/>
  <c r="EA112" i="16"/>
  <c r="DT72" i="16"/>
  <c r="EN268" i="16"/>
  <c r="EB66" i="16"/>
  <c r="DM491" i="16"/>
  <c r="EA194" i="16"/>
  <c r="DN149" i="16"/>
  <c r="DO273" i="16"/>
  <c r="DH51" i="16"/>
  <c r="DQ404" i="16"/>
  <c r="EA199" i="16"/>
  <c r="DO473" i="16"/>
  <c r="EN166" i="16"/>
  <c r="ED161" i="16"/>
  <c r="DR285" i="16"/>
  <c r="DH328" i="16"/>
  <c r="DF349" i="16"/>
  <c r="ER284" i="16"/>
  <c r="EL312" i="16"/>
  <c r="DK111" i="16"/>
  <c r="DI445" i="16"/>
  <c r="DA222" i="16"/>
  <c r="DY113" i="16"/>
  <c r="DB232" i="16"/>
  <c r="DO348" i="16"/>
  <c r="EA168" i="16"/>
  <c r="DM403" i="16"/>
  <c r="DG125" i="16"/>
  <c r="DG65" i="16"/>
  <c r="DD60" i="16"/>
  <c r="DX481" i="16"/>
  <c r="DE416" i="16"/>
  <c r="EQ110" i="16"/>
  <c r="EQ119" i="16"/>
  <c r="DN319" i="16"/>
  <c r="DH267" i="16"/>
  <c r="EG344" i="16"/>
  <c r="DV442" i="16"/>
  <c r="DD81" i="16"/>
  <c r="DZ498" i="16"/>
  <c r="ES332" i="16"/>
  <c r="DA259" i="16"/>
  <c r="EK484" i="16"/>
  <c r="DN478" i="16"/>
  <c r="EN466" i="16"/>
  <c r="DE308" i="16"/>
  <c r="DL186" i="16"/>
  <c r="DV406" i="16"/>
  <c r="DI72" i="16"/>
  <c r="DF196" i="16"/>
  <c r="DV327" i="16"/>
  <c r="EN393" i="16"/>
  <c r="EN269" i="16"/>
  <c r="DB124" i="16"/>
  <c r="DM209" i="16"/>
  <c r="DA292" i="16"/>
  <c r="EA217" i="16"/>
  <c r="EG328" i="16"/>
  <c r="DN345" i="16"/>
  <c r="DV169" i="16"/>
  <c r="DG61" i="16"/>
  <c r="ER155" i="16"/>
  <c r="DY80" i="16"/>
  <c r="DD313" i="16"/>
  <c r="EG161" i="16"/>
  <c r="DR152" i="16"/>
  <c r="DN163" i="16"/>
  <c r="DS454" i="16"/>
  <c r="DQ380" i="16"/>
  <c r="EB455" i="16"/>
  <c r="EP234" i="16"/>
  <c r="DS501" i="16"/>
  <c r="CZ109" i="16"/>
  <c r="DM217" i="16"/>
  <c r="EL450" i="16"/>
  <c r="EL359" i="16"/>
  <c r="ED360" i="16"/>
  <c r="DC231" i="16"/>
  <c r="DR92" i="16"/>
  <c r="DD134" i="16"/>
  <c r="EG195" i="16"/>
  <c r="DP51" i="16"/>
  <c r="DW196" i="16"/>
  <c r="EF160" i="16"/>
  <c r="DX102" i="16"/>
  <c r="EC75" i="16"/>
  <c r="EI130" i="16"/>
  <c r="DQ336" i="16"/>
  <c r="EM209" i="16"/>
  <c r="DV372" i="16"/>
  <c r="DE499" i="16"/>
  <c r="DJ140" i="16"/>
  <c r="DC294" i="16"/>
  <c r="ED347" i="16"/>
  <c r="ER351" i="16"/>
  <c r="DG369" i="16"/>
  <c r="EH191" i="16"/>
  <c r="EA173" i="16"/>
  <c r="EB468" i="16"/>
  <c r="DX230" i="16"/>
  <c r="EE279" i="16"/>
  <c r="DG124" i="16"/>
  <c r="DE448" i="16"/>
  <c r="DU49" i="16"/>
  <c r="DO372" i="16"/>
  <c r="DI318" i="16"/>
  <c r="EM442" i="16"/>
  <c r="DG478" i="16"/>
  <c r="DY238" i="16"/>
  <c r="DD130" i="16"/>
  <c r="DF278" i="16"/>
  <c r="DG269" i="16"/>
  <c r="EQ71" i="16"/>
  <c r="ES236" i="16"/>
  <c r="DU233" i="16"/>
  <c r="DP394" i="16"/>
  <c r="EG480" i="16"/>
  <c r="DW55" i="16"/>
  <c r="EN180" i="16"/>
  <c r="CZ134" i="16"/>
  <c r="EA130" i="16"/>
  <c r="EA208" i="16"/>
  <c r="DC83" i="16"/>
  <c r="DV182" i="16"/>
  <c r="EA433" i="16"/>
  <c r="DF445" i="16"/>
  <c r="ED164" i="16"/>
  <c r="DW110" i="16"/>
  <c r="EF383" i="16"/>
  <c r="DG188" i="16"/>
  <c r="EC468" i="16"/>
  <c r="DH227" i="16"/>
  <c r="EE373" i="16"/>
  <c r="EO345" i="16"/>
  <c r="EJ332" i="16"/>
  <c r="DP343" i="16"/>
  <c r="DP484" i="16"/>
  <c r="ED70" i="16"/>
  <c r="DI76" i="16"/>
  <c r="EH227" i="16"/>
  <c r="DA227" i="16"/>
  <c r="DK417" i="16"/>
  <c r="DI193" i="16"/>
  <c r="EH321" i="16"/>
  <c r="DH442" i="16"/>
  <c r="DT295" i="16"/>
  <c r="DP129" i="16"/>
  <c r="DA68" i="16"/>
  <c r="DS128" i="16"/>
  <c r="EN113" i="16"/>
  <c r="DK60" i="16"/>
  <c r="DL422" i="16"/>
  <c r="ED435" i="16"/>
  <c r="DD222" i="16"/>
  <c r="DF242" i="16"/>
  <c r="DE466" i="16"/>
  <c r="EE473" i="16"/>
  <c r="DS231" i="16"/>
  <c r="DV267" i="16"/>
  <c r="DR319" i="16"/>
  <c r="DK451" i="16"/>
  <c r="DJ360" i="16"/>
  <c r="EO268" i="16"/>
  <c r="EI381" i="16"/>
  <c r="EF179" i="16"/>
  <c r="DS270" i="16"/>
  <c r="DE245" i="16"/>
  <c r="EG326" i="16"/>
  <c r="EP170" i="16"/>
  <c r="EQ215" i="16"/>
  <c r="DZ448" i="16"/>
  <c r="ES514" i="16"/>
  <c r="DJ258" i="16"/>
  <c r="EN193" i="16"/>
  <c r="DL497" i="16"/>
  <c r="EG113" i="16"/>
  <c r="EL372" i="16"/>
  <c r="DO460" i="16"/>
  <c r="DG492" i="16"/>
  <c r="DL444" i="16"/>
  <c r="EH308" i="16"/>
  <c r="EM341" i="16"/>
  <c r="DJ514" i="16"/>
  <c r="DO500" i="16"/>
  <c r="DX180" i="16"/>
  <c r="EO209" i="16"/>
  <c r="EN306" i="16"/>
  <c r="ED454" i="16"/>
  <c r="EF70" i="16"/>
  <c r="DO439" i="16"/>
  <c r="DO151" i="16"/>
  <c r="DH300" i="16"/>
  <c r="EG68" i="16"/>
  <c r="EJ485" i="16"/>
  <c r="DB495" i="16"/>
  <c r="DS432" i="16"/>
  <c r="DO509" i="16"/>
  <c r="EO366" i="16"/>
  <c r="DT170" i="16"/>
  <c r="EH346" i="16"/>
  <c r="EH245" i="16"/>
  <c r="EG507" i="16"/>
  <c r="DH146" i="16"/>
  <c r="DF509" i="16"/>
  <c r="EM75" i="16"/>
  <c r="EC224" i="16"/>
  <c r="ES440" i="16"/>
  <c r="EJ85" i="16"/>
  <c r="DU455" i="16"/>
  <c r="DQ454" i="16"/>
  <c r="EC473" i="16"/>
  <c r="DO409" i="16"/>
  <c r="DT128" i="16"/>
  <c r="DQ73" i="16"/>
  <c r="EL218" i="16"/>
  <c r="DS244" i="16"/>
  <c r="CZ213" i="16"/>
  <c r="EG400" i="16"/>
  <c r="DI231" i="16"/>
  <c r="DA398" i="16"/>
  <c r="DH237" i="16"/>
  <c r="EO487" i="16"/>
  <c r="DY65" i="16"/>
  <c r="DD116" i="16"/>
  <c r="DH143" i="16"/>
  <c r="DK395" i="16"/>
  <c r="EK268" i="16"/>
  <c r="DY122" i="16"/>
  <c r="EI49" i="16"/>
  <c r="EL237" i="16"/>
  <c r="EA71" i="16"/>
  <c r="EL291" i="16"/>
  <c r="DH83" i="16"/>
  <c r="DP106" i="16"/>
  <c r="DY473" i="16"/>
  <c r="EH198" i="16"/>
  <c r="ES207" i="16"/>
  <c r="DY380" i="16"/>
  <c r="EH139" i="16"/>
  <c r="EB54" i="16"/>
  <c r="EB88" i="16"/>
  <c r="DD126" i="16"/>
  <c r="DM66" i="16"/>
  <c r="DX267" i="16"/>
  <c r="EE114" i="16"/>
  <c r="EN462" i="16"/>
  <c r="ER259" i="16"/>
  <c r="DK75" i="16"/>
  <c r="EN388" i="16"/>
  <c r="ES336" i="16"/>
  <c r="ED173" i="16"/>
  <c r="DQ507" i="16"/>
  <c r="DU116" i="16"/>
  <c r="EQ168" i="16"/>
  <c r="DX52" i="16"/>
  <c r="EL251" i="16"/>
  <c r="DE328" i="16"/>
  <c r="DF148" i="16"/>
  <c r="ED395" i="16"/>
  <c r="DS167" i="16"/>
  <c r="DY144" i="16"/>
  <c r="DK391" i="16"/>
  <c r="EK120" i="16"/>
  <c r="DR65" i="16"/>
  <c r="DT503" i="16"/>
  <c r="DE451" i="16"/>
  <c r="DA89" i="16"/>
  <c r="DN122" i="16"/>
  <c r="EN296" i="16"/>
  <c r="DT157" i="16"/>
  <c r="EJ116" i="16"/>
  <c r="DV339" i="16"/>
  <c r="DR164" i="16"/>
  <c r="DP146" i="16"/>
  <c r="ES496" i="16"/>
  <c r="EC49" i="16"/>
  <c r="EA397" i="16"/>
  <c r="EL268" i="16"/>
  <c r="DU450" i="16"/>
  <c r="EK404" i="16"/>
  <c r="DM349" i="16"/>
  <c r="DC91" i="16"/>
  <c r="CZ303" i="16"/>
  <c r="EQ165" i="16"/>
  <c r="DZ412" i="16"/>
  <c r="EQ387" i="16"/>
  <c r="EG182" i="16"/>
  <c r="ES134" i="16"/>
  <c r="EO96" i="16"/>
  <c r="DN235" i="16"/>
  <c r="DS198" i="16"/>
  <c r="DX116" i="16"/>
  <c r="EH252" i="16"/>
  <c r="DM496" i="16"/>
  <c r="EN291" i="16"/>
  <c r="EG308" i="16"/>
  <c r="DZ176" i="16"/>
  <c r="EP235" i="16"/>
  <c r="CZ66" i="16"/>
  <c r="DG71" i="16"/>
  <c r="DY67" i="16"/>
  <c r="DY56" i="16"/>
  <c r="DT92" i="16"/>
  <c r="EM430" i="16"/>
  <c r="EP365" i="16"/>
  <c r="DL240" i="16"/>
  <c r="EI397" i="16"/>
  <c r="DC268" i="16"/>
  <c r="EK72" i="16"/>
  <c r="DL248" i="16"/>
  <c r="EO63" i="16"/>
  <c r="EI138" i="16"/>
  <c r="DB50" i="16"/>
  <c r="DN491" i="16"/>
  <c r="ED92" i="16"/>
  <c r="EA502" i="16"/>
  <c r="DR494" i="16"/>
  <c r="DT122" i="16"/>
  <c r="DU378" i="16"/>
  <c r="DJ471" i="16"/>
  <c r="DA126" i="16"/>
  <c r="EC492" i="16"/>
  <c r="DA347" i="16"/>
  <c r="EN76" i="16"/>
  <c r="DW512" i="16"/>
  <c r="DX233" i="16"/>
  <c r="EH175" i="16"/>
  <c r="DX120" i="16"/>
  <c r="DL239" i="16"/>
  <c r="EL196" i="16"/>
  <c r="DR460" i="16"/>
  <c r="DH432" i="16"/>
  <c r="EO74" i="16"/>
  <c r="ES471" i="16"/>
  <c r="EM171" i="16"/>
  <c r="DP102" i="16"/>
  <c r="DT111" i="16"/>
  <c r="DA224" i="16"/>
  <c r="DV138" i="16"/>
  <c r="DQ241" i="16"/>
  <c r="DX514" i="16"/>
  <c r="DI451" i="16"/>
  <c r="EI77" i="16"/>
  <c r="ES159" i="16"/>
  <c r="DM183" i="16"/>
  <c r="DT226" i="16"/>
  <c r="CZ163" i="16"/>
  <c r="EF287" i="16"/>
  <c r="DR391" i="16"/>
  <c r="DX176" i="16"/>
  <c r="DW58" i="16"/>
  <c r="DP370" i="16"/>
  <c r="EN400" i="16"/>
  <c r="DY330" i="16"/>
  <c r="EC92" i="16"/>
  <c r="DX191" i="16"/>
  <c r="DJ287" i="16"/>
  <c r="DZ191" i="16"/>
  <c r="DA484" i="16"/>
  <c r="EN484" i="16"/>
  <c r="DE86" i="16"/>
  <c r="DP512" i="16"/>
  <c r="DR236" i="16"/>
  <c r="DW342" i="16"/>
  <c r="EM165" i="16"/>
  <c r="EN283" i="16"/>
  <c r="DB426" i="16"/>
  <c r="DZ58" i="16"/>
  <c r="DN402" i="16"/>
  <c r="DK236" i="16"/>
  <c r="DL57" i="16"/>
  <c r="DA266" i="16"/>
  <c r="ER319" i="16"/>
  <c r="DO97" i="16"/>
  <c r="EC504" i="16"/>
  <c r="EF76" i="16"/>
  <c r="DT250" i="16"/>
  <c r="EH482" i="16"/>
  <c r="DI271" i="16"/>
  <c r="DP176" i="16"/>
  <c r="DM278" i="16"/>
  <c r="EQ139" i="16"/>
  <c r="DK155" i="16"/>
  <c r="DP474" i="16"/>
  <c r="DM220" i="16"/>
  <c r="EK239" i="16"/>
  <c r="EA415" i="16"/>
  <c r="DD278" i="16"/>
  <c r="ER89" i="16"/>
  <c r="DC191" i="16"/>
  <c r="DZ496" i="16"/>
  <c r="DM205" i="16"/>
  <c r="DB56" i="16"/>
  <c r="DD102" i="16"/>
  <c r="EE396" i="16"/>
  <c r="DX96" i="16"/>
  <c r="DL383" i="16"/>
  <c r="DV135" i="16"/>
  <c r="EA119" i="16"/>
  <c r="DN124" i="16"/>
  <c r="EM373" i="16"/>
  <c r="DO261" i="16"/>
  <c r="EM70" i="16"/>
  <c r="EF204" i="16"/>
  <c r="DF314" i="16"/>
  <c r="CZ65" i="16"/>
  <c r="DA352" i="16"/>
  <c r="DU260" i="16"/>
  <c r="DZ173" i="16"/>
  <c r="EL515" i="16"/>
  <c r="EE233" i="16"/>
  <c r="DC130" i="16"/>
  <c r="ED96" i="16"/>
  <c r="DF152" i="16"/>
  <c r="DH126" i="16"/>
  <c r="EA125" i="16"/>
  <c r="EC97" i="16"/>
  <c r="DH238" i="16"/>
  <c r="DA348" i="16"/>
  <c r="DF86" i="16"/>
  <c r="EM302" i="16"/>
  <c r="ES105" i="16"/>
  <c r="DY105" i="16"/>
  <c r="DX263" i="16"/>
  <c r="DV300" i="16"/>
  <c r="DC51" i="16"/>
  <c r="EJ245" i="16"/>
  <c r="EH288" i="16"/>
  <c r="EC395" i="16"/>
  <c r="DT136" i="16"/>
  <c r="EM263" i="16"/>
  <c r="DU292" i="16"/>
  <c r="DW436" i="16"/>
  <c r="EG101" i="16"/>
  <c r="DQ272" i="16"/>
  <c r="ES447" i="16"/>
  <c r="EO183" i="16"/>
  <c r="DP98" i="16"/>
  <c r="DO391" i="16"/>
  <c r="EH77" i="16"/>
  <c r="DL295" i="16"/>
  <c r="DN309" i="16"/>
  <c r="EP472" i="16"/>
  <c r="EQ417" i="16"/>
  <c r="EF117" i="16"/>
  <c r="DS250" i="16"/>
  <c r="DD340" i="16"/>
  <c r="EJ471" i="16"/>
  <c r="EJ469" i="16"/>
  <c r="DA121" i="16"/>
  <c r="DC181" i="16"/>
  <c r="DQ236" i="16"/>
  <c r="EA421" i="16"/>
  <c r="DW193" i="16"/>
  <c r="DU351" i="16"/>
  <c r="DG198" i="16"/>
  <c r="ER305" i="16"/>
  <c r="DY104" i="16"/>
  <c r="EK141" i="16"/>
  <c r="DO210" i="16"/>
  <c r="DE234" i="16"/>
  <c r="DC168" i="16"/>
  <c r="DB165" i="16"/>
  <c r="DB390" i="16"/>
  <c r="EN448" i="16"/>
  <c r="DS191" i="16"/>
  <c r="EM194" i="16"/>
  <c r="EA73" i="16"/>
  <c r="DS95" i="16"/>
  <c r="DL193" i="16"/>
  <c r="ER332" i="16"/>
  <c r="DE59" i="16"/>
  <c r="DS137" i="16"/>
  <c r="EC502" i="16"/>
  <c r="DI184" i="16"/>
  <c r="DB364" i="16"/>
  <c r="DQ85" i="16"/>
  <c r="EC186" i="16"/>
  <c r="DX463" i="16"/>
  <c r="DW138" i="16"/>
  <c r="DT276" i="16"/>
  <c r="EO401" i="16"/>
  <c r="DF291" i="16"/>
  <c r="EE144" i="16"/>
  <c r="ES421" i="16"/>
  <c r="EM235" i="16"/>
  <c r="DS439" i="16"/>
  <c r="DE413" i="16"/>
  <c r="DG131" i="16"/>
  <c r="DB468" i="16"/>
  <c r="EH466" i="16"/>
  <c r="EH83" i="16"/>
  <c r="DN501" i="16"/>
  <c r="EK425" i="16"/>
  <c r="DJ133" i="16"/>
  <c r="EA114" i="16"/>
  <c r="DJ52" i="16"/>
  <c r="EK302" i="16"/>
  <c r="DR87" i="16"/>
  <c r="DL97" i="16"/>
  <c r="EQ378" i="16"/>
  <c r="DZ375" i="16"/>
  <c r="DW480" i="16"/>
  <c r="EG516" i="16"/>
  <c r="EA402" i="16"/>
  <c r="DE204" i="16"/>
  <c r="DS496" i="16"/>
  <c r="ER422" i="16"/>
  <c r="ES228" i="16"/>
  <c r="DE324" i="16"/>
  <c r="EB306" i="16"/>
  <c r="EQ316" i="16"/>
  <c r="DN303" i="16"/>
  <c r="DT155" i="16"/>
  <c r="DN53" i="16"/>
  <c r="DB66" i="16"/>
  <c r="DT387" i="16"/>
  <c r="DF151" i="16"/>
  <c r="EK49" i="16"/>
  <c r="EC160" i="16"/>
  <c r="DO264" i="16"/>
  <c r="DD55" i="16"/>
  <c r="EP153" i="16"/>
  <c r="DD511" i="16"/>
  <c r="EG281" i="16"/>
  <c r="EI84" i="16"/>
  <c r="EJ390" i="16"/>
  <c r="EK438" i="16"/>
  <c r="DP156" i="16"/>
  <c r="EI512" i="16"/>
  <c r="DV81" i="16"/>
  <c r="EA360" i="16"/>
  <c r="DH226" i="16"/>
  <c r="ES148" i="16"/>
  <c r="DB138" i="16"/>
  <c r="EQ203" i="16"/>
  <c r="DR248" i="16"/>
  <c r="DA425" i="16"/>
  <c r="DW182" i="16"/>
  <c r="EG58" i="16"/>
  <c r="CZ458" i="16"/>
  <c r="DZ60" i="16"/>
  <c r="EL129" i="16"/>
  <c r="DJ106" i="16"/>
  <c r="DX78" i="16"/>
  <c r="DE326" i="16"/>
  <c r="EC297" i="16"/>
  <c r="DM339" i="16"/>
  <c r="DN334" i="16"/>
  <c r="DX229" i="16"/>
  <c r="EP101" i="16"/>
  <c r="EE280" i="16"/>
  <c r="ER405" i="16"/>
  <c r="EC208" i="16"/>
  <c r="DY388" i="16"/>
  <c r="EJ56" i="16"/>
  <c r="DN168" i="16"/>
  <c r="DN167" i="16"/>
  <c r="DZ220" i="16"/>
  <c r="DA385" i="16"/>
  <c r="DE418" i="16"/>
  <c r="DI411" i="16"/>
  <c r="EA158" i="16"/>
  <c r="EF86" i="16"/>
  <c r="EK203" i="16"/>
  <c r="EQ469" i="16"/>
  <c r="DH218" i="16"/>
  <c r="EO230" i="16"/>
  <c r="EP400" i="16"/>
  <c r="DX84" i="16"/>
  <c r="EP123" i="16"/>
  <c r="DM152" i="16"/>
  <c r="DF254" i="16"/>
  <c r="DL178" i="16"/>
  <c r="EN270" i="16"/>
  <c r="EA235" i="16"/>
  <c r="DJ232" i="16"/>
  <c r="DA104" i="16"/>
  <c r="EJ93" i="16"/>
  <c r="EM54" i="16"/>
  <c r="EN371" i="16"/>
  <c r="DV294" i="16"/>
  <c r="EP79" i="16"/>
  <c r="DV174" i="16"/>
  <c r="EJ192" i="16"/>
  <c r="EG152" i="16"/>
  <c r="EC110" i="16"/>
  <c r="EK465" i="16"/>
  <c r="DD57" i="16"/>
  <c r="EC354" i="16"/>
  <c r="EB217" i="16"/>
  <c r="EI389" i="16"/>
  <c r="EA265" i="16"/>
  <c r="DL418" i="16"/>
  <c r="DS488" i="16"/>
  <c r="DT109" i="16"/>
  <c r="CZ437" i="16"/>
  <c r="EI267" i="16"/>
  <c r="DZ73" i="16"/>
  <c r="DZ178" i="16"/>
  <c r="DL226" i="16"/>
  <c r="DE374" i="16"/>
  <c r="DE496" i="16"/>
  <c r="EI311" i="16"/>
  <c r="DU298" i="16"/>
  <c r="ES183" i="16"/>
  <c r="CZ188" i="16"/>
  <c r="DB234" i="16"/>
  <c r="DW358" i="16"/>
  <c r="EN254" i="16"/>
  <c r="DZ351" i="16"/>
  <c r="DD391" i="16"/>
  <c r="DB162" i="16"/>
  <c r="DO149" i="16"/>
  <c r="EG90" i="16"/>
  <c r="CZ102" i="16"/>
  <c r="DN152" i="16"/>
  <c r="DW78" i="16"/>
  <c r="DW264" i="16"/>
  <c r="DQ100" i="16"/>
  <c r="EO480" i="16"/>
  <c r="DK61" i="16"/>
  <c r="DD360" i="16"/>
  <c r="DJ125" i="16"/>
  <c r="EQ130" i="16"/>
  <c r="DK403" i="16"/>
  <c r="DX464" i="16"/>
  <c r="DB106" i="16"/>
  <c r="ES97" i="16"/>
  <c r="EI498" i="16"/>
  <c r="DP101" i="16"/>
  <c r="DT403" i="16"/>
  <c r="ER162" i="16"/>
  <c r="EF138" i="16"/>
  <c r="DQ120" i="16"/>
  <c r="EG159" i="16"/>
  <c r="EM90" i="16"/>
  <c r="DY220" i="16"/>
  <c r="DC485" i="16"/>
  <c r="EE307" i="16"/>
  <c r="DB487" i="16"/>
  <c r="DO115" i="16"/>
  <c r="EN322" i="16"/>
  <c r="CZ218" i="16"/>
  <c r="DH418" i="16"/>
  <c r="EF409" i="16"/>
  <c r="DU366" i="16"/>
  <c r="EC353" i="16"/>
  <c r="DD96" i="16"/>
  <c r="ER87" i="16"/>
  <c r="DO199" i="16"/>
  <c r="ER474" i="16"/>
  <c r="DT138" i="16"/>
  <c r="DU221" i="16"/>
  <c r="ED343" i="16"/>
  <c r="ES481" i="16"/>
  <c r="DO122" i="16"/>
  <c r="DU189" i="16"/>
  <c r="DR93" i="16"/>
  <c r="ES432" i="16"/>
  <c r="EH92" i="16"/>
  <c r="DO74" i="16"/>
  <c r="DO436" i="16"/>
  <c r="DF305" i="16"/>
  <c r="EK436" i="16"/>
  <c r="DV381" i="16"/>
  <c r="EG148" i="16"/>
  <c r="DG294" i="16"/>
  <c r="EL395" i="16"/>
  <c r="DB305" i="16"/>
  <c r="DS459" i="16"/>
  <c r="EG51" i="16"/>
  <c r="EO116" i="16"/>
  <c r="EJ167" i="16"/>
  <c r="DV162" i="16"/>
  <c r="DN119" i="16"/>
  <c r="DG104" i="16"/>
  <c r="DK420" i="16"/>
  <c r="EO386" i="16"/>
  <c r="EC374" i="16"/>
  <c r="CZ186" i="16"/>
  <c r="DK205" i="16"/>
  <c r="EP81" i="16"/>
  <c r="EE56" i="16"/>
  <c r="DK408" i="16"/>
  <c r="DF322" i="16"/>
  <c r="DQ51" i="16"/>
  <c r="DN381" i="16"/>
  <c r="DI236" i="16"/>
  <c r="DT442" i="16"/>
  <c r="ED332" i="16"/>
  <c r="EJ149" i="16"/>
  <c r="EO169" i="16"/>
  <c r="DZ85" i="16"/>
  <c r="ES437" i="16"/>
  <c r="DI281" i="16"/>
  <c r="DA128" i="16"/>
  <c r="EL512" i="16"/>
  <c r="DA403" i="16"/>
  <c r="EE204" i="16"/>
  <c r="DJ199" i="16"/>
  <c r="DB313" i="16"/>
  <c r="DZ57" i="16"/>
  <c r="EQ476" i="16"/>
  <c r="DS161" i="16"/>
  <c r="DB362" i="16"/>
  <c r="DU107" i="16"/>
  <c r="EN156" i="16"/>
  <c r="EP371" i="16"/>
  <c r="DO65" i="16"/>
  <c r="DP58" i="16"/>
  <c r="DV62" i="16"/>
  <c r="EI437" i="16"/>
  <c r="EO255" i="16"/>
  <c r="DK488" i="16"/>
  <c r="DQ505" i="16"/>
  <c r="EM363" i="16"/>
  <c r="CZ234" i="16"/>
  <c r="DI456" i="16"/>
  <c r="DO464" i="16"/>
  <c r="EP284" i="16"/>
  <c r="EA169" i="16"/>
  <c r="DZ481" i="16"/>
  <c r="DO324" i="16"/>
  <c r="DV332" i="16"/>
  <c r="DG129" i="16"/>
  <c r="ES104" i="16"/>
  <c r="CZ275" i="16"/>
  <c r="DB247" i="16"/>
  <c r="ES196" i="16"/>
  <c r="EM320" i="16"/>
  <c r="DL117" i="16"/>
  <c r="EF62" i="16"/>
  <c r="DH230" i="16"/>
  <c r="DD138" i="16"/>
  <c r="DK78" i="16"/>
  <c r="DG340" i="16"/>
  <c r="DC124" i="16"/>
  <c r="EK358" i="16"/>
  <c r="DT318" i="16"/>
  <c r="EI246" i="16"/>
  <c r="EA392" i="16"/>
  <c r="EC397" i="16"/>
  <c r="DH111" i="16"/>
  <c r="DJ225" i="16"/>
  <c r="CZ123" i="16"/>
  <c r="EP290" i="16"/>
  <c r="DF362" i="16"/>
  <c r="DZ305" i="16"/>
  <c r="DL60" i="16"/>
  <c r="DN204" i="16"/>
  <c r="DT422" i="16"/>
  <c r="DQ81" i="16"/>
  <c r="DP79" i="16"/>
  <c r="EO325" i="16"/>
  <c r="DQ148" i="16"/>
  <c r="DF195" i="16"/>
  <c r="DV329" i="16"/>
  <c r="EQ359" i="16"/>
  <c r="DS140" i="16"/>
  <c r="EN433" i="16"/>
  <c r="DA243" i="16"/>
  <c r="DL361" i="16"/>
  <c r="DE270" i="16"/>
  <c r="EA251" i="16"/>
  <c r="EL90" i="16"/>
  <c r="DS241" i="16"/>
  <c r="EN147" i="16"/>
  <c r="DX406" i="16"/>
  <c r="DO60" i="16"/>
  <c r="DB409" i="16"/>
  <c r="DU52" i="16"/>
  <c r="DL170" i="16"/>
  <c r="EA286" i="16"/>
  <c r="EJ302" i="16"/>
  <c r="EB408" i="16"/>
  <c r="EG127" i="16"/>
  <c r="DF49" i="16"/>
  <c r="DZ353" i="16"/>
  <c r="DN468" i="16"/>
  <c r="EL415" i="16"/>
  <c r="DZ493" i="16"/>
  <c r="EN311" i="16"/>
  <c r="EG300" i="16"/>
  <c r="EM261" i="16"/>
  <c r="DD76" i="16"/>
  <c r="ES85" i="16"/>
  <c r="ED211" i="16"/>
  <c r="DK213" i="16"/>
  <c r="EJ58" i="16"/>
  <c r="EC336" i="16"/>
  <c r="EJ128" i="16"/>
  <c r="DR196" i="16"/>
  <c r="EP482" i="16"/>
  <c r="EL157" i="16"/>
  <c r="EA134" i="16"/>
  <c r="DO486" i="16"/>
  <c r="EE126" i="16"/>
  <c r="EB60" i="16"/>
  <c r="DV160" i="16"/>
  <c r="ER66" i="16"/>
  <c r="DO80" i="16"/>
  <c r="DS356" i="16"/>
  <c r="DP356" i="16"/>
  <c r="EQ486" i="16"/>
  <c r="DI307" i="16"/>
  <c r="EB244" i="16"/>
  <c r="DS445" i="16"/>
  <c r="DK128" i="16"/>
  <c r="DD51" i="16"/>
  <c r="DG248" i="16"/>
  <c r="ER467" i="16"/>
  <c r="ER196" i="16"/>
  <c r="EA56" i="16"/>
  <c r="DS258" i="16"/>
  <c r="DD245" i="16"/>
  <c r="DH109" i="16"/>
  <c r="EF72" i="16"/>
  <c r="EG173" i="16"/>
  <c r="DJ59" i="16"/>
  <c r="DF128" i="16"/>
  <c r="EJ196" i="16"/>
  <c r="EK108" i="16"/>
  <c r="DR230" i="16"/>
  <c r="CZ160" i="16"/>
  <c r="DW87" i="16"/>
  <c r="DR257" i="16"/>
  <c r="DZ165" i="16"/>
  <c r="DT148" i="16"/>
  <c r="DS113" i="16"/>
  <c r="DA67" i="16"/>
  <c r="EF418" i="16"/>
  <c r="EJ53" i="16"/>
  <c r="DO258" i="16"/>
  <c r="DH371" i="16"/>
  <c r="DP326" i="16"/>
  <c r="DY169" i="16"/>
  <c r="DT484" i="16"/>
  <c r="EF144" i="16"/>
  <c r="DG69" i="16"/>
  <c r="DM225" i="16"/>
  <c r="EQ314" i="16"/>
  <c r="CZ125" i="16"/>
  <c r="DF138" i="16"/>
  <c r="DI124" i="16"/>
  <c r="DH158" i="16"/>
  <c r="EP91" i="16"/>
  <c r="DM188" i="16"/>
  <c r="CZ180" i="16"/>
  <c r="DP133" i="16"/>
  <c r="DG75" i="16"/>
  <c r="EN51" i="16"/>
  <c r="EB309" i="16"/>
  <c r="DU95" i="16"/>
  <c r="EM286" i="16"/>
  <c r="DC412" i="16"/>
  <c r="DR359" i="16"/>
  <c r="DW265" i="16"/>
  <c r="DJ408" i="16"/>
  <c r="EP76" i="16"/>
  <c r="ER509" i="16"/>
  <c r="DZ65" i="16"/>
  <c r="DZ365" i="16"/>
  <c r="DV370" i="16"/>
  <c r="DX155" i="16"/>
  <c r="DB102" i="16"/>
  <c r="DL127" i="16"/>
  <c r="DP502" i="16"/>
  <c r="DD374" i="16"/>
  <c r="EC105" i="16"/>
  <c r="EE376" i="16"/>
  <c r="ER472" i="16"/>
  <c r="DF80" i="16"/>
  <c r="DQ191" i="16"/>
  <c r="EJ328" i="16"/>
  <c r="DZ215" i="16"/>
  <c r="DQ196" i="16"/>
  <c r="DO345" i="16"/>
  <c r="DQ327" i="16"/>
  <c r="EA406" i="16"/>
  <c r="DW222" i="16"/>
  <c r="EL477" i="16"/>
  <c r="EK499" i="16"/>
  <c r="EB89" i="16"/>
  <c r="DQ145" i="16"/>
  <c r="EM81" i="16"/>
  <c r="DP84" i="16"/>
  <c r="DG176" i="16"/>
  <c r="ES385" i="16"/>
  <c r="EK335" i="16"/>
  <c r="EA365" i="16"/>
  <c r="DA456" i="16"/>
  <c r="DO435" i="16"/>
  <c r="EP275" i="16"/>
  <c r="DM68" i="16"/>
  <c r="DS152" i="16"/>
  <c r="EL354" i="16"/>
  <c r="DY272" i="16"/>
  <c r="DI87" i="16"/>
  <c r="EI119" i="16"/>
  <c r="DA137" i="16"/>
  <c r="DC489" i="16"/>
  <c r="EO389" i="16"/>
  <c r="DI138" i="16"/>
  <c r="EQ133" i="16"/>
  <c r="EK479" i="16"/>
  <c r="EH353" i="16"/>
  <c r="DP166" i="16"/>
  <c r="DS386" i="16"/>
  <c r="DL161" i="16"/>
  <c r="ES426" i="16"/>
  <c r="DV129" i="16"/>
  <c r="EA126" i="16"/>
  <c r="DQ52" i="16"/>
  <c r="DK117" i="16"/>
  <c r="EH306" i="16"/>
  <c r="EL413" i="16"/>
  <c r="DT73" i="16"/>
  <c r="DA190" i="16"/>
  <c r="DV348" i="16"/>
  <c r="DM147" i="16"/>
  <c r="DL104" i="16"/>
  <c r="DI321" i="16"/>
  <c r="DH357" i="16"/>
  <c r="DU139" i="16"/>
  <c r="DV175" i="16"/>
  <c r="DB420" i="16"/>
  <c r="DD432" i="16"/>
  <c r="EN157" i="16"/>
  <c r="EH78" i="16"/>
  <c r="DQ499" i="16"/>
  <c r="EH125" i="16"/>
  <c r="EK378" i="16"/>
  <c r="DV309" i="16"/>
  <c r="EE356" i="16"/>
  <c r="DX490" i="16"/>
  <c r="DI370" i="16"/>
  <c r="DK81" i="16"/>
  <c r="ED460" i="16"/>
  <c r="DK212" i="16"/>
  <c r="DV56" i="16"/>
  <c r="DY216" i="16"/>
  <c r="DC423" i="16"/>
  <c r="EB93" i="16"/>
  <c r="DN512" i="16"/>
  <c r="EO295" i="16"/>
  <c r="CZ174" i="16"/>
  <c r="DE291" i="16"/>
  <c r="EG228" i="16"/>
  <c r="EC185" i="16"/>
  <c r="DJ500" i="16"/>
  <c r="DI381" i="16"/>
  <c r="DN199" i="16"/>
  <c r="DK84" i="16"/>
  <c r="ER121" i="16"/>
  <c r="EK433" i="16"/>
  <c r="EF174" i="16"/>
  <c r="DU367" i="16"/>
  <c r="DX250" i="16"/>
  <c r="ER415" i="16"/>
  <c r="DM303" i="16"/>
  <c r="DC365" i="16"/>
  <c r="DM327" i="16"/>
  <c r="DU188" i="16"/>
  <c r="DF366" i="16"/>
  <c r="DR238" i="16"/>
  <c r="DX432" i="16"/>
  <c r="DX302" i="16"/>
  <c r="DN504" i="16"/>
  <c r="DL147" i="16"/>
  <c r="DF414" i="16"/>
  <c r="EP408" i="16"/>
  <c r="DB241" i="16"/>
  <c r="DJ482" i="16"/>
  <c r="EP413" i="16"/>
  <c r="EF56" i="16"/>
  <c r="DD215" i="16"/>
  <c r="DL212" i="16"/>
  <c r="DO66" i="16"/>
  <c r="EH145" i="16"/>
  <c r="DN188" i="16"/>
  <c r="DZ69" i="16"/>
  <c r="DG123" i="16"/>
  <c r="DY486" i="16"/>
  <c r="EI140" i="16"/>
  <c r="EB113" i="16"/>
  <c r="DV72" i="16"/>
  <c r="EQ118" i="16"/>
  <c r="DI292" i="16"/>
  <c r="EQ418" i="16"/>
  <c r="DN353" i="16"/>
  <c r="EQ499" i="16"/>
  <c r="DW324" i="16"/>
  <c r="DP185" i="16"/>
  <c r="EM334" i="16"/>
  <c r="EH225" i="16"/>
  <c r="EG505" i="16"/>
  <c r="DV378" i="16"/>
  <c r="DS338" i="16"/>
  <c r="EN162" i="16"/>
  <c r="ED432" i="16"/>
  <c r="DM333" i="16"/>
  <c r="DW282" i="16"/>
  <c r="DZ368" i="16"/>
  <c r="DJ431" i="16"/>
  <c r="EO363" i="16"/>
  <c r="EC385" i="16"/>
  <c r="DT265" i="16"/>
  <c r="DJ192" i="16"/>
  <c r="ED345" i="16"/>
  <c r="EH101" i="16"/>
  <c r="EA439" i="16"/>
  <c r="EI342" i="16"/>
  <c r="DM87" i="16"/>
  <c r="EI65" i="16"/>
  <c r="EE160" i="16"/>
  <c r="EF127" i="16"/>
  <c r="DE317" i="16"/>
  <c r="EE215" i="16"/>
  <c r="DH90" i="16"/>
  <c r="EH177" i="16"/>
  <c r="EK428" i="16"/>
  <c r="DI82" i="16"/>
  <c r="DO204" i="16"/>
  <c r="EM318" i="16"/>
  <c r="EI148" i="16"/>
  <c r="DL292" i="16"/>
  <c r="EG230" i="16"/>
  <c r="DJ283" i="16"/>
  <c r="DR296" i="16"/>
  <c r="EM178" i="16"/>
  <c r="EG391" i="16"/>
  <c r="DA299" i="16"/>
  <c r="DU474" i="16"/>
  <c r="DZ104" i="16"/>
  <c r="DP62" i="16"/>
  <c r="EN293" i="16"/>
  <c r="DR129" i="16"/>
  <c r="DI102" i="16"/>
  <c r="EN246" i="16"/>
  <c r="EL130" i="16"/>
  <c r="ED216" i="16"/>
  <c r="EC424" i="16"/>
  <c r="EL195" i="16"/>
  <c r="DY233" i="16"/>
  <c r="DG445" i="16"/>
  <c r="DP276" i="16"/>
  <c r="DW499" i="16"/>
  <c r="DB203" i="16"/>
  <c r="DO121" i="16"/>
  <c r="DH76" i="16"/>
  <c r="DD390" i="16"/>
  <c r="DD329" i="16"/>
  <c r="DE67" i="16"/>
  <c r="DM435" i="16"/>
  <c r="DB163" i="16"/>
  <c r="DC306" i="16"/>
  <c r="ED184" i="16"/>
  <c r="DZ444" i="16"/>
  <c r="EK286" i="16"/>
  <c r="DJ67" i="16"/>
  <c r="DI146" i="16"/>
  <c r="EG165" i="16"/>
  <c r="DY344" i="16"/>
  <c r="DR495" i="16"/>
  <c r="EM478" i="16"/>
  <c r="DY247" i="16"/>
  <c r="EO447" i="16"/>
  <c r="DJ76" i="16"/>
  <c r="DF512" i="16"/>
  <c r="DH464" i="16"/>
  <c r="DM167" i="16"/>
  <c r="DG496" i="16"/>
  <c r="DH140" i="16"/>
  <c r="EH515" i="16"/>
  <c r="DQ187" i="16"/>
  <c r="DX335" i="16"/>
  <c r="DH185" i="16"/>
  <c r="EN403" i="16"/>
  <c r="EC283" i="16"/>
  <c r="EO117" i="16"/>
  <c r="ER325" i="16"/>
  <c r="EI166" i="16"/>
  <c r="EO284" i="16"/>
  <c r="EK504" i="16"/>
  <c r="DK483" i="16"/>
  <c r="DJ261" i="16"/>
  <c r="EM408" i="16"/>
  <c r="DU507" i="16"/>
  <c r="DP76" i="16"/>
  <c r="EA171" i="16"/>
  <c r="EF135" i="16"/>
  <c r="DZ51" i="16"/>
  <c r="DP365" i="16"/>
  <c r="EH413" i="16"/>
  <c r="EH497" i="16"/>
  <c r="EG145" i="16"/>
  <c r="DY318" i="16"/>
  <c r="EE505" i="16"/>
  <c r="DD196" i="16"/>
  <c r="DY261" i="16"/>
  <c r="EQ145" i="16"/>
  <c r="DB131" i="16"/>
  <c r="DG363" i="16"/>
  <c r="EO266" i="16"/>
  <c r="EQ223" i="16"/>
  <c r="EG491" i="16"/>
  <c r="DL132" i="16"/>
  <c r="DO106" i="16"/>
  <c r="DC175" i="16"/>
  <c r="DS129" i="16"/>
  <c r="DR180" i="16"/>
  <c r="CZ238" i="16"/>
  <c r="EE346" i="16"/>
  <c r="DK493" i="16"/>
  <c r="EL110" i="16"/>
  <c r="DA132" i="16"/>
  <c r="DD132" i="16"/>
  <c r="DF145" i="16"/>
  <c r="DJ483" i="16"/>
  <c r="EN199" i="16"/>
  <c r="DS80" i="16"/>
  <c r="EO85" i="16"/>
  <c r="DI385" i="16"/>
  <c r="EG355" i="16"/>
  <c r="DI301" i="16"/>
  <c r="ED149" i="16"/>
  <c r="DA201" i="16"/>
  <c r="DF389" i="16"/>
  <c r="EN514" i="16"/>
  <c r="DK193" i="16"/>
  <c r="ED90" i="16"/>
  <c r="DR107" i="16"/>
  <c r="DC158" i="16"/>
  <c r="DG205" i="16"/>
  <c r="DL265" i="16"/>
  <c r="CZ158" i="16"/>
  <c r="DU218" i="16"/>
  <c r="DT212" i="16"/>
  <c r="DE114" i="16"/>
  <c r="DN441" i="16"/>
  <c r="ES164" i="16"/>
  <c r="EP274" i="16"/>
  <c r="EO373" i="16"/>
  <c r="DT104" i="16"/>
  <c r="EO508" i="16"/>
  <c r="DI350" i="16"/>
  <c r="EF129" i="16"/>
  <c r="DT233" i="16"/>
  <c r="DP186" i="16"/>
  <c r="DY315" i="16"/>
  <c r="ED174" i="16"/>
  <c r="DF57" i="16"/>
  <c r="EK305" i="16"/>
  <c r="DZ245" i="16"/>
  <c r="EH51" i="16"/>
  <c r="EL487" i="16"/>
  <c r="DU178" i="16"/>
  <c r="EJ330" i="16"/>
  <c r="EI124" i="16"/>
  <c r="DU402" i="16"/>
  <c r="DI214" i="16"/>
  <c r="DV112" i="16"/>
  <c r="DQ56" i="16"/>
  <c r="DC259" i="16"/>
  <c r="ED152" i="16"/>
  <c r="DU331" i="16"/>
  <c r="DB119" i="16"/>
  <c r="EL451" i="16"/>
  <c r="DH414" i="16"/>
  <c r="ES476" i="16"/>
  <c r="DN288" i="16"/>
  <c r="EH64" i="16"/>
  <c r="DF54" i="16"/>
  <c r="EJ224" i="16"/>
  <c r="DC186" i="16"/>
  <c r="DM361" i="16"/>
  <c r="EI87" i="16"/>
  <c r="DF140" i="16"/>
  <c r="DR370" i="16"/>
  <c r="ED77" i="16"/>
  <c r="ES249" i="16"/>
  <c r="EA348" i="16"/>
  <c r="DP314" i="16"/>
  <c r="EK448" i="16"/>
  <c r="EB343" i="16"/>
  <c r="DJ497" i="16"/>
  <c r="DU103" i="16"/>
  <c r="DT347" i="16"/>
  <c r="DV280" i="16"/>
  <c r="DR488" i="16"/>
  <c r="EF446" i="16"/>
  <c r="DC345" i="16"/>
  <c r="EA162" i="16"/>
  <c r="ER420" i="16"/>
  <c r="DK187" i="16"/>
  <c r="DT498" i="16"/>
  <c r="CZ280" i="16"/>
  <c r="DQ253" i="16"/>
  <c r="ER354" i="16"/>
  <c r="DB480" i="16"/>
  <c r="DJ380" i="16"/>
  <c r="EH187" i="16"/>
  <c r="EK354" i="16"/>
  <c r="ES198" i="16"/>
  <c r="DY74" i="16"/>
  <c r="EP380" i="16"/>
  <c r="DB260" i="16"/>
  <c r="EL223" i="16"/>
  <c r="DI86" i="16"/>
  <c r="EC174" i="16"/>
  <c r="DY457" i="16"/>
  <c r="EB289" i="16"/>
  <c r="DC182" i="16"/>
  <c r="DO59" i="16"/>
  <c r="DD498" i="16"/>
  <c r="DF82" i="16"/>
  <c r="DQ259" i="16"/>
  <c r="DN108" i="16"/>
  <c r="DX73" i="16"/>
  <c r="DI112" i="16"/>
  <c r="EF411" i="16"/>
  <c r="DH395" i="16"/>
  <c r="DT358" i="16"/>
  <c r="CZ74" i="16"/>
  <c r="DX290" i="16"/>
  <c r="EL234" i="16"/>
  <c r="EC162" i="16"/>
  <c r="DY245" i="16"/>
  <c r="EB390" i="16"/>
  <c r="DY188" i="16"/>
  <c r="DD91" i="16"/>
  <c r="DY288" i="16"/>
  <c r="EN149" i="16"/>
  <c r="DO208" i="16"/>
  <c r="DS61" i="16"/>
  <c r="DZ322" i="16"/>
  <c r="ED324" i="16"/>
  <c r="EI160" i="16"/>
  <c r="EL497" i="16"/>
  <c r="ED423" i="16"/>
  <c r="DC463" i="16"/>
  <c r="ED342" i="16"/>
  <c r="DB205" i="16"/>
  <c r="EJ72" i="16"/>
  <c r="DW221" i="16"/>
  <c r="EE378" i="16"/>
  <c r="DU496" i="16"/>
  <c r="DX476" i="16"/>
  <c r="EE486" i="16"/>
  <c r="DJ117" i="16"/>
  <c r="DH335" i="16"/>
  <c r="DL405" i="16"/>
  <c r="DS298" i="16"/>
  <c r="EO236" i="16"/>
  <c r="EE153" i="16"/>
  <c r="DN497" i="16"/>
  <c r="EC203" i="16"/>
  <c r="EE437" i="16"/>
  <c r="ED167" i="16"/>
  <c r="DM312" i="16"/>
  <c r="EN416" i="16"/>
  <c r="EN240" i="16"/>
  <c r="DO343" i="16"/>
  <c r="DO477" i="16"/>
  <c r="EO315" i="16"/>
  <c r="DM143" i="16"/>
  <c r="DO90" i="16"/>
  <c r="DT429" i="16"/>
  <c r="DY96" i="16"/>
  <c r="DH411" i="16"/>
  <c r="EL315" i="16"/>
  <c r="DB182" i="16"/>
  <c r="EM120" i="16"/>
  <c r="EJ143" i="16"/>
  <c r="DP189" i="16"/>
  <c r="EA456" i="16"/>
  <c r="DW403" i="16"/>
  <c r="DJ409" i="16"/>
  <c r="DW234" i="16"/>
  <c r="DR190" i="16"/>
  <c r="DO318" i="16"/>
  <c r="DI317" i="16"/>
  <c r="DM397" i="16"/>
  <c r="DI435" i="16"/>
  <c r="DR96" i="16"/>
  <c r="DQ97" i="16"/>
  <c r="EE131" i="16"/>
  <c r="DJ413" i="16"/>
  <c r="DB320" i="16"/>
  <c r="DW511" i="16"/>
  <c r="DL495" i="16"/>
  <c r="DG181" i="16"/>
  <c r="DJ204" i="16"/>
  <c r="DG96" i="16"/>
  <c r="DK131" i="16"/>
  <c r="EH228" i="16"/>
  <c r="DG153" i="16"/>
  <c r="EK423" i="16"/>
  <c r="EL148" i="16"/>
  <c r="DQ338" i="16"/>
  <c r="EC200" i="16"/>
  <c r="EQ79" i="16"/>
  <c r="CZ76" i="16"/>
  <c r="DM415" i="16"/>
  <c r="EC233" i="16"/>
  <c r="DT223" i="16"/>
  <c r="DK340" i="16"/>
  <c r="EL186" i="16"/>
  <c r="EQ510" i="16"/>
  <c r="ED439" i="16"/>
  <c r="DV420" i="16"/>
  <c r="EM331" i="16"/>
  <c r="EG143" i="16"/>
  <c r="DD290" i="16"/>
  <c r="ER100" i="16"/>
  <c r="EP192" i="16"/>
  <c r="ES301" i="16"/>
  <c r="EQ498" i="16"/>
  <c r="DJ363" i="16"/>
  <c r="DI470" i="16"/>
  <c r="ES360" i="16"/>
  <c r="EL455" i="16"/>
  <c r="DM249" i="16"/>
  <c r="EN82" i="16"/>
  <c r="EP393" i="16"/>
  <c r="EM348" i="16"/>
  <c r="DY115" i="16"/>
  <c r="EO297" i="16"/>
  <c r="DY184" i="16"/>
  <c r="DX381" i="16"/>
  <c r="EJ438" i="16"/>
  <c r="DP124" i="16"/>
  <c r="EP505" i="16"/>
  <c r="ES378" i="16"/>
  <c r="EE451" i="16"/>
  <c r="EJ273" i="16"/>
  <c r="EM203" i="16"/>
  <c r="EG172" i="16"/>
  <c r="DX113" i="16"/>
  <c r="EJ392" i="16"/>
  <c r="DH161" i="16"/>
  <c r="DW217" i="16"/>
  <c r="EL50" i="16"/>
  <c r="DI176" i="16"/>
  <c r="DH118" i="16"/>
  <c r="EF410" i="16"/>
  <c r="ES243" i="16"/>
  <c r="DP197" i="16"/>
  <c r="EO425" i="16"/>
  <c r="DN156" i="16"/>
  <c r="DA151" i="16"/>
  <c r="EF275" i="16"/>
  <c r="DB252" i="16"/>
  <c r="EO273" i="16"/>
  <c r="DA165" i="16"/>
  <c r="EO370" i="16"/>
  <c r="EC73" i="16"/>
  <c r="DR231" i="16"/>
  <c r="DI98" i="16"/>
  <c r="DM136" i="16"/>
  <c r="EA303" i="16"/>
  <c r="EJ271" i="16"/>
  <c r="EM277" i="16"/>
  <c r="ES494" i="16"/>
  <c r="DV65" i="16"/>
  <c r="DG311" i="16"/>
  <c r="EB358" i="16"/>
  <c r="DS288" i="16"/>
  <c r="DO399" i="16"/>
  <c r="EO506" i="16"/>
  <c r="DX351" i="16"/>
  <c r="DN211" i="16"/>
  <c r="ER215" i="16"/>
  <c r="EM149" i="16"/>
  <c r="DZ261" i="16"/>
  <c r="DK398" i="16"/>
  <c r="EB173" i="16"/>
  <c r="EJ178" i="16"/>
  <c r="DX442" i="16"/>
  <c r="DL187" i="16"/>
  <c r="DK318" i="16"/>
  <c r="EF92" i="16"/>
  <c r="EI410" i="16"/>
  <c r="DC219" i="16"/>
  <c r="DC144" i="16"/>
  <c r="DJ274" i="16"/>
  <c r="EK503" i="16"/>
  <c r="DX434" i="16"/>
  <c r="DD85" i="16"/>
  <c r="ES219" i="16"/>
  <c r="EK127" i="16"/>
  <c r="EH452" i="16"/>
  <c r="DY497" i="16"/>
  <c r="DC119" i="16"/>
  <c r="DK209" i="16"/>
  <c r="EE95" i="16"/>
  <c r="EM377" i="16"/>
  <c r="CZ78" i="16"/>
  <c r="DS415" i="16"/>
  <c r="EI448" i="16"/>
  <c r="DS67" i="16"/>
  <c r="DR63" i="16"/>
  <c r="DX346" i="16"/>
  <c r="ER82" i="16"/>
  <c r="ES71" i="16"/>
  <c r="DR441" i="16"/>
  <c r="EC443" i="16"/>
  <c r="EI89" i="16"/>
  <c r="DH172" i="16"/>
  <c r="ED270" i="16"/>
  <c r="EE143" i="16"/>
  <c r="DK251" i="16"/>
  <c r="EJ195" i="16"/>
  <c r="EG160" i="16"/>
  <c r="EG122" i="16"/>
  <c r="ER313" i="16"/>
  <c r="DJ190" i="16"/>
  <c r="DI446" i="16"/>
  <c r="DY99" i="16"/>
  <c r="DH438" i="16"/>
  <c r="EN507" i="16"/>
  <c r="EQ186" i="16"/>
  <c r="EK271" i="16"/>
  <c r="DU168" i="16"/>
  <c r="DO325" i="16"/>
  <c r="CZ244" i="16"/>
  <c r="DN55" i="16"/>
  <c r="DT380" i="16"/>
  <c r="ED118" i="16"/>
  <c r="DL513" i="16"/>
  <c r="EI441" i="16"/>
  <c r="DK110" i="16"/>
  <c r="EF444" i="16"/>
  <c r="DM244" i="16"/>
  <c r="EH313" i="16"/>
  <c r="DK201" i="16"/>
  <c r="DL263" i="16"/>
  <c r="EM129" i="16"/>
  <c r="DB126" i="16"/>
  <c r="DQ164" i="16"/>
  <c r="EK176" i="16"/>
  <c r="EP337" i="16"/>
  <c r="EM240" i="16"/>
  <c r="ED497" i="16"/>
  <c r="DE66" i="16"/>
  <c r="DF203" i="16"/>
  <c r="DA432" i="16"/>
  <c r="DN176" i="16"/>
  <c r="EP87" i="16"/>
  <c r="EA298" i="16"/>
  <c r="EP468" i="16"/>
  <c r="EG352" i="16"/>
  <c r="DF246" i="16"/>
  <c r="DX223" i="16"/>
  <c r="DS117" i="16"/>
  <c r="EL318" i="16"/>
  <c r="EL397" i="16"/>
  <c r="DI171" i="16"/>
  <c r="DE231" i="16"/>
  <c r="DE85" i="16"/>
  <c r="EK406" i="16"/>
  <c r="DD171" i="16"/>
  <c r="DA254" i="16"/>
  <c r="ES403" i="16"/>
  <c r="EI263" i="16"/>
  <c r="EB316" i="16"/>
  <c r="EB211" i="16"/>
  <c r="DI173" i="16"/>
  <c r="DJ51" i="16"/>
  <c r="DI54" i="16"/>
  <c r="DW402" i="16"/>
  <c r="EH357" i="16"/>
  <c r="DL420" i="16"/>
  <c r="DW249" i="16"/>
  <c r="DL137" i="16"/>
  <c r="DX141" i="16"/>
  <c r="DE158" i="16"/>
  <c r="DK324" i="16"/>
  <c r="DC67" i="16"/>
  <c r="EK190" i="16"/>
  <c r="DD260" i="16"/>
  <c r="DZ127" i="16"/>
  <c r="EA205" i="16"/>
  <c r="EA179" i="16"/>
  <c r="EK228" i="16"/>
  <c r="DO189" i="16"/>
  <c r="DL66" i="16"/>
  <c r="DQ365" i="16"/>
  <c r="DI253" i="16"/>
  <c r="EN158" i="16"/>
  <c r="EQ249" i="16"/>
  <c r="DD180" i="16"/>
  <c r="DR118" i="16"/>
  <c r="DA207" i="16"/>
  <c r="EL417" i="16"/>
  <c r="DL358" i="16"/>
  <c r="DT228" i="16"/>
  <c r="DJ335" i="16"/>
  <c r="DL407" i="16"/>
  <c r="DG92" i="16"/>
  <c r="EM269" i="16"/>
  <c r="DG199" i="16"/>
  <c r="ED266" i="16"/>
  <c r="DD178" i="16"/>
  <c r="EC142" i="16"/>
  <c r="DH187" i="16"/>
  <c r="EI59" i="16"/>
  <c r="ES125" i="16"/>
  <c r="EK139" i="16"/>
  <c r="DQ418" i="16"/>
  <c r="DO515" i="16"/>
  <c r="DI137" i="16"/>
  <c r="DZ419" i="16"/>
  <c r="DH58" i="16"/>
  <c r="EQ164" i="16"/>
  <c r="DG89" i="16"/>
  <c r="EA53" i="16"/>
  <c r="EF506" i="16"/>
  <c r="DE494" i="16"/>
  <c r="DT209" i="16"/>
  <c r="DL371" i="16"/>
  <c r="EN244" i="16"/>
  <c r="DR218" i="16"/>
  <c r="DJ369" i="16"/>
  <c r="EJ417" i="16"/>
  <c r="EP70" i="16"/>
  <c r="DU128" i="16"/>
  <c r="EP494" i="16"/>
  <c r="EL193" i="16"/>
  <c r="DX166" i="16"/>
  <c r="EF80" i="16"/>
  <c r="EJ59" i="16"/>
  <c r="DF211" i="16"/>
  <c r="EQ142" i="16"/>
  <c r="DS300" i="16"/>
  <c r="ER129" i="16"/>
  <c r="EP514" i="16"/>
  <c r="EE240" i="16"/>
  <c r="DT194" i="16"/>
  <c r="EQ289" i="16"/>
  <c r="EO471" i="16"/>
  <c r="EQ244" i="16"/>
  <c r="EK272" i="16"/>
  <c r="DY157" i="16"/>
  <c r="EL304" i="16"/>
  <c r="ED386" i="16"/>
  <c r="DR62" i="16"/>
  <c r="DQ213" i="16"/>
  <c r="EH128" i="16"/>
  <c r="DF136" i="16"/>
  <c r="DH224" i="16"/>
  <c r="EF125" i="16"/>
  <c r="EQ68" i="16"/>
  <c r="DC464" i="16"/>
  <c r="EB110" i="16"/>
  <c r="EC151" i="16"/>
  <c r="DS106" i="16"/>
  <c r="CZ222" i="16"/>
  <c r="DB387" i="16"/>
  <c r="DF388" i="16"/>
  <c r="DA217" i="16"/>
  <c r="DF201" i="16"/>
  <c r="EI213" i="16"/>
  <c r="EA351" i="16"/>
  <c r="DQ286" i="16"/>
  <c r="DQ377" i="16"/>
  <c r="EA278" i="16"/>
  <c r="DM86" i="16"/>
  <c r="CZ230" i="16"/>
  <c r="EE333" i="16"/>
  <c r="DR189" i="16"/>
  <c r="EL264" i="16"/>
  <c r="DF212" i="16"/>
  <c r="DS352" i="16"/>
  <c r="DX418" i="16"/>
  <c r="DZ388" i="16"/>
  <c r="DY389" i="16"/>
  <c r="EO93" i="16"/>
  <c r="DA508" i="16"/>
  <c r="ER443" i="16"/>
  <c r="ED468" i="16"/>
  <c r="DI65" i="16"/>
  <c r="ER497" i="16"/>
  <c r="DU143" i="16"/>
  <c r="DB226" i="16"/>
  <c r="EM325" i="16"/>
  <c r="EF196" i="16"/>
  <c r="DS127" i="16"/>
  <c r="ED244" i="16"/>
  <c r="EJ260" i="16"/>
  <c r="DM427" i="16"/>
  <c r="EE268" i="16"/>
  <c r="DT184" i="16"/>
  <c r="EM243" i="16"/>
  <c r="DQ109" i="16"/>
  <c r="DK136" i="16"/>
  <c r="DE203" i="16"/>
  <c r="DJ99" i="16"/>
  <c r="DW266" i="16"/>
  <c r="EA418" i="16"/>
  <c r="DC199" i="16"/>
  <c r="DA362" i="16"/>
  <c r="ES82" i="16"/>
  <c r="DN356" i="16"/>
  <c r="DD100" i="16"/>
  <c r="DR439" i="16"/>
  <c r="EQ85" i="16"/>
  <c r="EP174" i="16"/>
  <c r="EN503" i="16"/>
  <c r="EQ407" i="16"/>
  <c r="DB485" i="16"/>
  <c r="DV242" i="16"/>
  <c r="DY286" i="16"/>
  <c r="DY255" i="16"/>
  <c r="EB186" i="16"/>
  <c r="DE462" i="16"/>
  <c r="EJ50" i="16"/>
  <c r="DY308" i="16"/>
  <c r="DB159" i="16"/>
  <c r="DK298" i="16"/>
  <c r="DN433" i="16"/>
  <c r="DI238" i="16"/>
  <c r="EB489" i="16"/>
  <c r="DX145" i="16"/>
  <c r="DW192" i="16"/>
  <c r="DD165" i="16"/>
  <c r="EK498" i="16"/>
  <c r="DG453" i="16"/>
  <c r="EE391" i="16"/>
  <c r="DY198" i="16"/>
  <c r="DY205" i="16"/>
  <c r="DS221" i="16"/>
  <c r="ER465" i="16"/>
  <c r="DP215" i="16"/>
  <c r="EK256" i="16"/>
  <c r="EP246" i="16"/>
  <c r="DB166" i="16"/>
  <c r="EG247" i="16"/>
  <c r="DK250" i="16"/>
  <c r="ER336" i="16"/>
  <c r="DE105" i="16"/>
  <c r="DJ427" i="16"/>
  <c r="DI139" i="16"/>
  <c r="EC498" i="16"/>
  <c r="CZ192" i="16"/>
  <c r="ED401" i="16"/>
  <c r="EJ62" i="16"/>
  <c r="EP328" i="16"/>
  <c r="EI490" i="16"/>
  <c r="DX440" i="16"/>
  <c r="EK476" i="16"/>
  <c r="DI272" i="16"/>
  <c r="EI358" i="16"/>
  <c r="DI115" i="16"/>
  <c r="DN205" i="16"/>
  <c r="EC154" i="16"/>
  <c r="DR226" i="16"/>
  <c r="DN305" i="16"/>
  <c r="DZ395" i="16"/>
  <c r="DZ90" i="16"/>
  <c r="DP437" i="16"/>
  <c r="DG213" i="16"/>
  <c r="EG318" i="16"/>
  <c r="DM313" i="16"/>
  <c r="DX457" i="16"/>
  <c r="EN454" i="16"/>
  <c r="DG59" i="16"/>
  <c r="DS447" i="16"/>
  <c r="DZ352" i="16"/>
  <c r="DF263" i="16"/>
  <c r="EJ97" i="16"/>
  <c r="DO390" i="16"/>
  <c r="ES100" i="16"/>
  <c r="CZ317" i="16"/>
  <c r="DF174" i="16"/>
  <c r="DV347" i="16"/>
  <c r="DW405" i="16"/>
  <c r="CZ210" i="16"/>
  <c r="EQ505" i="16"/>
  <c r="DD94" i="16"/>
  <c r="DJ357" i="16"/>
  <c r="EP269" i="16"/>
  <c r="DU285" i="16"/>
  <c r="EA287" i="16"/>
  <c r="CZ195" i="16"/>
  <c r="DV271" i="16"/>
  <c r="EM198" i="16"/>
  <c r="DE210" i="16"/>
  <c r="DT346" i="16"/>
  <c r="DF510" i="16"/>
  <c r="ED274" i="16"/>
  <c r="EK224" i="16"/>
  <c r="EE415" i="16"/>
  <c r="DM308" i="16"/>
  <c r="EI203" i="16"/>
  <c r="EK189" i="16"/>
  <c r="DI177" i="16"/>
  <c r="DT130" i="16"/>
  <c r="DD515" i="16"/>
  <c r="DL389" i="16"/>
  <c r="DF72" i="16"/>
  <c r="ER340" i="16"/>
  <c r="EQ181" i="16"/>
  <c r="ER402" i="16"/>
  <c r="CZ197" i="16"/>
  <c r="EP362" i="16"/>
  <c r="DC419" i="16"/>
  <c r="DE146" i="16"/>
  <c r="DZ144" i="16"/>
  <c r="DO328" i="16"/>
  <c r="EI428" i="16"/>
  <c r="DC57" i="16"/>
  <c r="EB229" i="16"/>
  <c r="ED373" i="16"/>
  <c r="CZ265" i="16"/>
  <c r="EF186" i="16"/>
  <c r="EL82" i="16"/>
  <c r="EF111" i="16"/>
  <c r="DZ420" i="16"/>
  <c r="ES345" i="16"/>
  <c r="DM347" i="16"/>
  <c r="DI324" i="16"/>
  <c r="EA141" i="16"/>
  <c r="DJ516" i="16"/>
  <c r="EM297" i="16"/>
  <c r="DO286" i="16"/>
  <c r="EP55" i="16"/>
  <c r="DH106" i="16"/>
  <c r="EI251" i="16"/>
  <c r="EM117" i="16"/>
  <c r="EA182" i="16"/>
  <c r="EG358" i="16"/>
  <c r="EC313" i="16"/>
  <c r="EI82" i="16"/>
  <c r="EG244" i="16"/>
  <c r="DO87" i="16"/>
  <c r="DA110" i="16"/>
  <c r="DZ121" i="16"/>
  <c r="EL378" i="16"/>
  <c r="EM202" i="16"/>
  <c r="DQ345" i="16"/>
  <c r="EL108" i="16"/>
  <c r="EM315" i="16"/>
  <c r="DI191" i="16"/>
  <c r="DQ83" i="16"/>
  <c r="DF207" i="16"/>
  <c r="DQ387" i="16"/>
  <c r="EE136" i="16"/>
  <c r="DL129" i="16"/>
  <c r="DS490" i="16"/>
  <c r="EP142" i="16"/>
  <c r="EQ396" i="16"/>
  <c r="DJ284" i="16"/>
  <c r="EI209" i="16"/>
  <c r="EM393" i="16"/>
  <c r="EE358" i="16"/>
  <c r="ER364" i="16"/>
  <c r="DI178" i="16"/>
  <c r="EN93" i="16"/>
  <c r="DP402" i="16"/>
  <c r="DL329" i="16"/>
  <c r="EC68" i="16"/>
  <c r="EQ259" i="16"/>
  <c r="DU166" i="16"/>
  <c r="DE62" i="16"/>
  <c r="DG236" i="16"/>
  <c r="EP448" i="16"/>
  <c r="DK90" i="16"/>
  <c r="DF177" i="16"/>
  <c r="DW144" i="16"/>
  <c r="DJ62" i="16"/>
  <c r="EP240" i="16"/>
  <c r="DQ106" i="16"/>
  <c r="DX316" i="16"/>
  <c r="DZ370" i="16"/>
  <c r="DQ215" i="16"/>
  <c r="EI226" i="16"/>
  <c r="DT424" i="16"/>
  <c r="EE120" i="16"/>
  <c r="DK322" i="16"/>
  <c r="DY211" i="16"/>
  <c r="DD205" i="16"/>
  <c r="DQ509" i="16"/>
  <c r="EL94" i="16"/>
  <c r="DR215" i="16"/>
  <c r="DO290" i="16"/>
  <c r="DM89" i="16"/>
  <c r="DW392" i="16"/>
  <c r="DP112" i="16"/>
  <c r="EB439" i="16"/>
  <c r="EL404" i="16"/>
  <c r="EO450" i="16"/>
  <c r="DH89" i="16"/>
  <c r="DG51" i="16"/>
  <c r="DO363" i="16"/>
  <c r="DF329" i="16"/>
  <c r="EE301" i="16"/>
  <c r="DQ258" i="16"/>
  <c r="EK477" i="16"/>
  <c r="EL474" i="16"/>
  <c r="EF401" i="16"/>
  <c r="EK502" i="16"/>
  <c r="DR353" i="16"/>
  <c r="EB496" i="16"/>
  <c r="DV71" i="16"/>
  <c r="DL94" i="16"/>
  <c r="EE192" i="16"/>
  <c r="EM359" i="16"/>
  <c r="EE223" i="16"/>
  <c r="EA81" i="16"/>
  <c r="DT331" i="16"/>
  <c r="DC194" i="16"/>
  <c r="DF488" i="16"/>
  <c r="DH421" i="16"/>
  <c r="ER381" i="16"/>
  <c r="DY482" i="16"/>
  <c r="DP251" i="16"/>
  <c r="DK256" i="16"/>
  <c r="DN102" i="16"/>
  <c r="DF202" i="16"/>
  <c r="DK310" i="16"/>
  <c r="CZ136" i="16"/>
  <c r="DT270" i="16"/>
  <c r="DJ148" i="16"/>
  <c r="ED285" i="16"/>
  <c r="DI252" i="16"/>
  <c r="EB372" i="16"/>
  <c r="DJ420" i="16"/>
  <c r="DZ501" i="16"/>
  <c r="DJ269" i="16"/>
  <c r="DD435" i="16"/>
  <c r="EI172" i="16"/>
  <c r="DP270" i="16"/>
  <c r="DD319" i="16"/>
  <c r="DQ235" i="16"/>
  <c r="DA74" i="16"/>
  <c r="DY355" i="16"/>
  <c r="EI175" i="16"/>
  <c r="DU167" i="16"/>
  <c r="EF459" i="16"/>
  <c r="EJ399" i="16"/>
  <c r="DY305" i="16"/>
  <c r="DU495" i="16"/>
  <c r="DR398" i="16"/>
  <c r="EG456" i="16"/>
  <c r="DI232" i="16"/>
  <c r="DH232" i="16"/>
  <c r="DL411" i="16"/>
  <c r="DE111" i="16"/>
  <c r="EM316" i="16"/>
  <c r="EA207" i="16"/>
  <c r="DX487" i="16"/>
  <c r="DH309" i="16"/>
  <c r="DU211" i="16"/>
  <c r="EK140" i="16"/>
  <c r="EG248" i="16"/>
  <c r="EP179" i="16"/>
  <c r="EI151" i="16"/>
  <c r="DS170" i="16"/>
  <c r="ES328" i="16"/>
  <c r="EO489" i="16"/>
  <c r="DI235" i="16"/>
  <c r="DC56" i="16"/>
  <c r="EE118" i="16"/>
  <c r="DP309" i="16"/>
  <c r="EF306" i="16"/>
  <c r="EI178" i="16"/>
  <c r="EP112" i="16"/>
  <c r="DT164" i="16"/>
  <c r="EK478" i="16"/>
  <c r="DV203" i="16"/>
  <c r="EH514" i="16"/>
  <c r="DJ134" i="16"/>
  <c r="DL93" i="16"/>
  <c r="EJ156" i="16"/>
  <c r="DS196" i="16"/>
  <c r="EC394" i="16"/>
  <c r="DU289" i="16"/>
  <c r="EE201" i="16"/>
  <c r="EE274" i="16"/>
  <c r="DE213" i="16"/>
  <c r="EL316" i="16"/>
  <c r="DZ188" i="16"/>
  <c r="EG273" i="16"/>
  <c r="EM290" i="16"/>
  <c r="EA146" i="16"/>
  <c r="EF89" i="16"/>
  <c r="EL290" i="16"/>
  <c r="ER170" i="16"/>
  <c r="EM490" i="16"/>
  <c r="DW96" i="16"/>
  <c r="EN103" i="16"/>
  <c r="CZ512" i="16"/>
  <c r="DC50" i="16"/>
  <c r="DF410" i="16"/>
  <c r="DK112" i="16"/>
  <c r="ES77" i="16"/>
  <c r="EQ317" i="16"/>
  <c r="EM471" i="16"/>
  <c r="DN226" i="16"/>
  <c r="EQ272" i="16"/>
  <c r="EK86" i="16"/>
  <c r="EO246" i="16"/>
  <c r="DL506" i="16"/>
  <c r="DJ272" i="16"/>
  <c r="ED86" i="16"/>
  <c r="DI221" i="16"/>
  <c r="DN60" i="16"/>
  <c r="DX140" i="16"/>
  <c r="EG98" i="16"/>
  <c r="DF141" i="16"/>
  <c r="DZ296" i="16"/>
  <c r="EB127" i="16"/>
  <c r="EJ458" i="16"/>
  <c r="DZ407" i="16"/>
  <c r="EO256" i="16"/>
  <c r="EB450" i="16"/>
  <c r="EB268" i="16"/>
  <c r="DR102" i="16"/>
  <c r="DE89" i="16"/>
  <c r="EL327" i="16"/>
  <c r="DE224" i="16"/>
  <c r="EB122" i="16"/>
  <c r="DE187" i="16"/>
  <c r="B82" i="23"/>
  <c r="C54" i="24"/>
  <c r="C33" i="24"/>
  <c r="E34" i="24"/>
  <c r="B10" i="16"/>
  <c r="DP173" i="1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tc={470F9C1F-B458-5A42-929E-5CBF6C60A5DE}</author>
    <author>tc={D6B095B4-8C37-4C42-A050-CF67F491CC76}</author>
    <author>tc={57C00A29-06F4-D641-A86D-91EB6854784A}</author>
    <author>tc={05D6193E-712F-684D-A528-6565CB36048E}</author>
    <author>tc={46DDD187-A27C-C947-9AFD-6F5626B0F153}</author>
    <author>tc={ED017825-6E97-3641-B2EE-D62008EDD3DA}</author>
    <author>tc={33AE5E91-4B8E-2448-93C1-FCA0241A1F09}</author>
    <author>tc={2E932E48-864C-434C-98D3-BD95C668CCAB}</author>
    <author>tc={BC9493D9-894E-1343-9D2C-65FDBF0CA803}</author>
    <author>tc={86944683-3352-DE4E-AD70-145F373A7C77}</author>
  </authors>
  <commentList>
    <comment ref="D125" authorId="0" shapeId="0" xr:uid="{470F9C1F-B458-5A42-929E-5CBF6C60A5DE}">
      <text>
        <t>[线程批注]
你的Excel版本可读取此线程批注; 但如果在更新版本的Excel中打开文件，则对批注所作的任何改动都将被删除。了解详细信息: https://go.microsoft.com/fwlink/?linkid=870924
注释:
    Share of Public Finance</t>
      </text>
    </comment>
    <comment ref="E125" authorId="1" shapeId="0" xr:uid="{D6B095B4-8C37-4C42-A050-CF67F491CC76}">
      <text>
        <t>[线程批注]
你的Excel版本可读取此线程批注; 但如果在更新版本的Excel中打开文件，则对批注所作的任何改动都将被删除。了解详细信息: https://go.microsoft.com/fwlink/?linkid=870924
注释:
    Share of Debt Finance</t>
      </text>
    </comment>
    <comment ref="F125" authorId="2" shapeId="0" xr:uid="{57C00A29-06F4-D641-A86D-91EB6854784A}">
      <text>
        <t>[线程批注]
你的Excel版本可读取此线程批注; 但如果在更新版本的Excel中打开文件，则对批注所作的任何改动都将被删除。了解详细信息: https://go.microsoft.com/fwlink/?linkid=870924
注释:
    Share of Domestic Finance</t>
      </text>
    </comment>
    <comment ref="G125" authorId="3" shapeId="0" xr:uid="{05D6193E-712F-684D-A528-6565CB36048E}">
      <text>
        <t>[线程批注]
你的Excel版本可读取此线程批注; 但如果在更新版本的Excel中打开文件，则对批注所作的任何改动都将被删除。了解详细信息: https://go.microsoft.com/fwlink/?linkid=870924
注释:
    Share of MDB Finance</t>
      </text>
    </comment>
    <comment ref="D126" authorId="4" shapeId="0" xr:uid="{46DDD187-A27C-C947-9AFD-6F5626B0F153}">
      <text>
        <t>[线程批注]
你的Excel版本可读取此线程批注; 但如果在更新版本的Excel中打开文件，则对批注所作的任何改动都将被删除。了解详细信息: https://go.microsoft.com/fwlink/?linkid=870924
注释:
    Share of Private Finance</t>
      </text>
    </comment>
    <comment ref="E126" authorId="5" shapeId="0" xr:uid="{ED017825-6E97-3641-B2EE-D62008EDD3DA}">
      <text>
        <t>[线程批注]
你的Excel版本可读取此线程批注; 但如果在更新版本的Excel中打开文件，则对批注所作的任何改动都将被删除。了解详细信息: https://go.microsoft.com/fwlink/?linkid=870924
注释:
    Share of Equity Finance</t>
      </text>
    </comment>
    <comment ref="F126" authorId="6" shapeId="0" xr:uid="{33AE5E91-4B8E-2448-93C1-FCA0241A1F09}">
      <text>
        <t>[线程批注]
你的Excel版本可读取此线程批注; 但如果在更新版本的Excel中打开文件，则对批注所作的任何改动都将被删除。了解详细信息: https://go.microsoft.com/fwlink/?linkid=870924
注释:
    Share of International Finance</t>
      </text>
    </comment>
    <comment ref="G126" authorId="7" shapeId="0" xr:uid="{2E932E48-864C-434C-98D3-BD95C668CCAB}">
      <text>
        <t>[线程批注]
你的Excel版本可读取此线程批注; 但如果在更新版本的Excel中打开文件，则对批注所作的任何改动都将被删除。了解详细信息: https://go.microsoft.com/fwlink/?linkid=870924
注释:
    Share of NDB Finance</t>
      </text>
    </comment>
    <comment ref="G127" authorId="8" shapeId="0" xr:uid="{BC9493D9-894E-1343-9D2C-65FDBF0CA803}">
      <text>
        <t>[线程批注]
你的Excel版本可读取此线程批注; 但如果在更新版本的Excel中打开文件，则对批注所作的任何改动都将被删除。了解详细信息: https://go.microsoft.com/fwlink/?linkid=870924
注释:
    Share of Commercial International Finance</t>
      </text>
    </comment>
    <comment ref="G128" authorId="9" shapeId="0" xr:uid="{86944683-3352-DE4E-AD70-145F373A7C77}">
      <text>
        <t>[线程批注]
你的Excel版本可读取此线程批注; 但如果在更新版本的Excel中打开文件，则对批注所作的任何改动都将被删除。了解详细信息: https://go.microsoft.com/fwlink/?linkid=870924
注释:
    Share of Commercial Domestic Finance</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tc={35ACD4F3-4CCB-9A4D-8865-430A930F3FA6}</author>
  </authors>
  <commentList>
    <comment ref="B41" authorId="0" shapeId="0" xr:uid="{35ACD4F3-4CCB-9A4D-8865-430A930F3FA6}">
      <text>
        <t>[线程批注]
你的Excel版本可读取此线程批注; 但如果在更新版本的Excel中打开文件，则对批注所作的任何改动都将被删除。了解详细信息: https://go.microsoft.com/fwlink/?linkid=870924
注释:
    If the Donor MIRR falls below the Donor Opportunity Cost in cell B3, the investment is a poor proposition from their perspective</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tc={2AEAE1FB-9B0A-4AD6-8E21-94EE3A19F72D}</author>
    <author>tc={86A0B177-E9F8-4B6C-8C4C-4466CF195D49}</author>
    <author>tc={9555FA75-2E3D-4E76-AC3A-334108121AB9}</author>
    <author>tc={5073AE5E-BAF8-394E-83B4-7A485F59AD58}</author>
    <author>tc={942412FB-6404-4EE1-9E12-3A090093D58B}</author>
    <author>tc={E3DAF25F-C813-47F5-8264-6009724D4413}</author>
    <author>tc={2A19A216-5403-45F4-BD12-42145ED1EEE8}</author>
    <author>tc={E3C3E0B2-42CF-47DC-93FD-A858B6340962}</author>
    <author>tc={0C11403F-5231-4C6D-80E3-1C3236268D1E}</author>
    <author>tc={C30E2A75-3619-418E-823E-FFDE1EA869FA}</author>
    <author>tc={AEE7F442-D0E2-4643-801B-2A344AABE1B6}</author>
    <author>tc={BD627663-C314-452A-ADF6-FF170DFBD1EB}</author>
    <author>tc={0EBC05A4-90BE-2146-9D91-B65F98305CCC}</author>
    <author>tc={2D6C534E-6666-4F49-9772-02010DF106D4}</author>
    <author>tc={E9779A19-FCA3-4721-98F0-8EEA88712E29}</author>
    <author>tc={5506784F-7D55-426C-8935-2390C8507269}</author>
    <author>tc={7CE13147-901D-4520-B9D5-FA35BC334875}</author>
    <author>tc={9B999879-F5B4-40B1-A90D-9F439B047F77}</author>
    <author>tc={A4DF6DFE-1943-47A7-A886-5F6AE23C5784}</author>
    <author>tc={2E1A744D-FFFD-47AE-B326-1A1B90D0BAC8}</author>
    <author>tc={ADA9B7B4-8FB6-415E-8810-DDFDE63F2ECC}</author>
    <author>tc={727221D9-B180-47E2-A023-4DEC6F3B9D59}</author>
    <author>tc={940BBA02-5562-4F39-B042-44D75AD4B8BE}</author>
    <author>tc={E167DDF2-463D-48A9-A486-179B12632622}</author>
    <author>tc={7F871619-F1ED-418C-B5D3-6944FE8A4DF7}</author>
    <author>tc={C948F75A-F265-4504-A937-B1B24E812BB6}</author>
    <author>tc={B31A60A2-01D5-4FE1-A759-C6867D204034}</author>
    <author>tc={8D2FE849-2FE5-448F-BBC2-22833A59CCA8}</author>
    <author>tc={AB241B28-904B-40B1-B147-E6406B13E69A}</author>
    <author>tc={75139492-5418-4AFE-A8EA-605DCE5763AE}</author>
    <author>tc={370D307B-5CDD-4D95-BF07-94254A5C4C6F}</author>
    <author>tc={038FFFBC-6FF1-4E8E-810A-B21D84977F08}</author>
    <author>tc={302A78DE-2244-49E9-986A-12BCED68ECFE}</author>
    <author>tc={9F23A7EE-44DA-4CC3-9D54-B0E27D639456}</author>
    <author>tc={836555D9-E81B-4911-BDCA-DF692CFE5C84}</author>
    <author>tc={18377ED2-7386-4CAB-B00D-FB2B2620D620}</author>
    <author>tc={56A5EABA-C5F6-4126-9C88-8BEC76B38202}</author>
    <author>tc={3013E9AD-3558-446F-BF94-0A462ABA02D4}</author>
    <author>tc={2F1D953E-4746-4136-B330-982DF1554000}</author>
    <author>tc={5A1C066E-9A4C-4D0A-9513-5EA7E38C8CBE}</author>
    <author>tc={66CF8BD0-73C6-410D-9941-051F72B3F8C2}</author>
    <author>tc={D77B95F7-EF0F-4321-9C0F-AFC70CEF55FF}</author>
    <author>tc={17FBF656-9F71-48A5-B861-FB216DCD36A2}</author>
    <author>tc={4B3F0AC8-D1CD-4D60-A5BA-D99DE404B48D}</author>
    <author>tc={F9A7A7E7-6A95-4CF7-B50B-D31519632953}</author>
    <author>tc={633048F9-2B0E-4583-83DA-DA1B49ABDB10}</author>
    <author>tc={2BB98A7C-A6BC-4E77-8A76-9C9506C56E7D}</author>
    <author>tc={FC07E8EB-E216-4B89-9039-C9528083EEA7}</author>
    <author>tc={144EA4BE-96EA-4F3E-9155-F3C36F55A658}</author>
    <author>tc={8BAD5085-AE93-4CA3-B349-3CEA39862F24}</author>
    <author>tc={83B56362-F3CE-49D7-BBD4-192A1B2FC96F}</author>
    <author>tc={2862D644-89A7-4F19-98C6-86E06C9AC504}</author>
    <author>tc={80A61520-3EBE-43F6-9773-A4CA81C709D8}</author>
    <author>tc={C19B550E-EEC4-4BFE-A964-18292DFB7E38}</author>
    <author>tc={CC930C14-DE97-432B-AB26-0612FC03B582}</author>
    <author>tc={C5875CE9-499F-4210-969B-D015EA52FB1A}</author>
    <author>tc={75ED6D61-4595-4F4C-94A6-0008515509A0}</author>
    <author>tc={4A4F0EB7-1FCD-4BE7-8A24-826EB58485FE}</author>
    <author>tc={4CAB76F9-819C-4DF1-B8A1-BD43FD75C232}</author>
    <author>tc={A1103560-6173-43C8-95C9-2AB274E448B3}</author>
    <author>tc={F1D3C7CF-5272-49BC-8E29-9B5D9AF6FD13}</author>
    <author>tc={F1961460-F330-4827-A34B-D60BC362CC88}</author>
    <author>tc={EA02FA3D-4903-453F-AF75-EF7E94CAED77}</author>
    <author>tc={AA3FD464-9B40-462A-84A4-D9C9BE5E8954}</author>
    <author>tc={DD66B86E-8159-4ADF-A85B-3D36C1484745}</author>
    <author>tc={A16B20E7-A3D6-4FAA-8F4E-718EE98E5FD3}</author>
    <author>tc={A5956E0E-E020-4641-B21C-725F0A406E42}</author>
    <author>tc={2469C3B9-994C-4BA4-8E1A-D8740D2E6620}</author>
    <author>tc={5749E0BF-CFCB-47EF-B02E-1554D88CCB4D}</author>
    <author>tc={ADBB24D7-6877-49D9-9B55-E660F7F61C16}</author>
    <author>tc={68077F8F-FD1A-4071-8A26-89C1A2E64218}</author>
    <author>tc={4F4A8D48-F52B-4674-8253-ED9B06C2CF13}</author>
    <author>tc={33D6135F-FFE9-4E3A-89A8-FD6E718775BB}</author>
    <author>tc={25C65F5B-7759-4EFE-B3BA-F945445735B5}</author>
    <author>tc={26260654-0A5A-4EB5-9E4B-E661D73A2108}</author>
    <author>tc={07BC831D-1F92-4FD7-8324-AB4312C6ECED}</author>
    <author>tc={01B77FA4-29A5-4EED-91BB-D44B6FC76CD7}</author>
    <author>tc={3F60BCF0-1091-4382-BAF9-7518A20A5A84}</author>
    <author>tc={087D2280-8171-4A85-8AB5-BFE7E4F88979}</author>
    <author>tc={5A8A5FFA-AB68-4D0B-80A4-2DFD854A8842}</author>
    <author>tc={02576EF7-D4E6-44D1-883D-CCD8AF261D47}</author>
    <author>tc={6FD266F1-2A63-4B8B-B83F-D277D0FFD28D}</author>
    <author>tc={5A5AC0D0-B4B5-4E12-9DB5-C9A1A67E6B81}</author>
    <author>tc={801EDC88-4ED0-432E-92D1-6E943232049C}</author>
    <author>tc={4CC06EF7-5C35-4806-8FDE-A9B458E8B2C9}</author>
    <author>tc={1066FC0A-253C-40D5-A396-44AC9FC0888E}</author>
    <author>tc={F13F4D60-AD50-4872-8720-4177F3C48F0B}</author>
    <author>tc={D55FE901-F2AB-4B55-BC5A-C7238E930F9C}</author>
    <author>tc={04253FB7-99E6-4202-89AF-ABB67542B7CD}</author>
    <author>tc={7B2A4C45-E0F5-40DF-B24C-017304A85D0C}</author>
    <author>tc={8D21AE0F-52F9-420D-947E-D09A13CC5C3A}</author>
    <author>tc={3C85DDAC-7DEA-426C-8B83-8D551351A24B}</author>
    <author>tc={B19C054C-2576-45B1-9932-D7A12E89DF84}</author>
    <author>tc={E583ECB5-AB37-4E9A-9174-50EC0C019F6C}</author>
    <author>tc={0A7777BE-1AE6-4833-8FDD-067DE4ABA5DD}</author>
    <author>tc={6A3605D6-8223-4ECA-BA1A-0C845EC4DAFF}</author>
    <author>tc={DA0F1E63-410C-4FD0-A5F9-8D3FCC1BE901}</author>
    <author>tc={B9B62126-31A9-49F0-BD38-ED8AD32B1503}</author>
    <author>tc={CD72A55E-748D-47AF-9B68-D709A6F10690}</author>
    <author>tc={25164CF1-DD39-4E6D-9258-241F8B913FB4}</author>
    <author>tc={54BE28ED-BF1D-4C56-AC4F-8D7720A4CE23}</author>
    <author>tc={E8F0F868-4FC3-40D6-8DD8-CB07480F15B7}</author>
    <author>tc={CC4E43CA-E66E-4E78-ABCC-82EF8C86722C}</author>
    <author>tc={A7466E57-3EEF-4001-80B9-70A5478783C9}</author>
    <author>tc={82BF9AFE-2D27-45CB-A06A-F475328E9FA1}</author>
    <author>tc={767933C5-B3C3-4574-B1BF-E19613F5E554}</author>
    <author>tc={D5C52348-7ADD-4466-B3D1-6B9370AC672C}</author>
    <author>tc={39166CB8-129A-4E01-A6B8-B4CD5BBE2B8F}</author>
    <author>tc={9EE4F44E-05DB-4593-B56C-44DA59698AD8}</author>
    <author>tc={71EFE561-A82D-4D1E-96A2-CB57B51E395D}</author>
    <author>tc={566D705E-A760-4E67-BA1A-35F7B4B6E869}</author>
    <author>tc={92FBA530-2EE0-4036-986F-2F4C2C3CE458}</author>
    <author>tc={82190D53-5DED-4775-9946-800DD8D1EBE9}</author>
    <author>tc={51B116E5-76DB-4984-B396-EDEF7F5DDAED}</author>
    <author>tc={90A4988B-8F8A-426B-BB7D-820481B37322}</author>
    <author>tc={DF63D2C8-0E92-4B41-B3BA-5B5F81439B7C}</author>
    <author>tc={BE8D1E7E-1CF9-48AC-B9E7-3EC78AA7E438}</author>
    <author>tc={9F219B6B-3AE3-4829-8A51-FF3C686ABBBF}</author>
    <author>tc={282AC230-333A-4E21-BE7F-ABF7591A7404}</author>
    <author>tc={CD4A35F6-1775-4A8D-B533-CDAC5A80189D}</author>
    <author>tc={1CD0A5DA-3781-46CA-B7B4-B99E533581A4}</author>
    <author>tc={57BD138A-5026-43CA-BE58-6DE01E527497}</author>
    <author>tc={9456C464-B387-45CE-A536-CBD39B8A143F}</author>
    <author>tc={F9336E44-53DE-4723-9BCE-520E9BBDA733}</author>
    <author>tc={87D7F05D-258D-4009-BE54-DE4C9EA91842}</author>
    <author>tc={0E6B5B71-FA21-40C0-A3A5-AB88D202597A}</author>
    <author>tc={0928B0B1-71C8-4096-8D5F-EB6BD6B99375}</author>
    <author>tc={08F0F890-3346-437A-B741-F390A43EA663}</author>
    <author>tc={CD640E43-6AEC-409A-954F-39DA1BB79DBA}</author>
    <author>tc={1E89469E-7E12-47A9-AA8A-C1185B1FFF6D}</author>
    <author>tc={5F5B42C7-BCCE-4056-99AF-AD3E58489E64}</author>
    <author>tc={967CDEB5-62A5-48C0-A80E-85A4CA9FE7FB}</author>
    <author>tc={9244E8C4-4AD5-4E96-87EE-959D180F5F8E}</author>
    <author>tc={BE818017-ADBC-45DB-B688-CC847F43E6C2}</author>
    <author>tc={BE86E572-A2E5-4D8D-A3B8-F34DB7FBE380}</author>
    <author>tc={DFDF4FD3-4662-4D7E-9AA2-1B21AAFBB9A6}</author>
    <author>tc={C340EF61-7416-4EE7-B161-87EF7E8C4CAD}</author>
    <author>tc={48ABBD3C-AEA4-4762-A731-2154510A70CE}</author>
    <author>tc={226B05A4-D37E-41EB-A703-4C7A2C8724FB}</author>
    <author>tc={67ACF060-8EA6-4510-A736-C1D3D216E2E8}</author>
    <author>tc={35ED9A67-5DB7-4F65-A940-612203E3BA0B}</author>
    <author>tc={8A33FCC6-ACBD-4BAE-B111-39CC29506AA4}</author>
    <author>tc={C5C051F5-8F30-4DF0-8400-15EABD1BDBB9}</author>
    <author>tc={C18DF82B-5F50-4284-8E62-86E5044FC05D}</author>
    <author>tc={6EA40D3B-18A8-4000-BF30-CD5E3B409E2A}</author>
    <author>tc={2266EF0B-4C80-4F85-B980-E06018B55EBF}</author>
    <author>tc={CDCDF8B3-1770-4342-AF9C-3434D6EA17B6}</author>
    <author>tc={8BF3FF93-31AA-4345-A8AF-D1214E6E3DBF}</author>
    <author>tc={1E0CF830-BE48-4EFB-A5FE-760B41204C30}</author>
    <author>tc={B0458021-4DED-4A16-94A9-D64348D484D4}</author>
    <author>tc={38D28692-727B-4AAC-A413-FF2C3778726D}</author>
    <author>tc={3C385107-D5C2-471E-A46D-92FC430C3BA5}</author>
    <author>tc={15D9230C-AB84-4D4F-AF1D-B0CFDE61465C}</author>
    <author>tc={447B569A-204B-4878-9426-E8E3BD2BCE5E}</author>
    <author>tc={8EC5DF89-2881-4526-858E-14206B87BFDA}</author>
    <author>tc={5B66C448-52B6-4B5F-A74E-214AE826784A}</author>
    <author>tc={FB651240-1D69-42B7-80B5-C8D3EE9F50BB}</author>
    <author>tc={E26FBA1B-4929-4659-8516-664F23CCF2FC}</author>
    <author>tc={0E4B3BE7-2372-44F4-B45F-894F70763898}</author>
    <author>tc={3BEA8094-5837-4BBC-A974-985385466FA7}</author>
    <author>tc={6FB3E866-1282-4102-A77F-331F338DD3EE}</author>
    <author>tc={D631138E-08AE-4921-AE4F-AC14EB2037EC}</author>
    <author>tc={ACC29C29-68DC-4831-87FE-1CA9A9801E70}</author>
    <author>tc={08C13D9A-2416-4FA3-A535-9009B65F036D}</author>
    <author>tc={E5087A1D-3583-428C-A2B4-138E2CD723D7}</author>
    <author>tc={5DB6909A-49C5-41E0-AA68-006D72CDC571}</author>
    <author>tc={6B1D6E76-CA06-4FB4-8BC9-6219378041D1}</author>
    <author>tc={FEE72F07-4391-44DB-A4F1-3D2872714B3F}</author>
    <author>tc={AF9E8196-C2A8-4C66-985D-F117480B6E3B}</author>
    <author>tc={6FF9EF1F-F9DE-4122-8C49-6823E82EF3CE}</author>
    <author>tc={B5AB6536-CB76-4C75-A96F-C07E2046FC56}</author>
    <author>tc={A3ED1B0D-3282-4366-A2E0-F4D9451D9AE7}</author>
    <author>tc={1CA3C5BC-90EF-4B46-BF01-6952E81451C6}</author>
    <author>tc={5F67F287-5727-4389-9926-1749AD889BC1}</author>
    <author>tc={433DAD45-9ECE-4019-BFE5-94D0B44FB746}</author>
    <author>tc={2931028F-76FD-45E6-8EC3-646201F8109B}</author>
    <author>tc={6D74E1E4-732C-4A34-B82F-4B0A491188B3}</author>
    <author>tc={75F7EF10-F16B-4FFD-96D4-F007C4702983}</author>
    <author>tc={CA416EB5-A879-4B7F-B4A6-9EDFEC6693BC}</author>
    <author>tc={370C9E12-ED8C-445D-92D7-AF5DF0EF7308}</author>
    <author>tc={293FB100-DAB2-4408-904E-D5597D7C8B59}</author>
    <author>tc={A4602A02-AF38-4DF7-BB10-29AC1D1642AA}</author>
    <author>tc={D9844F8C-3737-4850-907E-708B88EAFF1C}</author>
    <author>tc={F598C4B5-EFDE-469A-82D7-16FE9E57EDD3}</author>
    <author>tc={AFD3BED2-B284-4703-BE52-62983CBB3CB5}</author>
    <author>tc={7F80C795-6AD2-466D-8AD5-37C69A1201BC}</author>
    <author>tc={60B4BDD3-7769-49B9-B4AB-E1BB0A631CE3}</author>
    <author>tc={8D017FCC-E141-4508-A59A-7ED6593ECC35}</author>
    <author>tc={D3737478-6551-4631-8E87-C13A086157D3}</author>
    <author>tc={8E090E24-FE04-4F8F-A249-CCC78F3085B9}</author>
    <author>tc={32F72365-156F-4F75-84AB-4F06D04EA681}</author>
    <author>tc={44430203-BD1F-4222-8901-1FDF76A7BA62}</author>
    <author>tc={EC720FF3-9A45-43FB-BD00-C67C6F205B86}</author>
    <author>tc={CDDCA0AE-EAF1-4444-81AF-2E5DA54F265A}</author>
    <author>tc={E97D3C4E-5D5A-4E77-B014-E49E94FEEAE2}</author>
    <author>tc={A2E08A4A-71F6-436B-B2AF-A3A97CDDA379}</author>
    <author>tc={AC35C67B-1E98-461D-A76D-C7916FAD454B}</author>
    <author>tc={6257F23A-A150-4C7C-B4FD-0A57554FF8C2}</author>
    <author>tc={C1F24CB5-0997-4D6E-B9CF-87EA74318301}</author>
    <author>tc={D16092A2-3FBC-49AF-9076-C9F7783F3C6F}</author>
    <author>tc={288DE41E-2DD0-4E63-BC8A-5580F1D22E90}</author>
    <author>tc={6BFF9EDC-500C-4558-B504-BCF9A091C431}</author>
    <author>tc={75F68B91-DEC0-470C-84FB-926AE5FE726C}</author>
    <author>tc={FC3AA143-BC12-457D-B4D8-DD792BBB8174}</author>
    <author>tc={7B58AA46-13A2-4081-92E5-F0AC10376489}</author>
    <author>tc={D5E4EEC0-1298-44CC-AFE6-1F15CFB80EB5}</author>
    <author>tc={2051D897-1CF1-4E43-8970-562E7E6C4C6F}</author>
    <author>tc={03421C07-F9E6-4964-B84D-F02C3CA6A8B9}</author>
    <author>tc={A1ABF34A-9E28-4598-B317-ACB31600749F}</author>
    <author>tc={A342CCD8-12C2-414C-A0F1-C9582F25AB47}</author>
    <author>tc={9B1D7F8C-DEEC-4E80-87AF-2CB4A9666E72}</author>
    <author>tc={8A18453B-C946-4600-AEDB-56204F6ECDF5}</author>
    <author>tc={E07B64F3-ADB1-4C74-9FDA-7B59913B209B}</author>
    <author>tc={39D0D2FA-80CF-4706-899B-801B4B9A5B2B}</author>
    <author>tc={FB7559B1-EB1F-4BC9-8CA0-E4C8695D1B7E}</author>
    <author>tc={60E95916-A140-427F-9685-6FD2A9D24C76}</author>
    <author>tc={4A6FEB22-F6A5-442D-AD5A-50E9016E313E}</author>
    <author>tc={154BFF2A-8CC1-4C94-834C-D0C6CD82659F}</author>
    <author>tc={0038436D-B93D-4D09-BE3A-FDBAE92B2C84}</author>
    <author>tc={8856FFAF-1542-4035-BAC7-E870CF8B31A6}</author>
    <author>tc={D016D12A-F354-41D8-A379-ED94A063924F}</author>
    <author>tc={8CD4874C-B19D-455D-BBB9-6ECF27A8AF3D}</author>
    <author>tc={E399DA10-19CE-44AD-B619-FFA3999346B6}</author>
    <author>tc={D4C27857-2BFA-4616-9674-296539364385}</author>
    <author>tc={C19C4CA6-43F3-46A4-A8D9-A23349DC192F}</author>
    <author>tc={44F5D0A3-0B0F-4304-B462-609780E218B7}</author>
    <author>tc={C75A58D1-0F5B-4DAC-8BC0-8362EA4FFF9A}</author>
    <author>tc={557866DA-84CB-488C-8013-6E114C5E709E}</author>
    <author>tc={96E04147-0635-4C2E-9A07-4B33E45ED22C}</author>
    <author>tc={8FC617C2-A4B3-44C6-876C-C4CE2397CC45}</author>
    <author>tc={73A4CD48-626F-4586-A8C5-20ADE6B518E4}</author>
    <author>tc={A9F856EB-D60C-49B0-A418-BFF705472606}</author>
    <author>tc={0E7F4119-BA3D-49E4-B6E1-D6B05BEAEA36}</author>
    <author>tc={D6740F0F-A172-4ECB-92FA-6E7257FD7DAD}</author>
    <author>tc={673BAE04-1D75-4691-8567-8B50BD9236E2}</author>
    <author>tc={19C5B3E6-53C1-4BA8-B9C4-669E09B2AE78}</author>
    <author>tc={AF3E20CD-2DA2-45CB-8320-82C97DFCAAC0}</author>
    <author>tc={646845DC-B604-4D50-8692-06544D37E8A9}</author>
    <author>tc={EE5FB917-395F-406E-AC79-93E5ABC0BF2F}</author>
    <author>tc={C60F57A1-604A-41C1-863A-B2DE458424C3}</author>
    <author>tc={00D4B803-15F5-40F5-92A1-BE3C58BE5090}</author>
    <author>tc={2FC10AA5-3E69-42F8-A9C8-DB0820267353}</author>
    <author>tc={C1BDC85B-D913-4F6E-B87D-65A34EE3A0E3}</author>
    <author>tc={829B2AAD-5026-4A70-B058-35061C7A4BF8}</author>
    <author>tc={31379B17-EF1C-4027-8ABD-C48DBA66DA7C}</author>
    <author>tc={0DB3EA94-94C3-4963-9B36-DDE481712F9F}</author>
    <author>tc={58AD57AB-8874-4B42-925C-F18599E66F55}</author>
    <author>tc={556DC596-FCF1-42EC-943B-2DBE0EA09474}</author>
    <author>tc={7E138641-E037-4E68-BC15-D89B5120AC31}</author>
    <author>tc={FBEF525E-03DE-43D2-A08D-F1DE9855394B}</author>
    <author>tc={F150310F-0901-4B41-A620-D5FC86562307}</author>
    <author>tc={5DC2D406-82F1-4D8B-A45D-22BABF0B9272}</author>
    <author>tc={26B3385B-099C-40B9-B5AD-3FB09CA6B038}</author>
    <author>tc={3E2182DD-89ED-46A2-97E0-8D50A19FE81E}</author>
    <author>tc={4573F2B1-5BA3-469C-A4F7-DB3C9233EBE0}</author>
    <author>tc={C504600B-257F-4120-A61A-4621A7B5C474}</author>
    <author>tc={FCBAAD1A-B600-40ED-ACEB-741E2655E8F7}</author>
    <author>tc={2455E496-A84D-4AAC-B57B-B5D01ED9C4AA}</author>
    <author>tc={AC3657B9-624C-4C15-AC8D-5D350C20DD49}</author>
    <author>tc={E6ED83ED-1189-4E79-A74F-15EE90011C4D}</author>
    <author>tc={944F60E5-8C40-47A5-A195-D6127FA1AF9C}</author>
    <author>tc={34491371-71A4-4C16-B06A-2B3CDD3026DA}</author>
    <author>tc={FFF84FA5-D9DB-465A-BE5C-5FB64A0D911A}</author>
    <author>tc={FBC8743B-5000-49F5-8716-BCFDCB2D4ACF}</author>
    <author>tc={5D393B9F-28F8-4C01-8C33-B92E390E3AFC}</author>
    <author>tc={7215CF86-76ED-4EED-964A-2E917D9645F2}</author>
    <author>tc={9FC5DFE3-7284-4DC3-806E-CB694924E4F8}</author>
    <author>tc={9C24C6D8-8066-4ADA-A79D-34CC93434C5F}</author>
    <author>tc={9A76B132-0A08-4935-B15E-20A6F6AF54DD}</author>
    <author>tc={FAB08857-E835-4F01-9825-C7598FD7C8E2}</author>
    <author>tc={E188FD9E-4E81-4130-9D30-243B1D252589}</author>
    <author>tc={F80A9DE3-12BC-4165-8FF1-8CC88839B5A3}</author>
    <author>tc={5B0DDE70-A660-494E-9158-37A735851458}</author>
    <author>tc={926D6FAA-C4CA-47F2-8823-F0C74613D6DD}</author>
    <author>tc={4622E3B0-87A2-457E-9F8C-67F101CE219E}</author>
    <author>tc={04FA840A-EBB9-4EF6-A92E-AF5AB2C11AA5}</author>
    <author>tc={DD70111C-C283-4D0F-B264-16406EC5E342}</author>
    <author>tc={5F4BD733-B111-425D-A231-5DCF131B0359}</author>
    <author>tc={2AA924D4-9F6D-4595-9828-2A06229B4326}</author>
    <author>tc={3C858F80-6D19-461B-8CFC-22E15E7C5C87}</author>
    <author>tc={F5A29E1E-FD46-47BF-A8C7-34726BF7B2CF}</author>
    <author>tc={161AB9F6-D4F0-48BE-80E3-FF856510FB76}</author>
    <author>tc={ABA1FB0E-73FF-4766-BBA7-016946F2C99A}</author>
    <author>tc={7C86D285-5A4D-49C3-860E-441740806365}</author>
    <author>tc={D8D9D96A-0677-4AB1-9B9D-831E44ACE998}</author>
    <author>tc={B5821DB7-6965-48C6-9666-EB48EF96869A}</author>
    <author>tc={0D5D4E87-90BF-42A0-AF89-CBCCE89D4477}</author>
    <author>tc={22216A3E-10B1-48B3-9E1C-D44BE2EC779F}</author>
    <author>tc={9F5AECB4-474E-49F1-855B-427A4CC6E3DB}</author>
    <author>tc={8945827E-5D8B-412D-88D7-72093AAEAFDA}</author>
    <author>tc={814F7D2E-E8D7-45F4-BC67-FB60DC178F42}</author>
    <author>tc={BA28CF57-CF0E-4AFC-B85E-9B5B217F231B}</author>
    <author>tc={1F283495-E4CC-4DFC-8A69-93B6859FA970}</author>
    <author>tc={81B89A17-6262-4B66-A698-5820BE27DC1A}</author>
    <author>tc={1F0C13E3-6987-4E10-8884-8DDCE700D66C}</author>
    <author>tc={76E88628-AEEF-478D-9426-E1D1EC05C884}</author>
    <author>tc={B3C441F0-9E58-4E2F-A5D0-0BDBB10B3EC8}</author>
    <author>tc={D528502F-C34B-4B52-860F-121A0E337182}</author>
    <author>tc={1FD53406-44D3-4DB0-AF59-F24B12CF9474}</author>
    <author>tc={0C830841-986C-4301-A844-FF741036DEE1}</author>
    <author>tc={606FA274-2F89-4070-B30D-68A9BB3C06D9}</author>
    <author>tc={41130BC4-6887-4FFE-AA34-F4C710B84078}</author>
    <author>tc={947FD24D-FFE5-4C47-9A19-C7F283C9D203}</author>
    <author>tc={6C97B54B-8375-45BB-B8D8-46A5184BCFF4}</author>
    <author>tc={F23A1767-46EB-456E-9E06-D1784AA2CB28}</author>
    <author>tc={126E00DB-F87B-447A-95A0-85FA3ED21ACE}</author>
    <author>tc={AF93D821-7EFC-4C99-A995-A361606A734A}</author>
    <author>tc={6B201991-B29B-4852-8940-09232B87A2C7}</author>
    <author>tc={842CB8F0-8753-4AE8-B40D-F94D9C0FE78B}</author>
    <author>tc={495CF109-B752-45E3-8994-7E1252B1F7B0}</author>
    <author>tc={D43CA826-5A86-40D8-8D07-56E7C5273CBF}</author>
    <author>tc={D585CC85-F873-40DC-BD54-84AB44DDB4F9}</author>
    <author>tc={8B51FA67-C005-4EC9-8E55-D947774C820C}</author>
    <author>tc={C8871AF6-C813-43B1-84AB-7966E9E59E0F}</author>
    <author>tc={09050688-6208-438F-A417-CC4823A5D436}</author>
    <author>tc={841C59D0-5FF9-4424-8760-B2A17A64D38F}</author>
    <author>tc={DEC9BADB-457E-45FD-A031-818862AED0A9}</author>
    <author>tc={03F824E7-A545-4F30-B70E-F01B2A976DD4}</author>
    <author>tc={2D25BA8E-36C7-4F6C-AC9A-4507248D6AA8}</author>
    <author>tc={E6D517E4-59DB-4B8F-B9D3-855A9AA3010B}</author>
    <author>tc={2BD56882-4270-4AC3-81A6-08D49120EFF6}</author>
    <author>tc={E1A0435C-59B3-4493-96B4-32C764424ED7}</author>
    <author>tc={799ADE1E-C44A-46B1-A24B-E2F661F73216}</author>
    <author>tc={62EF56C8-7A48-4143-A24A-65E4398A0219}</author>
    <author>tc={181BAC2D-983D-4ECB-8550-AD21837CF20C}</author>
    <author>tc={D8B4D7A7-4930-49F0-841C-FAFE4F29674F}</author>
    <author>tc={0DA75122-F64A-47D9-B053-FD41A0282362}</author>
    <author>tc={5F34BD1F-1DDC-4146-95CD-C939B023275A}</author>
    <author>tc={451813E3-2690-4823-9EFA-B631FE5FCAD5}</author>
    <author>tc={E9800D5B-CCEB-4343-B231-118C558223DB}</author>
    <author>tc={D2A92C2F-92B0-4D17-A447-580222E27D8D}</author>
    <author>tc={162C9333-2613-420F-B819-A4376237053C}</author>
    <author>tc={17C3355D-FF1E-4153-A109-349EBC0CBFF8}</author>
    <author>tc={C31F313C-2D4B-4B4F-B4BD-1F7272FC8F4A}</author>
    <author>tc={1F47DB98-2672-4480-8873-3320813797F3}</author>
    <author>tc={89FE2B52-45E9-4DA6-B91C-5F5035C06697}</author>
    <author>tc={F77BA83D-3AA8-4058-97C2-1722BCB3D5FD}</author>
    <author>tc={979957B7-B5DC-41C8-A7CC-C31801FB2BE1}</author>
    <author>tc={6669ADC9-EF37-4385-8B8E-DB108973B3CE}</author>
    <author>tc={7BDC34CC-CBA4-466F-B1FA-557553980D7C}</author>
    <author>tc={DF922434-2652-4B0E-B377-6FD9C8BB8C78}</author>
    <author>tc={E5D38EA5-D2D6-4C6D-92BD-E1254BEBF557}</author>
    <author>tc={5EC7E672-FF56-4606-B23C-F165300601CB}</author>
    <author>tc={16268AE1-A7B9-4E75-BE0A-4D6B2919449D}</author>
    <author>tc={6057AA7E-BFAC-4334-9726-D321661364F5}</author>
    <author>tc={1FE77C9C-542D-4C12-8557-D6808A3B0AF6}</author>
    <author>tc={CC07B776-BEDB-4611-8E43-02DB0566F870}</author>
    <author>tc={E0A09C10-0FA2-4254-A9A9-92D351826B15}</author>
    <author>tc={B9D46568-5BE6-4E62-9547-5FAD472802F3}</author>
    <author>tc={669C1CF8-1588-4CE8-986E-2E4283B0FD6F}</author>
    <author>tc={293A3F32-7E82-4163-9D13-AE054C3BCA3E}</author>
    <author>tc={25BBC7C0-7AA4-449D-9D25-D00C64226BC6}</author>
    <author>tc={9398C16F-8568-4A4D-8B0B-23E452171A12}</author>
    <author>tc={D25D8620-28E8-4216-B687-D54000EFA61B}</author>
    <author>tc={11202AA7-8DD0-42FA-97F3-D95187DF8D05}</author>
    <author>tc={C2283264-2496-4281-A22E-567FEE85B2D8}</author>
    <author>tc={9549E98E-A044-4765-80B9-D42D1CB6927C}</author>
    <author>tc={1C74D10E-3756-4022-A333-896F5ACB883B}</author>
    <author>tc={C243AC73-CAA2-419F-A4B2-B7F4A8C136BE}</author>
    <author>tc={AE1E9B50-EC66-4516-AD94-A8871B74D75E}</author>
    <author>tc={1DFCF40E-463C-4135-BA31-E5301C909887}</author>
    <author>tc={907B5A34-2C4E-4335-A121-A2A1A19DEB3E}</author>
    <author>tc={298BFA10-A5F3-43F2-93C4-3DA232EE962F}</author>
    <author>tc={83BDF1AA-EAD7-479E-85EB-054F29AC4A3F}</author>
    <author>tc={6F9AE03C-8B04-47EC-BC45-1103BC87AA99}</author>
    <author>tc={ADEF8DE6-BEE4-4950-8E3A-178A13FA4B4F}</author>
    <author>tc={9623CD17-00F9-4DA4-860D-342171EE696F}</author>
    <author>tc={74AAB74B-7EE0-42AB-A298-060DB313E4A5}</author>
    <author>tc={806DB305-AEE2-4D49-A7AD-42BBC87727F2}</author>
    <author>tc={8F189859-2B3C-44FE-896A-34535AD6C1FE}</author>
    <author>tc={E3AC1C50-45F5-46D7-B648-0FEEF1555EEA}</author>
    <author>tc={C20DEC85-BCE5-4648-8D3B-FC1F4364EA11}</author>
    <author>tc={A67D19D5-B9F3-4AE9-8910-0F1BC8AD2415}</author>
    <author>tc={A8D2B28F-7FAC-4235-8864-416CBC315FAE}</author>
    <author>tc={B3D0F32F-A144-431D-9EB1-97FDBF88B8C1}</author>
    <author>tc={8113EB38-152E-476B-A0FD-0D4C6EEE2B39}</author>
    <author>tc={E9A3A131-58A1-4195-AF10-962642A306DE}</author>
    <author>tc={03B28F2B-D172-45D6-9397-7B158A9E5DA3}</author>
    <author>tc={D56E0CC9-56B3-4C80-A4B9-C288525E248B}</author>
    <author>tc={415A89D0-74EB-48EB-BDE2-BC89AC018A14}</author>
    <author>tc={40933918-BBB8-4755-BE72-5CD58DE17A9C}</author>
    <author>tc={1330209D-E160-4FE6-99D6-A16AF62A2355}</author>
    <author>tc={DDF4EB23-2E02-46DC-97BA-DD158B46C045}</author>
    <author>tc={4381BC1E-53DE-4275-9E8E-4BC98DAF8DB5}</author>
    <author>tc={B188D497-2174-4EE8-A004-49D8E3564906}</author>
    <author>tc={2525474A-F8B7-49E0-9F24-2913B03DE830}</author>
    <author>tc={AE1561C3-D65F-42DB-BD61-C5EBDA9951BF}</author>
    <author>tc={6AB98DFB-3BBF-48E4-8A7C-63321690C42C}</author>
    <author>tc={2172EA52-5113-479D-A0F2-BB104A7F4484}</author>
    <author>tc={A52BD46C-C2E1-420C-B7E3-39C1AE5E5571}</author>
    <author>tc={1458A1A7-D123-4673-86BA-1AC020910304}</author>
    <author>tc={187B645B-F32E-43A6-950D-586BF98901B4}</author>
    <author>tc={659FBFF3-EDDD-4808-B8AA-5D8DDC415C2B}</author>
    <author>tc={763DF83F-E55C-409F-B8E0-EDD78BE26555}</author>
    <author>tc={BA7736C7-7342-4BC4-9FE6-70684185CA65}</author>
    <author>tc={8FDD3D6E-21FD-4BAC-A681-D151FF61359E}</author>
    <author>tc={2D7EDF04-F6AB-482A-9A1B-20665C189BD9}</author>
    <author>tc={0B02984C-86CC-4A6F-AACA-A40B13CBD320}</author>
    <author>tc={47E6CF48-A7A8-4E1F-B4FA-82057E5C0A18}</author>
    <author>tc={DAFF17A9-0E67-40F0-9AF4-89A8D245AA51}</author>
    <author>tc={6081B7D9-B101-4B99-8002-06BF816599EF}</author>
    <author>tc={F66E32C2-F67E-4D19-8F80-41951B8D57A5}</author>
    <author>tc={52D21021-22D6-4CF5-90F9-2A724B060A09}</author>
    <author>tc={94104B42-CA03-4CFD-9A07-43F69DD95F5F}</author>
    <author>tc={96A3B419-A881-42A0-A475-D1C9A1F9DCF2}</author>
    <author>tc={6BDF8ADA-AA7D-4C7B-B04E-22BABE61B69C}</author>
    <author>tc={856DACDD-6985-480B-838B-0156F7EFF2ED}</author>
    <author>tc={B3CDD698-9519-4B41-896D-BDFD43FC2F03}</author>
    <author>tc={4AC7CF3E-7298-40B1-ADAE-F49D5FF44E5D}</author>
    <author>tc={C413BD37-A730-4F2D-A867-6B047214B729}</author>
    <author>tc={6E8B5C9C-7B11-4FA5-849E-4802F70D763D}</author>
    <author>tc={BCA0EFE7-5105-4492-AF54-CB40FFFFE975}</author>
    <author>tc={FA47BD2B-EBD2-4ABE-B833-FD279D07E48B}</author>
    <author>tc={574BC055-B16C-4DF3-A231-A1401428D556}</author>
    <author>tc={D2E958BF-3450-4D92-AF97-518B227A1C66}</author>
    <author>tc={B7970FC6-BA01-44F6-B59A-A9A92E79FED4}</author>
    <author>tc={FF7125FC-D5F2-4099-8A2F-D36883FEE252}</author>
    <author>tc={7437AD7A-A013-444F-8D72-E35B2637E16A}</author>
    <author>tc={26273EE4-0BF2-4828-A1A1-469E5EBB6E5F}</author>
    <author>tc={0E1AB6DD-20A3-4777-A823-F7AFFC83B4B1}</author>
    <author>tc={BFFAD589-4BFD-4742-B585-59D267346FD5}</author>
    <author>tc={93C09AA5-8889-409D-AF2B-E47F86775BF1}</author>
    <author>tc={87E8AF4A-8DB0-4D64-8E5A-3448BED2EC3A}</author>
    <author>tc={7B0098F4-2335-43C4-AACA-F7A46D22CB62}</author>
    <author>tc={412E18B6-7D78-4A4F-B788-9E9368D5AE67}</author>
    <author>tc={8A83706B-F72A-4F0F-BA00-32FA2421F87C}</author>
    <author>tc={ACED1265-BBAF-4BDF-9DB6-E2A08B34D235}</author>
    <author>tc={16EA4476-946B-4130-8F10-736E3F781B58}</author>
    <author>tc={1DC6883B-4685-4C9B-B911-66CF53477100}</author>
    <author>tc={3F8707DE-0881-4956-A7E0-895366BE36B5}</author>
    <author>tc={A92EC60A-05D9-4342-A88C-BE7D837AE11F}</author>
    <author>tc={83E99D50-3393-4ABD-A039-64FBFE6432DA}</author>
    <author>tc={1EDE6652-3E84-491E-9420-46AAA141696D}</author>
    <author>tc={FE03CF85-6322-47E7-92E2-011D80431457}</author>
    <author>tc={AE92EB0A-5583-4A9C-934E-BF652A1E9C5F}</author>
    <author>tc={1C9D3337-9A6F-4F5C-9E08-D0BB34AD584D}</author>
    <author>tc={D1D6DF45-3C45-436A-B226-ECF26EB7232A}</author>
    <author>tc={5BCB804B-783B-4B79-8A8F-0AFE4AB2E1D2}</author>
    <author>tc={D6360567-530A-4CD5-8914-73DF9D870BC5}</author>
    <author>tc={353DF548-7E29-4C5B-B446-67A50677E955}</author>
    <author>tc={5661C50C-CB00-460E-B8F7-15A9C39AF2BA}</author>
    <author>tc={2A257F62-D41E-417D-8C76-8270451FE136}</author>
    <author>tc={869905F5-BE65-4065-99CD-67C63EE27350}</author>
    <author>tc={8FB18B8B-58F8-4812-8721-CA0BFA656B92}</author>
    <author>tc={816D2BBA-4BCB-487F-A21F-0830803A49EC}</author>
    <author>tc={A54DBE84-AB1F-471E-959C-DB6895A8EFA8}</author>
    <author>tc={58230B5C-963E-4E75-81B2-457C3005C562}</author>
    <author>tc={4BE96646-7857-45CF-B37B-C02E003F9246}</author>
    <author>tc={781424F4-FF70-4ECD-B21F-BB1DA774D689}</author>
    <author>tc={54B53DB4-AC2B-4496-A9F3-FE4864CE56EA}</author>
    <author>tc={544A0A5C-92C3-4A02-828A-785E554256E2}</author>
    <author>tc={D67A4C00-3D64-4CF3-BE53-9B44F869ADBB}</author>
    <author>tc={C0D15767-3ACD-4618-8EA7-CEAE73A6701C}</author>
    <author>tc={427D7A49-BF12-46C3-8176-0A86B3E79E72}</author>
    <author>tc={ED27D216-6C09-43C4-8D40-C7DE92C5C80C}</author>
    <author>tc={77F27F4A-1F4B-4629-8214-5075DB0EFF10}</author>
    <author>tc={8458E316-A408-4074-92D1-AF5EBD846000}</author>
    <author>tc={5AF5C56C-AE8B-43DD-8A2B-B115F9AB61FD}</author>
    <author>tc={B083358C-AF7D-47A7-BF6F-08598F5BE594}</author>
    <author>tc={9E8E62CA-72AF-437F-90F8-E71FB8DEAC8A}</author>
    <author>tc={784DDE9E-FB81-4594-A441-F8ACA7A6049C}</author>
    <author>tc={5FEAD6CF-D074-4E28-A051-E13B4F7853D9}</author>
    <author>tc={778DD5C3-E160-4AB2-83A0-38946ABC61F5}</author>
    <author>tc={2CE72DBB-75CA-4E07-9E31-BEC4D34D8114}</author>
    <author>tc={7FDC06F7-8218-41C5-BE98-CFF3ECA5F8F0}</author>
    <author>tc={3ADDFD81-A5D0-47DF-92B3-4E34BD54F0A5}</author>
    <author>tc={B1AF06A8-C812-4F26-8069-D85C4FFB0AA4}</author>
    <author>tc={E16ED042-276C-4A69-B171-8F7178D6044A}</author>
    <author>tc={579B4C63-1CD1-4EAD-B143-BB27DA6BF5E2}</author>
    <author>tc={784B4A4A-A288-4AFA-A677-EA67480EF1F5}</author>
    <author>tc={7FBACF4D-914D-4BBD-95D3-A53BB89756CE}</author>
    <author>tc={1030D4EC-31D5-4823-867E-8E18FCF19119}</author>
    <author>tc={76A9D50F-3114-45B4-B38E-EEC080ABCB89}</author>
    <author>tc={4141D774-4A68-419E-A6E5-0FBF61A74A76}</author>
    <author>tc={B2F9DB8D-532D-4568-9C11-85110B8504B4}</author>
    <author>tc={0F6C3E80-52B1-4668-AA93-CD6297A06C52}</author>
    <author>tc={E50D0630-3EF7-4831-9DFA-346313B14376}</author>
    <author>tc={959A361F-7618-4BAD-A489-F88F4CEC5B91}</author>
    <author>tc={7D132B8C-ADAB-40D6-AC5D-2A53C662DCCA}</author>
    <author>tc={0AC13D72-8A21-42C6-9E4B-11A2F63AF6A5}</author>
    <author>tc={790DBA61-7EDE-43D2-898F-03DE2ACFD84C}</author>
    <author>tc={45EB4CD6-9EFD-4390-86FB-33345E9859ED}</author>
    <author>tc={40A3F980-9B3A-4632-A955-B70218380AC4}</author>
    <author>tc={80AC54D8-34A4-4BB7-BC14-FED80F84696F}</author>
    <author>tc={3224B7C9-E62B-438C-BCB5-2579B82ADEB0}</author>
    <author>tc={29A0185E-884C-4F3C-845A-6B07F5D2A77C}</author>
    <author>tc={AA187DFF-6928-4BEF-BAAD-A453F6146CD8}</author>
    <author>tc={30AB6341-47CC-4FDE-BAD6-49AED7B2260C}</author>
    <author>tc={39BECA2F-9BBD-4B81-8DDB-7297F392DBEE}</author>
    <author>tc={78AE3B9B-B502-4B66-B840-52C287C184C8}</author>
    <author>tc={95CB986E-CE3D-43FD-BFFB-CCE6D7AF4475}</author>
    <author>tc={BC12D923-6456-43F5-9EBC-F4C15A125932}</author>
    <author>tc={4BAAE1CC-4E14-4114-998A-50DA8CAA5FF3}</author>
    <author>tc={D56607A1-8674-472B-99EF-85C4BFF0558F}</author>
    <author>tc={F72CBD89-EAA4-4DC5-9C51-34FF8D8BEB5D}</author>
    <author>tc={EF637D40-E05B-437B-BD04-4469B0F0B09B}</author>
    <author>tc={C65B5313-B2A8-48EA-8103-BB148BBED35F}</author>
    <author>tc={CE4584AE-4246-47F0-881D-B997BE358171}</author>
    <author>tc={CABBB8A3-EE61-47E3-8447-F1BD0544B591}</author>
    <author>tc={EE96982A-C7E8-4364-B9BD-87253F44790F}</author>
    <author>tc={E13B3DD9-8D11-4901-AD9C-E7F7432F8ABC}</author>
    <author>tc={324C6B95-19C0-4D55-BC56-95AED07EAA20}</author>
    <author>tc={97241BD3-8DE8-4AEF-A6E0-DA23F600DFB0}</author>
    <author>tc={B4B516B3-F98B-4A0D-BC2E-35F41FFAB3A2}</author>
    <author>tc={1B6A0198-2FD5-48AA-9941-2758A470B6CB}</author>
    <author>tc={7AF67426-1CDF-4D06-992A-0BC4C871E710}</author>
    <author>tc={7C427516-DD62-4438-ACE5-DE3A540FF08F}</author>
    <author>tc={075E7B6E-33D4-45D2-9B53-18772278464A}</author>
    <author>tc={64BD30C8-BFB9-41E7-A558-712FA53A6FCA}</author>
    <author>tc={B4D5C2BD-5B1D-4063-8FCD-39A616B9D8BD}</author>
    <author>tc={6D009F2D-C4CD-4372-98BF-0AB7A1B677CA}</author>
    <author>tc={DDE36C98-641F-4CBD-8B62-C3A0AF808F31}</author>
    <author>tc={C4229F7B-3DDD-4C1D-8323-45E5107473EC}</author>
    <author>tc={BB403B3D-A0AE-42C8-A8B1-5C5EC0BCA969}</author>
    <author>tc={828260C2-53D4-4A0D-AE1C-DFAE0D5895F0}</author>
    <author>tc={24D5A080-AD5C-46CA-8B95-E5032278025A}</author>
    <author>tc={F4ADA7D5-BB18-4E50-AB67-51423418ECEF}</author>
    <author>tc={CEC5F451-58DA-409A-8CF8-CCAC2CEDA0D3}</author>
    <author>tc={A7EC9E4A-6B5F-4FDB-8A33-1EBBA571D2B4}</author>
    <author>tc={7576925C-CDF1-4DB2-8B56-658B93D8C0F4}</author>
    <author>tc={2F674FA7-341E-4D27-B1E1-56747264CAA2}</author>
    <author>tc={4F49EE05-2AF7-42B8-9D54-5B81BAA8ECB0}</author>
    <author>tc={3172125B-EA0C-4D4B-8E89-D2C4086D116F}</author>
    <author>tc={5DCF882C-61CD-4181-B12C-D8DEA7C0175E}</author>
    <author>tc={8F7B5AAD-60FD-4D04-9858-3BABE32D230C}</author>
    <author>tc={6E5198E1-E15A-40DA-BC00-33571282C813}</author>
    <author>tc={EF9A00D5-CF72-43BF-A594-917DB5DB6D10}</author>
    <author>tc={416CDE3D-BEAB-4997-8289-D3C21EEA2E90}</author>
    <author>tc={F2C0822A-4B67-46D4-A620-70BC7519BD5F}</author>
    <author>tc={5773B17D-062E-4CC2-803D-54F2D8C6C78B}</author>
    <author>tc={3A327047-2B83-4A27-9F3B-6CB49566DCE0}</author>
    <author>tc={9C0CDA71-0FA6-4B05-B6CF-EA2EFA19BCB8}</author>
    <author>tc={AA469ED5-2499-4A75-B9BD-7BD867567922}</author>
    <author>tc={6442AB3C-769D-45E6-BEC4-25D8ABCF8405}</author>
    <author>tc={98BD8BD4-53AC-4D1F-8815-0FFC66CB2E13}</author>
    <author>tc={EEC1F046-09C0-4F5D-910F-67B584AF9986}</author>
    <author>tc={0893BB9D-0C51-4667-91B0-88D61B2FBC0E}</author>
    <author>tc={B63FA741-1A8B-4197-BA79-1A7E5AEC2202}</author>
    <author>tc={E89F463A-9417-424C-8D91-0BCD4AF68BC0}</author>
    <author>tc={6210632A-04AE-4932-9FC9-5406405A1E14}</author>
    <author>tc={E14B3738-BDC5-4EE1-9259-BBA26F68D8C3}</author>
    <author>tc={8AA9747C-13C4-4EF8-B460-FB469A6CC34C}</author>
    <author>tc={6C693227-BA18-4E7E-B950-B05578631B52}</author>
    <author>tc={8F48FAC3-EBD5-44D6-BD88-09EB626D7B0F}</author>
    <author>tc={665340AB-F480-4A60-9100-7E2F3942B95F}</author>
    <author>tc={0A7FF53E-83C8-4D09-8FE9-5A876E0580F8}</author>
    <author>tc={F6BC5979-F909-4393-BE79-C1B98258AF8B}</author>
    <author>tc={CB0ABEA5-0E5B-469F-B8D6-BADB5A69FE2D}</author>
    <author>tc={AE102664-F375-4812-83F8-4B70A1C21376}</author>
    <author>tc={0BE92536-FDD3-4D3D-9515-A05140EAAAD8}</author>
    <author>tc={E28EA55A-D9DF-48AA-B897-6A3CF985DB3F}</author>
    <author>tc={2056F986-3693-4A7F-8905-B87C6349EC5F}</author>
    <author>tc={33BB6858-80C8-4B01-88F2-F8741BF696BE}</author>
    <author>tc={70B5DAEA-B0CD-4113-8572-643E29B44A7A}</author>
    <author>tc={28579EDD-2005-4A71-9A8E-0F19C5442E1E}</author>
    <author>tc={C9D73CC3-7120-4A83-A496-C56EA180F9CE}</author>
    <author>tc={E4085B68-4E08-474D-BA6E-78088D9DEBCF}</author>
    <author>tc={AD3CF90D-83B9-4CC7-B9DC-98FB1AADD1B1}</author>
    <author>tc={6E68ADE4-4319-444D-B8CE-ABE0CFAC9AF9}</author>
    <author>tc={CE618C28-2D91-4C91-80D9-4F756B158859}</author>
    <author>tc={EFBB5DD1-434A-48B5-BA0E-B1591B7E4053}</author>
    <author>tc={8E481AA6-C5B0-4081-BCA8-2712ECC4AA5D}</author>
    <author>tc={5065854B-527F-481C-A0B7-47590037383C}</author>
    <author>tc={750E8A9C-F7D3-48A4-B004-9DD984E7A0D7}</author>
    <author>tc={827F31B9-56FD-4E8D-BE1E-B1F17F098A63}</author>
    <author>tc={8CEBF734-C371-4351-9045-57C1FFF02D23}</author>
    <author>tc={8D7E413D-DEEE-462B-91E2-C3F165B78980}</author>
    <author>tc={4FA6D8B5-05F7-43E2-8FDB-3B2FDE102696}</author>
    <author>tc={C5FDBE9A-4326-4760-8A85-7981D6601352}</author>
    <author>tc={DEC08850-45BD-4B17-A149-1E1BDEF5BED3}</author>
    <author>tc={A78B0659-B94C-4BCD-9062-332F21145A03}</author>
    <author>tc={BDEBCB22-5473-4F49-81D4-53628CEF2FA2}</author>
    <author>tc={587922C9-1AD9-440A-B821-A9A89523815A}</author>
    <author>tc={6D0887E1-C47B-4E5F-83A7-9403BD36C44D}</author>
    <author>tc={D6C27F38-C011-4414-BB83-176A58A95C7B}</author>
    <author>tc={4727AB7C-D1F8-4C6F-9D8E-C6153DCCF532}</author>
    <author>tc={92829098-3C4A-4979-9B3D-DBF4DD773C0A}</author>
    <author>tc={92413824-F44D-4729-8246-950B9D442042}</author>
    <author>tc={F5938376-8F3F-4D00-A3CA-24C589E239A8}</author>
    <author>tc={9A990E0C-9A32-4D8A-8546-7AA16D4B9A49}</author>
    <author>tc={304DE9AF-AD24-4B2D-87B0-AC0309528C2B}</author>
    <author>tc={08BD3055-4A22-4618-85BD-4FD24501BDCA}</author>
    <author>tc={77A23626-5CBA-4C76-AE9E-C7D5BC38B52A}</author>
    <author>tc={8F5C544D-950F-464D-B423-A35B14A5CC8E}</author>
    <author>tc={B378A65E-082A-4647-8732-0DF4C669DD10}</author>
    <author>tc={3C8D6FE5-DC39-4B0B-8AD2-4A666ADE771A}</author>
    <author>tc={84A303C5-DB63-4686-83F7-35D07C7390BD}</author>
    <author>tc={A7AA445F-7464-4860-9150-E6BBEBE29081}</author>
    <author>tc={8FE48F60-2F83-4E3E-A4E0-2F734BE2E02B}</author>
    <author>tc={31B9E182-4067-428E-BA16-FBF4D926164A}</author>
    <author>tc={C3C97E07-E5B9-4F83-A81D-847C21266594}</author>
    <author>tc={372E97AA-A472-4B81-B83F-33E89F66EE8C}</author>
    <author>tc={AA0FA074-7930-4026-9387-9E5B5DAA9F1F}</author>
    <author>tc={F8B2CCBA-EADE-4870-BE36-94440A886C28}</author>
    <author>tc={4F9A7145-115A-4114-AADE-E55E8A939E4C}</author>
    <author>tc={B14DA5F9-7C4B-4C9D-8537-39AC713A45C0}</author>
    <author>tc={78BC7B60-2B21-4D3A-BA5B-1F9EC3D6461A}</author>
    <author>tc={74F9376A-0F9B-4966-939F-459EBCC8B5FC}</author>
    <author>tc={562C68D2-9D80-4A5A-AE48-4BCB6A51DECE}</author>
    <author>tc={A9C104AD-0239-41EE-82B0-6AF3A1D75AC2}</author>
    <author>tc={67375317-4F52-4CB4-AA4D-B3903765AAA5}</author>
    <author>tc={8E31439A-4819-473E-AB06-D06415286765}</author>
    <author>tc={108FB157-0CF3-4F27-B8FB-49F726B406A9}</author>
    <author>tc={9B413A6F-63CE-4FB1-B265-729879EFD41D}</author>
    <author>tc={B3438604-B50E-4BE8-A67A-90748206822A}</author>
    <author>tc={6ABEA16E-3E5C-41E0-8615-296FAD1A5A5C}</author>
    <author>tc={81D9EFB6-37A4-4146-8006-ABB41520848E}</author>
    <author>tc={777E1859-BB82-488C-AF9C-472F123A340E}</author>
    <author>tc={16F5262F-3257-4722-AED6-4E737405028E}</author>
    <author>tc={A1C12328-D933-4C79-B659-48B03E35223B}</author>
    <author>tc={C0E0EC85-7AD8-4AC9-90EF-C79163B91CF9}</author>
    <author>tc={737C6D05-8824-4784-BFD6-AEA20F5562DD}</author>
    <author>tc={CCA3F9E9-7374-4272-8E07-01D42EA17D1B}</author>
    <author>tc={3983AF24-CA6D-483F-A59C-E953545522CC}</author>
    <author>tc={6EAE7DCA-BADD-4769-8A74-9A6B3EB7F70B}</author>
    <author>tc={8E9DEF29-9442-40B9-A7C4-3F6431A16EB7}</author>
    <author>tc={F305BAC2-2907-46A8-9D7E-9CA3C5FA75B6}</author>
    <author>tc={1E7957C9-E538-4D9E-AC84-D829070EA481}</author>
    <author>tc={41609636-8E3E-41D5-BD6D-6704D2E96EFB}</author>
    <author>tc={E2733E07-760B-47A2-9037-C14D29B5A926}</author>
    <author>tc={9C70614E-DB33-4D12-87C4-88F53E0D3FD1}</author>
    <author>tc={6FDC9CC1-5399-4D12-952B-9AB2D282B3FB}</author>
    <author>tc={5C34E7B5-EA0D-438E-8155-C956A2CA0A77}</author>
    <author>tc={F37390EF-DB1A-4B16-9D36-F5BDB3F2793B}</author>
    <author>tc={20F7D9F6-95AF-4FF9-B78C-C7A9C34CB3B8}</author>
    <author>tc={E859DDBC-4951-497F-B295-B9A0F777AFE2}</author>
    <author>tc={9D249160-0E90-49FC-95F0-153EF6B786B5}</author>
    <author>tc={EAFA0A03-3932-470E-98AB-3E27EF0E8891}</author>
    <author>tc={C37D9B23-697D-4E5E-974C-64F38927B787}</author>
    <author>tc={0ACABAB0-5070-4E28-8827-B99EBFEA565B}</author>
    <author>tc={0FA2BF1D-AEAD-44D7-BFE0-30D3DF7F88DD}</author>
    <author>tc={CE9F7E9C-D744-430D-9F8E-3880A3638527}</author>
    <author>tc={56F97636-6B5A-4863-9AE6-7CDF734937AA}</author>
    <author>tc={B2F9E898-C48F-4C52-B169-92DBCE0F68C0}</author>
    <author>tc={D2E53C07-8B9F-4DB1-8C03-97699E10F81F}</author>
    <author>tc={08363D5A-016E-43BA-93A7-8F2E618BF2F2}</author>
    <author>tc={5384EFC7-4714-4989-A54E-2E861166CF0C}</author>
    <author>tc={D32B055E-DAFB-45F6-8013-9AD49C221896}</author>
    <author>tc={4E006130-8F64-438A-8FCD-3AD6882D6AE4}</author>
    <author>tc={A0A4CAD6-D9FB-4396-B672-D8F6658EF298}</author>
    <author>tc={30680443-30A1-4A92-ADBE-E05EFB4846DD}</author>
    <author>tc={C1FD7C2E-C046-4381-90A3-19E214B6B415}</author>
    <author>tc={5D1C789F-9462-44E0-B7A6-446056633EE8}</author>
    <author>tc={7C821EEB-BE16-4533-867E-61C6311C401A}</author>
    <author>tc={0FDA0AA4-CA07-425C-9BFD-F51105F5F173}</author>
    <author>tc={8BE8038C-8FBA-445B-A275-047B479BA5E5}</author>
    <author>tc={89506E8B-39E7-4657-96B7-3EB63E9035A0}</author>
    <author>tc={8A2DA43C-5C16-468E-B8B2-952CCC2999CA}</author>
    <author>tc={132CC8EF-BD21-419E-BD9C-30EF40E476F3}</author>
    <author>tc={B9DCA605-BC36-4836-B466-08EBF672D522}</author>
    <author>tc={FFC56891-69C1-4FC3-9200-D553107C6F3B}</author>
    <author>tc={C6A43BE7-ECFD-40F0-A48D-8B8CE7482AC4}</author>
    <author>tc={84686DCA-91CD-4645-BB56-87FEADA808EA}</author>
    <author>tc={22EEC325-D2B6-4566-9CE5-11EBC1003F87}</author>
    <author>tc={71DF0881-D795-4606-9AFC-0F5325F11EB4}</author>
    <author>tc={77D57070-F5FB-4459-B34E-FDED2FF1525B}</author>
    <author>tc={324CD5BC-9AF0-4D0F-9795-3614648F011F}</author>
    <author>tc={BD716DA9-2D80-4DC8-9AD5-CAF6E86F7F7A}</author>
    <author>tc={7F01435F-63A8-4BB2-9973-9F258850725F}</author>
    <author>tc={30B56932-30C0-4037-B0CD-DB40056DC5DF}</author>
    <author>tc={D736D16D-EF50-4A56-8990-6EC28F9E2453}</author>
    <author>tc={55693927-85DA-4190-AB1A-2A65A4BD291A}</author>
    <author>tc={8DDE39BC-A8C9-49BE-A114-7216165A570B}</author>
    <author>tc={E5874FDC-FC86-4E1F-960F-FD36891D0848}</author>
    <author>tc={F58C2836-807E-4C83-9308-43D8A034BCC4}</author>
    <author>tc={533ADC8D-1976-49EF-9842-8D631BFE7541}</author>
    <author>tc={754D716C-35EE-4A5E-9EA3-1233601E2A75}</author>
    <author>tc={8151D216-B6D9-4DC1-BA6A-60DB9311FC3F}</author>
  </authors>
  <commentList>
    <comment ref="A37" authorId="0" shapeId="0" xr:uid="{2AEAE1FB-9B0A-4AD6-8E21-94EE3A19F72D}">
      <text>
        <t>[线程批注]
你的Excel版本可读取此线程批注; 但如果在更新版本的Excel中打开文件，则对批注所作的任何改动都将被删除。了解详细信息: https://go.microsoft.com/fwlink/?linkid=870924
注释:
    Ratio of currency (LCU) to USD</t>
      </text>
    </comment>
    <comment ref="A48" authorId="1" shapeId="0" xr:uid="{86A0B177-E9F8-4B6C-8C4C-4466CF195D49}">
      <text>
        <t>[线程批注]
你的Excel版本可读取此线程批注; 但如果在更新版本的Excel中打开文件，则对批注所作的任何改动都将被删除。了解详细信息: https://go.microsoft.com/fwlink/?linkid=870924
注释:
    Give a unique name to each project. There are likely to be multiple rows repeating each project, reflecting the fact that there will be multiple financiers for each project.</t>
      </text>
    </comment>
    <comment ref="B48" authorId="2" shapeId="0" xr:uid="{9555FA75-2E3D-4E76-AC3A-334108121AB9}">
      <text>
        <t>[线程批注]
你的Excel版本可读取此线程批注; 但如果在更新版本的Excel中打开文件，则对批注所作的任何改动都将被删除。了解详细信息: https://go.microsoft.com/fwlink/?linkid=870924
注释:
    List each financier in a separate row.</t>
      </text>
    </comment>
    <comment ref="E48" authorId="3" shapeId="0" xr:uid="{5073AE5E-BAF8-394E-83B4-7A485F59AD58}">
      <text>
        <t>[线程批注]
你的Excel版本可读取此线程批注; 但如果在更新版本的Excel中打开文件，则对批注所作的任何改动都将被删除。了解详细信息: https://go.microsoft.com/fwlink/?linkid=870924
注释:
    This is loan year 0</t>
      </text>
    </comment>
    <comment ref="G48" authorId="4" shapeId="0" xr:uid="{942412FB-6404-4EE1-9E12-3A090093D58B}">
      <text>
        <t>[线程批注]
你的Excel版本可读取此线程批注; 但如果在更新版本的Excel中打开文件，则对批注所作的任何改动都将被删除。了解详细信息: https://go.microsoft.com/fwlink/?linkid=870924
注释:
    Use drop down menu to indicate whether this source of finance is a Loan, a Grant or some form of Equity.</t>
      </text>
    </comment>
    <comment ref="H48" authorId="5" shapeId="0" xr:uid="{E3DAF25F-C813-47F5-8264-6009724D4413}">
      <text>
        <t>[线程批注]
你的Excel版本可读取此线程批注; 但如果在更新版本的Excel中打开文件，则对批注所作的任何改动都将被删除。了解详细信息: https://go.microsoft.com/fwlink/?linkid=870924
注释:
    Use drop down menu to indicate whether the financing comes from a Public sector or Private sector source</t>
      </text>
    </comment>
    <comment ref="I48" authorId="6" shapeId="0" xr:uid="{2A19A216-5403-45F4-BD12-42145ED1EEE8}">
      <text>
        <t xml:space="preserve">[线程批注]
你的Excel版本可读取此线程批注; 但如果在更新版本的Excel中打开文件，则对批注所作的任何改动都将被删除。了解详细信息: https://go.microsoft.com/fwlink/?linkid=870924
注释:
    Use the drop down menu to indicate the type of institution providing the finance.  </t>
      </text>
    </comment>
    <comment ref="J48" authorId="7" shapeId="0" xr:uid="{E3C3E0B2-42CF-47DC-93FD-A858B6340962}">
      <text>
        <t>[线程批注]
你的Excel版本可读取此线程批注; 但如果在更新版本的Excel中打开文件，则对批注所作的任何改动都将被删除。了解详细信息: https://go.microsoft.com/fwlink/?linkid=870924
注释:
    Use the drop down menu to indicate the geographic origen of the finance.</t>
      </text>
    </comment>
    <comment ref="K48" authorId="8" shapeId="0" xr:uid="{0C11403F-5231-4C6D-80E3-1C3236268D1E}">
      <text>
        <t>[线程批注]
你的Excel版本可读取此线程批注; 但如果在更新版本的Excel中打开文件，则对批注所作的任何改动都将被删除。了解详细信息: https://go.microsoft.com/fwlink/?linkid=870924
注释:
    Insert here the value of the finance provided. In the case of a loan, this would be the Principal.</t>
      </text>
    </comment>
    <comment ref="L48" authorId="9" shapeId="0" xr:uid="{C30E2A75-3619-418E-823E-FFDE1EA869FA}">
      <text>
        <t>[线程批注]
你的Excel版本可读取此线程批注; 但如果在更新版本的Excel中打开文件，则对批注所作的任何改动都将被删除。了解详细信息: https://go.microsoft.com/fwlink/?linkid=870924
注释:
    Currency selection limited to data input in table C33-C39</t>
      </text>
    </comment>
    <comment ref="M48" authorId="10" shapeId="0" xr:uid="{AEE7F442-D0E2-4643-801B-2A344AABE1B6}">
      <text>
        <t>[线程批注]
你的Excel版本可读取此线程批注; 但如果在更新版本的Excel中打开文件，则对批注所作的任何改动都将被删除。了解详细信息: https://go.microsoft.com/fwlink/?linkid=870924
注释:
    These are based on the exchange rates defined in rows 22-28 (For Local Currency)</t>
      </text>
    </comment>
    <comment ref="N48" authorId="11" shapeId="0" xr:uid="{BD627663-C314-452A-ADF6-FF170DFBD1EB}">
      <text>
        <t>[线程批注]
你的Excel版本可读取此线程批注; 但如果在更新版本的Excel中打开文件，则对批注所作的任何改动都将被删除。了解详细信息: https://go.microsoft.com/fwlink/?linkid=870924
注释:
    These are based on the exchange rates defined in rows 22-28 (For Foreign Currency)</t>
      </text>
    </comment>
    <comment ref="P48" authorId="12" shapeId="0" xr:uid="{0EBC05A4-90BE-2146-9D91-B65F98305CCC}">
      <text>
        <t>[线程批注]
你的Excel版本可读取此线程批注; 但如果在更新版本的Excel中打开文件，则对批注所作的任何改动都将被删除。了解详细信息: https://go.microsoft.com/fwlink/?linkid=870924
注释:
    For a (1) loan enter the interest rate If interest rate is a mark-up over a central bank benchmark rate, you will need to look-up the benchmark rate for the corresponding year in which the loan was issued. For (2) equity enter the rate of return</t>
      </text>
    </comment>
    <comment ref="Q48" authorId="13" shapeId="0" xr:uid="{2D6C534E-6666-4F49-9772-02010DF106D4}">
      <text>
        <t>[线程批注]
你的Excel版本可读取此线程批注; 但如果在更新版本的Excel中打开文件，则对批注所作的任何改动都将被删除。了解详细信息: https://go.microsoft.com/fwlink/?linkid=870924
注释:
     For a (1) loan enter the term of Loan, for (2) equity enter the lifetime of the project</t>
      </text>
    </comment>
    <comment ref="R48" authorId="14" shapeId="0" xr:uid="{E9779A19-FCA3-4721-98F0-8EEA88712E29}">
      <text>
        <t>[线程批注]
你的Excel版本可读取此线程批注; 但如果在更新版本的Excel中打开文件，则对批注所作的任何改动都将被删除。了解详细信息: https://go.microsoft.com/fwlink/?linkid=870924
注释:
    The amount of years left of the loan term</t>
      </text>
    </comment>
    <comment ref="S48" authorId="15" shapeId="0" xr:uid="{5506784F-7D55-426C-8935-2390C8507269}">
      <text>
        <t>[线程批注]
你的Excel版本可读取此线程批注; 但如果在更新版本的Excel中打开文件，则对批注所作的任何改动都将被删除。了解详细信息: https://go.microsoft.com/fwlink/?linkid=870924
注释:
    The Grace Period is only relevant for highly concessional lending where the borrower is allowed to defer repayment of the loan for several years. In most cases, this will take a value of zero.</t>
      </text>
    </comment>
    <comment ref="T48" authorId="16" shapeId="0" xr:uid="{7CE13147-901D-4520-B9D5-FA35BC334875}">
      <text>
        <t>[线程批注]
你的Excel版本可读取此线程批注; 但如果在更新版本的Excel中打开文件，则对批注所作的任何改动都将被删除。了解详细信息: https://go.microsoft.com/fwlink/?linkid=870924
注释:
    Refer to- https://one.oecd.org/document/DEV/DOC/WKP(2017)5/En/pdf</t>
      </text>
    </comment>
    <comment ref="Z48" authorId="17" shapeId="0" xr:uid="{9B999879-F5B4-40B1-A90D-9F439B047F77}">
      <text>
        <t>[线程批注]
你的Excel版本可读取此线程批注; 但如果在更新版本的Excel中打开文件，则对批注所作的任何改动都将被删除。了解详细信息: https://go.microsoft.com/fwlink/?linkid=870924
注释:
    Please provide here any comments or relevant source materials, particularly for data that does not come from our international databases.</t>
      </text>
    </comment>
    <comment ref="K49" authorId="18" shapeId="0" xr:uid="{A4DF6DFE-1943-47A7-A886-5F6AE23C5784}">
      <text>
        <t xml:space="preserve">[线程批注]
你的Excel版本可读取此线程批注; 但如果在更新版本的Excel中打开文件，则对批注所作的任何改动都将被删除。了解详细信息: https://go.microsoft.com/fwlink/?linkid=870924
注释:
    Equity based on Percentage shares reported in 
https://www.centum.co.ke/images/docs/Statement_by_Centum_Investment_on_Akiira_Geothermal_Ltd.pdf 
Also states Grant of $2.3 million from OPIC, GFRM and Seed Capital Assistance
BII (CDC) also claims to have made an investment of $4.2 Million between April 2016 and Dec 2020, but not shown in any other investor statements
https://www.bii.co.uk/en/our-impact/investment/akiira-geothermal/ </t>
      </text>
    </comment>
    <comment ref="P49" authorId="19" shapeId="0" xr:uid="{2E1A744D-FFFD-47AE-B326-1A1B90D0BAC8}">
      <text>
        <t>[线程批注]
你的Excel版本可读取此线程批注; 但如果在更新版本的Excel中打开文件，则对批注所作的任何改动都将被删除。了解详细信息: https://go.microsoft.com/fwlink/?linkid=870924
注释:
    16. 8% RR on Kenya Geothermal 
https://opendocs.ids.ac.uk/opendocs/bitstream/handle/20.500.12413/11297/ER190_CostandReturnsofRenewableEnergyinSubSaharanAfricaAComparisonofKenyaandGhana.pdf?sequence=1</t>
      </text>
    </comment>
    <comment ref="Q49" authorId="20" shapeId="0" xr:uid="{ADA9B7B4-8FB6-415E-8810-DDFDE63F2ECC}">
      <text>
        <t>[线程批注]
你的Excel版本可读取此线程批注; 但如果在更新版本的Excel中打开文件，则对批注所作的任何改动都将被删除。了解详细信息: https://go.microsoft.com/fwlink/?linkid=870924
注释:
    Term of equity projects assumed to be the same as project lifetime, which is derived from OSeMOSYS inputs.
https://www.sciencedirect.com/science/article/pii/S2352340922002323?fr=RR-9&amp;ref=pdf_download&amp;rr=81ba1e5b38a9dd88</t>
      </text>
    </comment>
    <comment ref="I50" authorId="21" shapeId="0" xr:uid="{727221D9-B180-47E2-A023-4DEC6F3B9D59}">
      <text>
        <t>[线程批注]
你的Excel版本可读取此线程批注; 但如果在更新版本的Excel中打开文件，则对批注所作的任何改动都将被删除。了解详细信息: https://go.microsoft.com/fwlink/?linkid=870924
注释:
    Centum Investment Company Plc, commonly known as Centum is a public East African investment company. It operates as an affiliate of the Kenyan government-owned Industrial and Commercial Development Corporation</t>
      </text>
    </comment>
    <comment ref="K50" authorId="22" shapeId="0" xr:uid="{940BBA02-5562-4F39-B042-44D75AD4B8BE}">
      <text>
        <t>[线程批注]
你的Excel版本可读取此线程批注; 但如果在更新版本的Excel中打开文件，则对批注所作的任何改动都将被删除。了解详细信息: https://go.microsoft.com/fwlink/?linkid=870924
注释:
    Of the 380$: debt (70%) and equity (30%)
Equity: 37.5% Centum, 37.5% Frontier, 10% ram energy and 15% marine power. 
Debt: EIB $192, 71.25 centum
https://ewsdata.rightsindevelopment.org/projects/20140645-akiira-i-geothermal-power-plant/
https://www.centum.co.ke/images/docs/Statement_by_Centum_Investment_on_Akiira_Geothermal_Ltd.pdf</t>
      </text>
    </comment>
    <comment ref="P50" authorId="23" shapeId="0" xr:uid="{E167DDF2-463D-48A9-A486-179B12632622}">
      <text>
        <t>[线程批注]
你的Excel版本可读取此线程批注; 但如果在更新版本的Excel中打开文件，则对批注所作的任何改动都将被删除。了解详细信息: https://go.microsoft.com/fwlink/?linkid=870924
注释:
    16.8% RR on Kenya Geothermal 
https://opendocs.ids.ac.uk/opendocs/bitstream/handle/20.500.12413/11297/ER190_CostandReturnsofRenewableEnergyinSubSaharanAfricaAComparisonofKenyaandGhana.pdf?sequence=1</t>
      </text>
    </comment>
    <comment ref="Q50" authorId="24" shapeId="0" xr:uid="{7F871619-F1ED-418C-B5D3-6944FE8A4DF7}">
      <text>
        <t>[线程批注]
你的Excel版本可读取此线程批注; 但如果在更新版本的Excel中打开文件，则对批注所作的任何改动都将被删除。了解详细信息: https://go.microsoft.com/fwlink/?linkid=870924
注释:
    Term of equity projects assumed to be the same as project lifetime, which is derived from OSeMOSYS inputs.
https://www.sciencedirect.com/science/article/pii/S2352340922002323?fr=RR-9&amp;ref=pdf_download&amp;rr=81ba1e5b38a9dd88</t>
      </text>
    </comment>
    <comment ref="K51" authorId="25" shapeId="0" xr:uid="{C948F75A-F265-4504-A937-B1B24E812BB6}">
      <text>
        <t>[线程批注]
你的Excel版本可读取此线程批注; 但如果在更新版本的Excel中打开文件，则对批注所作的任何改动都将被删除。了解详细信息: https://go.microsoft.com/fwlink/?linkid=870924
注释:
    Centum contribute a total of 30% financing including equity
https://ewsdata.rightsindevelopment.org/projects/20140645-akiira-i-geothermal-power-plant/</t>
      </text>
    </comment>
    <comment ref="P51" authorId="26" shapeId="0" xr:uid="{B31A60A2-01D5-4FE1-A759-C6867D204034}">
      <text>
        <t>[线程批注]
你的Excel版本可读取此线程批注; 但如果在更新版本的Excel中打开文件，则对批注所作的任何改动都将被删除。了解详细信息: https://go.microsoft.com/fwlink/?linkid=870924
注释:
    Weighted Average Terms for Climate Fund loans based on values from this dataset
Term:        Interest     Term      Grace
Value:        4.96%      14.11       1.00
%Known:   6.19%     29.29%    5.75%</t>
      </text>
    </comment>
    <comment ref="Q51" authorId="27" shapeId="0" xr:uid="{8D2FE849-2FE5-448F-BBC2-22833A59CCA8}">
      <text>
        <t>[线程批注]
你的Excel版本可读取此线程批注; 但如果在更新版本的Excel中打开文件，则对批注所作的任何改动都将被删除。了解详细信息: https://go.microsoft.com/fwlink/?linkid=870924
注释:
    “the average interest rate and grace period on new external loans contracted in financial year 2014/15 was 2.5 per cent and 6.4 years respectively. This profile, together with the long maturity of 21 years yield”
https://www.cabri-sbo.org/en/documents/annual-public-debt-management-report-2014-2015</t>
      </text>
    </comment>
    <comment ref="S51" authorId="28" shapeId="0" xr:uid="{AB241B28-904B-40B1-B147-E6406B13E69A}">
      <text>
        <t>[线程批注]
你的Excel版本可读取此线程批注; 但如果在更新版本的Excel中打开文件，则对批注所作的任何改动都将被删除。了解详细信息: https://go.microsoft.com/fwlink/?linkid=870924
注释:
    “the average interest rate and grace period on new external loans contracted in financial year 2014/15 was 2.5 per cent and 6.4 years respectively. This profile, together with the long maturity of 21 years yield”
https://www.cabri-sbo.org/en/documents/annual-public-debt-management-report-2014-2015</t>
      </text>
    </comment>
    <comment ref="P52" authorId="29" shapeId="0" xr:uid="{75139492-5418-4AFE-A8EA-605DCE5763AE}">
      <text>
        <t>[线程批注]
你的Excel版本可读取此线程批注; 但如果在更新版本的Excel中打开文件，则对批注所作的任何改动都将被删除。了解详细信息: https://go.microsoft.com/fwlink/?linkid=870924
注释:
    16.8% RR on Kenya Geothermal 
https://opendocs.ids.ac.uk/opendocs/bitstream/handle/20.500.12413/11297/ER190_CostandReturnsofRenewableEnergyinSubSaharanAfricaAComparisonofKenyaandGhana.pdf?sequence=1</t>
      </text>
    </comment>
    <comment ref="Q52" authorId="30" shapeId="0" xr:uid="{370D307B-5CDD-4D95-BF07-94254A5C4C6F}">
      <text>
        <t>[线程批注]
你的Excel版本可读取此线程批注; 但如果在更新版本的Excel中打开文件，则对批注所作的任何改动都将被删除。了解详细信息: https://go.microsoft.com/fwlink/?linkid=870924
注释:
    Term of equity projects assumed to be the same as project lifetime, which is derived from OSeMOSYS inputs.
https://www.sciencedirect.com/science/article/pii/S2352340922002323?fr=RR-9&amp;ref=pdf_download&amp;rr=81ba1e5b38a9dd88</t>
      </text>
    </comment>
    <comment ref="P53" authorId="31" shapeId="0" xr:uid="{038FFFBC-6FF1-4E8E-810A-B21D84977F08}">
      <text>
        <t>[线程批注]
你的Excel版本可读取此线程批注; 但如果在更新版本的Excel中打开文件，则对批注所作的任何改动都将被删除。了解详细信息: https://go.microsoft.com/fwlink/?linkid=870924
注释:
    16.8% RR on Kenya Geothermal 
https://opendocs.ids.ac.uk/opendocs/bitstream/handle/20.500.12413/11297/ER190_CostandReturnsofRenewableEnergyinSubSaharanAfricaAComparisonofKenyaandGhana.pdf?sequence=1</t>
      </text>
    </comment>
    <comment ref="Q53" authorId="32" shapeId="0" xr:uid="{302A78DE-2244-49E9-986A-12BCED68ECFE}">
      <text>
        <t>[线程批注]
你的Excel版本可读取此线程批注; 但如果在更新版本的Excel中打开文件，则对批注所作的任何改动都将被删除。了解详细信息: https://go.microsoft.com/fwlink/?linkid=870924
注释:
    Term of equity projects assumed to be the same as project lifetime, which is derived from OSeMOSYS inputs.
https://www.sciencedirect.com/science/article/pii/S2352340922002323?fr=RR-9&amp;ref=pdf_download&amp;rr=81ba1e5b38a9dd88</t>
      </text>
    </comment>
    <comment ref="K54" authorId="33" shapeId="0" xr:uid="{9F23A7EE-44DA-4CC3-9D54-B0E27D639456}">
      <text>
        <t>[线程批注]
你的Excel版本可读取此线程批注; 但如果在更新版本的Excel中打开文件，则对批注所作的任何改动都将被删除。了解详细信息: https://go.microsoft.com/fwlink/?linkid=870924
注释:
    Gained EIB investment of $155 Million. However this was withdrawn following an investigation into forced evictions:
https://accountabilityproject.org/wp-content/uploads/2019/10/Akiira-1-Geothermal-Power-Plant-Project-Community-Led-Research-and-Outreach-Report.pdf
Recent Reports state debt financing for 75% of the project: 
https://www.africa-energy.com/news-centre/article/kenya-centum-lines-debt-akiira-geothermal-project</t>
      </text>
    </comment>
    <comment ref="P54" authorId="34" shapeId="0" xr:uid="{836555D9-E81B-4911-BDCA-DF692CFE5C84}">
      <text>
        <t>[线程批注]
你的Excel版本可读取此线程批注; 但如果在更新版本的Excel中打开文件，则对批注所作的任何改动都将被删除。了解详细信息: https://go.microsoft.com/fwlink/?linkid=870924
注释:
    Weighted Average Terms for Multilateral Agency loans based on values from this dataset
Term:        Interest     Term      Grace
Value:        2.39%      33.67       6.96
%Known:  46.21%    52.38%   44.87%</t>
      </text>
    </comment>
    <comment ref="Q54" authorId="35" shapeId="0" xr:uid="{18377ED2-7386-4CAB-B00D-FB2B2620D620}">
      <text>
        <t>[线程批注]
你的Excel版本可读取此线程批注; 但如果在更新版本的Excel中打开文件，则对批注所作的任何改动都将被删除。了解详细信息: https://go.microsoft.com/fwlink/?linkid=870924
注释:
    Weighted Average Terms for Multilateral Agency loans based on values from this dataset
Term:        Interest     Term      Grace
Value:        2.39%      33.67       6.96
%Known:  46.21%    52.38%   44.87%</t>
      </text>
    </comment>
    <comment ref="S54" authorId="36" shapeId="0" xr:uid="{56A5EABA-C5F6-4126-9C88-8BEC76B38202}">
      <text>
        <t>[线程批注]
你的Excel版本可读取此线程批注; 但如果在更新版本的Excel中打开文件，则对批注所作的任何改动都将被删除。了解详细信息: https://go.microsoft.com/fwlink/?linkid=870924
注释:
    Weighted Average Terms for Multilateral Agency loans based on values from this dataset
Term:        Interest     Term      Grace
Value:        2.39%      33.67       6.96
%Known:  46.21%    52.38%   44.87%</t>
      </text>
    </comment>
    <comment ref="F55" authorId="37" shapeId="0" xr:uid="{3013E9AD-3558-446F-BF94-0A462ABA02D4}">
      <text>
        <t>[线程批注]
你的Excel版本可读取此线程批注; 但如果在更新版本的Excel中打开文件，则对批注所作的任何改动都将被删除。了解详细信息: https://go.microsoft.com/fwlink/?linkid=870924
注释:
    multi-donor fund in Sub-Saharan Africa</t>
      </text>
    </comment>
    <comment ref="H55" authorId="38" shapeId="0" xr:uid="{2F1D953E-4746-4136-B330-982DF1554000}">
      <text>
        <t>[线程批注]
你的Excel版本可读取此线程批注; 但如果在更新版本的Excel中打开文件，则对批注所作的任何改动都将被删除。了解详细信息: https://go.microsoft.com/fwlink/?linkid=870924
注释:
    Blended Finance</t>
      </text>
    </comment>
    <comment ref="K55" authorId="39" shapeId="0" xr:uid="{5A1C066E-9A4C-4D0A-9513-5EA7E38C8CBE}">
      <text>
        <t>[线程批注]
你的Excel版本可读取此线程批注; 但如果在更新版本的Excel中打开文件，则对批注所作的任何改动都将被删除。了解详细信息: https://go.microsoft.com/fwlink/?linkid=870924
注释:
    EAIF (Emerging Africa Infrastructure Fund) provide $35 Million over 15 years
https://www.eaif.com/eaif-backs-40mw-kesses-solar-project-in-kenya-with-us35-million-loan/</t>
      </text>
    </comment>
    <comment ref="P55" authorId="40" shapeId="0" xr:uid="{66CF8BD0-73C6-410D-9941-051F72B3F8C2}">
      <text>
        <t>[线程批注]
你的Excel版本可读取此线程批注; 但如果在更新版本的Excel中打开文件，则对批注所作的任何改动都将被删除。了解详细信息: https://go.microsoft.com/fwlink/?linkid=870924
注释:
    Weighted Average Terms for Climate Fund loans based on values from this dataset
Term:        Interest     Term      Grace
Value:        4.96%      14.11       1.00
%Known:   6.19%     29.29%    5.75%</t>
      </text>
    </comment>
    <comment ref="Q55" authorId="41" shapeId="0" xr:uid="{D77B95F7-EF0F-4321-9C0F-AFC70CEF55FF}">
      <text>
        <t>[线程批注]
你的Excel版本可读取此线程批注; 但如果在更新版本的Excel中打开文件，则对批注所作的任何改动都将被删除。了解详细信息: https://go.microsoft.com/fwlink/?linkid=870924
注释:
    https://www.eaif.com/eaif-backs-40mw-kesses-solar-project-in-kenya-with-us35-million-loan/</t>
      </text>
    </comment>
    <comment ref="S55" authorId="42" shapeId="0" xr:uid="{17FBF656-9F71-48A5-B861-FB216DCD36A2}">
      <text>
        <t>[线程批注]
你的Excel版本可读取此线程批注; 但如果在更新版本的Excel中打开文件，则对批注所作的任何改动都将被删除。了解详细信息: https://go.microsoft.com/fwlink/?linkid=870924
注释:
    Weighted Average Terms for Climate Fund loans based on values from this dataset
Term:        Interest     Term      Grace
Value:        4.96%      14.11       1.00
%Known:   6.19%     29.29%    5.75%</t>
      </text>
    </comment>
    <comment ref="K56" authorId="43" shapeId="0" xr:uid="{4B3F0AC8-D1CD-4D60-A5BA-D99DE404B48D}">
      <text>
        <t>[线程批注]
你的Excel版本可读取此线程批注; 但如果在更新版本的Excel中打开文件，则对批注所作的任何改动都将被删除。了解详细信息: https://go.microsoft.com/fwlink/?linkid=870924
注释:
    Standard Bank, acting through CIB and Stanbic Bank Kenya LTD. loaning $41 Million and action as Lending Arranger EAIF backs 40MW Kesses solar project in Kenya with US$35 million loan - Emerging Africa Infrastructure Fund</t>
      </text>
    </comment>
    <comment ref="P56" authorId="44" shapeId="0" xr:uid="{F9A7A7E7-6A95-4CF7-B50B-D31519632953}">
      <text>
        <t xml:space="preserve">[线程批注]
你的Excel版本可读取此线程批注; 但如果在更新版本的Excel中打开文件，则对批注所作的任何改动都将被删除。了解详细信息: https://go.microsoft.com/fwlink/?linkid=870924
注释:
    Weighted Average Terms for Commercial Bank loans based on values from this dataset
Term:        Interest     Term      Grace
Value:        8.03%      15.00       1.50
%Known:  27.11%    27.11%   27.11%
 </t>
      </text>
    </comment>
    <comment ref="Q56" authorId="45" shapeId="0" xr:uid="{633048F9-2B0E-4583-83DA-DA1B49ABDB10}">
      <text>
        <t>[线程批注]
你的Excel版本可读取此线程批注; 但如果在更新版本的Excel中打开文件，则对批注所作的任何改动都将被删除。了解详细信息: https://go.microsoft.com/fwlink/?linkid=870924
注释:
    Weighted Average Terms for Commercial Bank loans based on values from this dataset
Term:        Interest     Term      Grace
Value:        8.03%      15.00       1.50
%Known:  27.11%    27.11%   27.11%</t>
      </text>
    </comment>
    <comment ref="S56" authorId="46" shapeId="0" xr:uid="{2BB98A7C-A6BC-4E77-8A76-9C9506C56E7D}">
      <text>
        <t>[线程批注]
你的Excel版本可读取此线程批注; 但如果在更新版本的Excel中打开文件，则对批注所作的任何改动都将被删除。了解详细信息: https://go.microsoft.com/fwlink/?linkid=870924
注释:
    Weighted Average Terms for Commercial Bank loans based on values from this dataset
Term:        Interest     Term      Grace
Value:        8.03%      15.00       1.50
%Known:  27.11%    27.11%   27.11%</t>
      </text>
    </comment>
    <comment ref="K57" authorId="47" shapeId="0" xr:uid="{FC07E8EB-E216-4B89-9039-C9528083EEA7}">
      <text>
        <t>[线程批注]
你的Excel版本可读取此线程批注; 但如果在更新版本的Excel中打开文件，则对批注所作的任何改动都将被删除。了解详细信息: https://go.microsoft.com/fwlink/?linkid=870924
注释:
    Remaining financing of total project costs ($87M) assumed to be Equity financed by Spanish Project Developer Alten Energías Renovables 
https://www.eaif.com/eaif-backs-40mw-kesses-solar-project-in-kenya-with-us35-million-loan/#:~:text=The%20project%20will%20cost%20a,Group%2C%20in%20late%20December%202021.</t>
      </text>
    </comment>
    <comment ref="P57" authorId="48" shapeId="0" xr:uid="{144EA4BE-96EA-4F3E-9155-F3C36F55A658}">
      <text>
        <t>[线程批注]
你的Excel版本可读取此线程批注; 但如果在更新版本的Excel中打开文件，则对批注所作的任何改动都将被删除。了解详细信息: https://go.microsoft.com/fwlink/?linkid=870924
注释:
    Interest Rates based on Equity Rate of Return for Solar Projects from 
Page 38 (PDF Page 40)
https://core.ac.uk/download/pdf/43542198.pdf</t>
      </text>
    </comment>
    <comment ref="Q57" authorId="49" shapeId="0" xr:uid="{8BAD5085-AE93-4CA3-B349-3CEA39862F24}">
      <text>
        <t>[线程批注]
你的Excel版本可读取此线程批注; 但如果在更新版本的Excel中打开文件，则对批注所作的任何改动都将被删除。了解详细信息: https://go.microsoft.com/fwlink/?linkid=870924
注释:
    Based on Operational Life of Solar PV in Africa reported in:
https://www.sciencedirect.com/science/article/pii/S2352340922002323
Lucy Allington, Carla Cannone, Ioannis Pappis, Karla Cervantes Barron, Will Usher, Steve Pye, Edward Brown, Mark Howells, Miriam Zachau Walker, Aniq Ahsan, Flora Charbonnier, Claire Halloran, Stephanie Hirmer, Jennifer Cronin, Constantinos Taliotis, Caroline Sundin, Vignesh Sridharan, Eunice Ramos, Maarten Brinkerink, Paul Deane, Andrii Gritsevskyi, Gustavo Moura, Arnaud Rouget, David Wogan, Edito Barcelona, Taco Niet, Holger Rogner, Franziska Bock, Jairo Quirós-Tortós, Jam Angulo-Paniagua, Satheesh Krishnamurthy, John Harrison, Long Seng To,
Selected ‘Starter kit’ energy system modelling data for selected countries in Africa, East Asia, and South America (#CCG, 2021),
Data in Brief,
Volume 42,
2022,
108021,
ISSN 2352-3409,
https://doi.org/10.1016/j.dib.2022.108021.</t>
      </text>
    </comment>
    <comment ref="K58" authorId="50" shapeId="0" xr:uid="{83B56362-F3CE-49D7-BBD4-192A1B2FC96F}">
      <text>
        <t>[线程批注]
你的Excel版本可读取此线程批注; 但如果在更新版本的Excel中打开文件，则对批注所作的任何改动都将被删除。了解详细信息: https://go.microsoft.com/fwlink/?linkid=870924
注释:
    Estimated Cost ~$30 Million
$21 Million (70% Debt financing) from Equity Bank
$1 Million Grant from AECF
$8 Million (remainder) from Cummins Equity
https://www.businessdailyafrica.com/corporate/Cummins-to-supply-2MW-from-Mathenge/539550-2622192-b1hxuhz/index.html</t>
      </text>
    </comment>
    <comment ref="P58" authorId="51" shapeId="0" xr:uid="{2862D644-89A7-4F19-98C6-86E06C9AC504}">
      <text>
        <t xml:space="preserve">[线程批注]
你的Excel版本可读取此线程批注; 但如果在更新版本的Excel中打开文件，则对批注所作的任何改动都将被删除。了解详细信息: https://go.microsoft.com/fwlink/?linkid=870924
注释:
    Weighted Average Terms for Commercial Bank loans based on values from this dataset
Term:        Interest     Term      Grace
Value:        8.03%      15.00       1.50
%Known:  27.11%    27.11%   27.11%
 </t>
      </text>
    </comment>
    <comment ref="Q58" authorId="52" shapeId="0" xr:uid="{80A61520-3EBE-43F6-9773-A4CA81C709D8}">
      <text>
        <t>[线程批注]
你的Excel版本可读取此线程批注; 但如果在更新版本的Excel中打开文件，则对批注所作的任何改动都将被删除。了解详细信息: https://go.microsoft.com/fwlink/?linkid=870924
注释:
    Weighted Average Terms for Commercial Bank loans based on values from this dataset
Term:        Interest     Term      Grace
Value:        8.03%      15.00       1.50
%Known:  27.11%    27.11%   27.11%</t>
      </text>
    </comment>
    <comment ref="S58" authorId="53" shapeId="0" xr:uid="{C19B550E-EEC4-4BFE-A964-18292DFB7E38}">
      <text>
        <t>[线程批注]
你的Excel版本可读取此线程批注; 但如果在更新版本的Excel中打开文件，则对批注所作的任何改动都将被删除。了解详细信息: https://go.microsoft.com/fwlink/?linkid=870924
注释:
    Weighted Average Terms for Commercial Bank loans based on values from this dataset
Term:        Interest     Term      Grace
Value:        8.03%      15.00       1.50
%Known:  27.11%    27.11%   27.11%</t>
      </text>
    </comment>
    <comment ref="Q59" authorId="54" shapeId="0" xr:uid="{CC930C14-DE97-432B-AB26-0612FC03B582}">
      <text>
        <t>[线程批注]
你的Excel版本可读取此线程批注; 但如果在更新版本的Excel中打开文件，则对批注所作的任何改动都将被删除。了解详细信息: https://go.microsoft.com/fwlink/?linkid=870924
注释:
    Term of equity projects assumed to be the same as project lifetime, which is derived from OSeMOSYS inputs.
https://www.sciencedirect.com/science/article/pii/S2352340922002323?fr=RR-9&amp;ref=pdf_download&amp;rr=81ba1e5b38a9dd88</t>
      </text>
    </comment>
    <comment ref="K60" authorId="55" shapeId="0" xr:uid="{C5875CE9-499F-4210-969B-D015EA52FB1A}">
      <text>
        <t>[线程批注]
你的Excel版本可读取此线程批注; 但如果在更新版本的Excel中打开文件，则对批注所作的任何改动都将被删除。了解详细信息: https://go.microsoft.com/fwlink/?linkid=870924
注释:
    Klagge, B. and Nweke-Eze, C., 2020. Financing large-scale renewable-energy projects in Kenya: investor types, international connections, and financialization. Geografiska Annaler: Series B, Human Geography, 102(1), pp.61-83.</t>
      </text>
    </comment>
    <comment ref="Q60" authorId="56" shapeId="0" xr:uid="{75ED6D61-4595-4F4C-94A6-0008515509A0}">
      <text>
        <t>[线程批注]
你的Excel版本可读取此线程批注; 但如果在更新版本的Excel中打开文件，则对批注所作的任何改动都将被删除。了解详细信息: https://go.microsoft.com/fwlink/?linkid=870924
注释:
    Term of equity projects assumed to be the same as project lifetime, which is derived from OSeMOSYS inputs.
https://www.sciencedirect.com/science/article/pii/S2352340922002323?fr=RR-9&amp;ref=pdf_download&amp;rr=81ba1e5b38a9dd88</t>
      </text>
    </comment>
    <comment ref="P61" authorId="57" shapeId="0" xr:uid="{4A4F0EB7-1FCD-4BE7-8A24-826EB58485FE}">
      <text>
        <t>[线程批注]
你的Excel版本可读取此线程批注; 但如果在更新版本的Excel中打开文件，则对批注所作的任何改动都将被删除。了解详细信息: https://go.microsoft.com/fwlink/?linkid=870924
注释:
    Weighted Average Terms for Foreign Gov. loans based on values from this dataset
Term:        Interest     Term      Grace
Value:        2.41%      23.58       6.54
%Known:  51.96%    66.91%   50.41%</t>
      </text>
    </comment>
    <comment ref="Q61" authorId="58" shapeId="0" xr:uid="{4CAB76F9-819C-4DF1-B8A1-BD43FD75C232}">
      <text>
        <t>[线程批注]
你的Excel版本可读取此线程批注; 但如果在更新版本的Excel中打开文件，则对批注所作的任何改动都将被删除。了解详细信息: https://go.microsoft.com/fwlink/?linkid=870924
注释:
    Weighted Average Terms for Foreign Gov. loans based on values from this dataset
Term:        Interest     Term      Grace
Value:        2.41%      23.58       6.54
%Known:  51.96%    66.91%   50.41%</t>
      </text>
    </comment>
    <comment ref="S61" authorId="59" shapeId="0" xr:uid="{A1103560-6173-43C8-95C9-2AB274E448B3}">
      <text>
        <t>[线程批注]
你的Excel版本可读取此线程批注; 但如果在更新版本的Excel中打开文件，则对批注所作的任何改动都将被删除。了解详细信息: https://go.microsoft.com/fwlink/?linkid=870924
注释:
    Weighted Average Terms for Foreign Gov. loans based on values from this dataset
Term:        Interest     Term      Grace
Value:        2.41%      23.58       6.54
%Known:  51.96%    66.91%   50.41%</t>
      </text>
    </comment>
    <comment ref="K62" authorId="60" shapeId="0" xr:uid="{F1D3C7CF-5272-49BC-8E29-9B5D9AF6FD13}">
      <text>
        <t xml:space="preserve">[线程批注]
你的Excel版本可读取此线程批注; 但如果在更新版本的Excel中打开文件，则对批注所作的任何改动都将被删除。了解详细信息: https://go.microsoft.com/fwlink/?linkid=870924
注释:
     https://guarantco.com/our-portfolio/bboxx/
$15 Million Loan from SBM Bank Kenya, and $11.25 Million (75%) guarantee on the loan instruments
</t>
      </text>
    </comment>
    <comment ref="P62" authorId="61" shapeId="0" xr:uid="{F1961460-F330-4827-A34B-D60BC362CC88}">
      <text>
        <t xml:space="preserve">[线程批注]
你的Excel版本可读取此线程批注; 但如果在更新版本的Excel中打开文件，则对批注所作的任何改动都将被删除。了解详细信息: https://go.microsoft.com/fwlink/?linkid=870924
注释:
    Weighted Average Terms for Commercial Bank loans based on values from this dataset
Term:        Interest     Term      Grace
Value:        8.03%      15.00       1.50
%Known:  27.11%    27.11%   27.11%
 </t>
      </text>
    </comment>
    <comment ref="Q62" authorId="62" shapeId="0" xr:uid="{EA02FA3D-4903-453F-AF75-EF7E94CAED77}">
      <text>
        <t>[线程批注]
你的Excel版本可读取此线程批注; 但如果在更新版本的Excel中打开文件，则对批注所作的任何改动都将被删除。了解详细信息: https://go.microsoft.com/fwlink/?linkid=870924
注释:
    Weighted Average Terms for Commercial Bank loans based on values from this dataset
Term:        Interest     Term      Grace
Value:        8.03%      15.00       1.50
%Known:  27.11%    27.11%   27.11%</t>
      </text>
    </comment>
    <comment ref="S62" authorId="63" shapeId="0" xr:uid="{AA3FD464-9B40-462A-84A4-D9C9BE5E8954}">
      <text>
        <t>[线程批注]
你的Excel版本可读取此线程批注; 但如果在更新版本的Excel中打开文件，则对批注所作的任何改动都将被删除。了解详细信息: https://go.microsoft.com/fwlink/?linkid=870924
注释:
    Weighted Average Terms for Commercial Bank loans based on values from this dataset
Term:        Interest     Term      Grace
Value:        8.03%      15.00       1.50
%Known:  27.11%    27.11%   27.11%</t>
      </text>
    </comment>
    <comment ref="K63" authorId="64" shapeId="0" xr:uid="{DD66B86E-8159-4ADF-A85B-3D36C1484745}">
      <text>
        <t>[线程批注]
你的Excel版本可读取此线程批注; 但如果在更新版本的Excel中打开文件，则对批注所作的任何改动都将被删除。了解详细信息: https://go.microsoft.com/fwlink/?linkid=870924
注释:
    Ethiopia-Kenya - Electricity Highway - Appraisal Report (afdb.org)
Gives breakdowns of Kenyan portion of Financing for Project as well as IRR on equity. 
*Note. Portion of Funds allocated to separate Nairobi Ring Project</t>
      </text>
    </comment>
    <comment ref="P63" authorId="65" shapeId="0" xr:uid="{A16B20E7-A3D6-4FAA-8F4E-718EE98E5FD3}">
      <text>
        <t>[线程批注]
你的Excel版本可读取此线程批注; 但如果在更新版本的Excel中打开文件，则对批注所作的任何改动都将被删除。了解详细信息: https://go.microsoft.com/fwlink/?linkid=870924
注释:
    1.6% interest loan to GoK reported in:
https://www.treasury.go.ke/wp-content/uploads/2021/09/External-Public-Debt-Register-as-at-End-June-2019.pdf</t>
      </text>
    </comment>
    <comment ref="Q63" authorId="66" shapeId="0" xr:uid="{A5956E0E-E020-4641-B21C-725F0A406E42}">
      <text>
        <t>[线程批注]
你的Excel版本可读取此线程批注; 但如果在更新版本的Excel中打开文件，则对批注所作的任何改动都将被删除。了解详细信息: https://go.microsoft.com/fwlink/?linkid=870924
注释:
    Part of Ethiopia Energy Highway Project: Repayments start 2021, end 2033
9 year grace
21 year maturity
https://www.treasury.go.ke/wp-content/uploads/2021/09/External-Public-Debt-Register-as-at-End-June-2019.pdf</t>
      </text>
    </comment>
    <comment ref="S63" authorId="67" shapeId="0" xr:uid="{2469C3B9-994C-4BA4-8E1A-D8740D2E6620}">
      <text>
        <t>[线程批注]
你的Excel版本可读取此线程批注; 但如果在更新版本的Excel中打开文件，则对批注所作的任何改动都将被删除。了解详细信息: https://go.microsoft.com/fwlink/?linkid=870924
注释:
    Part of Ethiopia Energy Highway Project: Repayments start 2021, end 2033
9 year grace
21 year maturity
https://www.treasury.go.ke/wp-content/uploads/2021/09/External-Public-Debt-Register-as-at-End-June-2019.pdf</t>
      </text>
    </comment>
    <comment ref="K64" authorId="68" shapeId="0" xr:uid="{5749E0BF-CFCB-47EF-B02E-1554D88CCB4D}">
      <text>
        <t>[线程批注]
你的Excel版本可读取此线程批注; 但如果在更新版本的Excel中打开文件，则对批注所作的任何改动都将被删除。了解详细信息: https://go.microsoft.com/fwlink/?linkid=870924
注释:
    Page 5, Table 2.5
https://www.afdb.org/fileadmin/uploads/afdb/Documents/Project-and-Operations/Ethiopia-Kenya_-_Ethiopia-Kenya_Electricity_Highway_-Project_Appraisal_Report_.pdf</t>
      </text>
    </comment>
    <comment ref="P64" authorId="69" shapeId="0" xr:uid="{ADBB24D7-6877-49D9-9B55-E660F7F61C16}">
      <text>
        <t>[线程批注]
你的Excel版本可读取此线程批注; 但如果在更新版本的Excel中打开文件，则对批注所作的任何改动都将被删除。了解详细信息: https://go.microsoft.com/fwlink/?linkid=870924
注释:
    IRR Page iii
https://www.afdb.org/fileadmin/uploads/afdb/Documents/Project-and-Operations/Ethiopia-Kenya_-_Ethiopia-Kenya_Electricity_Highway_-Project_Appraisal_Report_.pdf</t>
      </text>
    </comment>
    <comment ref="Q64" authorId="70" shapeId="0" xr:uid="{68077F8F-FD1A-4071-8A26-89C1A2E64218}">
      <text>
        <t>[线程批注]
你的Excel版本可读取此线程批注; 但如果在更新版本的Excel中打开文件，则对批注所作的任何改动都将被删除。了解详细信息: https://go.microsoft.com/fwlink/?linkid=870924
注释:
    Equity assumed to be equal to the project life from OSeMOSYS</t>
      </text>
    </comment>
    <comment ref="K65" authorId="71" shapeId="0" xr:uid="{4F4A8D48-F52B-4674-8253-ED9B06C2CF13}">
      <text>
        <t>[线程批注]
你的Excel版本可读取此线程批注; 但如果在更新版本的Excel中打开文件，则对批注所作的任何改动都将被删除。了解详细信息: https://go.microsoft.com/fwlink/?linkid=870924
注释:
    Page 5, Table 2.5
https://www.afdb.org/fileadmin/uploads/afdb/Documents/Project-and-Operations/Ethiopia-Kenya_-_Ethiopia-Kenya_Electricity_Highway_-Project_Appraisal_Report_.pdf</t>
      </text>
    </comment>
    <comment ref="P65" authorId="72" shapeId="0" xr:uid="{33D6135F-FFE9-4E3A-89A8-FD6E718775BB}">
      <text>
        <t xml:space="preserve">[线程批注]
你的Excel版本可读取此线程批注; 但如果在更新版本的Excel中打开文件，则对批注所作的任何改动都将被删除。了解详细信息: https://go.microsoft.com/fwlink/?linkid=870924
注释:
    Lending Rate to GoK reported in External Debt Registry
https://www.treasury.go.ke/wp-content/uploads/2021/09/External-Public-Debt-Register-as-at-End-June-2019.pdf  </t>
      </text>
    </comment>
    <comment ref="Q65" authorId="73" shapeId="0" xr:uid="{25C65F5B-7759-4EFE-B3BA-F945445735B5}">
      <text>
        <t>[线程批注]
你的Excel版本可读取此线程批注; 但如果在更新版本的Excel中打开文件，则对批注所作的任何改动都将被删除。了解详细信息: https://go.microsoft.com/fwlink/?linkid=870924
注释:
    Reported AfDB Loan terms 
https://www.afdb.org/fileadmin/uploads/afdb/Documents/Project-and-Operations/Ethiopia-Kenya_-_Ethiopia-Kenya_Electricity_Highway_-Project_Appraisal_Report_.pdf
Agrees with GoK external debt registry: 
2022 First Repayments
2061 Reaches Maturity
https://www.treasury.go.ke/wp-content/uploads/2021/09/External-Public-Debt-Register-as-at-End-June-2019.pdf</t>
      </text>
    </comment>
    <comment ref="S65" authorId="74" shapeId="0" xr:uid="{26260654-0A5A-4EB5-9E4B-E661D73A2108}">
      <text>
        <t>[线程批注]
你的Excel版本可读取此线程批注; 但如果在更新版本的Excel中打开文件，则对批注所作的任何改动都将被删除。了解详细信息: https://go.microsoft.com/fwlink/?linkid=870924
注释:
    Reported AfDB Loan terms 
https://www.afdb.org/fileadmin/uploads/afdb/Documents/Project-and-Operations/Ethiopia-Kenya_-_Ethiopia-Kenya_Electricity_Highway_-Project_Appraisal_Report_.pdf
Agrees with GoK external debt registry: 
2022 First Repayments
2061 Reaches Maturity
https://www.treasury.go.ke/wp-content/uploads/2021/09/External-Public-Debt-Register-as-at-End-June-2019.pdf</t>
      </text>
    </comment>
    <comment ref="K66" authorId="75" shapeId="0" xr:uid="{07BC831D-1F92-4FD7-8324-AB4312C6ECED}">
      <text>
        <t>[线程批注]
你的Excel版本可读取此线程批注; 但如果在更新版本的Excel中打开文件，则对批注所作的任何改动都将被删除。了解详细信息: https://go.microsoft.com/fwlink/?linkid=870924
注释:
    Page 5, Table 2.5
https://www.afdb.org/fileadmin/uploads/afdb/Documents/Project-and-Operations/Ethiopia-Kenya_-_Ethiopia-Kenya_Electricity_Highway_-Project_Appraisal_Report_.pdf</t>
      </text>
    </comment>
    <comment ref="P66" authorId="76" shapeId="0" xr:uid="{01B77FA4-29A5-4EED-91BB-D44B6FC76CD7}">
      <text>
        <t>[线程批注]
你的Excel版本可读取此线程批注; 但如果在更新版本的Excel中打开文件，则对批注所作的任何改动都将被删除。了解详细信息: https://go.microsoft.com/fwlink/?linkid=870924
注释:
    Weighted Average Terms for World Bank loans based on values from this dataset
Term:        Interest     Term      Grace
Value:        2.80%      30.80       6.52
%Known:  44.81%    49.09%   48.25%</t>
      </text>
    </comment>
    <comment ref="Q66" authorId="77" shapeId="0" xr:uid="{3F60BCF0-1091-4382-BAF9-7518A20A5A84}">
      <text>
        <t>[线程批注]
你的Excel版本可读取此线程批注; 但如果在更新版本的Excel中打开文件，则对批注所作的任何改动都将被删除。了解详细信息: https://go.microsoft.com/fwlink/?linkid=870924
注释:
    Weighted Average Terms for World Bank loans based on values from this dataset
Term:        Interest     Term      Grace
Value:        2.80%      30.80       6.52
%Known:  44.81%    49.09%   48.25%</t>
      </text>
    </comment>
    <comment ref="S66" authorId="78" shapeId="0" xr:uid="{087D2280-8171-4A85-8AB5-BFE7E4F88979}">
      <text>
        <t>[线程批注]
你的Excel版本可读取此线程批注; 但如果在更新版本的Excel中打开文件，则对批注所作的任何改动都将被删除。了解详细信息: https://go.microsoft.com/fwlink/?linkid=870924
注释:
    Weighted Average Terms for World Bank loans based on values from this dataset
Term:        Interest     Term      Grace
Value:        2.80%      30.80       6.52
%Known:  44.81%    49.09%   48.25%</t>
      </text>
    </comment>
    <comment ref="K67" authorId="79" shapeId="0" xr:uid="{5A8A5FFA-AB68-4D0B-80A4-2DFD854A8842}">
      <text>
        <t xml:space="preserve">[线程批注]
你的Excel版本可读取此线程批注; 但如果在更新版本的Excel中打开文件，则对批注所作的任何改动都将被删除。了解详细信息: https://go.microsoft.com/fwlink/?linkid=870924
注释:
    Converted from UA 21.73M with exchange rate into USD at 1:1.40657
EUR 26.51M
Page 7 (PDF Page 13)
https://www.afdb.org/sites/all/libraries/pdf.js/web/viewer.html?file=https%3A%2F%2Fwww.afdb.org%2Fsites%2Fdefault%2Ffiles%2Fdocuments%2Fenvironmental-and-social-assessments%2Fmultinational_supplementary_financing_for_ethiopia_-_kenya_electricity_highway_project_-_memorandum_and_recommendation_for_supplementary_financi_compressed.pdf#page=1&amp;zoom=auto,-13,842 </t>
      </text>
    </comment>
    <comment ref="P67" authorId="80" shapeId="0" xr:uid="{02576EF7-D4E6-44D1-883D-CCD8AF261D47}">
      <text>
        <t xml:space="preserve">[线程批注]
你的Excel版本可读取此线程批注; 但如果在更新版本的Excel中打开文件，则对批注所作的任何改动都将被删除。了解详细信息: https://go.microsoft.com/fwlink/?linkid=870924
注释:
    Based on Lending Rates for FFL outlined in with an additional 0.2% for the loan term premium: 
 https://www.afdb.org/en/documents/taux-preteurs-de-la-bad-applicables-pour-les-prets-avec-la-garantie-souveraine-du-1er-fevrier-au-31-juillet-2019
https://www.afdb.org/en/documents/multinational-supplementary-financing-ethiopia-kenya-electricity-highway-project-country
</t>
      </text>
    </comment>
    <comment ref="Q67" authorId="81" shapeId="0" xr:uid="{6FD266F1-2A63-4B8B-B83F-D277D0FFD28D}">
      <text>
        <t>[线程批注]
你的Excel版本可读取此线程批注; 但如果在更新版本的Excel中打开文件，则对批注所作的任何改动都将被删除。了解详细信息: https://go.microsoft.com/fwlink/?linkid=870924
注释:
    Based on reported loan duration 2019-2043
https://www.afdb.org/en/documents/multinational-supplementary-financing-ethiopia-kenya-electricity-highway-project-country</t>
      </text>
    </comment>
    <comment ref="S67" authorId="82" shapeId="0" xr:uid="{5A5AC0D0-B4B5-4E12-9DB5-C9A1A67E6B81}">
      <text>
        <t>[线程批注]
你的Excel版本可读取此线程批注; 但如果在更新版本的Excel中打开文件，则对批注所作的任何改动都将被删除。了解详细信息: https://go.microsoft.com/fwlink/?linkid=870924
注释:
    Based on AfDB FFL terms
https://www.afdb.org/en/documents/multinational-supplementary-financing-ethiopia-kenya-electricity-highway-project-country</t>
      </text>
    </comment>
    <comment ref="K68" authorId="83" shapeId="0" xr:uid="{801EDC88-4ED0-432E-92D1-6E943232049C}">
      <text>
        <t>[线程批注]
你的Excel版本可读取此线程批注; 但如果在更新版本的Excel中打开文件，则对批注所作的任何改动都将被删除。了解详细信息: https://go.microsoft.com/fwlink/?linkid=870924
注释:
    $4.3 Million to Relocate Muhoroni or Embakasi GT to near Nairobi to replace Aggreko Emergency Power Generators 
 Aggreko’s lucrative Muhoroni diesel-power deal ends - Business Daily (businessdailyafrica.com)
KenGen to pull the plug on Aggreko emergency power deal - ESI-Africa.com</t>
      </text>
    </comment>
    <comment ref="K69" authorId="84" shapeId="0" xr:uid="{4CC06EF7-5C35-4806-8FDE-A9B458E8B2C9}">
      <text>
        <t>[线程批注]
你的Excel版本可读取此线程批注; 但如果在更新版本的Excel中打开文件，则对批注所作的任何改动都将被删除。了解详细信息: https://go.microsoft.com/fwlink/?linkid=870924
注释:
    http://www.parliament.go.ke/sites/default/files/2023-04/Report%20of%20the%20Auditor%20General%20on%20Kenya%20Development%20of%20Solar%20Power%20Plant%20Garissa%20Project%20%28GCL%20No.%202015%2810%29%20for%20the%20year%20ended%2030%20June%2C%202022%20Rural%20Electrificatin%20and%20Renewable%20Energy%20corporation_compressed.pdf</t>
      </text>
    </comment>
    <comment ref="P69" authorId="85" shapeId="0" xr:uid="{1066FC0A-253C-40D5-A396-44AC9FC0888E}">
      <text>
        <t>[线程批注]
你的Excel版本可读取此线程批注; 但如果在更新版本的Excel中打开文件，则对批注所作的任何改动都将被删除。了解详细信息: https://go.microsoft.com/fwlink/?linkid=870924
注释:
    Weighted Average Terms for Chinese Loans based on values from this dataset
Term:        Interest     Term      Grace
Value:        2.69%      19.16       6.13
%Known:  52.05%    70.17%   55.78%</t>
      </text>
    </comment>
    <comment ref="Q69" authorId="86" shapeId="0" xr:uid="{F13F4D60-AD50-4872-8720-4177F3C48F0B}">
      <text>
        <t>[线程批注]
你的Excel版本可读取此线程批注; 但如果在更新版本的Excel中打开文件，则对批注所作的任何改动都将被删除。了解详细信息: https://go.microsoft.com/fwlink/?linkid=870924
注释:
    Weighted Average Terms for Chinese Loans based on values from this dataset
Term:        Interest     Term      Grace
Value:        2.69%      19.16       6.13
%Known:  52.05%    70.17%   55.78%</t>
      </text>
    </comment>
    <comment ref="S69" authorId="87" shapeId="0" xr:uid="{D55FE901-F2AB-4B55-BC5A-C7238E930F9C}">
      <text>
        <t>[线程批注]
你的Excel版本可读取此线程批注; 但如果在更新版本的Excel中打开文件，则对批注所作的任何改动都将被删除。了解详细信息: https://go.microsoft.com/fwlink/?linkid=870924
注释:
    Weighted Average Terms for Chinese Loans based on values from this dataset
Term:        Interest     Term      Grace
Value:        2.69%      19.16       6.13
%Known:  52.05%    70.17%   55.78%</t>
      </text>
    </comment>
    <comment ref="K70" authorId="88" shapeId="0" xr:uid="{04253FB7-99E6-4202-89AF-ABB67542B7CD}">
      <text>
        <t>[线程批注]
你的Excel版本可读取此线程批注; 但如果在更新版本的Excel中打开文件，则对批注所作的任何改动都将被删除。了解详细信息: https://go.microsoft.com/fwlink/?linkid=870924
注释:
    https://china.aiddata.org/projects/31089/</t>
      </text>
    </comment>
    <comment ref="P70" authorId="89" shapeId="0" xr:uid="{7B2A4C45-E0F5-40DF-B24C-017304A85D0C}">
      <text>
        <t>[线程批注]
你的Excel版本可读取此线程批注; 但如果在更新版本的Excel中打开文件，则对批注所作的任何改动都将被删除。了解详细信息: https://go.microsoft.com/fwlink/?linkid=870924
注释:
    Weighted Average Terms for Chinese Loans based on values from this dataset
Term:        Interest     Term      Grace
Value:        2.69%      19.16       6.13
%Known:  52.05%    70.17%   55.78%</t>
      </text>
    </comment>
    <comment ref="Q70" authorId="90" shapeId="0" xr:uid="{8D21AE0F-52F9-420D-947E-D09A13CC5C3A}">
      <text>
        <t>[线程批注]
你的Excel版本可读取此线程批注; 但如果在更新版本的Excel中打开文件，则对批注所作的任何改动都将被删除。了解详细信息: https://go.microsoft.com/fwlink/?linkid=870924
注释:
    Weighted Average Terms for Chinese Loans based on values from this dataset
Term:        Interest     Term      Grace
Value:        2.69%      19.16       6.13
%Known:  52.05%    70.17%   55.78%</t>
      </text>
    </comment>
    <comment ref="S70" authorId="91" shapeId="0" xr:uid="{3C85DDAC-7DEA-426C-8B83-8D551351A24B}">
      <text>
        <t>[线程批注]
你的Excel版本可读取此线程批注; 但如果在更新版本的Excel中打开文件，则对批注所作的任何改动都将被删除。了解详细信息: https://go.microsoft.com/fwlink/?linkid=870924
注释:
    Weighted Average Terms for Chinese Loans based on values from this dataset
Term:        Interest     Term      Grace
Value:        2.69%      19.16       6.13
%Known:  52.05%    70.17%   55.78%</t>
      </text>
    </comment>
    <comment ref="K71" authorId="92" shapeId="0" xr:uid="{B19C054C-2576-45B1-9932-D7A12E89DF84}">
      <text>
        <t>[线程批注]
你的Excel版本可读取此线程批注; 但如果在更新版本的Excel中打开文件，则对批注所作的任何改动都将被删除。了解详细信息: https://go.microsoft.com/fwlink/?linkid=870924
注释:
    https://china.aiddata.org/projects/31087/</t>
      </text>
    </comment>
    <comment ref="P71" authorId="93" shapeId="0" xr:uid="{E583ECB5-AB37-4E9A-9174-50EC0C019F6C}">
      <text>
        <t>[线程批注]
你的Excel版本可读取此线程批注; 但如果在更新版本的Excel中打开文件，则对批注所作的任何改动都将被删除。了解详细信息: https://go.microsoft.com/fwlink/?linkid=870924
注释:
    Weighted Average Terms for Chinese Loans based on values from this dataset
Term:        Interest     Term      Grace
Value:        2.69%      19.16       6.13
%Known:  52.05%    70.17%   55.78%</t>
      </text>
    </comment>
    <comment ref="Q71" authorId="94" shapeId="0" xr:uid="{0A7777BE-1AE6-4833-8FDD-067DE4ABA5DD}">
      <text>
        <t>[线程批注]
你的Excel版本可读取此线程批注; 但如果在更新版本的Excel中打开文件，则对批注所作的任何改动都将被删除。了解详细信息: https://go.microsoft.com/fwlink/?linkid=870924
注释:
    Weighted Average Terms for Chinese Loans based on values from this dataset
Term:        Interest     Term      Grace
Value:        2.69%      19.16       6.13
%Known:  52.05%    70.17%   55.78%</t>
      </text>
    </comment>
    <comment ref="S71" authorId="95" shapeId="0" xr:uid="{6A3605D6-8223-4ECA-BA1A-0C845EC4DAFF}">
      <text>
        <t>[线程批注]
你的Excel版本可读取此线程批注; 但如果在更新版本的Excel中打开文件，则对批注所作的任何改动都将被删除。了解详细信息: https://go.microsoft.com/fwlink/?linkid=870924
注释:
    Weighted Average Terms for Chinese Loans based on values from this dataset
Term:        Interest     Term      Grace
Value:        2.69%      19.16       6.13
%Known:  52.05%    70.17%   55.78%</t>
      </text>
    </comment>
    <comment ref="K72" authorId="96" shapeId="0" xr:uid="{DA0F1E63-410C-4FD0-A5F9-8D3FCC1BE901}">
      <text>
        <t>[线程批注]
你的Excel版本可读取此线程批注; 但如果在更新版本的Excel中打开文件，则对批注所作的任何改动都将被删除。了解详细信息: https://go.microsoft.com/fwlink/?linkid=870924
注释:
    Standard Bank IFC B Loan at 25% of the project cost
Total cost: $108M (According to WB)
Financing Structure:
Page 107 (PDF Page 117)
https://documents1.worldbank.org/curated/en/549231468041382588/pdf/663630PAD0P1220Official0Use0Only090.pdf 
https://ppi.worldbank.org/en/snapshots/project/Athi-River-II-Medium-Speed-Diesel-MSD-Power-Plant-8237</t>
      </text>
    </comment>
    <comment ref="P72" authorId="97" shapeId="0" xr:uid="{B9B62126-31A9-49F0-BD38-ED8AD32B1503}">
      <text>
        <t>[线程批注]
你的Excel版本可读取此线程批注; 但如果在更新版本的Excel中打开文件，则对批注所作的任何改动都将被删除。了解详细信息: https://go.microsoft.com/fwlink/?linkid=870924
注释:
    Euribor (3.49%) + 475bp
Page 108 (PDF Page 118)
https://documents1.worldbank.org/curated/en/549231468041382588/pdf/663630PAD0P1220Official0Use0Only090.pdf</t>
      </text>
    </comment>
    <comment ref="Q72" authorId="98" shapeId="0" xr:uid="{CD72A55E-748D-47AF-9B68-D709A6F10690}">
      <text>
        <t xml:space="preserve">[线程批注]
你的Excel版本可读取此线程批注; 但如果在更新版本的Excel中打开文件，则对批注所作的任何改动都将被删除。了解详细信息: https://go.microsoft.com/fwlink/?linkid=870924
注释:
    Loan Terms Reported by World Bank
Page 108 (PDF Page 118)
https://documents1.worldbank.org/curated/en/549231468041382588/pdf/663630PAD0P1220Official0Use0Only090.pdf </t>
      </text>
    </comment>
    <comment ref="S72" authorId="99" shapeId="0" xr:uid="{25164CF1-DD39-4E6D-9258-241F8B913FB4}">
      <text>
        <t xml:space="preserve">[线程批注]
你的Excel版本可读取此线程批注; 但如果在更新版本的Excel中打开文件，则对批注所作的任何改动都将被删除。了解详细信息: https://go.microsoft.com/fwlink/?linkid=870924
注释:
    Loan Terms Reported by World Bank
Page 108 (PDF Page 118)
https://documents1.worldbank.org/curated/en/549231468041382588/pdf/663630PAD0P1220Official0Use0Only090.pdf </t>
      </text>
    </comment>
    <comment ref="K73" authorId="100" shapeId="0" xr:uid="{54BE28ED-BF1D-4C56-AC4F-8D7720A4CE23}">
      <text>
        <t>[线程批注]
你的Excel版本可读取此线程批注; 但如果在更新版本的Excel中打开文件，则对批注所作的任何改动都将被删除。了解详细信息: https://go.microsoft.com/fwlink/?linkid=870924
注释:
    Standard Bank Parallel-Loan at 25% of the project cost through OPEC
Total cost: $108M (According to WB)
Financing Structure:
Page 107 (PDF Page 117)
https://documents1.worldbank.org/curated/en/549231468041382588/pdf/663630PAD0P1220Official0Use0Only090.pdf 
https://ppi.worldbank.org/en/snapshots/project/Athi-River-II-Medium-Speed-Diesel-MSD-Power-Plant-8237</t>
      </text>
    </comment>
    <comment ref="P73" authorId="101" shapeId="0" xr:uid="{E8F0F868-4FC3-40D6-8DD8-CB07480F15B7}">
      <text>
        <t>[线程批注]
你的Excel版本可读取此线程批注; 但如果在更新版本的Excel中打开文件，则对批注所作的任何改动都将被删除。了解详细信息: https://go.microsoft.com/fwlink/?linkid=870924
注释:
    Euribor (3.49%) + 475bp
Page 108 (PDF Page 118)
https://documents1.worldbank.org/curated/en/549231468041382588/pdf/663630PAD0P1220Official0Use0Only090.pdf</t>
      </text>
    </comment>
    <comment ref="Q73" authorId="102" shapeId="0" xr:uid="{CC4E43CA-E66E-4E78-ABCC-82EF8C86722C}">
      <text>
        <t xml:space="preserve">[线程批注]
你的Excel版本可读取此线程批注; 但如果在更新版本的Excel中打开文件，则对批注所作的任何改动都将被删除。了解详细信息: https://go.microsoft.com/fwlink/?linkid=870924
注释:
    Loan Terms Reported by World Bank
Page 108 (PDF Page 118)
https://documents1.worldbank.org/curated/en/549231468041382588/pdf/663630PAD0P1220Official0Use0Only090.pdf </t>
      </text>
    </comment>
    <comment ref="S73" authorId="103" shapeId="0" xr:uid="{A7466E57-3EEF-4001-80B9-70A5478783C9}">
      <text>
        <t xml:space="preserve">[线程批注]
你的Excel版本可读取此线程批注; 但如果在更新版本的Excel中打开文件，则对批注所作的任何改动都将被删除。了解详细信息: https://go.microsoft.com/fwlink/?linkid=870924
注释:
    Loan Terms Reported by World Bank
Page 108 (PDF Page 118)
https://documents1.worldbank.org/curated/en/549231468041382588/pdf/663630PAD0P1220Official0Use0Only090.pdf </t>
      </text>
    </comment>
    <comment ref="K74" authorId="104" shapeId="0" xr:uid="{82BF9AFE-2D27-45CB-A06A-F475328E9FA1}">
      <text>
        <t>[线程批注]
你的Excel版本可读取此线程批注; 但如果在更新版本的Excel中打开文件，则对批注所作的任何改动都将被删除。了解详细信息: https://go.microsoft.com/fwlink/?linkid=870924
注释:
    IFC Loan A at 20% of the project cost 
Total cost: $108M (According to WB)
Financing Structure:
Page 107 (PDF Page 117)
https://documents1.worldbank.org/curated/en/549231468041382588/pdf/663630PAD0P1220Official0Use0Only090.pdf 
https://ppi.worldbank.org/en/snapshots/project/Athi-River-II-Medium-Speed-Diesel-MSD-Power-Plant-8237</t>
      </text>
    </comment>
    <comment ref="P74" authorId="105" shapeId="0" xr:uid="{767933C5-B3C3-4574-B1BF-E19613F5E554}">
      <text>
        <t>[线程批注]
你的Excel版本可读取此线程批注; 但如果在更新版本的Excel中打开文件，则对批注所作的任何改动都将被删除。了解详细信息: https://go.microsoft.com/fwlink/?linkid=870924
注释:
    Euribor (3.49%) + 475bp
Page 108 (PDF Page 118)
https://documents1.worldbank.org/curated/en/549231468041382588/pdf/663630PAD0P1220Official0Use0Only090.pdf</t>
      </text>
    </comment>
    <comment ref="Q74" authorId="106" shapeId="0" xr:uid="{D5C52348-7ADD-4466-B3D1-6B9370AC672C}">
      <text>
        <t xml:space="preserve">[线程批注]
你的Excel版本可读取此线程批注; 但如果在更新版本的Excel中打开文件，则对批注所作的任何改动都将被删除。了解详细信息: https://go.microsoft.com/fwlink/?linkid=870924
注释:
    Loan Terms Reported by World Bank
Page 108 (PDF Page 118)
https://documents1.worldbank.org/curated/en/549231468041382588/pdf/663630PAD0P1220Official0Use0Only090.pdf </t>
      </text>
    </comment>
    <comment ref="S74" authorId="107" shapeId="0" xr:uid="{39166CB8-129A-4E01-A6B8-B4CD5BBE2B8F}">
      <text>
        <t xml:space="preserve">[线程批注]
你的Excel版本可读取此线程批注; 但如果在更新版本的Excel中打开文件，则对批注所作的任何改动都将被删除。了解详细信息: https://go.microsoft.com/fwlink/?linkid=870924
注释:
    Loan Terms Reported by World Bank
Page 108 (PDF Page 118)
https://documents1.worldbank.org/curated/en/549231468041382588/pdf/663630PAD0P1220Official0Use0Only090.pdf </t>
      </text>
    </comment>
    <comment ref="K75" authorId="108" shapeId="0" xr:uid="{9EE4F44E-05DB-4593-B56C-44DA59698AD8}">
      <text>
        <t>[线程批注]
你的Excel版本可读取此线程批注; 但如果在更新版本的Excel中打开文件，则对批注所作的任何改动都将被删除。了解详细信息: https://go.microsoft.com/fwlink/?linkid=870924
注释:
    IFC Sub-Debt Loan at 5% of the project 
Total cost: $108M (According to WB)
Financing Structure:
Page 107 (PDF Page 117)
https://documents1.worldbank.org/curated/en/549231468041382588/pdf/663630PAD0P1220Official0Use0Only090.pdf 
https://ppi.worldbank.org/en/snapshots/project/Athi-River-II-Medium-Speed-Diesel-MSD-Power-Plant-8237</t>
      </text>
    </comment>
    <comment ref="Q75" authorId="109" shapeId="0" xr:uid="{71EFE561-A82D-4D1E-96A2-CB57B51E395D}">
      <text>
        <t xml:space="preserve">[线程批注]
你的Excel版本可读取此线程批注; 但如果在更新版本的Excel中打开文件，则对批注所作的任何改动都将被删除。了解详细信息: https://go.microsoft.com/fwlink/?linkid=870924
注释:
    Loan Terms Reported by World Bank
Page 108 (PDF Page 118)
https://documents1.worldbank.org/curated/en/549231468041382588/pdf/663630PAD0P1220Official0Use0Only090.pdf </t>
      </text>
    </comment>
    <comment ref="S75" authorId="110" shapeId="0" xr:uid="{566D705E-A760-4E67-BA1A-35F7B4B6E869}">
      <text>
        <t xml:space="preserve">[线程批注]
你的Excel版本可读取此线程批注; 但如果在更新版本的Excel中打开文件，则对批注所作的任何改动都将被删除。了解详细信息: https://go.microsoft.com/fwlink/?linkid=870924
注释:
    Loan Terms Reported by World Bank
Page 108 (PDF Page 118)
https://documents1.worldbank.org/curated/en/549231468041382588/pdf/663630PAD0P1220Official0Use0Only090.pdf </t>
      </text>
    </comment>
    <comment ref="F76" authorId="111" shapeId="0" xr:uid="{92FBA530-2EE0-4036-986F-2F4C2C3CE458}">
      <text>
        <t>[线程批注]
你的Excel版本可读取此线程批注; 但如果在更新版本的Excel中打开文件，则对批注所作的任何改动都将被删除。了解详细信息: https://go.microsoft.com/fwlink/?linkid=870924
注释:
    https://disclosures.ifc.org/project-detail/SPI/9058/aef-multi-hauliers-ea-limited</t>
      </text>
    </comment>
    <comment ref="K76" authorId="112" shapeId="0" xr:uid="{82190D53-5DED-4775-9946-800DD8D1EBE9}">
      <text>
        <t>[线程批注]
你的Excel版本可读取此线程批注; 但如果在更新版本的Excel中打开文件，则对批注所作的任何改动都将被删除。了解详细信息: https://go.microsoft.com/fwlink/?linkid=870924
注释:
    Equity at 25% of the project cost
Split between Multiple Hauliers and Gulf Power LTD. ($27M/2) : $13.5M
Total cost: $108M (According to WB)
Financing Structure:
Page 107 (PDF Page 117)
https://documents1.worldbank.org/curated/en/549231468041382588/pdf/663630PAD0P1220Official0Use0Only090.pdf 
https://ppi.worldbank.org/en/snapshots/project/Athi-River-II-Medium-Speed-Diesel-MSD-Power-Plant-8237</t>
      </text>
    </comment>
    <comment ref="P76" authorId="113" shapeId="0" xr:uid="{51B116E5-76DB-4984-B396-EDEF7F5DDAED}">
      <text>
        <t xml:space="preserve">[线程批注]
你的Excel版本可读取此线程批注; 但如果在更新版本的Excel中打开文件，则对批注所作的任何改动都将被删除。了解详细信息: https://go.microsoft.com/fwlink/?linkid=870924
注释:
    Based on Equity Rate of Return
Page 43
https://documents1.worldbank.org/curated/en/549231468041382588/pdf/663630PAD0P1220Official0Use0Only090.pdf </t>
      </text>
    </comment>
    <comment ref="Q76" authorId="114" shapeId="0" xr:uid="{90A4988B-8F8A-426B-BB7D-820481B37322}">
      <text>
        <t>[线程批注]
你的Excel版本可读取此线程批注; 但如果在更新版本的Excel中打开文件，则对批注所作的任何改动都将被删除。了解详细信息: https://go.microsoft.com/fwlink/?linkid=870924
注释:
    Based on Operational Life of LFO/MSD Power Plants reported in:
https://www.sciencedirect.com/science/article/pii/S2352340922002323
Lucy Allington, Carla Cannone, Ioannis Pappis, Karla Cervantes Barron, Will Usher, Steve Pye, Edward Brown, Mark Howells, Miriam Zachau Walker, Aniq Ahsan, Flora Charbonnier, Claire Halloran, Stephanie Hirmer, Jennifer Cronin, Constantinos Taliotis, Caroline Sundin, Vignesh Sridharan, Eunice Ramos, Maarten Brinkerink, Paul Deane, Andrii Gritsevskyi, Gustavo Moura, Arnaud Rouget, David Wogan, Edito Barcelona, Taco Niet, Holger Rogner, Franziska Bock, Jairo Quirós-Tortós, Jam Angulo-Paniagua, Satheesh Krishnamurthy, John Harrison, Long Seng To,
Selected ‘Starter kit’ energy system modelling data for selected countries in Africa, East Asia, and South America (#CCG, 2021),
Data in Brief,
Volume 42,
2022,
108021,
ISSN 2352-3409,
https://doi.org/10.1016/j.dib.2022.108021.</t>
      </text>
    </comment>
    <comment ref="K77" authorId="115" shapeId="0" xr:uid="{DF63D2C8-0E92-4B41-B3BA-5B5F81439B7C}">
      <text>
        <t>[线程批注]
你的Excel版本可读取此线程批注; 但如果在更新版本的Excel中打开文件，则对批注所作的任何改动都将被删除。了解详细信息: https://go.microsoft.com/fwlink/?linkid=870924
注释:
    Equity at 25% of the project cost
Split between Multiple Hauliers and Gulf Power LTD. ($27M/2) : $13.5M
Total cost: $108M (According to WB)
Financing Structure:
Page 107 (PDF Page 117)
https://documents1.worldbank.org/curated/en/549231468041382588/pdf/663630PAD0P1220Official0Use0Only090.pdf 
https://ppi.worldbank.org/en/snapshots/project/Athi-River-II-Medium-Speed-Diesel-MSD-Power-Plant-8237</t>
      </text>
    </comment>
    <comment ref="P77" authorId="116" shapeId="0" xr:uid="{BE8D1E7E-1CF9-48AC-B9E7-3EC78AA7E438}">
      <text>
        <t xml:space="preserve">[线程批注]
你的Excel版本可读取此线程批注; 但如果在更新版本的Excel中打开文件，则对批注所作的任何改动都将被删除。了解详细信息: https://go.microsoft.com/fwlink/?linkid=870924
注释:
    Based on Equity Rate of Return
Page 43
https://documents1.worldbank.org/curated/en/549231468041382588/pdf/663630PAD0P1220Official0Use0Only090.pdf </t>
      </text>
    </comment>
    <comment ref="Q77" authorId="117" shapeId="0" xr:uid="{9F219B6B-3AE3-4829-8A51-FF3C686ABBBF}">
      <text>
        <t>[线程批注]
你的Excel版本可读取此线程批注; 但如果在更新版本的Excel中打开文件，则对批注所作的任何改动都将被删除。了解详细信息: https://go.microsoft.com/fwlink/?linkid=870924
注释:
    Based on Operational Life of LFO/MSD Power Plants reported in:
https://www.sciencedirect.com/science/article/pii/S2352340922002323
Lucy Allington, Carla Cannone, Ioannis Pappis, Karla Cervantes Barron, Will Usher, Steve Pye, Edward Brown, Mark Howells, Miriam Zachau Walker, Aniq Ahsan, Flora Charbonnier, Claire Halloran, Stephanie Hirmer, Jennifer Cronin, Constantinos Taliotis, Caroline Sundin, Vignesh Sridharan, Eunice Ramos, Maarten Brinkerink, Paul Deane, Andrii Gritsevskyi, Gustavo Moura, Arnaud Rouget, David Wogan, Edito Barcelona, Taco Niet, Holger Rogner, Franziska Bock, Jairo Quirós-Tortós, Jam Angulo-Paniagua, Satheesh Krishnamurthy, John Harrison, Long Seng To,
Selected ‘Starter kit’ energy system modelling data for selected countries in Africa, East Asia, and South America (#CCG, 2021),
Data in Brief,
Volume 42,
2022,
108021,
ISSN 2352-3409,
https://doi.org/10.1016/j.dib.2022.108021.</t>
      </text>
    </comment>
    <comment ref="K78" authorId="118" shapeId="0" xr:uid="{282AC230-333A-4E21-BE7F-ABF7591A7404}">
      <text>
        <t>[线程批注]
你的Excel版本可读取此线程批注; 但如果在更新版本的Excel中打开文件，则对批注所作的任何改动都将被删除。了解详细信息: https://go.microsoft.com/fwlink/?linkid=870924
注释:
    Project {} | china.aiddata.org
Kenya: CAMC to build Garissa-Isiolo line | African Energy (africa-energy.com)
答复:
    https://www.dropbox.com/s/cenvge5j3sfdfab/IJGlobal%20-%20Garissa-Isiolo%20Transmission%20Line%20%28285KM%29%20-%20Kenya.pdf?dl=0|http://invest.afrindex.com/dynamic/detail_158/</t>
      </text>
    </comment>
    <comment ref="P78" authorId="119" shapeId="0" xr:uid="{CD4A35F6-1775-4A8D-B533-CDAC5A80189D}">
      <text>
        <t>[线程批注]
你的Excel版本可读取此线程批注; 但如果在更新版本的Excel中打开文件，则对批注所作的任何改动都将被删除。了解详细信息: https://go.microsoft.com/fwlink/?linkid=870924
注释:
    Weighted Average Terms for Chinese Loans based on values from this dataset
Term:        Interest     Term      Grace
Value:        2.69%      19.16       6.13
%Known:  52.05%    70.17%   55.78%</t>
      </text>
    </comment>
    <comment ref="Q78" authorId="120" shapeId="0" xr:uid="{1CD0A5DA-3781-46CA-B7B4-B99E533581A4}">
      <text>
        <t>[线程批注]
你的Excel版本可读取此线程批注; 但如果在更新版本的Excel中打开文件，则对批注所作的任何改动都将被删除。了解详细信息: https://go.microsoft.com/fwlink/?linkid=870924
注释:
    Weighted Average Terms for Chinese Loans based on values from this dataset
Term:        Interest     Term      Grace
Value:        2.69%      19.16       6.13
%Known:  52.05%    70.17%   55.78%</t>
      </text>
    </comment>
    <comment ref="S78" authorId="121" shapeId="0" xr:uid="{57BD138A-5026-43CA-BE58-6DE01E527497}">
      <text>
        <t>[线程批注]
你的Excel版本可读取此线程批注; 但如果在更新版本的Excel中打开文件，则对批注所作的任何改动都将被删除。了解详细信息: https://go.microsoft.com/fwlink/?linkid=870924
注释:
    Weighted Average Terms for Chinese Loans based on values from this dataset
Term:        Interest     Term      Grace
Value:        2.69%      19.16       6.13
%Known:  52.05%    70.17%   55.78%</t>
      </text>
    </comment>
    <comment ref="K79" authorId="122" shapeId="0" xr:uid="{9456C464-B387-45CE-A536-CBD39B8A143F}">
      <text>
        <t>[线程批注]
你的Excel版本可读取此线程批注; 但如果在更新版本的Excel中打开文件，则对批注所作的任何改动都将被删除。了解详细信息: https://go.microsoft.com/fwlink/?linkid=870924
注释:
    $4.5 Million from Borrower (GoK)
documents1.worldbank.org/curated/en/517661468253781559/text/Kenya-Electricity-Modernization-Project.txt</t>
      </text>
    </comment>
    <comment ref="P79" authorId="123" shapeId="0" xr:uid="{F9336E44-53DE-4723-9BCE-520E9BBDA733}">
      <text>
        <t>[线程批注]
你的Excel版本可读取此线程批注; 但如果在更新版本的Excel中打开文件，则对批注所作的任何改动都将被删除。了解详细信息: https://go.microsoft.com/fwlink/?linkid=870924
注释:
    Based on Government of Kenya's External Public Debt Terms for 2015</t>
      </text>
    </comment>
    <comment ref="Q79" authorId="124" shapeId="0" xr:uid="{87D7F05D-258D-4009-BE54-DE4C9EA91842}">
      <text>
        <t>[线程批注]
你的Excel版本可读取此线程批注; 但如果在更新版本的Excel中打开文件，则对批注所作的任何改动都将被删除。了解详细信息: https://go.microsoft.com/fwlink/?linkid=870924
注释:
    Based on Government of Kenya's External Public Debt Terms for 2015</t>
      </text>
    </comment>
    <comment ref="S79" authorId="125" shapeId="0" xr:uid="{0E6B5B71-FA21-40C0-A3A5-AB88D202597A}">
      <text>
        <t>[线程批注]
你的Excel版本可读取此线程批注; 但如果在更新版本的Excel中打开文件，则对批注所作的任何改动都将被删除。了解详细信息: https://go.microsoft.com/fwlink/?linkid=870924
注释:
    Based on Government of Kenya's External Public Debt Terms for 2015</t>
      </text>
    </comment>
    <comment ref="K80" authorId="126" shapeId="0" xr:uid="{0928B0B1-71C8-4096-8D5F-EB6BD6B99375}">
      <text>
        <t xml:space="preserve">[线程批注]
你的Excel版本可读取此线程批注; 但如果在更新版本的Excel中打开文件，则对批注所作的任何改动都将被删除。了解详细信息: https://go.microsoft.com/fwlink/?linkid=870924
注释:
    Confirmed $250 IDA Loan from the World Bank 
$7.5 Million SREP Grant
(https://documents1.worldbank.org/curated/en/099940012082235475/pdf/P1200140a34a6a0760af780f7b998a7288b.pdf)
$200 Million Guarantee expected to leverage $500 Million in new debt (https://documents1.worldbank.org/curated/en/629391468254954165/pdf/954490BS0IDA0S0Official0Use0Only090.pdf) </t>
      </text>
    </comment>
    <comment ref="P80" authorId="127" shapeId="0" xr:uid="{08F0F890-3346-437A-B741-F390A43EA663}">
      <text>
        <t>[线程批注]
你的Excel版本可读取此线程批注; 但如果在更新版本的Excel中打开文件，则对批注所作的任何改动都将被删除。了解详细信息: https://go.microsoft.com/fwlink/?linkid=870924
注释:
    0.75% interest to GoK
https://www.treasury.go.ke/wp-content/uploads/2021/09/External-Public-Debt-Register-as-at-End-June-2019.pdf</t>
      </text>
    </comment>
    <comment ref="Q80" authorId="128" shapeId="0" xr:uid="{CD640E43-6AEC-409A-954F-39DA1BB79DBA}">
      <text>
        <t>[线程批注]
你的Excel版本可读取此线程批注; 但如果在更新版本的Excel中打开文件，则对批注所作的任何改动都将被删除。了解详细信息: https://go.microsoft.com/fwlink/?linkid=870924
注释:
    Repaid semi-annually starting in 2021 and ending in 2052
6 year grace
37 year maturity
GoK External Debt Registry 
https://www.treasury.go.ke/wp-content/uploads/2021/09/External-Public-Debt-Register-as-at-End-June-2019.pdf</t>
      </text>
    </comment>
    <comment ref="S80" authorId="129" shapeId="0" xr:uid="{1E89469E-7E12-47A9-AA8A-C1185B1FFF6D}">
      <text>
        <t>[线程批注]
你的Excel版本可读取此线程批注; 但如果在更新版本的Excel中打开文件，则对批注所作的任何改动都将被删除。了解详细信息: https://go.microsoft.com/fwlink/?linkid=870924
注释:
    Repaid semi-annually starting in 2021 and ending in 2052
6 year grace
37 year maturity
GoK External Debt Registry 
https://www.treasury.go.ke/wp-content/uploads/2021/09/External-Public-Debt-Register-as-at-End-June-2019.pdf</t>
      </text>
    </comment>
    <comment ref="K81" authorId="130" shapeId="0" xr:uid="{5F5B42C7-BCCE-4056-99AF-AD3E58489E64}">
      <text>
        <t>[线程批注]
你的Excel版本可读取此线程批注; 但如果在更新版本的Excel中打开文件，则对批注所作的任何改动都将被删除。了解详细信息: https://go.microsoft.com/fwlink/?linkid=870924
注释:
    EIB Multinational Project:
EUR 16 Million - $19.88 Million
OFF-GRID SOLAR ACCELERATION (eib.org)</t>
      </text>
    </comment>
    <comment ref="P81" authorId="131" shapeId="0" xr:uid="{967CDEB5-62A5-48C0-A80E-85A4CA9FE7FB}">
      <text>
        <t>[线程批注]
你的Excel版本可读取此线程批注; 但如果在更新版本的Excel中打开文件，则对批注所作的任何改动都将被删除。了解详细信息: https://go.microsoft.com/fwlink/?linkid=870924
注释:
    Weighted Average Terms for Multilateral Agency loans based on values from this dataset
Term:        Interest     Term      Grace
Value:        2.39%      33.67       6.96
%Known:  46.21%    52.38%   44.87%</t>
      </text>
    </comment>
    <comment ref="Q81" authorId="132" shapeId="0" xr:uid="{9244E8C4-4AD5-4E96-87EE-959D180F5F8E}">
      <text>
        <t>[线程批注]
你的Excel版本可读取此线程批注; 但如果在更新版本的Excel中打开文件，则对批注所作的任何改动都将被删除。了解详细信息: https://go.microsoft.com/fwlink/?linkid=870924
注释:
    Weighted Average Terms for Multilateral Agency loans based on values from this dataset
Term:        Interest     Term      Grace
Value:        2.39%      33.67       6.96
%Known:  46.21%    52.38%   44.87%</t>
      </text>
    </comment>
    <comment ref="S81" authorId="133" shapeId="0" xr:uid="{BE818017-ADBC-45DB-B688-CC847F43E6C2}">
      <text>
        <t>[线程批注]
你的Excel版本可读取此线程批注; 但如果在更新版本的Excel中打开文件，则对批注所作的任何改动都将被删除。了解详细信息: https://go.microsoft.com/fwlink/?linkid=870924
注释:
    Weighted Average Terms for Multilateral Agency loans based on values from this dataset
Term:        Interest     Term      Grace
Value:        2.39%      33.67       6.96
%Known:  46.21%    52.38%   44.87%</t>
      </text>
    </comment>
    <comment ref="K82" authorId="134" shapeId="0" xr:uid="{BE86E572-A2E5-4D8D-A3B8-F34DB7FBE380}">
      <text>
        <t>[线程批注]
你的Excel版本可读取此线程批注; 但如果在更新版本的Excel中打开文件，则对批注所作的任何改动都将被删除。了解详细信息: https://go.microsoft.com/fwlink/?linkid=870924
注释:
    IDA Loan WB
Development Projects : Kenya: Off-grid Solar Access Project for Underserved Counties - P160009 (worldbank.org)</t>
      </text>
    </comment>
    <comment ref="P82" authorId="135" shapeId="0" xr:uid="{DFDF4FD3-4662-4D7E-9AA2-1B21AAFBB9A6}">
      <text>
        <t>[线程批注]
你的Excel版本可读取此线程批注; 但如果在更新版本的Excel中打开文件，则对批注所作的任何改动都将被删除。了解详细信息: https://go.microsoft.com/fwlink/?linkid=870924
注释:
    Weighted Average Terms for World Bank loans based on values from this dataset
Term:        Interest     Term      Grace
Value:        2.80%      30.80       6.52
%Known:  44.81%    49.09%   48.25%</t>
      </text>
    </comment>
    <comment ref="Q82" authorId="136" shapeId="0" xr:uid="{C340EF61-7416-4EE7-B161-87EF7E8C4CAD}">
      <text>
        <t>[线程批注]
你的Excel版本可读取此线程批注; 但如果在更新版本的Excel中打开文件，则对批注所作的任何改动都将被删除。了解详细信息: https://go.microsoft.com/fwlink/?linkid=870924
注释:
    Weighted Average Terms for World Bank loans based on values from this dataset
Term:        Interest     Term      Grace
Value:        2.80%      30.80       6.52
%Known:  44.81%    49.09%   48.25%</t>
      </text>
    </comment>
    <comment ref="S82" authorId="137" shapeId="0" xr:uid="{48ABBD3C-AEA4-4762-A731-2154510A70CE}">
      <text>
        <t>[线程批注]
你的Excel版本可读取此线程批注; 但如果在更新版本的Excel中打开文件，则对批注所作的任何改动都将被删除。了解详细信息: https://go.microsoft.com/fwlink/?linkid=870924
注释:
    Weighted Average Terms for World Bank loans based on values from this dataset
Term:        Interest     Term      Grace
Value:        2.80%      30.80       6.52
%Known:  44.81%    49.09%   48.25%</t>
      </text>
    </comment>
    <comment ref="K83" authorId="138" shapeId="0" xr:uid="{226B05A4-D37E-41EB-A703-4C7A2C8724FB}">
      <text>
        <t>[线程批注]
你的Excel版本可读取此线程批注; 但如果在更新版本的Excel中打开文件，则对批注所作的任何改动都将被删除。了解详细信息: https://go.microsoft.com/fwlink/?linkid=870924
注释:
    Financed by African Development Fund (UA 46.7 Million) 
Government of Kenya (UA 14.07 Million)
1UA = $1.50891 USD
Kenya - Power Transmission System Improvement Project - Appraisal Report (afdb.org)
Available at:
Kenya - Power Transmission System Improvement Project (afdb.org)</t>
      </text>
    </comment>
    <comment ref="P83" authorId="139" shapeId="0" xr:uid="{67ACF060-8EA6-4510-A736-C1D3D216E2E8}">
      <text>
        <t>[线程批注]
你的Excel版本可读取此线程批注; 但如果在更新版本的Excel中打开文件，则对批注所作的任何改动都将被删除。了解详细信息: https://go.microsoft.com/fwlink/?linkid=870924
注释:
    Weighted Average Terms for AfDB loans based on values from this dataset
Term:        Interest     Term      Grace
Value:        0.82%      38.30       7.92
%Known:  61.98%    77.38%   77.38%</t>
      </text>
    </comment>
    <comment ref="Q83" authorId="140" shapeId="0" xr:uid="{35ED9A67-5DB7-4F65-A940-612203E3BA0B}">
      <text>
        <t>[线程批注]
你的Excel版本可读取此线程批注; 但如果在更新版本的Excel中打开文件，则对批注所作的任何改动都将被删除。了解详细信息: https://go.microsoft.com/fwlink/?linkid=870924
注释:
    Based on Report from AfDB
Page III (PDF Page 5)
https://www.afdb.org/fileadmin/uploads/afdb/Documents/Project-and-Operations/KENYA%20-Power%20Transmission%20System%20Improvement%20Project.pdf</t>
      </text>
    </comment>
    <comment ref="S83" authorId="141" shapeId="0" xr:uid="{8A33FCC6-ACBD-4BAE-B111-39CC29506AA4}">
      <text>
        <t>[线程批注]
你的Excel版本可读取此线程批注; 但如果在更新版本的Excel中打开文件，则对批注所作的任何改动都将被删除。了解详细信息: https://go.microsoft.com/fwlink/?linkid=870924
注释:
    Based on Report from AfDB
Page III (PDF Page 5)
https://www.afdb.org/fileadmin/uploads/afdb/Documents/Project-and-Operations/KENYA%20-Power%20Transmission%20System%20Improvement%20Project.pdf</t>
      </text>
    </comment>
    <comment ref="K84" authorId="142" shapeId="0" xr:uid="{C5C051F5-8F30-4DF0-8400-15EABD1BDBB9}">
      <text>
        <t>[线程批注]
你的Excel版本可读取此线程批注; 但如果在更新版本的Excel中打开文件，则对批注所作的任何改动都将被删除。了解详细信息: https://go.microsoft.com/fwlink/?linkid=870924
注释:
    Financed by African Development Fund (UA 46.7 Million) 
Government of Kenya (UA 14.07 Million)
1UA = $1.50891 USD
Kenya - Power Transmission System Improvement Project - Appraisal Report (afdb.org)
Available at:
Kenya - Power Transmission System Improvement Project (afdb.org)</t>
      </text>
    </comment>
    <comment ref="P84" authorId="143" shapeId="0" xr:uid="{C18DF82B-5F50-4284-8E62-86E5044FC05D}">
      <text>
        <t>[线程批注]
你的Excel版本可读取此线程批注; 但如果在更新版本的Excel中打开文件，则对批注所作的任何改动都将被删除。了解详细信息: https://go.microsoft.com/fwlink/?linkid=870924
注释:
    FIRR 19.9% 
https://www.afdb.org/fileadmin/uploads/afdb/Documents/Project-and-Operations/KENYA%20-Power%20Transmission%20System%20Improvement%20Project.pdf</t>
      </text>
    </comment>
    <comment ref="K85" authorId="144" shapeId="0" xr:uid="{6EA40D3B-18A8-4000-BF30-CD5E3B409E2A}">
      <text>
        <t>[线程批注]
你的Excel版本可读取此线程批注; 但如果在更新版本的Excel中打开文件，则对批注所作的任何改动都将被删除。了解详细信息: https://go.microsoft.com/fwlink/?linkid=870924
注释:
    https://china.aiddata.org/projects/31086/</t>
      </text>
    </comment>
    <comment ref="P85" authorId="145" shapeId="0" xr:uid="{2266EF0B-4C80-4F85-B980-E06018B55EBF}">
      <text>
        <t>[线程批注]
你的Excel版本可读取此线程批注; 但如果在更新版本的Excel中打开文件，则对批注所作的任何改动都将被删除。了解详细信息: https://go.microsoft.com/fwlink/?linkid=870924
注释:
    Weighted Average Terms for Chinese Loans based on values from this dataset
Term:        Interest     Term      Grace
Value:        2.69%      19.16       6.13
%Known:  52.05%    70.17%   55.78%</t>
      </text>
    </comment>
    <comment ref="Q85" authorId="146" shapeId="0" xr:uid="{CDCDF8B3-1770-4342-AF9C-3434D6EA17B6}">
      <text>
        <t>[线程批注]
你的Excel版本可读取此线程批注; 但如果在更新版本的Excel中打开文件，则对批注所作的任何改动都将被删除。了解详细信息: https://go.microsoft.com/fwlink/?linkid=870924
注释:
    Weighted Average Terms for Chinese Loans based on values from this dataset
Term:        Interest     Term      Grace
Value:        2.69%      19.16       6.13
%Known:  52.05%    70.17%   55.78%</t>
      </text>
    </comment>
    <comment ref="S85" authorId="147" shapeId="0" xr:uid="{8BF3FF93-31AA-4345-A8AF-D1214E6E3DBF}">
      <text>
        <t>[线程批注]
你的Excel版本可读取此线程批注; 但如果在更新版本的Excel中打开文件，则对批注所作的任何改动都将被删除。了解详细信息: https://go.microsoft.com/fwlink/?linkid=870924
注释:
    Weighted Average Terms for Chinese Loans based on values from this dataset
Term:        Interest     Term      Grace
Value:        2.69%      19.16       6.13
%Known:  52.05%    70.17%   55.78%</t>
      </text>
    </comment>
    <comment ref="K86" authorId="148" shapeId="0" xr:uid="{1E0CF830-BE48-4EFB-A5FE-760B41204C30}">
      <text>
        <t xml:space="preserve">[线程批注]
你的Excel版本可读取此线程批注; 但如果在更新版本的Excel中打开文件，则对批注所作的任何改动都将被删除。了解详细信息: https://go.microsoft.com/fwlink/?linkid=870924
注释:
    China EXIM pay 85% of the Project Cost:
https://china.aiddata.org/projects/58510/ </t>
      </text>
    </comment>
    <comment ref="P86" authorId="149" shapeId="0" xr:uid="{B0458021-4DED-4A16-94A9-D64348D484D4}">
      <text>
        <t>[线程批注]
你的Excel版本可读取此线程批注; 但如果在更新版本的Excel中打开文件，则对批注所作的任何改动都将被删除。了解详细信息: https://go.microsoft.com/fwlink/?linkid=870924
注释:
    Weighted Average Terms for Chinese Loans based on values from this dataset
Term:        Interest     Term      Grace
Value:        2.69%      19.16       6.13
%Known:  52.05%    70.17%   55.78%</t>
      </text>
    </comment>
    <comment ref="Q86" authorId="150" shapeId="0" xr:uid="{38D28692-727B-4AAC-A413-FF2C3778726D}">
      <text>
        <t>[线程批注]
你的Excel版本可读取此线程批注; 但如果在更新版本的Excel中打开文件，则对批注所作的任何改动都将被删除。了解详细信息: https://go.microsoft.com/fwlink/?linkid=870924
注释:
    Weighted Average Terms for Chinese Loans based on values from this dataset
Term:        Interest     Term      Grace
Value:        2.69%      19.16       6.13
%Known:  52.05%    70.17%   55.78%</t>
      </text>
    </comment>
    <comment ref="S86" authorId="151" shapeId="0" xr:uid="{3C385107-D5C2-471E-A46D-92FC430C3BA5}">
      <text>
        <t>[线程批注]
你的Excel版本可读取此线程批注; 但如果在更新版本的Excel中打开文件，则对批注所作的任何改动都将被删除。了解详细信息: https://go.microsoft.com/fwlink/?linkid=870924
注释:
    Weighted Average Terms for Chinese Loans based on values from this dataset
Term:        Interest     Term      Grace
Value:        2.69%      19.16       6.13
%Known:  52.05%    70.17%   55.78%</t>
      </text>
    </comment>
    <comment ref="K87" authorId="152" shapeId="0" xr:uid="{15D9230C-AB84-4D4F-AF1D-B0CFDE61465C}">
      <text>
        <t xml:space="preserve">[线程批注]
你的Excel版本可读取此线程批注; 但如果在更新版本的Excel中打开文件，则对批注所作的任何改动都将被删除。了解详细信息: https://go.microsoft.com/fwlink/?linkid=870924
注释:
    GoK reported to pay 15% of the project cost:
 https://china.aiddata.org/projects/58510/ </t>
      </text>
    </comment>
    <comment ref="P87" authorId="153" shapeId="0" xr:uid="{447B569A-204B-4878-9426-E8E3BD2BCE5E}">
      <text>
        <t>[线程批注]
你的Excel版本可读取此线程批注; 但如果在更新版本的Excel中打开文件，则对批注所作的任何改动都将被删除。了解详细信息: https://go.microsoft.com/fwlink/?linkid=870924
注释:
    Based on average external public debt terms reported by Kenyan government for 2017</t>
      </text>
    </comment>
    <comment ref="Q87" authorId="154" shapeId="0" xr:uid="{8EC5DF89-2881-4526-858E-14206B87BFDA}">
      <text>
        <t>[线程批注]
你的Excel版本可读取此线程批注; 但如果在更新版本的Excel中打开文件，则对批注所作的任何改动都将被删除。了解详细信息: https://go.microsoft.com/fwlink/?linkid=870924
注释:
    Based on average external public debt terms reported by Kenyan government for 2017</t>
      </text>
    </comment>
    <comment ref="S87" authorId="155" shapeId="0" xr:uid="{5B66C448-52B6-4B5F-A74E-214AE826784A}">
      <text>
        <t>[线程批注]
你的Excel版本可读取此线程批注; 但如果在更新版本的Excel中打开文件，则对批注所作的任何改动都将被删除。了解详细信息: https://go.microsoft.com/fwlink/?linkid=870924
注释:
    Based on average external public debt terms reported by Kenyan government for 2017</t>
      </text>
    </comment>
    <comment ref="K88" authorId="156" shapeId="0" xr:uid="{FB651240-1D69-42B7-80B5-C8D3EE9F50BB}">
      <text>
        <t xml:space="preserve">[线程批注]
你的Excel版本可读取此线程批注; 但如果在更新版本的Excel中打开文件，则对批注所作的任何改动都将被删除。了解详细信息: https://go.microsoft.com/fwlink/?linkid=870924
注释:
    GoK reported to pay 15% of the project cost:
 https://china.aiddata.org/projects/58510/ </t>
      </text>
    </comment>
    <comment ref="P88" authorId="157" shapeId="0" xr:uid="{E26FBA1B-4929-4659-8516-664F23CCF2FC}">
      <text>
        <t xml:space="preserve">[线程批注]
你的Excel版本可读取此线程批注; 但如果在更新版本的Excel中打开文件，则对批注所作的任何改动都将被删除。了解详细信息: https://go.microsoft.com/fwlink/?linkid=870924
注释:
    Based on Base  Rate  +  Funding  Cost Margin  +  Lending  Margin  +  Maturity Premium.
Euribor Average 2010-present = 0.415787
Funding cost Margin = 0.206
Lending Margin = 80bp
maturity premium = 0.2
https://www.afdb.org/sites/all/libraries/pdf.js/web/viewer.html?file=https%3A%2F%2Fwww.afdb.org%2Fsites%2Fdefault%2Ffiles%2Fdocuments%2Fprojects-and-operations%2Fkenya_-_transmission_network_improvement_project_-_project_appraisal_report.pdf#page=1&amp;zoom=auto,-13,847
https://www.afdb.org/en/documents/adb-applicable-lending-rates-sovereign-guaranteed-loans-1-august-2021-31-january-2022
</t>
      </text>
    </comment>
    <comment ref="K89" authorId="158" shapeId="0" xr:uid="{0E4B3BE7-2372-44F4-B45F-894F70763898}">
      <text>
        <t xml:space="preserve">[线程批注]
你的Excel版本可读取此线程批注; 但如果在更新版本的Excel中打开文件，则对批注所作的任何改动都将被删除。了解详细信息: https://go.microsoft.com/fwlink/?linkid=870924
注释:
    GoK reported to pay 15% of the project cost:
 https://china.aiddata.org/projects/58510/ </t>
      </text>
    </comment>
    <comment ref="P89" authorId="159" shapeId="0" xr:uid="{3BEA8094-5837-4BBC-A974-985385466FA7}">
      <text>
        <t>[线程批注]
你的Excel版本可读取此线程批注; 但如果在更新版本的Excel中打开文件，则对批注所作的任何改动都将被删除。了解详细信息: https://go.microsoft.com/fwlink/?linkid=870924
注释:
    0.1% administrative fee not included
Loan terms reported by AfDB report.
Page IV (PDF Page 7)
https://www.afdb.org/sites/all/libraries/pdf.js/web/viewer.html?file=https%3A%2F%2Fwww.afdb.org%2Fsites%2Fdefault%2Ffiles%2Fdocuments%2Fprojects-and-operations%2Fkenya_-_transmission_network_improvement_project_-_project_appraisal_report.pdf#page=1&amp;zoom=auto,-13,847</t>
      </text>
    </comment>
    <comment ref="Q89" authorId="160" shapeId="0" xr:uid="{6FB3E866-1282-4102-A77F-331F338DD3EE}">
      <text>
        <t>[线程批注]
你的Excel版本可读取此线程批注; 但如果在更新版本的Excel中打开文件，则对批注所作的任何改动都将被删除。了解详细信息: https://go.microsoft.com/fwlink/?linkid=870924
注释:
    0.1% administrative fee not included
Loan terms reported by AfDB report.
Page IV (PDF Page 7)
https://www.afdb.org/sites/all/libraries/pdf.js/web/viewer.html?file=https%3A%2F%2Fwww.afdb.org%2Fsites%2Fdefault%2Ffiles%2Fdocuments%2Fprojects-and-operations%2Fkenya_-_transmission_network_improvement_project_-_project_appraisal_report.pdf#page=1&amp;zoom=auto,-13,847</t>
      </text>
    </comment>
    <comment ref="S89" authorId="161" shapeId="0" xr:uid="{D631138E-08AE-4921-AE4F-AC14EB2037EC}">
      <text>
        <t>[线程批注]
你的Excel版本可读取此线程批注; 但如果在更新版本的Excel中打开文件，则对批注所作的任何改动都将被删除。了解详细信息: https://go.microsoft.com/fwlink/?linkid=870924
注释:
    0.1% administrative fee not included
Loan terms reported by AfDB report.
Page IV (PDF Page 7)
https://www.afdb.org/sites/all/libraries/pdf.js/web/viewer.html?file=https%3A%2F%2Fwww.afdb.org%2Fsites%2Fdefault%2Ffiles%2Fdocuments%2Fprojects-and-operations%2Fkenya_-_transmission_network_improvement_project_-_project_appraisal_report.pdf#page=1&amp;zoom=auto,-13,847</t>
      </text>
    </comment>
    <comment ref="G90" authorId="162" shapeId="0" xr:uid="{ACC29C29-68DC-4831-87FE-1CA9A9801E70}">
      <text>
        <t>[线程批注]
你的Excel版本可读取此线程批注; 但如果在更新版本的Excel中打开文件，则对批注所作的任何改动都将被删除。了解详细信息: https://go.microsoft.com/fwlink/?linkid=870924
注释:
    Cash
https://www.afdb.org/sites/all/libraries/pdf.js/web/viewer.html?file=https%3A%2F%2Fwww.afdb.org%2Fsites%2Fdefault%2Ffiles%2Fdocuments%2Fprojects-and-operations%2Fkenya_-_transmission_network_improvement_project_-_project_appraisal_report.pdf#page=1&amp;zoom=auto,-13,847</t>
      </text>
    </comment>
    <comment ref="K90" authorId="163" shapeId="0" xr:uid="{08C13D9A-2416-4FA3-A535-9009B65F036D}">
      <text>
        <t xml:space="preserve">[线程批注]
你的Excel版本可读取此线程批注; 但如果在更新版本的Excel中打开文件，则对批注所作的任何改动都将被删除。了解详细信息: https://go.microsoft.com/fwlink/?linkid=870924
注释:
    GoK reported to pay 15% of the project cost:
 https://china.aiddata.org/projects/58510/ </t>
      </text>
    </comment>
    <comment ref="P90" authorId="164" shapeId="0" xr:uid="{E5087A1D-3583-428C-A2B4-138E2CD723D7}">
      <text>
        <t>[线程批注]
你的Excel版本可读取此线程批注; 但如果在更新版本的Excel中打开文件，则对批注所作的任何改动都将被删除。了解详细信息: https://go.microsoft.com/fwlink/?linkid=870924
注释:
    Cash Payment
https://www.afdb.org/sites/all/libraries/pdf.js/web/viewer.html?file=https%3A%2F%2Fwww.afdb.org%2Fsites%2Fdefault%2Ffiles%2Fdocuments%2Fprojects-and-operations%2Fkenya_-_transmission_network_improvement_project_-_project_appraisal_report.pdf#page=1&amp;zoom=auto,-13,847</t>
      </text>
    </comment>
    <comment ref="Q90" authorId="165" shapeId="0" xr:uid="{5DB6909A-49C5-41E0-AA68-006D72CDC571}">
      <text>
        <t>[线程批注]
你的Excel版本可读取此线程批注; 但如果在更新版本的Excel中打开文件，则对批注所作的任何改动都将被删除。了解详细信息: https://go.microsoft.com/fwlink/?linkid=870924
注释:
    Cash
https://www.afdb.org/sites/all/libraries/pdf.js/web/viewer.html?file=https%3A%2F%2Fwww.afdb.org%2Fsites%2Fdefault%2Ffiles%2Fdocuments%2Fprojects-and-operations%2Fkenya_-_transmission_network_improvement_project_-_project_appraisal_report.pdf#page=1&amp;zoom=auto,-13,847</t>
      </text>
    </comment>
    <comment ref="T90" authorId="166" shapeId="0" xr:uid="{6B1D6E76-CA06-4FB4-8BC9-6219378041D1}">
      <text>
        <t>[线程批注]
你的Excel版本可读取此线程批注; 但如果在更新版本的Excel中打开文件，则对批注所作的任何改动都将被删除。了解详细信息: https://go.microsoft.com/fwlink/?linkid=870924
注释:
    Cash
https://www.afdb.org/sites/all/libraries/pdf.js/web/viewer.html?file=https%3A%2F%2Fwww.afdb.org%2Fsites%2Fdefault%2Ffiles%2Fdocuments%2Fprojects-and-operations%2Fkenya_-_transmission_network_improvement_project_-_project_appraisal_report.pdf#page=1&amp;zoom=auto,-13,847</t>
      </text>
    </comment>
    <comment ref="K91" authorId="167" shapeId="0" xr:uid="{FEE72F07-4391-44DB-A4F1-3D2872714B3F}">
      <text>
        <t>[线程批注]
你的Excel版本可读取此线程批注; 但如果在更新版本的Excel中打开文件，则对批注所作的任何改动都将被删除。了解详细信息: https://go.microsoft.com/fwlink/?linkid=870924
注释:
    World Bank IDA Finance
Development Projects : Kenya Private Sector Power Generation Support Project - P122671 (worldbank.org)</t>
      </text>
    </comment>
    <comment ref="P91" authorId="168" shapeId="0" xr:uid="{AF9E8196-C2A8-4C66-985D-F117480B6E3B}">
      <text>
        <t>[线程批注]
你的Excel版本可读取此线程批注; 但如果在更新版本的Excel中打开文件，则对批注所作的任何改动都将被删除。了解详细信息: https://go.microsoft.com/fwlink/?linkid=870924
注释:
    Weighted Average Terms for World Bank loans based on values from this dataset
Term:        Interest     Term      Grace
Value:        2.80%      30.80       6.52
%Known:  44.81%    49.09%   48.25%</t>
      </text>
    </comment>
    <comment ref="Q91" authorId="169" shapeId="0" xr:uid="{6FF9EF1F-F9DE-4122-8C49-6823E82EF3CE}">
      <text>
        <t>[线程批注]
你的Excel版本可读取此线程批注; 但如果在更新版本的Excel中打开文件，则对批注所作的任何改动都将被删除。了解详细信息: https://go.microsoft.com/fwlink/?linkid=870924
注释:
    Weighted Average Terms for World Bank loans based on values from this dataset
Term:        Interest     Term      Grace
Value:        2.80%      30.80       6.52
%Known:  44.81%    49.09%   48.25%</t>
      </text>
    </comment>
    <comment ref="S91" authorId="170" shapeId="0" xr:uid="{B5AB6536-CB76-4C75-A96F-C07E2046FC56}">
      <text>
        <t>[线程批注]
你的Excel版本可读取此线程批注; 但如果在更新版本的Excel中打开文件，则对批注所作的任何改动都将被删除。了解详细信息: https://go.microsoft.com/fwlink/?linkid=870924
注释:
    Weighted Average Terms for World Bank loans based on values from this dataset
Term:        Interest     Term      Grace
Value:        2.80%      30.80       6.52
%Known:  44.81%    49.09%   48.25%</t>
      </text>
    </comment>
    <comment ref="A92" authorId="171" shapeId="0" xr:uid="{A3ED1B0D-3282-4366-A2E0-F4D9451D9AE7}">
      <text>
        <t>[线程批注]
你的Excel版本可读取此线程批注; 但如果在更新版本的Excel中打开文件，则对批注所作的任何改动都将被删除。了解详细信息: https://go.microsoft.com/fwlink/?linkid=870924
注释:
    Probably covers Kenya-Tanzania Power Interconnection Project (KTPIP) and Kenya-Uganda Interconnection Project (Lessos-Tororo Transmission Line)</t>
      </text>
    </comment>
    <comment ref="K92" authorId="172" shapeId="0" xr:uid="{1CA3C5BC-90EF-4B46-BF01-6952E81451C6}">
      <text>
        <t>[线程批注]
你的Excel版本可读取此线程批注; 但如果在更新版本的Excel中打开文件，则对批注所作的任何改动都将被删除。了解详细信息: https://go.microsoft.com/fwlink/?linkid=870924
注释:
    Total Financing: 32.6 Million UA Kenya
African Development Fund: 27.5 Million UA
GoK: 5.1 Million UA
1 UA = 1.5474 USD
EIRR: 25.21%
REV-Multinational__AR__Kenya_-_Tanzania__Power__interconnection__Project.pdf (afdb.org)</t>
      </text>
    </comment>
    <comment ref="A93" authorId="173" shapeId="0" xr:uid="{5F67F287-5727-4389-9926-1749AD889BC1}">
      <text>
        <t>[线程批注]
你的Excel版本可读取此线程批注; 但如果在更新版本的Excel中打开文件，则对批注所作的任何改动都将被删除。了解详细信息: https://go.microsoft.com/fwlink/?linkid=870924
注释:
    Probably covers Kenya-Tanzania Power Interconnection Project (KTPIP) and Kenya-Uganda Interconnection Project (Lessos-Tororo Transmission Line)</t>
      </text>
    </comment>
    <comment ref="K93" authorId="174" shapeId="0" xr:uid="{433DAD45-9ECE-4019-BFE5-94D0B44FB746}">
      <text>
        <t xml:space="preserve">[线程批注]
你的Excel版本可读取此线程批注; 但如果在更新版本的Excel中打开文件，则对批注所作的任何改动都将被删除。了解详细信息: https://go.microsoft.com/fwlink/?linkid=870924
注释:
    Original amount (17.73UA) approved in 2008, additional 22.04UA approved in 2010
Conversion based on Jun 2010 rates: 1 UA: 1.47433 USD
https://www.afdb.org/fileadmin/uploads/afdb/Documents/Project-and-Operations/Multinational-_Approved_-_Interconnection_of_Electric_Grids_of_Nile_Equatorial_Lakes_Countries_Project__NELSAP.pdf </t>
      </text>
    </comment>
    <comment ref="P93" authorId="175" shapeId="0" xr:uid="{2931028F-76FD-45E6-8EC3-646201F8109B}">
      <text>
        <t>[线程批注]
你的Excel版本可读取此线程批注; 但如果在更新版本的Excel中打开文件，则对批注所作的任何改动都将被删除。了解详细信息: https://go.microsoft.com/fwlink/?linkid=870924
注释:
    Weighted Average Terms for AfDB loans based on values from this dataset
Term:        Interest     Term      Grace
Value:        0.82%      38.30       7.92
%Known:  61.98%    77.38%   77.38%</t>
      </text>
    </comment>
    <comment ref="Q93" authorId="176" shapeId="0" xr:uid="{6D74E1E4-732C-4A34-B82F-4B0A491188B3}">
      <text>
        <t>[线程批注]
你的Excel版本可读取此线程批注; 但如果在更新版本的Excel中打开文件，则对批注所作的任何改动都将被删除。了解详细信息: https://go.microsoft.com/fwlink/?linkid=870924
注释:
    Weighted Average Terms for AfDB loans based on values from this dataset
Term:        Interest     Term      Grace
Value:        0.82%      38.30       7.92
%Known:  61.98%    77.38%   77.38%</t>
      </text>
    </comment>
    <comment ref="S93" authorId="177" shapeId="0" xr:uid="{75F7EF10-F16B-4FFD-96D4-F007C4702983}">
      <text>
        <t>[线程批注]
你的Excel版本可读取此线程批注; 但如果在更新版本的Excel中打开文件，则对批注所作的任何改动都将被删除。了解详细信息: https://go.microsoft.com/fwlink/?linkid=870924
注释:
    Weighted Average Terms for AfDB loans based on values from this dataset
Term:        Interest     Term      Grace
Value:        0.82%      38.30       7.92
%Known:  61.98%    77.38%   77.38%</t>
      </text>
    </comment>
    <comment ref="K94" authorId="178" shapeId="0" xr:uid="{CA416EB5-A879-4B7F-B4A6-9EDFEC6693BC}">
      <text>
        <t>[线程批注]
你的Excel版本可读取此线程批注; 但如果在更新版本的Excel中打开文件，则对批注所作的任何改动都将被删除。了解详细信息: https://go.microsoft.com/fwlink/?linkid=870924
注释:
    Debt: Overseas Private Investment Corp (OPIC) ($232.6 million/€208.8 million)
Equity: AIIF 2 (55%), Craftskills Wind (20%), IFC (20%), Local Community (5%)
https://www.sciencedirect.com/science/article/pii/S136403211830861X?ref=pdf_download&amp;fr=RR-2&amp;rr=7cff56bdf94b76b3</t>
      </text>
    </comment>
    <comment ref="P94" authorId="179" shapeId="0" xr:uid="{370C9E12-ED8C-445D-92D7-AF5DF0EF7308}">
      <text>
        <t>[线程批注]
你的Excel版本可读取此线程批注; 但如果在更新版本的Excel中打开文件，则对批注所作的任何改动都将被删除。了解详细信息: https://go.microsoft.com/fwlink/?linkid=870924
注释:
    Weighted Average Terms for Foreign Gov. loans based on values from this dataset
Term:        Interest     Term      Grace
Value:        2.41%      23.58       6.54
%Known:  51.96%    66.91%   50.41%</t>
      </text>
    </comment>
    <comment ref="Q94" authorId="180" shapeId="0" xr:uid="{293FB100-DAB2-4408-904E-D5597D7C8B59}">
      <text>
        <t>[线程批注]
你的Excel版本可读取此线程批注; 但如果在更新版本的Excel中打开文件，则对批注所作的任何改动都将被删除。了解详细信息: https://go.microsoft.com/fwlink/?linkid=870924
注释:
    Weighted Average Terms for Foreign Gov. loans based on values from this dataset
Term:        Interest     Term      Grace
Value:        2.41%      23.58       6.54
%Known:  51.96%    66.91%   50.41%</t>
      </text>
    </comment>
    <comment ref="S94" authorId="181" shapeId="0" xr:uid="{A4602A02-AF38-4DF7-BB10-29AC1D1642AA}">
      <text>
        <t>[线程批注]
你的Excel版本可读取此线程批注; 但如果在更新版本的Excel中打开文件，则对批注所作的任何改动都将被删除。了解详细信息: https://go.microsoft.com/fwlink/?linkid=870924
注释:
    Weighted Average Terms for Foreign Gov. loans based on values from this dataset
Term:        Interest     Term      Grace
Value:        2.41%      23.58       6.54
%Known:  51.96%    66.91%   50.41%</t>
      </text>
    </comment>
    <comment ref="J95" authorId="182" shapeId="0" xr:uid="{D9844F8C-3737-4850-907E-708B88EAFF1C}">
      <text>
        <t>[线程批注]
你的Excel版本可读取此线程批注; 但如果在更新版本的Excel中打开文件，则对批注所作的任何改动都将被删除。了解详细信息: https://go.microsoft.com/fwlink/?linkid=870924
注释:
    Registered to London</t>
      </text>
    </comment>
    <comment ref="K95" authorId="183" shapeId="0" xr:uid="{F598C4B5-EFDE-469A-82D7-16FE9E57EDD3}">
      <text>
        <t>[线程批注]
你的Excel版本可读取此线程批注; 但如果在更新版本的Excel中打开文件，则对批注所作的任何改动都将被删除。了解详细信息: https://go.microsoft.com/fwlink/?linkid=870924
注释:
    Actis 88% of $67.4 Million Equity Financing 
https://ppi.worldbank.org/en/snapshots/project/kipeto-project-9635</t>
      </text>
    </comment>
    <comment ref="P95" authorId="184" shapeId="0" xr:uid="{AFD3BED2-B284-4703-BE52-62983CBB3CB5}">
      <text>
        <t xml:space="preserve">[线程批注]
你的Excel版本可读取此线程批注; 但如果在更新版本的Excel中打开文件，则对批注所作的任何改动都将被删除。了解详细信息: https://go.microsoft.com/fwlink/?linkid=870924
注释:
    Project Specific ROE of 13% reported in: Page 38 (PDF Page 40)
https://core.ac.uk/download/pdf/43542198.pdf
</t>
      </text>
    </comment>
    <comment ref="Q95" authorId="185" shapeId="0" xr:uid="{7F80C795-6AD2-466D-8AD5-37C69A1201BC}">
      <text>
        <t>[线程批注]
你的Excel版本可读取此线程批注; 但如果在更新版本的Excel中打开文件，则对批注所作的任何改动都将被删除。了解详细信息: https://go.microsoft.com/fwlink/?linkid=870924
注释:
    Based on Operational Life of On-Shore Wind reported in:
https://www.sciencedirect.com/science/article/pii/S2352340922002323
Lucy Allington, Carla Cannone, Ioannis Pappis, Karla Cervantes Barron, Will Usher, Steve Pye, Edward Brown, Mark Howells, Miriam Zachau Walker, Aniq Ahsan, Flora Charbonnier, Claire Halloran, Stephanie Hirmer, Jennifer Cronin, Constantinos Taliotis, Caroline Sundin, Vignesh Sridharan, Eunice Ramos, Maarten Brinkerink, Paul Deane, Andrii Gritsevskyi, Gustavo Moura, Arnaud Rouget, David Wogan, Edito Barcelona, Taco Niet, Holger Rogner, Franziska Bock, Jairo Quirós-Tortós, Jam Angulo-Paniagua, Satheesh Krishnamurthy, John Harrison, Long Seng To,
Selected ‘Starter kit’ energy system modelling data for selected countries in Africa, East Asia, and South America (#CCG, 2021),
Data in Brief,
Volume 42,
2022,
108021,
ISSN 2352-3409,
https://doi.org/10.1016/j.dib.2022.108021.</t>
      </text>
    </comment>
    <comment ref="K96" authorId="186" shapeId="0" xr:uid="{60B4BDD3-7769-49B9-B4AB-E1BB0A631CE3}">
      <text>
        <t>[线程批注]
你的Excel版本可读取此线程批注; 但如果在更新版本的Excel中打开文件，则对批注所作的任何改动都将被删除。了解详细信息: https://go.microsoft.com/fwlink/?linkid=870924
注释:
    Actis 12% of $67.4 Million Equity Financing 
https://ppi.worldbank.org/en/snapshots/project/kipeto-project-9635</t>
      </text>
    </comment>
    <comment ref="P96" authorId="187" shapeId="0" xr:uid="{8D017FCC-E141-4508-A59A-7ED6593ECC35}">
      <text>
        <t xml:space="preserve">[线程批注]
你的Excel版本可读取此线程批注; 但如果在更新版本的Excel中打开文件，则对批注所作的任何改动都将被删除。了解详细信息: https://go.microsoft.com/fwlink/?linkid=870924
注释:
    Project Specific ROE of 13% reported in: Page 38 (PDF Page 40)
https://core.ac.uk/download/pdf/43542198.pdf
</t>
      </text>
    </comment>
    <comment ref="Q96" authorId="188" shapeId="0" xr:uid="{D3737478-6551-4631-8E87-C13A086157D3}">
      <text>
        <t>[线程批注]
你的Excel版本可读取此线程批注; 但如果在更新版本的Excel中打开文件，则对批注所作的任何改动都将被删除。了解详细信息: https://go.microsoft.com/fwlink/?linkid=870924
注释:
    Based on Operational Life of On-Shore Wind reported in:
https://www.sciencedirect.com/science/article/pii/S2352340922002323
Lucy Allington, Carla Cannone, Ioannis Pappis, Karla Cervantes Barron, Will Usher, Steve Pye, Edward Brown, Mark Howells, Miriam Zachau Walker, Aniq Ahsan, Flora Charbonnier, Claire Halloran, Stephanie Hirmer, Jennifer Cronin, Constantinos Taliotis, Caroline Sundin, Vignesh Sridharan, Eunice Ramos, Maarten Brinkerink, Paul Deane, Andrii Gritsevskyi, Gustavo Moura, Arnaud Rouget, David Wogan, Edito Barcelona, Taco Niet, Holger Rogner, Franziska Bock, Jairo Quirós-Tortós, Jam Angulo-Paniagua, Satheesh Krishnamurthy, John Harrison, Long Seng To,
Selected ‘Starter kit’ energy system modelling data for selected countries in Africa, East Asia, and South America (#CCG, 2021),
Data in Brief,
Volume 42,
2022,
108021,
ISSN 2352-3409,
https://doi.org/10.1016/j.dib.2022.108021.</t>
      </text>
    </comment>
    <comment ref="K97" authorId="189" shapeId="0" xr:uid="{8E090E24-FE04-4F8F-A249-CCC78F3085B9}">
      <text>
        <t>[线程批注]
你的Excel版本可读取此线程批注; 但如果在更新版本的Excel中打开文件，则对批注所作的任何改动都将被删除。了解详细信息: https://go.microsoft.com/fwlink/?linkid=870924
注释:
    Total Project Cost: $52 Million
No evidence of Debt Financing
Note: Potential for additional BESS capacity for $10 Million
Kisumi solar plant in Kenya to be operational by 2024 (esi-africa.com)</t>
      </text>
    </comment>
    <comment ref="P97" authorId="190" shapeId="0" xr:uid="{32F72365-156F-4F75-84AB-4F06D04EA681}">
      <text>
        <t>[线程批注]
你的Excel版本可读取此线程批注; 但如果在更新版本的Excel中打开文件，则对批注所作的任何改动都将被删除。了解详细信息: https://go.microsoft.com/fwlink/?linkid=870924
注释:
    Interest Rates based on Equity Rate of Return for Solar Projects from 
Page 38 (PDF Page 40)
https://core.ac.uk/download/pdf/43542198.pdf</t>
      </text>
    </comment>
    <comment ref="Q97" authorId="191" shapeId="0" xr:uid="{44430203-BD1F-4222-8901-1FDF76A7BA62}">
      <text>
        <t>[线程批注]
你的Excel版本可读取此线程批注; 但如果在更新版本的Excel中打开文件，则对批注所作的任何改动都将被删除。了解详细信息: https://go.microsoft.com/fwlink/?linkid=870924
注释:
    Based on Operational Life of Solar PV in Africa reported in:
https://www.sciencedirect.com/science/article/pii/S2352340922002323
Lucy Allington, Carla Cannone, Ioannis Pappis, Karla Cervantes Barron, Will Usher, Steve Pye, Edward Brown, Mark Howells, Miriam Zachau Walker, Aniq Ahsan, Flora Charbonnier, Claire Halloran, Stephanie Hirmer, Jennifer Cronin, Constantinos Taliotis, Caroline Sundin, Vignesh Sridharan, Eunice Ramos, Maarten Brinkerink, Paul Deane, Andrii Gritsevskyi, Gustavo Moura, Arnaud Rouget, David Wogan, Edito Barcelona, Taco Niet, Holger Rogner, Franziska Bock, Jairo Quirós-Tortós, Jam Angulo-Paniagua, Satheesh Krishnamurthy, John Harrison, Long Seng To,
Selected ‘Starter kit’ energy system modelling data for selected countries in Africa, East Asia, and South America (#CCG, 2021),
Data in Brief,
Volume 42,
2022,
108021,
ISSN 2352-3409,
https://doi.org/10.1016/j.dib.2022.108021.</t>
      </text>
    </comment>
    <comment ref="K98" authorId="192" shapeId="0" xr:uid="{EC720FF3-9A45-43FB-BD00-C67C6F205B86}">
      <text>
        <t>[线程批注]
你的Excel版本可读取此线程批注; 但如果在更新版本的Excel中打开文件，则对批注所作的任何改动都将被删除。了解详细信息: https://go.microsoft.com/fwlink/?linkid=870924
注释:
    AfDB loan of $18.7 Million
Project Summary Note - Kopere 40 Mw Solar Pv Ipp | African Development Bank Group - Making a Difference (afdb.org)</t>
      </text>
    </comment>
    <comment ref="P98" authorId="193" shapeId="0" xr:uid="{CDDCA0AE-EAF1-4444-81AF-2E5DA54F265A}">
      <text>
        <t>[线程批注]
你的Excel版本可读取此线程批注; 但如果在更新版本的Excel中打开文件，则对批注所作的任何改动都将被删除。了解详细信息: https://go.microsoft.com/fwlink/?linkid=870924
注释:
    Weighted Average Terms for AfDB loans based on values from this dataset
Term:        Interest     Term      Grace
Value:        0.82%      38.30       7.92
%Known:  61.98%    77.38%   77.38%</t>
      </text>
    </comment>
    <comment ref="Q98" authorId="194" shapeId="0" xr:uid="{E97D3C4E-5D5A-4E77-B014-E49E94FEEAE2}">
      <text>
        <t>[线程批注]
你的Excel版本可读取此线程批注; 但如果在更新版本的Excel中打开文件，则对批注所作的任何改动都将被删除。了解详细信息: https://go.microsoft.com/fwlink/?linkid=870924
注释:
    Based on 18 year tenor and 12 month grace period outlined by the AfDB for AfDB and CIF SREP Loans 
https://www.afdb.org/en/documents/document/project-summary-note-kopere-40-mw-solar-pv-ipp-107312</t>
      </text>
    </comment>
    <comment ref="S98" authorId="195" shapeId="0" xr:uid="{A2E08A4A-71F6-436B-B2AF-A3A97CDDA379}">
      <text>
        <t>[线程批注]
你的Excel版本可读取此线程批注; 但如果在更新版本的Excel中打开文件，则对批注所作的任何改动都将被删除。了解详细信息: https://go.microsoft.com/fwlink/?linkid=870924
注释:
    Based on 18 year tenor and 12 month grace period outlined by the AfDB for AfDB and CIF SREP Loans 
https://www.afdb.org/en/documents/document/project-summary-note-kopere-40-mw-solar-pv-ipp-107312</t>
      </text>
    </comment>
    <comment ref="K99" authorId="196" shapeId="0" xr:uid="{AC35C67B-1E98-461D-A76D-C7916FAD454B}">
      <text>
        <t>[线程批注]
你的Excel版本可读取此线程批注; 但如果在更新版本的Excel中打开文件，则对批注所作的任何改动都将被删除。了解详细信息: https://go.microsoft.com/fwlink/?linkid=870924
注释:
    EDFI split remaining debt with AfDB
Project Summary Note - Kopere 40 Mw Solar Pv Ipp | African Development Bank Group - Making a Difference (afdb.org)</t>
      </text>
    </comment>
    <comment ref="P99" authorId="197" shapeId="0" xr:uid="{6257F23A-A150-4C7C-B4FD-0A57554FF8C2}">
      <text>
        <t>[线程批注]
你的Excel版本可读取此线程批注; 但如果在更新版本的Excel中打开文件，则对批注所作的任何改动都将被删除。了解详细信息: https://go.microsoft.com/fwlink/?linkid=870924
注释:
    Weighted Average Terms for Climate Fund loans based on values from this dataset
Term:        Interest     Term      Grace
Value:        4.96%      14.11       1.00
%Known:   6.19%     29.29%    5.75%</t>
      </text>
    </comment>
    <comment ref="Q99" authorId="198" shapeId="0" xr:uid="{C1F24CB5-0997-4D6E-B9CF-87EA74318301}">
      <text>
        <t>[线程批注]
你的Excel版本可读取此线程批注; 但如果在更新版本的Excel中打开文件，则对批注所作的任何改动都将被删除。了解详细信息: https://go.microsoft.com/fwlink/?linkid=870924
注释:
    Weighted Average Terms for Climate Fund loans based on values from this dataset
Term:        Interest     Term      Grace
Value:        4.96%      14.11       1.00
%Known:   6.19%     29.29%    5.75%</t>
      </text>
    </comment>
    <comment ref="S99" authorId="199" shapeId="0" xr:uid="{D16092A2-3FBC-49AF-9076-C9F7783F3C6F}">
      <text>
        <t>[线程批注]
你的Excel版本可读取此线程批注; 但如果在更新版本的Excel中打开文件，则对批注所作的任何改动都将被删除。了解详细信息: https://go.microsoft.com/fwlink/?linkid=870924
注释:
    Weighted Average Terms for Climate Fund loans based on values from this dataset
Term:        Interest     Term      Grace
Value:        4.96%      14.11       1.00
%Known:   6.19%     29.29%    5.75%</t>
      </text>
    </comment>
    <comment ref="K100" authorId="200" shapeId="0" xr:uid="{288DE41E-2DD0-4E63-BC8A-5580F1D22E90}">
      <text>
        <t xml:space="preserve">[线程批注]
你的Excel版本可读取此线程批注; 但如果在更新版本的Excel中打开文件，则对批注所作的任何改动都将被删除。了解详细信息: https://go.microsoft.com/fwlink/?linkid=870924
注释:
    CIF Loan 
https://www.cif.org/projects/pssa-kopere-solar-park
</t>
      </text>
    </comment>
    <comment ref="P100" authorId="201" shapeId="0" xr:uid="{6BFF9EDC-500C-4558-B504-BCF9A091C431}">
      <text>
        <t>[线程批注]
你的Excel版本可读取此线程批注; 但如果在更新版本的Excel中打开文件，则对批注所作的任何改动都将被删除。了解详细信息: https://go.microsoft.com/fwlink/?linkid=870924
注释:
    Weighted Average Terms for Climate Fund loans based on values from this dataset
Term:        Interest     Term      Grace
Value:        4.96%      14.11       1.00
%Known:   6.19%     29.29%    5.75%</t>
      </text>
    </comment>
    <comment ref="Q100" authorId="202" shapeId="0" xr:uid="{75F68B91-DEC0-470C-84FB-926AE5FE726C}">
      <text>
        <t>[线程批注]
你的Excel版本可读取此线程批注; 但如果在更新版本的Excel中打开文件，则对批注所作的任何改动都将被删除。了解详细信息: https://go.microsoft.com/fwlink/?linkid=870924
注释:
    Based on 18 year tenor and 12 month grace period outlined by the AfDB for AfDB and CIF SREP Loans 
https://www.afdb.org/en/documents/document/project-summary-note-kopere-40-mw-solar-pv-ipp-107312</t>
      </text>
    </comment>
    <comment ref="S100" authorId="203" shapeId="0" xr:uid="{FC3AA143-BC12-457D-B4D8-DD792BBB8174}">
      <text>
        <t>[线程批注]
你的Excel版本可读取此线程批注; 但如果在更新版本的Excel中打开文件，则对批注所作的任何改动都将被删除。了解详细信息: https://go.microsoft.com/fwlink/?linkid=870924
注释:
    Based on 18 year tenor and 12 month grace period outlined by the AfDB for AfDB and CIF SREP Loans 
https://www.afdb.org/en/documents/document/project-summary-note-kopere-40-mw-solar-pv-ipp-107312</t>
      </text>
    </comment>
    <comment ref="K101" authorId="204" shapeId="0" xr:uid="{7B58AA46-13A2-4081-92E5-F0AC10376489}">
      <text>
        <t>[线程批注]
你的Excel版本可读取此线程批注; 但如果在更新版本的Excel中打开文件，则对批注所作的任何改动都将被删除。了解详细信息: https://go.microsoft.com/fwlink/?linkid=870924
注释:
    75:25 Debt:Equity Split of total project cost ($63.9 Million)
Project Summary Note - Kopere 40 Mw Solar Pv Ipp | African Development Bank Group - Making a Difference (afdb.org)</t>
      </text>
    </comment>
    <comment ref="P101" authorId="205" shapeId="0" xr:uid="{D5E4EEC0-1298-44CC-AFE6-1F15CFB80EB5}">
      <text>
        <t>[线程批注]
你的Excel版本可读取此线程批注; 但如果在更新版本的Excel中打开文件，则对批注所作的任何改动都将被删除。了解详细信息: https://go.microsoft.com/fwlink/?linkid=870924
注释:
    Based on technology-specific Equity Return on Investments outlined in:
Page 38 (PDF Page 40)
https://core.ac.uk/download/pdf/43542198.pdf</t>
      </text>
    </comment>
    <comment ref="Q101" authorId="206" shapeId="0" xr:uid="{2051D897-1CF1-4E43-8970-562E7E6C4C6F}">
      <text>
        <t>[线程批注]
你的Excel版本可读取此线程批注; 但如果在更新版本的Excel中打开文件，则对批注所作的任何改动都将被删除。了解详细信息: https://go.microsoft.com/fwlink/?linkid=870924
注释:
    Based on Operational Life of Solar PV in Africa reported in:
https://www.sciencedirect.com/science/article/pii/S2352340922002323
Lucy Allington, Carla Cannone, Ioannis Pappis, Karla Cervantes Barron, Will Usher, Steve Pye, Edward Brown, Mark Howells, Miriam Zachau Walker, Aniq Ahsan, Flora Charbonnier, Claire Halloran, Stephanie Hirmer, Jennifer Cronin, Constantinos Taliotis, Caroline Sundin, Vignesh Sridharan, Eunice Ramos, Maarten Brinkerink, Paul Deane, Andrii Gritsevskyi, Gustavo Moura, Arnaud Rouget, David Wogan, Edito Barcelona, Taco Niet, Holger Rogner, Franziska Bock, Jairo Quirós-Tortós, Jam Angulo-Paniagua, Satheesh Krishnamurthy, John Harrison, Long Seng To,
Selected ‘Starter kit’ energy system modelling data for selected countries in Africa, East Asia, and South America (#CCG, 2021),
Data in Brief,
Volume 42,
2022,
108021,
ISSN 2352-3409,
https://doi.org/10.1016/j.dib.2022.108021.</t>
      </text>
    </comment>
    <comment ref="K102" authorId="207" shapeId="0" xr:uid="{03421C07-F9E6-4964-B84D-F02C3CA6A8B9}">
      <text>
        <t>[线程批注]
你的Excel版本可读取此线程批注; 但如果在更新版本的Excel中打开文件，则对批注所作的任何改动都将被删除。了解详细信息: https://go.microsoft.com/fwlink/?linkid=870924
注释:
    From Financial Disclosures
Annual-report.pdf (ktdateas.com)
https://ktdateas.com/wp-content/uploads/2021/02/Annual-report.pdf</t>
      </text>
    </comment>
    <comment ref="P102" authorId="208" shapeId="0" xr:uid="{A1ABF34A-9E28-4598-B317-ACB31600749F}">
      <text>
        <t>[线程批注]
你的Excel版本可读取此线程批注; 但如果在更新版本的Excel中打开文件，则对批注所作的任何改动都将被删除。了解详细信息: https://go.microsoft.com/fwlink/?linkid=870924
注释:
    Based on Terms outlined for PROPARCO / AFD Loan of 3.5% + 6-month Libor
Page 81
https://ktdateas.com/wp-content/uploads/2021/02/Annual-report.pdf</t>
      </text>
    </comment>
    <comment ref="Q102" authorId="209" shapeId="0" xr:uid="{A342CCD8-12C2-414C-A0F1-C9582F25AB47}">
      <text>
        <t>[线程批注]
你的Excel版本可读取此线程批注; 但如果在更新版本的Excel中打开文件，则对批注所作的任何改动都将被删除。了解详细信息: https://go.microsoft.com/fwlink/?linkid=870924
注释:
    Loan term outlined in:
https://ktdateas.com/wp-content/uploads/2021/02/Annual-report.pdf</t>
      </text>
    </comment>
    <comment ref="S102" authorId="210" shapeId="0" xr:uid="{9B1D7F8C-DEEC-4E80-87AF-2CB4A9666E72}">
      <text>
        <t>[线程批注]
你的Excel版本可读取此线程批注; 但如果在更新版本的Excel中打开文件，则对批注所作的任何改动都将被删除。了解详细信息: https://go.microsoft.com/fwlink/?linkid=870924
注释:
    Weighted Average Terms for Bilateral Agency loans based on values from this dataset
Term:        Interest     Term      Grace
Value:        2.53%      18.85       6.39
%Known:  44.13%    55.73%   44.84%</t>
      </text>
    </comment>
    <comment ref="K103" authorId="211" shapeId="0" xr:uid="{8A18453B-C946-4600-AEDB-56204F6ECDF5}">
      <text>
        <t>[线程批注]
你的Excel版本可读取此线程批注; 但如果在更新版本的Excel中打开文件，则对批注所作的任何改动都将被删除。了解详细信息: https://go.microsoft.com/fwlink/?linkid=870924
注释:
    Total IFC Funding including GAFSP
$25M 
$12.5M GAFSP
$12.5M IFC
https://disclosures.ifc.org/project-detail/SII/36402/ktda-small-hydro</t>
      </text>
    </comment>
    <comment ref="P103" authorId="212" shapeId="0" xr:uid="{E07B64F3-ADB1-4C74-9FDA-7B59913B209B}">
      <text>
        <t>[线程批注]
你的Excel版本可读取此线程批注; 但如果在更新版本的Excel中打开文件，则对批注所作的任何改动都将被删除。了解详细信息: https://go.microsoft.com/fwlink/?linkid=870924
注释:
    Based on Terms outlined for IFC (including GAFSP) Loan of 3.5% + 6-month Libor
Page 81
https://ktdateas.com/wp-content/uploads/2021/02/Annual-report.pdf</t>
      </text>
    </comment>
    <comment ref="Q103" authorId="213" shapeId="0" xr:uid="{39D0D2FA-80CF-4706-899B-801B4B9A5B2B}">
      <text>
        <t>[线程批注]
你的Excel版本可读取此线程批注; 但如果在更新版本的Excel中打开文件，则对批注所作的任何改动都将被删除。了解详细信息: https://go.microsoft.com/fwlink/?linkid=870924
注释:
    Loan term outlined in:
https://ktdateas.com/wp-content/uploads/2021/02/Annual-report.pdf</t>
      </text>
    </comment>
    <comment ref="S103" authorId="214" shapeId="0" xr:uid="{FB7559B1-EB1F-4BC9-8CA0-E4C8695D1B7E}">
      <text>
        <t>[线程批注]
你的Excel版本可读取此线程批注; 但如果在更新版本的Excel中打开文件，则对批注所作的任何改动都将被删除。了解详细信息: https://go.microsoft.com/fwlink/?linkid=870924
注释:
    Weighted Average Terms for Climate Fund loans based on values from this dataset
Term:        Interest     Term      Grace
Value:        4.96%      14.11       1.00
%Known:   6.19%     29.29%    5.75%</t>
      </text>
    </comment>
    <comment ref="E104" authorId="215" shapeId="0" xr:uid="{60E95916-A140-427F-9685-6FD2A9D24C76}">
      <text>
        <t xml:space="preserve">[线程批注]
你的Excel版本可读取此线程批注; 但如果在更新版本的Excel中打开文件，则对批注所作的任何改动都将被删除。了解详细信息: https://go.microsoft.com/fwlink/?linkid=870924
注释:
    Committed in 2015, Renewed in 2018
https://www.fmo.nl/project-detail/45122
Page 81
https://ktdateas.com/wp-content/uploads/2021/02/Annual-report.pdf </t>
      </text>
    </comment>
    <comment ref="K104" authorId="216" shapeId="0" xr:uid="{4A6FEB22-F6A5-442D-AD5A-50E9016E313E}">
      <text>
        <t xml:space="preserve">[线程批注]
你的Excel版本可读取此线程批注; 但如果在更新版本的Excel中打开文件，则对批注所作的任何改动都将被删除。了解详细信息: https://go.microsoft.com/fwlink/?linkid=870924
注释:
    $15M divided into 2 tranches 
https://www.fmo.nl/project-detail/45122
Tranches reported in:
Page 81
https://ktdateas.com/wp-content/uploads/2021/02/Annual-report.pdf </t>
      </text>
    </comment>
    <comment ref="P104" authorId="217" shapeId="0" xr:uid="{154BFF2A-8CC1-4C94-834C-D0C6CD82659F}">
      <text>
        <t xml:space="preserve">[线程批注]
你的Excel版本可读取此线程批注; 但如果在更新版本的Excel中打开文件，则对批注所作的任何改动都将被删除。了解详细信息: https://go.microsoft.com/fwlink/?linkid=870924
注释:
    New FMO Trench with no corporate guarantee has interest rate of 4.55% + 6 month Libor
Page 81
https://ktdateas.com/wp-content/uploads/2021/02/Annual-report.pdf </t>
      </text>
    </comment>
    <comment ref="Q104" authorId="218" shapeId="0" xr:uid="{0038436D-B93D-4D09-BE3A-FDBAE92B2C84}">
      <text>
        <t>[线程批注]
你的Excel版本可读取此线程批注; 但如果在更新版本的Excel中打开文件，则对批注所作的任何改动都将被删除。了解详细信息: https://go.microsoft.com/fwlink/?linkid=870924
注释:
    Loan term outlined in:
https://ktdateas.com/wp-content/uploads/2021/02/Annual-report.pdf</t>
      </text>
    </comment>
    <comment ref="S104" authorId="219" shapeId="0" xr:uid="{8856FFAF-1542-4035-BAC7-E870CF8B31A6}">
      <text>
        <t>[线程批注]
你的Excel版本可读取此线程批注; 但如果在更新版本的Excel中打开文件，则对批注所作的任何改动都将被删除。了解详细信息: https://go.microsoft.com/fwlink/?linkid=870924
注释:
    Weighted Average Terms for Bilateral Agency loans based on values from this dataset
Term:        Interest     Term      Grace
Value:        2.53%      18.85       6.39
%Known:  44.13%    55.73%   44.84%</t>
      </text>
    </comment>
    <comment ref="K105" authorId="220" shapeId="0" xr:uid="{D016D12A-F354-41D8-A379-ED94A063924F}">
      <text>
        <t xml:space="preserve">[线程批注]
你的Excel版本可读取此线程批注; 但如果在更新版本的Excel中打开文件，则对批注所作的任何改动都将被删除。了解详细信息: https://go.microsoft.com/fwlink/?linkid=870924
注释:
    $15M divided into 2 tranches 
https://www.fmo.nl/project-detail/45122
Tranches reported in:
Page 81
https://ktdateas.com/wp-content/uploads/2021/02/Annual-report.pdf </t>
      </text>
    </comment>
    <comment ref="P105" authorId="221" shapeId="0" xr:uid="{8CD4874C-B19D-455D-BBB9-6ECF27A8AF3D}">
      <text>
        <t>[线程批注]
你的Excel版本可读取此线程批注; 但如果在更新版本的Excel中打开文件，则对批注所作的任何改动都将被删除。了解详细信息: https://go.microsoft.com/fwlink/?linkid=870924
注释:
     FMO Massif trench has reported interest rates of 3.75% + 6  month Libor
Page 81
https://ktdateas.com/wp-content/uploads/2021/02/Annual-report.pdf</t>
      </text>
    </comment>
    <comment ref="Q105" authorId="222" shapeId="0" xr:uid="{E399DA10-19CE-44AD-B619-FFA3999346B6}">
      <text>
        <t>[线程批注]
你的Excel版本可读取此线程批注; 但如果在更新版本的Excel中打开文件，则对批注所作的任何改动都将被删除。了解详细信息: https://go.microsoft.com/fwlink/?linkid=870924
注释:
    Loan term outlined in:
https://ktdateas.com/wp-content/uploads/2021/02/Annual-report.pdf</t>
      </text>
    </comment>
    <comment ref="S105" authorId="223" shapeId="0" xr:uid="{D4C27857-2BFA-4616-9674-296539364385}">
      <text>
        <t>[线程批注]
你的Excel版本可读取此线程批注; 但如果在更新版本的Excel中打开文件，则对批注所作的任何改动都将被删除。了解详细信息: https://go.microsoft.com/fwlink/?linkid=870924
注释:
    Weighted Average Terms for Bilateral Agency loans based on values from this dataset
Term:        Interest     Term      Grace
Value:        2.53%      18.85       6.39
%Known:  44.13%    55.73%   44.84%</t>
      </text>
    </comment>
    <comment ref="K106" authorId="224" shapeId="0" xr:uid="{C19C4CA6-43F3-46A4-A8D9-A23349DC192F}">
      <text>
        <t>[线程批注]
你的Excel版本可读取此线程批注; 但如果在更新版本的Excel中打开文件，则对批注所作的任何改动都将被删除。了解详细信息: https://go.microsoft.com/fwlink/?linkid=870924
注释:
    Based on Total Project Cost and percentage Equity reported by FMO 
https://www.fmo.nl/project-detail/45122</t>
      </text>
    </comment>
    <comment ref="P106" authorId="225" shapeId="0" xr:uid="{44F5D0A3-0B0F-4304-B462-609780E218B7}">
      <text>
        <t>[线程批注]
你的Excel版本可读取此线程批注; 但如果在更新版本的Excel中打开文件，则对批注所作的任何改动都将被删除。了解详细信息: https://go.microsoft.com/fwlink/?linkid=870924
注释:
    Private Equity Rate of Return from
https://core.ac.uk/download/pdf/43542198.pdf</t>
      </text>
    </comment>
    <comment ref="Q106" authorId="226" shapeId="0" xr:uid="{C75A58D1-0F5B-4DAC-8BC0-8362EA4FFF9A}">
      <text>
        <t xml:space="preserve">[线程批注]
你的Excel版本可读取此线程批注; 但如果在更新版本的Excel中打开文件，则对批注所作的任何改动都将被删除。了解详细信息: https://go.microsoft.com/fwlink/?linkid=870924
注释:
    Based on Life-span of small-hydro 
50 years according to:
https://www.sciencedirect.com/science/article/pii/S2352340922002323
Lucy Allington, Carla Cannone, Ioannis Pappis, Karla Cervantes Barron, Will Usher, Steve Pye, Edward Brown, Mark Howells, Miriam Zachau Walker, Aniq Ahsan, Flora Charbonnier, Claire Halloran, Stephanie Hirmer, Jennifer Cronin, Constantinos Taliotis, Caroline Sundin, Vignesh Sridharan, Eunice Ramos, Maarten Brinkerink, Paul Deane, Andrii Gritsevskyi, Gustavo Moura, Arnaud Rouget, David Wogan, Edito Barcelona, Taco Niet, Holger Rogner, Franziska Bock, Jairo Quirós-Tortós, Jam Angulo-Paniagua, Satheesh Krishnamurthy, John Harrison, Long Seng To,
Selected ‘Starter kit’ energy system modelling data for selected countries in Africa, East Asia, and South America (#CCG, 2021),
Data in Brief,
Volume 42,
2022,
108021,
ISSN 2352-3409,
https://doi.org/10.1016/j.dib.2022.108021.
 </t>
      </text>
    </comment>
    <comment ref="K107" authorId="227" shapeId="0" xr:uid="{557866DA-84CB-488C-8013-6E114C5E709E}">
      <text>
        <t>[线程批注]
你的Excel版本可读取此线程批注; 但如果在更新版本的Excel中打开文件，则对批注所作的任何改动都将被删除。了解详细信息: https://go.microsoft.com/fwlink/?linkid=870924
注释:
    IFC investment of $12.5M
https://disclosures.ifc.org/project-detail/SII/36402/ktda-small-hydro</t>
      </text>
    </comment>
    <comment ref="P107" authorId="228" shapeId="0" xr:uid="{96E04147-0635-4C2E-9A07-4B33E45ED22C}">
      <text>
        <t>[线程批注]
你的Excel版本可读取此线程批注; 但如果在更新版本的Excel中打开文件，则对批注所作的任何改动都将被删除。了解详细信息: https://go.microsoft.com/fwlink/?linkid=870924
注释:
    Based on Terms outlined for IFC (including GAFSP) Loan of 3.5% + 6-month Libor
Page 81
https://ktdateas.com/wp-content/uploads/2021/02/Annual-report.pdf</t>
      </text>
    </comment>
    <comment ref="Q107" authorId="229" shapeId="0" xr:uid="{8FC617C2-A4B3-44C6-876C-C4CE2397CC45}">
      <text>
        <t>[线程批注]
你的Excel版本可读取此线程批注; 但如果在更新版本的Excel中打开文件，则对批注所作的任何改动都将被删除。了解详细信息: https://go.microsoft.com/fwlink/?linkid=870924
注释:
    Loan term outlined in:
https://ktdateas.com/wp-content/uploads/2021/02/Annual-report.pdf</t>
      </text>
    </comment>
    <comment ref="S107" authorId="230" shapeId="0" xr:uid="{73A4CD48-626F-4586-A8C5-20ADE6B518E4}">
      <text>
        <t>[线程批注]
你的Excel版本可读取此线程批注; 但如果在更新版本的Excel中打开文件，则对批注所作的任何改动都将被删除。了解详细信息: https://go.microsoft.com/fwlink/?linkid=870924
注释:
    Weighted Average Terms for World Bank loans based on values from this dataset
Term:        Interest     Term      Grace
Value:        2.80%      30.80       6.52
%Known:  44.81%    49.09%   48.25%</t>
      </text>
    </comment>
    <comment ref="K108" authorId="231" shapeId="0" xr:uid="{A9F856EB-D60C-49B0-A418-BFF705472606}">
      <text>
        <t>[线程批注]
你的Excel版本可读取此线程批注; 但如果在更新版本的Excel中打开文件，则对批注所作的任何改动都将被删除。了解详细信息: https://go.microsoft.com/fwlink/?linkid=870924
注释:
    Standard Bank - Commercial Loan
Kwale Sugar plantation Snapshots - Private Participation in Infrastructure (PPI) - World Bank Group</t>
      </text>
    </comment>
    <comment ref="P108" authorId="232" shapeId="0" xr:uid="{0E7F4119-BA3D-49E4-B6E1-D6B05BEAEA36}">
      <text>
        <t xml:space="preserve">[线程批注]
你的Excel版本可读取此线程批注; 但如果在更新版本的Excel中打开文件，则对批注所作的任何改动都将被删除。了解详细信息: https://go.microsoft.com/fwlink/?linkid=870924
注释:
    Weighted Average Terms for Commercial Bank loans based on values from this dataset
Term:        Interest     Term      Grace
Value:        8.03%      15.00       1.50
%Known:  27.11%    27.11%   27.11%
 </t>
      </text>
    </comment>
    <comment ref="Q108" authorId="233" shapeId="0" xr:uid="{D6740F0F-A172-4ECB-92FA-6E7257FD7DAD}">
      <text>
        <t>[线程批注]
你的Excel版本可读取此线程批注; 但如果在更新版本的Excel中打开文件，则对批注所作的任何改动都将被删除。了解详细信息: https://go.microsoft.com/fwlink/?linkid=870924
注释:
    Weighted Average Terms for Commercial Bank loans based on values from this dataset
Term:        Interest     Term      Grace
Value:        8.03%      15.00       1.50
%Known:  27.11%    27.11%   27.11%</t>
      </text>
    </comment>
    <comment ref="S108" authorId="234" shapeId="0" xr:uid="{673BAE04-1D75-4691-8567-8B50BD9236E2}">
      <text>
        <t>[线程批注]
你的Excel版本可读取此线程批注; 但如果在更新版本的Excel中打开文件，则对批注所作的任何改动都将被删除。了解详细信息: https://go.microsoft.com/fwlink/?linkid=870924
注释:
    Weighted Average Terms for Commercial Bank loans based on values from this dataset
Term:        Interest     Term      Grace
Value:        8.03%      15.00       1.50
%Known:  27.11%    27.11%   27.11%</t>
      </text>
    </comment>
    <comment ref="K109" authorId="235" shapeId="0" xr:uid="{19C5B3E6-53C1-4BA8-B9C4-669E09B2AE78}">
      <text>
        <t>[线程批注]
你的Excel版本可读取此线程批注; 但如果在更新版本的Excel中打开文件，则对批注所作的任何改动都将被删除。了解详细信息: https://go.microsoft.com/fwlink/?linkid=870924
注释:
    PTA Bank - Commercial Loan
Kwale Sugar plantation Snapshots - Private Participation in Infrastructure (PPI) - World Bank Group</t>
      </text>
    </comment>
    <comment ref="P109" authorId="236" shapeId="0" xr:uid="{AF3E20CD-2DA2-45CB-8320-82C97DFCAAC0}">
      <text>
        <t>[线程批注]
你的Excel版本可读取此线程批注; 但如果在更新版本的Excel中打开文件，则对批注所作的任何改动都将被删除。了解详细信息: https://go.microsoft.com/fwlink/?linkid=870924
注释:
    Weighted Average Terms for Multilateral Agency loans based on values from this dataset
Term:        Interest     Term      Grace
Value:        2.39%      33.67       6.96
%Known:  46.21%    52.38%   44.87%</t>
      </text>
    </comment>
    <comment ref="Q109" authorId="237" shapeId="0" xr:uid="{646845DC-B604-4D50-8692-06544D37E8A9}">
      <text>
        <t>[线程批注]
你的Excel版本可读取此线程批注; 但如果在更新版本的Excel中打开文件，则对批注所作的任何改动都将被删除。了解详细信息: https://go.microsoft.com/fwlink/?linkid=870924
注释:
    Weighted Average Terms for Multilateral Agency loans based on values from this dataset
Term:        Interest     Term      Grace
Value:        2.39%      33.67       6.96
%Known:  46.21%    52.38%   44.87%</t>
      </text>
    </comment>
    <comment ref="S109" authorId="238" shapeId="0" xr:uid="{EE5FB917-395F-406E-AC79-93E5ABC0BF2F}">
      <text>
        <t>[线程批注]
你的Excel版本可读取此线程批注; 但如果在更新版本的Excel中打开文件，则对批注所作的任何改动都将被删除。了解详细信息: https://go.microsoft.com/fwlink/?linkid=870924
注释:
    Weighted Average Terms for Multilateral Agency loans based on values from this dataset
Term:        Interest     Term      Grace
Value:        2.39%      33.67       6.96
%Known:  46.21%    52.38%   44.87%</t>
      </text>
    </comment>
    <comment ref="K110" authorId="239" shapeId="0" xr:uid="{C60F57A1-604A-41C1-863A-B2DE458424C3}">
      <text>
        <t>[线程批注]
你的Excel版本可读取此线程批注; 但如果在更新版本的Excel中打开文件，则对批注所作的任何改动都将被删除。了解详细信息: https://go.microsoft.com/fwlink/?linkid=870924
注释:
    Pabari Family Investment Trusts - 75% of Equity Financing (Total $80 Million)
Kwale Sugar plantation Snapshots - Private Participation in Infrastructure (PPI) - World Bank Group</t>
      </text>
    </comment>
    <comment ref="Q110" authorId="240" shapeId="0" xr:uid="{00D4B803-15F5-40F5-92A1-BE3C58BE5090}">
      <text>
        <t>[线程批注]
你的Excel版本可读取此线程批注; 但如果在更新版本的Excel中打开文件，则对批注所作的任何改动都将被删除。了解详细信息: https://go.microsoft.com/fwlink/?linkid=870924
注释:
    Based on Life-span of Biomass Power Plants in Africa 
30 years according to:
https://www.sciencedirect.com/science/article/pii/S2352340922002323
Lucy Allington, Carla Cannone, Ioannis Pappis, Karla Cervantes Barron, Will Usher, Steve Pye, Edward Brown, Mark Howells, Miriam Zachau Walker, Aniq Ahsan, Flora Charbonnier, Claire Halloran, Stephanie Hirmer, Jennifer Cronin, Constantinos Taliotis, Caroline Sundin, Vignesh Sridharan, Eunice Ramos, Maarten Brinkerink, Paul Deane, Andrii Gritsevskyi, Gustavo Moura, Arnaud Rouget, David Wogan, Edito Barcelona, Taco Niet, Holger Rogner, Franziska Bock, Jairo Quirós-Tortós, Jam Angulo-Paniagua, Satheesh Krishnamurthy, John Harrison, Long Seng To,
Selected ‘Starter kit’ energy system modelling data for selected countries in Africa, East Asia, and South America (#CCG, 2021),
Data in Brief,
Volume 42,
2022,
108021,
ISSN 2352-3409,
https://doi.org/10.1016/j.dib.2022.108021.</t>
      </text>
    </comment>
    <comment ref="K111" authorId="241" shapeId="0" xr:uid="{2FC10AA5-3E69-42F8-A9C8-DB0820267353}">
      <text>
        <t>[线程批注]
你的Excel版本可读取此线程批注; 但如果在更新版本的Excel中打开文件，则对批注所作的任何改动都将被删除。了解详细信息: https://go.microsoft.com/fwlink/?linkid=870924
注释:
    Omnicane Holdings 25% of Equity Financing (Total $80 Million)
https://www.reuters.com/article/mauritius-omnicane-kenya-idUKL5E8NJ11A20121219</t>
      </text>
    </comment>
    <comment ref="Q111" authorId="242" shapeId="0" xr:uid="{C1BDC85B-D913-4F6E-B87D-65A34EE3A0E3}">
      <text>
        <t>[线程批注]
你的Excel版本可读取此线程批注; 但如果在更新版本的Excel中打开文件，则对批注所作的任何改动都将被删除。了解详细信息: https://go.microsoft.com/fwlink/?linkid=870924
注释:
    Based on Life-span of Biomass Power Plants in Africa 
30 years according to:
https://www.sciencedirect.com/science/article/pii/S2352340922002323
Lucy Allington, Carla Cannone, Ioannis Pappis, Karla Cervantes Barron, Will Usher, Steve Pye, Edward Brown, Mark Howells, Miriam Zachau Walker, Aniq Ahsan, Flora Charbonnier, Claire Halloran, Stephanie Hirmer, Jennifer Cronin, Constantinos Taliotis, Caroline Sundin, Vignesh Sridharan, Eunice Ramos, Maarten Brinkerink, Paul Deane, Andrii Gritsevskyi, Gustavo Moura, Arnaud Rouget, David Wogan, Edito Barcelona, Taco Niet, Holger Rogner, Franziska Bock, Jairo Quirós-Tortós, Jam Angulo-Paniagua, Satheesh Krishnamurthy, John Harrison, Long Seng To,
Selected ‘Starter kit’ energy system modelling data for selected countries in Africa, East Asia, and South America (#CCG, 2021),
Data in Brief,
Volume 42,
2022,
108021,
ISSN 2352-3409,
https://doi.org/10.1016/j.dib.2022.108021.</t>
      </text>
    </comment>
    <comment ref="B112" authorId="243" shapeId="0" xr:uid="{829B2AAD-5026-4A70-B058-35061C7A4BF8}">
      <text>
        <t>[线程批注]
你的Excel版本可读取此线程批注; 但如果在更新版本的Excel中打开文件，则对批注所作的任何改动都将被删除。了解详细信息: https://go.microsoft.com/fwlink/?linkid=870924
注释:
    Possibly Deutsche Bank According to:
Page 21 (PDF Page 25) 
http://www.parliament.go.ke/sites/default/files/2021-08/Special%20Audit%20Report%20of%20the%20Auditor%20General%20on%20Lake%20Turkana%20Wind%20Power%20Project.pdf
答复:
    But reported as Spanish Government Credit by US Dep. Commerce Report:
Page 43 (PDF Page 44)
https://cldp.doc.gov/sites/default/files/2021-10/Understanding_Transmission_Financing.pdf</t>
      </text>
    </comment>
    <comment ref="E112" authorId="244" shapeId="0" xr:uid="{31379B17-EF1C-4027-8ABD-C48DBA66DA7C}">
      <text>
        <t>[线程批注]
你的Excel版本可读取此线程批注; 但如果在更新版本的Excel中打开文件，则对批注所作的任何改动都将被删除。了解详细信息: https://go.microsoft.com/fwlink/?linkid=870924
注释:
    2013 for Deutsche Bank according to 
Page 21 (PDF Page 25)
http://www.parliament.go.ke/sites/default/files/2021-08/Special%20Audit%20Report%20of%20the%20Auditor%20General%20on%20Lake%20Turkana%20Wind%20Power%20Project.pdf</t>
      </text>
    </comment>
    <comment ref="K112" authorId="245" shapeId="0" xr:uid="{0DB3EA94-94C3-4963-9B36-DDE481712F9F}">
      <text>
        <t xml:space="preserve">[线程批注]
你的Excel版本可读取此线程批注; 但如果在更新版本的Excel中打开文件，则对批注所作的任何改动都将被删除。了解详细信息: https://go.microsoft.com/fwlink/?linkid=870924
注释:
    EUR 55 Million Commercial Credit from Spanish ECA (Using average 2012 Exchange Rate)
Page 43 (PDF Page 44)
https://cldp.doc.gov/sites/default/files/2021-10/Understanding_Transmission_Financing.pdf </t>
      </text>
    </comment>
    <comment ref="P112" authorId="246" shapeId="0" xr:uid="{58AD57AB-8874-4B42-925C-F18599E66F55}">
      <text>
        <t>[线程批注]
你的Excel版本可读取此线程批注; 但如果在更新版本的Excel中打开文件，则对批注所作的任何改动都将被删除。了解详细信息: https://go.microsoft.com/fwlink/?linkid=870924
注释:
    Weighted Average Terms for Foreign Gov. loans based on values from this dataset
Term:        Interest     Term      Grace
Value:        0.47%      27.43       11.48
%Known:  60.19%    60.19%   60.19%</t>
      </text>
    </comment>
    <comment ref="Q112" authorId="247" shapeId="0" xr:uid="{556DC596-FCF1-42EC-943B-2DBE0EA09474}">
      <text>
        <t>[线程批注]
你的Excel版本可读取此线程批注; 但如果在更新版本的Excel中打开文件，则对批注所作的任何改动都将被删除。了解详细信息: https://go.microsoft.com/fwlink/?linkid=870924
注释:
    Weighted Average Terms for Foreign Gov. loans based on values from this dataset
Term:        Interest     Term      Grace
Value:        0.47%      27.43       11.48
%Known:  60.19%    60.19%   60.19%</t>
      </text>
    </comment>
    <comment ref="S112" authorId="248" shapeId="0" xr:uid="{7E138641-E037-4E68-BC15-D89B5120AC31}">
      <text>
        <t>[线程批注]
你的Excel版本可读取此线程批注; 但如果在更新版本的Excel中打开文件，则对批注所作的任何改动都将被删除。了解详细信息: https://go.microsoft.com/fwlink/?linkid=870924
注释:
    Weighted Average Terms for Foreign Gov. loans based on values from this dataset
Term:        Interest     Term      Grace
Value:        0.47%      27.43       11.48
%Known:  60.19%    60.19%   60.19%</t>
      </text>
    </comment>
    <comment ref="K113" authorId="249" shapeId="0" xr:uid="{FBEF525E-03DE-43D2-A08D-F1DE9855394B}">
      <text>
        <t>[线程批注]
你的Excel版本可读取此线程批注; 但如果在更新版本的Excel中打开文件，则对批注所作的任何改动都将被删除。了解详细信息: https://go.microsoft.com/fwlink/?linkid=870924
注释:
    EUR 55 Million concessional loan from Spanish Government for 30 years (Using average 2013 Exchange Rate)
Page 43 (PDF Page 44)
https://cldp.doc.gov/sites/default/files/2021-10/Understanding_Transmission_Financing.pdf</t>
      </text>
    </comment>
    <comment ref="K114" authorId="250" shapeId="0" xr:uid="{F150310F-0901-4B41-A620-D5FC86562307}">
      <text>
        <t>[线程批注]
你的Excel版本可读取此线程批注; 但如果在更新版本的Excel中打开文件，则对批注所作的任何改动都将被删除。了解详细信息: https://go.microsoft.com/fwlink/?linkid=870924
注释:
    GoK Contribution of EUR 32.038M
Calculated using average USD:EUR Exchange rate for 2012) 
Page 71 (PDF Page 75)
http://www.parliament.go.ke/sites/default/files/2021-08/Special%20Audit%20Report%20of%20the%20Auditor%20General%20on%20Lake%20Turkana%20Wind%20Power%20Project.pdf</t>
      </text>
    </comment>
    <comment ref="P114" authorId="251" shapeId="0" xr:uid="{5DC2D406-82F1-4D8B-A45D-22BABF0B9272}">
      <text>
        <t>[线程批注]
你的Excel版本可读取此线程批注; 但如果在更新版本的Excel中打开文件，则对批注所作的任何改动都将被删除。了解详细信息: https://go.microsoft.com/fwlink/?linkid=870924
注释:
    Based on average ROE for KPLC between 2004-2009 as reported in 
Page 143 (PDF Page 155)
https://documents1.worldbank.org/curated/en/155911468273019836/pdf/541470PAD0P1031ly10IDA1R20101013511.pdf</t>
      </text>
    </comment>
    <comment ref="K115" authorId="252" shapeId="0" xr:uid="{26B3385B-099C-40B9-B5AD-3FB09CA6B038}">
      <text>
        <t xml:space="preserve">[线程批注]
你的Excel版本可读取此线程批注; 但如果在更新版本的Excel中打开文件，则对批注所作的任何改动都将被删除。了解详细信息: https://go.microsoft.com/fwlink/?linkid=870924
注释:
    Additional Financing from GoK budget following bankruptcy of Spanish EPC contractor
https://cldp.doc.gov/sites/default/files/2021-10/Understanding_Transmission_Financing.pdf </t>
      </text>
    </comment>
    <comment ref="P115" authorId="253" shapeId="0" xr:uid="{3E2182DD-89ED-46A2-97E0-8D50A19FE81E}">
      <text>
        <t>[线程批注]
你的Excel版本可读取此线程批注; 但如果在更新版本的Excel中打开文件，则对批注所作的任何改动都将被删除。了解详细信息: https://go.microsoft.com/fwlink/?linkid=870924
注释:
    Based on average ROE for KPLC between 2004-2009 as reported in 
Page 143 (PDF Page 155)
https://documents1.worldbank.org/curated/en/155911468273019836/pdf/541470PAD0P1031ly10IDA1R20101013511.pdf</t>
      </text>
    </comment>
    <comment ref="K116" authorId="254" shapeId="0" xr:uid="{4573F2B1-5BA3-469C-A4F7-DB3C9233EBE0}">
      <text>
        <t xml:space="preserve">[线程批注]
你的Excel版本可读取此线程批注; 但如果在更新版本的Excel中打开文件，则对批注所作的任何改动都将被删除。了解详细信息: https://go.microsoft.com/fwlink/?linkid=870924
注释:
    Breakdown of LTWP Financing:
Page 27 (PDF Page 37):
https://ppp.worldbank.org/public-private-partnership/sites/ppp.worldbank.org/files/2022-02/DFID_-_Mobilising_Finance_for_Infrastructure_-_Kenya_Case_Study_%282015%29.pdf 
</t>
      </text>
    </comment>
    <comment ref="P116" authorId="255" shapeId="0" xr:uid="{C504600B-257F-4120-A61A-4621A7B5C474}">
      <text>
        <t>[线程批注]
你的Excel版本可读取此线程批注; 但如果在更新版本的Excel中打开文件，则对批注所作的任何改动都将被删除。了解详细信息: https://go.microsoft.com/fwlink/?linkid=870924
注释:
    Weighted Average Terms for Bilateral Agency loans based on values from this dataset
Term:        Interest     Term      Grace
Value:        2.53%      18.85       6.39
%Known:  44.13%    55.73%   44.84%</t>
      </text>
    </comment>
    <comment ref="Q116" authorId="256" shapeId="0" xr:uid="{FCBAAD1A-B600-40ED-ACEB-741E2655E8F7}">
      <text>
        <t>[线程批注]
你的Excel版本可读取此线程批注; 但如果在更新版本的Excel中打开文件，则对批注所作的任何改动都将被删除。了解详细信息: https://go.microsoft.com/fwlink/?linkid=870924
注释:
    Weighted Average Terms for Bilateral Agency loans based on values from this dataset
Term:        Interest     Term      Grace
Value:        2.53%      18.85       6.39
%Known:  44.13%    55.73%   44.84%</t>
      </text>
    </comment>
    <comment ref="S116" authorId="257" shapeId="0" xr:uid="{2455E496-A84D-4AAC-B57B-B5D01ED9C4AA}">
      <text>
        <t>[线程批注]
你的Excel版本可读取此线程批注; 但如果在更新版本的Excel中打开文件，则对批注所作的任何改动都将被删除。了解详细信息: https://go.microsoft.com/fwlink/?linkid=870924
注释:
    Weighted Average Terms for Bilateral Agency loans based on values from this dataset
Term:        Interest     Term      Grace
Value:        2.53%      18.85       6.39
%Known:  44.13%    55.73%   44.84%</t>
      </text>
    </comment>
    <comment ref="P117" authorId="258" shapeId="0" xr:uid="{AC3657B9-624C-4C15-AC8D-5D350C20DD49}">
      <text>
        <t>[线程批注]
你的Excel版本可读取此线程批注; 但如果在更新版本的Excel中打开文件，则对批注所作的任何改动都将被删除。了解详细信息: https://go.microsoft.com/fwlink/?linkid=870924
注释:
    Weighted Average Terms for AfDB loans based on values from this dataset
Term:        Interest     Term      Grace
Value:        0.82%      38.30       7.92
%Known:  61.98%    77.38%   77.38%</t>
      </text>
    </comment>
    <comment ref="Q117" authorId="259" shapeId="0" xr:uid="{E6ED83ED-1189-4E79-A74F-15EE90011C4D}">
      <text>
        <t>[线程批注]
你的Excel版本可读取此线程批注; 但如果在更新版本的Excel中打开文件，则对批注所作的任何改动都将被删除。了解详细信息: https://go.microsoft.com/fwlink/?linkid=870924
注释:
    Weighted Average Terms for AfDB loans based on values from this dataset
Term:        Interest     Term      Grace
Value:        0.82%      38.30       7.92
%Known:  61.98%    77.38%   77.38%</t>
      </text>
    </comment>
    <comment ref="S117" authorId="260" shapeId="0" xr:uid="{944F60E5-8C40-47A5-A195-D6127FA1AF9C}">
      <text>
        <t>[线程批注]
你的Excel版本可读取此线程批注; 但如果在更新版本的Excel中打开文件，则对批注所作的任何改动都将被删除。了解详细信息: https://go.microsoft.com/fwlink/?linkid=870924
注释:
    Weighted Average Terms for AfDB loans based on values from this dataset
Term:        Interest     Term      Grace
Value:        0.82%      38.30       7.92
%Known:  61.98%    77.38%   77.38%</t>
      </text>
    </comment>
    <comment ref="P118" authorId="261" shapeId="0" xr:uid="{34491371-71A4-4C16-B06A-2B3CDD3026DA}">
      <text>
        <t>[线程批注]
你的Excel版本可读取此线程批注; 但如果在更新版本的Excel中打开文件，则对批注所作的任何改动都将被删除。了解详细信息: https://go.microsoft.com/fwlink/?linkid=870924
注释:
    Project specific Equity Rate of Return for Lake Turkana outlined in 
https://core.ac.uk/download/pdf/43542198.pdf
Page 38 (PDF Page 40)</t>
      </text>
    </comment>
    <comment ref="Q118" authorId="262" shapeId="0" xr:uid="{FFF84FA5-D9DB-465A-BE5C-5FB64A0D911A}">
      <text>
        <t>[线程批注]
你的Excel版本可读取此线程批注; 但如果在更新版本的Excel中打开文件，则对批注所作的任何改动都将被删除。了解详细信息: https://go.microsoft.com/fwlink/?linkid=870924
注释:
    Based on Operational Life of On-Shore Wind reported in:
https://www.sciencedirect.com/science/article/pii/S2352340922002323
Lucy Allington, Carla Cannone, Ioannis Pappis, Karla Cervantes Barron, Will Usher, Steve Pye, Edward Brown, Mark Howells, Miriam Zachau Walker, Aniq Ahsan, Flora Charbonnier, Claire Halloran, Stephanie Hirmer, Jennifer Cronin, Constantinos Taliotis, Caroline Sundin, Vignesh Sridharan, Eunice Ramos, Maarten Brinkerink, Paul Deane, Andrii Gritsevskyi, Gustavo Moura, Arnaud Rouget, David Wogan, Edito Barcelona, Taco Niet, Holger Rogner, Franziska Bock, Jairo Quirós-Tortós, Jam Angulo-Paniagua, Satheesh Krishnamurthy, John Harrison, Long Seng To,
Selected ‘Starter kit’ energy system modelling data for selected countries in Africa, East Asia, and South America (#CCG, 2021),
Data in Brief,
Volume 42,
2022,
108021,
ISSN 2352-3409,
https://doi.org/10.1016/j.dib.2022.108021.</t>
      </text>
    </comment>
    <comment ref="P119" authorId="263" shapeId="0" xr:uid="{FBC8743B-5000-49F5-8716-BCFDCB2D4ACF}">
      <text>
        <t>[线程批注]
你的Excel版本可读取此线程批注; 但如果在更新版本的Excel中打开文件，则对批注所作的任何改动都将被删除。了解详细信息: https://go.microsoft.com/fwlink/?linkid=870924
注释:
    Weighted Average Terms for Climate Fund loans based on values from this dataset
Term:        Interest     Term      Grace
Value:        4.96%      14.11       1.00
%Known:   6.19%     29.29%    5.75%</t>
      </text>
    </comment>
    <comment ref="Q119" authorId="264" shapeId="0" xr:uid="{5D393B9F-28F8-4C01-8C33-B92E390E3AFC}">
      <text>
        <t>[线程批注]
你的Excel版本可读取此线程批注; 但如果在更新版本的Excel中打开文件，则对批注所作的任何改动都将被删除。了解详细信息: https://go.microsoft.com/fwlink/?linkid=870924
注释:
    Weighted Average Terms for Climate Fund loans based on values from this dataset
Term:        Interest     Term      Grace
Value:        4.96%      14.11       1.00
%Known:   6.19%     29.29%    5.75%</t>
      </text>
    </comment>
    <comment ref="S119" authorId="265" shapeId="0" xr:uid="{7215CF86-76ED-4EED-964A-2E917D9645F2}">
      <text>
        <t>[线程批注]
你的Excel版本可读取此线程批注; 但如果在更新版本的Excel中打开文件，则对批注所作的任何改动都将被删除。了解详细信息: https://go.microsoft.com/fwlink/?linkid=870924
注释:
    Weighted Average Terms for Climate Fund loans based on values from this dataset
Term:        Interest     Term      Grace
Value:        4.96%      14.11       1.00
%Known:   6.19%     29.29%    5.75%</t>
      </text>
    </comment>
    <comment ref="P120" authorId="266" shapeId="0" xr:uid="{9FC5DFE3-7284-4DC3-806E-CB694924E4F8}">
      <text>
        <t xml:space="preserve">[线程批注]
你的Excel版本可读取此线程批注; 但如果在更新版本的Excel中打开文件，则对批注所作的任何改动都将被删除。了解详细信息: https://go.microsoft.com/fwlink/?linkid=870924
注释:
    Weighted Average Terms for Commercial Bank loans based on values from this dataset
Term:        Interest     Term      Grace
Value:        8.03%      15.00       1.50
%Known:  27.11%    27.11%   27.11%
 </t>
      </text>
    </comment>
    <comment ref="Q120" authorId="267" shapeId="0" xr:uid="{9C24C6D8-8066-4ADA-A79D-34CC93434C5F}">
      <text>
        <t>[线程批注]
你的Excel版本可读取此线程批注; 但如果在更新版本的Excel中打开文件，则对批注所作的任何改动都将被删除。了解详细信息: https://go.microsoft.com/fwlink/?linkid=870924
注释:
    Weighted Average Terms for Commercial Bank loans based on values from this dataset
Term:        Interest     Term      Grace
Value:        8.03%      15.00       1.50
%Known:  27.11%    27.11%   27.11%</t>
      </text>
    </comment>
    <comment ref="S120" authorId="268" shapeId="0" xr:uid="{9A76B132-0A08-4935-B15E-20A6F6AF54DD}">
      <text>
        <t>[线程批注]
你的Excel版本可读取此线程批注; 但如果在更新版本的Excel中打开文件，则对批注所作的任何改动都将被删除。了解详细信息: https://go.microsoft.com/fwlink/?linkid=870924
注释:
    Weighted Average Terms for Commercial Bank loans based on values from this dataset
Term:        Interest     Term      Grace
Value:        8.03%      15.00       1.50
%Known:  27.11%    27.11%   27.11%</t>
      </text>
    </comment>
    <comment ref="P121" authorId="269" shapeId="0" xr:uid="{FAB08857-E835-4F01-9825-C7598FD7C8E2}">
      <text>
        <t xml:space="preserve">[线程批注]
你的Excel版本可读取此线程批注; 但如果在更新版本的Excel中打开文件，则对批注所作的任何改动都将被删除。了解详细信息: https://go.microsoft.com/fwlink/?linkid=870924
注释:
    Weighted Average Terms for Commercial Bank loans based on values from this dataset
Term:        Interest     Term      Grace
Value:        8.03%      15.00       1.50
%Known:  27.11%    27.11%   27.11%
 </t>
      </text>
    </comment>
    <comment ref="Q121" authorId="270" shapeId="0" xr:uid="{E188FD9E-4E81-4130-9D30-243B1D252589}">
      <text>
        <t>[线程批注]
你的Excel版本可读取此线程批注; 但如果在更新版本的Excel中打开文件，则对批注所作的任何改动都将被删除。了解详细信息: https://go.microsoft.com/fwlink/?linkid=870924
注释:
    Weighted Average Terms for Commercial Bank loans based on values from this dataset
Term:        Interest     Term      Grace
Value:        8.03%      15.00       1.50
%Known:  27.11%    27.11%   27.11%</t>
      </text>
    </comment>
    <comment ref="S121" authorId="271" shapeId="0" xr:uid="{F80A9DE3-12BC-4165-8FF1-8CC88839B5A3}">
      <text>
        <t>[线程批注]
你的Excel版本可读取此线程批注; 但如果在更新版本的Excel中打开文件，则对批注所作的任何改动都将被删除。了解详细信息: https://go.microsoft.com/fwlink/?linkid=870924
注释:
    Weighted Average Terms for Commercial Bank loans based on values from this dataset
Term:        Interest     Term      Grace
Value:        8.03%      15.00       1.50
%Known:  27.11%    27.11%   27.11%</t>
      </text>
    </comment>
    <comment ref="P122" authorId="272" shapeId="0" xr:uid="{5B0DDE70-A660-494E-9158-37A735851458}">
      <text>
        <t xml:space="preserve">[线程批注]
你的Excel版本可读取此线程批注; 但如果在更新版本的Excel中打开文件，则对批注所作的任何改动都将被删除。了解详细信息: https://go.microsoft.com/fwlink/?linkid=870924
注释:
    Weighted Average Terms for Commercial Bank loans based on values from this dataset
Term:        Interest     Term      Grace
Value:        8.03%      15.00       1.50
%Known:  27.11%    27.11%   27.11%
 </t>
      </text>
    </comment>
    <comment ref="Q122" authorId="273" shapeId="0" xr:uid="{926D6FAA-C4CA-47F2-8823-F0C74613D6DD}">
      <text>
        <t>[线程批注]
你的Excel版本可读取此线程批注; 但如果在更新版本的Excel中打开文件，则对批注所作的任何改动都将被删除。了解详细信息: https://go.microsoft.com/fwlink/?linkid=870924
注释:
    Weighted Average Terms for Commercial Bank loans based on values from this dataset
Term:        Interest     Term      Grace
Value:        8.03%      15.00       1.50
%Known:  27.11%    27.11%   27.11%</t>
      </text>
    </comment>
    <comment ref="S122" authorId="274" shapeId="0" xr:uid="{4622E3B0-87A2-457E-9F8C-67F101CE219E}">
      <text>
        <t>[线程批注]
你的Excel版本可读取此线程批注; 但如果在更新版本的Excel中打开文件，则对批注所作的任何改动都将被删除。了解详细信息: https://go.microsoft.com/fwlink/?linkid=870924
注释:
    Weighted Average Terms for Commercial Bank loans based on values from this dataset
Term:        Interest     Term      Grace
Value:        8.03%      15.00       1.50
%Known:  27.11%    27.11%   27.11%</t>
      </text>
    </comment>
    <comment ref="P123" authorId="275" shapeId="0" xr:uid="{04FA840A-EBB9-4EF6-A92E-AF5AB2C11AA5}">
      <text>
        <t>[线程批注]
你的Excel版本可读取此线程批注; 但如果在更新版本的Excel中打开文件，则对批注所作的任何改动都将被删除。了解详细信息: https://go.microsoft.com/fwlink/?linkid=870924
注释:
    Weighted Average Terms for Multilateral Agency loans based on values from this dataset
Term:        Interest     Term      Grace
Value:        2.39%      33.67       6.96
%Known:  46.21%    52.38%   44.87%</t>
      </text>
    </comment>
    <comment ref="Q123" authorId="276" shapeId="0" xr:uid="{DD70111C-C283-4D0F-B264-16406EC5E342}">
      <text>
        <t>[线程批注]
你的Excel版本可读取此线程批注; 但如果在更新版本的Excel中打开文件，则对批注所作的任何改动都将被删除。了解详细信息: https://go.microsoft.com/fwlink/?linkid=870924
注释:
    Weighted Average Terms for Multilateral Agency loans based on values from this dataset
Term:        Interest     Term      Grace
Value:        2.39%      33.67       6.96
%Known:  46.21%    52.38%   44.87%</t>
      </text>
    </comment>
    <comment ref="S123" authorId="277" shapeId="0" xr:uid="{5F4BD733-B111-425D-A231-5DCF131B0359}">
      <text>
        <t>[线程批注]
你的Excel版本可读取此线程批注; 但如果在更新版本的Excel中打开文件，则对批注所作的任何改动都将被删除。了解详细信息: https://go.microsoft.com/fwlink/?linkid=870924
注释:
    Weighted Average Terms for Multilateral Agency loans based on values from this dataset
Term:        Interest     Term      Grace
Value:        2.39%      33.67       6.96
%Known:  46.21%    52.38%   44.87%</t>
      </text>
    </comment>
    <comment ref="P124" authorId="278" shapeId="0" xr:uid="{2AA924D4-9F6D-4595-9828-2A06229B4326}">
      <text>
        <t>[线程批注]
你的Excel版本可读取此线程批注; 但如果在更新版本的Excel中打开文件，则对批注所作的任何改动都将被删除。了解详细信息: https://go.microsoft.com/fwlink/?linkid=870924
注释:
    Weighted Average Terms for Foreign Gov. loans based on values from this dataset
Term:        Interest     Term      Grace
Value:        2.41%      23.58       6.54
%Known:  51.96%    66.91%   50.41%</t>
      </text>
    </comment>
    <comment ref="Q124" authorId="279" shapeId="0" xr:uid="{3C858F80-6D19-461B-8CFC-22E15E7C5C87}">
      <text>
        <t>[线程批注]
你的Excel版本可读取此线程批注; 但如果在更新版本的Excel中打开文件，则对批注所作的任何改动都将被删除。了解详细信息: https://go.microsoft.com/fwlink/?linkid=870924
注释:
    Weighted Average Terms for Foreign Gov. loans based on values from this dataset
Term:        Interest     Term      Grace
Value:        2.41%      23.58       6.54
%Known:  51.96%    66.91%   50.41%</t>
      </text>
    </comment>
    <comment ref="S124" authorId="280" shapeId="0" xr:uid="{F5A29E1E-FD46-47BF-A8C7-34726BF7B2CF}">
      <text>
        <t>[线程批注]
你的Excel版本可读取此线程批注; 但如果在更新版本的Excel中打开文件，则对批注所作的任何改动都将被删除。了解详细信息: https://go.microsoft.com/fwlink/?linkid=870924
注释:
    Weighted Average Terms for Foreign Gov. loans based on values from this dataset
Term:        Interest     Term      Grace
Value:        2.41%      23.58       6.54
%Known:  51.96%    66.91%   50.41%</t>
      </text>
    </comment>
    <comment ref="P125" authorId="281" shapeId="0" xr:uid="{161AB9F6-D4F0-48BE-80E3-FF856510FB76}">
      <text>
        <t>[线程批注]
你的Excel版本可读取此线程批注; 但如果在更新版本的Excel中打开文件，则对批注所作的任何改动都将被删除。了解详细信息: https://go.microsoft.com/fwlink/?linkid=870924
注释:
    Project specific Equity Rate of Return for Lake Turkana outlined in 
https://core.ac.uk/download/pdf/43542198.pdf
Page 38 (PDF Page 40)</t>
      </text>
    </comment>
    <comment ref="Q125" authorId="282" shapeId="0" xr:uid="{ABA1FB0E-73FF-4766-BBA7-016946F2C99A}">
      <text>
        <t>[线程批注]
你的Excel版本可读取此线程批注; 但如果在更新版本的Excel中打开文件，则对批注所作的任何改动都将被删除。了解详细信息: https://go.microsoft.com/fwlink/?linkid=870924
注释:
    Based on reported project life-span</t>
      </text>
    </comment>
    <comment ref="P126" authorId="283" shapeId="0" xr:uid="{7C86D285-5A4D-49C3-860E-441740806365}">
      <text>
        <t>[线程批注]
你的Excel版本可读取此线程批注; 但如果在更新版本的Excel中打开文件，则对批注所作的任何改动都将被删除。了解详细信息: https://go.microsoft.com/fwlink/?linkid=870924
注释:
    Project specific Equity Rate of Return for Lake Turkana outlined in 
https://core.ac.uk/download/pdf/43542198.pdf
Page 38 (PDF Page 40)</t>
      </text>
    </comment>
    <comment ref="Q126" authorId="284" shapeId="0" xr:uid="{D8D9D96A-0677-4AB1-9B9D-831E44ACE998}">
      <text>
        <t>[线程批注]
你的Excel版本可读取此线程批注; 但如果在更新版本的Excel中打开文件，则对批注所作的任何改动都将被删除。了解详细信息: https://go.microsoft.com/fwlink/?linkid=870924
注释:
    Based on reported project life-span</t>
      </text>
    </comment>
    <comment ref="G127" authorId="285" shapeId="0" xr:uid="{B5821DB7-6965-48C6-9666-EB48EF96869A}">
      <text>
        <t>[线程批注]
你的Excel版本可读取此线程批注; 但如果在更新版本的Excel中打开文件，则对批注所作的任何改动都将被删除。了解详细信息: https://go.microsoft.com/fwlink/?linkid=870924
注释:
    Mezzanine Loan</t>
      </text>
    </comment>
    <comment ref="P127" authorId="286" shapeId="0" xr:uid="{0D5D4E87-90BF-42A0-AF89-CBCCE89D4477}">
      <text>
        <t>[线程批注]
你的Excel版本可读取此线程批注; 但如果在更新版本的Excel中打开文件，则对批注所作的任何改动都将被删除。了解详细信息: https://go.microsoft.com/fwlink/?linkid=870924
注释:
    Weighted Average Terms for Foreign Gov. loans based on values from this dataset
Term:        Interest     Term      Grace
Value:        2.41%      23.58       6.54
%Known:  51.96%    66.91%   50.41%</t>
      </text>
    </comment>
    <comment ref="Q127" authorId="287" shapeId="0" xr:uid="{22216A3E-10B1-48B3-9E1C-D44BE2EC779F}">
      <text>
        <t>[线程批注]
你的Excel版本可读取此线程批注; 但如果在更新版本的Excel中打开文件，则对批注所作的任何改动都将被删除。了解详细信息: https://go.microsoft.com/fwlink/?linkid=870924
注释:
    Weighted Average Terms for Foreign Gov. loans based on values from this dataset
Term:        Interest     Term      Grace
Value:        2.41%      23.58       6.54
%Known:  51.96%    66.91%   50.41%</t>
      </text>
    </comment>
    <comment ref="S127" authorId="288" shapeId="0" xr:uid="{9F5AECB4-474E-49F1-855B-427A4CC6E3DB}">
      <text>
        <t>[线程批注]
你的Excel版本可读取此线程批注; 但如果在更新版本的Excel中打开文件，则对批注所作的任何改动都将被删除。了解详细信息: https://go.microsoft.com/fwlink/?linkid=870924
注释:
    Weighted Average Terms for Foreign Gov. loans based on values from this dataset
Term:        Interest     Term      Grace
Value:        2.41%      23.58       6.54
%Known:  51.96%    66.91%   50.41%</t>
      </text>
    </comment>
    <comment ref="G128" authorId="289" shapeId="0" xr:uid="{8945827E-5D8B-412D-88D7-72093AAEAFDA}">
      <text>
        <t>[线程批注]
你的Excel版本可读取此线程批注; 但如果在更新版本的Excel中打开文件，则对批注所作的任何改动都将被删除。了解详细信息: https://go.microsoft.com/fwlink/?linkid=870924
注释:
    Mezzanine Loan</t>
      </text>
    </comment>
    <comment ref="P128" authorId="290" shapeId="0" xr:uid="{814F7D2E-E8D7-45F4-BC67-FB60DC178F42}">
      <text>
        <t>[线程批注]
你的Excel版本可读取此线程批注; 但如果在更新版本的Excel中打开文件，则对批注所作的任何改动都将被删除。了解详细信息: https://go.microsoft.com/fwlink/?linkid=870924
注释:
    Weighted Average Terms for Multilateral Agency loans based on values from this dataset
Term:        Interest     Term      Grace
Value:        2.39%      33.67       6.96
%Known:  46.21%    52.38%   44.87%</t>
      </text>
    </comment>
    <comment ref="Q128" authorId="291" shapeId="0" xr:uid="{BA28CF57-CF0E-4AFC-B85E-9B5B217F231B}">
      <text>
        <t>[线程批注]
你的Excel版本可读取此线程批注; 但如果在更新版本的Excel中打开文件，则对批注所作的任何改动都将被删除。了解详细信息: https://go.microsoft.com/fwlink/?linkid=870924
注释:
    Weighted Average Terms for Multilateral Agency loans based on values from this dataset
Term:        Interest     Term      Grace
Value:        2.39%      33.67       6.96
%Known:  46.21%    52.38%   44.87%</t>
      </text>
    </comment>
    <comment ref="S128" authorId="292" shapeId="0" xr:uid="{1F283495-E4CC-4DFC-8A69-93B6859FA970}">
      <text>
        <t>[线程批注]
你的Excel版本可读取此线程批注; 但如果在更新版本的Excel中打开文件，则对批注所作的任何改动都将被删除。了解详细信息: https://go.microsoft.com/fwlink/?linkid=870924
注释:
    Weighted Average Terms for Multilateral Agency loans based on values from this dataset
Term:        Interest     Term      Grace
Value:        2.39%      33.67       6.96
%Known:  46.21%    52.38%   44.87%</t>
      </text>
    </comment>
    <comment ref="I129" authorId="293" shapeId="0" xr:uid="{81B89A17-6262-4B66-A698-5820BE27DC1A}">
      <text>
        <t>[线程批注]
你的Excel版本可读取此线程批注; 但如果在更新版本的Excel中打开文件，则对批注所作的任何改动都将被删除。了解详细信息: https://go.microsoft.com/fwlink/?linkid=870924
注释:
    Owned by South African Private Equity Firm Harith Global Partners Pty Ltd.</t>
      </text>
    </comment>
    <comment ref="P129" authorId="294" shapeId="0" xr:uid="{1F0C13E3-6987-4E10-8884-8DDCE700D66C}">
      <text>
        <t>[线程批注]
你的Excel版本可读取此线程批注; 但如果在更新版本的Excel中打开文件，则对批注所作的任何改动都将被删除。了解详细信息: https://go.microsoft.com/fwlink/?linkid=870924
注释:
    Project specific Equity Rate of Return for Lake Turkana outlined in 
https://core.ac.uk/download/pdf/43542198.pdf
Page 38 (PDF Page 40)</t>
      </text>
    </comment>
    <comment ref="Q129" authorId="295" shapeId="0" xr:uid="{76E88628-AEEF-478D-9426-E1D1EC05C884}">
      <text>
        <t>[线程批注]
你的Excel版本可读取此线程批注; 但如果在更新版本的Excel中打开文件，则对批注所作的任何改动都将被删除。了解详细信息: https://go.microsoft.com/fwlink/?linkid=870924
注释:
    Based on reported project life-span</t>
      </text>
    </comment>
    <comment ref="J130" authorId="296" shapeId="0" xr:uid="{B3C441F0-9E58-4E2F-A5D0-0BDBB10B3EC8}">
      <text>
        <t>[线程批注]
你的Excel版本可读取此线程批注; 但如果在更新版本的Excel中打开文件，则对批注所作的任何改动都将被删除。了解详细信息: https://go.microsoft.com/fwlink/?linkid=870924
注释:
    Registered to the Netherlands
https://www.dnb.com/business-directory/company-profiles.kpp_africa_bv.9ca1f72eeb8eba73dd4a17c0549ff931.html</t>
      </text>
    </comment>
    <comment ref="P130" authorId="297" shapeId="0" xr:uid="{D528502F-C34B-4B52-860F-121A0E337182}">
      <text>
        <t>[线程批注]
你的Excel版本可读取此线程批注; 但如果在更新版本的Excel中打开文件，则对批注所作的任何改动都将被删除。了解详细信息: https://go.microsoft.com/fwlink/?linkid=870924
注释:
    Project specific Equity Rate of Return for Lake Turkana outlined in 
https://core.ac.uk/download/pdf/43542198.pdf
Page 38 (PDF Page 40)</t>
      </text>
    </comment>
    <comment ref="Q130" authorId="298" shapeId="0" xr:uid="{1FD53406-44D3-4DB0-AF59-F24B12CF9474}">
      <text>
        <t>[线程批注]
你的Excel版本可读取此线程批注; 但如果在更新版本的Excel中打开文件，则对批注所作的任何改动都将被删除。了解详细信息: https://go.microsoft.com/fwlink/?linkid=870924
注释:
    Based on reported project life-span</t>
      </text>
    </comment>
    <comment ref="J131" authorId="299" shapeId="0" xr:uid="{0C830841-986C-4301-A844-FF741036DEE1}">
      <text>
        <t>[线程批注]
你的Excel版本可读取此线程批注; 但如果在更新版本的Excel中打开文件，则对批注所作的任何改动都将被删除。了解详细信息: https://go.microsoft.com/fwlink/?linkid=870924
注释:
    Registered in Denmark
https://www.legalentityidentifier.in/leicert/549300DYMC8BGZZC8844/</t>
      </text>
    </comment>
    <comment ref="P131" authorId="300" shapeId="0" xr:uid="{606FA274-2F89-4070-B30D-68A9BB3C06D9}">
      <text>
        <t>[线程批注]
你的Excel版本可读取此线程批注; 但如果在更新版本的Excel中打开文件，则对批注所作的任何改动都将被删除。了解详细信息: https://go.microsoft.com/fwlink/?linkid=870924
注释:
    Project specific Equity Rate of Return for Lake Turkana outlined in 
https://core.ac.uk/download/pdf/43542198.pdf
Page 38 (PDF Page 40)</t>
      </text>
    </comment>
    <comment ref="Q131" authorId="301" shapeId="0" xr:uid="{41130BC4-6887-4FFE-AA34-F4C710B84078}">
      <text>
        <t>[线程批注]
你的Excel版本可读取此线程批注; 但如果在更新版本的Excel中打开文件，则对批注所作的任何改动都将被删除。了解详细信息: https://go.microsoft.com/fwlink/?linkid=870924
注释:
    Based on reported project life-span</t>
      </text>
    </comment>
    <comment ref="P132" authorId="302" shapeId="0" xr:uid="{947FD24D-FFE5-4C47-9A19-C7F283C9D203}">
      <text>
        <t>[线程批注]
你的Excel版本可读取此线程批注; 但如果在更新版本的Excel中打开文件，则对批注所作的任何改动都将被删除。了解详细信息: https://go.microsoft.com/fwlink/?linkid=870924
注释:
    Project specific Equity Rate of Return for Lake Turkana outlined in 
https://core.ac.uk/download/pdf/43542198.pdf
Page 38 (PDF Page 40)</t>
      </text>
    </comment>
    <comment ref="Q132" authorId="303" shapeId="0" xr:uid="{6C97B54B-8375-45BB-B8D8-46A5184BCFF4}">
      <text>
        <t>[线程批注]
你的Excel版本可读取此线程批注; 但如果在更新版本的Excel中打开文件，则对批注所作的任何改动都将被删除。了解详细信息: https://go.microsoft.com/fwlink/?linkid=870924
注释:
    Based on reported project life-span</t>
      </text>
    </comment>
    <comment ref="P133" authorId="304" shapeId="0" xr:uid="{F23A1767-46EB-456E-9E06-D1784AA2CB28}">
      <text>
        <t>[线程批注]
你的Excel版本可读取此线程批注; 但如果在更新版本的Excel中打开文件，则对批注所作的任何改动都将被删除。了解详细信息: https://go.microsoft.com/fwlink/?linkid=870924
注释:
    Weighted Average Terms for Multilateral Agency loans based on values from this dataset
Term:        Interest     Term      Grace
Value:        2.39%      33.67       6.96
%Known:  46.21%    52.38%   44.87%</t>
      </text>
    </comment>
    <comment ref="Q133" authorId="305" shapeId="0" xr:uid="{126E00DB-F87B-447A-95A0-85FA3ED21ACE}">
      <text>
        <t>[线程批注]
你的Excel版本可读取此线程批注; 但如果在更新版本的Excel中打开文件，则对批注所作的任何改动都将被删除。了解详细信息: https://go.microsoft.com/fwlink/?linkid=870924
注释:
    Weighted Average Terms for Multilateral Agency loans based on values from this dataset
Term:        Interest     Term      Grace
Value:        2.39%      33.67       6.96
%Known:  46.21%    52.38%   44.87%</t>
      </text>
    </comment>
    <comment ref="S133" authorId="306" shapeId="0" xr:uid="{AF93D821-7EFC-4C99-A995-A361606A734A}">
      <text>
        <t>[线程批注]
你的Excel版本可读取此线程批注; 但如果在更新版本的Excel中打开文件，则对批注所作的任何改动都将被删除。了解详细信息: https://go.microsoft.com/fwlink/?linkid=870924
注释:
    Weighted Average Terms for Multilateral Agency loans based on values from this dataset
Term:        Interest     Term      Grace
Value:        2.39%      33.67       6.96
%Known:  46.21%    52.38%   44.87%</t>
      </text>
    </comment>
    <comment ref="G134" authorId="307" shapeId="0" xr:uid="{6B201991-B29B-4852-8940-09232B87A2C7}">
      <text>
        <t>[线程批注]
你的Excel版本可读取此线程批注; 但如果在更新版本的Excel中打开文件，则对批注所作的任何改动都将被删除。了解详细信息: https://go.microsoft.com/fwlink/?linkid=870924
注释:
    Mezzanine Loan</t>
      </text>
    </comment>
    <comment ref="P134" authorId="308" shapeId="0" xr:uid="{842CB8F0-8753-4AE8-B40D-F94D9C0FE78B}">
      <text>
        <t>[线程批注]
你的Excel版本可读取此线程批注; 但如果在更新版本的Excel中打开文件，则对批注所作的任何改动都将被删除。了解详细信息: https://go.microsoft.com/fwlink/?linkid=870924
注释:
    Weighted Average Terms for Multilateral Agency loans based on values from this dataset
Term:        Interest     Term      Grace
Value:        2.39%      33.67       6.96
%Known:  46.21%    52.38%   44.87%</t>
      </text>
    </comment>
    <comment ref="Q134" authorId="309" shapeId="0" xr:uid="{495CF109-B752-45E3-8994-7E1252B1F7B0}">
      <text>
        <t>[线程批注]
你的Excel版本可读取此线程批注; 但如果在更新版本的Excel中打开文件，则对批注所作的任何改动都将被删除。了解详细信息: https://go.microsoft.com/fwlink/?linkid=870924
注释:
    Weighted Average Terms for Multilateral Agency loans based on values from this dataset
Term:        Interest     Term      Grace
Value:        2.39%      33.67       6.96
%Known:  46.21%    52.38%   44.87%</t>
      </text>
    </comment>
    <comment ref="S134" authorId="310" shapeId="0" xr:uid="{D43CA826-5A86-40D8-8D07-56E7C5273CBF}">
      <text>
        <t>[线程批注]
你的Excel版本可读取此线程批注; 但如果在更新版本的Excel中打开文件，则对批注所作的任何改动都将被删除。了解详细信息: https://go.microsoft.com/fwlink/?linkid=870924
注释:
    Weighted Average Terms for Multilateral Agency loans based on values from this dataset
Term:        Interest     Term      Grace
Value:        2.39%      33.67       6.96
%Known:  46.21%    52.38%   44.87%</t>
      </text>
    </comment>
    <comment ref="G135" authorId="311" shapeId="0" xr:uid="{D585CC85-F873-40DC-BD54-84AB44DDB4F9}">
      <text>
        <t>[线程批注]
你的Excel版本可读取此线程批注; 但如果在更新版本的Excel中打开文件，则对批注所作的任何改动都将被删除。了解详细信息: https://go.microsoft.com/fwlink/?linkid=870924
注释:
    Mezzanine Loan</t>
      </text>
    </comment>
    <comment ref="P135" authorId="312" shapeId="0" xr:uid="{8B51FA67-C005-4EC9-8E55-D947774C820C}">
      <text>
        <t>[线程批注]
你的Excel版本可读取此线程批注; 但如果在更新版本的Excel中打开文件，则对批注所作的任何改动都将被删除。了解详细信息: https://go.microsoft.com/fwlink/?linkid=870924
注释:
    Weighted Average Terms for AfDB loans based on values from this dataset
Term:        Interest     Term      Grace
Value:        0.82%      38.30       7.92
%Known:  61.98%    77.38%   77.38%</t>
      </text>
    </comment>
    <comment ref="Q135" authorId="313" shapeId="0" xr:uid="{C8871AF6-C813-43B1-84AB-7966E9E59E0F}">
      <text>
        <t>[线程批注]
你的Excel版本可读取此线程批注; 但如果在更新版本的Excel中打开文件，则对批注所作的任何改动都将被删除。了解详细信息: https://go.microsoft.com/fwlink/?linkid=870924
注释:
    Weighted Average Terms for AfDB loans based on values from this dataset
Term:        Interest     Term      Grace
Value:        0.82%      38.30       7.92
%Known:  61.98%    77.38%   77.38%</t>
      </text>
    </comment>
    <comment ref="S135" authorId="314" shapeId="0" xr:uid="{09050688-6208-438F-A417-CC4823A5D436}">
      <text>
        <t>[线程批注]
你的Excel版本可读取此线程批注; 但如果在更新版本的Excel中打开文件，则对批注所作的任何改动都将被删除。了解详细信息: https://go.microsoft.com/fwlink/?linkid=870924
注释:
    Weighted Average Terms for AfDB loans based on values from this dataset
Term:        Interest     Term      Grace
Value:        0.82%      38.30       7.92
%Known:  61.98%    77.38%   77.38%</t>
      </text>
    </comment>
    <comment ref="K136" authorId="315" shapeId="0" xr:uid="{841C59D0-5FF9-4424-8760-B2A17A64D38F}">
      <text>
        <t>[线程批注]
你的Excel版本可读取此线程批注; 但如果在更新版本的Excel中打开文件，则对批注所作的任何改动都将被删除。了解详细信息: https://go.microsoft.com/fwlink/?linkid=870924
注释:
    90M UA at a 1UA: 1.5474USD
https://www.afdb.org/sites/all/libraries/pdf.js/web/viewer.html?file=https%3A%2F%2Fwww.afdb.org%2Fsites%2Fdefault%2Ffiles%2Fdocuments%2Fprojects-and-operations%2Fkenya_last_mile_connectivity_project_-_project_appraisal_report.pdf#page=1&amp;zoom=auto,-14,849</t>
      </text>
    </comment>
    <comment ref="P136" authorId="316" shapeId="0" xr:uid="{DEC9BADB-457E-45FD-A031-818862AED0A9}">
      <text>
        <t xml:space="preserve">[线程批注]
你的Excel版本可读取此线程批注; 但如果在更新版本的Excel中打开文件，则对批注所作的任何改动都将被删除。了解详细信息: https://go.microsoft.com/fwlink/?linkid=870924
注释:
    Reported in Kenyan External Debt Registry 2017-18
https://www.treasury.go.ke/wp-content/uploads/2021/09/External-Public-Debt-Register-as-at-End-June-2019.pdf
</t>
      </text>
    </comment>
    <comment ref="Q136" authorId="317" shapeId="0" xr:uid="{03F824E7-A545-4F30-B70E-F01B2A976DD4}">
      <text>
        <t xml:space="preserve">[线程批注]
你的Excel版本可读取此线程批注; 但如果在更新版本的Excel中打开文件，则对批注所作的任何改动都将被删除。了解详细信息: https://go.microsoft.com/fwlink/?linkid=870924
注释:
    from 2014 to 2054, with repayments starting in 2024
10 year grace
40 year maturity
GoK External Debt Registry 
https://www.treasury.go.ke/wp-content/uploads/2021/09/External-Public-Debt-Register-as-at-End-June-2019.pdf
</t>
      </text>
    </comment>
    <comment ref="S136" authorId="318" shapeId="0" xr:uid="{2D25BA8E-36C7-4F6C-AC9A-4507248D6AA8}">
      <text>
        <t>[线程批注]
你的Excel版本可读取此线程批注; 但如果在更新版本的Excel中打开文件，则对批注所作的任何改动都将被删除。了解详细信息: https://go.microsoft.com/fwlink/?linkid=870924
注释:
    from 2014 to 2054, with repayments starting in 2024
10 year grace
40 year maturity
GoK External Debt Registry 
https://www.treasury.go.ke/wp-content/uploads/2021/09/External-Public-Debt-Register-as-at-End-June-2019.pdf</t>
      </text>
    </comment>
    <comment ref="K137" authorId="319" shapeId="0" xr:uid="{E6D517E4-59DB-4B8F-B9D3-855A9AA3010B}">
      <text>
        <t>[线程批注]
你的Excel版本可读取此线程批注; 但如果在更新版本的Excel中打开文件，则对批注所作的任何改动都将被删除。了解详细信息: https://go.microsoft.com/fwlink/?linkid=870924
注释:
    9.2M UA at a 1UA: 1.5474USD
GoK Equity
https://www.afdb.org/sites/all/libraries/pdf.js/web/viewer.html?file=https%3A%2F%2Fwww.afdb.org%2Fsites%2Fdefault%2Ffiles%2Fdocuments%2Fprojects-and-operations%2Fkenya_last_mile_connectivity_project_-_project_appraisal_report.pdf#page=1&amp;zoom=auto,-14,849</t>
      </text>
    </comment>
    <comment ref="P137" authorId="320" shapeId="0" xr:uid="{2BD56882-4270-4AC3-81A6-08D49120EFF6}">
      <text>
        <t>[线程批注]
你的Excel版本可读取此线程批注; 但如果在更新版本的Excel中打开文件，则对批注所作的任何改动都将被删除。了解详细信息: https://go.microsoft.com/fwlink/?linkid=870924
注释:
    FIRR
https://www.afdb.org/sites/default/files/documents/projects-and-operations/kenya_last_mile_connectivity_project_-_project_appraisal_report.pdf</t>
      </text>
    </comment>
    <comment ref="Q137" authorId="321" shapeId="0" xr:uid="{E1A0435C-59B3-4493-96B4-32C764424ED7}">
      <text>
        <t>[线程批注]
你的Excel版本可读取此线程批注; 但如果在更新版本的Excel中打开文件，则对批注所作的任何改动都将被删除。了解详细信息: https://go.microsoft.com/fwlink/?linkid=870924
注释:
    Based on lifespan of Transmission based on OSeMOSYS</t>
      </text>
    </comment>
    <comment ref="K138" authorId="322" shapeId="0" xr:uid="{799ADE1E-C44A-46B1-A24B-E2F661F73216}">
      <text>
        <t xml:space="preserve">[线程批注]
你的Excel版本可读取此线程批注; 但如果在更新版本的Excel中打开文件，则对批注所作的任何改动都将被删除。了解详细信息: https://go.microsoft.com/fwlink/?linkid=870924
注释:
    Value of $162.22M based on AfDB Completion report - initial commitment was $134.64M
Completion Report
https://www.afdb.org/sites/all/libraries/pdf.js/web/viewer.html?file=https%3A%2F%2Fwww.afdb.org%2Fsites%2Fdefault%2Ffiles%2Fdocuments%2Fprojects-and-operations%2Fkenya_-_last_mile_connectivity_project_2_project_completion_report.pdf#page=2&amp;zoom=auto,-13,834
Initial Commitment
https://www.afdb.org/fileadmin/uploads/afdb/Documents/Project-and-Operations/Kenya__AR-_Last_Mile_Connectivity_Project_II.PDF </t>
      </text>
    </comment>
    <comment ref="P138" authorId="323" shapeId="0" xr:uid="{62EF56C8-7A48-4143-A24A-65E4398A0219}">
      <text>
        <t>[线程批注]
你的Excel版本可读取此线程批注; 但如果在更新版本的Excel中打开文件，则对批注所作的任何改动都将被删除。了解详细信息: https://go.microsoft.com/fwlink/?linkid=870924
注释:
    Based on GoK External Debt Registry
https://www.treasury.go.ke/wp-content/uploads/2021/09/External-Public-Debt-Register-as-at-End-June-2019.pdf</t>
      </text>
    </comment>
    <comment ref="Q138" authorId="324" shapeId="0" xr:uid="{181BAC2D-983D-4ECB-8550-AD21837CF20C}">
      <text>
        <t xml:space="preserve">[线程批注]
你的Excel版本可读取此线程批注; 但如果在更新版本的Excel中打开文件，则对批注所作的任何改动都将被删除。了解详细信息: https://go.microsoft.com/fwlink/?linkid=870924
注释:
    Paid Semi annually in 30 instalments (15 years) with 5 year grace period
Kenya External Debt Registry 2017-18
https://treasury.go.ke/wp-content/uploads/2021/02/External-Public-Debt-Register-as-at-End-June-2018.pdf
</t>
      </text>
    </comment>
    <comment ref="S138" authorId="325" shapeId="0" xr:uid="{D8B4D7A7-4930-49F0-841C-FAFE4F29674F}">
      <text>
        <t xml:space="preserve">[线程批注]
你的Excel版本可读取此线程批注; 但如果在更新版本的Excel中打开文件，则对批注所作的任何改动都将被删除。了解详细信息: https://go.microsoft.com/fwlink/?linkid=870924
注释:
    Paid Semi annually in 30 instalments (15 years) with 5 year grace period
Kenya External Debt Registry 2017-18
https://treasury.go.ke/wp-content/uploads/2021/02/External-Public-Debt-Register-as-at-End-June-2018.pdf
</t>
      </text>
    </comment>
    <comment ref="K139" authorId="326" shapeId="0" xr:uid="{0DA75122-F64A-47D9-B053-FD41A0282362}">
      <text>
        <t>[线程批注]
你的Excel版本可读取此线程批注; 但如果在更新版本的Excel中打开文件，则对批注所作的任何改动都将被删除。了解详细信息: https://go.microsoft.com/fwlink/?linkid=870924
注释:
    Gok 19.2 Counterpart fund
https://www.afdb.org/fileadmin/uploads/afdb/Documents/Project-and-Operations/Kenya__AR-_Last_Mile_Connectivity_Project_II.PDF</t>
      </text>
    </comment>
    <comment ref="P139" authorId="327" shapeId="0" xr:uid="{5F34BD1F-1DDC-4146-95CD-C939B023275A}">
      <text>
        <t>[线程批注]
你的Excel版本可读取此线程批注; 但如果在更新版本的Excel中打开文件，则对批注所作的任何改动都将被删除。了解详细信息: https://go.microsoft.com/fwlink/?linkid=870924
注释:
    Based on Average GoK Externa Debt Terms for 2016
https://treasury.go.ke/wp-content/uploads/2021/02/Annual-Public-Debt-Report-2016-2017.pdf</t>
      </text>
    </comment>
    <comment ref="Q139" authorId="328" shapeId="0" xr:uid="{451813E3-2690-4823-9EFA-B631FE5FCAD5}">
      <text>
        <t>[线程批注]
你的Excel版本可读取此线程批注; 但如果在更新版本的Excel中打开文件，则对批注所作的任何改动都将被删除。了解详细信息: https://go.microsoft.com/fwlink/?linkid=870924
注释:
    Based on Average GoK Externa Debt Terms for 2016
https://treasury.go.ke/wp-content/uploads/2021/02/Annual-Public-Debt-Report-2016-2017.pdf</t>
      </text>
    </comment>
    <comment ref="S139" authorId="329" shapeId="0" xr:uid="{E9800D5B-CCEB-4343-B231-118C558223DB}">
      <text>
        <t>[线程批注]
你的Excel版本可读取此线程批注; 但如果在更新版本的Excel中打开文件，则对批注所作的任何改动都将被删除。了解详细信息: https://go.microsoft.com/fwlink/?linkid=870924
注释:
    Based on Average GoK Externa Debt Terms for 2016
https://treasury.go.ke/wp-content/uploads/2021/02/Annual-Public-Debt-Report-2016-2017.pdf</t>
      </text>
    </comment>
    <comment ref="K140" authorId="330" shapeId="0" xr:uid="{D2A92C2F-92B0-4D17-A447-580222E27D8D}">
      <text>
        <t>[线程批注]
你的Excel版本可读取此线程批注; 但如果在更新版本的Excel中打开文件，则对批注所作的任何改动都将被删除。了解详细信息: https://go.microsoft.com/fwlink/?linkid=870924
注释:
    AFD commitment reported by InclusiveInfra and EU Africa Infrastructure Grant. Total Phase Cost: EUR 180M:
    EUR 30M Grant from EU
    EUR 60M Loan from EIB
 rest assumed to be from AFD
https://inclusiveinfra.gihub.org/case-studies/last-mile-connectivity-program-kenya/ 
https://www.eib.org/en/projects/pipelines/all/20150640
https://www.eu-africa-infrastructure-tf.net/activities/grants/rural-electrification-keny---last-mile-connectivity.htm</t>
      </text>
    </comment>
    <comment ref="P140" authorId="331" shapeId="0" xr:uid="{162C9333-2613-420F-B819-A4376237053C}">
      <text>
        <t>[线程批注]
你的Excel版本可读取此线程批注; 但如果在更新版本的Excel中打开文件，则对批注所作的任何改动都将被删除。了解详细信息: https://go.microsoft.com/fwlink/?linkid=870924
注释:
    Weighted Average Terms for Foreign Gov. loans based on values from this dataset
Term:        Interest     Term      Grace
Value:        2.41%      23.58       6.54
%Known:  51.96%    66.91%   50.41%</t>
      </text>
    </comment>
    <comment ref="Q140" authorId="332" shapeId="0" xr:uid="{17C3355D-FF1E-4153-A109-349EBC0CBFF8}">
      <text>
        <t>[线程批注]
你的Excel版本可读取此线程批注; 但如果在更新版本的Excel中打开文件，则对批注所作的任何改动都将被删除。了解详细信息: https://go.microsoft.com/fwlink/?linkid=870924
注释:
    Weighted Average Terms for Foreign Gov. loans based on values from this dataset
Term:        Interest     Term      Grace
Value:        2.41%      23.58       6.54
%Known:  51.96%    66.91%   50.41%</t>
      </text>
    </comment>
    <comment ref="S140" authorId="333" shapeId="0" xr:uid="{C31F313C-2D4B-4B4F-B4BD-1F7272FC8F4A}">
      <text>
        <t>[线程批注]
你的Excel版本可读取此线程批注; 但如果在更新版本的Excel中打开文件，则对批注所作的任何改动都将被删除。了解详细信息: https://go.microsoft.com/fwlink/?linkid=870924
注释:
    Weighted Average Terms for Foreign Gov. loans based on values from this dataset
Term:        Interest     Term      Grace
Value:        2.41%      23.58       6.54
%Known:  51.96%    66.91%   50.41%</t>
      </text>
    </comment>
    <comment ref="K141" authorId="334" shapeId="0" xr:uid="{1F47DB98-2672-4480-8873-3320813797F3}">
      <text>
        <t>[线程批注]
你的Excel版本可读取此线程批注; 但如果在更新版本的Excel中打开文件，则对批注所作的任何改动都将被删除。了解详细信息: https://go.microsoft.com/fwlink/?linkid=870924
注释:
    EUR 60M committed by the EIB
out of a total of EUR 180M
https://www.eib.org/en/projects/pipelines/all/20150640</t>
      </text>
    </comment>
    <comment ref="P141" authorId="335" shapeId="0" xr:uid="{89FE2B52-45E9-4DA6-B91C-5F5035C06697}">
      <text>
        <t>[线程批注]
你的Excel版本可读取此线程批注; 但如果在更新版本的Excel中打开文件，则对批注所作的任何改动都将被删除。了解详细信息: https://go.microsoft.com/fwlink/?linkid=870924
注释:
    Weighted Average Terms for Multilateral Agency loans based on values from this dataset
Term:        Interest     Term      Grace
Value:        2.39%      33.67       6.96
%Known:  46.21%    52.38%   44.87%</t>
      </text>
    </comment>
    <comment ref="Q141" authorId="336" shapeId="0" xr:uid="{F77BA83D-3AA8-4058-97C2-1722BCB3D5FD}">
      <text>
        <t>[线程批注]
你的Excel版本可读取此线程批注; 但如果在更新版本的Excel中打开文件，则对批注所作的任何改动都将被删除。了解详细信息: https://go.microsoft.com/fwlink/?linkid=870924
注释:
    Weighted Average Terms for Multilateral Agency loans based on values from this dataset
Term:        Interest     Term      Grace
Value:        2.39%      33.67       6.96
%Known:  46.21%    52.38%   44.87%</t>
      </text>
    </comment>
    <comment ref="S141" authorId="337" shapeId="0" xr:uid="{979957B7-B5DC-41C8-A7CC-C31801FB2BE1}">
      <text>
        <t>[线程批注]
你的Excel版本可读取此线程批注; 但如果在更新版本的Excel中打开文件，则对批注所作的任何改动都将被删除。了解详细信息: https://go.microsoft.com/fwlink/?linkid=870924
注释:
    Weighted Average Terms for Multilateral Agency loans based on values from this dataset
Term:        Interest     Term      Grace
Value:        2.39%      33.67       6.96
%Known:  46.21%    52.38%   44.87%</t>
      </text>
    </comment>
    <comment ref="F142" authorId="338" shapeId="0" xr:uid="{6669ADC9-EF37-4385-8B8E-DB108973B3CE}">
      <text>
        <t>[线程批注]
你的Excel版本可读取此线程批注; 但如果在更新版本的Excel中打开文件，则对批注所作的任何改动都将被删除。了解详细信息: https://go.microsoft.com/fwlink/?linkid=870924
注释:
    Financed through Equity - AGIL is a Kenyan-based Company
Africa Geothermal International Limited to drill first well in Longonot for five years | Business Chief UK &amp; Europe</t>
      </text>
    </comment>
    <comment ref="K142" authorId="339" shapeId="0" xr:uid="{7BDC34CC-CBA4-466F-B1FA-557553980D7C}">
      <text>
        <t xml:space="preserve">[线程批注]
你的Excel版本可读取此线程批注; 但如果在更新版本的Excel中打开文件，则对批注所作的任何改动都将被删除。了解详细信息: https://go.microsoft.com/fwlink/?linkid=870924
注释:
    Reported $10 million in equity to start exploratory drilling
https://www.businessdailyafrica.com/bd/economy/agil-to-drill-first-exploration-well-in-longonot-2187750 
Additional Grant from the AUC totaling either
$6Million 
https://au.int/sites/default/files/newsevents/pressreleases/29726-pr-pr_231-grmf_nairobi.pdf 
Or $8.4 million according to most other news reports
答复:
    Pertamina Geothermal Energy (PGE) from Indonesian also recently signed a Moratorium of Understanding for potential financing of the AGIL Longonot Development 
https://www.reuters.com/business/indonesias-pertamina-geothermal-explores-partnership-with-kenyan-firms-2023-08-22/ 
https://www.pertamina.com/en/news-room/news-release/pertamina-geothermal-energy-explores-collaboration-with-agil-to-develop-longonot-concession-in-kenya </t>
      </text>
    </comment>
    <comment ref="P142" authorId="340" shapeId="0" xr:uid="{DF922434-2652-4B0E-B377-6FD9C8BB8C78}">
      <text>
        <t>[线程批注]
你的Excel版本可读取此线程批注; 但如果在更新版本的Excel中打开文件，则对批注所作的任何改动都将被删除。了解详细信息: https://go.microsoft.com/fwlink/?linkid=870924
注释:
    Assumed to be similar to the Private Equity IRR requirements for Olkaria III geothermal exploration. 
Based on estimated required IRR for Private investors in Olkaria III exploration from CIP report.
https://www.climatepolicyinitiative.org/wp-content/uploads/2015/06/150601_Final_Olkaria_ForWeb.pdf</t>
      </text>
    </comment>
    <comment ref="Q142" authorId="341" shapeId="0" xr:uid="{E5D38EA5-D2D6-4C6D-92BD-E1254BEBF557}">
      <text>
        <t xml:space="preserve">[线程批注]
你的Excel版本可读取此线程批注; 但如果在更新版本的Excel中打开文件，则对批注所作的任何改动都将被删除。了解详细信息: https://go.microsoft.com/fwlink/?linkid=870924
注释:
    Based on Life-span of African Geothermal Plants 
25 years according to:
https://www.sciencedirect.com/science/article/pii/S2352340922002323
Lucy Allington, Carla Cannone, Ioannis Pappis, Karla Cervantes Barron, Will Usher, Steve Pye, Edward Brown, Mark Howells, Miriam Zachau Walker, Aniq Ahsan, Flora Charbonnier, Claire Halloran, Stephanie Hirmer, Jennifer Cronin, Constantinos Taliotis, Caroline Sundin, Vignesh Sridharan, Eunice Ramos, Maarten Brinkerink, Paul Deane, Andrii Gritsevskyi, Gustavo Moura, Arnaud Rouget, David Wogan, Edito Barcelona, Taco Niet, Holger Rogner, Franziska Bock, Jairo Quirós-Tortós, Jam Angulo-Paniagua, Satheesh Krishnamurthy, John Harrison, Long Seng To,
Selected ‘Starter kit’ energy system modelling data for selected countries in Africa, East Asia, and South America (#CCG, 2021),
Data in Brief,
Volume 42,
2022,
108021,
ISSN 2352-3409,
https://doi.org/10.1016/j.dib.2022.108021.
</t>
      </text>
    </comment>
    <comment ref="K143" authorId="342" shapeId="0" xr:uid="{5EC7E672-FF56-4606-B23C-F165300601CB}">
      <text>
        <t>[线程批注]
你的Excel版本可读取此线程批注; 但如果在更新版本的Excel中打开文件，则对批注所作的任何改动都将被删除。了解详细信息: https://go.microsoft.com/fwlink/?linkid=870924
注释:
    UK CDC Debt Arranger - Total $52 Million Debt - $32 from DFI
https://www.globeleq.com/blog/globeleqs-malindi-solar-plant-is-generating-clean-energy-to-the-national-grid/</t>
      </text>
    </comment>
    <comment ref="P143" authorId="343" shapeId="0" xr:uid="{16268AE1-A7B9-4E75-BE0A-4D6B2919449D}">
      <text>
        <t>[线程批注]
你的Excel版本可读取此线程批注; 但如果在更新版本的Excel中打开文件，则对批注所作的任何改动都将被删除。了解详细信息: https://go.microsoft.com/fwlink/?linkid=870924
注释:
    Weighted Average Terms for Foreign Gov. loans based on values from this dataset
Term:        Interest     Term      Grace
Value:        2.41%      23.58       6.54
%Known:  51.96%    66.91%   50.41%</t>
      </text>
    </comment>
    <comment ref="Q143" authorId="344" shapeId="0" xr:uid="{6057AA7E-BFAC-4334-9726-D321661364F5}">
      <text>
        <t>[线程批注]
你的Excel版本可读取此线程批注; 但如果在更新版本的Excel中打开文件，则对批注所作的任何改动都将被删除。了解详细信息: https://go.microsoft.com/fwlink/?linkid=870924
注释:
    Reported 16 year maturity
https://www.globeleq.com/blog/globeleq-and-cdc-to-develop-kenyan-solar-plant/</t>
      </text>
    </comment>
    <comment ref="S143" authorId="345" shapeId="0" xr:uid="{1FE77C9C-542D-4C12-8557-D6808A3B0AF6}">
      <text>
        <t>[线程批注]
你的Excel版本可读取此线程批注; 但如果在更新版本的Excel中打开文件，则对批注所作的任何改动都将被删除。了解详细信息: https://go.microsoft.com/fwlink/?linkid=870924
注释:
    Weighted Average Terms for Foreign Gov. loans based on values from this dataset
Term:        Interest     Term      Grace
Value:        2.17%      27.23       7.08
%Known:  60.46%    77.60%   56.76%</t>
      </text>
    </comment>
    <comment ref="K144" authorId="346" shapeId="0" xr:uid="{CC07B776-BEDB-4611-8E43-02DB0566F870}">
      <text>
        <t>[线程批注]
你的Excel版本可读取此线程批注; 但如果在更新版本的Excel中打开文件，则对批注所作的任何改动都将被删除。了解详细信息: https://go.microsoft.com/fwlink/?linkid=870924
注释:
    $20 million in debt financing from German DEG 
Globeleq’s Malindi Solar Plant is Generating Clean Energy to the National Grid | Globeleq | Powering Africa's Growth</t>
      </text>
    </comment>
    <comment ref="P144" authorId="347" shapeId="0" xr:uid="{E0A09C10-0FA2-4254-A9A9-92D351826B15}">
      <text>
        <t>[线程批注]
你的Excel版本可读取此线程批注; 但如果在更新版本的Excel中打开文件，则对批注所作的任何改动都将被删除。了解详细信息: https://go.microsoft.com/fwlink/?linkid=870924
注释:
    Weighted Average Terms for Foreign Gov. loans based on values from this dataset
Term:        Interest     Term      Grace
Value:        2.41%      23.58       6.54
%Known:  51.96%    66.91%   50.41%</t>
      </text>
    </comment>
    <comment ref="Q144" authorId="348" shapeId="0" xr:uid="{B9D46568-5BE6-4E62-9547-5FAD472802F3}">
      <text>
        <t>[线程批注]
你的Excel版本可读取此线程批注; 但如果在更新版本的Excel中打开文件，则对批注所作的任何改动都将被删除。了解详细信息: https://go.microsoft.com/fwlink/?linkid=870924
注释:
    Reported 16 year maturity
https://www.globeleq.com/blog/globeleq-and-cdc-to-develop-kenyan-solar-plant/</t>
      </text>
    </comment>
    <comment ref="S144" authorId="349" shapeId="0" xr:uid="{669C1CF8-1588-4CE8-986E-2E4283B0FD6F}">
      <text>
        <t>[线程批注]
你的Excel版本可读取此线程批注; 但如果在更新版本的Excel中打开文件，则对批注所作的任何改动都将被删除。了解详细信息: https://go.microsoft.com/fwlink/?linkid=870924
注释:
    Weighted Average Terms for Foreign Gov. loans based on values from this dataset
Term:        Interest     Term      Grace
Value:        2.17%      27.23       7.08
%Known:  60.46%    77.60%   56.76%</t>
      </text>
    </comment>
    <comment ref="B145" authorId="350" shapeId="0" xr:uid="{293A3F32-7E82-4163-9D13-AE054C3BCA3E}">
      <text>
        <t>[线程批注]
你的Excel版本可读取此线程批注; 但如果在更新版本的Excel中打开文件，则对批注所作的任何改动都将被删除。了解详细信息: https://go.microsoft.com/fwlink/?linkid=870924
注释:
    AEDC’s partner Investment and Development of East Africa Power Group (Idea Power) sold its stake at financial close.
https://www.africa-energy.com/live-data/article/kenya-malindi-solar-project-reaches-financial-close</t>
      </text>
    </comment>
    <comment ref="J145" authorId="351" shapeId="0" xr:uid="{25BBC7C0-7AA4-449D-9D25-D00C64226BC6}">
      <text>
        <t>[线程批注]
你的Excel版本可读取此线程批注; 但如果在更新版本的Excel中打开文件，则对批注所作的任何改动都将被删除。了解详细信息: https://go.microsoft.com/fwlink/?linkid=870924
注释:
    Registered in Canada
https://www.africaenergy.ca/#aboutus</t>
      </text>
    </comment>
    <comment ref="K145" authorId="352" shapeId="0" xr:uid="{9398C16F-8568-4A4D-8B0B-23E452171A12}">
      <text>
        <t>[线程批注]
你的Excel版本可读取此线程批注; 但如果在更新版本的Excel中打开文件，则对批注所作的任何改动都将被删除。了解详细信息: https://go.microsoft.com/fwlink/?linkid=870924
注释:
    Africa Energy Development Corporation (AEDC) - original project developers retain 10% stake (Sold at financial close) 
https://www.globeleq.com/blog/globeleq-reaches-financial-close-on-kenyas-first-utility-scale-ipp-solar-project/</t>
      </text>
    </comment>
    <comment ref="P145" authorId="353" shapeId="0" xr:uid="{D25D8620-28E8-4216-B687-D54000EFA61B}">
      <text>
        <t>[线程批注]
你的Excel版本可读取此线程批注; 但如果在更新版本的Excel中打开文件，则对批注所作的任何改动都将被删除。了解详细信息: https://go.microsoft.com/fwlink/?linkid=870924
注释:
    Interest Rates based on Equity Rate of Return for Solar Projects from 
Page 38 (PDF Page 40)
https://core.ac.uk/download/pdf/43542198.pdf</t>
      </text>
    </comment>
    <comment ref="Q145" authorId="354" shapeId="0" xr:uid="{11202AA7-8DD0-42FA-97F3-D95187DF8D05}">
      <text>
        <t>[线程批注]
你的Excel版本可读取此线程批注; 但如果在更新版本的Excel中打开文件，则对批注所作的任何改动都将被删除。了解详细信息: https://go.microsoft.com/fwlink/?linkid=870924
注释:
    Based on Operational Life of Solar PV in Africa reported in:
https://www.sciencedirect.com/science/article/pii/S2352340922002323
Lucy Allington, Carla Cannone, Ioannis Pappis, Karla Cervantes Barron, Will Usher, Steve Pye, Edward Brown, Mark Howells, Miriam Zachau Walker, Aniq Ahsan, Flora Charbonnier, Claire Halloran, Stephanie Hirmer, Jennifer Cronin, Constantinos Taliotis, Caroline Sundin, Vignesh Sridharan, Eunice Ramos, Maarten Brinkerink, Paul Deane, Andrii Gritsevskyi, Gustavo Moura, Arnaud Rouget, David Wogan, Edito Barcelona, Taco Niet, Holger Rogner, Franziska Bock, Jairo Quirós-Tortós, Jam Angulo-Paniagua, Satheesh Krishnamurthy, John Harrison, Long Seng To,
Selected ‘Starter kit’ energy system modelling data for selected countries in Africa, East Asia, and South America (#CCG, 2021),
Data in Brief,
Volume 42,
2022,
108021,
ISSN 2352-3409,
https://doi.org/10.1016/j.dib.2022.108021.</t>
      </text>
    </comment>
    <comment ref="H146" authorId="355" shapeId="0" xr:uid="{C2283264-2496-4281-A22E-567FEE85B2D8}">
      <text>
        <t>[线程批注]
你的Excel版本可读取此线程批注; 但如果在更新版本的Excel中打开文件，则对批注所作的任何改动都将被删除。了解详细信息: https://go.microsoft.com/fwlink/?linkid=870924
注释:
    Owned by CDC (BII) 70% and Norfund 30%</t>
      </text>
    </comment>
    <comment ref="K146" authorId="356" shapeId="0" xr:uid="{9549E98E-A044-4765-80B9-D42D1CB6927C}">
      <text>
        <t xml:space="preserve">[线程批注]
你的Excel版本可读取此线程批注; 但如果在更新版本的Excel中打开文件，则对批注所作的任何改动都将被删除。了解详细信息: https://go.microsoft.com/fwlink/?linkid=870924
注释:
    Globeleq 60% remaining stake in project 
https://www.norfund.no/annualreport-2021/investments-areas/clean-energy-2/ </t>
      </text>
    </comment>
    <comment ref="P146" authorId="357" shapeId="0" xr:uid="{1C74D10E-3756-4022-A333-896F5ACB883B}">
      <text>
        <t>[线程批注]
你的Excel版本可读取此线程批注; 但如果在更新版本的Excel中打开文件，则对批注所作的任何改动都将被删除。了解详细信息: https://go.microsoft.com/fwlink/?linkid=870924
注释:
    Interest Rates based on Equity Rate of Return for Solar Projects from 
Page 38 (PDF Page 40)
https://core.ac.uk/download/pdf/43542198.pdf</t>
      </text>
    </comment>
    <comment ref="Q146" authorId="358" shapeId="0" xr:uid="{C243AC73-CAA2-419F-A4B2-B7F4A8C136BE}">
      <text>
        <t>[线程批注]
你的Excel版本可读取此线程批注; 但如果在更新版本的Excel中打开文件，则对批注所作的任何改动都将被删除。了解详细信息: https://go.microsoft.com/fwlink/?linkid=870924
注释:
    Based on Operational Life of Solar PV in Africa reported in:
https://www.sciencedirect.com/science/article/pii/S2352340922002323
Lucy Allington, Carla Cannone, Ioannis Pappis, Karla Cervantes Barron, Will Usher, Steve Pye, Edward Brown, Mark Howells, Miriam Zachau Walker, Aniq Ahsan, Flora Charbonnier, Claire Halloran, Stephanie Hirmer, Jennifer Cronin, Constantinos Taliotis, Caroline Sundin, Vignesh Sridharan, Eunice Ramos, Maarten Brinkerink, Paul Deane, Andrii Gritsevskyi, Gustavo Moura, Arnaud Rouget, David Wogan, Edito Barcelona, Taco Niet, Holger Rogner, Franziska Bock, Jairo Quirós-Tortós, Jam Angulo-Paniagua, Satheesh Krishnamurthy, John Harrison, Long Seng To,
Selected ‘Starter kit’ energy system modelling data for selected countries in Africa, East Asia, and South America (#CCG, 2021),
Data in Brief,
Volume 42,
2022,
108021,
ISSN 2352-3409,
https://doi.org/10.1016/j.dib.2022.108021.</t>
      </text>
    </comment>
    <comment ref="A147" authorId="359" shapeId="0" xr:uid="{AE1E9B50-EC66-4516-AD94-A8871B74D75E}">
      <text>
        <t xml:space="preserve">[线程批注]
你的Excel版本可读取此线程批注; 但如果在更新版本的Excel中打开文件，则对批注所作的任何改动都将被删除。了解详细信息: https://go.microsoft.com/fwlink/?linkid=870924
注释:
    3 different Financial structures outlined for this project:
GoK 2020:
http://www.parliament.go.ke/sites/default/files/2021-02/AG%20-%20Menegai%20Geothermal%20Project%20-%20Geothemal%20Development%20Comapny%20Limited%2030th%20June%2C%202020_0.pdf 
World Bank 2011:
https://pubdocs.worldbank.org/en/615591531555223611/1887-XSREKE012A-Kenya-Project-Document.pdf 
Klagge and Nweke-Eze 2020
https://www.tandfonline.com/doi/full/10.1080/04353684.2020.1729662 
</t>
      </text>
    </comment>
    <comment ref="K147" authorId="360" shapeId="0" xr:uid="{1DFCF40E-463C-4135-BA31-E5301C909887}">
      <text>
        <t>[线程批注]
你的Excel版本可读取此线程批注; 但如果在更新版本的Excel中打开文件，则对批注所作的任何改动都将被删除。了解详细信息: https://go.microsoft.com/fwlink/?linkid=870924
注释:
    Klagge, B. and Nweke-Eze, C., 2020. Financing large-scale renewable-energy projects in Kenya: investor types, international connections, and financialization. Geografiska Annaler: Series B, Human Geography, 102(1), pp.61-83.
Microsoft Word - PAR Menengai Geothermal vSREP Final.doc (worldbank.org)
Page 4</t>
      </text>
    </comment>
    <comment ref="P147" authorId="361" shapeId="0" xr:uid="{907B5A34-2C4E-4335-A121-A2A1A19DEB3E}">
      <text>
        <t>[线程批注]
你的Excel版本可读取此线程批注; 但如果在更新版本的Excel中打开文件，则对批注所作的任何改动都将被删除。了解详细信息: https://go.microsoft.com/fwlink/?linkid=870924
注释:
    Weighted Average Terms for Foreign Gov. loans based on values from this dataset
Term:        Interest     Term      Grace
Value:        2.41%      23.58       6.54
%Known:  51.96%    66.91%   50.41%</t>
      </text>
    </comment>
    <comment ref="Q147" authorId="362" shapeId="0" xr:uid="{298BFA10-A5F3-43F2-93C4-3DA232EE962F}">
      <text>
        <t>[线程批注]
你的Excel版本可读取此线程批注; 但如果在更新版本的Excel中打开文件，则对批注所作的任何改动都将被删除。了解详细信息: https://go.microsoft.com/fwlink/?linkid=870924
注释:
    Weighted Average Terms for Foreign Gov. loans based on values from this dataset
Term:        Interest     Term      Grace
Value:        2.41%      23.58       6.54
%Known:  51.96%    66.91%   50.41%</t>
      </text>
    </comment>
    <comment ref="S147" authorId="363" shapeId="0" xr:uid="{83BDF1AA-EAD7-479E-85EB-054F29AC4A3F}">
      <text>
        <t>[线程批注]
你的Excel版本可读取此线程批注; 但如果在更新版本的Excel中打开文件，则对批注所作的任何改动都将被删除。了解详细信息: https://go.microsoft.com/fwlink/?linkid=870924
注释:
    Weighted Average Terms for Foreign Gov. loans based on values from this dataset
Term:        Interest     Term      Grace
Value:        2.41%      23.58       6.54
%Known:  51.96%    66.91%   50.41%</t>
      </text>
    </comment>
    <comment ref="P148" authorId="364" shapeId="0" xr:uid="{6F9AE03C-8B04-47EC-BC45-1103BC87AA99}">
      <text>
        <t>[线程批注]
你的Excel版本可读取此线程批注; 但如果在更新版本的Excel中打开文件，则对批注所作的任何改动都将被删除。了解详细信息: https://go.microsoft.com/fwlink/?linkid=870924
注释:
    0.1% interest on SREP loans reported by the World Bank
PDF Page 4.
https://pubdocs.worldbank.org/en/615591531555223611/1887-XSREKE012A-Kenya-Project-Document.pdf</t>
      </text>
    </comment>
    <comment ref="Q148" authorId="365" shapeId="0" xr:uid="{ADEF8DE6-BEE4-4950-8E3A-178A13FA4B4F}">
      <text>
        <t>[线程批注]
你的Excel版本可读取此线程批注; 但如果在更新版本的Excel中打开文件，则对批注所作的任何改动都将被删除。了解详细信息: https://go.microsoft.com/fwlink/?linkid=870924
注释:
    World Bank reports - 40 year Tenor on SREP Loans
Microsoft Word - PAR Menengai Geothermal vSREP Final.doc (worldbank.org)</t>
      </text>
    </comment>
    <comment ref="S148" authorId="366" shapeId="0" xr:uid="{9623CD17-00F9-4DA4-860D-342171EE696F}">
      <text>
        <t>[线程批注]
你的Excel版本可读取此线程批注; 但如果在更新版本的Excel中打开文件，则对批注所作的任何改动都将被删除。了解详细信息: https://go.microsoft.com/fwlink/?linkid=870924
注释:
    World Bank reports - 10 year Grace Period on SREP Loans
Microsoft Word - PAR Menengai Geothermal vSREP Final.doc (worldbank.org)</t>
      </text>
    </comment>
    <comment ref="P149" authorId="367" shapeId="0" xr:uid="{74AAB74B-7EE0-42AB-A298-060DB313E4A5}">
      <text>
        <t>[线程批注]
你的Excel版本可读取此线程批注; 但如果在更新版本的Excel中打开文件，则对批注所作的任何改动都将被删除。了解详细信息: https://go.microsoft.com/fwlink/?linkid=870924
注释:
    0.75% interest rate reported on Page 25 of the GoK external debt registry
https://treasury.go.ke/wp-content/uploads/2021/02/External-Public-Debt-Register-as-at-End-June-2017.pdf</t>
      </text>
    </comment>
    <comment ref="Q149" authorId="368" shapeId="0" xr:uid="{806DB305-AEE2-4D49-A7AD-42BBC87727F2}">
      <text>
        <t xml:space="preserve">[线程批注]
你的Excel版本可读取此线程批注; 但如果在更新版本的Excel中打开文件，则对批注所作的任何改动都将被删除。了解详细信息: https://go.microsoft.com/fwlink/?linkid=870924
注释:
    World Bank reports - 50 year Tenor on ADF Loan
Microsoft Word - PAR Menengai Geothermal vSREP Final.doc (worldbank.org)
</t>
      </text>
    </comment>
    <comment ref="S149" authorId="369" shapeId="0" xr:uid="{8F189859-2B3C-44FE-896A-34535AD6C1FE}">
      <text>
        <t xml:space="preserve">[线程批注]
你的Excel版本可读取此线程批注; 但如果在更新版本的Excel中打开文件，则对批注所作的任何改动都将被删除。了解详细信息: https://go.microsoft.com/fwlink/?linkid=870924
注释:
    World Bank reports - 10 year Grace Period on ADF Loan
Microsoft Word - PAR Menengai Geothermal vSREP Final.doc (worldbank.org)
</t>
      </text>
    </comment>
    <comment ref="P150" authorId="370" shapeId="0" xr:uid="{E3AC1C50-45F5-46D7-B648-0FEEF1555EEA}">
      <text>
        <t>[线程批注]
你的Excel版本可读取此线程批注; 但如果在更新版本的Excel中打开文件，则对批注所作的任何改动都将被删除。了解详细信息: https://go.microsoft.com/fwlink/?linkid=870924
注释:
    Weighted Average Terms for Climate Fund loans based on values from this dataset
Term:        Interest     Term      Grace
Value:        4.96%      14.11       1.00
%Known:   6.19%     29.29%    5.75%</t>
      </text>
    </comment>
    <comment ref="Q150" authorId="371" shapeId="0" xr:uid="{C20DEC85-BCE5-4648-8D3B-FC1F4364EA11}">
      <text>
        <t>[线程批注]
你的Excel版本可读取此线程批注; 但如果在更新版本的Excel中打开文件，则对批注所作的任何改动都将被删除。了解详细信息: https://go.microsoft.com/fwlink/?linkid=870924
注释:
    Weighted Average Terms for Climate Fund loans based on values from this dataset
Term:        Interest     Term      Grace
Value:        4.96%      14.11       1.00
%Known:   6.19%     29.29%    5.75%</t>
      </text>
    </comment>
    <comment ref="S150" authorId="372" shapeId="0" xr:uid="{A67D19D5-B9F3-4AE9-8910-0F1BC8AD2415}">
      <text>
        <t>[线程批注]
你的Excel版本可读取此线程批注; 但如果在更新版本的Excel中打开文件，则对批注所作的任何改动都将被删除。了解详细信息: https://go.microsoft.com/fwlink/?linkid=870924
注释:
    Weighted Average Terms for Climate Fund loans based on values from this dataset
Term:        Interest     Term      Grace
Value:        4.96%      14.11       1.00
%Known:   6.19%     29.29%    5.75%</t>
      </text>
    </comment>
    <comment ref="P151" authorId="373" shapeId="0" xr:uid="{A8D2B28F-7FAC-4235-8864-416CBC315FAE}">
      <text>
        <t>[线程批注]
你的Excel版本可读取此线程批注; 但如果在更新版本的Excel中打开文件，则对批注所作的任何改动都将被删除。了解详细信息: https://go.microsoft.com/fwlink/?linkid=870924
注释:
    Weighted Average Terms for Multilateral Agency loans based on values from this dataset
Term:        Interest     Term      Grace
Value:        2.39%      33.67       6.96
%Known:  46.21%    52.38%   44.87%</t>
      </text>
    </comment>
    <comment ref="Q151" authorId="374" shapeId="0" xr:uid="{B3D0F32F-A144-431D-9EB1-97FDBF88B8C1}">
      <text>
        <t>[线程批注]
你的Excel版本可读取此线程批注; 但如果在更新版本的Excel中打开文件，则对批注所作的任何改动都将被删除。了解详细信息: https://go.microsoft.com/fwlink/?linkid=870924
注释:
    Weighted Average Terms for Multilateral Agency loans based on values from this dataset
Term:        Interest     Term      Grace
Value:        2.39%      33.67       6.96
%Known:  46.21%    52.38%   44.87%</t>
      </text>
    </comment>
    <comment ref="S151" authorId="375" shapeId="0" xr:uid="{8113EB38-152E-476B-A0FD-0D4C6EEE2B39}">
      <text>
        <t>[线程批注]
你的Excel版本可读取此线程批注; 但如果在更新版本的Excel中打开文件，则对批注所作的任何改动都将被删除。了解详细信息: https://go.microsoft.com/fwlink/?linkid=870924
注释:
    Weighted Average Terms for Multilateral Agency loans based on values from this dataset
Term:        Interest     Term      Grace
Value:        2.39%      33.67       6.96
%Known:  46.21%    52.38%   44.87%</t>
      </text>
    </comment>
    <comment ref="P152" authorId="376" shapeId="0" xr:uid="{E9A3A131-58A1-4195-AF10-962642A306DE}">
      <text>
        <t>[线程批注]
你的Excel版本可读取此线程批注; 但如果在更新版本的Excel中打开文件，则对批注所作的任何改动都将被删除。了解详细信息: https://go.microsoft.com/fwlink/?linkid=870924
注释:
    Weighted Average Terms for Foreign Gov. loans based on values from this dataset
Term:        Interest     Term      Grace
Value:        2.41%      23.58       6.54
%Known:  51.96%    66.91%   50.41%</t>
      </text>
    </comment>
    <comment ref="Q152" authorId="377" shapeId="0" xr:uid="{03B28F2B-D172-45D6-9397-7B158A9E5DA3}">
      <text>
        <t>[线程批注]
你的Excel版本可读取此线程批注; 但如果在更新版本的Excel中打开文件，则对批注所作的任何改动都将被删除。了解详细信息: https://go.microsoft.com/fwlink/?linkid=870924
注释:
    Weighted Average Terms for Foreign Gov. loans based on values from this dataset
Term:        Interest     Term      Grace
Value:        2.41%      23.58       6.54
%Known:  51.96%    66.91%   50.41%</t>
      </text>
    </comment>
    <comment ref="S152" authorId="378" shapeId="0" xr:uid="{D56E0CC9-56B3-4C80-A4B9-C288525E248B}">
      <text>
        <t>[线程批注]
你的Excel版本可读取此线程批注; 但如果在更新版本的Excel中打开文件，则对批注所作的任何改动都将被删除。了解详细信息: https://go.microsoft.com/fwlink/?linkid=870924
注释:
    Weighted Average Terms for Foreign Gov. loans based on values from this dataset
Term:        Interest     Term      Grace
Value:        2.41%      23.58       6.54
%Known:  51.96%    66.91%   50.41%</t>
      </text>
    </comment>
    <comment ref="P153" authorId="379" shapeId="0" xr:uid="{415A89D0-74EB-48EB-BDE2-BC89AC018A14}">
      <text>
        <t>[线程批注]
你的Excel版本可读取此线程批注; 但如果在更新版本的Excel中打开文件，则对批注所作的任何改动都将被删除。了解详细信息: https://go.microsoft.com/fwlink/?linkid=870924
注释:
    Weighted Average Terms for Foreign Gov. loans based on values from this dataset
Term:        Interest     Term      Grace
Value:        2.41%      23.58       6.54
%Known:  51.96%    66.91%   50.41%</t>
      </text>
    </comment>
    <comment ref="Q153" authorId="380" shapeId="0" xr:uid="{40933918-BBB8-4755-BE72-5CD58DE17A9C}">
      <text>
        <t>[线程批注]
你的Excel版本可读取此线程批注; 但如果在更新版本的Excel中打开文件，则对批注所作的任何改动都将被删除。了解详细信息: https://go.microsoft.com/fwlink/?linkid=870924
注释:
    Weighted Average Terms for Foreign Gov. loans based on values from this dataset
Term:        Interest     Term      Grace
Value:        2.41%      23.58       6.54
%Known:  51.96%    66.91%   50.41%</t>
      </text>
    </comment>
    <comment ref="S153" authorId="381" shapeId="0" xr:uid="{1330209D-E160-4FE6-99D6-A16AF62A2355}">
      <text>
        <t>[线程批注]
你的Excel版本可读取此线程批注; 但如果在更新版本的Excel中打开文件，则对批注所作的任何改动都将被删除。了解详细信息: https://go.microsoft.com/fwlink/?linkid=870924
注释:
    Weighted Average Terms for Foreign Gov. loans based on values from this dataset
Term:        Interest     Term      Grace
Value:        2.41%      23.58       6.54
%Known:  51.96%    66.91%   50.41%</t>
      </text>
    </comment>
    <comment ref="K154" authorId="382" shapeId="0" xr:uid="{DDF4EB23-2E02-46DC-97BA-DD158B46C045}">
      <text>
        <t>[线程批注]
你的Excel版本可读取此线程批注; 但如果在更新版本的Excel中打开文件，则对批注所作的任何改动都将被删除。了解详细信息: https://go.microsoft.com/fwlink/?linkid=870924
注释:
    Total GDC Equity of $284 Million
$195 million in Domestic Currency
$89 million in USD
Microsoft Word - PAR Menengai Geothermal vSREP Final.doc (worldbank.org)</t>
      </text>
    </comment>
    <comment ref="P154" authorId="383" shapeId="0" xr:uid="{4381BC1E-53DE-4275-9E8E-4BC98DAF8DB5}">
      <text>
        <t xml:space="preserve">[线程批注]
你的Excel版本可读取此线程批注; 但如果在更新版本的Excel中打开文件，则对批注所作的任何改动都将被删除。了解详细信息: https://go.microsoft.com/fwlink/?linkid=870924
注释:
    29.7% IRR on Kenya Geothermal KenGen
https://opendocs.ids.ac.uk/opendocs/bitstream/handle/20.500.12413/11297/ER190_CostandReturnsofRenewableEnergyinSubSaharanAfricaAComparisonofKenyaandGhana.pdf?sequence=1
答复:
    close to values reported by the world bank:
Page 112 (PDF Page 112)
https://documents1.worldbank.org/curated/en/549231468041382588/pdf/663630PAD0P1220Official0Use0Only090.pdf </t>
      </text>
    </comment>
    <comment ref="Q154" authorId="384" shapeId="0" xr:uid="{B188D497-2174-4EE8-A004-49D8E3564906}">
      <text>
        <t>[线程批注]
你的Excel版本可读取此线程批注; 但如果在更新版本的Excel中打开文件，则对批注所作的任何改动都将被删除。了解详细信息: https://go.microsoft.com/fwlink/?linkid=870924
注释:
    Operational life from OSeMOSYS</t>
      </text>
    </comment>
    <comment ref="K155" authorId="385" shapeId="0" xr:uid="{2525474A-F8B7-49E0-9F24-2913B03DE830}">
      <text>
        <t>[线程批注]
你的Excel版本可读取此线程批注; 但如果在更新版本的Excel中打开文件，则对批注所作的任何改动都将被删除。了解详细信息: https://go.microsoft.com/fwlink/?linkid=870924
注释:
    Total GDC Equity of $284 Million
$195 million in Domestic Currency
$89 million in USD
Microsoft Word - PAR Menengai Geothermal vSREP Final.doc (worldbank.org)</t>
      </text>
    </comment>
    <comment ref="P155" authorId="386" shapeId="0" xr:uid="{AE1561C3-D65F-42DB-BD61-C5EBDA9951BF}">
      <text>
        <t xml:space="preserve">[线程批注]
你的Excel版本可读取此线程批注; 但如果在更新版本的Excel中打开文件，则对批注所作的任何改动都将被删除。了解详细信息: https://go.microsoft.com/fwlink/?linkid=870924
注释:
    29.7% IRR on Kenya Geothermal KenGen
https://opendocs.ids.ac.uk/opendocs/bitstream/handle/20.500.12413/11297/ER190_CostandReturnsofRenewableEnergyinSubSaharanAfricaAComparisonofKenyaandGhana.pdf?sequence=1
答复:
    close to values reported by the world bank:
Page 112 (PDF Page 112)
https://documents1.worldbank.org/curated/en/549231468041382588/pdf/663630PAD0P1220Official0Use0Only090.pdf </t>
      </text>
    </comment>
    <comment ref="Q155" authorId="387" shapeId="0" xr:uid="{6AB98DFB-3BBF-48E4-8A7C-63321690C42C}">
      <text>
        <t>[线程批注]
你的Excel版本可读取此线程批注; 但如果在更新版本的Excel中打开文件，则对批注所作的任何改动都将被删除。了解详细信息: https://go.microsoft.com/fwlink/?linkid=870924
注释:
    Operational life from OSeMOSYS</t>
      </text>
    </comment>
    <comment ref="P156" authorId="388" shapeId="0" xr:uid="{2172EA52-5113-479D-A0F2-BB104A7F4484}">
      <text>
        <t>[线程批注]
你的Excel版本可读取此线程批注; 但如果在更新版本的Excel中打开文件，则对批注所作的任何改动都将被删除。了解详细信息: https://go.microsoft.com/fwlink/?linkid=870924
注释:
    0.1% interest on SREP loans reported by the World Bank
PDF Page 4.
https://pubdocs.worldbank.org/en/615591531555223611/1887-XSREKE012A-Kenya-Project-Document.pdf</t>
      </text>
    </comment>
    <comment ref="Q156" authorId="389" shapeId="0" xr:uid="{A52BD46C-C2E1-420C-B7E3-39C1AE5E5571}">
      <text>
        <t>[线程批注]
你的Excel版本可读取此线程批注; 但如果在更新版本的Excel中打开文件，则对批注所作的任何改动都将被删除。了解详细信息: https://go.microsoft.com/fwlink/?linkid=870924
注释:
    World Bank reports - 40 year Tenor on SREP Loans
Microsoft Word - PAR Menengai Geothermal vSREP Final.doc (worldbank.org)</t>
      </text>
    </comment>
    <comment ref="S156" authorId="390" shapeId="0" xr:uid="{1458A1A7-D123-4673-86BA-1AC020910304}">
      <text>
        <t>[线程批注]
你的Excel版本可读取此线程批注; 但如果在更新版本的Excel中打开文件，则对批注所作的任何改动都将被删除。了解详细信息: https://go.microsoft.com/fwlink/?linkid=870924
注释:
    World Bank reports - 10 year Grace Period on SREP Loans
Microsoft Word - PAR Menengai Geothermal vSREP Final.doc (worldbank.org)</t>
      </text>
    </comment>
    <comment ref="K157" authorId="391" shapeId="0" xr:uid="{187B645B-F32E-43A6-950D-586BF98901B4}">
      <text>
        <t>[线程批注]
你的Excel版本可读取此线程批注; 但如果在更新版本的Excel中打开文件，则对批注所作的任何改动都将被删除。了解详细信息: https://go.microsoft.com/fwlink/?linkid=870924
注释:
    Kaishan Group (100% Chinese State-owned) buys out OrPower 22 owned by Ormat Technologies Inc, Symbion Power LLC and Civicon Ltd for $11.3 Million
https://www.ijglobal.com/articles/174687/symbion-agrees-orpower-22-sale-to-kaishan</t>
      </text>
    </comment>
    <comment ref="P157" authorId="392" shapeId="0" xr:uid="{659FBFF3-EDDD-4808-B8AA-5D8DDC415C2B}">
      <text>
        <t>[线程批注]
你的Excel版本可读取此线程批注; 但如果在更新版本的Excel中打开文件，则对批注所作的任何改动都将被删除。了解详细信息: https://go.microsoft.com/fwlink/?linkid=870924
注释:
    Kaishan Group (100% Chinese State-owned) buys out OrPower 22 owned by Ormat Technologies Inc, Symbion Power LLC and Civicon Ltd for $11.3 Million
https://www.ijglobal.com/articles/174687/symbion-agrees-orpower-22-sale-to-kaishan</t>
      </text>
    </comment>
    <comment ref="Q157" authorId="393" shapeId="0" xr:uid="{763DF83F-E55C-409F-B8E0-EDD78BE26555}">
      <text>
        <t>[线程批注]
你的Excel版本可读取此线程批注; 但如果在更新版本的Excel中打开文件，则对批注所作的任何改动都将被删除。了解详细信息: https://go.microsoft.com/fwlink/?linkid=870924
注释:
    Kaishan Group (100% Chinese State-owned) buys out OrPower 22 owned by Ormat Technologies Inc, Symbion Power LLC and Civicon Ltd for $11.3 Million
https://www.ijglobal.com/articles/174687/symbion-agrees-orpower-22-sale-to-kaishan</t>
      </text>
    </comment>
    <comment ref="S157" authorId="394" shapeId="0" xr:uid="{BA7736C7-7342-4BC4-9FE6-70684185CA65}">
      <text>
        <t>[线程批注]
你的Excel版本可读取此线程批注; 但如果在更新版本的Excel中打开文件，则对批注所作的任何改动都将被删除。了解详细信息: https://go.microsoft.com/fwlink/?linkid=870924
注释:
    Kaishan Group (100% Chinese State-owned) buys out OrPower 22 owned by Ormat Technologies Inc, Symbion Power LLC and Civicon Ltd for $11.3 Million
https://www.ijglobal.com/articles/174687/symbion-agrees-orpower-22-sale-to-kaishan</t>
      </text>
    </comment>
    <comment ref="K158" authorId="395" shapeId="0" xr:uid="{8FDD3D6E-21FD-4BAC-A681-D151FF61359E}">
      <text>
        <t>[线程批注]
你的Excel版本可读取此线程批注; 但如果在更新版本的Excel中打开文件，则对批注所作的任何改动都将被删除。了解详细信息: https://go.microsoft.com/fwlink/?linkid=870924
注释:
    AfDB backed debt up to USD 29.5 Million Senior Debt
https://www.afdb.org/sites/default/files/documents/projects-and-operations/psn_quantum_power_menengai_geothermal_power_project.pdf</t>
      </text>
    </comment>
    <comment ref="P158" authorId="396" shapeId="0" xr:uid="{2D7EDF04-F6AB-482A-9A1B-20665C189BD9}">
      <text>
        <t>[线程批注]
你的Excel版本可读取此线程批注; 但如果在更新版本的Excel中打开文件，则对批注所作的任何改动都将被删除。了解详细信息: https://go.microsoft.com/fwlink/?linkid=870924
注释:
    Weighted Average Terms for AfDB loans based on values from this dataset
Term:        Interest     Term      Grace
Value:        0.82%      38.30       7.92
%Known:  61.98%    77.38%   77.38%</t>
      </text>
    </comment>
    <comment ref="Q158" authorId="397" shapeId="0" xr:uid="{0B02984C-86CC-4A6F-AACA-A40B13CBD320}">
      <text>
        <t>[线程批注]
你的Excel版本可读取此线程批注; 但如果在更新版本的Excel中打开文件，则对批注所作的任何改动都将被删除。了解详细信息: https://go.microsoft.com/fwlink/?linkid=870924
注释:
    Based on 16 year maturity and 2 year Grace reported in:
https://www.afdb.org/sites/default/files/documents/projects-and-operations/psn_quantum_power_menengai_geothermal_power_project.pdf</t>
      </text>
    </comment>
    <comment ref="S158" authorId="398" shapeId="0" xr:uid="{47E6CF48-A7A8-4E1F-B4FA-82057E5C0A18}">
      <text>
        <t>[线程批注]
你的Excel版本可读取此线程批注; 但如果在更新版本的Excel中打开文件，则对批注所作的任何改动都将被删除。了解详细信息: https://go.microsoft.com/fwlink/?linkid=870924
注释:
    Based on 16 year maturity and 2 year Grace reported in:
https://www.afdb.org/sites/default/files/documents/projects-and-operations/psn_quantum_power_menengai_geothermal_power_project.pdf</t>
      </text>
    </comment>
    <comment ref="K159" authorId="399" shapeId="0" xr:uid="{DAFF17A9-0E67-40F0-9AF4-89A8D245AA51}">
      <text>
        <t>[线程批注]
你的Excel版本可读取此线程批注; 但如果在更新版本的Excel中打开文件，则对批注所作的任何改动都将被删除。了解详细信息: https://go.microsoft.com/fwlink/?linkid=870924
注释:
    $20M from CTF 
https://www.afdb.org/sites/default/files/documents/projects-and-operations/psn_quantum_power_menengai_geothermal_power_project.pdf</t>
      </text>
    </comment>
    <comment ref="P159" authorId="400" shapeId="0" xr:uid="{6081B7D9-B101-4B99-8002-06BF816599EF}">
      <text>
        <t>[线程批注]
你的Excel版本可读取此线程批注; 但如果在更新版本的Excel中打开文件，则对批注所作的任何改动都将被删除。了解详细信息: https://go.microsoft.com/fwlink/?linkid=870924
注释:
    Weighted Average Terms for Climate Fund loans based on values from this dataset
Term:        Interest     Term      Grace
Value:        4.96%      14.11       1.00
%Known:   6.19%     29.29%    5.75%</t>
      </text>
    </comment>
    <comment ref="Q159" authorId="401" shapeId="0" xr:uid="{F66E32C2-F67E-4D19-8F80-41951B8D57A5}">
      <text>
        <t>[线程批注]
你的Excel版本可读取此线程批注; 但如果在更新版本的Excel中打开文件，则对批注所作的任何改动都将被删除。了解详细信息: https://go.microsoft.com/fwlink/?linkid=870924
注释:
    Weighted Average Terms for Climate Fund loans based on values from this dataset
Term:        Interest     Term      Grace
Value:        4.96%      14.11       1.00
%Known:   6.19%     29.29%    5.75%</t>
      </text>
    </comment>
    <comment ref="S159" authorId="402" shapeId="0" xr:uid="{52D21021-22D6-4CF5-90F9-2A724B060A09}">
      <text>
        <t>[线程批注]
你的Excel版本可读取此线程批注; 但如果在更新版本的Excel中打开文件，则对批注所作的任何改动都将被删除。了解详细信息: https://go.microsoft.com/fwlink/?linkid=870924
注释:
    Weighted Average Terms for Climate Fund loans based on values from this dataset
Term:        Interest     Term      Grace
Value:        4.96%      14.11       1.00
%Known:   6.19%     29.29%    5.75%</t>
      </text>
    </comment>
    <comment ref="K160" authorId="403" shapeId="0" xr:uid="{94104B42-CA03-4CFD-9A07-43F69DD95F5F}">
      <text>
        <t>[线程批注]
你的Excel版本可读取此线程批注; 但如果在更新版本的Excel中打开文件，则对批注所作的任何改动都将被删除。了解详细信息: https://go.microsoft.com/fwlink/?linkid=870924
注释:
    $5.8M from Finnfund
https://www.afdb.org/sites/default/files/documents/projects-and-operations/psn_quantum_power_menengai_geothermal_power_project.pdf</t>
      </text>
    </comment>
    <comment ref="P160" authorId="404" shapeId="0" xr:uid="{96A3B419-A881-42A0-A475-D1C9A1F9DCF2}">
      <text>
        <t>[线程批注]
你的Excel版本可读取此线程批注; 但如果在更新版本的Excel中打开文件，则对批注所作的任何改动都将被删除。了解详细信息: https://go.microsoft.com/fwlink/?linkid=870924
注释:
    Weighted Average Terms for Foreign Gov. loans based on values from this dataset
Term:        Interest     Term      Grace
Value:        2.41%      23.58       6.54
%Known:  51.96%    66.91%   50.41%</t>
      </text>
    </comment>
    <comment ref="Q160" authorId="405" shapeId="0" xr:uid="{6BDF8ADA-AA7D-4C7B-B04E-22BABE61B69C}">
      <text>
        <t>[线程批注]
你的Excel版本可读取此线程批注; 但如果在更新版本的Excel中打开文件，则对批注所作的任何改动都将被删除。了解详细信息: https://go.microsoft.com/fwlink/?linkid=870924
注释:
    Weighted Average Terms for Foreign Gov. loans based on values from this dataset
Term:        Interest     Term      Grace
Value:        2.41%      23.58       6.54
%Known:  51.96%    66.91%   50.41%</t>
      </text>
    </comment>
    <comment ref="S160" authorId="406" shapeId="0" xr:uid="{856DACDD-6985-480B-838B-0156F7EFF2ED}">
      <text>
        <t>[线程批注]
你的Excel版本可读取此线程批注; 但如果在更新版本的Excel中打开文件，则对批注所作的任何改动都将被删除。了解详细信息: https://go.microsoft.com/fwlink/?linkid=870924
注释:
    Weighted Average Terms for Foreign Gov. loans based on values from this dataset
Term:        Interest     Term      Grace
Value:        2.41%      23.58       6.54
%Known:  51.96%    66.91%   50.41%</t>
      </text>
    </comment>
    <comment ref="K161" authorId="407" shapeId="0" xr:uid="{B3CDD698-9519-4B41-896D-BDFD43FC2F03}">
      <text>
        <t>[线程批注]
你的Excel版本可读取此线程批注; 但如果在更新版本的Excel中打开文件，则对批注所作的任何改动都将被删除。了解详细信息: https://go.microsoft.com/fwlink/?linkid=870924
注释:
    $18M from TBD (Formerly PTA)
https://www.afdb.org/sites/default/files/documents/projects-and-operations/psn_quantum_power_menengai_geothermal_power_project.pdf</t>
      </text>
    </comment>
    <comment ref="P161" authorId="408" shapeId="0" xr:uid="{4AC7CF3E-7298-40B1-ADAE-F49D5FF44E5D}">
      <text>
        <t>[线程批注]
你的Excel版本可读取此线程批注; 但如果在更新版本的Excel中打开文件，则对批注所作的任何改动都将被删除。了解详细信息: https://go.microsoft.com/fwlink/?linkid=870924
注释:
    Weighted Average Terms for Multilateral Agency loans based on values from this dataset
Term:        Interest     Term      Grace
Value:        2.39%      33.67       6.96
%Known:  46.21%    52.38%   44.87%</t>
      </text>
    </comment>
    <comment ref="Q161" authorId="409" shapeId="0" xr:uid="{C413BD37-A730-4F2D-A867-6B047214B729}">
      <text>
        <t>[线程批注]
你的Excel版本可读取此线程批注; 但如果在更新版本的Excel中打开文件，则对批注所作的任何改动都将被删除。了解详细信息: https://go.microsoft.com/fwlink/?linkid=870924
注释:
    Weighted Average Terms for Multilateral Agency loans based on values from this dataset
Term:        Interest     Term      Grace
Value:        2.39%      33.67       6.96
%Known:  46.21%    52.38%   44.87%</t>
      </text>
    </comment>
    <comment ref="S161" authorId="410" shapeId="0" xr:uid="{6E8B5C9C-7B11-4FA5-849E-4802F70D763D}">
      <text>
        <t>[线程批注]
你的Excel版本可读取此线程批注; 但如果在更新版本的Excel中打开文件，则对批注所作的任何改动都将被删除。了解详细信息: https://go.microsoft.com/fwlink/?linkid=870924
注释:
    Weighted Average Terms for Multilateral Agency loans based on values from this dataset
Term:        Interest     Term      Grace
Value:        2.39%      33.67       6.96
%Known:  46.21%    52.38%   44.87%</t>
      </text>
    </comment>
    <comment ref="K162" authorId="411" shapeId="0" xr:uid="{BCA0EFE7-5105-4492-AF54-CB40FFFFE975}">
      <text>
        <t xml:space="preserve">[线程批注]
你的Excel版本可读取此线程批注; 但如果在更新版本的Excel中打开文件，则对批注所作的任何改动都将被删除。了解详细信息: https://go.microsoft.com/fwlink/?linkid=870924
注释:
    Reported 75:25 Debt to Equity Ratio
Quantum Power East Africa Reported as Sole Shareholder through SPV QPEA GT Menengai Ltd.
Debt to Equity Ratio:
https://www.afdb.org/sites/default/files/documents/projects-and-operations/psn_quantum_power_menengai_geothermal_power_project.pdf
Shareholder:
https://www.gdc.co.ke/tenders/Kenya_-_Quantum_Power_-_Menengai_Geothermal_Power_Development-_1x_35mw_Project_in_Nakuru_County_Kenya_-_ESIA_Summary.pdf 
答复:
    Later bought out by Globeleq (70% BII and 30% Norfund Owned) 
https://www.thinkgeoenergy.com/uk-investment-firm-acquires-controlling-stake-in-one-of-the-menengai-geothermal-ipp-projects/ 
https://www.globeleq.com/blog/globeleq-signs-financing-agreement-on-us108-million-menengai-geothermal-project-in-kenya/ </t>
      </text>
    </comment>
    <comment ref="P162" authorId="412" shapeId="0" xr:uid="{FA47BD2B-EBD2-4ABE-B833-FD279D07E48B}">
      <text>
        <t xml:space="preserve">[线程批注]
你的Excel版本可读取此线程批注; 但如果在更新版本的Excel中打开文件，则对批注所作的任何改动都将被删除。了解详细信息: https://go.microsoft.com/fwlink/?linkid=870924
注释:
    16.5% FIRR based on AfDB Risk Assessment Report 
Page 7.
https://www.afdb.org/fileadmin/uploads/afdb/Documents/Project-and-Operations/Kenya__AR-GDC_Menengai_105MW__IPP_Partial_Risk_Guarantee.pdf
could be up to 31% according to 
https://www.researchgate.net/publication/330845831_FINANCIAL_ASSESSMENT_OF_COMMERCIAL_EXTRACTION_OF_SULPHUR_AND_CARBON_DIOXIDE_FROM_GEOTHERMAL_GASES_IN_MENENGAI_KENYA </t>
      </text>
    </comment>
    <comment ref="Q162" authorId="413" shapeId="0" xr:uid="{574BC055-B16C-4DF3-A231-A1401428D556}">
      <text>
        <t xml:space="preserve">[线程批注]
你的Excel版本可读取此线程批注; 但如果在更新版本的Excel中打开文件，则对批注所作的任何改动都将被删除。了解详细信息: https://go.microsoft.com/fwlink/?linkid=870924
注释:
    Based on Life-span of African Geothermal Plants 
25 years according to:
https://www.sciencedirect.com/science/article/pii/S2352340922002323
Lucy Allington, Carla Cannone, Ioannis Pappis, Karla Cervantes Barron, Will Usher, Steve Pye, Edward Brown, Mark Howells, Miriam Zachau Walker, Aniq Ahsan, Flora Charbonnier, Claire Halloran, Stephanie Hirmer, Jennifer Cronin, Constantinos Taliotis, Caroline Sundin, Vignesh Sridharan, Eunice Ramos, Maarten Brinkerink, Paul Deane, Andrii Gritsevskyi, Gustavo Moura, Arnaud Rouget, David Wogan, Edito Barcelona, Taco Niet, Holger Rogner, Franziska Bock, Jairo Quirós-Tortós, Jam Angulo-Paniagua, Satheesh Krishnamurthy, John Harrison, Long Seng To,
Selected ‘Starter kit’ energy system modelling data for selected countries in Africa, East Asia, and South America (#CCG, 2021),
Data in Brief,
Volume 42,
2022,
108021,
ISSN 2352-3409,
https://doi.org/10.1016/j.dib.2022.108021.
</t>
      </text>
    </comment>
    <comment ref="S162" authorId="414" shapeId="0" xr:uid="{D2E958BF-3450-4D92-AF97-518B227A1C66}">
      <text>
        <t>[线程批注]
你的Excel版本可读取此线程批注; 但如果在更新版本的Excel中打开文件，则对批注所作的任何改动都将被删除。了解详细信息: https://go.microsoft.com/fwlink/?linkid=870924
注释:
    Based on average loan terms from values from this dataset</t>
      </text>
    </comment>
    <comment ref="K163" authorId="415" shapeId="0" xr:uid="{B7970FC6-BA01-44F6-B59A-A9A92E79FED4}">
      <text>
        <t>[线程批注]
你的Excel版本可读取此线程批注; 但如果在更新版本的Excel中打开文件，则对批注所作的任何改动都将被删除。了解详细信息: https://go.microsoft.com/fwlink/?linkid=870924
注释:
    Soisan Power has reached fianncial close and operation despite AfDB withdrawing financing
Daniel Arap Moi-linked Sosian Energy starts supplying power to national grid - Business Daily (businessdailyafrica.com)</t>
      </text>
    </comment>
    <comment ref="P163" authorId="416" shapeId="0" xr:uid="{FF7125FC-D5F2-4099-8A2F-D36883FEE252}">
      <text>
        <t>[线程批注]
你的Excel版本可读取此线程批注; 但如果在更新版本的Excel中打开文件，则对批注所作的任何改动都将被删除。了解详细信息: https://go.microsoft.com/fwlink/?linkid=870924
注释:
    Shareholder Return of 17.1% based on World Bank Report Page 12 (PDF Page 20) 
https://documents1.worldbank.org/curated/zh/945011468273658996/pdf/839230PAD0IDA0010Box382166B00OUO090.pdf</t>
      </text>
    </comment>
    <comment ref="B164" authorId="417" shapeId="0" xr:uid="{7437AD7A-A013-444F-8D72-E35B2637E16A}">
      <text>
        <t xml:space="preserve">[线程批注]
你的Excel版本可读取此线程批注; 但如果在更新版本的Excel中打开文件，则对批注所作的任何改动都将被删除。了解详细信息: https://go.microsoft.com/fwlink/?linkid=870924
注释:
    Hybrid plant, containing solar, wind and battery. 
IRR?
Don’t know debt vs equity ratio. </t>
      </text>
    </comment>
    <comment ref="C164" authorId="418" shapeId="0" xr:uid="{26273EE4-0BF2-4828-A1A1-469E5EBB6E5F}">
      <text>
        <t>[线程批注]
你的Excel版本可读取此线程批注; 但如果在更新版本的Excel中打开文件，则对批注所作的任何改动都将被删除。了解详细信息: https://go.microsoft.com/fwlink/?linkid=870924
注释:
    Solar, Wind and BESS Hybrid Plant</t>
      </text>
    </comment>
    <comment ref="E164" authorId="419" shapeId="0" xr:uid="{0E1AB6DD-20A3-4777-A823-F7AFFC83B4B1}">
      <text>
        <t>[线程批注]
你的Excel版本可读取此线程批注; 但如果在更新版本的Excel中打开文件，则对批注所作的任何改动都将被删除。了解详细信息: https://go.microsoft.com/fwlink/?linkid=870924
注释:
    Agreement Signed 2019
https://www.invest.go.ke/meru-host-africas-first-sh15b-hybrid-power-plant/</t>
      </text>
    </comment>
    <comment ref="K164" authorId="420" shapeId="0" xr:uid="{BFFAD589-4BFD-4742-B585-59D267346FD5}">
      <text>
        <t>[线程批注]
你的Excel版本可读取此线程批注; 但如果在更新版本的Excel中打开文件，则对批注所作的任何改动都将被删除。了解详细信息: https://go.microsoft.com/fwlink/?linkid=870924
注释:
    Equity Divide:
5% Local Council (MCIDC)
23.75% Eurus Energy (25% of 95%)
71.25% WindLabs (75% of 95%)
Page 47 (PDF Page 51)
https://announcements.asx.com.au/asxpdf/20200430/pdf/44hfh3wmcy9tk3.pdf</t>
      </text>
    </comment>
    <comment ref="P164" authorId="421" shapeId="0" xr:uid="{93C09AA5-8889-409D-AF2B-E47F86775BF1}">
      <text>
        <t>[线程批注]
你的Excel版本可读取此线程批注; 但如果在更新版本的Excel中打开文件，则对批注所作的任何改动都将被删除。了解详细信息: https://go.microsoft.com/fwlink/?linkid=870924
注释:
    Based on Government-arranged ROE for Solar based on:
Page 38 (PDF Page 40)
https://core.ac.uk/download/pdf/43542198.pdf
答复:
    Not BESS - and also does not account for Wind and Solar Hybrid Mix</t>
      </text>
    </comment>
    <comment ref="Q164" authorId="422" shapeId="0" xr:uid="{87E8AF4A-8DB0-4D64-8E5A-3448BED2EC3A}">
      <text>
        <t>[线程批注]
你的Excel版本可读取此线程批注; 但如果在更新版本的Excel中打开文件，则对批注所作的任何改动都将被删除。了解详细信息: https://go.microsoft.com/fwlink/?linkid=870924
注释:
    Based on Solar with BESS Storage and Distribution from:
https://www.sciencedirect.com/science/article/pii/S2352340922002323</t>
      </text>
    </comment>
    <comment ref="C165" authorId="423" shapeId="0" xr:uid="{7B0098F4-2335-43C4-AACA-F7A46D22CB62}">
      <text>
        <t>[线程批注]
你的Excel版本可读取此线程批注; 但如果在更新版本的Excel中打开文件，则对批注所作的任何改动都将被删除。了解详细信息: https://go.microsoft.com/fwlink/?linkid=870924
注释:
    Solar, Wind and BESS Hybrid Plant</t>
      </text>
    </comment>
    <comment ref="E165" authorId="424" shapeId="0" xr:uid="{412E18B6-7D78-4A4F-B788-9E9368D5AE67}">
      <text>
        <t>[线程批注]
你的Excel版本可读取此线程批注; 但如果在更新版本的Excel中打开文件，则对批注所作的任何改动都将被删除。了解详细信息: https://go.microsoft.com/fwlink/?linkid=870924
注释:
    Agreement Signed 2019
https://www.invest.go.ke/meru-host-africas-first-sh15b-hybrid-power-plant/</t>
      </text>
    </comment>
    <comment ref="K165" authorId="425" shapeId="0" xr:uid="{8A83706B-F72A-4F0F-BA00-32FA2421F87C}">
      <text>
        <t>[线程批注]
你的Excel版本可读取此线程批注; 但如果在更新版本的Excel中打开文件，则对批注所作的任何改动都将被删除。了解详细信息: https://go.microsoft.com/fwlink/?linkid=870924
注释:
    Equity Divide:
5% Local Council (MCIDC)
23.75% Eurus Energy (25% of 95%)
71.25% WindLabs (75% of 95%)
Page 47 (PDF Page 51)
https://announcements.asx.com.au/asxpdf/20200430/pdf/44hfh3wmcy9tk3.pdf</t>
      </text>
    </comment>
    <comment ref="P165" authorId="426" shapeId="0" xr:uid="{ACED1265-BBAF-4BDF-9DB6-E2A08B34D235}">
      <text>
        <t>[线程批注]
你的Excel版本可读取此线程批注; 但如果在更新版本的Excel中打开文件，则对批注所作的任何改动都将被删除。了解详细信息: https://go.microsoft.com/fwlink/?linkid=870924
注释:
    Based on IPP ROE for Solar based on:
Page 38 (PDF Page 40)
https://core.ac.uk/download/pdf/43542198.pdf
答复:
    Not BESS - and also does not account for Wind and Solar Hybrid Mix</t>
      </text>
    </comment>
    <comment ref="Q165" authorId="427" shapeId="0" xr:uid="{16EA4476-946B-4130-8F10-736E3F781B58}">
      <text>
        <t>[线程批注]
你的Excel版本可读取此线程批注; 但如果在更新版本的Excel中打开文件，则对批注所作的任何改动都将被删除。了解详细信息: https://go.microsoft.com/fwlink/?linkid=870924
注释:
    Based on Solar with BESS Storage and Distribution from:
https://www.sciencedirect.com/science/article/pii/S2352340922002323</t>
      </text>
    </comment>
    <comment ref="C166" authorId="428" shapeId="0" xr:uid="{1DC6883B-4685-4C9B-B911-66CF53477100}">
      <text>
        <t>[线程批注]
你的Excel版本可读取此线程批注; 但如果在更新版本的Excel中打开文件，则对批注所作的任何改动都将被删除。了解详细信息: https://go.microsoft.com/fwlink/?linkid=870924
注释:
    Solar, Wind and BESS Hybrid Plant</t>
      </text>
    </comment>
    <comment ref="E166" authorId="429" shapeId="0" xr:uid="{3F8707DE-0881-4956-A7E0-895366BE36B5}">
      <text>
        <t>[线程批注]
你的Excel版本可读取此线程批注; 但如果在更新版本的Excel中打开文件，则对批注所作的任何改动都将被删除。了解详细信息: https://go.microsoft.com/fwlink/?linkid=870924
注释:
    Agreement Signed 2019
https://www.invest.go.ke/meru-host-africas-first-sh15b-hybrid-power-plant/</t>
      </text>
    </comment>
    <comment ref="K166" authorId="430" shapeId="0" xr:uid="{A92EC60A-05D9-4342-A88C-BE7D837AE11F}">
      <text>
        <t>[线程批注]
你的Excel版本可读取此线程批注; 但如果在更新版本的Excel中打开文件，则对批注所作的任何改动都将被删除。了解详细信息: https://go.microsoft.com/fwlink/?linkid=870924
注释:
    Equity Divide:
5% Local Council (MCIDC)
23.75% Eurus Energy (25% of 95%)
71.25% WindLabs (75% of 95%)
Page 47 (PDF Page 51)
https://announcements.asx.com.au/asxpdf/20200430/pdf/44hfh3wmcy9tk3.pdf</t>
      </text>
    </comment>
    <comment ref="P166" authorId="431" shapeId="0" xr:uid="{83E99D50-3393-4ABD-A039-64FBFE6432DA}">
      <text>
        <t>[线程批注]
你的Excel版本可读取此线程批注; 但如果在更新版本的Excel中打开文件，则对批注所作的任何改动都将被删除。了解详细信息: https://go.microsoft.com/fwlink/?linkid=870924
注释:
    Based on IPP ROE for Solar based on:
Page 38 (PDF Page 40)
https://core.ac.uk/download/pdf/43542198.pdf
答复:
    Not BESS - and also does not account for Wind and Solar Hybrid Mix</t>
      </text>
    </comment>
    <comment ref="Q166" authorId="432" shapeId="0" xr:uid="{1EDE6652-3E84-491E-9420-46AAA141696D}">
      <text>
        <t>[线程批注]
你的Excel版本可读取此线程批注; 但如果在更新版本的Excel中打开文件，则对批注所作的任何改动都将被删除。了解详细信息: https://go.microsoft.com/fwlink/?linkid=870924
注释:
    Based on Solar with BESS Storage and Distribution from:
https://www.sciencedirect.com/science/article/pii/S2352340922002323</t>
      </text>
    </comment>
    <comment ref="C167" authorId="433" shapeId="0" xr:uid="{FE03CF85-6322-47E7-92E2-011D80431457}">
      <text>
        <t>[线程批注]
你的Excel版本可读取此线程批注; 但如果在更新版本的Excel中打开文件，则对批注所作的任何改动都将被删除。了解详细信息: https://go.microsoft.com/fwlink/?linkid=870924
注释:
    Distribution and Transmission</t>
      </text>
    </comment>
    <comment ref="K167" authorId="434" shapeId="0" xr:uid="{AE92EB0A-5583-4A9C-934E-BF652A1E9C5F}">
      <text>
        <t>[线程批注]
你的Excel版本可读取此线程批注; 但如果在更新版本的Excel中打开文件，则对批注所作的任何改动都将被删除。了解详细信息: https://go.microsoft.com/fwlink/?linkid=870924
注释:
    EUR 36.44M reported by World Bank / KETRACO
Page 6 (PDF Page 19)
https://documents1.worldbank.org/curated/en/099605001202331933/pdf/P12657908a8a4d0020b9b50813863dbc90a.pdf</t>
      </text>
    </comment>
    <comment ref="P167" authorId="435" shapeId="0" xr:uid="{1C9D3337-9A6F-4F5C-9E08-D0BB34AD584D}">
      <text>
        <t>[线程批注]
你的Excel版本可读取此线程批注; 但如果在更新版本的Excel中打开文件，则对批注所作的任何改动都将被删除。了解详细信息: https://go.microsoft.com/fwlink/?linkid=870924
注释:
    1.6% interest loan to GoK reported in:
https://www.treasury.go.ke/wp-content/uploads/2021/09/External-Public-Debt-Register-as-at-End-June-2019.pdf</t>
      </text>
    </comment>
    <comment ref="Q167" authorId="436" shapeId="0" xr:uid="{D1D6DF45-3C45-436A-B226-ECF26EB7232A}">
      <text>
        <t>[线程批注]
你的Excel版本可读取此线程批注; 但如果在更新版本的Excel中打开文件，则对批注所作的任何改动都将被删除。了解详细信息: https://go.microsoft.com/fwlink/?linkid=870924
注释:
    Part of Ethiopia Energy Highway Project: Repayments start 2021, end 2033
9 year grace
21 year maturity
https://www.treasury.go.ke/wp-content/uploads/2021/09/External-Public-Debt-Register-as-at-End-June-2019.pdf</t>
      </text>
    </comment>
    <comment ref="S167" authorId="437" shapeId="0" xr:uid="{5BCB804B-783B-4B79-8A8F-0AFE4AB2E1D2}">
      <text>
        <t>[线程批注]
你的Excel版本可读取此线程批注; 但如果在更新版本的Excel中打开文件，则对批注所作的任何改动都将被删除。了解详细信息: https://go.microsoft.com/fwlink/?linkid=870924
注释:
    Part of Ethiopia Energy Highway Project: Repayments start 2021, end 2033
9 year grace
21 year maturity
https://www.treasury.go.ke/wp-content/uploads/2021/09/External-Public-Debt-Register-as-at-End-June-2019.pdf</t>
      </text>
    </comment>
    <comment ref="J168" authorId="438" shapeId="0" xr:uid="{D6360567-530A-4CD5-8914-73DF9D870BC5}">
      <text>
        <t>[线程批注]
你的Excel版本可读取此线程批注; 但如果在更新版本的Excel中打开文件，则对批注所作的任何改动都将被删除。了解详细信息: https://go.microsoft.com/fwlink/?linkid=870924
注释:
    CNY 833,000,000 Committed in Nov 2013
Converted to USD based on average exchange rates for Nov 2013
https://www.treasury.go.ke/wp-content/uploads/2023/05/External-Public-Debt-Register-as-at-End-June-2022.pdf</t>
      </text>
    </comment>
    <comment ref="K168" authorId="439" shapeId="0" xr:uid="{353DF548-7E29-4C5B-B446-67A50677E955}">
      <text>
        <t>[线程批注]
你的Excel版本可读取此线程批注; 但如果在更新版本的Excel中打开文件，则对批注所作的任何改动都将被删除。了解详细信息: https://go.microsoft.com/fwlink/?linkid=870924
注释:
    https://china.aiddata.org/projects/36048/</t>
      </text>
    </comment>
    <comment ref="P168" authorId="440" shapeId="0" xr:uid="{5661C50C-CB00-460E-B8F7-15A9C39AF2BA}">
      <text>
        <t xml:space="preserve">[线程批注]
你的Excel版本可读取此线程批注; 但如果在更新版本的Excel中打开文件，则对批注所作的任何改动都将被删除。了解详细信息: https://go.microsoft.com/fwlink/?linkid=870924
注释:
    2% interest rate committed 2013, repayable between 2020 and 2032
2% Interest
7 Year Grace
20 Year Maturity
https://www.treasury.go.ke/wp-content/uploads/2021/09/External-Public-Debt-Register-as-at-End-June-2019.pdf
https://www.treasury.go.ke/wp-content/uploads/2023/05/External-Public-Debt-Register-as-at-End-June-2022.pdf 
</t>
      </text>
    </comment>
    <comment ref="Q168" authorId="441" shapeId="0" xr:uid="{2A257F62-D41E-417D-8C76-8270451FE136}">
      <text>
        <t>[线程批注]
你的Excel版本可读取此线程批注; 但如果在更新版本的Excel中打开文件，则对批注所作的任何改动都将被删除。了解详细信息: https://go.microsoft.com/fwlink/?linkid=870924
注释:
    2% interest rate committed 2013, repayable between 2020 and 2032
2% Interest
7 Year Grace
19 Year Maturity
https://www.treasury.go.ke/wp-content/uploads/2021/09/External-Public-Debt-Register-as-at-End-June-2019.pdf
https://www.treasury.go.ke/wp-content/uploads/2023/05/External-Public-Debt-Register-as-at-End-June-2022.pdf</t>
      </text>
    </comment>
    <comment ref="S168" authorId="442" shapeId="0" xr:uid="{869905F5-BE65-4065-99CD-67C63EE27350}">
      <text>
        <t>[线程批注]
你的Excel版本可读取此线程批注; 但如果在更新版本的Excel中打开文件，则对批注所作的任何改动都将被删除。了解详细信息: https://go.microsoft.com/fwlink/?linkid=870924
注释:
    2% interest rate committed 2013, repayable between 2020 and 2032
2% Interest
7 Year Grace
19 Year Maturity
https://www.treasury.go.ke/wp-content/uploads/2021/09/External-Public-Debt-Register-as-at-End-June-2019.pdf
https://www.treasury.go.ke/wp-content/uploads/2023/05/External-Public-Debt-Register-as-at-End-June-2022.pdf</t>
      </text>
    </comment>
    <comment ref="K169" authorId="443" shapeId="0" xr:uid="{8FB18B8B-58F8-4812-8721-CA0BFA656B92}">
      <text>
        <t>[线程批注]
你的Excel版本可读取此线程批注; 但如果在更新版本的Excel中打开文件，则对批注所作的任何改动都将被删除。了解详细信息: https://go.microsoft.com/fwlink/?linkid=870924
注释:
    CNY 660,000,000 Committed in May 2014
Converted to USD based on average exchange rates for May 2014
https://www.treasury.go.ke/wp-content/uploads/2023/05/External-Public-Debt-Register-as-at-End-June-2022.pdf</t>
      </text>
    </comment>
    <comment ref="P169" authorId="444" shapeId="0" xr:uid="{816D2BBA-4BCB-487F-A21F-0830803A49EC}">
      <text>
        <t xml:space="preserve">[线程批注]
你的Excel版本可读取此线程批注; 但如果在更新版本的Excel中打开文件，则对批注所作的任何改动都将被删除。了解详细信息: https://go.microsoft.com/fwlink/?linkid=870924
注释:
    2% interest rate committed 2014, repayable between 2021 and 2034
2% Interest
7 Year Grace
20 Year Maturity
https://www.treasury.go.ke/wp-content/uploads/2021/09/External-Public-Debt-Register-as-at-End-June-2019.pdf
https://www.treasury.go.ke/wp-content/uploads/2023/05/External-Public-Debt-Register-as-at-End-June-2022.pdf 
</t>
      </text>
    </comment>
    <comment ref="Q169" authorId="445" shapeId="0" xr:uid="{A54DBE84-AB1F-471E-959C-DB6895A8EFA8}">
      <text>
        <t xml:space="preserve">[线程批注]
你的Excel版本可读取此线程批注; 但如果在更新版本的Excel中打开文件，则对批注所作的任何改动都将被删除。了解详细信息: https://go.microsoft.com/fwlink/?linkid=870924
注释:
    2% interest rate committed 2014, repayable between 2021 and 2034
2% Interest
7 Year Grace
20 Year Maturity
https://www.treasury.go.ke/wp-content/uploads/2021/09/External-Public-Debt-Register-as-at-End-June-2019.pdf
https://www.treasury.go.ke/wp-content/uploads/2023/05/External-Public-Debt-Register-as-at-End-June-2022.pdf </t>
      </text>
    </comment>
    <comment ref="S169" authorId="446" shapeId="0" xr:uid="{58230B5C-963E-4E75-81B2-457C3005C562}">
      <text>
        <t xml:space="preserve">[线程批注]
你的Excel版本可读取此线程批注; 但如果在更新版本的Excel中打开文件，则对批注所作的任何改动都将被删除。了解详细信息: https://go.microsoft.com/fwlink/?linkid=870924
注释:
    2% interest rate committed 2014, repayable between 2021 and 2034
2% Interest
7 Year Grace
20 Year Maturity
https://www.treasury.go.ke/wp-content/uploads/2021/09/External-Public-Debt-Register-as-at-End-June-2019.pdf
https://www.treasury.go.ke/wp-content/uploads/2023/05/External-Public-Debt-Register-as-at-End-June-2022.pdf </t>
      </text>
    </comment>
    <comment ref="K170" authorId="447" shapeId="0" xr:uid="{4BE96646-7857-45CF-B37B-C02E003F9246}">
      <text>
        <t>[线程批注]
你的Excel版本可读取此线程批注; 但如果在更新版本的Excel中打开文件，则对批注所作的任何改动都将被删除。了解详细信息: https://go.microsoft.com/fwlink/?linkid=870924
注释:
    CNY 660,000,000 Committed in May 2017
Converted to USD based on average exchange rates for May 2017
https://www.treasury.go.ke/wp-content/uploads/2023/05/External-Public-Debt-Register-as-at-End-June-2022.pdf</t>
      </text>
    </comment>
    <comment ref="P170" authorId="448" shapeId="0" xr:uid="{781424F4-FF70-4ECD-B21F-BB1DA774D689}">
      <text>
        <t>[线程批注]
你的Excel版本可读取此线程批注; 但如果在更新版本的Excel中打开文件，则对批注所作的任何改动都将被删除。了解详细信息: https://go.microsoft.com/fwlink/?linkid=870924
注释:
    Weighted Average Terms for Chinese Loans based on values from this dataset
Term:        Interest     Term      Grace
Value:        2.69%      19.16       6.13
%Known:  52.05%    70.17%   55.78%</t>
      </text>
    </comment>
    <comment ref="Q170" authorId="449" shapeId="0" xr:uid="{54B53DB4-AC2B-4496-A9F3-FE4864CE56EA}">
      <text>
        <t xml:space="preserve">[线程批注]
你的Excel版本可读取此线程批注; 但如果在更新版本的Excel中打开文件，则对批注所作的任何改动都将被删除。了解详细信息: https://go.microsoft.com/fwlink/?linkid=870924
注释:
    interest rate committed 2017, repayable between ___ and 2036
_% Interest
__ Year Grace
19 Year Maturity
https://www.treasury.go.ke/wp-content/uploads/2023/05/External-Public-Debt-Register-as-at-End-June-2022.pdf </t>
      </text>
    </comment>
    <comment ref="S170" authorId="450" shapeId="0" xr:uid="{544A0A5C-92C3-4A02-828A-785E554256E2}">
      <text>
        <t>[线程批注]
你的Excel版本可读取此线程批注; 但如果在更新版本的Excel中打开文件，则对批注所作的任何改动都将被删除。了解详细信息: https://go.microsoft.com/fwlink/?linkid=870924
注释:
    Weighted Average Terms for Chinese Loans based on values from this dataset
Term:        Interest     Term      Grace
Value:        2.69%      19.16       6.13
%Known:  52.05%    70.17%   55.78%</t>
      </text>
    </comment>
    <comment ref="K171" authorId="451" shapeId="0" xr:uid="{D67A4C00-3D64-4CF3-BE53-9B44F869ADBB}">
      <text>
        <t>[线程批注]
你的Excel版本可读取此线程批注; 但如果在更新版本的Excel中打开文件，则对批注所作的任何改动都将被删除。了解详细信息: https://go.microsoft.com/fwlink/?linkid=870924
注释:
    CNY 660,000,000 Committed in May 2017
Converted to USD based on average exchange rates for May 2017
https://www.treasury.go.ke/wp-content/uploads/2023/05/External-Public-Debt-Register-as-at-End-June-2022.pdf</t>
      </text>
    </comment>
    <comment ref="P171" authorId="452" shapeId="0" xr:uid="{C0D15767-3ACD-4618-8EA7-CEAE73A6701C}">
      <text>
        <t>[线程批注]
你的Excel版本可读取此线程批注; 但如果在更新版本的Excel中打开文件，则对批注所作的任何改动都将被删除。了解详细信息: https://go.microsoft.com/fwlink/?linkid=870924
注释:
    Weighted Average Terms for Chinese Loans based on values from this dataset
Term:        Interest     Term      Grace
Value:        2.69%      19.16       6.13
%Known:  52.05%    70.17%   55.78%</t>
      </text>
    </comment>
    <comment ref="Q171" authorId="453" shapeId="0" xr:uid="{427D7A49-BF12-46C3-8176-0A86B3E79E72}">
      <text>
        <t xml:space="preserve">[线程批注]
你的Excel版本可读取此线程批注; 但如果在更新版本的Excel中打开文件，则对批注所作的任何改动都将被删除。了解详细信息: https://go.microsoft.com/fwlink/?linkid=870924
注释:
    interest rate committed 2017, repayable between ___ and 2036
_% Interest
__ Year Grace
19 Year Maturity
https://www.treasury.go.ke/wp-content/uploads/2023/05/External-Public-Debt-Register-as-at-End-June-2022.pdf </t>
      </text>
    </comment>
    <comment ref="S171" authorId="454" shapeId="0" xr:uid="{ED27D216-6C09-43C4-8D40-C7DE92C5C80C}">
      <text>
        <t>[线程批注]
你的Excel版本可读取此线程批注; 但如果在更新版本的Excel中打开文件，则对批注所作的任何改动都将被删除。了解详细信息: https://go.microsoft.com/fwlink/?linkid=870924
注释:
    Weighted Average Terms for Chinese Loans based on values from this dataset
Term:        Interest     Term      Grace
Value:        2.69%      19.16       6.13
%Known:  52.05%    70.17%   55.78%</t>
      </text>
    </comment>
    <comment ref="K172" authorId="455" shapeId="0" xr:uid="{77F27F4A-1F4B-4629-8214-5075DB0EFF10}">
      <text>
        <t>[线程批注]
你的Excel版本可读取此线程批注; 但如果在更新版本的Excel中打开文件，则对批注所作的任何改动都将被删除。了解详细信息: https://go.microsoft.com/fwlink/?linkid=870924
注释:
    Page 26 of 33, Project 2012025
https://www.treasury.go.ke/wp-content/uploads/2021/09/External-Public-Debt-Register-as-at-End-June-2019.pdf</t>
      </text>
    </comment>
    <comment ref="P172" authorId="456" shapeId="0" xr:uid="{8458E316-A408-4074-92D1-AF5EBD846000}">
      <text>
        <t>[线程批注]
你的Excel版本可读取此线程批注; 但如果在更新版本的Excel中打开文件，则对批注所作的任何改动都将被删除。了解详细信息: https://go.microsoft.com/fwlink/?linkid=870924
注释:
    Interest Rate and Maturity reported in KenGen annual statement 2014
https://africanfinancials.com/document/ke-kegn-2014-ar-00/ 
答复:
    initially lent to GoK at 0% interest
Initially leant to the GoK at 1.1% interest rate
https://www.treasury.go.ke/wp-content/uploads/2021/09/External-Public-Debt-Register-as-at-End-June-2019.pdf</t>
      </text>
    </comment>
    <comment ref="Q172" authorId="457" shapeId="0" xr:uid="{5AF5C56C-AE8B-43DD-8A2B-B115F9AB61FD}">
      <text>
        <t xml:space="preserve">[线程批注]
你的Excel版本可读取此线程批注; 但如果在更新版本的Excel中打开文件，则对批注所作的任何改动都将被删除。了解详细信息: https://go.microsoft.com/fwlink/?linkid=870924
注释:
    Interest Rate and Maturity reported in KenGen annual statement 2014
https://africanfinancials.com/document/ke-kegn-2014-ar-00/ </t>
      </text>
    </comment>
    <comment ref="S172" authorId="458" shapeId="0" xr:uid="{B083358C-AF7D-47A7-BF6F-08598F5BE594}">
      <text>
        <t>[线程批注]
你的Excel版本可读取此线程批注; 但如果在更新版本的Excel中打开文件，则对批注所作的任何改动都将被删除。了解详细信息: https://go.microsoft.com/fwlink/?linkid=870924
注释:
    Based on 2012 commitment and repayments starting in 2015
https://www.treasury.go.ke/wp-content/uploads/2021/09/External-Public-Debt-Register-as-at-End-June-2019.pdf</t>
      </text>
    </comment>
    <comment ref="K173" authorId="459" shapeId="0" xr:uid="{9E8E62CA-72AF-437F-90F8-E71FB8DEAC8A}">
      <text>
        <t>[线程批注]
你的Excel版本可读取此线程批注; 但如果在更新版本的Excel中打开文件，则对批注所作的任何改动都将被删除。了解详细信息: https://go.microsoft.com/fwlink/?linkid=870924
注释:
    Page 265 of 33, Project 2012013
https://www.treasury.go.ke/wp-content/uploads/2021/09/External-Public-Debt-Register-as-at-End-June-2019.pdf</t>
      </text>
    </comment>
    <comment ref="P173" authorId="460" shapeId="0" xr:uid="{784DDE9E-FB81-4594-A441-F8ACA7A6049C}">
      <text>
        <t>[线程批注]
你的Excel版本可读取此线程批注; 但如果在更新版本的Excel中打开文件，则对批注所作的任何改动都将被删除。了解详细信息: https://go.microsoft.com/fwlink/?linkid=870924
注释:
    Interest Rate and Maturity reported in KenGen annual statement 2014
https://africanfinancials.com/document/ke-kegn-2014-ar-00/ 
答复:
    Initially leant to the GoK at 1.1% interest rate
https://www.treasury.go.ke/wp-content/uploads/2021/09/External-Public-Debt-Register-as-at-End-June-2019.pdf</t>
      </text>
    </comment>
    <comment ref="Q173" authorId="461" shapeId="0" xr:uid="{5FEAD6CF-D074-4E28-A051-E13B4F7853D9}">
      <text>
        <t xml:space="preserve">[线程批注]
你的Excel版本可读取此线程批注; 但如果在更新版本的Excel中打开文件，则对批注所作的任何改动都将被删除。了解详细信息: https://go.microsoft.com/fwlink/?linkid=870924
注释:
    Interest Rate and Maturity reported in KenGen annual statement 2014
https://africanfinancials.com/document/ke-kegn-2014-ar-00/ </t>
      </text>
    </comment>
    <comment ref="S173" authorId="462" shapeId="0" xr:uid="{778DD5C3-E160-4AB2-83A0-38946ABC61F5}">
      <text>
        <t>[线程批注]
你的Excel版本可读取此线程批注; 但如果在更新版本的Excel中打开文件，则对批注所作的任何改动都将被删除。了解详细信息: https://go.microsoft.com/fwlink/?linkid=870924
注释:
    Based on commitment year of 2012 and repayments starting in 2019
https://www.treasury.go.ke/wp-content/uploads/2021/09/External-Public-Debt-Register-as-at-End-June-2019.pdf</t>
      </text>
    </comment>
    <comment ref="K176" authorId="463" shapeId="0" xr:uid="{2CE72DBB-75CA-4E07-9E31-BEC4D34D8114}">
      <text>
        <t>[线程批注]
你的Excel版本可读取此线程批注; 但如果在更新版本的Excel中打开文件，则对批注所作的任何改动都将被删除。了解详细信息: https://go.microsoft.com/fwlink/?linkid=870924
注释:
    72 Million Euros out of total project cost of 311 Million Euros 
Exchange Rate Average for Jan 2016: 1.0866
https://www.eib.org/en/projects/pipelines/all/20150459</t>
      </text>
    </comment>
    <comment ref="P176" authorId="464" shapeId="0" xr:uid="{7FDC06F7-8218-41C5-BE98-CFF3ECA5F8F0}">
      <text>
        <t>[线程批注]
你的Excel版本可读取此线程批注; 但如果在更新版本的Excel中打开文件，则对批注所作的任何改动都将被删除。了解详细信息: https://go.microsoft.com/fwlink/?linkid=870924
注释:
    KenGen Financial Statements 2022 
Page 190 
EIB loan for Olkaria 1 unit 6 carrying 3.5% interest and maturing in 2042
https://africanfinancials.com/document/ke-kegn-2022-ar-00/</t>
      </text>
    </comment>
    <comment ref="Q176" authorId="465" shapeId="0" xr:uid="{3ADDFD81-A5D0-47DF-92B3-4E34BD54F0A5}">
      <text>
        <t>[线程批注]
你的Excel版本可读取此线程批注; 但如果在更新版本的Excel中打开文件，则对批注所作的任何改动都将被删除。了解详细信息: https://go.microsoft.com/fwlink/?linkid=870924
注释:
    KenGen Financial Statements 2022 
Page 190 
EIB loan for Olkaria 1 unit 6 carrying 3.5% interest and maturing in 2042
https://africanfinancials.com/document/ke-kegn-2022-ar-00/</t>
      </text>
    </comment>
    <comment ref="S176" authorId="466" shapeId="0" xr:uid="{B1AF06A8-C812-4F26-8069-D85C4FFB0AA4}">
      <text>
        <t>[线程批注]
你的Excel版本可读取此线程批注; 但如果在更新版本的Excel中打开文件，则对批注所作的任何改动都将被删除。了解详细信息: https://go.microsoft.com/fwlink/?linkid=870924
注释:
    Weighted Average Terms for Multilateral Agency loans based on values from this dataset
Term:        Interest     Term      Grace
Value:        2.39%      33.67       6.96
%Known:  46.21%    52.38%   44.87%</t>
      </text>
    </comment>
    <comment ref="K177" authorId="467" shapeId="0" xr:uid="{E16ED042-276C-4A69-B171-8F7178D6044A}">
      <text>
        <t xml:space="preserve">[线程批注]
你的Excel版本可读取此线程批注; 但如果在更新版本的Excel中打开文件，则对批注所作的任何改动都将被删除。了解详细信息: https://go.microsoft.com/fwlink/?linkid=870924
注释:
    Claims that EIB and JICA each loaned KSh 9 Billion towards to construction of Olkaria I Unit 6
https://www.ke.emb-japan.go.jp/itpr_en/11_000001_00724.html
Tender:
 https://ted.europa.eu/udl?uri=TED:NOTICE:92678-2016:TEXT:EN:HTML&amp;src=0 </t>
      </text>
    </comment>
    <comment ref="P177" authorId="468" shapeId="0" xr:uid="{579B4C63-1CD1-4EAD-B143-BB27DA6BF5E2}">
      <text>
        <t>[线程批注]
你的Excel版本可读取此线程批注; 但如果在更新版本的Excel中打开文件，则对批注所作的任何改动都将被删除。了解详细信息: https://go.microsoft.com/fwlink/?linkid=870924
注释:
    Weighted Average Terms for JICA Loans based on values from this dataset
Term:        Interest     Term      Grace
Value:        0.28%      32.54      10.00
%Known:  65.23%    93.44%   65.23%</t>
      </text>
    </comment>
    <comment ref="Q177" authorId="469" shapeId="0" xr:uid="{784B4A4A-A288-4AFA-A677-EA67480EF1F5}">
      <text>
        <t>[线程批注]
你的Excel版本可读取此线程批注; 但如果在更新版本的Excel中打开文件，则对批注所作的任何改动都将被删除。了解详细信息: https://go.microsoft.com/fwlink/?linkid=870924
注释:
    Weighted Average Terms for JICA Loans based on values from this dataset
Term:        Interest     Term      Grace
Value:        0.28%      32.54      10.00
%Known:  65.23%    93.44%   65.23%</t>
      </text>
    </comment>
    <comment ref="S177" authorId="470" shapeId="0" xr:uid="{7FBACF4D-914D-4BBD-95D3-A53BB89756CE}">
      <text>
        <t>[线程批注]
你的Excel版本可读取此线程批注; 但如果在更新版本的Excel中打开文件，则对批注所作的任何改动都将被删除。了解详细信息: https://go.microsoft.com/fwlink/?linkid=870924
注释:
    Weighted Average Terms for JICA Loans based on values from this dataset
Term:        Interest     Term      Grace
Value:        0.28%      32.54      10.00
%Known:  65.23%    93.44%   65.23%</t>
      </text>
    </comment>
    <comment ref="K178" authorId="471" shapeId="0" xr:uid="{1030D4EC-31D5-4823-867E-8E18FCF19119}">
      <text>
        <t xml:space="preserve">[线程批注]
你的Excel版本可读取此线程批注; 但如果在更新版本的Excel中打开文件，则对批注所作的任何改动都将被删除。了解详细信息: https://go.microsoft.com/fwlink/?linkid=870924
注释:
    DFC Tranche 1 - $85M at 6.34% interest reaching maturity in 2030
Used to prepay DEG Loan
Page 95 (PDF Page 103)
https://s1.q4cdn.com/231465352/files/doc_financials/2022/ar/ORA004_Ormat_2022-Annual-Report_Web.pdf </t>
      </text>
    </comment>
    <comment ref="P178" authorId="472" shapeId="0" xr:uid="{76A9D50F-3114-45B4-B38E-EEC080ABCB89}">
      <text>
        <t>[线程批注]
你的Excel版本可读取此线程批注; 但如果在更新版本的Excel中打开文件，则对批注所作的任何改动都将被删除。了解详细信息: https://go.microsoft.com/fwlink/?linkid=870924
注释:
    Interest Rate reported in Tranche 1
6.34%
Page 96 (PDF Page 103)
https://s1.q4cdn.com/231465352/files/doc_financials/2022/ar/ORA004_Ormat_2022-Annual-Report_Web.pdf</t>
      </text>
    </comment>
    <comment ref="Q178" authorId="473" shapeId="0" xr:uid="{4141D774-4A68-419E-A6E5-0FBF61A74A76}">
      <text>
        <t xml:space="preserve">[线程批注]
你的Excel版本可读取此线程批注; 但如果在更新版本的Excel中打开文件，则对批注所作的任何改动都将被删除。了解详细信息: https://go.microsoft.com/fwlink/?linkid=870924
注释:
    19 Year Term on all 3 tranches as reported by the UN:
Page 2.
https://www.un.org/esa/ffd/ffdforum/wp-content/uploads/sites/3/2018/04/Background-Paper_Ormat-Olkaria-III-Geothermal-Power-Plant.pdf </t>
      </text>
    </comment>
    <comment ref="S178" authorId="474" shapeId="0" xr:uid="{B2F9DB8D-532D-4568-9C11-85110B8504B4}">
      <text>
        <t>[线程批注]
你的Excel版本可读取此线程批注; 但如果在更新版本的Excel中打开文件，则对批注所作的任何改动都将被删除。了解详细信息: https://go.microsoft.com/fwlink/?linkid=870924
注释:
    Payments start immediately from Tranche Disbursement:
Page 121 (PDF Page 125)
"Interest, whether floating or fixed, will be payable quarterly in arrears on each March 15, June 15, September 15 and December 15, commencing with the first such date following the respective disbursement of a Tranche." 
https://s1.q4cdn.com/231465352/files/doc_financials/2012/ar/2012-Annual.pdf</t>
      </text>
    </comment>
    <comment ref="P179" authorId="475" shapeId="0" xr:uid="{0F6C3E80-52B1-4668-AA93-CD6297A06C52}">
      <text>
        <t xml:space="preserve">[线程批注]
你的Excel版本可读取此线程批注; 但如果在更新版本的Excel中打开文件，则对批注所作的任何改动都将被删除。了解详细信息: https://go.microsoft.com/fwlink/?linkid=870924
注释:
    DEG 3 Loan
Loan terms according to Ormat 2022 Report:
agreement 2019
Interest Rate 6.04%
First Repayment 2019 (0 years Grace)
Maturity 2028
https://s1.q4cdn.com/231465352/files/doc_financials/2022/ar/ORA004_Ormat_2022-Annual-Report_Web.pdf
</t>
      </text>
    </comment>
    <comment ref="Q179" authorId="476" shapeId="0" xr:uid="{E50D0630-3EF7-4831-9DFA-346313B14376}">
      <text>
        <t xml:space="preserve">[线程批注]
你的Excel版本可读取此线程批注; 但如果在更新版本的Excel中打开文件，则对批注所作的任何改动都将被删除。了解详细信息: https://go.microsoft.com/fwlink/?linkid=870924
注释:
    DEG 3 Loan
Loan terms according to Ormat 2022 Report:
agreement 2019
Interest Rate 6.04%
First Repayment 2019 (0 years Grace)
Maturity 2028
https://s1.q4cdn.com/231465352/files/doc_financials/2022/ar/ORA004_Ormat_2022-Annual-Report_Web.pdf
</t>
      </text>
    </comment>
    <comment ref="S179" authorId="477" shapeId="0" xr:uid="{959A361F-7618-4BAD-A489-F88F4CEC5B91}">
      <text>
        <t xml:space="preserve">[线程批注]
你的Excel版本可读取此线程批注; 但如果在更新版本的Excel中打开文件，则对批注所作的任何改动都将被删除。了解详细信息: https://go.microsoft.com/fwlink/?linkid=870924
注释:
    DEG 3 Loan
Loan terms according to Ormat 2022 Report:
agreement 2019
Interest Rate 6.04%
First Repayment 2019 (0 years Grace)
Maturity 2028
https://s1.q4cdn.com/231465352/files/doc_financials/2022/ar/ORA004_Ormat_2022-Annual-Report_Web.pdf
</t>
      </text>
    </comment>
    <comment ref="K180" authorId="478" shapeId="0" xr:uid="{7D132B8C-ADAB-40D6-AC5D-2A53C662DCCA}">
      <text>
        <t xml:space="preserve">[线程批注]
你的Excel版本可读取此线程批注; 但如果在更新版本的Excel中打开文件，则对批注所作的任何改动都将被删除。了解详细信息: https://go.microsoft.com/fwlink/?linkid=870924
注释:
    DFC Tranche 2 - $180M at 6.29% interest reaching maturity in 2030
Used to fund Olkaria III unit 2
Page 95 (PDF Page 103)
https://s1.q4cdn.com/231465352/files/doc_financials/2022/ar/ORA004_Ormat_2022-Annual-Report_Web.pdf </t>
      </text>
    </comment>
    <comment ref="P180" authorId="479" shapeId="0" xr:uid="{0AC13D72-8A21-42C6-9E4B-11A2F63AF6A5}">
      <text>
        <t>[线程批注]
你的Excel版本可读取此线程批注; 但如果在更新版本的Excel中打开文件，则对批注所作的任何改动都将被删除。了解详细信息: https://go.microsoft.com/fwlink/?linkid=870924
注释:
    Interest Rate reported in Tranche 2
6.29%
Page 96 (PDF Page 103)
https://s1.q4cdn.com/231465352/files/doc_financials/2022/ar/ORA004_Ormat_2022-Annual-Report_Web.pdf</t>
      </text>
    </comment>
    <comment ref="Q180" authorId="480" shapeId="0" xr:uid="{790DBA61-7EDE-43D2-898F-03DE2ACFD84C}">
      <text>
        <t xml:space="preserve">[线程批注]
你的Excel版本可读取此线程批注; 但如果在更新版本的Excel中打开文件，则对批注所作的任何改动都将被删除。了解详细信息: https://go.microsoft.com/fwlink/?linkid=870924
注释:
    19 Year Term on all 3 tranches as reported by the UN:
Page 2.
https://www.un.org/esa/ffd/ffdforum/wp-content/uploads/sites/3/2018/04/Background-Paper_Ormat-Olkaria-III-Geothermal-Power-Plant.pdf </t>
      </text>
    </comment>
    <comment ref="S180" authorId="481" shapeId="0" xr:uid="{45EB4CD6-9EFD-4390-86FB-33345E9859ED}">
      <text>
        <t>[线程批注]
你的Excel版本可读取此线程批注; 但如果在更新版本的Excel中打开文件，则对批注所作的任何改动都将被删除。了解详细信息: https://go.microsoft.com/fwlink/?linkid=870924
注释:
    Payments start immediately from Tranche Disbursement:
Page 121 (PDF Page 125)
"Interest, whether floating or fixed, will be payable quarterly in arrears on each March 15, June 15, September 15 and December 15, commencing with the first such date following the respective disbursement of a Tranche." 
https://s1.q4cdn.com/231465352/files/doc_financials/2012/ar/2012-Annual.pdf</t>
      </text>
    </comment>
    <comment ref="K181" authorId="482" shapeId="0" xr:uid="{40A3F980-9B3A-4632-A955-B70218380AC4}">
      <text>
        <t xml:space="preserve">[线程批注]
你的Excel版本可读取此线程批注; 但如果在更新版本的Excel中打开文件，则对批注所作的任何改动都将被删除。了解详细信息: https://go.microsoft.com/fwlink/?linkid=870924
注释:
    DFC Tranche 3 - $45M at 6.12% interest reaching maturity in 2030
Construction of Olkaria III Plant 3
Page 95 (PDF Page 103)
https://s1.q4cdn.com/231465352/files/doc_financials/2022/ar/ORA004_Ormat_2022-Annual-Report_Web.pdf </t>
      </text>
    </comment>
    <comment ref="P181" authorId="483" shapeId="0" xr:uid="{80AC54D8-34A4-4BB7-BC14-FED80F84696F}">
      <text>
        <t>[线程批注]
你的Excel版本可读取此线程批注; 但如果在更新版本的Excel中打开文件，则对批注所作的任何改动都将被删除。了解详细信息: https://go.microsoft.com/fwlink/?linkid=870924
注释:
    Interest Rate reported in Tranche 3
6.12%
Page 96 (PDF Page 103)
https://s1.q4cdn.com/231465352/files/doc_financials/2022/ar/ORA004_Ormat_2022-Annual-Report_Web.pdf</t>
      </text>
    </comment>
    <comment ref="Q181" authorId="484" shapeId="0" xr:uid="{3224B7C9-E62B-438C-BCB5-2579B82ADEB0}">
      <text>
        <t xml:space="preserve">[线程批注]
你的Excel版本可读取此线程批注; 但如果在更新版本的Excel中打开文件，则对批注所作的任何改动都将被删除。了解详细信息: https://go.microsoft.com/fwlink/?linkid=870924
注释:
    19 Year Term on all 3 tranches as reported by the UN:
Page 2.
https://www.un.org/esa/ffd/ffdforum/wp-content/uploads/sites/3/2018/04/Background-Paper_Ormat-Olkaria-III-Geothermal-Power-Plant.pdf </t>
      </text>
    </comment>
    <comment ref="S181" authorId="485" shapeId="0" xr:uid="{29A0185E-884C-4F3C-845A-6B07F5D2A77C}">
      <text>
        <t>[线程批注]
你的Excel版本可读取此线程批注; 但如果在更新版本的Excel中打开文件，则对批注所作的任何改动都将被删除。了解详细信息: https://go.microsoft.com/fwlink/?linkid=870924
注释:
    Payments start immediately from Tranche Disbursement:
Page 121 (PDF Page 125)
"Interest, whether floating or fixed, will be payable quarterly in arrears on each March 15, June 15, September 15 and December 15, commencing with the first such date following the respective disbursement of a Tranche." 
https://s1.q4cdn.com/231465352/files/doc_financials/2012/ar/2012-Annual.pdf</t>
      </text>
    </comment>
    <comment ref="K182" authorId="486" shapeId="0" xr:uid="{AA187DFF-6928-4BEF-BAAD-A453F6146CD8}">
      <text>
        <t>[线程批注]
你的Excel版本可读取此线程批注; 但如果在更新版本的Excel中打开文件，则对批注所作的任何改动都将被删除。了解详细信息: https://go.microsoft.com/fwlink/?linkid=870924
注释:
    https://documents1.worldbank.org/curated/zh/945011468273658996/pdf/839230PAD0IDA0010Box382166B00OUO090.pdf
答复:
    Plant 3 - Tranche 3 of Ormat with OPIC from Page 111 (PDF Page 119)
https://s1.q4cdn.com/231465352/files/doc_financials/2014/ar/2014-Annual.pdf</t>
      </text>
    </comment>
    <comment ref="P182" authorId="487" shapeId="0" xr:uid="{30AB6341-47CC-4FDE-BAD6-49AED7B2260C}">
      <text>
        <t xml:space="preserve">[线程批注]
你的Excel版本可读取此线程批注; 但如果在更新版本的Excel中打开文件，则对批注所作的任何改动都将被删除。了解详细信息: https://go.microsoft.com/fwlink/?linkid=870924
注释:
    Based on project Equity IRR based on World Bank Document Page 12 (PDF Page 20)
https://documents1.worldbank.org/curated/zh/945011468273658996/pdf/839230PAD0IDA0010Box382166B00OUO090.pdf </t>
      </text>
    </comment>
    <comment ref="Q182" authorId="488" shapeId="0" xr:uid="{39BECA2F-9BBD-4B81-8DDB-7297F392DBEE}">
      <text>
        <t xml:space="preserve">[线程批注]
你的Excel版本可读取此线程批注; 但如果在更新版本的Excel中打开文件，则对批注所作的任何改动都将被删除。了解详细信息: https://go.microsoft.com/fwlink/?linkid=870924
注释:
    Based on Life-span of African Geothermal Plants 
25 years according to:
https://www.sciencedirect.com/science/article/pii/S2352340922002323
Lucy Allington, Carla Cannone, Ioannis Pappis, Karla Cervantes Barron, Will Usher, Steve Pye, Edward Brown, Mark Howells, Miriam Zachau Walker, Aniq Ahsan, Flora Charbonnier, Claire Halloran, Stephanie Hirmer, Jennifer Cronin, Constantinos Taliotis, Caroline Sundin, Vignesh Sridharan, Eunice Ramos, Maarten Brinkerink, Paul Deane, Andrii Gritsevskyi, Gustavo Moura, Arnaud Rouget, David Wogan, Edito Barcelona, Taco Niet, Holger Rogner, Franziska Bock, Jairo Quirós-Tortós, Jam Angulo-Paniagua, Satheesh Krishnamurthy, John Harrison, Long Seng To,
Selected ‘Starter kit’ energy system modelling data for selected countries in Africa, East Asia, and South America (#CCG, 2021),
Data in Brief,
Volume 42,
2022,
108021,
ISSN 2352-3409,
https://doi.org/10.1016/j.dib.2022.108021.
</t>
      </text>
    </comment>
    <comment ref="P183" authorId="489" shapeId="0" xr:uid="{78AE3B9B-B502-4B66-B840-52C287C184C8}">
      <text>
        <t>[线程批注]
你的Excel版本可读取此线程批注; 但如果在更新版本的Excel中打开文件，则对批注所作的任何改动都将被删除。了解详细信息: https://go.microsoft.com/fwlink/?linkid=870924
注释:
    DEG 2 Loan for $50 Million
Entered 2016
Interest Rate of 6.28%
Repayments start 2018 - 2 years Grace
Final Repayment 2028 - 12 years Maturity
Page 147 (PFD Page 155)
https://s1.q4cdn.com/231465352/files/doc_financials/2022/ar/ORA004_Ormat_2022-Annual-Report_Web.pdf</t>
      </text>
    </comment>
    <comment ref="Q183" authorId="490" shapeId="0" xr:uid="{95CB986E-CE3D-43FD-BFFB-CCE6D7AF4475}">
      <text>
        <t>[线程批注]
你的Excel版本可读取此线程批注; 但如果在更新版本的Excel中打开文件，则对批注所作的任何改动都将被删除。了解详细信息: https://go.microsoft.com/fwlink/?linkid=870924
注释:
    DEG 2 Loan for $50 Million
Entered 2016
Interest Rate of 6.28%
Repayments start 2018 - 2 years Grace
Final Repayment 2028 - 12 years Maturity
Page 147 (PFD Page 155)
https://s1.q4cdn.com/231465352/files/doc_financials/2022/ar/ORA004_Ormat_2022-Annual-Report_Web.pdf</t>
      </text>
    </comment>
    <comment ref="S183" authorId="491" shapeId="0" xr:uid="{BC12D923-6456-43F5-9EBC-F4C15A125932}">
      <text>
        <t>[线程批注]
你的Excel版本可读取此线程批注; 但如果在更新版本的Excel中打开文件，则对批注所作的任何改动都将被删除。了解详细信息: https://go.microsoft.com/fwlink/?linkid=870924
注释:
    DEG 2 Loan for $50 Million
Entered 2016
Interest Rate of 6.28%
Repayments start 2018 - 2 years Grace
Final Repayment 2028 - 12 years Maturity
Page 147 (PFD Page 155)
https://s1.q4cdn.com/231465352/files/doc_financials/2022/ar/ORA004_Ormat_2022-Annual-Report_Web.pdf</t>
      </text>
    </comment>
    <comment ref="K184" authorId="492" shapeId="0" xr:uid="{4BAAE1CC-4E14-4114-998A-50DA8CAA5FF3}">
      <text>
        <t xml:space="preserve">[线程批注]
你的Excel版本可读取此线程批注; 但如果在更新版本的Excel中打开文件，则对批注所作的任何改动都将被删除。了解详细信息: https://go.microsoft.com/fwlink/?linkid=870924
注释:
    Based on the Phase 2 and 3 Equity financing from Ormat based on CPI report:
Page 9 (PDF Page 18)
 http://climatepolicyinitiative.org/wp-content/uploads/2015/06/150601_Final_Olkaria_ForWeb.pdf </t>
      </text>
    </comment>
    <comment ref="P184" authorId="493" shapeId="0" xr:uid="{D56607A1-8674-472B-99EF-85C4BFF0558F}">
      <text>
        <t xml:space="preserve">[线程批注]
你的Excel版本可读取此线程批注; 但如果在更新版本的Excel中打开文件，则对批注所作的任何改动都将被删除。了解详细信息: https://go.microsoft.com/fwlink/?linkid=870924
注释:
    Based on Equity rate of Return predicted by CPI
Page 5 
Lessons for Policymakers: Section 1
Micale, V., Trabacchi, C. and Boni, L., 2015. Using Public Finance to Attract Private Investment in Geothermal: Olkaria III Case Study, Kenya. Climate Policy Initiative, Venice, Italy. Available at:  http://climatepolicyinitiative.org/wp-content/uploads/2015/06/150601_Final_Olkaria_ForWeb.pdf </t>
      </text>
    </comment>
    <comment ref="Q184" authorId="494" shapeId="0" xr:uid="{F72CBD89-EAA4-4DC5-9C51-34FF8D8BEB5D}">
      <text>
        <t xml:space="preserve">[线程批注]
你的Excel版本可读取此线程批注; 但如果在更新版本的Excel中打开文件，则对批注所作的任何改动都将被删除。了解详细信息: https://go.microsoft.com/fwlink/?linkid=870924
注释:
    Based on Life-span of African Geothermal Plants 
25 years according to:
https://www.sciencedirect.com/science/article/pii/S2352340922002323
Lucy Allington, Carla Cannone, Ioannis Pappis, Karla Cervantes Barron, Will Usher, Steve Pye, Edward Brown, Mark Howells, Miriam Zachau Walker, Aniq Ahsan, Flora Charbonnier, Claire Halloran, Stephanie Hirmer, Jennifer Cronin, Constantinos Taliotis, Caroline Sundin, Vignesh Sridharan, Eunice Ramos, Maarten Brinkerink, Paul Deane, Andrii Gritsevskyi, Gustavo Moura, Arnaud Rouget, David Wogan, Edito Barcelona, Taco Niet, Holger Rogner, Franziska Bock, Jairo Quirós-Tortós, Jam Angulo-Paniagua, Satheesh Krishnamurthy, John Harrison, Long Seng To,
Selected ‘Starter kit’ energy system modelling data for selected countries in Africa, East Asia, and South America (#CCG, 2021),
Data in Brief,
Volume 42,
2022,
108021,
ISSN 2352-3409,
https://doi.org/10.1016/j.dib.2022.108021.
</t>
      </text>
    </comment>
    <comment ref="K185" authorId="495" shapeId="0" xr:uid="{EF637D40-E05B-437B-BD04-4469B0F0B09B}">
      <text>
        <t xml:space="preserve">[线程批注]
你的Excel版本可读取此线程批注; 但如果在更新版本的Excel中打开文件，则对批注所作的任何改动都将被删除。了解详细信息: https://go.microsoft.com/fwlink/?linkid=870924
注释:
    Based on the Phase 2 and 3 Equity financing from Ormat based on CPI report:
Page 9 (PDF Page 18)
 http://climatepolicyinitiative.org/wp-content/uploads/2015/06/150601_Final_Olkaria_ForWeb.pdf </t>
      </text>
    </comment>
    <comment ref="P185" authorId="496" shapeId="0" xr:uid="{C65B5313-B2A8-48EA-8103-BB148BBED35F}">
      <text>
        <t xml:space="preserve">[线程批注]
你的Excel版本可读取此线程批注; 但如果在更新版本的Excel中打开文件，则对批注所作的任何改动都将被删除。了解详细信息: https://go.microsoft.com/fwlink/?linkid=870924
注释:
    Based on Equity rate of Return predicted by CPI
Page 5 
Lessons for Policymakers: Section 1
Micale, V., Trabacchi, C. and Boni, L., 2015. Using Public Finance to Attract Private Investment in Geothermal: Olkaria III Case Study, Kenya. Climate Policy Initiative, Venice, Italy. Available at:  http://climatepolicyinitiative.org/wp-content/uploads/2015/06/150601_Final_Olkaria_ForWeb.pdf </t>
      </text>
    </comment>
    <comment ref="Q185" authorId="497" shapeId="0" xr:uid="{CE4584AE-4246-47F0-881D-B997BE358171}">
      <text>
        <t xml:space="preserve">[线程批注]
你的Excel版本可读取此线程批注; 但如果在更新版本的Excel中打开文件，则对批注所作的任何改动都将被删除。了解详细信息: https://go.microsoft.com/fwlink/?linkid=870924
注释:
    Based on Life-span of African Geothermal Plants 
25 years according to:
https://www.sciencedirect.com/science/article/pii/S2352340922002323
Lucy Allington, Carla Cannone, Ioannis Pappis, Karla Cervantes Barron, Will Usher, Steve Pye, Edward Brown, Mark Howells, Miriam Zachau Walker, Aniq Ahsan, Flora Charbonnier, Claire Halloran, Stephanie Hirmer, Jennifer Cronin, Constantinos Taliotis, Caroline Sundin, Vignesh Sridharan, Eunice Ramos, Maarten Brinkerink, Paul Deane, Andrii Gritsevskyi, Gustavo Moura, Arnaud Rouget, David Wogan, Edito Barcelona, Taco Niet, Holger Rogner, Franziska Bock, Jairo Quirós-Tortós, Jam Angulo-Paniagua, Satheesh Krishnamurthy, John Harrison, Long Seng To,
Selected ‘Starter kit’ energy system modelling data for selected countries in Africa, East Asia, and South America (#CCG, 2021),
Data in Brief,
Volume 42,
2022,
108021,
ISSN 2352-3409,
https://doi.org/10.1016/j.dib.2022.108021.
</t>
      </text>
    </comment>
    <comment ref="K186" authorId="498" shapeId="0" xr:uid="{CABBB8A3-EE61-47E3-8447-F1BD0544B591}">
      <text>
        <t>[线程批注]
你的Excel版本可读取此线程批注; 但如果在更新版本的Excel中打开文件，则对批注所作的任何改动都将被删除。了解详细信息: https://go.microsoft.com/fwlink/?linkid=870924
注释:
    CNY 670M agreed Apr 2010
Converted to USD based on average monthly exchange rate: $98.08M
https://www.treasury.go.ke/wp-content/uploads/2022/06/External-Public-Debt-Register-as-at-End-June-2021.pdf</t>
      </text>
    </comment>
    <comment ref="P186" authorId="499" shapeId="0" xr:uid="{EE96982A-C7E8-4364-B9BD-87253F44790F}">
      <text>
        <t>[线程批注]
你的Excel版本可读取此线程批注; 但如果在更新版本的Excel中打开文件，则对批注所作的任何改动都将被删除。了解详细信息: https://go.microsoft.com/fwlink/?linkid=870924
注释:
    Interest Rate of 2% reported by:
https://www.treasury.go.ke/wp-content/uploads/2021/09/External-Public-Debt-Register-as-at-End-June-2019.pdf</t>
      </text>
    </comment>
    <comment ref="Q186" authorId="500" shapeId="0" xr:uid="{E13B3DD9-8D11-4901-AD9C-E7F7432F8ABC}">
      <text>
        <t>[线程批注]
你的Excel版本可读取此线程批注; 但如果在更新版本的Excel中打开文件，则对批注所作的任何改动都将被删除。了解详细信息: https://go.microsoft.com/fwlink/?linkid=870924
注释:
    Repayments start in 2010, loan reaches maturity in 2029
https://www.treasury.go.ke/wp-content/uploads/2021/09/External-Public-Debt-Register-as-at-End-June-2019.pdf</t>
      </text>
    </comment>
    <comment ref="S186" authorId="501" shapeId="0" xr:uid="{324C6B95-19C0-4D55-BC56-95AED07EAA20}">
      <text>
        <t>[线程批注]
你的Excel版本可读取此线程批注; 但如果在更新版本的Excel中打开文件，则对批注所作的任何改动都将被删除。了解详细信息: https://go.microsoft.com/fwlink/?linkid=870924
注释:
    Agreement in April 2010, First Repayments in September 2010
https://www.treasury.go.ke/wp-content/uploads/2021/09/External-Public-Debt-Register-as-at-End-June-2019.pdf</t>
      </text>
    </comment>
    <comment ref="K187" authorId="502" shapeId="0" xr:uid="{97241BD3-8DE8-4AEF-A6E0-DA23F600DFB0}">
      <text>
        <t>[线程批注]
你的Excel版本可读取此线程批注; 但如果在更新版本的Excel中打开文件，则对批注所作的任何改动都将被删除。了解详细信息: https://go.microsoft.com/fwlink/?linkid=870924
注释:
    $383.5M from China Exim Bank
Reported in GoK External Debt Registry:
https://www.treasury.go.ke/wp-content/uploads/2022/06/External-Public-Debt-Register-as-at-End-June-2021.pdf</t>
      </text>
    </comment>
    <comment ref="P187" authorId="503" shapeId="0" xr:uid="{B4B516B3-F98B-4A0D-BC2E-35F41FFAB3A2}">
      <text>
        <t>[线程批注]
你的Excel版本可读取此线程批注; 但如果在更新版本的Excel中打开文件，则对批注所作的任何改动都将被删除。了解详细信息: https://go.microsoft.com/fwlink/?linkid=870924
注释:
    Labeled as "Provision for Drilling Materials - 2012005" GoK External Debt Registry
https://www.treasury.go.ke/wp-content/uploads/2021/09/External-Public-Debt-Register-as-at-End-June-2019.pdf</t>
      </text>
    </comment>
    <comment ref="Q187" authorId="504" shapeId="0" xr:uid="{1B6A0198-2FD5-48AA-9941-2758A470B6CB}">
      <text>
        <t xml:space="preserve">[线程批注]
你的Excel版本可读取此线程批注; 但如果在更新版本的Excel中打开文件，则对批注所作的任何改动都将被删除。了解详细信息: https://go.microsoft.com/fwlink/?linkid=870924
注释:
    Agreement Date 2012, Maturity date 2032
Maturity = 20 years
https://www.treasury.go.ke/wp-content/uploads/2022/06/External-Public-Debt-Register-as-at-End-June-2021.pdf </t>
      </text>
    </comment>
    <comment ref="S187" authorId="505" shapeId="0" xr:uid="{7AF67426-1CDF-4D06-992A-0BC4C871E710}">
      <text>
        <t>[线程批注]
你的Excel版本可读取此线程批注; 但如果在更新版本的Excel中打开文件，则对批注所作的任何改动都将被删除。了解详细信息: https://go.microsoft.com/fwlink/?linkid=870924
注释:
    Repayments start in 2020
https://www.treasury.go.ke/wp-content/uploads/2021/09/External-Public-Debt-Register-as-at-End-June-2019.pdf</t>
      </text>
    </comment>
    <comment ref="K188" authorId="506" shapeId="0" xr:uid="{7C427516-DD62-4438-ACE5-DE3A540FF08F}">
      <text>
        <t>[线程批注]
你的Excel版本可读取此线程批注; 但如果在更新版本的Excel中打开文件，则对批注所作的任何改动都将被删除。了解详细信息: https://go.microsoft.com/fwlink/?linkid=870924
注释:
    China Exim Bank covered 85% of drilling costs for Olkaria V. GoK pay 15% reported by JICA
https://www2.jica.go.jp/en/evaluation/pdf/2015_KE-P31_1_f.pdf</t>
      </text>
    </comment>
    <comment ref="P188" authorId="507" shapeId="0" xr:uid="{075E7B6E-33D4-45D2-9B53-18772278464A}">
      <text>
        <t>[线程批注]
你的Excel版本可读取此线程批注; 但如果在更新版本的Excel中打开文件，则对批注所作的任何改动都将被删除。了解详细信息: https://go.microsoft.com/fwlink/?linkid=870924
注释:
    Based on estimated required IRR for Private investors in Olkaria III exploration from CIP report
https://www.climatepolicyinitiative.org/wp-content/uploads/2015/06/150601_Final_Olkaria_ForWeb.pdf</t>
      </text>
    </comment>
    <comment ref="Q188" authorId="508" shapeId="0" xr:uid="{64BD30C8-BFB9-41E7-A558-712FA53A6FCA}">
      <text>
        <t xml:space="preserve">[线程批注]
你的Excel版本可读取此线程批注; 但如果在更新版本的Excel中打开文件，则对批注所作的任何改动都将被删除。了解详细信息: https://go.microsoft.com/fwlink/?linkid=870924
注释:
    Based on Life-span of African Geothermal Plants 
25 years according to:
https://www.sciencedirect.com/science/article/pii/S2352340922002323
Lucy Allington, Carla Cannone, Ioannis Pappis, Karla Cervantes Barron, Will Usher, Steve Pye, Edward Brown, Mark Howells, Miriam Zachau Walker, Aniq Ahsan, Flora Charbonnier, Claire Halloran, Stephanie Hirmer, Jennifer Cronin, Constantinos Taliotis, Caroline Sundin, Vignesh Sridharan, Eunice Ramos, Maarten Brinkerink, Paul Deane, Andrii Gritsevskyi, Gustavo Moura, Arnaud Rouget, David Wogan, Edito Barcelona, Taco Niet, Holger Rogner, Franziska Bock, Jairo Quirós-Tortós, Jam Angulo-Paniagua, Satheesh Krishnamurthy, John Harrison, Long Seng To,
Selected ‘Starter kit’ energy system modelling data for selected countries in Africa, East Asia, and South America (#CCG, 2021),
Data in Brief,
Volume 42,
2022,
108021,
ISSN 2352-3409,
https://doi.org/10.1016/j.dib.2022.108021.
</t>
      </text>
    </comment>
    <comment ref="K189" authorId="509" shapeId="0" xr:uid="{B4D5C2BD-5B1D-4063-8FCD-39A616B9D8BD}">
      <text>
        <t xml:space="preserve">[线程批注]
你的Excel版本可读取此线程批注; 但如果在更新版本的Excel中打开文件，则对批注所作的任何改动都将被删除。了解详细信息: https://go.microsoft.com/fwlink/?linkid=870924
注释:
    JPY 45,690 Million 
https://www2.jica.go.jp/en/evaluation/pdf/2015_KE-P31_1_f.pdf
https://www.treasury.go.ke/wp-content/uploads/2021/09/External-Public-Debt-Register-as-at-End-June-2019.pdf 
</t>
      </text>
    </comment>
    <comment ref="P189" authorId="510" shapeId="0" xr:uid="{6D009F2D-C4CD-4372-98BF-0AB7A1B677CA}">
      <text>
        <t>[线程批注]
你的Excel版本可读取此线程批注; 但如果在更新版本的Excel中打开文件，则对批注所作的任何改动都将被删除。了解详细信息: https://go.microsoft.com/fwlink/?linkid=870924
注释:
    JICA loan to GoK for JPY 45,690 Mil. repayable from 2026 to 2046
0.2% interest rate
10 year Grace Period
30 year Maturity
https://www.treasury.go.ke/wp-content/uploads/2021/09/External-Public-Debt-Register-as-at-End-June-2019.pdf</t>
      </text>
    </comment>
    <comment ref="Q189" authorId="511" shapeId="0" xr:uid="{DDE36C98-641F-4CBD-8B62-C3A0AF808F31}">
      <text>
        <t>[线程批注]
你的Excel版本可读取此线程批注; 但如果在更新版本的Excel中打开文件，则对批注所作的任何改动都将被删除。了解详细信息: https://go.microsoft.com/fwlink/?linkid=870924
注释:
    JICA loan to GoK for JPY 45,690 Mil. repayable from 2026 to 2046
0.2% interest rate
10 year Grace Period
30 year Maturity
https://www.treasury.go.ke/wp-content/uploads/2021/09/External-Public-Debt-Register-as-at-End-June-2019.pdf</t>
      </text>
    </comment>
    <comment ref="S189" authorId="512" shapeId="0" xr:uid="{C4229F7B-3DDD-4C1D-8323-45E5107473EC}">
      <text>
        <t>[线程批注]
你的Excel版本可读取此线程批注; 但如果在更新版本的Excel中打开文件，则对批注所作的任何改动都将被删除。了解详细信息: https://go.microsoft.com/fwlink/?linkid=870924
注释:
    JICA loan to GoK for JPY 45,690 Mil. repayable from 2026 to 2046
0.2% interest rate
10 year Grace Period
30 year Maturity
https://www.treasury.go.ke/wp-content/uploads/2021/09/External-Public-Debt-Register-as-at-End-June-2019.pdf</t>
      </text>
    </comment>
    <comment ref="P190" authorId="513" shapeId="0" xr:uid="{BB403B3D-A0AE-42C8-A8B1-5C5EC0BCA969}">
      <text>
        <t>[线程批注]
你的Excel版本可读取此线程批注; 但如果在更新版本的Excel中打开文件，则对批注所作的任何改动都将被删除。了解详细信息: https://go.microsoft.com/fwlink/?linkid=870924
注释:
    Weighted Average Terms for Multilateral Agency loans based on values from this dataset
Term:        Interest     Term      Grace
Value:        2.39%      33.67       6.96
%Known:  46.21%    52.38%   44.87%</t>
      </text>
    </comment>
    <comment ref="Q190" authorId="514" shapeId="0" xr:uid="{828260C2-53D4-4A0D-AE1C-DFAE0D5895F0}">
      <text>
        <t>[线程批注]
你的Excel版本可读取此线程批注; 但如果在更新版本的Excel中打开文件，则对批注所作的任何改动都将被删除。了解详细信息: https://go.microsoft.com/fwlink/?linkid=870924
注释:
    Weighted Average Terms for Multilateral Agency loans based on values from this dataset
Term:        Interest     Term      Grace
Value:        2.39%      33.67       6.96
%Known:  46.21%    52.38%   44.87%</t>
      </text>
    </comment>
    <comment ref="S190" authorId="515" shapeId="0" xr:uid="{24D5A080-AD5C-46CA-8B95-E5032278025A}">
      <text>
        <t>[线程批注]
你的Excel版本可读取此线程批注; 但如果在更新版本的Excel中打开文件，则对批注所作的任何改动都将被删除。了解详细信息: https://go.microsoft.com/fwlink/?linkid=870924
注释:
    Weighted Average Terms for Multilateral Agency loans based on values from this dataset
Term:        Interest     Term      Grace
Value:        2.39%      33.67       6.96
%Known:  46.21%    52.38%   44.87%</t>
      </text>
    </comment>
    <comment ref="K191" authorId="516" shapeId="0" xr:uid="{F4ADA7D5-BB18-4E50-AB67-51423418ECEF}">
      <text>
        <t xml:space="preserve">[线程批注]
你的Excel版本可读取此线程批注; 但如果在更新版本的Excel中打开文件，则对批注所作的任何改动都将被删除。了解详细信息: https://go.microsoft.com/fwlink/?linkid=870924
注释:
    Page 17 of 20
https://www.treasury.go.ke/wp-content/uploads/2023/05/External-Public-Debt-Register-as-at-End-June-2022.pdf
Incorrect decimals on treasury page
Volumes are inconsistent across sources </t>
      </text>
    </comment>
    <comment ref="K192" authorId="517" shapeId="0" xr:uid="{CEC5F451-58DA-409A-8CF8-CCAC2CEDA0D3}">
      <text>
        <t>[线程批注]
你的Excel版本可读取此线程批注; 但如果在更新版本的Excel中打开文件，则对批注所作的任何改动都将被删除。了解详细信息: https://go.microsoft.com/fwlink/?linkid=870924
注释:
    JPY 12,410 Million to USD based on 2010 Average Exchange Rates
https://www.treasury.go.ke/wp-content/uploads/2023/05/External-Public-Debt-Register-as-at-End-June-2022.pdf</t>
      </text>
    </comment>
    <comment ref="P192" authorId="518" shapeId="0" xr:uid="{A7EC9E4A-6B5F-4FDB-8A33-1EBBA571D2B4}">
      <text>
        <t>[线程批注]
你的Excel版本可读取此线程批注; 但如果在更新版本的Excel中打开文件，则对批注所作的任何改动都将被删除。了解详细信息: https://go.microsoft.com/fwlink/?linkid=870924
注释:
    JPY 12,410 Million total between the two at 0.25% and 0.1% interest rate
Loan agreement in 2010, repayments start in 2020 and reached maturity in 2050 
https://treasury.go.ke/wp-content/uploads/2021/02/External-Public-Debt-Register-as-at-End-June-2017.pdf</t>
      </text>
    </comment>
    <comment ref="Q192" authorId="519" shapeId="0" xr:uid="{7576925C-CDF1-4DB2-8B56-658B93D8C0F4}">
      <text>
        <t>[线程批注]
你的Excel版本可读取此线程批注; 但如果在更新版本的Excel中打开文件，则对批注所作的任何改动都将被删除。了解详细信息: https://go.microsoft.com/fwlink/?linkid=870924
注释:
    JPY 12,410 Million total between the two at 0.25% and 0.1% interest rate
Loan agreement in 2010, repayments start in 2020 and reached maturity in 2050 
https://treasury.go.ke/wp-content/uploads/2021/02/External-Public-Debt-Register-as-at-End-June-2017.pdf</t>
      </text>
    </comment>
    <comment ref="S192" authorId="520" shapeId="0" xr:uid="{2F674FA7-341E-4D27-B1E1-56747264CAA2}">
      <text>
        <t>[线程批注]
你的Excel版本可读取此线程批注; 但如果在更新版本的Excel中打开文件，则对批注所作的任何改动都将被删除。了解详细信息: https://go.microsoft.com/fwlink/?linkid=870924
注释:
    JPY 12,410 Million total between the two at 0.25% and 0.1% interest rate
Loan agreement in 2010, repayments start in 2020 and reached maturity in 2050 
https://treasury.go.ke/wp-content/uploads/2021/02/External-Public-Debt-Register-as-at-End-June-2017.pdf</t>
      </text>
    </comment>
    <comment ref="K193" authorId="521" shapeId="0" xr:uid="{4F49EE05-2AF7-42B8-9D54-5B81BAA8ECB0}">
      <text>
        <t>[线程批注]
你的Excel版本可读取此线程批注; 但如果在更新版本的Excel中打开文件，则对批注所作的任何改动都将被删除。了解详细信息: https://go.microsoft.com/fwlink/?linkid=870924
注释:
    JPY 12,410 Million to USD based on 2010 Average Exchange Rates
https://www.treasury.go.ke/wp-content/uploads/2023/05/External-Public-Debt-Register-as-at-End-June-2022.pdf</t>
      </text>
    </comment>
    <comment ref="P193" authorId="522" shapeId="0" xr:uid="{3172125B-EA0C-4D4B-8E89-D2C4086D116F}">
      <text>
        <t>[线程批注]
你的Excel版本可读取此线程批注; 但如果在更新版本的Excel中打开文件，则对批注所作的任何改动都将被删除。了解详细信息: https://go.microsoft.com/fwlink/?linkid=870924
注释:
    JPY 12,410 Million total between the two at 0.25% and 0.1% interest rate
Loan agreement in 2010, repayments start in 2020 and reached maturity in 2050 
https://treasury.go.ke/wp-content/uploads/2021/02/External-Public-Debt-Register-as-at-End-June-2017.pdf</t>
      </text>
    </comment>
    <comment ref="Q193" authorId="523" shapeId="0" xr:uid="{5DCF882C-61CD-4181-B12C-D8DEA7C0175E}">
      <text>
        <t>[线程批注]
你的Excel版本可读取此线程批注; 但如果在更新版本的Excel中打开文件，则对批注所作的任何改动都将被删除。了解详细信息: https://go.microsoft.com/fwlink/?linkid=870924
注释:
    JPY 12,410 Million total between the two at 0.25% and 0.1% interest rate
Loan agreement in 2010, repayments start in 2020 and reached maturity in 2050 
https://treasury.go.ke/wp-content/uploads/2021/02/External-Public-Debt-Register-as-at-End-June-2017.pdf</t>
      </text>
    </comment>
    <comment ref="S193" authorId="524" shapeId="0" xr:uid="{8F7B5AAD-60FD-4D04-9858-3BABE32D230C}">
      <text>
        <t>[线程批注]
你的Excel版本可读取此线程批注; 但如果在更新版本的Excel中打开文件，则对批注所作的任何改动都将被删除。了解详细信息: https://go.microsoft.com/fwlink/?linkid=870924
注释:
    JPY 12,410 Million total between the two at 0.25% and 0.1% interest rate
Loan agreement in 2010, repayments start in 2020 and reached maturity in 2050 
https://treasury.go.ke/wp-content/uploads/2021/02/External-Public-Debt-Register-as-at-End-June-2017.pdf</t>
      </text>
    </comment>
    <comment ref="K194" authorId="525" shapeId="0" xr:uid="{6E5198E1-E15A-40DA-BC00-33571282C813}">
      <text>
        <t>[线程批注]
你的Excel版本可读取此线程批注; 但如果在更新版本的Excel中打开文件，则对批注所作的任何改动都将被删除。了解详细信息: https://go.microsoft.com/fwlink/?linkid=870924
注释:
    Volumes are inconsistent across sources 
Page 10 of 20
https://www.treasury.go.ke/wp-content/uploads/2023/05/External-Public-Debt-Register-as-at-End-June-2022.pdf
答复:
    https://www2.jica.go.jp/en/evaluation/pdf/2009_KE-P26_1_f.pdf
Loan amount for JPY 29,516 Million outlined by JICA Ex-ante Evaluation</t>
      </text>
    </comment>
    <comment ref="P194" authorId="526" shapeId="0" xr:uid="{EF9A00D5-CF72-43BF-A594-917DB5DB6D10}">
      <text>
        <t>[线程批注]
你的Excel版本可读取此线程批注; 但如果在更新版本的Excel中打开文件，则对批注所作的任何改动都将被删除。了解详细信息: https://go.microsoft.com/fwlink/?linkid=870924
注释:
    Weighted Average Terms for JICA Loans based on values from this dataset
Term:        Interest     Term      Grace
Value:        0.28%      32.54      10.00
%Known:  65.23%    93.44%   65.23%</t>
      </text>
    </comment>
    <comment ref="Q194" authorId="527" shapeId="0" xr:uid="{416CDE3D-BEAB-4997-8289-D3C21EEA2E90}">
      <text>
        <t>[线程批注]
你的Excel版本可读取此线程批注; 但如果在更新版本的Excel中打开文件，则对批注所作的任何改动都将被删除。了解详细信息: https://go.microsoft.com/fwlink/?linkid=870924
注释:
    Based on start year of 2010 and maturity in 2040
Page 10 
https://www.treasury.go.ke/wp-content/uploads/2023/05/External-Public-Debt-Register-as-at-End-June-2022.pdf</t>
      </text>
    </comment>
    <comment ref="S194" authorId="528" shapeId="0" xr:uid="{F2C0822A-4B67-46D4-A620-70BC7519BD5F}">
      <text>
        <t>[线程批注]
你的Excel版本可读取此线程批注; 但如果在更新版本的Excel中打开文件，则对批注所作的任何改动都将被删除。了解详细信息: https://go.microsoft.com/fwlink/?linkid=870924
注释:
    Weighted Average Terms for JICA Loans based on values from this dataset
Term:        Interest     Term      Grace
Value:        0.28%      32.54      10.00
%Known:  65.23%    93.44%   65.23%</t>
      </text>
    </comment>
    <comment ref="K195" authorId="529" shapeId="0" xr:uid="{5773B17D-062E-4CC2-803D-54F2D8C6C78B}">
      <text>
        <t>[线程批注]
你的Excel版本可读取此线程批注; 但如果在更新版本的Excel中打开文件，则对批注所作的任何改动都将被删除。了解详细信息: https://go.microsoft.com/fwlink/?linkid=870924
注释:
    AFD $210M for Geothermal
Total Geothermal: $1,035 million
Page 4 of 120 (PDF Page 14)
https://documents1.worldbank.org/curated/en/328821531497639930/pdf/ICR00004496-07102018.pdf</t>
      </text>
    </comment>
    <comment ref="P195" authorId="530" shapeId="0" xr:uid="{3A327047-2B83-4A27-9F3B-6CB49566DCE0}">
      <text>
        <t>[线程批注]
你的Excel版本可读取此线程批注; 但如果在更新版本的Excel中打开文件，则对批注所作的任何改动都将被删除。了解详细信息: https://go.microsoft.com/fwlink/?linkid=870924
注释:
    Weighted Average Terms for Foreign Gov. loans based on values from this dataset
Term:        Interest     Term      Grace
Value:        2.41%      23.58       6.54
%Known:  51.96%    66.91%   50.41%</t>
      </text>
    </comment>
    <comment ref="Q195" authorId="531" shapeId="0" xr:uid="{9C0CDA71-0FA6-4B05-B6CF-EA2EFA19BCB8}">
      <text>
        <t>[线程批注]
你的Excel版本可读取此线程批注; 但如果在更新版本的Excel中打开文件，则对批注所作的任何改动都将被删除。了解详细信息: https://go.microsoft.com/fwlink/?linkid=870924
注释:
    Weighted Average Terms for Foreign Gov. loans based on values from this dataset
Term:        Interest     Term      Grace
Value:        2.41%      23.58       6.54
%Known:  51.96%    66.91%   50.41%</t>
      </text>
    </comment>
    <comment ref="S195" authorId="532" shapeId="0" xr:uid="{AA469ED5-2499-4A75-B9BD-7BD867567922}">
      <text>
        <t>[线程批注]
你的Excel版本可读取此线程批注; 但如果在更新版本的Excel中打开文件，则对批注所作的任何改动都将被删除。了解详细信息: https://go.microsoft.com/fwlink/?linkid=870924
注释:
    Weighted Average Terms for Foreign Gov. loans based on values from this dataset
Term:        Interest     Term      Grace
Value:        2.41%      23.58       6.54
%Known:  51.96%    66.91%   50.41%</t>
      </text>
    </comment>
    <comment ref="K196" authorId="533" shapeId="0" xr:uid="{6442AB3C-769D-45E6-BEC4-25D8ABCF8405}">
      <text>
        <t>[线程批注]
你的Excel版本可读取此线程批注; 但如果在更新版本的Excel中打开文件，则对批注所作的任何改动都将被删除。了解详细信息: https://go.microsoft.com/fwlink/?linkid=870924
注释:
    EIB $168M for Geothermal
Total Geothermal: $1,035 million
Page 4 of 120 (PDF Page 14)
https://documents1.worldbank.org/curated/en/328821531497639930/pdf/ICR00004496-07102018.pdf</t>
      </text>
    </comment>
    <comment ref="P196" authorId="534" shapeId="0" xr:uid="{98BD8BD4-53AC-4D1F-8815-0FFC66CB2E13}">
      <text>
        <t>[线程批注]
你的Excel版本可读取此线程批注; 但如果在更新版本的Excel中打开文件，则对批注所作的任何改动都将被删除。了解详细信息: https://go.microsoft.com/fwlink/?linkid=870924
注释:
    Based on KenGen financial statements for 2015 - interest rate of 3.884, maturity in 2037
https://africanfinancials.com/document/ke-kegn-2015-ar-00/</t>
      </text>
    </comment>
    <comment ref="Q196" authorId="535" shapeId="0" xr:uid="{EEC1F046-09C0-4F5D-910F-67B584AF9986}">
      <text>
        <t>[线程批注]
你的Excel版本可读取此线程批注; 但如果在更新版本的Excel中打开文件，则对批注所作的任何改动都将被删除。了解详细信息: https://go.microsoft.com/fwlink/?linkid=870924
注释:
    Based on KenGen financial statements for 2015 - interest rate of 3.884, maturity in 2037
https://africanfinancials.com/document/ke-kegn-2015-ar-00/</t>
      </text>
    </comment>
    <comment ref="S196" authorId="536" shapeId="0" xr:uid="{0893BB9D-0C51-4667-91B0-88D61B2FBC0E}">
      <text>
        <t>[线程批注]
你的Excel版本可读取此线程批注; 但如果在更新版本的Excel中打开文件，则对批注所作的任何改动都将被删除。了解详细信息: https://go.microsoft.com/fwlink/?linkid=870924
注释:
    Weighted Average Terms for Multilateral Agency loans based on values from this dataset
Term:        Interest     Term      Grace
Value:        2.39%      33.67       6.96
%Known:  46.21%    52.38%   44.87%</t>
      </text>
    </comment>
    <comment ref="K197" authorId="537" shapeId="0" xr:uid="{B63FA741-1A8B-4197-BA79-1A7E5AEC2202}">
      <text>
        <t>[线程批注]
你的Excel版本可读取此线程批注; 但如果在更新版本的Excel中打开文件，则对批注所作的任何改动都将被删除。了解详细信息: https://go.microsoft.com/fwlink/?linkid=870924
注释:
    KenGen $130M for Geothermal
Total Geothermal: $1,035 million
Page 4 of 120 (PDF Page 14)
https://documents1.worldbank.org/curated/en/328821531497639930/pdf/ICR00004496-07102018.pdf</t>
      </text>
    </comment>
    <comment ref="P197" authorId="538" shapeId="0" xr:uid="{E89F463A-9417-424C-8D91-0BCD4AF68BC0}">
      <text>
        <t>[线程批注]
你的Excel版本可读取此线程批注; 但如果在更新版本的Excel中打开文件，则对批注所作的任何改动都将被删除。了解详细信息: https://go.microsoft.com/fwlink/?linkid=870924
注释:
    Based on average ROE for KenGen between 2004-2009 as reported in 
Page 146 (PDF Page 158)
https://documents1.worldbank.org/curated/en/155911468273019836/pdf/541470PAD0P1031ly10IDA1R20101013511.pdf</t>
      </text>
    </comment>
    <comment ref="Q197" authorId="539" shapeId="0" xr:uid="{6210632A-04AE-4932-9FC9-5406405A1E14}">
      <text>
        <t>[线程批注]
你的Excel版本可读取此线程批注; 但如果在更新版本的Excel中打开文件，则对批注所作的任何改动都将被删除。了解详细信息: https://go.microsoft.com/fwlink/?linkid=870924
注释:
    Based on Technology Lifespan reported in:
https://www.sciencedirect.com/science/article/pii/S2352340922002323 
Lucy Allington, Carla Cannone, Ioannis Pappis, Karla Cervantes Barron, Will Usher, Steve Pye, Edward Brown, Mark Howells, Miriam Zachau Walker, Aniq Ahsan, Flora Charbonnier, Claire Halloran, Stephanie Hirmer, Jennifer Cronin, Constantinos Taliotis, Caroline Sundin, Vignesh Sridharan, Eunice Ramos, Maarten Brinkerink, Paul Deane, Andrii Gritsevskyi, Gustavo Moura, Arnaud Rouget, David Wogan, Edito Barcelona, Taco Niet, Holger Rogner, Franziska Bock, Jairo Quirós-Tortós, Jam Angulo-Paniagua, Satheesh Krishnamurthy, John Harrison, Long Seng To,
Selected ‘Starter kit’ energy system modelling data for selected countries in Africa, East Asia, and South America (#CCG, 2021),
Data in Brief,
Volume 42,
2022,
108021,
ISSN 2352-3409,
https://doi.org/10.1016/j.dib.2022.108021.</t>
      </text>
    </comment>
    <comment ref="K198" authorId="540" shapeId="0" xr:uid="{E14B3738-BDC5-4EE1-9259-BBA26F68D8C3}">
      <text>
        <t>[线程批注]
你的Excel版本可读取此线程批注; 但如果在更新版本的Excel中打开文件，则对批注所作的任何改动都将被删除。了解详细信息: https://go.microsoft.com/fwlink/?linkid=870924
注释:
    KfW $84M for Geothermal
Total Geothermal: $1,035 million
Page 4 of 120 (PDF Page 14)
https://documents1.worldbank.org/curated/en/328821531497639930/pdf/ICR00004496-07102018.pdf</t>
      </text>
    </comment>
    <comment ref="P198" authorId="541" shapeId="0" xr:uid="{8AA9747C-13C4-4EF8-B460-FB469A6CC34C}">
      <text>
        <t>[线程批注]
你的Excel版本可读取此线程批注; 但如果在更新版本的Excel中打开文件，则对批注所作的任何改动都将被删除。了解详细信息: https://go.microsoft.com/fwlink/?linkid=870924
注释:
    Based on Loan Terms outlined in KenGen 2013 Annual report
https://africanfinancials.com/document/ke-kegn-2013-ar-00/</t>
      </text>
    </comment>
    <comment ref="Q198" authorId="542" shapeId="0" xr:uid="{6C693227-BA18-4E7E-B950-B05578631B52}">
      <text>
        <t>[线程批注]
你的Excel版本可读取此线程批注; 但如果在更新版本的Excel中打开文件，则对批注所作的任何改动都将被删除。了解详细信息: https://go.microsoft.com/fwlink/?linkid=870924
注释:
    Based on Terms outlined in KenGen Financial Reports 2013
Based on Loan Terms outlined in KenGen 2013 Annual report
https://africanfinancials.com/document/ke-kegn-2013-ar-00/ 
答复:
    Renegotiated to 2.2% interest and maturity in 2026 (14 years) according to later financial statements</t>
      </text>
    </comment>
    <comment ref="S198" authorId="543" shapeId="0" xr:uid="{8F48FAC3-EBD5-44D6-BD88-09EB626D7B0F}">
      <text>
        <t>[线程批注]
你的Excel版本可读取此线程批注; 但如果在更新版本的Excel中打开文件，则对批注所作的任何改动都将被删除。了解详细信息: https://go.microsoft.com/fwlink/?linkid=870924
注释:
    Weighted Average Terms for Foreign Gov. loans based on values from this dataset
Term:        Interest     Term      Grace
Value:        2.17%      27.23       7.08
%Known:  60.46%    77.60%   56.76%</t>
      </text>
    </comment>
    <comment ref="K199" authorId="544" shapeId="0" xr:uid="{665340AB-F480-4A60-9100-7E2F3942B95F}">
      <text>
        <t>[线程批注]
你的Excel版本可读取此线程批注; 但如果在更新版本的Excel中打开文件，则对批注所作的任何改动都将被删除。了解详细信息: https://go.microsoft.com/fwlink/?linkid=870924
注释:
    World Bank IDA $120M for Geothermal
Total Geothermal: $1,035 million
Page 4 of 120 (PDF Page 14)
https://documents1.worldbank.org/curated/en/328821531497639930/pdf/ICR00004496-07102018.pdf</t>
      </text>
    </comment>
    <comment ref="P199" authorId="545" shapeId="0" xr:uid="{0A7FF53E-83C8-4D09-8FE9-5A876E0580F8}">
      <text>
        <t>[线程批注]
你的Excel版本可读取此线程批注; 但如果在更新版本的Excel中打开文件，则对批注所作的任何改动都将被删除。了解详细信息: https://go.microsoft.com/fwlink/?linkid=870924
注释:
    Based on on-lending Interest Rates for KenGen and KPLC
Page 40 (PDF Page 52)
https://documents1.worldbank.org/curated/en/155911468273019836/pdf/541470PAD0P1031ly10IDA1R20101013511.pdf
答复:
    Government External Debt on this was 0.75%
https://www.treasury.go.ke/wp-content/uploads/2021/09/External-Public-Debt-Register-as-at-End-June-2019.pdf</t>
      </text>
    </comment>
    <comment ref="Q199" authorId="546" shapeId="0" xr:uid="{F6BC5979-F909-4393-BE79-C1B98258AF8B}">
      <text>
        <t>[线程批注]
你的Excel版本可读取此线程批注; 但如果在更新版本的Excel中打开文件，则对批注所作的任何改动都将被删除。了解详细信息: https://go.microsoft.com/fwlink/?linkid=870924
注释:
    World Bank IDA loan of $330M
40 years Maturity, 10 years Grace
On-Leant to KenGen
$215M to be re-lent:
$115M to KenGen at 25Yr M, 7Y G and 3.5% Interest
$100M to KPLC at 25Yr M, 7Y G and 3.5% Interest
$34M to be given as Grant to REA
$81M will cover Transmission and Institutional development
Page 40 (PDF Page 52)
https://documents1.worldbank.org/curated/en/155911468273019836/pdf/541470PAD0P1031ly10IDA1R20101013511.pdf</t>
      </text>
    </comment>
    <comment ref="S199" authorId="547" shapeId="0" xr:uid="{CB0ABEA5-0E5B-469F-B8D6-BADB5A69FE2D}">
      <text>
        <t>[线程批注]
你的Excel版本可读取此线程批注; 但如果在更新版本的Excel中打开文件，则对批注所作的任何改动都将被删除。了解详细信息: https://go.microsoft.com/fwlink/?linkid=870924
注释:
    World Bank IDA loan of $330M
40 years Maturity, 10 years Grace
$215M to be re-lent:
$115M to KenGen at 25Yr M, 7Y G and 3.5% Interest
$100M to KPLC at 25Yr M, 7Y G and 3.5% Interest
$34M to be given as Grant to REA
$81M will cover Transmission and Institutional development
Page 40 (PDF Page 52)
https://documents1.worldbank.org/curated/en/155911468273019836/pdf/541470PAD0P1031ly10IDA1R20101013511.pdf</t>
      </text>
    </comment>
    <comment ref="G200" authorId="548" shapeId="0" xr:uid="{AE102664-F375-4812-83F8-4B70A1C21376}">
      <text>
        <t>[线程批注]
你的Excel版本可读取此线程批注; 但如果在更新版本的Excel中打开文件，则对批注所作的任何改动都将被删除。了解详细信息: https://go.microsoft.com/fwlink/?linkid=870924
注释:
    "Revolving Fund Only"</t>
      </text>
    </comment>
    <comment ref="K200" authorId="549" shapeId="0" xr:uid="{0BE92536-FDD3-4D3D-9515-A05140EAAAD8}">
      <text>
        <t>[线程批注]
你的Excel版本可读取此线程批注; 但如果在更新版本的Excel中打开文件，则对批注所作的任何改动都将被删除。了解详细信息: https://go.microsoft.com/fwlink/?linkid=870924
注释:
    AFD $10M for Distribution
Total Distribution: $272 million
Page 4 of 120 (PDF Page 14)
https://documents1.worldbank.org/curated/en/328821531497639930/pdf/ICR00004496-07102018.pdf</t>
      </text>
    </comment>
    <comment ref="P200" authorId="550" shapeId="0" xr:uid="{E28EA55A-D9DF-48AA-B897-6A3CF985DB3F}">
      <text>
        <t xml:space="preserve">[线程批注]
你的Excel版本可读取此线程批注; 但如果在更新版本的Excel中打开文件，则对批注所作的任何改动都将被删除。了解详细信息: https://go.microsoft.com/fwlink/?linkid=870924
注释:
    24 installments over 25 months after connection at 5% interest rate
Page 91 (PDF page 103)
https://documents1.worldbank.org/curated/en/155911468273019836/pdf/541470PAD0P1031ly10IDA1R20101013511.pdf
</t>
      </text>
    </comment>
    <comment ref="Q200" authorId="551" shapeId="0" xr:uid="{2056F986-3693-4A7F-8905-B87C6349EC5F}">
      <text>
        <t>[线程批注]
你的Excel版本可读取此线程批注; 但如果在更新版本的Excel中打开文件，则对批注所作的任何改动都将被删除。了解详细信息: https://go.microsoft.com/fwlink/?linkid=870924
注释:
    Based on 20-30% repayment (average 25%) by consumers upfront and remainder (average 75%) back over 25 months following connection</t>
      </text>
    </comment>
    <comment ref="S200" authorId="552" shapeId="0" xr:uid="{33BB6858-80C8-4B01-88F2-F8741BF696BE}">
      <text>
        <t>[线程批注]
你的Excel版本可读取此线程批注; 但如果在更新版本的Excel中打开文件，则对批注所作的任何改动都将被删除。了解详细信息: https://go.microsoft.com/fwlink/?linkid=870924
注释:
    Based on aimed increases in connections between 2011 and 2016: average connection year would be 2013.5
Page 16 (PDF Page 28)
https://documents1.worldbank.org/curated/en/155911468273019836/pdf/541470PAD0P1031ly10IDA1R20101013511.pdf</t>
      </text>
    </comment>
    <comment ref="H201" authorId="553" shapeId="0" xr:uid="{70B5DAEA-B0CD-4113-8572-643E29B44A7A}">
      <text>
        <t>[线程批注]
你的Excel版本可读取此线程批注; 但如果在更新版本的Excel中打开文件，则对批注所作的任何改动都将被删除。了解详细信息: https://go.microsoft.com/fwlink/?linkid=870924
注释:
    World Bank GPOBA/GPRBA</t>
      </text>
    </comment>
    <comment ref="K201" authorId="554" shapeId="0" xr:uid="{28579EDD-2005-4A71-9A8E-0F19C5442E1E}">
      <text>
        <t>[线程批注]
你的Excel版本可读取此线程批注; 但如果在更新版本的Excel中打开文件，则对批注所作的任何改动都将被删除。了解详细信息: https://go.microsoft.com/fwlink/?linkid=870924
注释:
    GPOBA (now GPRBA) $5M for Distribution
Total Distribution: $272 million
Page 4 of 120 (PDF Page 14)
https://documents1.worldbank.org/curated/en/328821531497639930/pdf/ICR00004496-07102018.pdf</t>
      </text>
    </comment>
    <comment ref="P201" authorId="555" shapeId="0" xr:uid="{C9D73CC3-7120-4A83-A496-C56EA180F9CE}">
      <text>
        <t>[线程批注]
你的Excel版本可读取此线程批注; 但如果在更新版本的Excel中打开文件，则对批注所作的任何改动都将被删除。了解详细信息: https://go.microsoft.com/fwlink/?linkid=870924
注释:
    Based on on-lending Interest Rates for KenGen and KPLC
Page 40 (PDF Page 52)
https://documents1.worldbank.org/curated/en/155911468273019836/pdf/541470PAD0P1031ly10IDA1R20101013511.pdf</t>
      </text>
    </comment>
    <comment ref="Q201" authorId="556" shapeId="0" xr:uid="{E4085B68-4E08-474D-BA6E-78088D9DEBCF}">
      <text>
        <t xml:space="preserve">[线程批注]
你的Excel版本可读取此线程批注; 但如果在更新版本的Excel中打开文件，则对批注所作的任何改动都将被删除。了解详细信息: https://go.microsoft.com/fwlink/?linkid=870924
注释:
    World Bank IDA loan of $330M
40 years Maturity, 10 years Grace
$215M to be re-lent:
$115M to KenGen at 25Yr M, 7Y G and 3.5% Interest
$100M to KPLC at 25Yr M, 7Y G and 3.5% Interest
$34M to be given as Grant to REA
$81M will cover Transmission and Institutional development
Page 40 (PDF Page 52)
https://documents1.worldbank.org/curated/en/155911468273019836/pdf/541470PAD0P1031ly10IDA1R20101013511.pdf
 </t>
      </text>
    </comment>
    <comment ref="S201" authorId="557" shapeId="0" xr:uid="{AD3CF90D-83B9-4CC7-B9DC-98FB1AADD1B1}">
      <text>
        <t>[线程批注]
你的Excel版本可读取此线程批注; 但如果在更新版本的Excel中打开文件，则对批注所作的任何改动都将被删除。了解详细信息: https://go.microsoft.com/fwlink/?linkid=870924
注释:
    World Bank IDA loan of $330M
40 years Maturity, 10 years Grace
$215M to be re-lent:
$115M to KenGen at 25Yr M, 7Y G and 3.5% Interest
$100M to KPLC at 25Yr M, 7Y G and 3.5% Interest
$34M to be given as Grant to REA
$81M will cover Transmission and Institutional development
Page 40 (PDF Page 52)
https://documents1.worldbank.org/curated/en/155911468273019836/pdf/541470PAD0P1031ly10IDA1R20101013511.pdf</t>
      </text>
    </comment>
    <comment ref="P202" authorId="558" shapeId="0" xr:uid="{6E68ADE4-4319-444D-B8CE-ABE0CFAC9AF9}">
      <text>
        <t>[线程批注]
你的Excel版本可读取此线程批注; 但如果在更新版本的Excel中打开文件，则对批注所作的任何改动都将被删除。了解详细信息: https://go.microsoft.com/fwlink/?linkid=870924
注释:
    Based on average ROE for KPLC between 2004-2009 as reported in 
Page 143 (PDF Page 155)
https://documents1.worldbank.org/curated/en/155911468273019836/pdf/541470PAD0P1031ly10IDA1R20101013511.pdf</t>
      </text>
    </comment>
    <comment ref="Q202" authorId="559" shapeId="0" xr:uid="{CE618C28-2D91-4C91-80D9-4F756B158859}">
      <text>
        <t xml:space="preserve">[线程批注]
你的Excel版本可读取此线程批注; 但如果在更新版本的Excel中打开文件，则对批注所作的任何改动都将被删除。了解详细信息: https://go.microsoft.com/fwlink/?linkid=870924
注释:
    Based on Distribution Life outlined in OSeMOSYS
</t>
      </text>
    </comment>
    <comment ref="T202" authorId="560" shapeId="0" xr:uid="{EFBB5DD1-434A-48B5-BA0E-B1591B7E4053}">
      <text>
        <t>[线程批注]
你的Excel版本可读取此线程批注; 但如果在更新版本的Excel中打开文件，则对批注所作的任何改动都将被删除。了解详细信息: https://go.microsoft.com/fwlink/?linkid=870924
注释:
    World Bank IDA loan of $330M
40 years Maturity, 10 years Grace
$215M to be re-lent:
$115M to KenGen at 25Yr M, 7Y G and 3.5% Interest
$100M to KPLC at 25Yr M, 7Y G and 3.5% Interest
$34M to be given as Grant to REA
$81M will cover Transmission and Institutional development
Page 40 (PDF Page 52)
https://documents1.worldbank.org/curated/en/155911468273019836/pdf/541470PAD0P1031ly10IDA1R20101013511.pdf</t>
      </text>
    </comment>
    <comment ref="K203" authorId="561" shapeId="0" xr:uid="{8E481AA6-C5B0-4081-BCA8-2712ECC4AA5D}">
      <text>
        <t>[线程批注]
你的Excel版本可读取此线程批注; 但如果在更新版本的Excel中打开文件，则对批注所作的任何改动都将被删除。了解详细信息: https://go.microsoft.com/fwlink/?linkid=870924
注释:
    KPLC $30M for Distribution
Total Distribution: $272 million
Page 4 of 120 (PDF Page 14)
https://documents1.worldbank.org/curated/en/328821531497639930/pdf/ICR00004496-07102018.pdf</t>
      </text>
    </comment>
    <comment ref="P203" authorId="562" shapeId="0" xr:uid="{5065854B-527F-481C-A0B7-47590037383C}">
      <text>
        <t>[线程批注]
你的Excel版本可读取此线程批注; 但如果在更新版本的Excel中打开文件，则对批注所作的任何改动都将被删除。了解详细信息: https://go.microsoft.com/fwlink/?linkid=870924
注释:
    Based on average ROE for KPLC between 2004-2009 as reported in 
Page 143 (PDF Page 155)
https://documents1.worldbank.org/curated/en/155911468273019836/pdf/541470PAD0P1031ly10IDA1R20101013511.pdf</t>
      </text>
    </comment>
    <comment ref="Q203" authorId="563" shapeId="0" xr:uid="{750E8A9C-F7D3-48A4-B004-9DD984E7A0D7}">
      <text>
        <t xml:space="preserve">[线程批注]
你的Excel版本可读取此线程批注; 但如果在更新版本的Excel中打开文件，则对批注所作的任何改动都将被删除。了解详细信息: https://go.microsoft.com/fwlink/?linkid=870924
注释:
    Based on Distribution Life outlined in OSeMOSYS
</t>
      </text>
    </comment>
    <comment ref="I204" authorId="564" shapeId="0" xr:uid="{827F31B9-56FD-4E8D-BE1E-B1F17F098A63}">
      <text>
        <t>[线程批注]
你的Excel版本可读取此线程批注; 但如果在更新版本的Excel中打开文件，则对批注所作的任何改动都将被删除。了解详细信息: https://go.microsoft.com/fwlink/?linkid=870924
注释:
    Energy Sector Users</t>
      </text>
    </comment>
    <comment ref="K204" authorId="565" shapeId="0" xr:uid="{8CEBF734-C371-4351-9045-57C1FFF02D23}">
      <text>
        <t>[线程批注]
你的Excel版本可读取此线程批注; 但如果在更新版本的Excel中打开文件，则对批注所作的任何改动都将被删除。了解详细信息: https://go.microsoft.com/fwlink/?linkid=870924
注释:
    Energy Sector Users $91M for Distribution
Total Distribution: $272 million
Page 4 of 120 (PDF Page 14)
https://documents1.worldbank.org/curated/en/328821531497639930/pdf/ICR00004496-07102018.pdf</t>
      </text>
    </comment>
    <comment ref="P204" authorId="566" shapeId="0" xr:uid="{8D7E413D-DEEE-462B-91E2-C3F165B78980}">
      <text>
        <t>[线程批注]
你的Excel版本可读取此线程批注; 但如果在更新版本的Excel中打开文件，则对批注所作的任何改动都将被删除。了解详细信息: https://go.microsoft.com/fwlink/?linkid=870924
注释:
    Based on annual average public debt interest rates:
https://www.cabri-sbo.org/uploads/bia/kenya_2010_other_external_budget_data_ministry_of_finance_comesa_eac_igad_english_1.pdf
答复:
    May be 12.5% based on other public infrastructure bonds
See KenGen Financial Statements 2012</t>
      </text>
    </comment>
    <comment ref="Q204" authorId="567" shapeId="0" xr:uid="{4FA6D8B5-05F7-43E2-8FDB-3B2FDE102696}">
      <text>
        <t>[线程批注]
你的Excel版本可读取此线程批注; 但如果在更新版本的Excel中打开文件，则对批注所作的任何改动都将被删除。了解详细信息: https://go.microsoft.com/fwlink/?linkid=870924
注释:
    Based on annual average public debt Loan Term:
https://www.cabri-sbo.org/uploads/bia/kenya_2010_other_external_budget_data_ministry_of_finance_comesa_eac_igad_english_1.pdf</t>
      </text>
    </comment>
    <comment ref="S204" authorId="568" shapeId="0" xr:uid="{C5FDBE9A-4326-4760-8A85-7981D6601352}">
      <text>
        <t>[线程批注]
你的Excel版本可读取此线程批注; 但如果在更新版本的Excel中打开文件，则对批注所作的任何改动都将被删除。了解详细信息: https://go.microsoft.com/fwlink/?linkid=870924
注释:
    Based on annual average public debt Grace Periods:
https://www.cabri-sbo.org/uploads/bia/kenya_2010_other_external_budget_data_ministry_of_finance_comesa_eac_igad_english_1.pdf</t>
      </text>
    </comment>
    <comment ref="K205" authorId="569" shapeId="0" xr:uid="{DEC08850-45BD-4B17-A149-1E1BDEF5BED3}">
      <text>
        <t>[线程批注]
你的Excel版本可读取此线程批注; 但如果在更新版本的Excel中打开文件，则对批注所作的任何改动都将被删除。了解详细信息: https://go.microsoft.com/fwlink/?linkid=870924
注释:
    WB IDA $134M for Distribution
Total Distribution: $272 million
$100M On-lent to KPLC
$34M Grant to REA
Page 4 of 120 (PDF Page 14)
https://documents1.worldbank.org/curated/en/328821531497639930/pdf/ICR00004496-07102018.pdf</t>
      </text>
    </comment>
    <comment ref="P205" authorId="570" shapeId="0" xr:uid="{A78B0659-B94C-4BCD-9062-332F21145A03}">
      <text>
        <t>[线程批注]
你的Excel版本可读取此线程批注; 但如果在更新版本的Excel中打开文件，则对批注所作的任何改动都将被删除。了解详细信息: https://go.microsoft.com/fwlink/?linkid=870924
注释:
    Based on on-lending Interest Rates for KenGen and KPLC
Page 40 (PDF Page 52)
https://documents1.worldbank.org/curated/en/155911468273019836/pdf/541470PAD0P1031ly10IDA1R20101013511.pdf</t>
      </text>
    </comment>
    <comment ref="Q205" authorId="571" shapeId="0" xr:uid="{BDEBCB22-5473-4F49-81D4-53628CEF2FA2}">
      <text>
        <t>[线程批注]
你的Excel版本可读取此线程批注; 但如果在更新版本的Excel中打开文件，则对批注所作的任何改动都将被删除。了解详细信息: https://go.microsoft.com/fwlink/?linkid=870924
注释:
    World Bank IDA loan of $330M
40 years Maturity, 10 years Grace
$215M to be re-lent:
$115M to KenGen at 25Yr M, 7Y G and 3.5% Interest
$100M to KPLC at 25Yr M, 7Y G and 3.5% Interest
$34M to be given as Grant to REA
$81M will cover Transmission and Institutional development
Page 40 (PDF Page 52)
https://documents1.worldbank.org/curated/en/155911468273019836/pdf/541470PAD0P1031ly10IDA1R20101013511.pdf</t>
      </text>
    </comment>
    <comment ref="S205" authorId="572" shapeId="0" xr:uid="{587922C9-1AD9-440A-B821-A9A89523815A}">
      <text>
        <t>[线程批注]
你的Excel版本可读取此线程批注; 但如果在更新版本的Excel中打开文件，则对批注所作的任何改动都将被删除。了解详细信息: https://go.microsoft.com/fwlink/?linkid=870924
注释:
    World Bank IDA loan of $330M
40 years Maturity, 10 years Grace
$215M to be re-lent:
$115M to KenGen at 25Yr M, 7Y G and 3.5% Interest
$100M to KPLC at 25Yr M, 7Y G and 3.5% Interest
$34M to be given as Grant to REA
$81M will cover Transmission and Institutional development
Page 40 (PDF Page 52)
https://documents1.worldbank.org/curated/en/155911468273019836/pdf/541470PAD0P1031ly10IDA1R20101013511.pdf</t>
      </text>
    </comment>
    <comment ref="K206" authorId="573" shapeId="0" xr:uid="{6D0887E1-C47B-4E5F-83A7-9403BD36C44D}">
      <text>
        <t>[线程批注]
你的Excel版本可读取此线程批注; 但如果在更新版本的Excel中打开文件，则对批注所作的任何改动都将被删除。了解详细信息: https://go.microsoft.com/fwlink/?linkid=870924
注释:
    KETRACO $8M for Transmission
Total Transmission: $72.5 million
Page 4 of 120 (PDF Page 14)
https://documents1.worldbank.org/curated/en/328821531497639930/pdf/ICR00004496-07102018.pdf</t>
      </text>
    </comment>
    <comment ref="P206" authorId="574" shapeId="0" xr:uid="{D6C27F38-C011-4414-BB83-176A58A95C7B}">
      <text>
        <t>[线程批注]
你的Excel版本可读取此线程批注; 但如果在更新版本的Excel中打开文件，则对批注所作的任何改动都将被删除。了解详细信息: https://go.microsoft.com/fwlink/?linkid=870924
注释:
    Assumed to be similar to the ROE of KPLC: Based on average ROE for KPLC between 2004-2009 as reported in 
Page 143 (PDF Page 155)
https://documents1.worldbank.org/curated/en/155911468273019836/pdf/541470PAD0P1031ly10IDA1R20101013511.pdf</t>
      </text>
    </comment>
    <comment ref="Q206" authorId="575" shapeId="0" xr:uid="{4727AB7C-D1F8-4C6F-9D8E-C6153DCCF532}">
      <text>
        <t xml:space="preserve">[线程批注]
你的Excel版本可读取此线程批注; 但如果在更新版本的Excel中打开文件，则对批注所作的任何改动都将被删除。了解详细信息: https://go.microsoft.com/fwlink/?linkid=870924
注释:
    Based on Grid Life outlined in OSeMOSYS
</t>
      </text>
    </comment>
    <comment ref="K207" authorId="576" shapeId="0" xr:uid="{92829098-3C4A-4979-9B3D-DBF4DD773C0A}">
      <text>
        <t>[线程批注]
你的Excel版本可读取此线程批注; 但如果在更新版本的Excel中打开文件，则对批注所作的任何改动都将被删除。了解详细信息: https://go.microsoft.com/fwlink/?linkid=870924
注释:
    WB IDA $64.5M for Transmission
Total Transmission: $72.5 million
Page 4 of 120 (PDF Page 14)
https://documents1.worldbank.org/curated/en/328821531497639930/pdf/ICR00004496-07102018.pdf</t>
      </text>
    </comment>
    <comment ref="P207" authorId="577" shapeId="0" xr:uid="{92413824-F44D-4729-8246-950B9D442042}">
      <text>
        <t>[线程批注]
你的Excel版本可读取此线程批注; 但如果在更新版本的Excel中打开文件，则对批注所作的任何改动都将被删除。了解详细信息: https://go.microsoft.com/fwlink/?linkid=870924
注释:
    Based on on-lending Interest Rates for KenGen and KPLC
Page 40 (PDF Page 52)
https://documents1.worldbank.org/curated/en/155911468273019836/pdf/541470PAD0P1031ly10IDA1R20101013511.pdf</t>
      </text>
    </comment>
    <comment ref="Q207" authorId="578" shapeId="0" xr:uid="{F5938376-8F3F-4D00-A3CA-24C589E239A8}">
      <text>
        <t>[线程批注]
你的Excel版本可读取此线程批注; 但如果在更新版本的Excel中打开文件，则对批注所作的任何改动都将被删除。了解详细信息: https://go.microsoft.com/fwlink/?linkid=870924
注释:
    World Bank IDA loan of $330M
40 years Maturity, 10 years Grace
$215M to be re-lent:
$115M to KenGen at 25Yr M, 7Y G and 3.5% Interest
$100M to KPLC at 25Yr M, 7Y G and 3.5% Interest
$34M to be given as Grant to REA
$81M will cover Transmission and Institutional development
Page 40 (PDF Page 52)
https://documents1.worldbank.org/curated/en/155911468273019836/pdf/541470PAD0P1031ly10IDA1R20101013511.pdf</t>
      </text>
    </comment>
    <comment ref="S207" authorId="579" shapeId="0" xr:uid="{9A990E0C-9A32-4D8A-8546-7AA16D4B9A49}">
      <text>
        <t>[线程批注]
你的Excel版本可读取此线程批注; 但如果在更新版本的Excel中打开文件，则对批注所作的任何改动都将被删除。了解详细信息: https://go.microsoft.com/fwlink/?linkid=870924
注释:
    World Bank IDA loan of $330M
40 years Maturity, 10 years Grace
$215M to be re-lent:
$115M to KenGen at 25Yr M, 7Y G and 3.5% Interest
$100M to KPLC at 25Yr M, 7Y G and 3.5% Interest
$34M to be given as Grant to REA
$81M will cover Transmission and Institutional development
Page 40 (PDF Page 52)
https://documents1.worldbank.org/curated/en/155911468273019836/pdf/541470PAD0P1031ly10IDA1R20101013511.pdf</t>
      </text>
    </comment>
    <comment ref="K208" authorId="580" shapeId="0" xr:uid="{304DE9AF-AD24-4B2D-87B0-AC0309528C2B}">
      <text>
        <t>[线程批注]
你的Excel版本可读取此线程批注; 但如果在更新版本的Excel中打开文件，则对批注所作的任何改动都将被删除。了解详细信息: https://go.microsoft.com/fwlink/?linkid=870924
注释:
    Kenya Electricity Expansion Project - OPEC Fund for International Development
答复:
    http://www.parliament.go.ke/sites/default/files/2023-04/Report%20of%20the%20Auditor%20General%20on%20Kenya%20Eletricity%20Expansion%20Project%20%28Ofid%20CR%20No.%201487%29%20%20For%20the%20Year%20ended%2030%20June%2C%202022%20Rural%20Electrifiation%20and%20Renewable%20Energy%20Corporation_compressed.pdf</t>
      </text>
    </comment>
    <comment ref="P208" authorId="581" shapeId="0" xr:uid="{08BD3055-4A22-4618-85BD-4FD24501BDCA}">
      <text>
        <t xml:space="preserve">[线程批注]
你的Excel版本可读取此线程批注; 但如果在更新版本的Excel中打开文件，则对批注所作的任何改动都将被删除。了解详细信息: https://go.microsoft.com/fwlink/?linkid=870924
注释:
    1% interest rate on loan to GoK based on repayment from 2018 to 2032
1% interest rate
4 years grace
18 year maturity
https://treasury.go.ke/wp-content/uploads/2021/02/External-Public-Debt-Register-as-at-End-June-2018.pdf
</t>
      </text>
    </comment>
    <comment ref="Q208" authorId="582" shapeId="0" xr:uid="{77A23626-5CBA-4C76-AE9E-C7D5BC38B52A}">
      <text>
        <t>[线程批注]
你的Excel版本可读取此线程批注; 但如果在更新版本的Excel中打开文件，则对批注所作的任何改动都将被删除。了解详细信息: https://go.microsoft.com/fwlink/?linkid=870924
注释:
    1% interest rate on loan to GoK based on repayment from 2018 to 2032
1% interest rate
4 years grace
18 year maturity
https://treasury.go.ke/wp-content/uploads/2021/02/External-Public-Debt-Register-as-at-End-June-2018.pdf</t>
      </text>
    </comment>
    <comment ref="S208" authorId="583" shapeId="0" xr:uid="{8F5C544D-950F-464D-B423-A35B14A5CC8E}">
      <text>
        <t>[线程批注]
你的Excel版本可读取此线程批注; 但如果在更新版本的Excel中打开文件，则对批注所作的任何改动都将被删除。了解详细信息: https://go.microsoft.com/fwlink/?linkid=870924
注释:
    1% interest rate on loan to GoK based on repayment from 2018 to 2032
1% interest rate
4 years grace
18 year maturity
https://treasury.go.ke/wp-content/uploads/2021/02/External-Public-Debt-Register-as-at-End-June-2018.pdf</t>
      </text>
    </comment>
    <comment ref="K209" authorId="584" shapeId="0" xr:uid="{B378A65E-082A-4647-8732-0DF4C669DD10}">
      <text>
        <t>[线程批注]
你的Excel版本可读取此线程批注; 但如果在更新版本的Excel中打开文件，则对批注所作的任何改动都将被删除。了解详细信息: https://go.microsoft.com/fwlink/?linkid=870924
注释:
    Kenya - Electricity Expansion Project - Additional Financing (worldbank.org)
$68 Million Additional Financing with a 38 year Maturity and 6 year grace period
-$4.3 Million as this amount was used for Capacity and Institutional Development</t>
      </text>
    </comment>
    <comment ref="P209" authorId="585" shapeId="0" xr:uid="{3C8D6FE5-DC39-4B0B-8AD2-4A666ADE771A}">
      <text>
        <t>[线程批注]
你的Excel版本可读取此线程批注; 但如果在更新版本的Excel中打开文件，则对批注所作的任何改动都将被删除。了解详细信息: https://go.microsoft.com/fwlink/?linkid=870924
注释:
    Weighted Average Terms for World Bank loans based on values from this dataset
Term:        Interest     Term      Grace
Value:        2.80%      30.80       6.52
%Known:  44.81%    49.09%   48.25%</t>
      </text>
    </comment>
    <comment ref="Q209" authorId="586" shapeId="0" xr:uid="{84A303C5-DB63-4686-83F7-35D07C7390BD}">
      <text>
        <t>[线程批注]
你的Excel版本可读取此线程批注; 但如果在更新版本的Excel中打开文件，则对批注所作的任何改动都将被删除。了解详细信息: https://go.microsoft.com/fwlink/?linkid=870924
注释:
    Reported by the World Bank:
https://www.worldbank.org/en/news/loans-credits/2016/06/15/kenya-electricity-expansion-project-additional-financing</t>
      </text>
    </comment>
    <comment ref="S209" authorId="587" shapeId="0" xr:uid="{A7AA445F-7464-4860-9150-E6BBEBE29081}">
      <text>
        <t>[线程批注]
你的Excel版本可读取此线程批注; 但如果在更新版本的Excel中打开文件，则对批注所作的任何改动都将被删除。了解详细信息: https://go.microsoft.com/fwlink/?linkid=870924
注释:
    Reported by the World Bank:
https://www.worldbank.org/en/news/loans-credits/2016/06/15/kenya-electricity-expansion-project-additional-financing</t>
      </text>
    </comment>
    <comment ref="K210" authorId="588" shapeId="0" xr:uid="{8FE48F60-2F83-4E3E-A4E0-2F734BE2E02B}">
      <text>
        <t>[线程批注]
你的Excel版本可读取此线程批注; 但如果在更新版本的Excel中打开文件，则对批注所作的任何改动都将被删除。了解详细信息: https://go.microsoft.com/fwlink/?linkid=870924
注释:
    Kenya - Electricity Expansion Project - Additional Financing (worldbank.org)
$68 Million Additional Financing with a 38 year Maturity and 6 year grace period
-$4.3 Million as this amount was used for Capacity and Institutional Development</t>
      </text>
    </comment>
    <comment ref="P210" authorId="589" shapeId="0" xr:uid="{31B9E182-4067-428E-BA16-FBF4D926164A}">
      <text>
        <t>[线程批注]
你的Excel版本可读取此线程批注; 但如果在更新版本的Excel中打开文件，则对批注所作的任何改动都将被删除。了解详细信息: https://go.microsoft.com/fwlink/?linkid=870924
注释:
    Weighted Average Terms for World Bank loans based on values from this dataset
Term:        Interest     Term      Grace
Value:        2.80%      30.80       6.52
%Known:  44.81%    49.09%   48.25%</t>
      </text>
    </comment>
    <comment ref="Q210" authorId="590" shapeId="0" xr:uid="{C3C97E07-E5B9-4F83-A81D-847C21266594}">
      <text>
        <t>[线程批注]
你的Excel版本可读取此线程批注; 但如果在更新版本的Excel中打开文件，则对批注所作的任何改动都将被删除。了解详细信息: https://go.microsoft.com/fwlink/?linkid=870924
注释:
    Reported by the World Bank:
https://www.worldbank.org/en/news/loans-credits/2016/06/15/kenya-electricity-expansion-project-additional-financing</t>
      </text>
    </comment>
    <comment ref="S210" authorId="591" shapeId="0" xr:uid="{372E97AA-A472-4B81-B83F-33E89F66EE8C}">
      <text>
        <t>[线程批注]
你的Excel版本可读取此线程批注; 但如果在更新版本的Excel中打开文件，则对批注所作的任何改动都将被删除。了解详细信息: https://go.microsoft.com/fwlink/?linkid=870924
注释:
    Reported by the World Bank:
https://www.worldbank.org/en/news/loans-credits/2016/06/15/kenya-electricity-expansion-project-additional-financing</t>
      </text>
    </comment>
    <comment ref="K211" authorId="592" shapeId="0" xr:uid="{AA0FA074-7930-4026-9387-9E5B5DAA9F1F}">
      <text>
        <t xml:space="preserve">[线程批注]
你的Excel版本可读取此线程批注; 但如果在更新版本的Excel中打开文件，则对批注所作的任何改动都将被删除。了解详细信息: https://go.microsoft.com/fwlink/?linkid=870924
注释:
    $53M (EUR48M) out of $148M (EUR134M)
Reported by EIB
https://www.eib.org/en/projects/pipelines/all/20150682 </t>
      </text>
    </comment>
    <comment ref="P211" authorId="593" shapeId="0" xr:uid="{F8B2CCBA-EADE-4870-BE36-94440A886C28}">
      <text>
        <t>[线程批注]
你的Excel版本可读取此线程批注; 但如果在更新版本的Excel中打开文件，则对批注所作的任何改动都将被删除。了解详细信息: https://go.microsoft.com/fwlink/?linkid=870924
注释:
    Weighted Average Terms for Multilateral Agency loans based on values from this dataset
Term:        Interest     Term      Grace
Value:        2.39%      33.67       6.96
%Known:  46.21%    52.38%   44.87%</t>
      </text>
    </comment>
    <comment ref="Q211" authorId="594" shapeId="0" xr:uid="{4F9A7145-115A-4114-AADE-E55E8A939E4C}">
      <text>
        <t>[线程批注]
你的Excel版本可读取此线程批注; 但如果在更新版本的Excel中打开文件，则对批注所作的任何改动都将被删除。了解详细信息: https://go.microsoft.com/fwlink/?linkid=870924
注释:
    Weighted Average Terms for Multilateral Agency loans based on values from this dataset
Term:        Interest     Term      Grace
Value:        2.39%      33.67       6.96
%Known:  46.21%    52.38%   44.87%</t>
      </text>
    </comment>
    <comment ref="S211" authorId="595" shapeId="0" xr:uid="{B14DA5F9-7C4B-4C9D-8537-39AC713A45C0}">
      <text>
        <t>[线程批注]
你的Excel版本可读取此线程批注; 但如果在更新版本的Excel中打开文件，则对批注所作的任何改动都将被删除。了解详细信息: https://go.microsoft.com/fwlink/?linkid=870924
注释:
    Weighted Average Terms for Multilateral Agency loans based on values from this dataset
Term:        Interest     Term      Grace
Value:        2.39%      33.67       6.96
%Known:  46.21%    52.38%   44.87%</t>
      </text>
    </comment>
    <comment ref="E212" authorId="596" shapeId="0" xr:uid="{78BC7B60-2B21-4D3A-BA5B-1F9EC3D6461A}">
      <text>
        <t>[线程批注]
你的Excel版本可读取此线程批注; 但如果在更新版本的Excel中打开文件，则对批注所作的任何改动都将被删除。了解详细信息: https://go.microsoft.com/fwlink/?linkid=870924
注释:
    Reached Financial Close in 2019
https://www.fmo.nl/news-detail/7abfb28b-1bcd-4bfb-9575-3ad05608fd6b/thousands-of-kenyans-to-get-clean-energy-from-usd-147-million-solar-projects</t>
      </text>
    </comment>
    <comment ref="K212" authorId="597" shapeId="0" xr:uid="{74F9376A-0F9B-4966-939F-459EBCC8B5FC}">
      <text>
        <t>[线程批注]
你的Excel版本可读取此线程批注; 但如果在更新版本的Excel中打开文件，则对批注所作的任何改动都将被删除。了解详细信息: https://go.microsoft.com/fwlink/?linkid=870924
注释:
    FMO reported $53M loan financing
https://www.fmo.nl/news-detail/7abfb28b-1bcd-4bfb-9575-3ad05608fd6b/thousands-of-kenyans-to-get-clean-energy-from-usd-147-million-solar-projects</t>
      </text>
    </comment>
    <comment ref="P212" authorId="598" shapeId="0" xr:uid="{562C68D2-9D80-4A5A-AE48-4BCB6A51DECE}">
      <text>
        <t>[线程批注]
你的Excel版本可读取此线程批注; 但如果在更新版本的Excel中打开文件，则对批注所作的任何改动都将被删除。了解详细信息: https://go.microsoft.com/fwlink/?linkid=870924
注释:
    Weighted Average Terms for Foreign Gov. loans based on values from this dataset
Term:        Interest     Term      Grace
Value:        2.41%      23.58       6.54
%Known:  51.96%    66.91%   50.41%</t>
      </text>
    </comment>
    <comment ref="Q212" authorId="599" shapeId="0" xr:uid="{A9C104AD-0239-41EE-82B0-6AF3A1D75AC2}">
      <text>
        <t>[线程批注]
你的Excel版本可读取此线程批注; 但如果在更新版本的Excel中打开文件，则对批注所作的任何改动都将被删除。了解详细信息: https://go.microsoft.com/fwlink/?linkid=870924
注释:
    Weighted Average Terms for Foreign Gov. loans based on values from this dataset
Term:        Interest     Term      Grace
Value:        2.41%      23.58       6.54
%Known:  51.96%    66.91%   50.41%</t>
      </text>
    </comment>
    <comment ref="S212" authorId="600" shapeId="0" xr:uid="{67375317-4F52-4CB4-AA4D-B3903765AAA5}">
      <text>
        <t>[线程批注]
你的Excel版本可读取此线程批注; 但如果在更新版本的Excel中打开文件，则对批注所作的任何改动都将被删除。了解详细信息: https://go.microsoft.com/fwlink/?linkid=870924
注释:
    Weighted Average Terms for Foreign Gov. loans based on values from this dataset
Term:        Interest     Term      Grace
Value:        2.41%      23.58       6.54
%Known:  51.96%    66.91%   50.41%</t>
      </text>
    </comment>
    <comment ref="B213" authorId="601" shapeId="0" xr:uid="{8E31439A-4819-473E-AB06-D06415286765}">
      <text>
        <t>[线程批注]
你的Excel版本可读取此线程批注; 但如果在更新版本的Excel中打开文件，则对批注所作的任何改动都将被删除。了解详细信息: https://go.microsoft.com/fwlink/?linkid=870924
注释:
    David Langat, Chairman of the DL Group of Companies
and
Ayaz Merali, Managing Director of Paramount Bank</t>
      </text>
    </comment>
    <comment ref="J213" authorId="602" shapeId="0" xr:uid="{108FB157-0CF3-4F27-B8FB-49F726B406A9}">
      <text>
        <t>[线程批注]
你的Excel版本可读取此线程批注; 但如果在更新版本的Excel中打开文件，则对批注所作的任何改动都将被删除。了解详细信息: https://go.microsoft.com/fwlink/?linkid=870924
注释:
    Registered and Founded in Denmark, but opperating across Africa
https://www.linkedin.com/company/frontier-energy-africa/about/</t>
      </text>
    </comment>
    <comment ref="K213" authorId="603" shapeId="0" xr:uid="{9B413A6F-63CE-4FB1-B265-729879EFD41D}">
      <text>
        <t>[线程批注]
你的Excel版本可读取此线程批注; 但如果在更新版本的Excel中打开文件，则对批注所作的任何改动都将被删除。了解详细信息: https://go.microsoft.com/fwlink/?linkid=870924
注释:
    Remainder of $147M project financed by Frontier Energy and Local Partners
https://www.fmo.nl/news-detail/7abfb28b-1bcd-4bfb-9575-3ad05608fd6b/thousands-of-kenyans-to-get-clean-energy-from-usd-147-million-solar-projects</t>
      </text>
    </comment>
    <comment ref="P213" authorId="604" shapeId="0" xr:uid="{B3438604-B50E-4BE8-A67A-90748206822A}">
      <text>
        <t>[线程批注]
你的Excel版本可读取此线程批注; 但如果在更新版本的Excel中打开文件，则对批注所作的任何改动都将被删除。了解详细信息: https://go.microsoft.com/fwlink/?linkid=870924
注释:
    Based on Equity ROE for Private solar investments:
Page 38 (PDF Page 40)
https://core.ac.uk/download/pdf/43542198.pdf</t>
      </text>
    </comment>
    <comment ref="Q213" authorId="605" shapeId="0" xr:uid="{6ABEA16E-3E5C-41E0-8615-296FAD1A5A5C}">
      <text>
        <t>[线程批注]
你的Excel版本可读取此线程批注; 但如果在更新版本的Excel中打开文件，则对批注所作的任何改动都将被删除。了解详细信息: https://go.microsoft.com/fwlink/?linkid=870924
注释:
    Based on Life-span of African Solar PV
24 years according to:
https://www.sciencedirect.com/science/article/pii/S2352340922002323
Lucy Allington, Carla Cannone, Ioannis Pappis, Karla Cervantes Barron, Will Usher, Steve Pye, Edward Brown, Mark Howells, Miriam Zachau Walker, Aniq Ahsan, Flora Charbonnier, Claire Halloran, Stephanie Hirmer, Jennifer Cronin, Constantinos Taliotis, Caroline Sundin, Vignesh Sridharan, Eunice Ramos, Maarten Brinkerink, Paul Deane, Andrii Gritsevskyi, Gustavo Moura, Arnaud Rouget, David Wogan, Edito Barcelona, Taco Niet, Holger Rogner, Franziska Bock, Jairo Quirós-Tortós, Jam Angulo-Paniagua, Satheesh Krishnamurthy, John Harrison, Long Seng To,
Selected ‘Starter kit’ energy system modelling data for selected countries in Africa, East Asia, and South America (#CCG, 2021),
Data in Brief,
Volume 42,
2022,
108021,
ISSN 2352-3409,
https://doi.org/10.1016/j.dib.2022.108021.</t>
      </text>
    </comment>
    <comment ref="H214" authorId="606" shapeId="0" xr:uid="{81D9EFB6-37A4-4146-8006-ABB41520848E}">
      <text>
        <t>[线程批注]
你的Excel版本可读取此线程批注; 但如果在更新版本的Excel中打开文件，则对批注所作的任何改动都将被删除。了解详细信息: https://go.microsoft.com/fwlink/?linkid=870924
注释:
    Publicly funded by OECD Gov. but managed as a Private Company
https://infracoafrica.com/</t>
      </text>
    </comment>
    <comment ref="P214" authorId="607" shapeId="0" xr:uid="{777E1859-BB82-488C-AF9C-472F123A340E}">
      <text>
        <t>[线程批注]
你的Excel版本可读取此线程批注; 但如果在更新版本的Excel中打开文件，则对批注所作的任何改动都将被删除。了解详细信息: https://go.microsoft.com/fwlink/?linkid=870924
注释:
    Weighted Average Terms for Multilateral Agency loans based on values from this dataset
Term:        Interest     Term      Grace
Value:        2.39%      33.67       6.96
%Known:  46.21%    52.38%   44.87%</t>
      </text>
    </comment>
    <comment ref="Q214" authorId="608" shapeId="0" xr:uid="{16F5262F-3257-4722-AED6-4E737405028E}">
      <text>
        <t>[线程批注]
你的Excel版本可读取此线程批注; 但如果在更新版本的Excel中打开文件，则对批注所作的任何改动都将被删除。了解详细信息: https://go.microsoft.com/fwlink/?linkid=870924
注释:
    Weighted Average Terms for Multilateral Agency loans based on values from this dataset
Term:        Interest     Term      Grace
Value:        2.39%      33.67       6.96
%Known:  46.21%    52.38%   44.87%</t>
      </text>
    </comment>
    <comment ref="S214" authorId="609" shapeId="0" xr:uid="{A1C12328-D933-4C79-B659-48B03E35223B}">
      <text>
        <t>[线程批注]
你的Excel版本可读取此线程批注; 但如果在更新版本的Excel中打开文件，则对批注所作的任何改动都将被删除。了解详细信息: https://go.microsoft.com/fwlink/?linkid=870924
注释:
    Weighted Average Terms for Multilateral Agency loans based on values from this dataset
Term:        Interest     Term      Grace
Value:        2.39%      33.67       6.96
%Known:  46.21%    52.38%   44.87%</t>
      </text>
    </comment>
    <comment ref="K215" authorId="610" shapeId="0" xr:uid="{C0E0EC85-7AD8-4AC9-90EF-C79163B91CF9}">
      <text>
        <t>[线程批注]
你的Excel版本可读取此线程批注; 但如果在更新版本的Excel中打开文件，则对批注所作的任何改动都将被删除。了解详细信息: https://go.microsoft.com/fwlink/?linkid=870924
注释:
    Based on total Project cost divided by equity share between stakeholders (25% of $59 million)</t>
      </text>
    </comment>
    <comment ref="P215" authorId="611" shapeId="0" xr:uid="{737C6D05-8824-4784-BFD6-AEA20F5562DD}">
      <text>
        <t>[线程批注]
你的Excel版本可读取此线程批注; 但如果在更新版本的Excel中打开文件，则对批注所作的任何改动都将被删除。了解详细信息: https://go.microsoft.com/fwlink/?linkid=870924
注释:
    Based on Equity ROE for Private solar investments:
Page 38 (PDF Page 40)
https://core.ac.uk/download/pdf/43542198.pdf</t>
      </text>
    </comment>
    <comment ref="Q215" authorId="612" shapeId="0" xr:uid="{CCA3F9E9-7374-4272-8E07-01D42EA17D1B}">
      <text>
        <t>[线程批注]
你的Excel版本可读取此线程批注; 但如果在更新版本的Excel中打开文件，则对批注所作的任何改动都将被删除。了解详细信息: https://go.microsoft.com/fwlink/?linkid=870924
注释:
    Based on Life-span of African Solar PV
24 years according to:
https://www.sciencedirect.com/science/article/pii/S2352340922002323
Lucy Allington, Carla Cannone, Ioannis Pappis, Karla Cervantes Barron, Will Usher, Steve Pye, Edward Brown, Mark Howells, Miriam Zachau Walker, Aniq Ahsan, Flora Charbonnier, Claire Halloran, Stephanie Hirmer, Jennifer Cronin, Constantinos Taliotis, Caroline Sundin, Vignesh Sridharan, Eunice Ramos, Maarten Brinkerink, Paul Deane, Andrii Gritsevskyi, Gustavo Moura, Arnaud Rouget, David Wogan, Edito Barcelona, Taco Niet, Holger Rogner, Franziska Bock, Jairo Quirós-Tortós, Jam Angulo-Paniagua, Satheesh Krishnamurthy, John Harrison, Long Seng To,
Selected ‘Starter kit’ energy system modelling data for selected countries in Africa, East Asia, and South America (#CCG, 2021),
Data in Brief,
Volume 42,
2022,
108021,
ISSN 2352-3409,
https://doi.org/10.1016/j.dib.2022.108021.</t>
      </text>
    </comment>
    <comment ref="K216" authorId="613" shapeId="0" xr:uid="{3983AF24-CA6D-483F-A59C-E953545522CC}">
      <text>
        <t>[线程批注]
你的Excel版本可读取此线程批注; 但如果在更新版本的Excel中打开文件，则对批注所作的任何改动都将被删除。了解详细信息: https://go.microsoft.com/fwlink/?linkid=870924
注释:
    Based on total Project cost divided by equity share between stakeholders (25% of $59 million)</t>
      </text>
    </comment>
    <comment ref="P216" authorId="614" shapeId="0" xr:uid="{6EAE7DCA-BADD-4769-8A74-9A6B3EB7F70B}">
      <text>
        <t>[线程批注]
你的Excel版本可读取此线程批注; 但如果在更新版本的Excel中打开文件，则对批注所作的任何改动都将被删除。了解详细信息: https://go.microsoft.com/fwlink/?linkid=870924
注释:
    Based on Equity ROE for Private solar investments:
Page 38 (PDF Page 40)
https://core.ac.uk/download/pdf/43542198.pdf</t>
      </text>
    </comment>
    <comment ref="Q216" authorId="615" shapeId="0" xr:uid="{8E9DEF29-9442-40B9-A7C4-3F6431A16EB7}">
      <text>
        <t>[线程批注]
你的Excel版本可读取此线程批注; 但如果在更新版本的Excel中打开文件，则对批注所作的任何改动都将被删除。了解详细信息: https://go.microsoft.com/fwlink/?linkid=870924
注释:
    Based on Life-span of African Solar PV
24 years according to:
https://www.sciencedirect.com/science/article/pii/S2352340922002323
Lucy Allington, Carla Cannone, Ioannis Pappis, Karla Cervantes Barron, Will Usher, Steve Pye, Edward Brown, Mark Howells, Miriam Zachau Walker, Aniq Ahsan, Flora Charbonnier, Claire Halloran, Stephanie Hirmer, Jennifer Cronin, Constantinos Taliotis, Caroline Sundin, Vignesh Sridharan, Eunice Ramos, Maarten Brinkerink, Paul Deane, Andrii Gritsevskyi, Gustavo Moura, Arnaud Rouget, David Wogan, Edito Barcelona, Taco Niet, Holger Rogner, Franziska Bock, Jairo Quirós-Tortós, Jam Angulo-Paniagua, Satheesh Krishnamurthy, John Harrison, Long Seng To,
Selected ‘Starter kit’ energy system modelling data for selected countries in Africa, East Asia, and South America (#CCG, 2021),
Data in Brief,
Volume 42,
2022,
108021,
ISSN 2352-3409,
https://doi.org/10.1016/j.dib.2022.108021.</t>
      </text>
    </comment>
    <comment ref="J217" authorId="616" shapeId="0" xr:uid="{F305BAC2-2907-46A8-9D7E-9CA3C5FA75B6}">
      <text>
        <t>[线程批注]
你的Excel版本可读取此线程批注; 但如果在更新版本的Excel中打开文件，则对批注所作的任何改动都将被删除。了解详细信息: https://go.microsoft.com/fwlink/?linkid=870924
注释:
    Swiss
https://www.responsability.com/en/press-releases/successful-exit-responsability-renewable-energy-holding-becomes-independent-8-years-after-inception</t>
      </text>
    </comment>
    <comment ref="K217" authorId="617" shapeId="0" xr:uid="{1E7957C9-E538-4D9E-AC84-D829070EA481}">
      <text>
        <t>[线程批注]
你的Excel版本可读取此线程批注; 但如果在更新版本的Excel中打开文件，则对批注所作的任何改动都将被删除。了解详细信息: https://go.microsoft.com/fwlink/?linkid=870924
注释:
    Based on total Project cost divided by equity share between stakeholders (25% of $59 million)</t>
      </text>
    </comment>
    <comment ref="P217" authorId="618" shapeId="0" xr:uid="{41609636-8E3E-41D5-BD6D-6704D2E96EFB}">
      <text>
        <t>[线程批注]
你的Excel版本可读取此线程批注; 但如果在更新版本的Excel中打开文件，则对批注所作的任何改动都将被删除。了解详细信息: https://go.microsoft.com/fwlink/?linkid=870924
注释:
    Based on Equity ROE for Private solar investments:
Page 38 (PDF Page 40)
https://core.ac.uk/download/pdf/43542198.pdf</t>
      </text>
    </comment>
    <comment ref="Q217" authorId="619" shapeId="0" xr:uid="{E2733E07-760B-47A2-9037-C14D29B5A926}">
      <text>
        <t>[线程批注]
你的Excel版本可读取此线程批注; 但如果在更新版本的Excel中打开文件，则对批注所作的任何改动都将被删除。了解详细信息: https://go.microsoft.com/fwlink/?linkid=870924
注释:
    Based on Life-span of African Solar PV
24 years according to:
https://www.sciencedirect.com/science/article/pii/S2352340922002323
Lucy Allington, Carla Cannone, Ioannis Pappis, Karla Cervantes Barron, Will Usher, Steve Pye, Edward Brown, Mark Howells, Miriam Zachau Walker, Aniq Ahsan, Flora Charbonnier, Claire Halloran, Stephanie Hirmer, Jennifer Cronin, Constantinos Taliotis, Caroline Sundin, Vignesh Sridharan, Eunice Ramos, Maarten Brinkerink, Paul Deane, Andrii Gritsevskyi, Gustavo Moura, Arnaud Rouget, David Wogan, Edito Barcelona, Taco Niet, Holger Rogner, Franziska Bock, Jairo Quirós-Tortós, Jam Angulo-Paniagua, Satheesh Krishnamurthy, John Harrison, Long Seng To,
Selected ‘Starter kit’ energy system modelling data for selected countries in Africa, East Asia, and South America (#CCG, 2021),
Data in Brief,
Volume 42,
2022,
108021,
ISSN 2352-3409,
https://doi.org/10.1016/j.dib.2022.108021.</t>
      </text>
    </comment>
    <comment ref="K218" authorId="620" shapeId="0" xr:uid="{9C70614E-DB33-4D12-87C4-88F53E0D3FD1}">
      <text>
        <t>[线程批注]
你的Excel版本可读取此线程批注; 但如果在更新版本的Excel中打开文件，则对批注所作的任何改动都将被删除。了解详细信息: https://go.microsoft.com/fwlink/?linkid=870924
注释:
    Based on total Project cost divided by equity share between stakeholders (25% of $59 million)</t>
      </text>
    </comment>
    <comment ref="P218" authorId="621" shapeId="0" xr:uid="{6FDC9CC1-5399-4D12-952B-9AB2D282B3FB}">
      <text>
        <t>[线程批注]
你的Excel版本可读取此线程批注; 但如果在更新版本的Excel中打开文件，则对批注所作的任何改动都将被删除。了解详细信息: https://go.microsoft.com/fwlink/?linkid=870924
注释:
    Based on Equity ROE for Private solar investments:
Page 38 (PDF Page 40)
https://core.ac.uk/download/pdf/43542198.pdf</t>
      </text>
    </comment>
    <comment ref="Q218" authorId="622" shapeId="0" xr:uid="{5C34E7B5-EA0D-438E-8155-C956A2CA0A77}">
      <text>
        <t>[线程批注]
你的Excel版本可读取此线程批注; 但如果在更新版本的Excel中打开文件，则对批注所作的任何改动都将被删除。了解详细信息: https://go.microsoft.com/fwlink/?linkid=870924
注释:
    Based on Life-span of African Solar PV
24 years according to:
https://www.sciencedirect.com/science/article/pii/S2352340922002323
Lucy Allington, Carla Cannone, Ioannis Pappis, Karla Cervantes Barron, Will Usher, Steve Pye, Edward Brown, Mark Howells, Miriam Zachau Walker, Aniq Ahsan, Flora Charbonnier, Claire Halloran, Stephanie Hirmer, Jennifer Cronin, Constantinos Taliotis, Caroline Sundin, Vignesh Sridharan, Eunice Ramos, Maarten Brinkerink, Paul Deane, Andrii Gritsevskyi, Gustavo Moura, Arnaud Rouget, David Wogan, Edito Barcelona, Taco Niet, Holger Rogner, Franziska Bock, Jairo Quirós-Tortós, Jam Angulo-Paniagua, Satheesh Krishnamurthy, John Harrison, Long Seng To,
Selected ‘Starter kit’ energy system modelling data for selected countries in Africa, East Asia, and South America (#CCG, 2021),
Data in Brief,
Volume 42,
2022,
108021,
ISSN 2352-3409,
https://doi.org/10.1016/j.dib.2022.108021.</t>
      </text>
    </comment>
    <comment ref="G219" authorId="623" shapeId="0" xr:uid="{F37390EF-DB1A-4B16-9D36-F5BDB3F2793B}">
      <text>
        <t>[线程批注]
你的Excel版本可读取此线程批注; 但如果在更新版本的Excel中打开文件，则对批注所作的任何改动都将被删除。了解详细信息: https://go.microsoft.com/fwlink/?linkid=870924
注释:
    The first phase of the project will be funded through internal sources, a mix of equity and debt, while long-term debt will be secured for execution of the other phases of the project.</t>
      </text>
    </comment>
    <comment ref="K219" authorId="624" shapeId="0" xr:uid="{20F7D9F6-95AF-4FF9-B78C-C7A9C34CB3B8}">
      <text>
        <t>[线程批注]
你的Excel版本可读取此线程批注; 但如果在更新版本的Excel中打开文件，则对批注所作的任何改动都将被删除。了解详细信息: https://go.microsoft.com/fwlink/?linkid=870924
注释:
    Based on GDC taking on 50% of project cost (totaling $300M)
https://www.africainvestor.com/kenya-to-receive-us-300m-for-suswa-geothermal-project/</t>
      </text>
    </comment>
    <comment ref="Q219" authorId="625" shapeId="0" xr:uid="{E859DDBC-4951-497F-B295-B9A0F777AFE2}">
      <text>
        <t>[线程批注]
你的Excel版本可读取此线程批注; 但如果在更新版本的Excel中打开文件，则对批注所作的任何改动都将被删除。了解详细信息: https://go.microsoft.com/fwlink/?linkid=870924
注释:
    Based on Life-span of Geothermal Plants in Africa 
30 years according to:
https://www.sciencedirect.com/science/article/pii/S2352340922002323
Lucy Allington, Carla Cannone, Ioannis Pappis, Karla Cervantes Barron, Will Usher, Steve Pye, Edward Brown, Mark Howells, Miriam Zachau Walker, Aniq Ahsan, Flora Charbonnier, Claire Halloran, Stephanie Hirmer, Jennifer Cronin, Constantinos Taliotis, Caroline Sundin, Vignesh Sridharan, Eunice Ramos, Maarten Brinkerink, Paul Deane, Andrii Gritsevskyi, Gustavo Moura, Arnaud Rouget, David Wogan, Edito Barcelona, Taco Niet, Holger Rogner, Franziska Bock, Jairo Quirós-Tortós, Jam Angulo-Paniagua, Satheesh Krishnamurthy, John Harrison, Long Seng To,
Selected ‘Starter kit’ energy system modelling data for selected countries in Africa, East Asia, and South America (#CCG, 2021),
Data in Brief,
Volume 42,
2022,
108021,
ISSN 2352-3409,
https://doi.org/10.1016/j.dib.2022.108021.</t>
      </text>
    </comment>
    <comment ref="G220" authorId="626" shapeId="0" xr:uid="{9D249160-0E90-49FC-95F0-153EF6B786B5}">
      <text>
        <t>[线程批注]
你的Excel版本可读取此线程批注; 但如果在更新版本的Excel中打开文件，则对批注所作的任何改动都将被删除。了解详细信息: https://go.microsoft.com/fwlink/?linkid=870924
注释:
    The first phase of the project will be funded through internal sources, a mix of equity and debt, while long-term debt will be secured for execution of the other phases of the project.</t>
      </text>
    </comment>
    <comment ref="K220" authorId="627" shapeId="0" xr:uid="{EAFA0A03-3932-470E-98AB-3E27EF0E8891}">
      <text>
        <t>[线程批注]
你的Excel版本可读取此线程批注; 但如果在更新版本的Excel中打开文件，则对批注所作的任何改动都将被删除。了解详细信息: https://go.microsoft.com/fwlink/?linkid=870924
注释:
    Based on CRYQ financing half of total project cost ($300M) = $150M
through 50% Equity ($75M)
and 50% Internal Debt ($75M)
https://www.africainvestor.com/kenya-to-receive-us-300m-for-suswa-geothermal-project/</t>
      </text>
    </comment>
    <comment ref="Q220" authorId="628" shapeId="0" xr:uid="{C37D9B23-697D-4E5E-974C-64F38927B787}">
      <text>
        <t>[线程批注]
你的Excel版本可读取此线程批注; 但如果在更新版本的Excel中打开文件，则对批注所作的任何改动都将被删除。了解详细信息: https://go.microsoft.com/fwlink/?linkid=870924
注释:
    Based on Life-span of Geothermal Plants in Africa 
30 years according to:
https://www.sciencedirect.com/science/article/pii/S2352340922002323
Lucy Allington, Carla Cannone, Ioannis Pappis, Karla Cervantes Barron, Will Usher, Steve Pye, Edward Brown, Mark Howells, Miriam Zachau Walker, Aniq Ahsan, Flora Charbonnier, Claire Halloran, Stephanie Hirmer, Jennifer Cronin, Constantinos Taliotis, Caroline Sundin, Vignesh Sridharan, Eunice Ramos, Maarten Brinkerink, Paul Deane, Andrii Gritsevskyi, Gustavo Moura, Arnaud Rouget, David Wogan, Edito Barcelona, Taco Niet, Holger Rogner, Franziska Bock, Jairo Quirós-Tortós, Jam Angulo-Paniagua, Satheesh Krishnamurthy, John Harrison, Long Seng To,
Selected ‘Starter kit’ energy system modelling data for selected countries in Africa, East Asia, and South America (#CCG, 2021),
Data in Brief,
Volume 42,
2022,
108021,
ISSN 2352-3409,
https://doi.org/10.1016/j.dib.2022.108021.</t>
      </text>
    </comment>
    <comment ref="G221" authorId="629" shapeId="0" xr:uid="{0ACABAB0-5070-4E28-8827-B99EBFEA565B}">
      <text>
        <t>[线程批注]
你的Excel版本可读取此线程批注; 但如果在更新版本的Excel中打开文件，则对批注所作的任何改动都将被删除。了解详细信息: https://go.microsoft.com/fwlink/?linkid=870924
注释:
    The first phase of the project will be funded through internal sources, a mix of equity and debt, while long-term debt will be secured for execution of the other phases of the project.</t>
      </text>
    </comment>
    <comment ref="K221" authorId="630" shapeId="0" xr:uid="{0FA2BF1D-AEAD-44D7-BFE0-30D3DF7F88DD}">
      <text>
        <t>[线程批注]
你的Excel版本可读取此线程批注; 但如果在更新版本的Excel中打开文件，则对批注所作的任何改动都将被删除。了解详细信息: https://go.microsoft.com/fwlink/?linkid=870924
注释:
    Based on CRYQ financing half of total project cost ($300M) = $150M
through 50% Equity ($75M)
and 50% Internal Debt ($75M)
https://www.africainvestor.com/kenya-to-receive-us-300m-for-suswa-geothermal-project/</t>
      </text>
    </comment>
    <comment ref="P221" authorId="631" shapeId="0" xr:uid="{CE9F7E9C-D744-430D-9F8E-3880A3638527}">
      <text>
        <t>[线程批注]
你的Excel版本可读取此线程批注; 但如果在更新版本的Excel中打开文件，则对批注所作的任何改动都将被删除。了解详细信息: https://go.microsoft.com/fwlink/?linkid=870924
注释:
    Weighted Average Terms for Private Equity Fund Loans based on values from this dataset
Term:        Interest     Term      Grace
Value:        18.00%      20.00    10.00
%Known:   32.68%     32.68%  32.68%</t>
      </text>
    </comment>
    <comment ref="Q221" authorId="632" shapeId="0" xr:uid="{56F97636-6B5A-4863-9AE6-7CDF734937AA}">
      <text>
        <t>[线程批注]
你的Excel版本可读取此线程批注; 但如果在更新版本的Excel中打开文件，则对批注所作的任何改动都将被删除。了解详细信息: https://go.microsoft.com/fwlink/?linkid=870924
注释:
    Weighted Average Terms for Private Equity Fund Loans based on values from this dataset
Term:        Interest     Term      Grace
Value:        18.00%      20.00    10.00
%Known:   32.68%     32.68%  32.68%</t>
      </text>
    </comment>
    <comment ref="S221" authorId="633" shapeId="0" xr:uid="{B2F9E898-C48F-4C52-B169-92DBCE0F68C0}">
      <text>
        <t>[线程批注]
你的Excel版本可读取此线程批注; 但如果在更新版本的Excel中打开文件，则对批注所作的任何改动都将被删除。了解详细信息: https://go.microsoft.com/fwlink/?linkid=870924
注释:
    Weighted Average Terms for Private Equity Fund Loans based on values from this dataset
Term:        Interest     Term      Grace
Value:        18.00%      20.00    10.00
%Known:   32.68%     32.68%  32.68%</t>
      </text>
    </comment>
    <comment ref="K222" authorId="634" shapeId="0" xr:uid="{D2E53C07-8B9F-4DB1-8C03-97699E10F81F}">
      <text>
        <t xml:space="preserve">[线程批注]
你的Excel版本可读取此线程批注; 但如果在更新版本的Excel中打开文件，则对批注所作的任何改动都将被删除。了解详细信息: https://go.microsoft.com/fwlink/?linkid=870924
注释:
    25% AfDB
25% ABSA
25% Equity
25% IFC
Page 96 (PDF Page 106)
https://documents1.worldbank.org/curated/en/549231468041382588/pdf/663630PAD0P1220Official0Use0Only090.pdf
Total Project Cost: $153M
and agrees with
https://documents1.worldbank.org/curated/en/366091468183563753/pdf/96906-P3Briefs-IFC-00029801-KenyaThikaPower-Box391454B-PULBIC-Colltitle-PPP-BRIEF.pdf 
</t>
      </text>
    </comment>
    <comment ref="P222" authorId="635" shapeId="0" xr:uid="{08363D5A-016E-43BA-93A7-8F2E618BF2F2}">
      <text>
        <t>[线程批注]
你的Excel版本可读取此线程批注; 但如果在更新版本的Excel中打开文件，则对批注所作的任何改动都将被删除。了解详细信息: https://go.microsoft.com/fwlink/?linkid=870924
注释:
    Euribor (2.34%) + up to 500bp
Page 96 (PDF Page 106)
https://documents1.worldbank.org/curated/en/549231468041382588/pdf/663630PAD0P1220Official0Use0Only090.pdf</t>
      </text>
    </comment>
    <comment ref="Q222" authorId="636" shapeId="0" xr:uid="{5384EFC7-4714-4989-A54E-2E861166CF0C}">
      <text>
        <t xml:space="preserve">[线程批注]
你的Excel版本可读取此线程批注; 但如果在更新版本的Excel中打开文件，则对批注所作的任何改动都将被删除。了解详细信息: https://go.microsoft.com/fwlink/?linkid=870924
注释:
    Term reported in:
Page 96 (PDF Page 106)
https://documents1.worldbank.org/curated/en/549231468041382588/pdf/663630PAD0P1220Official0Use0Only090.pdf </t>
      </text>
    </comment>
    <comment ref="S222" authorId="637" shapeId="0" xr:uid="{D32B055E-DAFB-45F6-8013-9AD49C221896}">
      <text>
        <t xml:space="preserve">[线程批注]
你的Excel版本可读取此线程批注; 但如果在更新版本的Excel中打开文件，则对批注所作的任何改动都将被删除。了解详细信息: https://go.microsoft.com/fwlink/?linkid=870924
注释:
    Grace Period reported in:
Page 96 (PDF Page 106)
https://documents1.worldbank.org/curated/en/549231468041382588/pdf/663630PAD0P1220Official0Use0Only090.pdf </t>
      </text>
    </comment>
    <comment ref="K223" authorId="638" shapeId="0" xr:uid="{4E006130-8F64-438A-8FCD-3AD6882D6AE4}">
      <text>
        <t xml:space="preserve">[线程批注]
你的Excel版本可读取此线程批注; 但如果在更新版本的Excel中打开文件，则对批注所作的任何改动都将被删除。了解详细信息: https://go.microsoft.com/fwlink/?linkid=870924
注释:
    25% AfDB
25% ABSA
25% Equity
25% IFC
Page 96 (PDF Page 106)
https://documents1.worldbank.org/curated/en/549231468041382588/pdf/663630PAD0P1220Official0Use0Only090.pdf
Total Project Cost: $153M
and agrees with
https://documents1.worldbank.org/curated/en/366091468183563753/pdf/96906-P3Briefs-IFC-00029801-KenyaThikaPower-Box391454B-PULBIC-Colltitle-PPP-BRIEF.pdf 
</t>
      </text>
    </comment>
    <comment ref="P223" authorId="639" shapeId="0" xr:uid="{A0A4CAD6-D9FB-4396-B672-D8F6658EF298}">
      <text>
        <t>[线程批注]
你的Excel版本可读取此线程批注; 但如果在更新版本的Excel中打开文件，则对批注所作的任何改动都将被删除。了解详细信息: https://go.microsoft.com/fwlink/?linkid=870924
注释:
    Euribor (2.34%) + up to 500bp
Page 96 (PDF Page 106)
https://documents1.worldbank.org/curated/en/549231468041382588/pdf/663630PAD0P1220Official0Use0Only090.pdf</t>
      </text>
    </comment>
    <comment ref="Q223" authorId="640" shapeId="0" xr:uid="{30680443-30A1-4A92-ADBE-E05EFB4846DD}">
      <text>
        <t xml:space="preserve">[线程批注]
你的Excel版本可读取此线程批注; 但如果在更新版本的Excel中打开文件，则对批注所作的任何改动都将被删除。了解详细信息: https://go.microsoft.com/fwlink/?linkid=870924
注释:
    Term reported in:
Page 96 (PDF Page 106)
https://documents1.worldbank.org/curated/en/549231468041382588/pdf/663630PAD0P1220Official0Use0Only090.pdf </t>
      </text>
    </comment>
    <comment ref="S223" authorId="641" shapeId="0" xr:uid="{C1FD7C2E-C046-4381-90A3-19E214B6B415}">
      <text>
        <t xml:space="preserve">[线程批注]
你的Excel版本可读取此线程批注; 但如果在更新版本的Excel中打开文件，则对批注所作的任何改动都将被删除。了解详细信息: https://go.microsoft.com/fwlink/?linkid=870924
注释:
    Grace Period reported in:
Page 96 (PDF Page 106)
https://documents1.worldbank.org/curated/en/549231468041382588/pdf/663630PAD0P1220Official0Use0Only090.pdf </t>
      </text>
    </comment>
    <comment ref="J224" authorId="642" shapeId="0" xr:uid="{5D1C789F-9462-44E0-B7A6-446056633EE8}">
      <text>
        <t xml:space="preserve">[线程批注]
你的Excel版本可读取此线程批注; 但如果在更新版本的Excel中打开文件，则对批注所作的任何改动都将被删除。了解详细信息: https://go.microsoft.com/fwlink/?linkid=870924
注释:
    Affiliate of Lebanese Company Matelec Group </t>
      </text>
    </comment>
    <comment ref="K224" authorId="643" shapeId="0" xr:uid="{7C821EEB-BE16-4533-867E-61C6311C401A}">
      <text>
        <t xml:space="preserve">[线程批注]
你的Excel版本可读取此线程批注; 但如果在更新版本的Excel中打开文件，则对批注所作的任何改动都将被删除。了解详细信息: https://go.microsoft.com/fwlink/?linkid=870924
注释:
    25% AfDB
25% ABSA
25% Equity
25% IFC
Page 96 (PDF Page 106)
https://documents1.worldbank.org/curated/en/549231468041382588/pdf/663630PAD0P1220Official0Use0Only090.pdf
Total Project Cost: $153M
and agrees with
https://documents1.worldbank.org/curated/en/366091468183563753/pdf/96906-P3Briefs-IFC-00029801-KenyaThikaPower-Box391454B-PULBIC-Colltitle-PPP-BRIEF.pdf 
</t>
      </text>
    </comment>
    <comment ref="P224" authorId="644" shapeId="0" xr:uid="{0FDA0AA4-CA07-425C-9BFD-F51105F5F173}">
      <text>
        <t>[线程批注]
你的Excel版本可读取此线程批注; 但如果在更新版本的Excel中打开文件，则对批注所作的任何改动都将被删除。了解详细信息: https://go.microsoft.com/fwlink/?linkid=870924
注释:
    IRR Page 34 
https://documents1.worldbank.org/curated/en/549231468041382588/pdf/663630PAD0P1220Official0Use0Only090.pdf</t>
      </text>
    </comment>
    <comment ref="Q224" authorId="645" shapeId="0" xr:uid="{8BE8038C-8FBA-445B-A275-047B479BA5E5}">
      <text>
        <t>[线程批注]
你的Excel版本可读取此线程批注; 但如果在更新版本的Excel中打开文件，则对批注所作的任何改动都将被删除。了解详细信息: https://go.microsoft.com/fwlink/?linkid=870924
注释:
    Based on Technology Life-span reported in:
https://www.sciencedirect.com/science/article/pii/S2352340922002323 
Lucy Allington, Carla Cannone, Ioannis Pappis, Karla Cervantes Barron, Will Usher, Steve Pye, Edward Brown, Mark Howells, Miriam Zachau Walker, Aniq Ahsan, Flora Charbonnier, Claire Halloran, Stephanie Hirmer, Jennifer Cronin, Constantinos Taliotis, Caroline Sundin, Vignesh Sridharan, Eunice Ramos, Maarten Brinkerink, Paul Deane, Andrii Gritsevskyi, Gustavo Moura, Arnaud Rouget, David Wogan, Edito Barcelona, Taco Niet, Holger Rogner, Franziska Bock, Jairo Quirós-Tortós, Jam Angulo-Paniagua, Satheesh Krishnamurthy, John Harrison, Long Seng To,
Selected ‘Starter kit’ energy system modelling data for selected countries in Africa, East Asia, and South America (#CCG, 2021),
Data in Brief,
Volume 42,
2022,
108021,
ISSN 2352-3409,
https://doi.org/10.1016/j.dib.2022.108021.</t>
      </text>
    </comment>
    <comment ref="B225" authorId="646" shapeId="0" xr:uid="{89506E8B-39E7-4657-96B7-3EB63E9035A0}">
      <text>
        <t>[线程批注]
你的Excel版本可读取此线程批注; 但如果在更新版本的Excel中打开文件，则对批注所作的任何改动都将被删除。了解详细信息: https://go.microsoft.com/fwlink/?linkid=870924
注释:
    World Bank Private Sector (?)</t>
      </text>
    </comment>
    <comment ref="K225" authorId="647" shapeId="0" xr:uid="{8A2DA43C-5C16-468E-B8B2-952CCC2999CA}">
      <text>
        <t xml:space="preserve">[线程批注]
你的Excel版本可读取此线程批注; 但如果在更新版本的Excel中打开文件，则对批注所作的任何改动都将被删除。了解详细信息: https://go.microsoft.com/fwlink/?linkid=870924
注释:
    25% AfDB
25% ABSA
25% Equity
25% IFC
Page 96 (PDF Page 106)
https://documents1.worldbank.org/curated/en/549231468041382588/pdf/663630PAD0P1220Official0Use0Only090.pdf
Total Project Cost: $153M
and agrees with
https://documents1.worldbank.org/curated/en/366091468183563753/pdf/96906-P3Briefs-IFC-00029801-KenyaThikaPower-Box391454B-PULBIC-Colltitle-PPP-BRIEF.pdf 
</t>
      </text>
    </comment>
    <comment ref="P225" authorId="648" shapeId="0" xr:uid="{132CC8EF-BD21-419E-BD9C-30EF40E476F3}">
      <text>
        <t>[线程批注]
你的Excel版本可读取此线程批注; 但如果在更新版本的Excel中打开文件，则对批注所作的任何改动都将被删除。了解详细信息: https://go.microsoft.com/fwlink/?linkid=870924
注释:
    Euribor (2.34%) + up to 500bp
Page 96 (PDF Page 106)
https://documents1.worldbank.org/curated/en/549231468041382588/pdf/663630PAD0P1220Official0Use0Only090.pdf</t>
      </text>
    </comment>
    <comment ref="Q225" authorId="649" shapeId="0" xr:uid="{B9DCA605-BC36-4836-B466-08EBF672D522}">
      <text>
        <t xml:space="preserve">[线程批注]
你的Excel版本可读取此线程批注; 但如果在更新版本的Excel中打开文件，则对批注所作的任何改动都将被删除。了解详细信息: https://go.microsoft.com/fwlink/?linkid=870924
注释:
    Term reported in:
Page 96 (PDF Page 106)
https://documents1.worldbank.org/curated/en/549231468041382588/pdf/663630PAD0P1220Official0Use0Only090.pdf </t>
      </text>
    </comment>
    <comment ref="S225" authorId="650" shapeId="0" xr:uid="{FFC56891-69C1-4FC3-9200-D553107C6F3B}">
      <text>
        <t xml:space="preserve">[线程批注]
你的Excel版本可读取此线程批注; 但如果在更新版本的Excel中打开文件，则对批注所作的任何改动都将被删除。了解详细信息: https://go.microsoft.com/fwlink/?linkid=870924
注释:
    Grace Period reported in:
Page 96 (PDF Page 106)
https://documents1.worldbank.org/curated/en/549231468041382588/pdf/663630PAD0P1220Official0Use0Only090.pdf </t>
      </text>
    </comment>
    <comment ref="H226" authorId="651" shapeId="0" xr:uid="{C6A43BE7-ECFD-40F0-A48D-8B8CE7482AC4}">
      <text>
        <t>[线程批注]
你的Excel版本可读取此线程批注; 但如果在更新版本的Excel中打开文件，则对批注所作的任何改动都将被删除。了解详细信息: https://go.microsoft.com/fwlink/?linkid=870924
注释:
    Publicly funded by OECD Gov. but managed as a Private Company
https://infracoafrica.com/</t>
      </text>
    </comment>
    <comment ref="K226" authorId="652" shapeId="0" xr:uid="{84686DCA-91CD-4645-BB56-87FEADA808EA}">
      <text>
        <t xml:space="preserve">[线程批注]
你的Excel版本可读取此线程批注; 但如果在更新版本的Excel中打开文件，则对批注所作的任何改动都将被删除。了解详细信息: https://go.microsoft.com/fwlink/?linkid=870924
注释:
    Financed by PIDG
http://data.pidg.org/projects/view.htm?id=1542 </t>
      </text>
    </comment>
    <comment ref="P226" authorId="653" shapeId="0" xr:uid="{22EEC325-D2B6-4566-9CE5-11EBC1003F87}">
      <text>
        <t>[线程批注]
你的Excel版本可读取此线程批注; 但如果在更新版本的Excel中打开文件，则对批注所作的任何改动都将被删除。了解详细信息: https://go.microsoft.com/fwlink/?linkid=870924
注释:
    Weighted Average Terms for Multilateral Agency loans based on values from this dataset
Term:        Interest     Term      Grace
Value:        2.39%      33.67       6.96
%Known:  46.21%    52.38%   44.87%</t>
      </text>
    </comment>
    <comment ref="Q226" authorId="654" shapeId="0" xr:uid="{71DF0881-D795-4606-9AFC-0F5325F11EB4}">
      <text>
        <t>[线程批注]
你的Excel版本可读取此线程批注; 但如果在更新版本的Excel中打开文件，则对批注所作的任何改动都将被删除。了解详细信息: https://go.microsoft.com/fwlink/?linkid=870924
注释:
    Weighted Average Terms for Multilateral Agency loans based on values from this dataset
Term:        Interest     Term      Grace
Value:        2.39%      33.67       6.96
%Known:  46.21%    52.38%   44.87%</t>
      </text>
    </comment>
    <comment ref="S226" authorId="655" shapeId="0" xr:uid="{77D57070-F5FB-4459-B34E-FDED2FF1525B}">
      <text>
        <t>[线程批注]
你的Excel版本可读取此线程批注; 但如果在更新版本的Excel中打开文件，则对批注所作的任何改动都将被删除。了解详细信息: https://go.microsoft.com/fwlink/?linkid=870924
注释:
    Weighted Average Terms for Multilateral Agency loans based on values from this dataset
Term:        Interest     Term      Grace
Value:        2.39%      33.67       6.96
%Known:  46.21%    52.38%   44.87%</t>
      </text>
    </comment>
    <comment ref="K227" authorId="656" shapeId="0" xr:uid="{324CD5BC-9AF0-4D0F-9795-3614648F011F}">
      <text>
        <t>[线程批注]
你的Excel版本可读取此线程批注; 但如果在更新版本的Excel中打开文件，则对批注所作的任何改动都将被删除。了解详细信息: https://go.microsoft.com/fwlink/?linkid=870924
注释:
    $80 Million from ICBC of $108M syndicated loan between ICBC and Standard Bank (CfC Stanbic) 
Reported by the CHINA.AIDDATA
https://china.aiddata.org/projects/58740/</t>
      </text>
    </comment>
    <comment ref="P227" authorId="657" shapeId="0" xr:uid="{BD716DA9-2D80-4DC8-9AD5-CAF6E86F7F7A}">
      <text>
        <t xml:space="preserve">[线程批注]
你的Excel版本可读取此线程批注; 但如果在更新版本的Excel中打开文件，则对批注所作的任何改动都将被删除。了解详细信息: https://go.microsoft.com/fwlink/?linkid=870924
注释:
    Standard Bank Underwritten Loan (totaling $118M) interest rate reported by the World Bank of 8.78%
Page 101 (PDF Page 111)
Reported as 6 month LIBOR (0.361%) plus 803 BP by China.Data
https://documents1.worldbank.org/curated/en/549231468041382588/pdf/663630PAD0P1220Official0Use0Only090.pdf
https://www.sciencedirect.com/science/article/pii/S136403211830861X?ref=pdf_download&amp;fr=RR-2&amp;rr=7cff56bdf94b76b3 </t>
      </text>
    </comment>
    <comment ref="K228" authorId="658" shapeId="0" xr:uid="{7F01435F-63A8-4BB2-9973-9F258850725F}">
      <text>
        <t>[线程批注]
你的Excel版本可读取此线程批注; 但如果在更新版本的Excel中打开文件，则对批注所作的任何改动都将被删除。了解详细信息: https://go.microsoft.com/fwlink/?linkid=870924
注释:
    $28 Million from CfC Stanbic of $108M syndicated loan between ICBC and Standard Bank (CfC Stanbic) 
Reported by the CHINA.AIDDATA
https://china.aiddata.org/projects/58740/</t>
      </text>
    </comment>
    <comment ref="P228" authorId="659" shapeId="0" xr:uid="{30B56932-30C0-4037-B0CD-DB40056DC5DF}">
      <text>
        <t>[线程批注]
你的Excel版本可读取此线程批注; 但如果在更新版本的Excel中打开文件，则对批注所作的任何改动都将被删除。了解详细信息: https://go.microsoft.com/fwlink/?linkid=870924
注释:
    Standard Bank Underwritten Loan (totaling $118M) interest rate reported by the World Bank of 8.78%
Page 101 (PDF Page 111)
Reported as 6 month LIBOR (0.361%) plus 803 BP by China.Data
https://documents1.worldbank.org/curated/en/549231468041382588/pdf/663630PAD0P1220Official0Use0Only090.pdf
https://china.aiddata.org/projects/58740/
答复:
    6-month LIBOR of 0.75% and a spread of 803 bps</t>
      </text>
    </comment>
    <comment ref="G229" authorId="660" shapeId="0" xr:uid="{D736D16D-EF50-4A56-8990-6EC28F9E2453}">
      <text>
        <t>[线程批注]
你的Excel版本可读取此线程批注; 但如果在更新版本的Excel中打开文件，则对批注所作的任何改动都将被删除。了解详细信息: https://go.microsoft.com/fwlink/?linkid=870924
注释:
    subordinated debt facility</t>
      </text>
    </comment>
    <comment ref="K229" authorId="661" shapeId="0" xr:uid="{55693927-85DA-4190-AB1A-2A65A4BD291A}">
      <text>
        <t>[线程批注]
你的Excel版本可读取此线程批注; 但如果在更新版本的Excel中打开文件，则对批注所作的任何改动都将被删除。了解详细信息: https://go.microsoft.com/fwlink/?linkid=870924
注释:
    Equity equals 25% of the project
of which 
1.9% is equity
23.1% is Shareholder Loans
Page 101 (PDF Page 111)
https://documents1.worldbank.org/curated/en/549231468041382588/pdf/663630PAD0P1220Official0Use0Only090.pdf</t>
      </text>
    </comment>
    <comment ref="P229" authorId="662" shapeId="0" xr:uid="{8DDE39BC-A8C9-49BE-A114-7216165A570B}">
      <text>
        <t>[线程批注]
你的Excel版本可读取此线程批注; 但如果在更新版本的Excel中打开文件，则对批注所作的任何改动都将被删除。了解详细信息: https://go.microsoft.com/fwlink/?linkid=870924
注释:
    Reported as Shareholder Loan Interest Rate of 18% by World Bank
Page 101 (PDF Page 111)
https://documents1.worldbank.org/curated/en/549231468041382588/pdf/663630PAD0P1220Official0Use0Only090.pdf</t>
      </text>
    </comment>
    <comment ref="Q229" authorId="663" shapeId="0" xr:uid="{E5874FDC-FC86-4E1F-960F-FD36891D0848}">
      <text>
        <t xml:space="preserve">[线程批注]
你的Excel版本可读取此线程批注; 但如果在更新版本的Excel中打开文件，则对批注所作的任何改动都将被删除。了解详细信息: https://go.microsoft.com/fwlink/?linkid=870924
注释:
    20 year door-to-door maturity
Page 101 (PDF Page 111)
https://documents1.worldbank.org/curated/en/549231468041382588/pdf/663630PAD0P1220Official0Use0Only090.pdf </t>
      </text>
    </comment>
    <comment ref="S229" authorId="664" shapeId="0" xr:uid="{F58C2836-807E-4C83-9308-43D8A034BCC4}">
      <text>
        <t xml:space="preserve">[线程批注]
你的Excel版本可读取此线程批注; 但如果在更新版本的Excel中打开文件，则对批注所作的任何改动都将被删除。了解详细信息: https://go.microsoft.com/fwlink/?linkid=870924
注释:
    10 year grace period
Page 101 (PDF Page 111)
https://documents1.worldbank.org/curated/en/549231468041382588/pdf/663630PAD0P1220Official0Use0Only090.pdf </t>
      </text>
    </comment>
    <comment ref="K230" authorId="665" shapeId="0" xr:uid="{533ADC8D-1976-49EF-9842-8D631BFE7541}">
      <text>
        <t>[线程批注]
你的Excel版本可读取此线程批注; 但如果在更新版本的Excel中打开文件，则对批注所作的任何改动都将被删除。了解详细信息: https://go.microsoft.com/fwlink/?linkid=870924
注释:
    Equity equals 25% of the project
of which 
1.9% is equity
23.1% is Shareholder Loans
Page 101 (PDF Page 111)
https://documents1.worldbank.org/curated/en/549231468041382588/pdf/663630PAD0P1220Official0Use0Only090.pdf</t>
      </text>
    </comment>
    <comment ref="P230" authorId="666" shapeId="0" xr:uid="{754D716C-35EE-4A5E-9EA3-1233601E2A75}">
      <text>
        <t>[线程批注]
你的Excel版本可读取此线程批注; 但如果在更新版本的Excel中打开文件，则对批注所作的任何改动都将被删除。了解详细信息: https://go.microsoft.com/fwlink/?linkid=870924
注释:
    IRR Page 34 
https://documents1.worldbank.org/curated/en/549231468041382588/pdf/663630PAD0P1220Official0Use0Only090.pdf</t>
      </text>
    </comment>
    <comment ref="Q230" authorId="667" shapeId="0" xr:uid="{8151D216-B6D9-4DC1-BA6A-60DB9311FC3F}">
      <text>
        <t>[线程批注]
你的Excel版本可读取此线程批注; 但如果在更新版本的Excel中打开文件，则对批注所作的任何改动都将被删除。了解详细信息: https://go.microsoft.com/fwlink/?linkid=870924
注释:
    Based on Operational Life of LFO/MSD Power Plants reported in:
https://www.sciencedirect.com/science/article/pii/S2352340922002323
Lucy Allington, Carla Cannone, Ioannis Pappis, Karla Cervantes Barron, Will Usher, Steve Pye, Edward Brown, Mark Howells, Miriam Zachau Walker, Aniq Ahsan, Flora Charbonnier, Claire Halloran, Stephanie Hirmer, Jennifer Cronin, Constantinos Taliotis, Caroline Sundin, Vignesh Sridharan, Eunice Ramos, Maarten Brinkerink, Paul Deane, Andrii Gritsevskyi, Gustavo Moura, Arnaud Rouget, David Wogan, Edito Barcelona, Taco Niet, Holger Rogner, Franziska Bock, Jairo Quirós-Tortós, Jam Angulo-Paniagua, Satheesh Krishnamurthy, John Harrison, Long Seng To,
Selected ‘Starter kit’ energy system modelling data for selected countries in Africa, East Asia, and South America (#CCG, 2021),
Data in Brief,
Volume 42,
2022,
108021,
ISSN 2352-3409,
https://doi.org/10.1016/j.dib.2022.108021.</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tc={34C03367-D8D1-8A43-8BBC-D7B9EB4364D1}</author>
  </authors>
  <commentList>
    <comment ref="A7" authorId="0" shapeId="0" xr:uid="{34C03367-D8D1-8A43-8BBC-D7B9EB4364D1}">
      <text>
        <t>[线程批注]
你的Excel版本可读取此线程批注; 但如果在更新版本的Excel中打开文件，则对批注所作的任何改动都将被删除。了解详细信息: https://go.microsoft.com/fwlink/?linkid=870924
注释:
    The cash flow generation of State-Owned Enterprises (SOEs) should include annual figures from all utilities operating in the country. The appropriate indicator on the cash flow statements is 'net cash from operating activities.' This metric represents the cash available for the corporation to either invest directly as their equity or to fulfill debts related to investment financing.</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tc={FACB7869-3589-43DB-95C5-21EC12843EEC}</author>
  </authors>
  <commentList>
    <comment ref="A117" authorId="0" shapeId="0" xr:uid="{FACB7869-3589-43DB-95C5-21EC12843EEC}">
      <text>
        <t>[线程批注]
你的Excel版本可读取此线程批注; 但如果在更新版本的Excel中打开文件，则对批注所作的任何改动都将被删除。了解详细信息: https://go.microsoft.com/fwlink/?linkid=870924
注释:
    Extra cost of technologies in the net zero Scenario compared to the base scenario</t>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<sst xmlns="http://schemas.openxmlformats.org/spreadsheetml/2006/main" count="3239" uniqueCount="668">
  <si>
    <t>MINFin</t>
  </si>
  <si>
    <t>Model for Informated National Financing</t>
  </si>
  <si>
    <t>MINFin Input File - Guide</t>
  </si>
  <si>
    <t>MINFin is a sectoral cashflow model ….......</t>
  </si>
  <si>
    <t>Document structure</t>
  </si>
  <si>
    <t>Parameter Constraints</t>
  </si>
  <si>
    <t>Financing Baseline</t>
  </si>
  <si>
    <t>Funding Baseline</t>
  </si>
  <si>
    <t>Technologies</t>
  </si>
  <si>
    <t>Name</t>
  </si>
  <si>
    <t>Description</t>
  </si>
  <si>
    <t>Classification</t>
  </si>
  <si>
    <t>CurrencyExchangeRate</t>
  </si>
  <si>
    <t>-</t>
  </si>
  <si>
    <t>Name of Project</t>
  </si>
  <si>
    <t>PWRBIO001</t>
  </si>
  <si>
    <t>Biomass power plant</t>
  </si>
  <si>
    <t>Biomass</t>
  </si>
  <si>
    <t>GDPGrowth</t>
  </si>
  <si>
    <t>The parameter defines annual percentage growth rate of GDP.</t>
  </si>
  <si>
    <t>Name of Financier</t>
  </si>
  <si>
    <t>PWRCOA001</t>
  </si>
  <si>
    <t>Coal power plant</t>
  </si>
  <si>
    <t>Coal</t>
  </si>
  <si>
    <t>AnnualGDP</t>
  </si>
  <si>
    <t>Technology</t>
  </si>
  <si>
    <t>The technology parameter encompasses different power-generation technologies.</t>
  </si>
  <si>
    <t>PWRGEO</t>
  </si>
  <si>
    <t>Geothermal power plant</t>
  </si>
  <si>
    <t>Geothermal</t>
  </si>
  <si>
    <t>Elasticity of energy demand</t>
  </si>
  <si>
    <t>Source</t>
  </si>
  <si>
    <t>PWROHC001</t>
  </si>
  <si>
    <t>Light fuel oil power plant</t>
  </si>
  <si>
    <t>Oil</t>
  </si>
  <si>
    <t>CAGR of real energy price</t>
  </si>
  <si>
    <t>Financing Source</t>
  </si>
  <si>
    <t>Volume of Finance</t>
  </si>
  <si>
    <t>The parameter volume of finance refers to the sum of money involved in financial transactions from a financier to a project, expressed in millions of units of the local currency.</t>
  </si>
  <si>
    <t>PWROHC002</t>
  </si>
  <si>
    <t>Oil fired gas turbine - SCGT</t>
  </si>
  <si>
    <t>DiscountRate</t>
  </si>
  <si>
    <t>The discount rate parameter represents the percentage rate used to discount future cash flows to their present value.</t>
  </si>
  <si>
    <t>Type of Finance</t>
  </si>
  <si>
    <t>GovShare</t>
  </si>
  <si>
    <t>PWRNGS001</t>
  </si>
  <si>
    <t>Natural gas power plant - CCGT</t>
  </si>
  <si>
    <t>Gas</t>
  </si>
  <si>
    <t>AnnualLoanRepayments</t>
  </si>
  <si>
    <t xml:space="preserve">Financing Sector </t>
  </si>
  <si>
    <t>Year</t>
  </si>
  <si>
    <t>PWRNGS002</t>
  </si>
  <si>
    <t>Nautral gas power plant - SCGT</t>
  </si>
  <si>
    <t>BuildTime</t>
  </si>
  <si>
    <t>The build time parameter refers to the duration, in years, required for the construction of a power plant from the project's start to its completion and operational readiness.</t>
  </si>
  <si>
    <t>Financial Institution</t>
  </si>
  <si>
    <t>Currency</t>
  </si>
  <si>
    <t>PWRSOL001</t>
  </si>
  <si>
    <t xml:space="preserve">Solar PV - Utility scale  </t>
  </si>
  <si>
    <t>Solar PV</t>
  </si>
  <si>
    <t>Weighting</t>
  </si>
  <si>
    <t>The weighting parameter indicates the relative contribution of four finance categories (DomesticCommercial, DomesticConcessional, InternationalCommercial, InternationalConcessional) to the total financing of each technology. The sum of these contributions from the four categories should equal 1 for each technology.</t>
  </si>
  <si>
    <t>Origin of Finance</t>
  </si>
  <si>
    <t>PWRCSP001</t>
  </si>
  <si>
    <t>CSP - Without storage</t>
  </si>
  <si>
    <t>CSP</t>
  </si>
  <si>
    <t>WACC</t>
  </si>
  <si>
    <t>The Weighted Average Cost of Capital (WACC) parameter reflects the combined cost of capital from various sources, including both debt and equity. It should be determined by weighting the cost of each capital type based on its proportion of the total capital and then summing them together.</t>
  </si>
  <si>
    <t>PWRCSP002</t>
  </si>
  <si>
    <t>CSP - With storage</t>
  </si>
  <si>
    <t>GracePeriod</t>
  </si>
  <si>
    <t>The grace period parameter represents the duration, measured in years, from the loan's issuance to the initial repayment of principal.</t>
  </si>
  <si>
    <t>Rate</t>
  </si>
  <si>
    <t>PWRHYD001</t>
  </si>
  <si>
    <t>Hydropower plant - Large dam (&gt;100MW)</t>
  </si>
  <si>
    <t>Hydropower</t>
  </si>
  <si>
    <t>Term</t>
  </si>
  <si>
    <t>The parameter "term" denotes the duration,  in years, of a loan or, in the case of equity, the lifespan of the project being financed.</t>
  </si>
  <si>
    <t>PWRHYD002</t>
  </si>
  <si>
    <t>Hydropower plant - Medium (10-100MW)</t>
  </si>
  <si>
    <t>CAGRGovtSpending</t>
  </si>
  <si>
    <t xml:space="preserve">The Compound Annual Growth Rate (CAGR) of Government Spending parameter defines the annualised percentage rate of growth of government budget funding over the modelled period. XXX Should be considered. Downstream oil and gas spending should not be included. </t>
  </si>
  <si>
    <t>Grace period</t>
  </si>
  <si>
    <t>PWRHYD003</t>
  </si>
  <si>
    <t>Hydropower plant - Small (&lt;10MW)</t>
  </si>
  <si>
    <t>CAGRSOECashflow</t>
  </si>
  <si>
    <t>Schedule</t>
  </si>
  <si>
    <t>PWRWND001</t>
  </si>
  <si>
    <t>Wind farm - Onshore</t>
  </si>
  <si>
    <t>Onshore Wind</t>
  </si>
  <si>
    <t>CAGRGrants</t>
  </si>
  <si>
    <t xml:space="preserve">The Compound Annual Growth Rate (CAGR) of grants parameter defines the annualised percentage rate of growth for grant funding over the modelled period. </t>
  </si>
  <si>
    <t>Project Close</t>
  </si>
  <si>
    <t>This parameter marks financial closure, indicating the year when the procurement phase ends with the signing of the PPP contract, meeting financing prerequisites, and securing funds for Project Company to start construction.</t>
  </si>
  <si>
    <t>PWRWND002</t>
  </si>
  <si>
    <t>Wind farm - Offshore</t>
  </si>
  <si>
    <t>Offshore Wind</t>
  </si>
  <si>
    <t>Start Year</t>
  </si>
  <si>
    <t>The Start Year parameter specifies the year when financing repayment begins, initiating from loan year 0.</t>
  </si>
  <si>
    <t>PWRNUC</t>
  </si>
  <si>
    <t>Nuclear power plant</t>
  </si>
  <si>
    <t>Nuclear</t>
  </si>
  <si>
    <t>Currencies</t>
  </si>
  <si>
    <t>PWRTRN</t>
  </si>
  <si>
    <t>Electricity transmission</t>
  </si>
  <si>
    <t>Transmission</t>
  </si>
  <si>
    <t>Code</t>
  </si>
  <si>
    <t>PWRDIST</t>
  </si>
  <si>
    <t>Electricity distribution</t>
  </si>
  <si>
    <t>Distribution</t>
  </si>
  <si>
    <t>USD</t>
  </si>
  <si>
    <t>US Dollar</t>
  </si>
  <si>
    <t>PWROHC003</t>
  </si>
  <si>
    <t>Light fuel oil standalone generator (1kW)</t>
  </si>
  <si>
    <t>CAD</t>
  </si>
  <si>
    <t>Canadian Dollar</t>
  </si>
  <si>
    <t>Scenarios</t>
  </si>
  <si>
    <t>PWRSOL002</t>
  </si>
  <si>
    <t>Solar PV - distributed with storage</t>
  </si>
  <si>
    <t>CNY</t>
  </si>
  <si>
    <t>Chinese Renminbi</t>
  </si>
  <si>
    <t>PWRHYD004</t>
  </si>
  <si>
    <t>Hydropower plant - Off-grid</t>
  </si>
  <si>
    <t>GBP</t>
  </si>
  <si>
    <t xml:space="preserve">British Pound </t>
  </si>
  <si>
    <t>NetZero</t>
  </si>
  <si>
    <t>Scenario Name 1 (More ambitious)</t>
  </si>
  <si>
    <t>PWRSOL001S</t>
  </si>
  <si>
    <t>Solar PV - Utility with 2-hour storage</t>
  </si>
  <si>
    <t>INR</t>
  </si>
  <si>
    <t>Indian Rupee</t>
  </si>
  <si>
    <t>LeastCost</t>
  </si>
  <si>
    <t>Scenario Name 2 (Less ambitious)</t>
  </si>
  <si>
    <t>PWRWND001S</t>
  </si>
  <si>
    <t>Onshore wind with storage</t>
  </si>
  <si>
    <t>JPY</t>
  </si>
  <si>
    <t>Japanese Yen</t>
  </si>
  <si>
    <t>BESS</t>
  </si>
  <si>
    <t>Battery</t>
  </si>
  <si>
    <t>Visualisation Dashboard</t>
  </si>
  <si>
    <t>MINFin Projections</t>
  </si>
  <si>
    <t>Financing Needs Projections</t>
  </si>
  <si>
    <t>Net Benefits</t>
  </si>
  <si>
    <t>Net1</t>
  </si>
  <si>
    <t>Net2</t>
  </si>
  <si>
    <t>Pos1</t>
  </si>
  <si>
    <t>Pos2</t>
  </si>
  <si>
    <t>Spacing</t>
  </si>
  <si>
    <t>FFRM</t>
  </si>
  <si>
    <t>NZ Cost (Million US$)</t>
  </si>
  <si>
    <t>Funding Availability Projections</t>
  </si>
  <si>
    <t xml:space="preserve">Historic Financing </t>
  </si>
  <si>
    <t> </t>
  </si>
  <si>
    <t>rank</t>
  </si>
  <si>
    <t>source</t>
  </si>
  <si>
    <t>vol</t>
  </si>
  <si>
    <t>market</t>
  </si>
  <si>
    <t>Conc Dom</t>
  </si>
  <si>
    <t>Conc Intl</t>
  </si>
  <si>
    <t>Com Dom</t>
  </si>
  <si>
    <t>Provider</t>
  </si>
  <si>
    <t>Instrument</t>
  </si>
  <si>
    <t>Origin</t>
  </si>
  <si>
    <t>Com Intl</t>
  </si>
  <si>
    <t>Financing Sources</t>
  </si>
  <si>
    <t>WACC Calculation</t>
  </si>
  <si>
    <t>Conc IFI (Debt)</t>
  </si>
  <si>
    <t>Rank</t>
  </si>
  <si>
    <t>IRR</t>
  </si>
  <si>
    <t>Share of Equity</t>
  </si>
  <si>
    <t>Interest Rate</t>
  </si>
  <si>
    <t>Share of Debt</t>
  </si>
  <si>
    <t>Conc DPS (Debt)</t>
  </si>
  <si>
    <t>Comm Intl (Debt)</t>
  </si>
  <si>
    <t>Comm Dom (Debt)</t>
  </si>
  <si>
    <t>Conc IFI (Equity)</t>
  </si>
  <si>
    <t>Bilateral Agency</t>
  </si>
  <si>
    <t>Conc DPS (Equity)</t>
  </si>
  <si>
    <t>Multilateral Agency</t>
  </si>
  <si>
    <t>Comm Intl (Equity)</t>
  </si>
  <si>
    <t>Climate Funds</t>
  </si>
  <si>
    <t>Comm Dom (Equity)</t>
  </si>
  <si>
    <t>Foreign Government</t>
  </si>
  <si>
    <t>National Government</t>
  </si>
  <si>
    <t>Commercial Bank</t>
  </si>
  <si>
    <t>RANKED</t>
  </si>
  <si>
    <t>Terms of Debt Finance</t>
  </si>
  <si>
    <t>Comm Dom</t>
  </si>
  <si>
    <t>Comm Intl</t>
  </si>
  <si>
    <t>Average</t>
  </si>
  <si>
    <t>Average Interest Rate 
(%)</t>
  </si>
  <si>
    <t>Average Grace Period 
(years)</t>
  </si>
  <si>
    <t>Average Term of Loan 
(years)</t>
  </si>
  <si>
    <t>Average Grant Element</t>
  </si>
  <si>
    <t>Total Financing Volume 
(US $M)</t>
  </si>
  <si>
    <t>Future Financing Needs Projections</t>
  </si>
  <si>
    <t>Financial Instruments</t>
  </si>
  <si>
    <t>Discount Rate Donor</t>
  </si>
  <si>
    <t>Discount Rate Recipient</t>
  </si>
  <si>
    <t>Total Over Modelling Period</t>
  </si>
  <si>
    <t xml:space="preserve"> 1. Grants</t>
  </si>
  <si>
    <t>1a. Undiscounted</t>
  </si>
  <si>
    <t>1a. Donor</t>
  </si>
  <si>
    <t>1a. Recipient</t>
  </si>
  <si>
    <t>1a - Without FF Savings</t>
  </si>
  <si>
    <t>Cumulative Grant Requirement (Million US$)</t>
  </si>
  <si>
    <t>Annual Grant Requirement (Million US$)</t>
  </si>
  <si>
    <t>New Power Generation ($ Million)</t>
  </si>
  <si>
    <t>Stranded Power Generation ($ Million)</t>
  </si>
  <si>
    <t>Variable Cost ($ Million)</t>
  </si>
  <si>
    <t>Fixed Cost ($ Million)</t>
  </si>
  <si>
    <t>1b - With FF Savings</t>
  </si>
  <si>
    <t>Cumulative Grant Requirement Considering FF Savings (Million US$)</t>
  </si>
  <si>
    <t>Annual Grant Requirement Considering FF Savings(Million US$)</t>
  </si>
  <si>
    <t>Fossil Fuel Savings (Million US$)</t>
  </si>
  <si>
    <t>1c - With FF and Carbon Savings</t>
  </si>
  <si>
    <t>Cumulative Grant Requirement Considering FF and Carbon Savings (Million US$)</t>
  </si>
  <si>
    <t>Annual Grant Requirement Considering FF and Carbon Savings(Million US$)</t>
  </si>
  <si>
    <t>Carbon Savings (Million US$)</t>
  </si>
  <si>
    <t>Carbon Price ($/Ton CO2e)</t>
  </si>
  <si>
    <t xml:space="preserve"> 2. Loans</t>
  </si>
  <si>
    <t>2b. Undiscounted</t>
  </si>
  <si>
    <t>2b. Donor</t>
  </si>
  <si>
    <t>2b. Recipient</t>
  </si>
  <si>
    <t>2a - With Fossil Fuel Savings</t>
  </si>
  <si>
    <t>Donor MIRR</t>
  </si>
  <si>
    <t>Recipient MIRR</t>
  </si>
  <si>
    <t>Net Cashflow (Million US$)</t>
  </si>
  <si>
    <t>Incremental Investment Needs Total (Million US$)</t>
  </si>
  <si>
    <t>Delta Fossil Fuel Savings (Million US$)</t>
  </si>
  <si>
    <t>2b - With Fossil Fuel and Carbon Savings</t>
  </si>
  <si>
    <t xml:space="preserve"> 3. Grant&amp;Loan</t>
  </si>
  <si>
    <t>3b. Undiscounted</t>
  </si>
  <si>
    <t>3b. Donor</t>
  </si>
  <si>
    <t>3b. Recipient</t>
  </si>
  <si>
    <t>3a - With Fossil Fuel Savings</t>
  </si>
  <si>
    <t>Grant (Million US$)</t>
  </si>
  <si>
    <t>Goal Seek; Set: Cell B58, To Value: Cell B3, By Changing: Cell C60 --&gt;</t>
  </si>
  <si>
    <t>3b - With Fossil Fuel and Carbon Savings</t>
  </si>
  <si>
    <t>Goal Seek; Set: Cell B64, To Value: Cell B3, By Changing: Cell C66 --&gt;</t>
  </si>
  <si>
    <t xml:space="preserve"> 4. Grant Element</t>
  </si>
  <si>
    <t>5. Undiscounted</t>
  </si>
  <si>
    <t>5. Donor</t>
  </si>
  <si>
    <t>5. Recipient</t>
  </si>
  <si>
    <t>4a - Interest Rate</t>
  </si>
  <si>
    <t>Increase in Share of Concessional International Finance (Conc IFI)</t>
  </si>
  <si>
    <t>&lt;-- Goal Seek; Set: Cell B95, To Value, 0, By Changing: Cell B76</t>
  </si>
  <si>
    <t>Share of Concessional International Finance (Conc IFI)</t>
  </si>
  <si>
    <t>Share of Concessional Domestic Finance (Conc DPS)</t>
  </si>
  <si>
    <t>Share of Commercial International Finance (Comm Intl)</t>
  </si>
  <si>
    <t>Share of Commercial Domestic Finance (Comm Dom)</t>
  </si>
  <si>
    <t>Total Contribution Concessional International Finance (Conc IFI)</t>
  </si>
  <si>
    <t>&lt;-- This is just investment needs and doesn't include existing financing</t>
  </si>
  <si>
    <t>Total Contribution Concessional Domestic Finance (Conc DPS)</t>
  </si>
  <si>
    <t>Total Contribution Commercial International Finance (Comm Intl)</t>
  </si>
  <si>
    <t>Total Contribution Commercial Domestic Finance (Comm Dom)</t>
  </si>
  <si>
    <t>Additional Contribution Concessional International Finance (Conc IFI)</t>
  </si>
  <si>
    <t>WACC Calculator on repayment schedules below, repayment schedules to change so that the IR is historic and the weightings are referenced above</t>
  </si>
  <si>
    <t>Delta Financing Requirements</t>
  </si>
  <si>
    <t>Investment need  (Million USD)</t>
  </si>
  <si>
    <t>Loans - Concessional International Finance (Conc IFI)</t>
  </si>
  <si>
    <t>Loans - Concessional Domestic Finance (Conc DPS)</t>
  </si>
  <si>
    <t>Loans - Commercial International Finance (Comm Intl)</t>
  </si>
  <si>
    <t>Loans - Commercial Domestic Finance (Comm Dom)</t>
  </si>
  <si>
    <t>Equity - Concessional International Finance (Conc IFI)</t>
  </si>
  <si>
    <t>Equity - Concessional Domestic Finance (Conc DPS)</t>
  </si>
  <si>
    <t>Equity - Commercial International Finance (Comm Intl)</t>
  </si>
  <si>
    <t>Equity - Commercial Domestic Finance (Comm Dom)</t>
  </si>
  <si>
    <t xml:space="preserve"> 5. Carbon Credits</t>
  </si>
  <si>
    <t>5 - Carbon Credits</t>
  </si>
  <si>
    <t>Average Carbon Credit Price  ($/Ton CO2e)</t>
  </si>
  <si>
    <t>Minimum Annual Carbon Credit Price  ($/Ton CO2e)</t>
  </si>
  <si>
    <t>Delta Emissions (Mt)</t>
  </si>
  <si>
    <t>Delta Investment Need ($ Million)</t>
  </si>
  <si>
    <t xml:space="preserve"> 6. Debt Write-Off</t>
  </si>
  <si>
    <t>6. Undiscounted</t>
  </si>
  <si>
    <t>6. Donor</t>
  </si>
  <si>
    <t>6. Recipient</t>
  </si>
  <si>
    <t>6 - Debt Write-Off</t>
  </si>
  <si>
    <t>Debt Write Off Required (Million US$)</t>
  </si>
  <si>
    <t>Delta Financing Requirement ($ Million)</t>
  </si>
  <si>
    <t>High-Level Dashboard</t>
  </si>
  <si>
    <t>Levers</t>
  </si>
  <si>
    <t>Currency:</t>
  </si>
  <si>
    <t>Foreign Currency</t>
  </si>
  <si>
    <t xml:space="preserve">Future </t>
  </si>
  <si>
    <t>Historic</t>
  </si>
  <si>
    <t>Currency Name:</t>
  </si>
  <si>
    <t>Debt</t>
  </si>
  <si>
    <t>Equity</t>
  </si>
  <si>
    <t>Total</t>
  </si>
  <si>
    <t>Financing requirements</t>
  </si>
  <si>
    <t xml:space="preserve">Concessional International Finance (Conc IFI) </t>
  </si>
  <si>
    <t>Debt : Equity Share</t>
  </si>
  <si>
    <t>Average interest rate</t>
  </si>
  <si>
    <t>Average grace period (years)</t>
  </si>
  <si>
    <t>Average term of loan (years)</t>
  </si>
  <si>
    <t>Average grant element</t>
  </si>
  <si>
    <t>Concessional Domestic Finance (Conc DPS)</t>
  </si>
  <si>
    <t>Commercial International Finance (Comm Intl)</t>
  </si>
  <si>
    <t>Commercial Domestic Finance (Comm Dom)</t>
  </si>
  <si>
    <t>Funding availability</t>
  </si>
  <si>
    <t>CAGR of government spending</t>
  </si>
  <si>
    <t>CAGR of international grants</t>
  </si>
  <si>
    <t>SOE</t>
  </si>
  <si>
    <t>CAGR of SOE internal cash generation</t>
  </si>
  <si>
    <t>Income elasticity of energy demand</t>
  </si>
  <si>
    <t>Capital Injection</t>
  </si>
  <si>
    <t>No</t>
  </si>
  <si>
    <t>Domestic Public</t>
  </si>
  <si>
    <t>Duration</t>
  </si>
  <si>
    <t>Government Budget</t>
  </si>
  <si>
    <t>Financing sources</t>
  </si>
  <si>
    <t>GDP Growth</t>
  </si>
  <si>
    <t>Financial Instrument</t>
  </si>
  <si>
    <t>Grant</t>
  </si>
  <si>
    <t>Scenario</t>
  </si>
  <si>
    <t>Net Zero</t>
  </si>
  <si>
    <t>Government spending</t>
  </si>
  <si>
    <r>
      <t xml:space="preserve">          </t>
    </r>
    <r>
      <rPr>
        <i/>
        <sz val="11"/>
        <color rgb="FF00B050"/>
        <rFont val="Calibri"/>
        <family val="2"/>
        <scheme val="minor"/>
      </rPr>
      <t>Debt Write-off</t>
    </r>
  </si>
  <si>
    <t>SOE internal cash generation</t>
  </si>
  <si>
    <t xml:space="preserve">          Capital Injection</t>
  </si>
  <si>
    <t>Fossil Fuel Expenditure Savings</t>
  </si>
  <si>
    <t>International Project Grants</t>
  </si>
  <si>
    <t xml:space="preserve">          Additional Project Grants</t>
  </si>
  <si>
    <t>Carbon Credits</t>
  </si>
  <si>
    <t>Carbon Credit Price ($/Ton CO2e)</t>
  </si>
  <si>
    <t xml:space="preserve">Multilateral Development Bank concessional loans </t>
  </si>
  <si>
    <t xml:space="preserve">National Development Bank concessional loans </t>
  </si>
  <si>
    <t xml:space="preserve">International commercial loans </t>
  </si>
  <si>
    <t xml:space="preserve">Domestic commercial loans </t>
  </si>
  <si>
    <t>Financing payments for construction of new energy</t>
  </si>
  <si>
    <t>Financing Payments for retirement of old fossil fuel technologies</t>
  </si>
  <si>
    <t>Concessional International Finance Debt Stock</t>
  </si>
  <si>
    <t>Investment Needs (Million USD)</t>
  </si>
  <si>
    <t xml:space="preserve">          Investment Needs (Grant Covered)</t>
  </si>
  <si>
    <t xml:space="preserve">          Investment Needs (Financing Needs)</t>
  </si>
  <si>
    <t>Additional Financing Needs</t>
  </si>
  <si>
    <t>Net CO2 Emissions Savings (Mt CO2)</t>
  </si>
  <si>
    <t>CO2 Emissions Base Scenario</t>
  </si>
  <si>
    <t>CO2 Emissions Net Zero Scenario</t>
  </si>
  <si>
    <t>GDP Projection</t>
  </si>
  <si>
    <t>Annual GDP (Million USD)</t>
  </si>
  <si>
    <t>Financing Requirement (% GDP)</t>
  </si>
  <si>
    <t>Funding Availability (% GDP)</t>
  </si>
  <si>
    <t>FORWARD LOOKING PARAMETERS FOR FINANCING SOURCES</t>
  </si>
  <si>
    <t>Repayment Currency</t>
  </si>
  <si>
    <t>Exchange Rate Projections</t>
  </si>
  <si>
    <t>Current Year</t>
  </si>
  <si>
    <t>Discount Rate</t>
  </si>
  <si>
    <t>Discount rate for calcualtion of grant element</t>
  </si>
  <si>
    <t>Annual Loan Payments</t>
  </si>
  <si>
    <t>Weighted Average</t>
  </si>
  <si>
    <t>Debt Equity Split</t>
  </si>
  <si>
    <t>Interest rate</t>
  </si>
  <si>
    <t>Term of loan</t>
  </si>
  <si>
    <t>Years of grace</t>
  </si>
  <si>
    <t>Average Annual Payment</t>
  </si>
  <si>
    <t>Average Annual Discounted Payment</t>
  </si>
  <si>
    <t>Total Discounted Payment</t>
  </si>
  <si>
    <t>Total financing volumes</t>
  </si>
  <si>
    <t>Concessional International Finance (Conc IFI)</t>
  </si>
  <si>
    <t>Institution Shares</t>
  </si>
  <si>
    <t>Cost of Equity</t>
  </si>
  <si>
    <t>Domestic Public Sector</t>
  </si>
  <si>
    <t>Private Equity Fund</t>
  </si>
  <si>
    <t>Cost of Debt</t>
  </si>
  <si>
    <t>Market Element</t>
  </si>
  <si>
    <t>Grant Element</t>
  </si>
  <si>
    <t>Financing Sector Shares</t>
  </si>
  <si>
    <t>Public Finance</t>
  </si>
  <si>
    <t>Private Finance</t>
  </si>
  <si>
    <t xml:space="preserve">Domestic </t>
  </si>
  <si>
    <t>International</t>
  </si>
  <si>
    <t>Currency Exchange Rate (LCU)</t>
  </si>
  <si>
    <t>Currency Name</t>
  </si>
  <si>
    <t>United States Dollar</t>
  </si>
  <si>
    <t>Local Currency</t>
  </si>
  <si>
    <t>Kenyan Shillings</t>
  </si>
  <si>
    <t>KES</t>
  </si>
  <si>
    <t xml:space="preserve">Other Lending Currency 1     </t>
  </si>
  <si>
    <t xml:space="preserve">Other Lending Currency 2     </t>
  </si>
  <si>
    <t xml:space="preserve">Other Lending Currency 3     </t>
  </si>
  <si>
    <t xml:space="preserve">Other Lending Currency 4     </t>
  </si>
  <si>
    <t xml:space="preserve">Other Lending Currency 5     </t>
  </si>
  <si>
    <t>2) HISTORICAL BASELINE FOR FINANCING SOURCES (2015-PRESENT)</t>
  </si>
  <si>
    <t>LIST HERE ALL HISTORICAL SOURCES OF FINANCING IDENTIFIED FOR THE BASELINE PERIOD</t>
  </si>
  <si>
    <t>a) Undiscounted Loan Repayment Schedule</t>
  </si>
  <si>
    <t>b) Discounted Loan Repayment Schedule</t>
  </si>
  <si>
    <t>Exchange Rate</t>
  </si>
  <si>
    <t>Maturity</t>
  </si>
  <si>
    <t>Sum of Repayment</t>
  </si>
  <si>
    <t>Akiira Geothermal Exploration 1 and 2</t>
  </si>
  <si>
    <t>British International Investment (BII) (CDC Group)</t>
  </si>
  <si>
    <t>Renewable</t>
  </si>
  <si>
    <t>Conc_IFI</t>
  </si>
  <si>
    <t>Public</t>
  </si>
  <si>
    <t>International OECD</t>
  </si>
  <si>
    <t>Equal Principal Payments (EPP)</t>
  </si>
  <si>
    <t>Centum Investment</t>
  </si>
  <si>
    <t>Conc_DPS</t>
  </si>
  <si>
    <t>Domestic</t>
  </si>
  <si>
    <t>Loan</t>
  </si>
  <si>
    <t>EPP with Grace Years for Principal</t>
  </si>
  <si>
    <t>Marine Power Generation (Private)</t>
  </si>
  <si>
    <t>Comm_Intl</t>
  </si>
  <si>
    <t>Private</t>
  </si>
  <si>
    <t>International Other</t>
  </si>
  <si>
    <t>RAM Energy Inc. (Private)</t>
  </si>
  <si>
    <t>European Investment Bank (EIB)</t>
  </si>
  <si>
    <t>Alten Kesses 1 Solar Project</t>
  </si>
  <si>
    <t>Emerging Africa Infrastructure Fund</t>
  </si>
  <si>
    <t>Solar</t>
  </si>
  <si>
    <t>Standard Bank</t>
  </si>
  <si>
    <t>Alten Energías Renovables</t>
  </si>
  <si>
    <t>Baringo Biomass (Marigat)</t>
  </si>
  <si>
    <t>Equity Group Holdings</t>
  </si>
  <si>
    <t>Fossil Fuel</t>
  </si>
  <si>
    <t>Cummins Inc.</t>
  </si>
  <si>
    <t>Baringo-Silali Geothermal Development Project</t>
  </si>
  <si>
    <t>Government of Kenya</t>
  </si>
  <si>
    <t>KfW Entwicklungsbank</t>
  </si>
  <si>
    <t>Bboxx Kenya Domestic Solar Project</t>
  </si>
  <si>
    <t>SBM Bank (Kenya)</t>
  </si>
  <si>
    <t>Comm_Dom</t>
  </si>
  <si>
    <t>Lump Sum Principal</t>
  </si>
  <si>
    <t>Eithiopia Kenya Interconnection Project (Eastern Electricity Highway Project)</t>
  </si>
  <si>
    <t>Agence Française de Développement (AFD)</t>
  </si>
  <si>
    <t>Grid</t>
  </si>
  <si>
    <t>African Development Fund (AfDB)</t>
  </si>
  <si>
    <t>World Bank Group</t>
  </si>
  <si>
    <t>Eithiopia Kenya Interconnection Project (Eastern Electricity Highway Project) Additional Financing</t>
  </si>
  <si>
    <t>African Development Bank (AfDB)</t>
  </si>
  <si>
    <t>Embakasi - Muhoroni Power Plant Turbine Relocation</t>
  </si>
  <si>
    <t>Government of Kenya (KenGen)</t>
  </si>
  <si>
    <t>Non-Renewable</t>
  </si>
  <si>
    <t>Garissa Solar Power Station</t>
  </si>
  <si>
    <t>Export–Import Bank of China</t>
  </si>
  <si>
    <t>International China</t>
  </si>
  <si>
    <t>Garissa-Wajir Transmission Line Project</t>
  </si>
  <si>
    <t>Garsen-Bura-Hola-Garissa Electricity Transmission Line Project</t>
  </si>
  <si>
    <t>Gulf Energy (Athi River MSD II) Power Station</t>
  </si>
  <si>
    <t>Organization of the Petroleum Exporting Countries (OPEC)</t>
  </si>
  <si>
    <t>Multiple Hauliers E.A. Ltd. (Private)</t>
  </si>
  <si>
    <t>Gulf Power LTD.</t>
  </si>
  <si>
    <t>Isiolo-Garissa Transmission Line Project</t>
  </si>
  <si>
    <t>Kenya Electricity Modernisation Project (KEMP)</t>
  </si>
  <si>
    <t>World Bank Group (IDA)</t>
  </si>
  <si>
    <t xml:space="preserve">Kenya Off Grid Solar Acceleration </t>
  </si>
  <si>
    <t>Kenya Off Grid Solar Access Project (KOSAP)</t>
  </si>
  <si>
    <t>Kenya Power Transmission Improvement Project (2010)</t>
  </si>
  <si>
    <t xml:space="preserve">Kenya Power Transmission Improvement Project (2012) (Nyahururu-Maralal Transmission Line and Substation Project) </t>
  </si>
  <si>
    <t>China National Machinery Import and Export Corporation (CMC)</t>
  </si>
  <si>
    <t>Kenya Power Transmission Improvement Project (2017)</t>
  </si>
  <si>
    <t>Kenya Power Transmission Improvement Project (2023)</t>
  </si>
  <si>
    <t>Export-Import Bank of Korea</t>
  </si>
  <si>
    <t>Kenya Private Sector Power Generation Support Project</t>
  </si>
  <si>
    <t xml:space="preserve">The Interconnection of Electric Grids of Nile Equatorial Lakes Countries Project (NELSAP) </t>
  </si>
  <si>
    <t>Kipeto Wind Project</t>
  </si>
  <si>
    <t>U.S. Development Finance Corporation (DFC) (OPIC)</t>
  </si>
  <si>
    <t>Wind</t>
  </si>
  <si>
    <t>Actis Capital (CDC Group)</t>
  </si>
  <si>
    <t>Craftskills East Africa Ltd</t>
  </si>
  <si>
    <t>Kisumu Solar One Power Station</t>
  </si>
  <si>
    <t>Ergon Solair Africa Ltd</t>
  </si>
  <si>
    <t>Kopere Solar Project</t>
  </si>
  <si>
    <t>European Development Finance Institutions</t>
  </si>
  <si>
    <t>Climate Investment Funds (CIF)</t>
  </si>
  <si>
    <t>Voltalia</t>
  </si>
  <si>
    <t>KTPC Power Small Hydro (KTDA)</t>
  </si>
  <si>
    <t>Hydro</t>
  </si>
  <si>
    <t>Global Agriculture &amp; Food Security Program (GAFSP)</t>
  </si>
  <si>
    <t>Dutch Entrepreneurial Development Bank (FMO)</t>
  </si>
  <si>
    <t>KTDA</t>
  </si>
  <si>
    <t>Kwale Sugar Plantation (Biomass)</t>
  </si>
  <si>
    <t xml:space="preserve">Standard Bank / CFC Stanbic </t>
  </si>
  <si>
    <t>Trade and Development Bank</t>
  </si>
  <si>
    <t xml:space="preserve">Pabari Group </t>
  </si>
  <si>
    <t xml:space="preserve">Omnicane Ltd </t>
  </si>
  <si>
    <t>Lake Turkana Transmission Line (Loiyangalani - Marsabit)</t>
  </si>
  <si>
    <t>Spanish Government (Instituto De Credito)</t>
  </si>
  <si>
    <t>Spanish Government</t>
  </si>
  <si>
    <t>Lake Turkana Transmission Line (Loiyangalani - Marsabit) - Additional Financing</t>
  </si>
  <si>
    <t>Lake Turkana Wind Project (LTWP)</t>
  </si>
  <si>
    <t>Investment Fund for Developing Countries (IFU)</t>
  </si>
  <si>
    <t>EU-Africa Infrastructure Trust Fund</t>
  </si>
  <si>
    <t>Nedbank</t>
  </si>
  <si>
    <t>Triodos Bank</t>
  </si>
  <si>
    <t>Finnfund</t>
  </si>
  <si>
    <t>Norfund</t>
  </si>
  <si>
    <t>East African Development Bank</t>
  </si>
  <si>
    <t>Aldwych International (Anergi Group)</t>
  </si>
  <si>
    <t>KP&amp;P Africa B.V.</t>
  </si>
  <si>
    <t xml:space="preserve">Vestas </t>
  </si>
  <si>
    <t>Sandpiper</t>
  </si>
  <si>
    <t>Last Mile Connectivity Project (Phase I)</t>
  </si>
  <si>
    <t>Last Mile Connectivity Project (Phase II)</t>
  </si>
  <si>
    <t>Last Mile Connectivity Project (Phase IV)</t>
  </si>
  <si>
    <t>Longonot Geothermal Development (AGIL)</t>
  </si>
  <si>
    <t>AGIL (Undisclosed Partners)</t>
  </si>
  <si>
    <t>Malindi Solar Power Station</t>
  </si>
  <si>
    <t xml:space="preserve">Africa Energy Development Corporation </t>
  </si>
  <si>
    <t>Globeleq (CDC Group and NorFund) (Private)</t>
  </si>
  <si>
    <t>Menengai Geothermal Development Project (Phase 1)</t>
  </si>
  <si>
    <t>PPIAF</t>
  </si>
  <si>
    <t>United States (AID)</t>
  </si>
  <si>
    <t xml:space="preserve">United States (TDA) </t>
  </si>
  <si>
    <t>Government of Kenya (GDC)</t>
  </si>
  <si>
    <t>Menengai I (OrPower 22 / Kaishan)</t>
  </si>
  <si>
    <t>Kaishan Group (China)</t>
  </si>
  <si>
    <t>Menengai II (QPEA GT)</t>
  </si>
  <si>
    <t>Climate Investment Funds (CIF) - Clean Technology Fund (CTF)</t>
  </si>
  <si>
    <t xml:space="preserve">Trade and Development Bank </t>
  </si>
  <si>
    <t>Quantum Power East Africa (QPEA)  (Globeleq) (Private)</t>
  </si>
  <si>
    <t>Menengai III (Soisan Power)</t>
  </si>
  <si>
    <t>Sosian Power</t>
  </si>
  <si>
    <t>Meru County Energy Park</t>
  </si>
  <si>
    <t>Government of Kenya (MCIDC)</t>
  </si>
  <si>
    <t>WindLabs (Private)</t>
  </si>
  <si>
    <t>Eurus Energy Holdings (Private)</t>
  </si>
  <si>
    <t>Nairobi Ring: Grid Reinforcement</t>
  </si>
  <si>
    <t>Nairobi City Center E.H.V and 66 KV Network Upgrade and Reinforecement Project Phase I</t>
  </si>
  <si>
    <t>Nairobi 132 KV and 66 KV Network Upgrade and Reinforcement Project Phase II</t>
  </si>
  <si>
    <t>Kenya Nairobi Underground Electric Power Distribution Network (Kilimani, Hurlingham, Ngong Rd., State H., Lavington)</t>
  </si>
  <si>
    <t>Kenya Nairobi Underground Electric Power Distribution Network (Kileleshwa, Westlands,Parklands, Ngara, Riverside)</t>
  </si>
  <si>
    <t>Ngong Wind 1 Phase II</t>
  </si>
  <si>
    <t>Belgian Government (National Bank of Belgium NBB)</t>
  </si>
  <si>
    <t>Ngong Wind 2 Phase I</t>
  </si>
  <si>
    <t>Nyeri Solar PV Project (Marco Borero)</t>
  </si>
  <si>
    <t>REPP Fund</t>
  </si>
  <si>
    <t>Olkaria I Unit 6 (including Olkaria I unit 4 and 5 Extension)</t>
  </si>
  <si>
    <t>Japan International Cooperation Agency (JICA)</t>
  </si>
  <si>
    <t>Olkaria III  (Orpower 4) Plant 1</t>
  </si>
  <si>
    <t>Olkaria III  (Orpower 4) Plant 1 Re-Finance</t>
  </si>
  <si>
    <t>KfW Entwicklungsbank (DEG)</t>
  </si>
  <si>
    <t>Olkaria III (Orpower 4)  Plant 2</t>
  </si>
  <si>
    <t>Olkaria III (Orpower 4)  Plant 3</t>
  </si>
  <si>
    <t>Olkaria III (Orpower 4) Plant 3</t>
  </si>
  <si>
    <t>Ormat</t>
  </si>
  <si>
    <t>Olkaria III (Orpower 4) Plant 4</t>
  </si>
  <si>
    <t xml:space="preserve">Olkaria III (Orpower 4) </t>
  </si>
  <si>
    <t>Olkaria IV Geothermal Drilling Project</t>
  </si>
  <si>
    <t>Olkaria V Geothermal Drilling Project (80 Wells)</t>
  </si>
  <si>
    <t>Olkaria V</t>
  </si>
  <si>
    <t>Olkaria I, II and IV Upranking</t>
  </si>
  <si>
    <t>EU (European Union)</t>
  </si>
  <si>
    <t xml:space="preserve">Olkaria I Unit 1-3 uprating </t>
  </si>
  <si>
    <t>Kenya Electrical Expansion Project (KEEP) - Olkaria IV (including Olkaria I Expansion) (Olkaria - Kisumu Transmission Line)</t>
  </si>
  <si>
    <t>Kenya Electrical Expansion Project (KEEP) - Olkaria IV (including Olkaria I Expansion) (Olkaria 1 unit 4 and 5)</t>
  </si>
  <si>
    <t>Kenya Electrical Expansion Project (KEEP) - Olkaria IV (including Olkaria I Expansion)</t>
  </si>
  <si>
    <t>Kenya Electrical Expansion Project (KEEP) - Distribution</t>
  </si>
  <si>
    <t>Government of Kenya (Consumers)</t>
  </si>
  <si>
    <t>Kenya Electrical Expansion Project (KEEP) - Transmission</t>
  </si>
  <si>
    <t>Kenya Electrical Expansion Project (KEEP) Additional Finance</t>
  </si>
  <si>
    <t>Radiant and Eldosol Solar Power Station</t>
  </si>
  <si>
    <t>Frontier Energy and Local Partners (Private)</t>
  </si>
  <si>
    <t>Samburu Solar Project</t>
  </si>
  <si>
    <t>InfraCo Africa (PIDG)</t>
  </si>
  <si>
    <t>Sharp Makueni Solar Park</t>
  </si>
  <si>
    <t>Legacy Energy Group (Private)</t>
  </si>
  <si>
    <t>rAREH Icon Solar Ltd. (Private)</t>
  </si>
  <si>
    <t>rAREH (responsAbility Africa) (Private)</t>
  </si>
  <si>
    <t>Sharp Energy Solutions (Private)</t>
  </si>
  <si>
    <t>Suswa Geothermal Development Project</t>
  </si>
  <si>
    <t>CRYQ Energy (Private)</t>
  </si>
  <si>
    <t>Thika</t>
  </si>
  <si>
    <t>African Development Bank</t>
  </si>
  <si>
    <t>ABSA</t>
  </si>
  <si>
    <t>Melec Powergen / Local Partners</t>
  </si>
  <si>
    <t>World Bank Group (IFC)</t>
  </si>
  <si>
    <t>Transmara Solar Project</t>
  </si>
  <si>
    <t>Triumph (Athi River MSD I)  Power Plant</t>
  </si>
  <si>
    <t>Industrial and Commercial Bank of China (ICBC)</t>
  </si>
  <si>
    <t>Standard Bank (CfC Stanbic)</t>
  </si>
  <si>
    <t>Triumph Power Generating Company Ltd.</t>
  </si>
  <si>
    <t>Historic CAGR</t>
  </si>
  <si>
    <t>Funding Envelope</t>
  </si>
  <si>
    <t>Public Expenditure on energy (Power)</t>
  </si>
  <si>
    <t>SOE Cashflow From Operations</t>
  </si>
  <si>
    <t>International Grants</t>
  </si>
  <si>
    <t>Type</t>
  </si>
  <si>
    <t>Volume (Million)</t>
  </si>
  <si>
    <t>Govt Share</t>
  </si>
  <si>
    <t>GoK MoEP Budget</t>
  </si>
  <si>
    <t>GoK MoEP Budget (Renewables)</t>
  </si>
  <si>
    <t>Budget</t>
  </si>
  <si>
    <t>AUC</t>
  </si>
  <si>
    <t>OPIC</t>
  </si>
  <si>
    <t>Africa Enterprise Challenge Fund</t>
  </si>
  <si>
    <t>GRMF (AUC)</t>
  </si>
  <si>
    <t>WB</t>
  </si>
  <si>
    <t>GPOBA W3: Kenya Electricity</t>
  </si>
  <si>
    <t>SIDA</t>
  </si>
  <si>
    <t>Kenya Electrical Expansion Project (KEEP)</t>
  </si>
  <si>
    <t>SREP (CIF)</t>
  </si>
  <si>
    <t>EU</t>
  </si>
  <si>
    <t>KfW</t>
  </si>
  <si>
    <t>SREP Grant (AfDB)</t>
  </si>
  <si>
    <t>JICA</t>
  </si>
  <si>
    <t>Mombasa and Nakuru City Electrification Stability Project</t>
  </si>
  <si>
    <t>KIFFWA</t>
  </si>
  <si>
    <t xml:space="preserve">Mutunguru Hydro Power Plant </t>
  </si>
  <si>
    <t>ACTC (SEFA)</t>
  </si>
  <si>
    <t>OPIC (Through AECF)</t>
  </si>
  <si>
    <t>US TDA</t>
  </si>
  <si>
    <t>Xago 40 MW Solar Plant (Siaya) Feasibility Study</t>
  </si>
  <si>
    <t>GDC</t>
  </si>
  <si>
    <t>Cash from Operations - GDC</t>
  </si>
  <si>
    <t>SOE Gen.</t>
  </si>
  <si>
    <t>KENGEN</t>
  </si>
  <si>
    <t>Cash from Operations - KENGEN</t>
  </si>
  <si>
    <t>KETRACO</t>
  </si>
  <si>
    <t>Cash from Operations - KETRACO</t>
  </si>
  <si>
    <t>KPLC</t>
  </si>
  <si>
    <t>Cash from Operations - KPLC</t>
  </si>
  <si>
    <t>Investment Needs</t>
  </si>
  <si>
    <t>No user input required</t>
  </si>
  <si>
    <t>Total Financing Need ($ Million)</t>
  </si>
  <si>
    <t>Financing Need for old Fossil Fuel Retirement</t>
  </si>
  <si>
    <t>A) INCREMENTAL FINANCING NEEDS</t>
  </si>
  <si>
    <t>Incremental Financing Needs Total ($ Million)</t>
  </si>
  <si>
    <t>Renewable Power Generation</t>
  </si>
  <si>
    <t>Fossil Fuel Power Generation</t>
  </si>
  <si>
    <t>Power Grid</t>
  </si>
  <si>
    <t>Other</t>
  </si>
  <si>
    <t>D) FINANCING NEEDS FOR FOSSIL FUEL RETIREMENT</t>
  </si>
  <si>
    <t>E) SAVINGS ON FOSSIL FUEL EXPENDITURE</t>
  </si>
  <si>
    <t>Fossil Fuel Expenditure ($ Million)</t>
  </si>
  <si>
    <t>BIO</t>
  </si>
  <si>
    <t>Biomass Fuel</t>
  </si>
  <si>
    <t>COA</t>
  </si>
  <si>
    <t>Coal Fuel</t>
  </si>
  <si>
    <t>OIL</t>
  </si>
  <si>
    <t>Oil Fuel</t>
  </si>
  <si>
    <t>NGS</t>
  </si>
  <si>
    <t>Natural Gas Fuel</t>
  </si>
  <si>
    <t>F) EMISSIONS SAVINGS</t>
  </si>
  <si>
    <t>Emissions Savings (Mt CO2)</t>
  </si>
  <si>
    <t>New Infrastructure - OSeMOSYS Inputs</t>
  </si>
  <si>
    <t>Scenario Name 1 (More ambitious):</t>
  </si>
  <si>
    <t>Scenario Name 2 (Less ambitious):</t>
  </si>
  <si>
    <t>Capital Cost ($ Million)</t>
  </si>
  <si>
    <t>GAS</t>
  </si>
  <si>
    <t>TOTAL</t>
  </si>
  <si>
    <t>3) OSeMOSYS Inputs</t>
  </si>
  <si>
    <t>From your least cost and net zero scenarios, copy and paste the results for total variable cost, total variable cost and annual electricity production into the appropiate columns below.</t>
  </si>
  <si>
    <t>Total Capital Cost (Million US$)</t>
  </si>
  <si>
    <t>Total Variable Cost (Million US$)</t>
  </si>
  <si>
    <t>Total Fixed Cost (Million US$)</t>
  </si>
  <si>
    <t>Total Cost (Million US$)</t>
  </si>
  <si>
    <t>Annual Electricity Production (PJ)</t>
  </si>
  <si>
    <t>Cost of Electricity Million US$/PJ</t>
  </si>
  <si>
    <t>Cost of Electricity US$/TWh</t>
  </si>
  <si>
    <t>CO2 Emissions (Mt)</t>
  </si>
  <si>
    <t>Cost of CO2 Savings (Million US$)</t>
  </si>
  <si>
    <t>2025-2070</t>
  </si>
  <si>
    <t>Least Cost</t>
  </si>
  <si>
    <t>5 Year Averages, 2025-2069</t>
  </si>
  <si>
    <t>Delta CO2 Emissions Savings (Million US$)</t>
  </si>
  <si>
    <t>Delta</t>
  </si>
  <si>
    <t>Fossil Fuel Retirement - FFRM Inputs</t>
  </si>
  <si>
    <t>Note: Insert Total Undiscounted Net Revenue for the two scenarios ($Million)</t>
  </si>
  <si>
    <t>Oil Net Revenue (Million US$)</t>
  </si>
  <si>
    <t>Gas Net Revenue (Million US$)</t>
  </si>
  <si>
    <t>Coal Net Revenue (Million US$)</t>
  </si>
  <si>
    <t>Stranded Cost Compensation</t>
  </si>
  <si>
    <t>Market Elements by Financier</t>
  </si>
  <si>
    <t xml:space="preserve">Other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</si>
</sst>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9">
    <numFmt numFmtId="8" formatCode="&quot;£&quot;#,##0.00;[Red]\-&quot;£&quot;#,##0.00"/>
    <numFmt numFmtId="44" formatCode="_-&quot;£&quot;* #,##0.00_-;\-&quot;£&quot;* #,##0.00_-;_-&quot;£&quot;* &quot;-&quot;??_-;_-@_-"/>
    <numFmt numFmtId="43" formatCode="_-* #,##0.00_-;\-* #,##0.00_-;_-* &quot;-&quot;??_-;_-@_-"/>
    <numFmt numFmtId="164" formatCode="&quot;£&quot;#,##0.00_);[Red]\(&quot;£&quot;#,##0.00\)"/>
    <numFmt numFmtId="165" formatCode="_-* #,##0_-;\-* #,##0_-;_-* &quot;-&quot;??_-;_-@_-"/>
    <numFmt numFmtId="166" formatCode="0.0%"/>
    <numFmt numFmtId="167" formatCode="&quot;£&quot;#,##0.00"/>
    <numFmt numFmtId="168" formatCode="[$$-409]#,##0.00"/>
    <numFmt numFmtId="169" formatCode="_-[$$-409]* #,##0.00_ ;_-[$$-409]* \-#,##0.00\ ;_-[$$-409]* &quot;-&quot;??_ ;_-@_ "/>
    <numFmt numFmtId="170" formatCode="_([$$-409]* #,##0.00_);_([$$-409]* \(#,##0.00\);_([$$-409]* &quot;-&quot;??_);_(@_)"/>
    <numFmt numFmtId="171" formatCode="[$$-409]#,##0.00_);\([$$-409]#,##0.00\)"/>
    <numFmt numFmtId="172" formatCode="0.000"/>
    <numFmt numFmtId="173" formatCode="0.0"/>
    <numFmt numFmtId="174" formatCode="[$$-409]#,##0"/>
    <numFmt numFmtId="175" formatCode="0.00&quot; Mt&quot;"/>
    <numFmt numFmtId="176" formatCode="0.00&quot; $/T.CO2&quot;"/>
    <numFmt numFmtId="177" formatCode="0.00&quot; PJ&quot;"/>
    <numFmt numFmtId="178" formatCode="_-* #,##0.0_-;\-* #,##0.0_-;_-* &quot;-&quot;??_-;_-@_-"/>
    <numFmt numFmtId="179" formatCode="0.0000%"/>
  </numFmts>
  <fonts count="80">
    <font>
      <sz val="11"/>
      <color theme="1"/>
      <name val="Calibri"/>
      <family val="2"/>
      <scheme val="minor"/>
    </font>
    <font>
      <sz val="12"/>
      <color theme="1"/>
      <name val="Calibri"/>
      <family val="2"/>
      <scheme val="minor"/>
    </font>
    <font>
      <sz val="11"/>
      <color theme="1"/>
      <name val="Calibri"/>
      <family val="2"/>
      <scheme val="minor"/>
    </font>
    <font>
      <sz val="11"/>
      <color rgb="FFFF0000"/>
      <name val="Calibri"/>
      <family val="2"/>
      <scheme val="minor"/>
    </font>
    <font>
      <b/>
      <sz val="11"/>
      <color theme="1"/>
      <name val="Calibri"/>
      <family val="2"/>
      <scheme val="minor"/>
    </font>
    <font>
      <b/>
      <sz val="11"/>
      <color rgb="FFFF0000"/>
      <name val="Calibri"/>
      <family val="2"/>
      <scheme val="minor"/>
    </font>
    <font>
      <sz val="11"/>
      <color rgb="FF00B050"/>
      <name val="Calibri"/>
      <family val="2"/>
      <scheme val="minor"/>
    </font>
    <font>
      <b/>
      <sz val="11"/>
      <color rgb="FF00B050"/>
      <name val="Calibri"/>
      <family val="2"/>
      <scheme val="minor"/>
    </font>
    <font>
      <i/>
      <sz val="11"/>
      <color theme="1"/>
      <name val="Calibri"/>
      <family val="2"/>
      <scheme val="minor"/>
    </font>
    <font>
      <i/>
      <sz val="11"/>
      <color rgb="FFFF0000"/>
      <name val="Calibri"/>
      <family val="2"/>
      <scheme val="minor"/>
    </font>
    <font>
      <sz val="11"/>
      <name val="Calibri"/>
      <family val="2"/>
      <scheme val="minor"/>
    </font>
    <font>
      <b/>
      <sz val="11"/>
      <color theme="0"/>
      <name val="Calibri"/>
      <family val="2"/>
      <scheme val="minor"/>
    </font>
    <font>
      <sz val="11"/>
      <color theme="0"/>
      <name val="Calibri"/>
      <family val="2"/>
      <scheme val="minor"/>
    </font>
    <font>
      <b/>
      <sz val="11"/>
      <name val="Calibri"/>
      <family val="2"/>
      <scheme val="minor"/>
    </font>
    <font>
      <b/>
      <sz val="11"/>
      <color rgb="FF000000"/>
      <name val="Calibri"/>
      <family val="2"/>
      <scheme val="minor"/>
    </font>
    <font>
      <sz val="11"/>
      <color rgb="FF000000"/>
      <name val="Calibri"/>
      <family val="2"/>
      <scheme val="minor"/>
    </font>
    <font>
      <sz val="8"/>
      <name val="Calibri"/>
      <family val="2"/>
      <scheme val="minor"/>
    </font>
    <font>
      <i/>
      <sz val="11"/>
      <name val="Calibri"/>
      <family val="2"/>
      <scheme val="minor"/>
    </font>
    <font>
      <sz val="11"/>
      <color rgb="FF343541"/>
      <name val="Calibri"/>
      <family val="2"/>
      <scheme val="minor"/>
    </font>
    <font>
      <b/>
      <sz val="14"/>
      <color theme="1"/>
      <name val="Calibri"/>
      <family val="2"/>
      <scheme val="minor"/>
    </font>
    <font>
      <sz val="11"/>
      <color rgb="FFC00000"/>
      <name val="Calibri"/>
      <family val="2"/>
      <scheme val="minor"/>
    </font>
    <font>
      <b/>
      <sz val="11"/>
      <color rgb="FFC00000"/>
      <name val="Calibri"/>
      <family val="2"/>
      <scheme val="minor"/>
    </font>
    <font>
      <b/>
      <sz val="22"/>
      <color theme="1"/>
      <name val="Calibri"/>
      <family val="2"/>
      <scheme val="minor"/>
    </font>
    <font>
      <b/>
      <sz val="11"/>
      <color rgb="FF000000"/>
      <name val="Arial"/>
      <family val="2"/>
    </font>
    <font>
      <sz val="6"/>
      <name val="Calibri"/>
      <family val="3"/>
      <charset val="128"/>
      <scheme val="minor"/>
    </font>
    <font>
      <sz val="11"/>
      <color rgb="FF000000"/>
      <name val="Calibri"/>
      <family val="2"/>
    </font>
    <font>
      <b/>
      <sz val="12"/>
      <color theme="1"/>
      <name val="Calibri"/>
      <family val="2"/>
      <scheme val="minor"/>
    </font>
    <font>
      <sz val="11"/>
      <color rgb="FF242424"/>
      <name val="Calibri"/>
      <family val="2"/>
      <scheme val="minor"/>
    </font>
    <font>
      <b/>
      <sz val="18"/>
      <color theme="1"/>
      <name val="Calibri"/>
      <family val="2"/>
      <scheme val="minor"/>
    </font>
    <font>
      <sz val="14"/>
      <color theme="1"/>
      <name val="Calibri"/>
      <family val="2"/>
      <scheme val="minor"/>
    </font>
    <font>
      <b/>
      <sz val="16"/>
      <color theme="0"/>
      <name val="Calibri"/>
      <family val="2"/>
      <scheme val="minor"/>
    </font>
    <font>
      <sz val="12"/>
      <color rgb="FFFF0000"/>
      <name val="Calibri"/>
      <family val="2"/>
      <scheme val="minor"/>
    </font>
    <font>
      <b/>
      <i/>
      <sz val="11"/>
      <color rgb="FFC00000"/>
      <name val="Calibri"/>
      <family val="2"/>
      <scheme val="minor"/>
    </font>
    <font>
      <b/>
      <i/>
      <sz val="11"/>
      <color rgb="FFFF0000"/>
      <name val="Calibri"/>
      <family val="2"/>
      <scheme val="minor"/>
    </font>
    <font>
      <sz val="12"/>
      <name val="Calibri"/>
      <family val="2"/>
      <scheme val="minor"/>
    </font>
    <font>
      <b/>
      <i/>
      <sz val="12"/>
      <color rgb="FFFF0000"/>
      <name val="Calibri"/>
      <family val="2"/>
      <scheme val="minor"/>
    </font>
    <font>
      <b/>
      <sz val="16"/>
      <color theme="1"/>
      <name val="Calibri"/>
      <family val="2"/>
      <scheme val="minor"/>
    </font>
    <font>
      <b/>
      <sz val="22"/>
      <name val="Calibri"/>
      <family val="2"/>
      <scheme val="minor"/>
    </font>
    <font>
      <b/>
      <sz val="16"/>
      <color rgb="FFFF0000"/>
      <name val="Calibri"/>
      <family val="2"/>
      <scheme val="minor"/>
    </font>
    <font>
      <b/>
      <sz val="16"/>
      <color rgb="FF00B050"/>
      <name val="Calibri"/>
      <family val="2"/>
      <scheme val="minor"/>
    </font>
    <font>
      <b/>
      <sz val="12"/>
      <name val="Calibri"/>
      <family val="2"/>
      <scheme val="minor"/>
    </font>
    <font>
      <b/>
      <sz val="14"/>
      <name val="Calibri"/>
      <family val="2"/>
      <scheme val="minor"/>
    </font>
    <font>
      <b/>
      <sz val="16"/>
      <color theme="2"/>
      <name val="Calibri"/>
      <family val="2"/>
      <scheme val="minor"/>
    </font>
    <font>
      <sz val="12"/>
      <color theme="2"/>
      <name val="Calibri"/>
      <family val="2"/>
      <scheme val="minor"/>
    </font>
    <font>
      <b/>
      <sz val="16"/>
      <color rgb="FF000000"/>
      <name val="Calibri"/>
      <family val="2"/>
      <scheme val="minor"/>
    </font>
    <font>
      <b/>
      <i/>
      <sz val="11"/>
      <color theme="1"/>
      <name val="Calibri"/>
      <family val="2"/>
      <scheme val="minor"/>
    </font>
    <font>
      <b/>
      <sz val="18"/>
      <color theme="0"/>
      <name val="Calibri"/>
      <family val="2"/>
      <scheme val="minor"/>
    </font>
    <font>
      <b/>
      <sz val="14"/>
      <color theme="0"/>
      <name val="Calibri"/>
      <family val="2"/>
      <scheme val="minor"/>
    </font>
    <font>
      <b/>
      <sz val="16"/>
      <color theme="5"/>
      <name val="Calibri"/>
      <family val="2"/>
      <scheme val="minor"/>
    </font>
    <font>
      <b/>
      <sz val="14"/>
      <color theme="5"/>
      <name val="Calibri"/>
      <family val="2"/>
      <scheme val="minor"/>
    </font>
    <font>
      <b/>
      <sz val="16"/>
      <color rgb="FFC00000"/>
      <name val="Calibri"/>
      <family val="2"/>
      <scheme val="minor"/>
    </font>
    <font>
      <i/>
      <sz val="11"/>
      <color rgb="FF00B050"/>
      <name val="Calibri"/>
      <family val="2"/>
      <scheme val="minor"/>
    </font>
    <font>
      <b/>
      <i/>
      <sz val="11"/>
      <name val="Calibri"/>
      <family val="2"/>
      <scheme val="minor"/>
    </font>
    <font>
      <b/>
      <i/>
      <sz val="20"/>
      <color theme="0"/>
      <name val="Calibri"/>
      <family val="2"/>
      <scheme val="minor"/>
    </font>
    <font>
      <b/>
      <sz val="20"/>
      <color theme="0"/>
      <name val="Calibri"/>
      <family val="2"/>
      <scheme val="minor"/>
    </font>
    <font>
      <u/>
      <sz val="11"/>
      <color theme="10"/>
      <name val="Calibri"/>
      <family val="2"/>
      <scheme val="minor"/>
    </font>
    <font>
      <b/>
      <sz val="36"/>
      <color theme="0"/>
      <name val="Aptos Narrow"/>
      <family val="2"/>
    </font>
    <font>
      <b/>
      <sz val="72"/>
      <color theme="0"/>
      <name val="Aptos Narrow"/>
      <family val="2"/>
    </font>
    <font>
      <sz val="22"/>
      <color theme="0"/>
      <name val="Calibri"/>
      <family val="2"/>
      <scheme val="minor"/>
    </font>
    <font>
      <sz val="12"/>
      <color theme="1"/>
      <name val="Aptos Narrow"/>
      <family val="2"/>
    </font>
    <font>
      <b/>
      <sz val="11"/>
      <color rgb="FF000000"/>
      <name val="Aptos Narrow"/>
      <family val="2"/>
    </font>
    <font>
      <b/>
      <sz val="15"/>
      <color rgb="FF000000"/>
      <name val="Aptos Narrow"/>
      <family val="2"/>
    </font>
    <font>
      <b/>
      <i/>
      <sz val="12"/>
      <name val="Aptos Narrow"/>
      <family val="2"/>
    </font>
    <font>
      <sz val="12"/>
      <color theme="0"/>
      <name val="Aptos Narrow"/>
      <family val="2"/>
    </font>
    <font>
      <sz val="11"/>
      <color theme="1"/>
      <name val="Aptos Narrow"/>
      <family val="2"/>
    </font>
    <font>
      <sz val="11"/>
      <name val="Aptos Narrow"/>
      <family val="2"/>
    </font>
    <font>
      <b/>
      <i/>
      <sz val="12"/>
      <color theme="1"/>
      <name val="Aptos Narrow"/>
      <family val="2"/>
    </font>
    <font>
      <sz val="11"/>
      <color rgb="FF000000"/>
      <name val="Aptos Narrow"/>
      <family val="2"/>
    </font>
    <font>
      <b/>
      <sz val="11"/>
      <color theme="1"/>
      <name val="Aptos Narrow"/>
      <family val="2"/>
    </font>
    <font>
      <b/>
      <sz val="12"/>
      <color theme="1"/>
      <name val="Aptos Narrow"/>
      <family val="2"/>
    </font>
    <font>
      <b/>
      <sz val="26"/>
      <color theme="1"/>
      <name val="Calibri"/>
      <family val="2"/>
      <scheme val="minor"/>
    </font>
    <font>
      <sz val="12"/>
      <name val="Aptos Narrow"/>
      <family val="2"/>
    </font>
    <font>
      <sz val="12"/>
      <color rgb="FF000000"/>
      <name val="Aptos Narrow"/>
      <family val="2"/>
    </font>
    <font>
      <b/>
      <sz val="15"/>
      <color theme="0"/>
      <name val="Aptos Narrow"/>
      <family val="2"/>
    </font>
    <font>
      <b/>
      <sz val="24"/>
      <color theme="0"/>
      <name val="Aptos Narrow"/>
      <family val="2"/>
    </font>
    <font>
      <b/>
      <sz val="22"/>
      <color theme="0"/>
      <name val="Aptos Narrow"/>
      <family val="2"/>
    </font>
    <font>
      <u/>
      <sz val="16"/>
      <color theme="0"/>
      <name val="Aptos Narrow"/>
      <family val="2"/>
    </font>
    <font>
      <b/>
      <i/>
      <sz val="12"/>
      <color theme="1"/>
      <name val="Aptos Narrow"/>
      <family val="2"/>
    </font>
    <font>
      <sz val="11"/>
      <color theme="0" tint="-0.499984740745262"/>
      <name val="Calibri"/>
      <family val="2"/>
      <scheme val="minor"/>
    </font>
    <font>
      <b/>
      <sz val="22"/>
      <color rgb="FF002060"/>
      <name val="Calibri"/>
      <family val="2"/>
      <scheme val="minor"/>
    </font>
  </fonts>
  <fills count="57">
    <fill>
      <patternFill patternType="none"/>
    </fill>
    <fill>
      <patternFill patternType="gray125"/>
    </fill>
    <fill>
      <patternFill patternType="solid">
        <fgColor theme="5" tint="0.79998168889431442"/>
        <bgColor indexed="64"/>
      </patternFill>
    </fill>
    <fill>
      <patternFill patternType="solid">
        <fgColor theme="2"/>
        <bgColor indexed="64"/>
      </patternFill>
    </fill>
    <fill>
      <patternFill patternType="solid">
        <fgColor theme="9" tint="0.79998168889431442"/>
        <bgColor indexed="64"/>
      </patternFill>
    </fill>
    <fill>
      <patternFill patternType="solid">
        <fgColor theme="8" tint="-0.249977111117893"/>
        <bgColor indexed="64"/>
      </patternFill>
    </fill>
    <fill>
      <patternFill patternType="solid">
        <fgColor theme="8" tint="0.59999389629810485"/>
        <bgColor indexed="64"/>
      </patternFill>
    </fill>
    <fill>
      <patternFill patternType="solid">
        <fgColor theme="7" tint="-0.249977111117893"/>
        <bgColor indexed="64"/>
      </patternFill>
    </fill>
    <fill>
      <patternFill patternType="solid">
        <fgColor theme="7" tint="0.59999389629810485"/>
        <bgColor indexed="64"/>
      </patternFill>
    </fill>
    <fill>
      <patternFill patternType="solid">
        <fgColor theme="3" tint="-0.249977111117893"/>
        <bgColor indexed="64"/>
      </patternFill>
    </fill>
    <fill>
      <patternFill patternType="solid">
        <fgColor theme="3" tint="0.59999389629810485"/>
        <bgColor indexed="64"/>
      </patternFill>
    </fill>
    <fill>
      <patternFill patternType="solid">
        <fgColor theme="5" tint="0.59999389629810485"/>
        <bgColor indexed="64"/>
      </patternFill>
    </fill>
    <fill>
      <patternFill patternType="solid">
        <fgColor theme="4" tint="0.59999389629810485"/>
        <bgColor indexed="64"/>
      </patternFill>
    </fill>
    <fill>
      <patternFill patternType="solid">
        <fgColor theme="7"/>
        <bgColor indexed="64"/>
      </patternFill>
    </fill>
    <fill>
      <patternFill patternType="solid">
        <fgColor theme="8" tint="0.79998168889431442"/>
        <bgColor indexed="64"/>
      </patternFill>
    </fill>
    <fill>
      <patternFill patternType="solid">
        <fgColor rgb="FFFFE1E1"/>
        <bgColor indexed="64"/>
      </patternFill>
    </fill>
    <fill>
      <patternFill patternType="solid">
        <fgColor rgb="FFF2F8EE"/>
        <bgColor indexed="64"/>
      </patternFill>
    </fill>
    <fill>
      <patternFill patternType="solid">
        <fgColor rgb="FFFAD2BC"/>
        <bgColor indexed="64"/>
      </patternFill>
    </fill>
    <fill>
      <patternFill patternType="solid">
        <fgColor theme="1"/>
        <bgColor indexed="64"/>
      </patternFill>
    </fill>
    <fill>
      <patternFill patternType="solid">
        <fgColor theme="9" tint="0.39997558519241921"/>
        <bgColor indexed="64"/>
      </patternFill>
    </fill>
    <fill>
      <patternFill patternType="solid">
        <fgColor rgb="FFFDE5D7"/>
        <bgColor indexed="64"/>
      </patternFill>
    </fill>
    <fill>
      <patternFill patternType="solid">
        <fgColor rgb="FFFFEDDD"/>
        <bgColor indexed="64"/>
      </patternFill>
    </fill>
    <fill>
      <patternFill patternType="solid">
        <fgColor theme="0"/>
        <bgColor indexed="64"/>
      </patternFill>
    </fill>
    <fill>
      <patternFill patternType="solid">
        <fgColor theme="2" tint="-0.249977111117893"/>
        <bgColor indexed="64"/>
      </patternFill>
    </fill>
    <fill>
      <patternFill patternType="solid">
        <fgColor theme="0" tint="-0.499984740745262"/>
        <bgColor indexed="64"/>
      </patternFill>
    </fill>
    <fill>
      <patternFill patternType="solid">
        <fgColor theme="7" tint="0.79998168889431442"/>
        <bgColor indexed="64"/>
      </patternFill>
    </fill>
    <fill>
      <patternFill patternType="solid">
        <fgColor theme="0" tint="-0.14999847407452621"/>
        <bgColor indexed="64"/>
      </patternFill>
    </fill>
    <fill>
      <patternFill patternType="solid">
        <fgColor rgb="FF8DCA4E"/>
        <bgColor indexed="64"/>
      </patternFill>
    </fill>
    <fill>
      <patternFill patternType="solid">
        <fgColor rgb="FFFFFFFF"/>
        <bgColor rgb="FF000000"/>
      </patternFill>
    </fill>
    <fill>
      <patternFill patternType="solid">
        <fgColor theme="0" tint="-0.249977111117893"/>
        <bgColor indexed="64"/>
      </patternFill>
    </fill>
    <fill>
      <patternFill patternType="solid">
        <fgColor theme="5" tint="0.39997558519241921"/>
        <bgColor indexed="64"/>
      </patternFill>
    </fill>
    <fill>
      <patternFill patternType="solid">
        <fgColor rgb="FFC00000"/>
        <bgColor indexed="64"/>
      </patternFill>
    </fill>
    <fill>
      <patternFill patternType="solid">
        <fgColor rgb="FFFFE9AB"/>
        <bgColor indexed="64"/>
      </patternFill>
    </fill>
    <fill>
      <patternFill patternType="solid">
        <fgColor theme="4" tint="0.79998168889431442"/>
        <bgColor indexed="64"/>
      </patternFill>
    </fill>
    <fill>
      <patternFill patternType="solid">
        <fgColor theme="4" tint="-0.499984740745262"/>
        <bgColor indexed="64"/>
      </patternFill>
    </fill>
    <fill>
      <patternFill patternType="solid">
        <fgColor theme="9"/>
        <bgColor indexed="64"/>
      </patternFill>
    </fill>
    <fill>
      <patternFill patternType="solid">
        <fgColor theme="9"/>
        <bgColor theme="4" tint="0.79998168889431442"/>
      </patternFill>
    </fill>
    <fill>
      <patternFill patternType="solid">
        <fgColor theme="7"/>
        <bgColor theme="4" tint="0.79998168889431442"/>
      </patternFill>
    </fill>
    <fill>
      <patternFill patternType="solid">
        <fgColor rgb="FFC00000"/>
        <bgColor theme="4" tint="0.79998168889431442"/>
      </patternFill>
    </fill>
    <fill>
      <patternFill patternType="solid">
        <fgColor rgb="FFECFF5E"/>
        <bgColor indexed="64"/>
      </patternFill>
    </fill>
    <fill>
      <patternFill patternType="solid">
        <fgColor rgb="FFE7E6E6"/>
        <bgColor indexed="64"/>
      </patternFill>
    </fill>
    <fill>
      <patternFill patternType="solid">
        <fgColor rgb="FFFBD2BC"/>
        <bgColor indexed="64"/>
      </patternFill>
    </fill>
    <fill>
      <patternFill patternType="solid">
        <fgColor rgb="FFF8CCAD"/>
        <bgColor indexed="64"/>
      </patternFill>
    </fill>
    <fill>
      <patternFill patternType="solid">
        <fgColor rgb="FFABDDED"/>
        <bgColor indexed="64"/>
      </patternFill>
    </fill>
    <fill>
      <patternFill patternType="solid">
        <fgColor rgb="FFF7BB63"/>
        <bgColor indexed="64"/>
      </patternFill>
    </fill>
    <fill>
      <patternFill patternType="solid">
        <fgColor rgb="FFF5AB3D"/>
        <bgColor indexed="64"/>
      </patternFill>
    </fill>
    <fill>
      <patternFill patternType="solid">
        <fgColor rgb="FF80CCE4"/>
        <bgColor indexed="64"/>
      </patternFill>
    </fill>
    <fill>
      <patternFill patternType="solid">
        <fgColor theme="9" tint="0.59999389629810485"/>
        <bgColor indexed="64"/>
      </patternFill>
    </fill>
    <fill>
      <patternFill patternType="solid">
        <fgColor rgb="FFFFFF00"/>
        <bgColor indexed="64"/>
      </patternFill>
    </fill>
    <fill>
      <patternFill patternType="solid">
        <fgColor theme="7" tint="0.39997558519241921"/>
        <bgColor indexed="64"/>
      </patternFill>
    </fill>
    <fill>
      <patternFill patternType="solid">
        <fgColor theme="0" tint="-4.9989318521683403E-2"/>
        <bgColor indexed="64"/>
      </patternFill>
    </fill>
    <fill>
      <patternFill patternType="solid">
        <fgColor rgb="FF002060"/>
        <bgColor indexed="64"/>
      </patternFill>
    </fill>
    <fill>
      <patternFill patternType="solid">
        <fgColor theme="1" tint="4.9989318521683403E-2"/>
        <bgColor indexed="64"/>
      </patternFill>
    </fill>
    <fill>
      <patternFill patternType="solid">
        <fgColor rgb="FFF8E1D3"/>
        <bgColor indexed="64"/>
      </patternFill>
    </fill>
    <fill>
      <patternFill patternType="solid">
        <fgColor rgb="FF002060"/>
        <bgColor rgb="FF000000"/>
      </patternFill>
    </fill>
    <fill>
      <patternFill patternType="solid">
        <fgColor rgb="FFFFEEDE"/>
        <bgColor indexed="64"/>
      </patternFill>
    </fill>
    <fill>
      <patternFill patternType="solid">
        <fgColor theme="0" tint="-0.14999847407452621"/>
        <bgColor rgb="FF000000"/>
      </patternFill>
    </fill>
  </fills>
  <borders count="53">
    <border>
      <left/>
      <right/>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right/>
      <top style="thin">
        <color indexed="64"/>
      </top>
      <bottom/>
      <diagonal/>
    </border>
    <border>
      <left/>
      <right style="thin">
        <color indexed="64"/>
      </right>
      <top/>
      <bottom/>
      <diagonal/>
    </border>
    <border>
      <left style="thin">
        <color indexed="64"/>
      </left>
      <right/>
      <top style="thin">
        <color indexed="64"/>
      </top>
      <bottom/>
      <diagonal/>
    </border>
    <border>
      <left style="thin">
        <color indexed="64"/>
      </left>
      <right/>
      <top/>
      <bottom/>
      <diagonal/>
    </border>
    <border>
      <left/>
      <right/>
      <top/>
      <bottom style="medium">
        <color indexed="64"/>
      </bottom>
      <diagonal/>
    </border>
    <border>
      <left style="thin">
        <color indexed="64"/>
      </left>
      <right style="thin">
        <color indexed="64"/>
      </right>
      <top/>
      <bottom/>
      <diagonal/>
    </border>
    <border>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style="medium">
        <color rgb="FF000000"/>
      </left>
      <right/>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style="medium">
        <color indexed="64"/>
      </right>
      <top/>
      <bottom/>
      <diagonal/>
    </border>
    <border>
      <left style="medium">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style="thin">
        <color indexed="64"/>
      </right>
      <top style="medium">
        <color indexed="64"/>
      </top>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thin">
        <color indexed="64"/>
      </top>
      <bottom/>
      <diagonal/>
    </border>
    <border>
      <left/>
      <right style="medium">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medium">
        <color rgb="FF002060"/>
      </left>
      <right/>
      <top style="medium">
        <color rgb="FF002060"/>
      </top>
      <bottom/>
      <diagonal/>
    </border>
    <border>
      <left/>
      <right style="medium">
        <color rgb="FF002060"/>
      </right>
      <top style="medium">
        <color rgb="FF002060"/>
      </top>
      <bottom/>
      <diagonal/>
    </border>
    <border>
      <left style="medium">
        <color rgb="FF002060"/>
      </left>
      <right/>
      <top/>
      <bottom/>
      <diagonal/>
    </border>
    <border>
      <left/>
      <right style="medium">
        <color rgb="FF002060"/>
      </right>
      <top/>
      <bottom/>
      <diagonal/>
    </border>
    <border>
      <left style="medium">
        <color rgb="FF002060"/>
      </left>
      <right/>
      <top/>
      <bottom style="medium">
        <color rgb="FF002060"/>
      </bottom>
      <diagonal/>
    </border>
    <border>
      <left/>
      <right style="medium">
        <color rgb="FF002060"/>
      </right>
      <top/>
      <bottom style="medium">
        <color rgb="FF002060"/>
      </bottom>
      <diagonal/>
    </border>
    <border>
      <left/>
      <right/>
      <top style="medium">
        <color rgb="FF002060"/>
      </top>
      <bottom/>
      <diagonal/>
    </border>
    <border>
      <left/>
      <right/>
      <top/>
      <bottom style="medium">
        <color rgb="FF002060"/>
      </bottom>
      <diagonal/>
    </border>
  </borders>
  <cellStyleXfs count="8">
    <xf numFmtId="0" fontId="0" fillId="0" borderId="0"/>
    <xf numFmtId="43" fontId="2" fillId="0" borderId="0" applyFont="0" applyFill="0" applyBorder="0" applyAlignment="0" applyProtection="0"/>
    <xf numFmtId="9" fontId="2" fillId="0" borderId="0" applyFont="0" applyFill="0" applyBorder="0" applyAlignment="0" applyProtection="0"/>
    <xf numFmtId="43" fontId="2" fillId="0" borderId="0" applyFont="0" applyFill="0" applyBorder="0" applyAlignment="0" applyProtection="0"/>
    <xf numFmtId="44" fontId="2" fillId="0" borderId="0" applyFont="0" applyFill="0" applyBorder="0" applyAlignment="0" applyProtection="0"/>
    <xf numFmtId="43" fontId="2" fillId="0" borderId="0" applyFont="0" applyFill="0" applyBorder="0" applyAlignment="0" applyProtection="0"/>
    <xf numFmtId="44" fontId="2" fillId="0" borderId="0" applyFont="0" applyFill="0" applyBorder="0" applyAlignment="0" applyProtection="0"/>
    <xf numFmtId="0" fontId="55" fillId="0" borderId="0" applyNumberFormat="0" applyFill="0" applyBorder="0" applyAlignment="0" applyProtection="0"/>
  </cellStyleXfs>
  <cellXfs count="791">
    <xf numFmtId="0" fontId="0" fillId="0" borderId="0" xfId="0"/>
    <xf numFmtId="0" fontId="3" fillId="0" borderId="0" xfId="0" applyFont="1"/>
    <xf numFmtId="0" fontId="4" fillId="0" borderId="0" xfId="0" applyFont="1"/>
    <xf numFmtId="0" fontId="4" fillId="0" borderId="0" xfId="0" applyFont="1" applyAlignment="1">
      <alignment horizontal="center"/>
    </xf>
    <xf numFmtId="0" fontId="0" fillId="3" borderId="0" xfId="0" applyFill="1"/>
    <xf numFmtId="0" fontId="4" fillId="3" borderId="0" xfId="0" applyFont="1" applyFill="1"/>
    <xf numFmtId="0" fontId="9" fillId="0" borderId="0" xfId="0" applyFont="1"/>
    <xf numFmtId="0" fontId="7" fillId="4" borderId="0" xfId="0" applyFont="1" applyFill="1"/>
    <xf numFmtId="0" fontId="4" fillId="4" borderId="0" xfId="0" applyFont="1" applyFill="1"/>
    <xf numFmtId="0" fontId="5" fillId="2" borderId="0" xfId="0" applyFont="1" applyFill="1"/>
    <xf numFmtId="0" fontId="5" fillId="0" borderId="0" xfId="0" applyFont="1"/>
    <xf numFmtId="165" fontId="5" fillId="0" borderId="0" xfId="1" applyNumberFormat="1" applyFont="1" applyFill="1"/>
    <xf numFmtId="0" fontId="6" fillId="4" borderId="0" xfId="0" applyFont="1" applyFill="1"/>
    <xf numFmtId="0" fontId="15" fillId="0" borderId="0" xfId="0" applyFont="1"/>
    <xf numFmtId="0" fontId="0" fillId="0" borderId="0" xfId="0" quotePrefix="1"/>
    <xf numFmtId="165" fontId="0" fillId="0" borderId="0" xfId="0" applyNumberFormat="1"/>
    <xf numFmtId="2" fontId="0" fillId="0" borderId="0" xfId="0" applyNumberFormat="1"/>
    <xf numFmtId="10" fontId="0" fillId="0" borderId="0" xfId="0" applyNumberFormat="1"/>
    <xf numFmtId="0" fontId="0" fillId="3" borderId="4" xfId="0" applyFill="1" applyBorder="1"/>
    <xf numFmtId="0" fontId="0" fillId="0" borderId="0" xfId="0" applyAlignment="1">
      <alignment horizontal="right"/>
    </xf>
    <xf numFmtId="10" fontId="4" fillId="0" borderId="0" xfId="0" applyNumberFormat="1" applyFont="1"/>
    <xf numFmtId="0" fontId="0" fillId="18" borderId="0" xfId="0" applyFill="1"/>
    <xf numFmtId="0" fontId="10" fillId="0" borderId="0" xfId="0" applyFont="1" applyAlignment="1">
      <alignment horizontal="right"/>
    </xf>
    <xf numFmtId="1" fontId="6" fillId="0" borderId="0" xfId="0" applyNumberFormat="1" applyFont="1"/>
    <xf numFmtId="10" fontId="0" fillId="16" borderId="0" xfId="0" applyNumberFormat="1" applyFill="1"/>
    <xf numFmtId="0" fontId="4" fillId="0" borderId="0" xfId="0" applyFont="1" applyAlignment="1">
      <alignment horizontal="right"/>
    </xf>
    <xf numFmtId="0" fontId="17" fillId="0" borderId="0" xfId="0" applyFont="1" applyAlignment="1">
      <alignment horizontal="right"/>
    </xf>
    <xf numFmtId="0" fontId="15" fillId="18" borderId="0" xfId="0" applyFont="1" applyFill="1"/>
    <xf numFmtId="1" fontId="5" fillId="0" borderId="0" xfId="0" applyNumberFormat="1" applyFont="1"/>
    <xf numFmtId="168" fontId="7" fillId="4" borderId="0" xfId="0" applyNumberFormat="1" applyFont="1" applyFill="1"/>
    <xf numFmtId="168" fontId="5" fillId="2" borderId="0" xfId="1" applyNumberFormat="1" applyFont="1" applyFill="1"/>
    <xf numFmtId="168" fontId="6" fillId="4" borderId="0" xfId="0" applyNumberFormat="1" applyFont="1" applyFill="1"/>
    <xf numFmtId="168" fontId="3" fillId="2" borderId="0" xfId="0" applyNumberFormat="1" applyFont="1" applyFill="1"/>
    <xf numFmtId="0" fontId="0" fillId="22" borderId="0" xfId="0" applyFill="1"/>
    <xf numFmtId="9" fontId="0" fillId="0" borderId="0" xfId="0" applyNumberFormat="1"/>
    <xf numFmtId="10" fontId="0" fillId="22" borderId="0" xfId="0" applyNumberFormat="1" applyFill="1"/>
    <xf numFmtId="0" fontId="0" fillId="24" borderId="0" xfId="0" applyFill="1"/>
    <xf numFmtId="9" fontId="0" fillId="22" borderId="0" xfId="2" applyFont="1" applyFill="1"/>
    <xf numFmtId="0" fontId="22" fillId="22" borderId="0" xfId="0" applyFont="1" applyFill="1" applyAlignment="1">
      <alignment vertical="center"/>
    </xf>
    <xf numFmtId="0" fontId="10" fillId="22" borderId="0" xfId="0" applyFont="1" applyFill="1" applyAlignment="1">
      <alignment horizontal="left" vertical="center" wrapText="1"/>
    </xf>
    <xf numFmtId="9" fontId="0" fillId="22" borderId="0" xfId="0" applyNumberFormat="1" applyFill="1"/>
    <xf numFmtId="0" fontId="10" fillId="0" borderId="0" xfId="0" applyFont="1"/>
    <xf numFmtId="0" fontId="0" fillId="0" borderId="7" xfId="0" applyBorder="1"/>
    <xf numFmtId="0" fontId="4" fillId="3" borderId="6" xfId="0" applyFont="1" applyFill="1" applyBorder="1"/>
    <xf numFmtId="0" fontId="0" fillId="0" borderId="0" xfId="0" applyAlignment="1">
      <alignment horizontal="center" vertical="center"/>
    </xf>
    <xf numFmtId="168" fontId="0" fillId="3" borderId="0" xfId="0" applyNumberFormat="1" applyFill="1"/>
    <xf numFmtId="168" fontId="0" fillId="3" borderId="8" xfId="0" applyNumberFormat="1" applyFill="1" applyBorder="1"/>
    <xf numFmtId="0" fontId="0" fillId="25" borderId="0" xfId="0" applyFill="1"/>
    <xf numFmtId="0" fontId="25" fillId="28" borderId="0" xfId="0" applyFont="1" applyFill="1"/>
    <xf numFmtId="0" fontId="25" fillId="0" borderId="0" xfId="0" applyFont="1"/>
    <xf numFmtId="168" fontId="3" fillId="20" borderId="0" xfId="0" applyNumberFormat="1" applyFont="1" applyFill="1"/>
    <xf numFmtId="0" fontId="3" fillId="2" borderId="0" xfId="0" applyFont="1" applyFill="1" applyAlignment="1">
      <alignment horizontal="left"/>
    </xf>
    <xf numFmtId="0" fontId="5" fillId="20" borderId="0" xfId="0" applyFont="1" applyFill="1" applyAlignment="1">
      <alignment horizontal="left"/>
    </xf>
    <xf numFmtId="0" fontId="0" fillId="3" borderId="0" xfId="0" applyFill="1" applyAlignment="1">
      <alignment horizontal="left" vertical="center"/>
    </xf>
    <xf numFmtId="168" fontId="0" fillId="0" borderId="0" xfId="0" applyNumberFormat="1"/>
    <xf numFmtId="0" fontId="4" fillId="0" borderId="0" xfId="0" applyFont="1" applyAlignment="1">
      <alignment horizontal="center" vertical="center"/>
    </xf>
    <xf numFmtId="0" fontId="0" fillId="3" borderId="15" xfId="0" applyFill="1" applyBorder="1"/>
    <xf numFmtId="0" fontId="15" fillId="3" borderId="15" xfId="0" applyFont="1" applyFill="1" applyBorder="1"/>
    <xf numFmtId="0" fontId="12" fillId="22" borderId="0" xfId="0" applyFont="1" applyFill="1"/>
    <xf numFmtId="0" fontId="12" fillId="22" borderId="0" xfId="0" applyFont="1" applyFill="1" applyAlignment="1">
      <alignment horizontal="right"/>
    </xf>
    <xf numFmtId="9" fontId="12" fillId="22" borderId="0" xfId="2" applyFont="1" applyFill="1"/>
    <xf numFmtId="9" fontId="12" fillId="22" borderId="0" xfId="2" applyFont="1" applyFill="1" applyAlignment="1">
      <alignment wrapText="1"/>
    </xf>
    <xf numFmtId="2" fontId="0" fillId="22" borderId="0" xfId="0" applyNumberFormat="1" applyFill="1"/>
    <xf numFmtId="1" fontId="0" fillId="22" borderId="0" xfId="0" applyNumberFormat="1" applyFill="1"/>
    <xf numFmtId="0" fontId="0" fillId="22" borderId="0" xfId="0" applyFill="1" applyAlignment="1">
      <alignment horizontal="right"/>
    </xf>
    <xf numFmtId="172" fontId="0" fillId="0" borderId="0" xfId="0" applyNumberFormat="1"/>
    <xf numFmtId="0" fontId="3" fillId="22" borderId="0" xfId="0" applyFont="1" applyFill="1"/>
    <xf numFmtId="0" fontId="0" fillId="0" borderId="0" xfId="0" applyAlignment="1">
      <alignment horizontal="center"/>
    </xf>
    <xf numFmtId="0" fontId="0" fillId="29" borderId="0" xfId="0" applyFill="1"/>
    <xf numFmtId="0" fontId="19" fillId="0" borderId="29" xfId="0" applyFont="1" applyBorder="1" applyAlignment="1">
      <alignment horizontal="center" vertical="center" wrapText="1" readingOrder="1"/>
    </xf>
    <xf numFmtId="166" fontId="29" fillId="0" borderId="0" xfId="0" applyNumberFormat="1" applyFont="1" applyAlignment="1">
      <alignment horizontal="center" vertical="center" wrapText="1" readingOrder="1"/>
    </xf>
    <xf numFmtId="173" fontId="29" fillId="0" borderId="0" xfId="2" applyNumberFormat="1" applyFont="1" applyFill="1" applyBorder="1" applyAlignment="1">
      <alignment horizontal="center" vertical="center" wrapText="1" readingOrder="1"/>
    </xf>
    <xf numFmtId="173" fontId="29" fillId="0" borderId="0" xfId="0" applyNumberFormat="1" applyFont="1" applyAlignment="1">
      <alignment horizontal="center" vertical="center" wrapText="1" readingOrder="1"/>
    </xf>
    <xf numFmtId="0" fontId="19" fillId="33" borderId="28" xfId="0" applyFont="1" applyFill="1" applyBorder="1" applyAlignment="1">
      <alignment horizontal="center" vertical="center" wrapText="1" readingOrder="1"/>
    </xf>
    <xf numFmtId="166" fontId="29" fillId="33" borderId="15" xfId="0" applyNumberFormat="1" applyFont="1" applyFill="1" applyBorder="1" applyAlignment="1">
      <alignment horizontal="center" vertical="center" wrapText="1" readingOrder="1"/>
    </xf>
    <xf numFmtId="173" fontId="29" fillId="33" borderId="15" xfId="2" applyNumberFormat="1" applyFont="1" applyFill="1" applyBorder="1" applyAlignment="1">
      <alignment horizontal="center" vertical="center" wrapText="1" readingOrder="1"/>
    </xf>
    <xf numFmtId="173" fontId="29" fillId="33" borderId="15" xfId="0" applyNumberFormat="1" applyFont="1" applyFill="1" applyBorder="1" applyAlignment="1">
      <alignment horizontal="center" vertical="center" wrapText="1" readingOrder="1"/>
    </xf>
    <xf numFmtId="170" fontId="29" fillId="33" borderId="8" xfId="0" applyNumberFormat="1" applyFont="1" applyFill="1" applyBorder="1" applyAlignment="1">
      <alignment horizontal="center" vertical="center" wrapText="1" readingOrder="1"/>
    </xf>
    <xf numFmtId="170" fontId="29" fillId="12" borderId="17" xfId="0" applyNumberFormat="1" applyFont="1" applyFill="1" applyBorder="1" applyAlignment="1">
      <alignment horizontal="center" vertical="center" wrapText="1" readingOrder="1"/>
    </xf>
    <xf numFmtId="0" fontId="10" fillId="22" borderId="0" xfId="0" applyFont="1" applyFill="1"/>
    <xf numFmtId="0" fontId="10" fillId="22" borderId="0" xfId="0" applyFont="1" applyFill="1" applyAlignment="1">
      <alignment horizontal="right"/>
    </xf>
    <xf numFmtId="174" fontId="0" fillId="22" borderId="0" xfId="0" applyNumberFormat="1" applyFill="1"/>
    <xf numFmtId="8" fontId="3" fillId="0" borderId="0" xfId="0" applyNumberFormat="1" applyFont="1"/>
    <xf numFmtId="0" fontId="13" fillId="0" borderId="0" xfId="0" applyFont="1"/>
    <xf numFmtId="0" fontId="4" fillId="3" borderId="7" xfId="0" applyFont="1" applyFill="1" applyBorder="1"/>
    <xf numFmtId="0" fontId="0" fillId="25" borderId="14" xfId="0" applyFill="1" applyBorder="1"/>
    <xf numFmtId="0" fontId="4" fillId="3" borderId="24" xfId="0" applyFont="1" applyFill="1" applyBorder="1" applyAlignment="1">
      <alignment horizontal="center" vertical="center"/>
    </xf>
    <xf numFmtId="0" fontId="0" fillId="3" borderId="27" xfId="0" applyFill="1" applyBorder="1" applyAlignment="1">
      <alignment horizontal="right"/>
    </xf>
    <xf numFmtId="0" fontId="0" fillId="3" borderId="29" xfId="0" applyFill="1" applyBorder="1"/>
    <xf numFmtId="0" fontId="0" fillId="3" borderId="28" xfId="0" applyFill="1" applyBorder="1"/>
    <xf numFmtId="0" fontId="4" fillId="3" borderId="23" xfId="0" applyFont="1" applyFill="1" applyBorder="1" applyAlignment="1">
      <alignment horizontal="center" vertical="center" wrapText="1"/>
    </xf>
    <xf numFmtId="0" fontId="4" fillId="3" borderId="14" xfId="0" applyFont="1" applyFill="1" applyBorder="1"/>
    <xf numFmtId="0" fontId="4" fillId="3" borderId="16" xfId="0" applyFont="1" applyFill="1" applyBorder="1"/>
    <xf numFmtId="0" fontId="0" fillId="0" borderId="22" xfId="0" applyBorder="1"/>
    <xf numFmtId="0" fontId="33" fillId="0" borderId="0" xfId="0" applyFont="1" applyAlignment="1">
      <alignment horizontal="left" vertical="center"/>
    </xf>
    <xf numFmtId="0" fontId="4" fillId="26" borderId="14" xfId="0" applyFont="1" applyFill="1" applyBorder="1"/>
    <xf numFmtId="0" fontId="4" fillId="26" borderId="34" xfId="0" applyFont="1" applyFill="1" applyBorder="1" applyAlignment="1">
      <alignment horizontal="right"/>
    </xf>
    <xf numFmtId="2" fontId="4" fillId="26" borderId="12" xfId="0" applyNumberFormat="1" applyFont="1" applyFill="1" applyBorder="1" applyAlignment="1">
      <alignment horizontal="right"/>
    </xf>
    <xf numFmtId="2" fontId="4" fillId="26" borderId="35" xfId="0" applyNumberFormat="1" applyFont="1" applyFill="1" applyBorder="1" applyAlignment="1">
      <alignment horizontal="right"/>
    </xf>
    <xf numFmtId="2" fontId="4" fillId="26" borderId="37" xfId="0" applyNumberFormat="1" applyFont="1" applyFill="1" applyBorder="1" applyAlignment="1">
      <alignment horizontal="right"/>
    </xf>
    <xf numFmtId="0" fontId="32" fillId="0" borderId="22" xfId="0" applyFont="1" applyBorder="1" applyAlignment="1">
      <alignment horizontal="center" vertical="center"/>
    </xf>
    <xf numFmtId="168" fontId="0" fillId="3" borderId="15" xfId="0" applyNumberFormat="1" applyFill="1" applyBorder="1"/>
    <xf numFmtId="168" fontId="0" fillId="3" borderId="17" xfId="0" applyNumberFormat="1" applyFill="1" applyBorder="1"/>
    <xf numFmtId="0" fontId="9" fillId="0" borderId="0" xfId="0" applyFont="1" applyAlignment="1">
      <alignment vertical="center"/>
    </xf>
    <xf numFmtId="0" fontId="4" fillId="3" borderId="7" xfId="0" applyFont="1" applyFill="1" applyBorder="1" applyAlignment="1">
      <alignment horizontal="center" vertical="center" wrapText="1"/>
    </xf>
    <xf numFmtId="0" fontId="4" fillId="3" borderId="5" xfId="0" applyFont="1" applyFill="1" applyBorder="1" applyAlignment="1">
      <alignment horizontal="center" vertical="center" wrapText="1"/>
    </xf>
    <xf numFmtId="168" fontId="0" fillId="3" borderId="7" xfId="0" applyNumberFormat="1" applyFill="1" applyBorder="1" applyAlignment="1">
      <alignment horizontal="center" vertical="center"/>
    </xf>
    <xf numFmtId="168" fontId="0" fillId="3" borderId="5" xfId="0" applyNumberFormat="1" applyFill="1" applyBorder="1" applyAlignment="1">
      <alignment horizontal="center" vertical="center"/>
    </xf>
    <xf numFmtId="168" fontId="0" fillId="3" borderId="0" xfId="0" applyNumberFormat="1" applyFill="1" applyAlignment="1">
      <alignment horizontal="center" vertical="center"/>
    </xf>
    <xf numFmtId="168" fontId="0" fillId="3" borderId="15" xfId="0" applyNumberFormat="1" applyFill="1" applyBorder="1" applyAlignment="1">
      <alignment horizontal="center" vertical="center"/>
    </xf>
    <xf numFmtId="168" fontId="0" fillId="25" borderId="14" xfId="0" applyNumberFormat="1" applyFill="1" applyBorder="1" applyAlignment="1">
      <alignment horizontal="center" vertical="center"/>
    </xf>
    <xf numFmtId="176" fontId="0" fillId="25" borderId="33" xfId="0" applyNumberFormat="1" applyFill="1" applyBorder="1" applyAlignment="1">
      <alignment horizontal="center" vertical="center"/>
    </xf>
    <xf numFmtId="2" fontId="0" fillId="0" borderId="0" xfId="0" applyNumberFormat="1" applyAlignment="1">
      <alignment horizontal="center" vertical="center"/>
    </xf>
    <xf numFmtId="0" fontId="34" fillId="0" borderId="0" xfId="0" applyFont="1" applyAlignment="1">
      <alignment horizontal="center"/>
    </xf>
    <xf numFmtId="2" fontId="0" fillId="3" borderId="0" xfId="0" applyNumberFormat="1" applyFill="1" applyAlignment="1">
      <alignment horizontal="center"/>
    </xf>
    <xf numFmtId="0" fontId="0" fillId="3" borderId="0" xfId="0" applyFill="1" applyAlignment="1">
      <alignment horizontal="center"/>
    </xf>
    <xf numFmtId="0" fontId="31" fillId="0" borderId="0" xfId="0" applyFont="1" applyAlignment="1">
      <alignment vertical="center"/>
    </xf>
    <xf numFmtId="0" fontId="4" fillId="3" borderId="3" xfId="0" applyFont="1" applyFill="1" applyBorder="1" applyAlignment="1">
      <alignment horizontal="right" vertical="center"/>
    </xf>
    <xf numFmtId="2" fontId="0" fillId="21" borderId="0" xfId="0" applyNumberFormat="1" applyFill="1"/>
    <xf numFmtId="2" fontId="0" fillId="19" borderId="0" xfId="0" applyNumberFormat="1" applyFill="1"/>
    <xf numFmtId="2" fontId="0" fillId="4" borderId="0" xfId="0" applyNumberFormat="1" applyFill="1"/>
    <xf numFmtId="0" fontId="5" fillId="3" borderId="4" xfId="0" applyFont="1" applyFill="1" applyBorder="1" applyAlignment="1">
      <alignment horizontal="left" vertical="center"/>
    </xf>
    <xf numFmtId="0" fontId="4" fillId="3" borderId="4" xfId="0" applyFont="1" applyFill="1" applyBorder="1" applyAlignment="1">
      <alignment horizontal="right"/>
    </xf>
    <xf numFmtId="0" fontId="17" fillId="3" borderId="4" xfId="0" applyFont="1" applyFill="1" applyBorder="1" applyAlignment="1">
      <alignment horizontal="right"/>
    </xf>
    <xf numFmtId="2" fontId="0" fillId="5" borderId="0" xfId="0" applyNumberFormat="1" applyFill="1"/>
    <xf numFmtId="2" fontId="0" fillId="6" borderId="0" xfId="0" applyNumberFormat="1" applyFill="1"/>
    <xf numFmtId="2" fontId="0" fillId="7" borderId="0" xfId="0" applyNumberFormat="1" applyFill="1"/>
    <xf numFmtId="2" fontId="0" fillId="8" borderId="0" xfId="0" applyNumberFormat="1" applyFill="1"/>
    <xf numFmtId="2" fontId="0" fillId="9" borderId="0" xfId="0" applyNumberFormat="1" applyFill="1"/>
    <xf numFmtId="2" fontId="0" fillId="10" borderId="0" xfId="0" applyNumberFormat="1" applyFill="1"/>
    <xf numFmtId="2" fontId="0" fillId="3" borderId="4" xfId="0" applyNumberFormat="1" applyFill="1" applyBorder="1"/>
    <xf numFmtId="168" fontId="17" fillId="3" borderId="4" xfId="0" applyNumberFormat="1" applyFont="1" applyFill="1" applyBorder="1" applyAlignment="1">
      <alignment horizontal="right"/>
    </xf>
    <xf numFmtId="174" fontId="0" fillId="3" borderId="4" xfId="0" applyNumberFormat="1" applyFill="1" applyBorder="1"/>
    <xf numFmtId="168" fontId="0" fillId="3" borderId="0" xfId="0" applyNumberFormat="1" applyFill="1" applyAlignment="1">
      <alignment horizontal="right"/>
    </xf>
    <xf numFmtId="168" fontId="17" fillId="3" borderId="0" xfId="0" applyNumberFormat="1" applyFont="1" applyFill="1" applyAlignment="1">
      <alignment horizontal="right"/>
    </xf>
    <xf numFmtId="2" fontId="12" fillId="7" borderId="0" xfId="0" applyNumberFormat="1" applyFont="1" applyFill="1"/>
    <xf numFmtId="2" fontId="12" fillId="9" borderId="4" xfId="0" applyNumberFormat="1" applyFont="1" applyFill="1" applyBorder="1"/>
    <xf numFmtId="0" fontId="0" fillId="32" borderId="0" xfId="0" applyFill="1" applyAlignment="1" applyProtection="1">
      <alignment horizontal="right"/>
      <protection locked="0"/>
    </xf>
    <xf numFmtId="168" fontId="0" fillId="32" borderId="0" xfId="0" applyNumberFormat="1" applyFill="1" applyAlignment="1" applyProtection="1">
      <alignment horizontal="right"/>
      <protection locked="0"/>
    </xf>
    <xf numFmtId="0" fontId="0" fillId="0" borderId="0" xfId="0" applyProtection="1">
      <protection locked="0"/>
    </xf>
    <xf numFmtId="2" fontId="0" fillId="0" borderId="0" xfId="0" applyNumberFormat="1" applyProtection="1">
      <protection locked="0"/>
    </xf>
    <xf numFmtId="0" fontId="4" fillId="3" borderId="4" xfId="0" applyFont="1" applyFill="1" applyBorder="1" applyProtection="1">
      <protection locked="0"/>
    </xf>
    <xf numFmtId="0" fontId="0" fillId="3" borderId="4" xfId="0" applyFill="1" applyBorder="1" applyProtection="1">
      <protection locked="0"/>
    </xf>
    <xf numFmtId="0" fontId="4" fillId="0" borderId="0" xfId="0" applyFont="1" applyProtection="1">
      <protection locked="0"/>
    </xf>
    <xf numFmtId="0" fontId="0" fillId="25" borderId="0" xfId="0" applyFill="1" applyProtection="1">
      <protection locked="0"/>
    </xf>
    <xf numFmtId="9" fontId="0" fillId="0" borderId="0" xfId="0" applyNumberFormat="1" applyProtection="1">
      <protection locked="0"/>
    </xf>
    <xf numFmtId="0" fontId="15" fillId="0" borderId="0" xfId="0" applyFont="1" applyProtection="1">
      <protection locked="0"/>
    </xf>
    <xf numFmtId="10" fontId="0" fillId="0" borderId="0" xfId="0" applyNumberFormat="1" applyProtection="1">
      <protection locked="0"/>
    </xf>
    <xf numFmtId="167" fontId="0" fillId="0" borderId="0" xfId="0" applyNumberFormat="1" applyAlignment="1" applyProtection="1">
      <alignment horizontal="left"/>
      <protection locked="0"/>
    </xf>
    <xf numFmtId="167" fontId="0" fillId="0" borderId="0" xfId="0" applyNumberFormat="1" applyProtection="1">
      <protection locked="0"/>
    </xf>
    <xf numFmtId="0" fontId="0" fillId="0" borderId="0" xfId="0" applyAlignment="1" applyProtection="1">
      <alignment vertical="center"/>
      <protection locked="0"/>
    </xf>
    <xf numFmtId="168" fontId="0" fillId="8" borderId="19" xfId="0" applyNumberFormat="1" applyFill="1" applyBorder="1" applyAlignment="1" applyProtection="1">
      <alignment horizontal="center"/>
      <protection locked="0"/>
    </xf>
    <xf numFmtId="2" fontId="0" fillId="32" borderId="0" xfId="0" applyNumberFormat="1" applyFill="1" applyProtection="1">
      <protection locked="0"/>
    </xf>
    <xf numFmtId="0" fontId="0" fillId="25" borderId="0" xfId="0" applyFill="1" applyAlignment="1" applyProtection="1">
      <alignment horizontal="right"/>
      <protection locked="0"/>
    </xf>
    <xf numFmtId="168" fontId="0" fillId="25" borderId="0" xfId="0" applyNumberFormat="1" applyFill="1" applyAlignment="1" applyProtection="1">
      <alignment horizontal="right"/>
      <protection locked="0"/>
    </xf>
    <xf numFmtId="168" fontId="0" fillId="25" borderId="19" xfId="0" applyNumberFormat="1" applyFill="1" applyBorder="1" applyAlignment="1" applyProtection="1">
      <alignment horizontal="center"/>
      <protection locked="0"/>
    </xf>
    <xf numFmtId="2" fontId="0" fillId="25" borderId="0" xfId="0" applyNumberFormat="1" applyFill="1" applyProtection="1">
      <protection locked="0"/>
    </xf>
    <xf numFmtId="0" fontId="9" fillId="0" borderId="0" xfId="0" applyFont="1" applyProtection="1">
      <protection locked="0"/>
    </xf>
    <xf numFmtId="170" fontId="9" fillId="0" borderId="0" xfId="0" applyNumberFormat="1" applyFont="1" applyProtection="1">
      <protection locked="0"/>
    </xf>
    <xf numFmtId="8" fontId="9" fillId="0" borderId="0" xfId="0" applyNumberFormat="1" applyFont="1" applyProtection="1">
      <protection locked="0"/>
    </xf>
    <xf numFmtId="0" fontId="0" fillId="35" borderId="0" xfId="0" applyFill="1" applyProtection="1">
      <protection locked="0"/>
    </xf>
    <xf numFmtId="0" fontId="0" fillId="36" borderId="0" xfId="0" applyFill="1" applyProtection="1">
      <protection locked="0"/>
    </xf>
    <xf numFmtId="169" fontId="0" fillId="36" borderId="0" xfId="0" applyNumberFormat="1" applyFill="1" applyAlignment="1" applyProtection="1">
      <alignment horizontal="right"/>
      <protection locked="0"/>
    </xf>
    <xf numFmtId="169" fontId="0" fillId="0" borderId="0" xfId="0" applyNumberFormat="1" applyAlignment="1" applyProtection="1">
      <alignment horizontal="left"/>
      <protection locked="0"/>
    </xf>
    <xf numFmtId="169" fontId="0" fillId="26" borderId="0" xfId="0" applyNumberFormat="1" applyFill="1" applyAlignment="1" applyProtection="1">
      <alignment horizontal="right"/>
      <protection locked="0"/>
    </xf>
    <xf numFmtId="2" fontId="0" fillId="26" borderId="0" xfId="0" applyNumberFormat="1" applyFill="1" applyAlignment="1" applyProtection="1">
      <alignment horizontal="right"/>
      <protection locked="0"/>
    </xf>
    <xf numFmtId="10" fontId="0" fillId="37" borderId="0" xfId="0" applyNumberFormat="1" applyFill="1" applyProtection="1">
      <protection locked="0"/>
    </xf>
    <xf numFmtId="172" fontId="0" fillId="37" borderId="0" xfId="0" applyNumberFormat="1" applyFill="1" applyProtection="1">
      <protection locked="0"/>
    </xf>
    <xf numFmtId="172" fontId="27" fillId="26" borderId="0" xfId="0" applyNumberFormat="1" applyFont="1" applyFill="1" applyProtection="1">
      <protection locked="0"/>
    </xf>
    <xf numFmtId="2" fontId="0" fillId="36" borderId="0" xfId="0" applyNumberFormat="1" applyFill="1" applyProtection="1">
      <protection locked="0"/>
    </xf>
    <xf numFmtId="0" fontId="0" fillId="37" borderId="0" xfId="0" applyFill="1" applyProtection="1">
      <protection locked="0"/>
    </xf>
    <xf numFmtId="168" fontId="0" fillId="3" borderId="0" xfId="0" applyNumberFormat="1" applyFill="1" applyProtection="1">
      <protection locked="0"/>
    </xf>
    <xf numFmtId="10" fontId="0" fillId="3" borderId="0" xfId="0" applyNumberFormat="1" applyFill="1" applyAlignment="1" applyProtection="1">
      <alignment horizontal="right"/>
      <protection locked="0"/>
    </xf>
    <xf numFmtId="1" fontId="0" fillId="3" borderId="0" xfId="0" applyNumberFormat="1" applyFill="1" applyAlignment="1" applyProtection="1">
      <alignment vertical="center" wrapText="1"/>
      <protection locked="0"/>
    </xf>
    <xf numFmtId="0" fontId="0" fillId="13" borderId="0" xfId="0" applyFill="1" applyProtection="1">
      <protection locked="0"/>
    </xf>
    <xf numFmtId="169" fontId="0" fillId="35" borderId="0" xfId="0" applyNumberFormat="1" applyFill="1" applyAlignment="1" applyProtection="1">
      <alignment horizontal="right"/>
      <protection locked="0"/>
    </xf>
    <xf numFmtId="10" fontId="0" fillId="13" borderId="0" xfId="0" applyNumberFormat="1" applyFill="1" applyProtection="1">
      <protection locked="0"/>
    </xf>
    <xf numFmtId="172" fontId="0" fillId="13" borderId="0" xfId="0" applyNumberFormat="1" applyFill="1" applyProtection="1">
      <protection locked="0"/>
    </xf>
    <xf numFmtId="2" fontId="0" fillId="35" borderId="0" xfId="0" applyNumberFormat="1" applyFill="1" applyProtection="1">
      <protection locked="0"/>
    </xf>
    <xf numFmtId="169" fontId="0" fillId="13" borderId="0" xfId="0" applyNumberFormat="1" applyFill="1" applyAlignment="1" applyProtection="1">
      <alignment horizontal="right"/>
      <protection locked="0"/>
    </xf>
    <xf numFmtId="10" fontId="0" fillId="39" borderId="0" xfId="0" applyNumberFormat="1" applyFill="1" applyProtection="1">
      <protection locked="0"/>
    </xf>
    <xf numFmtId="2" fontId="0" fillId="13" borderId="0" xfId="0" applyNumberFormat="1" applyFill="1" applyProtection="1">
      <protection locked="0"/>
    </xf>
    <xf numFmtId="169" fontId="0" fillId="13" borderId="0" xfId="0" applyNumberFormat="1" applyFill="1" applyProtection="1">
      <protection locked="0"/>
    </xf>
    <xf numFmtId="172" fontId="0" fillId="39" borderId="0" xfId="0" applyNumberFormat="1" applyFill="1" applyProtection="1">
      <protection locked="0"/>
    </xf>
    <xf numFmtId="169" fontId="0" fillId="36" borderId="0" xfId="0" applyNumberFormat="1" applyFill="1" applyProtection="1">
      <protection locked="0"/>
    </xf>
    <xf numFmtId="172" fontId="0" fillId="36" borderId="0" xfId="0" applyNumberFormat="1" applyFill="1" applyProtection="1">
      <protection locked="0"/>
    </xf>
    <xf numFmtId="2" fontId="0" fillId="39" borderId="0" xfId="0" applyNumberFormat="1" applyFill="1" applyProtection="1">
      <protection locked="0"/>
    </xf>
    <xf numFmtId="169" fontId="0" fillId="35" borderId="0" xfId="0" applyNumberFormat="1" applyFill="1" applyProtection="1">
      <protection locked="0"/>
    </xf>
    <xf numFmtId="169" fontId="0" fillId="30" borderId="0" xfId="0" applyNumberFormat="1" applyFill="1" applyProtection="1">
      <protection locked="0"/>
    </xf>
    <xf numFmtId="0" fontId="15" fillId="36" borderId="0" xfId="0" applyFont="1" applyFill="1" applyProtection="1">
      <protection locked="0"/>
    </xf>
    <xf numFmtId="10" fontId="0" fillId="35" borderId="0" xfId="0" applyNumberFormat="1" applyFill="1" applyProtection="1">
      <protection locked="0"/>
    </xf>
    <xf numFmtId="172" fontId="0" fillId="35" borderId="0" xfId="0" applyNumberFormat="1" applyFill="1" applyProtection="1">
      <protection locked="0"/>
    </xf>
    <xf numFmtId="10" fontId="0" fillId="30" borderId="0" xfId="0" applyNumberFormat="1" applyFill="1" applyProtection="1">
      <protection locked="0"/>
    </xf>
    <xf numFmtId="172" fontId="0" fillId="30" borderId="0" xfId="0" applyNumberFormat="1" applyFill="1" applyProtection="1">
      <protection locked="0"/>
    </xf>
    <xf numFmtId="0" fontId="15" fillId="35" borderId="0" xfId="0" applyFont="1" applyFill="1" applyProtection="1">
      <protection locked="0"/>
    </xf>
    <xf numFmtId="169" fontId="0" fillId="37" borderId="0" xfId="0" applyNumberFormat="1" applyFill="1" applyProtection="1">
      <protection locked="0"/>
    </xf>
    <xf numFmtId="0" fontId="0" fillId="35" borderId="0" xfId="0" applyFill="1" applyAlignment="1" applyProtection="1">
      <alignment wrapText="1"/>
      <protection locked="0"/>
    </xf>
    <xf numFmtId="10" fontId="15" fillId="13" borderId="0" xfId="0" applyNumberFormat="1" applyFont="1" applyFill="1" applyProtection="1">
      <protection locked="0"/>
    </xf>
    <xf numFmtId="0" fontId="3" fillId="35" borderId="0" xfId="0" applyFont="1" applyFill="1" applyProtection="1">
      <protection locked="0"/>
    </xf>
    <xf numFmtId="0" fontId="15" fillId="13" borderId="0" xfId="0" applyFont="1" applyFill="1" applyProtection="1">
      <protection locked="0"/>
    </xf>
    <xf numFmtId="10" fontId="0" fillId="36" borderId="0" xfId="0" applyNumberFormat="1" applyFill="1" applyProtection="1">
      <protection locked="0"/>
    </xf>
    <xf numFmtId="0" fontId="15" fillId="37" borderId="0" xfId="0" applyFont="1" applyFill="1" applyProtection="1">
      <protection locked="0"/>
    </xf>
    <xf numFmtId="0" fontId="3" fillId="36" borderId="0" xfId="0" applyFont="1" applyFill="1" applyProtection="1">
      <protection locked="0"/>
    </xf>
    <xf numFmtId="0" fontId="0" fillId="38" borderId="0" xfId="0" applyFill="1" applyProtection="1">
      <protection locked="0"/>
    </xf>
    <xf numFmtId="0" fontId="15" fillId="38" borderId="0" xfId="0" applyFont="1" applyFill="1" applyProtection="1">
      <protection locked="0"/>
    </xf>
    <xf numFmtId="169" fontId="0" fillId="38" borderId="0" xfId="0" applyNumberFormat="1" applyFill="1" applyProtection="1">
      <protection locked="0"/>
    </xf>
    <xf numFmtId="10" fontId="0" fillId="38" borderId="0" xfId="0" applyNumberFormat="1" applyFill="1" applyProtection="1">
      <protection locked="0"/>
    </xf>
    <xf numFmtId="172" fontId="0" fillId="38" borderId="0" xfId="0" applyNumberFormat="1" applyFill="1" applyProtection="1">
      <protection locked="0"/>
    </xf>
    <xf numFmtId="2" fontId="0" fillId="38" borderId="0" xfId="0" applyNumberFormat="1" applyFill="1" applyProtection="1">
      <protection locked="0"/>
    </xf>
    <xf numFmtId="2" fontId="0" fillId="37" borderId="0" xfId="0" applyNumberFormat="1" applyFill="1" applyProtection="1">
      <protection locked="0"/>
    </xf>
    <xf numFmtId="10" fontId="15" fillId="39" borderId="0" xfId="0" applyNumberFormat="1" applyFont="1" applyFill="1" applyProtection="1">
      <protection locked="0"/>
    </xf>
    <xf numFmtId="172" fontId="15" fillId="39" borderId="0" xfId="0" applyNumberFormat="1" applyFont="1" applyFill="1" applyProtection="1">
      <protection locked="0"/>
    </xf>
    <xf numFmtId="2" fontId="15" fillId="39" borderId="0" xfId="0" applyNumberFormat="1" applyFont="1" applyFill="1" applyProtection="1">
      <protection locked="0"/>
    </xf>
    <xf numFmtId="0" fontId="0" fillId="31" borderId="0" xfId="0" applyFill="1" applyProtection="1">
      <protection locked="0"/>
    </xf>
    <xf numFmtId="0" fontId="8" fillId="0" borderId="0" xfId="0" applyFont="1" applyProtection="1">
      <protection locked="0"/>
    </xf>
    <xf numFmtId="15" fontId="0" fillId="0" borderId="0" xfId="0" applyNumberFormat="1" applyProtection="1">
      <protection locked="0"/>
    </xf>
    <xf numFmtId="0" fontId="23" fillId="0" borderId="0" xfId="0" applyFont="1" applyProtection="1">
      <protection locked="0"/>
    </xf>
    <xf numFmtId="3" fontId="15" fillId="0" borderId="0" xfId="0" applyNumberFormat="1" applyFont="1" applyProtection="1">
      <protection locked="0"/>
    </xf>
    <xf numFmtId="167" fontId="15" fillId="0" borderId="0" xfId="0" applyNumberFormat="1" applyFont="1" applyProtection="1">
      <protection locked="0"/>
    </xf>
    <xf numFmtId="164" fontId="0" fillId="0" borderId="0" xfId="0" applyNumberFormat="1" applyProtection="1">
      <protection locked="0"/>
    </xf>
    <xf numFmtId="0" fontId="0" fillId="0" borderId="22" xfId="0" applyBorder="1" applyProtection="1">
      <protection locked="0"/>
    </xf>
    <xf numFmtId="0" fontId="0" fillId="0" borderId="23" xfId="0" applyBorder="1" applyProtection="1">
      <protection locked="0"/>
    </xf>
    <xf numFmtId="0" fontId="15" fillId="0" borderId="23" xfId="0" applyFont="1" applyBorder="1" applyProtection="1">
      <protection locked="0"/>
    </xf>
    <xf numFmtId="2" fontId="0" fillId="0" borderId="23" xfId="0" applyNumberFormat="1" applyBorder="1" applyProtection="1">
      <protection locked="0"/>
    </xf>
    <xf numFmtId="167" fontId="0" fillId="0" borderId="23" xfId="0" applyNumberFormat="1" applyBorder="1" applyAlignment="1" applyProtection="1">
      <alignment horizontal="left"/>
      <protection locked="0"/>
    </xf>
    <xf numFmtId="167" fontId="0" fillId="0" borderId="23" xfId="0" applyNumberFormat="1" applyBorder="1" applyProtection="1">
      <protection locked="0"/>
    </xf>
    <xf numFmtId="10" fontId="0" fillId="0" borderId="23" xfId="0" applyNumberFormat="1" applyBorder="1" applyProtection="1">
      <protection locked="0"/>
    </xf>
    <xf numFmtId="0" fontId="35" fillId="0" borderId="0" xfId="0" applyFont="1" applyAlignment="1">
      <alignment horizontal="left" vertical="center"/>
    </xf>
    <xf numFmtId="0" fontId="0" fillId="4" borderId="0" xfId="0" applyFill="1" applyAlignment="1">
      <alignment horizontal="center" vertical="center"/>
    </xf>
    <xf numFmtId="168" fontId="0" fillId="16" borderId="0" xfId="0" applyNumberFormat="1" applyFill="1" applyAlignment="1">
      <alignment horizontal="center" vertical="center"/>
    </xf>
    <xf numFmtId="0" fontId="0" fillId="0" borderId="6" xfId="0" applyBorder="1"/>
    <xf numFmtId="0" fontId="0" fillId="0" borderId="4" xfId="0" applyBorder="1"/>
    <xf numFmtId="0" fontId="4" fillId="4" borderId="0" xfId="0" applyFont="1" applyFill="1" applyAlignment="1">
      <alignment horizontal="right"/>
    </xf>
    <xf numFmtId="0" fontId="0" fillId="25" borderId="7" xfId="0" applyFill="1" applyBorder="1"/>
    <xf numFmtId="0" fontId="0" fillId="25" borderId="0" xfId="0" applyFill="1" applyAlignment="1">
      <alignment horizontal="center"/>
    </xf>
    <xf numFmtId="2" fontId="0" fillId="25" borderId="0" xfId="0" applyNumberFormat="1" applyFill="1" applyAlignment="1">
      <alignment horizontal="center"/>
    </xf>
    <xf numFmtId="2" fontId="0" fillId="29" borderId="0" xfId="0" applyNumberFormat="1" applyFill="1" applyAlignment="1">
      <alignment horizontal="center"/>
    </xf>
    <xf numFmtId="9" fontId="0" fillId="25" borderId="5" xfId="2" applyFont="1" applyFill="1" applyBorder="1" applyAlignment="1">
      <alignment horizontal="center"/>
    </xf>
    <xf numFmtId="0" fontId="0" fillId="25" borderId="5" xfId="0" applyFill="1" applyBorder="1" applyAlignment="1">
      <alignment horizontal="center"/>
    </xf>
    <xf numFmtId="0" fontId="0" fillId="0" borderId="4" xfId="0" applyBorder="1" applyAlignment="1">
      <alignment horizontal="center"/>
    </xf>
    <xf numFmtId="171" fontId="0" fillId="29" borderId="9" xfId="0" applyNumberFormat="1" applyFill="1" applyBorder="1" applyAlignment="1">
      <alignment horizontal="center"/>
    </xf>
    <xf numFmtId="171" fontId="0" fillId="29" borderId="9" xfId="0" applyNumberFormat="1" applyFill="1" applyBorder="1" applyAlignment="1">
      <alignment horizontal="center" vertical="center"/>
    </xf>
    <xf numFmtId="10" fontId="0" fillId="0" borderId="0" xfId="2" applyNumberFormat="1" applyFont="1" applyFill="1" applyBorder="1" applyAlignment="1" applyProtection="1">
      <alignment wrapText="1"/>
      <protection locked="0"/>
    </xf>
    <xf numFmtId="168" fontId="0" fillId="0" borderId="0" xfId="0" applyNumberFormat="1" applyProtection="1">
      <protection locked="0"/>
    </xf>
    <xf numFmtId="10" fontId="18" fillId="0" borderId="0" xfId="0" applyNumberFormat="1" applyFont="1" applyAlignment="1" applyProtection="1">
      <alignment wrapText="1"/>
      <protection locked="0"/>
    </xf>
    <xf numFmtId="0" fontId="0" fillId="0" borderId="0" xfId="0" applyAlignment="1" applyProtection="1">
      <alignment wrapText="1"/>
      <protection locked="0"/>
    </xf>
    <xf numFmtId="168" fontId="0" fillId="0" borderId="0" xfId="0" applyNumberFormat="1" applyAlignment="1" applyProtection="1">
      <alignment wrapText="1"/>
      <protection locked="0"/>
    </xf>
    <xf numFmtId="0" fontId="4" fillId="2" borderId="0" xfId="0" applyFont="1" applyFill="1" applyAlignment="1" applyProtection="1">
      <alignment horizontal="center" vertical="center"/>
      <protection locked="0"/>
    </xf>
    <xf numFmtId="10" fontId="0" fillId="0" borderId="0" xfId="2" applyNumberFormat="1" applyFont="1" applyFill="1" applyBorder="1" applyProtection="1">
      <protection locked="0"/>
    </xf>
    <xf numFmtId="0" fontId="0" fillId="17" borderId="22" xfId="0" applyFill="1" applyBorder="1" applyAlignment="1" applyProtection="1">
      <alignment horizontal="right"/>
      <protection locked="0"/>
    </xf>
    <xf numFmtId="0" fontId="0" fillId="17" borderId="14" xfId="0" applyFill="1" applyBorder="1" applyAlignment="1" applyProtection="1">
      <alignment horizontal="right"/>
      <protection locked="0"/>
    </xf>
    <xf numFmtId="0" fontId="4" fillId="2" borderId="15" xfId="0" applyFont="1" applyFill="1" applyBorder="1" applyAlignment="1" applyProtection="1">
      <alignment horizontal="center" vertical="center"/>
      <protection locked="0"/>
    </xf>
    <xf numFmtId="0" fontId="4" fillId="17" borderId="14" xfId="0" applyFont="1" applyFill="1" applyBorder="1" applyAlignment="1" applyProtection="1">
      <alignment horizontal="right"/>
      <protection locked="0"/>
    </xf>
    <xf numFmtId="0" fontId="0" fillId="17" borderId="16" xfId="0" applyFill="1" applyBorder="1" applyAlignment="1" applyProtection="1">
      <alignment horizontal="right"/>
      <protection locked="0"/>
    </xf>
    <xf numFmtId="0" fontId="0" fillId="41" borderId="22" xfId="0" applyFill="1" applyBorder="1" applyProtection="1">
      <protection locked="0"/>
    </xf>
    <xf numFmtId="0" fontId="0" fillId="41" borderId="14" xfId="0" applyFill="1" applyBorder="1" applyProtection="1">
      <protection locked="0"/>
    </xf>
    <xf numFmtId="0" fontId="4" fillId="2" borderId="14" xfId="0" applyFont="1" applyFill="1" applyBorder="1" applyAlignment="1" applyProtection="1">
      <alignment horizontal="center" vertical="center"/>
      <protection locked="0"/>
    </xf>
    <xf numFmtId="168" fontId="0" fillId="2" borderId="14" xfId="0" applyNumberFormat="1" applyFill="1" applyBorder="1" applyAlignment="1" applyProtection="1">
      <alignment horizontal="center" vertical="center"/>
      <protection locked="0"/>
    </xf>
    <xf numFmtId="10" fontId="18" fillId="20" borderId="0" xfId="0" applyNumberFormat="1" applyFont="1" applyFill="1" applyAlignment="1" applyProtection="1">
      <alignment horizontal="center" vertical="center"/>
      <protection locked="0"/>
    </xf>
    <xf numFmtId="2" fontId="18" fillId="20" borderId="0" xfId="0" applyNumberFormat="1" applyFont="1" applyFill="1" applyAlignment="1" applyProtection="1">
      <alignment horizontal="center" vertical="center"/>
      <protection locked="0"/>
    </xf>
    <xf numFmtId="2" fontId="0" fillId="2" borderId="0" xfId="0" applyNumberFormat="1" applyFill="1" applyAlignment="1" applyProtection="1">
      <alignment horizontal="center" vertical="center"/>
      <protection locked="0"/>
    </xf>
    <xf numFmtId="168" fontId="0" fillId="2" borderId="0" xfId="0" applyNumberFormat="1" applyFill="1" applyAlignment="1" applyProtection="1">
      <alignment horizontal="center" vertical="center"/>
      <protection locked="0"/>
    </xf>
    <xf numFmtId="168" fontId="0" fillId="2" borderId="16" xfId="0" applyNumberFormat="1" applyFill="1" applyBorder="1" applyAlignment="1" applyProtection="1">
      <alignment horizontal="center" vertical="center"/>
      <protection locked="0"/>
    </xf>
    <xf numFmtId="10" fontId="18" fillId="20" borderId="8" xfId="0" applyNumberFormat="1" applyFont="1" applyFill="1" applyBorder="1" applyAlignment="1" applyProtection="1">
      <alignment horizontal="center" vertical="center"/>
      <protection locked="0"/>
    </xf>
    <xf numFmtId="2" fontId="0" fillId="2" borderId="8" xfId="0" applyNumberFormat="1" applyFill="1" applyBorder="1" applyAlignment="1" applyProtection="1">
      <alignment horizontal="center" vertical="center"/>
      <protection locked="0"/>
    </xf>
    <xf numFmtId="168" fontId="0" fillId="2" borderId="8" xfId="0" applyNumberFormat="1" applyFill="1" applyBorder="1" applyAlignment="1" applyProtection="1">
      <alignment horizontal="center" vertical="center"/>
      <protection locked="0"/>
    </xf>
    <xf numFmtId="10" fontId="18" fillId="20" borderId="0" xfId="0" applyNumberFormat="1" applyFont="1" applyFill="1" applyAlignment="1" applyProtection="1">
      <alignment horizontal="center" vertical="center" wrapText="1"/>
      <protection locked="0"/>
    </xf>
    <xf numFmtId="2" fontId="18" fillId="20" borderId="0" xfId="0" applyNumberFormat="1" applyFont="1" applyFill="1" applyAlignment="1" applyProtection="1">
      <alignment horizontal="center" vertical="center" wrapText="1"/>
      <protection locked="0"/>
    </xf>
    <xf numFmtId="2" fontId="0" fillId="2" borderId="0" xfId="0" applyNumberFormat="1" applyFill="1" applyAlignment="1" applyProtection="1">
      <alignment horizontal="center" vertical="center" wrapText="1"/>
      <protection locked="0"/>
    </xf>
    <xf numFmtId="168" fontId="0" fillId="2" borderId="0" xfId="0" applyNumberFormat="1" applyFill="1" applyAlignment="1" applyProtection="1">
      <alignment horizontal="center" vertical="center" wrapText="1"/>
      <protection locked="0"/>
    </xf>
    <xf numFmtId="10" fontId="0" fillId="2" borderId="0" xfId="2" applyNumberFormat="1" applyFont="1" applyFill="1" applyBorder="1" applyAlignment="1" applyProtection="1">
      <alignment horizontal="center" vertical="center" wrapText="1"/>
      <protection locked="0"/>
    </xf>
    <xf numFmtId="10" fontId="18" fillId="20" borderId="8" xfId="0" applyNumberFormat="1" applyFont="1" applyFill="1" applyBorder="1" applyAlignment="1" applyProtection="1">
      <alignment horizontal="center" vertical="center" wrapText="1"/>
      <protection locked="0"/>
    </xf>
    <xf numFmtId="2" fontId="0" fillId="2" borderId="8" xfId="0" applyNumberFormat="1" applyFill="1" applyBorder="1" applyAlignment="1" applyProtection="1">
      <alignment horizontal="center" vertical="center" wrapText="1"/>
      <protection locked="0"/>
    </xf>
    <xf numFmtId="168" fontId="0" fillId="2" borderId="8" xfId="0" applyNumberFormat="1" applyFill="1" applyBorder="1" applyAlignment="1" applyProtection="1">
      <alignment horizontal="center" vertical="center" wrapText="1"/>
      <protection locked="0"/>
    </xf>
    <xf numFmtId="10" fontId="0" fillId="2" borderId="8" xfId="2" applyNumberFormat="1" applyFont="1" applyFill="1" applyBorder="1" applyAlignment="1" applyProtection="1">
      <alignment horizontal="center" vertical="center" wrapText="1"/>
      <protection locked="0"/>
    </xf>
    <xf numFmtId="10" fontId="0" fillId="2" borderId="0" xfId="0" applyNumberFormat="1" applyFill="1" applyAlignment="1" applyProtection="1">
      <alignment horizontal="center" vertical="center"/>
      <protection locked="0"/>
    </xf>
    <xf numFmtId="10" fontId="0" fillId="2" borderId="15" xfId="0" applyNumberFormat="1" applyFill="1" applyBorder="1" applyAlignment="1" applyProtection="1">
      <alignment horizontal="center" vertical="center"/>
      <protection locked="0"/>
    </xf>
    <xf numFmtId="10" fontId="0" fillId="21" borderId="15" xfId="0" applyNumberFormat="1" applyFill="1" applyBorder="1" applyAlignment="1" applyProtection="1">
      <alignment horizontal="center" vertical="center"/>
      <protection locked="0"/>
    </xf>
    <xf numFmtId="0" fontId="4" fillId="21" borderId="22" xfId="0" applyFont="1" applyFill="1" applyBorder="1" applyAlignment="1" applyProtection="1">
      <alignment vertical="center"/>
      <protection locked="0"/>
    </xf>
    <xf numFmtId="0" fontId="4" fillId="21" borderId="14" xfId="0" applyFont="1" applyFill="1" applyBorder="1" applyAlignment="1" applyProtection="1">
      <alignment vertical="center"/>
      <protection locked="0"/>
    </xf>
    <xf numFmtId="10" fontId="0" fillId="21" borderId="24" xfId="0" applyNumberFormat="1" applyFill="1" applyBorder="1" applyAlignment="1" applyProtection="1">
      <alignment horizontal="center" vertical="center"/>
      <protection locked="0"/>
    </xf>
    <xf numFmtId="10" fontId="0" fillId="21" borderId="15" xfId="2" applyNumberFormat="1" applyFont="1" applyFill="1" applyBorder="1" applyAlignment="1" applyProtection="1">
      <alignment horizontal="center" vertical="center"/>
      <protection locked="0"/>
    </xf>
    <xf numFmtId="167" fontId="0" fillId="21" borderId="17" xfId="0" applyNumberFormat="1" applyFill="1" applyBorder="1" applyAlignment="1" applyProtection="1">
      <alignment horizontal="center" vertical="center"/>
      <protection locked="0"/>
    </xf>
    <xf numFmtId="168" fontId="4" fillId="11" borderId="14" xfId="0" applyNumberFormat="1" applyFont="1" applyFill="1" applyBorder="1" applyAlignment="1" applyProtection="1">
      <alignment horizontal="center" vertical="center"/>
      <protection locked="0"/>
    </xf>
    <xf numFmtId="10" fontId="4" fillId="11" borderId="0" xfId="0" applyNumberFormat="1" applyFont="1" applyFill="1" applyAlignment="1" applyProtection="1">
      <alignment horizontal="center" vertical="center"/>
      <protection locked="0"/>
    </xf>
    <xf numFmtId="2" fontId="4" fillId="11" borderId="0" xfId="0" applyNumberFormat="1" applyFont="1" applyFill="1" applyAlignment="1" applyProtection="1">
      <alignment horizontal="center" vertical="center"/>
      <protection locked="0"/>
    </xf>
    <xf numFmtId="168" fontId="4" fillId="11" borderId="0" xfId="0" applyNumberFormat="1" applyFont="1" applyFill="1" applyAlignment="1" applyProtection="1">
      <alignment horizontal="center" vertical="center"/>
      <protection locked="0"/>
    </xf>
    <xf numFmtId="1" fontId="13" fillId="11" borderId="8" xfId="1" applyNumberFormat="1" applyFont="1" applyFill="1" applyBorder="1" applyAlignment="1" applyProtection="1">
      <alignment horizontal="center"/>
      <protection locked="0"/>
    </xf>
    <xf numFmtId="1" fontId="13" fillId="11" borderId="20" xfId="1" applyNumberFormat="1" applyFont="1" applyFill="1" applyBorder="1" applyAlignment="1" applyProtection="1">
      <alignment horizontal="center" vertical="center"/>
      <protection locked="0"/>
    </xf>
    <xf numFmtId="1" fontId="13" fillId="11" borderId="8" xfId="1" applyNumberFormat="1" applyFont="1" applyFill="1" applyBorder="1" applyProtection="1">
      <protection locked="0"/>
    </xf>
    <xf numFmtId="0" fontId="13" fillId="2" borderId="0" xfId="0" applyFont="1" applyFill="1" applyAlignment="1" applyProtection="1">
      <alignment horizontal="right"/>
      <protection locked="0"/>
    </xf>
    <xf numFmtId="168" fontId="13" fillId="2" borderId="0" xfId="0" applyNumberFormat="1" applyFont="1" applyFill="1" applyAlignment="1" applyProtection="1">
      <alignment horizontal="right"/>
      <protection locked="0"/>
    </xf>
    <xf numFmtId="168" fontId="13" fillId="2" borderId="18" xfId="0" applyNumberFormat="1" applyFont="1" applyFill="1" applyBorder="1" applyAlignment="1" applyProtection="1">
      <alignment horizontal="center"/>
      <protection locked="0"/>
    </xf>
    <xf numFmtId="2" fontId="13" fillId="2" borderId="0" xfId="0" applyNumberFormat="1" applyFont="1" applyFill="1"/>
    <xf numFmtId="0" fontId="4" fillId="21" borderId="0" xfId="0" applyFont="1" applyFill="1" applyAlignment="1" applyProtection="1">
      <alignment vertical="center"/>
      <protection locked="0"/>
    </xf>
    <xf numFmtId="167" fontId="4" fillId="21" borderId="16" xfId="0" applyNumberFormat="1" applyFont="1" applyFill="1" applyBorder="1" applyAlignment="1" applyProtection="1">
      <alignment horizontal="left" vertical="center"/>
      <protection locked="0"/>
    </xf>
    <xf numFmtId="0" fontId="4" fillId="0" borderId="5" xfId="0" applyFont="1" applyBorder="1" applyAlignment="1">
      <alignment horizontal="center"/>
    </xf>
    <xf numFmtId="0" fontId="36" fillId="3" borderId="4" xfId="0" applyFont="1" applyFill="1" applyBorder="1" applyAlignment="1" applyProtection="1">
      <alignment horizontal="left" vertical="center"/>
      <protection locked="0"/>
    </xf>
    <xf numFmtId="10" fontId="0" fillId="42" borderId="0" xfId="0" applyNumberFormat="1" applyFill="1" applyAlignment="1" applyProtection="1">
      <alignment horizontal="center" vertical="center"/>
      <protection locked="0"/>
    </xf>
    <xf numFmtId="10" fontId="0" fillId="42" borderId="15" xfId="0" applyNumberFormat="1" applyFill="1" applyBorder="1" applyAlignment="1" applyProtection="1">
      <alignment horizontal="center" vertical="center"/>
      <protection locked="0"/>
    </xf>
    <xf numFmtId="174" fontId="12" fillId="22" borderId="0" xfId="0" applyNumberFormat="1" applyFont="1" applyFill="1"/>
    <xf numFmtId="0" fontId="13" fillId="22" borderId="0" xfId="0" applyFont="1" applyFill="1"/>
    <xf numFmtId="2" fontId="10" fillId="22" borderId="0" xfId="0" applyNumberFormat="1" applyFont="1" applyFill="1"/>
    <xf numFmtId="9" fontId="10" fillId="22" borderId="0" xfId="2" applyFont="1" applyFill="1"/>
    <xf numFmtId="9" fontId="10" fillId="22" borderId="0" xfId="2" applyFont="1" applyFill="1" applyAlignment="1">
      <alignment wrapText="1"/>
    </xf>
    <xf numFmtId="0" fontId="10" fillId="0" borderId="0" xfId="0" applyFont="1" applyAlignment="1">
      <alignment horizontal="left"/>
    </xf>
    <xf numFmtId="0" fontId="13" fillId="3" borderId="0" xfId="0" applyFont="1" applyFill="1" applyAlignment="1">
      <alignment horizontal="left"/>
    </xf>
    <xf numFmtId="9" fontId="10" fillId="22" borderId="0" xfId="2" applyFont="1" applyFill="1" applyAlignment="1">
      <alignment horizontal="right"/>
    </xf>
    <xf numFmtId="0" fontId="0" fillId="3" borderId="38" xfId="0" applyFill="1" applyBorder="1"/>
    <xf numFmtId="0" fontId="10" fillId="3" borderId="14" xfId="0" applyFont="1" applyFill="1" applyBorder="1" applyAlignment="1">
      <alignment horizontal="left"/>
    </xf>
    <xf numFmtId="0" fontId="0" fillId="0" borderId="15" xfId="0" applyBorder="1"/>
    <xf numFmtId="168" fontId="0" fillId="43" borderId="0" xfId="0" applyNumberFormat="1" applyFill="1"/>
    <xf numFmtId="168" fontId="10" fillId="43" borderId="0" xfId="0" applyNumberFormat="1" applyFont="1" applyFill="1"/>
    <xf numFmtId="168" fontId="12" fillId="18" borderId="0" xfId="0" applyNumberFormat="1" applyFont="1" applyFill="1"/>
    <xf numFmtId="0" fontId="4" fillId="43" borderId="0" xfId="0" applyFont="1" applyFill="1" applyAlignment="1">
      <alignment horizontal="left"/>
    </xf>
    <xf numFmtId="0" fontId="13" fillId="43" borderId="0" xfId="0" applyFont="1" applyFill="1" applyAlignment="1">
      <alignment horizontal="left"/>
    </xf>
    <xf numFmtId="0" fontId="4" fillId="26" borderId="0" xfId="0" applyFont="1" applyFill="1"/>
    <xf numFmtId="0" fontId="4" fillId="16" borderId="0" xfId="0" applyFont="1" applyFill="1" applyAlignment="1">
      <alignment horizontal="right"/>
    </xf>
    <xf numFmtId="0" fontId="26" fillId="3" borderId="11" xfId="0" applyFont="1" applyFill="1" applyBorder="1" applyAlignment="1">
      <alignment horizontal="center" vertical="center"/>
    </xf>
    <xf numFmtId="0" fontId="26" fillId="3" borderId="12" xfId="0" applyFont="1" applyFill="1" applyBorder="1" applyAlignment="1">
      <alignment horizontal="center" vertical="center"/>
    </xf>
    <xf numFmtId="0" fontId="26" fillId="3" borderId="10" xfId="0" applyFont="1" applyFill="1" applyBorder="1" applyAlignment="1">
      <alignment horizontal="center" vertical="center"/>
    </xf>
    <xf numFmtId="0" fontId="26" fillId="3" borderId="21" xfId="0" applyFont="1" applyFill="1" applyBorder="1" applyAlignment="1">
      <alignment horizontal="center" vertical="center" wrapText="1"/>
    </xf>
    <xf numFmtId="0" fontId="37" fillId="11" borderId="8" xfId="0" applyFont="1" applyFill="1" applyBorder="1" applyAlignment="1" applyProtection="1">
      <alignment horizontal="right"/>
      <protection locked="0"/>
    </xf>
    <xf numFmtId="0" fontId="19" fillId="3" borderId="8" xfId="0" applyFont="1" applyFill="1" applyBorder="1" applyProtection="1">
      <protection locked="0"/>
    </xf>
    <xf numFmtId="0" fontId="19" fillId="3" borderId="8" xfId="0" applyFont="1" applyFill="1" applyBorder="1" applyAlignment="1" applyProtection="1">
      <alignment horizontal="center" vertical="center"/>
      <protection locked="0"/>
    </xf>
    <xf numFmtId="0" fontId="19" fillId="0" borderId="0" xfId="0" applyFont="1" applyAlignment="1" applyProtection="1">
      <alignment horizontal="left"/>
      <protection locked="0"/>
    </xf>
    <xf numFmtId="0" fontId="19" fillId="0" borderId="0" xfId="0" applyFont="1" applyProtection="1">
      <protection locked="0"/>
    </xf>
    <xf numFmtId="0" fontId="29" fillId="0" borderId="0" xfId="0" applyFont="1" applyProtection="1">
      <protection locked="0"/>
    </xf>
    <xf numFmtId="168" fontId="4" fillId="26" borderId="0" xfId="0" applyNumberFormat="1" applyFont="1" applyFill="1" applyAlignment="1">
      <alignment vertical="center"/>
    </xf>
    <xf numFmtId="0" fontId="36" fillId="26" borderId="0" xfId="0" applyFont="1" applyFill="1" applyAlignment="1">
      <alignment horizontal="left" vertical="center"/>
    </xf>
    <xf numFmtId="0" fontId="38" fillId="2" borderId="0" xfId="0" applyFont="1" applyFill="1" applyAlignment="1">
      <alignment horizontal="left"/>
    </xf>
    <xf numFmtId="0" fontId="30" fillId="18" borderId="0" xfId="0" applyFont="1" applyFill="1" applyAlignment="1">
      <alignment horizontal="left"/>
    </xf>
    <xf numFmtId="0" fontId="39" fillId="4" borderId="0" xfId="0" applyFont="1" applyFill="1"/>
    <xf numFmtId="168" fontId="12" fillId="18" borderId="0" xfId="0" applyNumberFormat="1" applyFont="1" applyFill="1" applyAlignment="1">
      <alignment vertical="center"/>
    </xf>
    <xf numFmtId="0" fontId="4" fillId="44" borderId="0" xfId="0" applyFont="1" applyFill="1" applyAlignment="1">
      <alignment horizontal="left"/>
    </xf>
    <xf numFmtId="168" fontId="0" fillId="44" borderId="0" xfId="0" applyNumberFormat="1" applyFill="1"/>
    <xf numFmtId="0" fontId="13" fillId="44" borderId="0" xfId="0" applyFont="1" applyFill="1" applyAlignment="1">
      <alignment horizontal="left"/>
    </xf>
    <xf numFmtId="168" fontId="10" fillId="44" borderId="0" xfId="0" applyNumberFormat="1" applyFont="1" applyFill="1"/>
    <xf numFmtId="0" fontId="13" fillId="26" borderId="0" xfId="0" applyFont="1" applyFill="1" applyAlignment="1">
      <alignment horizontal="left"/>
    </xf>
    <xf numFmtId="168" fontId="10" fillId="26" borderId="0" xfId="0" applyNumberFormat="1" applyFont="1" applyFill="1"/>
    <xf numFmtId="0" fontId="5" fillId="0" borderId="0" xfId="0" applyFont="1" applyAlignment="1">
      <alignment horizontal="left"/>
    </xf>
    <xf numFmtId="0" fontId="3" fillId="22" borderId="0" xfId="0" applyFont="1" applyFill="1" applyAlignment="1">
      <alignment horizontal="left"/>
    </xf>
    <xf numFmtId="168" fontId="3" fillId="22" borderId="0" xfId="0" applyNumberFormat="1" applyFont="1" applyFill="1"/>
    <xf numFmtId="0" fontId="5" fillId="22" borderId="0" xfId="0" applyFont="1" applyFill="1" applyAlignment="1">
      <alignment horizontal="left"/>
    </xf>
    <xf numFmtId="168" fontId="0" fillId="26" borderId="0" xfId="0" applyNumberFormat="1" applyFill="1"/>
    <xf numFmtId="0" fontId="0" fillId="26" borderId="0" xfId="0" applyFill="1" applyAlignment="1">
      <alignment horizontal="left"/>
    </xf>
    <xf numFmtId="10" fontId="15" fillId="44" borderId="0" xfId="2" applyNumberFormat="1" applyFont="1" applyFill="1" applyBorder="1" applyAlignment="1">
      <alignment horizontal="center" vertical="center"/>
    </xf>
    <xf numFmtId="2" fontId="15" fillId="44" borderId="0" xfId="2" applyNumberFormat="1" applyFont="1" applyFill="1" applyBorder="1" applyAlignment="1">
      <alignment horizontal="center" vertical="center"/>
    </xf>
    <xf numFmtId="10" fontId="15" fillId="43" borderId="0" xfId="2" applyNumberFormat="1" applyFont="1" applyFill="1" applyBorder="1" applyAlignment="1">
      <alignment horizontal="center" vertical="center"/>
    </xf>
    <xf numFmtId="2" fontId="15" fillId="43" borderId="0" xfId="2" applyNumberFormat="1" applyFont="1" applyFill="1" applyBorder="1" applyAlignment="1">
      <alignment horizontal="center" vertical="center"/>
    </xf>
    <xf numFmtId="0" fontId="36" fillId="26" borderId="0" xfId="0" applyFont="1" applyFill="1"/>
    <xf numFmtId="165" fontId="0" fillId="26" borderId="0" xfId="0" applyNumberFormat="1" applyFill="1"/>
    <xf numFmtId="0" fontId="0" fillId="26" borderId="0" xfId="0" applyFill="1"/>
    <xf numFmtId="10" fontId="4" fillId="26" borderId="0" xfId="0" applyNumberFormat="1" applyFont="1" applyFill="1"/>
    <xf numFmtId="0" fontId="19" fillId="43" borderId="8" xfId="0" applyFont="1" applyFill="1" applyBorder="1" applyAlignment="1">
      <alignment horizontal="center"/>
    </xf>
    <xf numFmtId="0" fontId="19" fillId="45" borderId="8" xfId="0" applyFont="1" applyFill="1" applyBorder="1" applyAlignment="1">
      <alignment horizontal="center"/>
    </xf>
    <xf numFmtId="0" fontId="19" fillId="46" borderId="17" xfId="0" applyFont="1" applyFill="1" applyBorder="1" applyAlignment="1">
      <alignment horizontal="center"/>
    </xf>
    <xf numFmtId="10" fontId="15" fillId="44" borderId="23" xfId="2" applyNumberFormat="1" applyFont="1" applyFill="1" applyBorder="1" applyAlignment="1">
      <alignment horizontal="center" vertical="center"/>
    </xf>
    <xf numFmtId="10" fontId="15" fillId="43" borderId="23" xfId="2" applyNumberFormat="1" applyFont="1" applyFill="1" applyBorder="1" applyAlignment="1">
      <alignment horizontal="center" vertical="center"/>
    </xf>
    <xf numFmtId="10" fontId="15" fillId="26" borderId="24" xfId="2" applyNumberFormat="1" applyFont="1" applyFill="1" applyBorder="1" applyAlignment="1">
      <alignment horizontal="center" vertical="center"/>
    </xf>
    <xf numFmtId="10" fontId="15" fillId="26" borderId="15" xfId="2" applyNumberFormat="1" applyFont="1" applyFill="1" applyBorder="1" applyAlignment="1">
      <alignment horizontal="center" vertical="center"/>
    </xf>
    <xf numFmtId="2" fontId="15" fillId="26" borderId="15" xfId="2" applyNumberFormat="1" applyFont="1" applyFill="1" applyBorder="1" applyAlignment="1">
      <alignment horizontal="center" vertical="center"/>
    </xf>
    <xf numFmtId="10" fontId="15" fillId="44" borderId="8" xfId="2" applyNumberFormat="1" applyFont="1" applyFill="1" applyBorder="1" applyAlignment="1">
      <alignment horizontal="center" vertical="center"/>
    </xf>
    <xf numFmtId="10" fontId="15" fillId="43" borderId="8" xfId="2" applyNumberFormat="1" applyFont="1" applyFill="1" applyBorder="1" applyAlignment="1">
      <alignment horizontal="center" vertical="center"/>
    </xf>
    <xf numFmtId="10" fontId="15" fillId="26" borderId="17" xfId="2" applyNumberFormat="1" applyFont="1" applyFill="1" applyBorder="1" applyAlignment="1">
      <alignment horizontal="center" vertical="center"/>
    </xf>
    <xf numFmtId="0" fontId="0" fillId="0" borderId="24" xfId="0" applyBorder="1" applyAlignment="1">
      <alignment horizontal="left" vertical="center"/>
    </xf>
    <xf numFmtId="0" fontId="0" fillId="0" borderId="15" xfId="0" applyBorder="1" applyAlignment="1">
      <alignment horizontal="left" vertical="center"/>
    </xf>
    <xf numFmtId="0" fontId="0" fillId="0" borderId="17" xfId="0" applyBorder="1" applyAlignment="1">
      <alignment horizontal="left" vertical="center"/>
    </xf>
    <xf numFmtId="0" fontId="0" fillId="0" borderId="17" xfId="0" applyBorder="1"/>
    <xf numFmtId="0" fontId="4" fillId="0" borderId="22" xfId="0" applyFont="1" applyBorder="1"/>
    <xf numFmtId="0" fontId="4" fillId="0" borderId="14" xfId="0" applyFont="1" applyBorder="1" applyAlignment="1">
      <alignment horizontal="left" vertical="center"/>
    </xf>
    <xf numFmtId="0" fontId="4" fillId="0" borderId="16" xfId="0" applyFont="1" applyBorder="1" applyAlignment="1">
      <alignment horizontal="left" vertical="center"/>
    </xf>
    <xf numFmtId="0" fontId="4" fillId="0" borderId="14" xfId="0" applyFont="1" applyBorder="1"/>
    <xf numFmtId="0" fontId="13" fillId="3" borderId="14" xfId="0" applyFont="1" applyFill="1" applyBorder="1" applyAlignment="1">
      <alignment horizontal="left"/>
    </xf>
    <xf numFmtId="0" fontId="13" fillId="3" borderId="16" xfId="0" applyFont="1" applyFill="1" applyBorder="1" applyAlignment="1">
      <alignment horizontal="left"/>
    </xf>
    <xf numFmtId="0" fontId="0" fillId="0" borderId="24" xfId="0" applyBorder="1"/>
    <xf numFmtId="0" fontId="0" fillId="3" borderId="40" xfId="0" applyFill="1" applyBorder="1"/>
    <xf numFmtId="0" fontId="0" fillId="3" borderId="17" xfId="0" applyFill="1" applyBorder="1"/>
    <xf numFmtId="0" fontId="13" fillId="3" borderId="27" xfId="0" applyFont="1" applyFill="1" applyBorder="1" applyAlignment="1">
      <alignment horizontal="left"/>
    </xf>
    <xf numFmtId="0" fontId="10" fillId="3" borderId="28" xfId="0" applyFont="1" applyFill="1" applyBorder="1" applyAlignment="1">
      <alignment horizontal="left"/>
    </xf>
    <xf numFmtId="165" fontId="0" fillId="25" borderId="0" xfId="0" applyNumberFormat="1" applyFill="1"/>
    <xf numFmtId="174" fontId="3" fillId="2" borderId="0" xfId="0" applyNumberFormat="1" applyFont="1" applyFill="1"/>
    <xf numFmtId="168" fontId="7" fillId="4" borderId="0" xfId="1" applyNumberFormat="1" applyFont="1" applyFill="1"/>
    <xf numFmtId="0" fontId="3" fillId="0" borderId="0" xfId="0" applyFont="1" applyAlignment="1">
      <alignment horizontal="left"/>
    </xf>
    <xf numFmtId="168" fontId="3" fillId="0" borderId="0" xfId="0" applyNumberFormat="1" applyFont="1"/>
    <xf numFmtId="0" fontId="41" fillId="44" borderId="8" xfId="0" applyFont="1" applyFill="1" applyBorder="1" applyAlignment="1">
      <alignment horizontal="center"/>
    </xf>
    <xf numFmtId="0" fontId="42" fillId="24" borderId="22" xfId="0" applyFont="1" applyFill="1" applyBorder="1" applyAlignment="1">
      <alignment horizontal="right" vertical="center"/>
    </xf>
    <xf numFmtId="0" fontId="43" fillId="24" borderId="14" xfId="0" applyFont="1" applyFill="1" applyBorder="1" applyAlignment="1">
      <alignment horizontal="right" vertical="center"/>
    </xf>
    <xf numFmtId="0" fontId="43" fillId="24" borderId="15" xfId="0" applyFont="1" applyFill="1" applyBorder="1" applyAlignment="1">
      <alignment horizontal="center" vertical="center"/>
    </xf>
    <xf numFmtId="0" fontId="13" fillId="0" borderId="14" xfId="0" applyFont="1" applyBorder="1" applyAlignment="1">
      <alignment horizontal="left"/>
    </xf>
    <xf numFmtId="10" fontId="0" fillId="0" borderId="0" xfId="0" applyNumberFormat="1" applyAlignment="1">
      <alignment horizontal="center"/>
    </xf>
    <xf numFmtId="0" fontId="4" fillId="0" borderId="14" xfId="0" applyFont="1" applyBorder="1" applyAlignment="1">
      <alignment horizontal="left" vertical="top"/>
    </xf>
    <xf numFmtId="0" fontId="4" fillId="0" borderId="16" xfId="0" applyFont="1" applyBorder="1" applyAlignment="1">
      <alignment horizontal="left" vertical="top"/>
    </xf>
    <xf numFmtId="0" fontId="19" fillId="26" borderId="17" xfId="0" applyFont="1" applyFill="1" applyBorder="1" applyAlignment="1">
      <alignment horizontal="center"/>
    </xf>
    <xf numFmtId="0" fontId="4" fillId="0" borderId="0" xfId="0" applyFont="1" applyAlignment="1" applyProtection="1">
      <alignment horizontal="center" vertical="center"/>
      <protection locked="0"/>
    </xf>
    <xf numFmtId="0" fontId="4" fillId="0" borderId="15" xfId="0" applyFont="1" applyBorder="1" applyAlignment="1" applyProtection="1">
      <alignment horizontal="center" vertical="center"/>
      <protection locked="0"/>
    </xf>
    <xf numFmtId="10" fontId="4" fillId="0" borderId="0" xfId="0" applyNumberFormat="1" applyFont="1" applyAlignment="1" applyProtection="1">
      <alignment horizontal="center" vertical="center"/>
      <protection locked="0"/>
    </xf>
    <xf numFmtId="10" fontId="4" fillId="0" borderId="15" xfId="0" applyNumberFormat="1" applyFont="1" applyBorder="1" applyAlignment="1" applyProtection="1">
      <alignment horizontal="center" vertical="center"/>
      <protection locked="0"/>
    </xf>
    <xf numFmtId="10" fontId="0" fillId="0" borderId="0" xfId="2" applyNumberFormat="1" applyFont="1" applyFill="1" applyBorder="1" applyAlignment="1" applyProtection="1">
      <alignment horizontal="center" vertical="center"/>
      <protection locked="0"/>
    </xf>
    <xf numFmtId="10" fontId="0" fillId="0" borderId="15" xfId="2" applyNumberFormat="1" applyFont="1" applyFill="1" applyBorder="1" applyAlignment="1" applyProtection="1">
      <alignment horizontal="center" vertical="center"/>
      <protection locked="0"/>
    </xf>
    <xf numFmtId="10" fontId="0" fillId="0" borderId="8" xfId="2" applyNumberFormat="1" applyFont="1" applyFill="1" applyBorder="1" applyAlignment="1" applyProtection="1">
      <alignment horizontal="center" vertical="center"/>
      <protection locked="0"/>
    </xf>
    <xf numFmtId="10" fontId="0" fillId="0" borderId="17" xfId="2" applyNumberFormat="1" applyFont="1" applyFill="1" applyBorder="1" applyAlignment="1" applyProtection="1">
      <alignment horizontal="center" vertical="center"/>
      <protection locked="0"/>
    </xf>
    <xf numFmtId="10" fontId="0" fillId="0" borderId="0" xfId="2" applyNumberFormat="1" applyFont="1" applyFill="1" applyBorder="1" applyAlignment="1" applyProtection="1">
      <alignment horizontal="center" vertical="center" wrapText="1"/>
      <protection locked="0"/>
    </xf>
    <xf numFmtId="10" fontId="0" fillId="0" borderId="15" xfId="2" applyNumberFormat="1" applyFont="1" applyFill="1" applyBorder="1" applyAlignment="1" applyProtection="1">
      <alignment horizontal="center" vertical="center" wrapText="1"/>
      <protection locked="0"/>
    </xf>
    <xf numFmtId="0" fontId="4" fillId="49" borderId="0" xfId="0" applyFont="1" applyFill="1" applyAlignment="1">
      <alignment horizontal="right"/>
    </xf>
    <xf numFmtId="0" fontId="4" fillId="8" borderId="0" xfId="0" applyFont="1" applyFill="1" applyAlignment="1">
      <alignment horizontal="right"/>
    </xf>
    <xf numFmtId="167" fontId="4" fillId="0" borderId="0" xfId="0" applyNumberFormat="1" applyFont="1" applyAlignment="1">
      <alignment horizontal="right"/>
    </xf>
    <xf numFmtId="0" fontId="4" fillId="2" borderId="0" xfId="0" applyFont="1" applyFill="1" applyAlignment="1">
      <alignment horizontal="right"/>
    </xf>
    <xf numFmtId="0" fontId="11" fillId="18" borderId="0" xfId="0" applyFont="1" applyFill="1" applyAlignment="1">
      <alignment horizontal="right"/>
    </xf>
    <xf numFmtId="0" fontId="11" fillId="18" borderId="0" xfId="0" applyFont="1" applyFill="1" applyAlignment="1">
      <alignment horizontal="center"/>
    </xf>
    <xf numFmtId="0" fontId="19" fillId="49" borderId="0" xfId="0" applyFont="1" applyFill="1" applyAlignment="1">
      <alignment horizontal="left" vertical="center"/>
    </xf>
    <xf numFmtId="0" fontId="45" fillId="50" borderId="22" xfId="0" applyFont="1" applyFill="1" applyBorder="1" applyAlignment="1">
      <alignment horizontal="right"/>
    </xf>
    <xf numFmtId="0" fontId="45" fillId="50" borderId="16" xfId="0" applyFont="1" applyFill="1" applyBorder="1" applyAlignment="1">
      <alignment horizontal="right"/>
    </xf>
    <xf numFmtId="0" fontId="47" fillId="29" borderId="0" xfId="0" applyFont="1" applyFill="1" applyAlignment="1">
      <alignment horizontal="left" vertical="center"/>
    </xf>
    <xf numFmtId="0" fontId="47" fillId="0" borderId="0" xfId="0" applyFont="1" applyAlignment="1">
      <alignment horizontal="left" vertical="center"/>
    </xf>
    <xf numFmtId="0" fontId="4" fillId="0" borderId="0" xfId="0" quotePrefix="1" applyFont="1" applyAlignment="1">
      <alignment horizontal="right"/>
    </xf>
    <xf numFmtId="170" fontId="0" fillId="0" borderId="0" xfId="0" applyNumberFormat="1"/>
    <xf numFmtId="170" fontId="47" fillId="29" borderId="0" xfId="0" applyNumberFormat="1" applyFont="1" applyFill="1" applyAlignment="1">
      <alignment horizontal="left" vertical="center"/>
    </xf>
    <xf numFmtId="170" fontId="47" fillId="0" borderId="0" xfId="0" applyNumberFormat="1" applyFont="1" applyAlignment="1">
      <alignment horizontal="left" vertical="center"/>
    </xf>
    <xf numFmtId="170" fontId="0" fillId="8" borderId="0" xfId="0" applyNumberFormat="1" applyFill="1"/>
    <xf numFmtId="170" fontId="0" fillId="8" borderId="0" xfId="0" applyNumberFormat="1" applyFill="1" applyAlignment="1">
      <alignment horizontal="right"/>
    </xf>
    <xf numFmtId="170" fontId="0" fillId="0" borderId="0" xfId="0" applyNumberFormat="1" applyAlignment="1">
      <alignment horizontal="right"/>
    </xf>
    <xf numFmtId="1" fontId="7" fillId="0" borderId="0" xfId="0" applyNumberFormat="1" applyFont="1"/>
    <xf numFmtId="10" fontId="0" fillId="8" borderId="0" xfId="2" applyNumberFormat="1" applyFont="1" applyFill="1" applyAlignment="1">
      <alignment horizontal="right"/>
    </xf>
    <xf numFmtId="0" fontId="47" fillId="29" borderId="0" xfId="0" applyFont="1" applyFill="1" applyAlignment="1">
      <alignment horizontal="right" vertical="center"/>
    </xf>
    <xf numFmtId="168" fontId="6" fillId="47" borderId="0" xfId="0" applyNumberFormat="1" applyFont="1" applyFill="1"/>
    <xf numFmtId="0" fontId="21" fillId="0" borderId="0" xfId="0" applyFont="1" applyAlignment="1">
      <alignment horizontal="right"/>
    </xf>
    <xf numFmtId="0" fontId="4" fillId="50" borderId="0" xfId="0" applyFont="1" applyFill="1" applyAlignment="1">
      <alignment horizontal="left"/>
    </xf>
    <xf numFmtId="0" fontId="13" fillId="50" borderId="0" xfId="0" applyFont="1" applyFill="1" applyAlignment="1">
      <alignment horizontal="left"/>
    </xf>
    <xf numFmtId="170" fontId="4" fillId="50" borderId="0" xfId="0" applyNumberFormat="1" applyFont="1" applyFill="1" applyAlignment="1">
      <alignment horizontal="left"/>
    </xf>
    <xf numFmtId="0" fontId="30" fillId="0" borderId="0" xfId="0" applyFont="1" applyAlignment="1">
      <alignment horizontal="left"/>
    </xf>
    <xf numFmtId="0" fontId="13" fillId="0" borderId="0" xfId="0" applyFont="1" applyAlignment="1">
      <alignment horizontal="left"/>
    </xf>
    <xf numFmtId="170" fontId="29" fillId="0" borderId="0" xfId="0" applyNumberFormat="1" applyFont="1"/>
    <xf numFmtId="0" fontId="4" fillId="0" borderId="0" xfId="0" applyFont="1" applyAlignment="1">
      <alignment horizontal="left"/>
    </xf>
    <xf numFmtId="170" fontId="4" fillId="50" borderId="0" xfId="0" applyNumberFormat="1" applyFont="1" applyFill="1" applyAlignment="1">
      <alignment horizontal="left" vertical="center"/>
    </xf>
    <xf numFmtId="170" fontId="13" fillId="50" borderId="0" xfId="0" applyNumberFormat="1" applyFont="1" applyFill="1" applyAlignment="1">
      <alignment horizontal="left" vertical="center"/>
    </xf>
    <xf numFmtId="0" fontId="5" fillId="0" borderId="0" xfId="0" applyFont="1" applyAlignment="1">
      <alignment horizontal="left" vertical="center"/>
    </xf>
    <xf numFmtId="0" fontId="30" fillId="23" borderId="0" xfId="0" applyFont="1" applyFill="1" applyAlignment="1">
      <alignment horizontal="left"/>
    </xf>
    <xf numFmtId="170" fontId="11" fillId="23" borderId="0" xfId="0" applyNumberFormat="1" applyFont="1" applyFill="1" applyAlignment="1">
      <alignment horizontal="left" vertical="center"/>
    </xf>
    <xf numFmtId="170" fontId="11" fillId="23" borderId="0" xfId="0" applyNumberFormat="1" applyFont="1" applyFill="1" applyAlignment="1">
      <alignment vertical="center"/>
    </xf>
    <xf numFmtId="0" fontId="4" fillId="8" borderId="0" xfId="0" applyFont="1" applyFill="1"/>
    <xf numFmtId="168" fontId="5" fillId="0" borderId="0" xfId="0" applyNumberFormat="1" applyFont="1" applyAlignment="1">
      <alignment horizontal="left"/>
    </xf>
    <xf numFmtId="0" fontId="19" fillId="0" borderId="0" xfId="0" applyFont="1" applyAlignment="1">
      <alignment horizontal="left" vertical="center"/>
    </xf>
    <xf numFmtId="0" fontId="4" fillId="25" borderId="0" xfId="0" applyFont="1" applyFill="1" applyAlignment="1">
      <alignment horizontal="right"/>
    </xf>
    <xf numFmtId="0" fontId="21" fillId="0" borderId="0" xfId="0" applyFont="1"/>
    <xf numFmtId="170" fontId="0" fillId="25" borderId="0" xfId="0" applyNumberFormat="1" applyFill="1"/>
    <xf numFmtId="10" fontId="0" fillId="25" borderId="0" xfId="2" applyNumberFormat="1" applyFont="1" applyFill="1"/>
    <xf numFmtId="170" fontId="50" fillId="0" borderId="0" xfId="0" applyNumberFormat="1" applyFont="1" applyAlignment="1">
      <alignment horizontal="left"/>
    </xf>
    <xf numFmtId="0" fontId="21" fillId="48" borderId="0" xfId="0" applyFont="1" applyFill="1"/>
    <xf numFmtId="166" fontId="0" fillId="0" borderId="0" xfId="0" applyNumberFormat="1"/>
    <xf numFmtId="0" fontId="10" fillId="3" borderId="0" xfId="0" applyFont="1" applyFill="1" applyAlignment="1">
      <alignment horizontal="left"/>
    </xf>
    <xf numFmtId="0" fontId="10" fillId="3" borderId="8" xfId="0" applyFont="1" applyFill="1" applyBorder="1" applyAlignment="1">
      <alignment horizontal="left"/>
    </xf>
    <xf numFmtId="10" fontId="4" fillId="25" borderId="0" xfId="2" applyNumberFormat="1" applyFont="1" applyFill="1"/>
    <xf numFmtId="166" fontId="0" fillId="0" borderId="0" xfId="0" quotePrefix="1" applyNumberFormat="1"/>
    <xf numFmtId="170" fontId="4" fillId="0" borderId="0" xfId="0" applyNumberFormat="1" applyFont="1" applyAlignment="1">
      <alignment horizontal="right"/>
    </xf>
    <xf numFmtId="178" fontId="5" fillId="0" borderId="0" xfId="1" applyNumberFormat="1" applyFont="1" applyFill="1"/>
    <xf numFmtId="10" fontId="2" fillId="29" borderId="0" xfId="2" applyNumberFormat="1" applyFont="1" applyFill="1"/>
    <xf numFmtId="0" fontId="17" fillId="0" borderId="0" xfId="0" quotePrefix="1" applyFont="1" applyAlignment="1">
      <alignment horizontal="right" wrapText="1"/>
    </xf>
    <xf numFmtId="0" fontId="51" fillId="4" borderId="0" xfId="0" applyFont="1" applyFill="1"/>
    <xf numFmtId="0" fontId="6" fillId="47" borderId="0" xfId="0" applyFont="1" applyFill="1" applyAlignment="1">
      <alignment horizontal="left" indent="1"/>
    </xf>
    <xf numFmtId="168" fontId="6" fillId="4" borderId="0" xfId="0" quotePrefix="1" applyNumberFormat="1" applyFont="1" applyFill="1"/>
    <xf numFmtId="0" fontId="52" fillId="26" borderId="0" xfId="0" applyFont="1" applyFill="1" applyAlignment="1">
      <alignment horizontal="left"/>
    </xf>
    <xf numFmtId="168" fontId="0" fillId="26" borderId="0" xfId="0" applyNumberFormat="1" applyFill="1" applyAlignment="1">
      <alignment vertical="center"/>
    </xf>
    <xf numFmtId="9" fontId="4" fillId="25" borderId="0" xfId="2" applyFont="1" applyFill="1"/>
    <xf numFmtId="179" fontId="0" fillId="0" borderId="0" xfId="2" applyNumberFormat="1" applyFont="1"/>
    <xf numFmtId="167" fontId="0" fillId="0" borderId="0" xfId="0" applyNumberFormat="1"/>
    <xf numFmtId="10" fontId="0" fillId="46" borderId="0" xfId="2" applyNumberFormat="1" applyFont="1" applyFill="1" applyBorder="1" applyAlignment="1">
      <alignment horizontal="center" vertical="center"/>
    </xf>
    <xf numFmtId="2" fontId="0" fillId="46" borderId="0" xfId="2" applyNumberFormat="1" applyFont="1" applyFill="1" applyBorder="1" applyAlignment="1">
      <alignment horizontal="center" vertical="center"/>
    </xf>
    <xf numFmtId="2" fontId="0" fillId="46" borderId="0" xfId="0" applyNumberFormat="1" applyFill="1" applyAlignment="1">
      <alignment horizontal="center" vertical="center"/>
    </xf>
    <xf numFmtId="10" fontId="0" fillId="45" borderId="22" xfId="2" applyNumberFormat="1" applyFont="1" applyFill="1" applyBorder="1" applyAlignment="1">
      <alignment horizontal="center" vertical="center"/>
    </xf>
    <xf numFmtId="10" fontId="0" fillId="46" borderId="23" xfId="2" applyNumberFormat="1" applyFont="1" applyFill="1" applyBorder="1" applyAlignment="1">
      <alignment horizontal="center" vertical="center"/>
    </xf>
    <xf numFmtId="10" fontId="0" fillId="45" borderId="14" xfId="2" applyNumberFormat="1" applyFont="1" applyFill="1" applyBorder="1" applyAlignment="1">
      <alignment horizontal="center" vertical="center"/>
    </xf>
    <xf numFmtId="2" fontId="0" fillId="45" borderId="14" xfId="2" applyNumberFormat="1" applyFont="1" applyFill="1" applyBorder="1" applyAlignment="1">
      <alignment horizontal="center" vertical="center"/>
    </xf>
    <xf numFmtId="2" fontId="0" fillId="45" borderId="14" xfId="0" applyNumberFormat="1" applyFill="1" applyBorder="1" applyAlignment="1">
      <alignment horizontal="center" vertical="center"/>
    </xf>
    <xf numFmtId="10" fontId="0" fillId="45" borderId="16" xfId="0" applyNumberFormat="1" applyFill="1" applyBorder="1" applyAlignment="1">
      <alignment horizontal="center" vertical="center"/>
    </xf>
    <xf numFmtId="10" fontId="0" fillId="46" borderId="8" xfId="0" applyNumberFormat="1" applyFill="1" applyBorder="1" applyAlignment="1">
      <alignment horizontal="center" vertical="center"/>
    </xf>
    <xf numFmtId="0" fontId="0" fillId="0" borderId="14" xfId="0" applyBorder="1"/>
    <xf numFmtId="0" fontId="45" fillId="0" borderId="0" xfId="0" applyFont="1" applyAlignment="1">
      <alignment horizontal="right"/>
    </xf>
    <xf numFmtId="10" fontId="0" fillId="0" borderId="0" xfId="2" applyNumberFormat="1" applyFont="1" applyFill="1" applyBorder="1"/>
    <xf numFmtId="10" fontId="8" fillId="25" borderId="24" xfId="2" applyNumberFormat="1" applyFont="1" applyFill="1" applyBorder="1"/>
    <xf numFmtId="10" fontId="0" fillId="25" borderId="17" xfId="2" applyNumberFormat="1" applyFont="1" applyFill="1" applyBorder="1"/>
    <xf numFmtId="0" fontId="0" fillId="51" borderId="0" xfId="0" applyFill="1"/>
    <xf numFmtId="0" fontId="53" fillId="0" borderId="0" xfId="0" applyFont="1" applyAlignment="1">
      <alignment horizontal="left" vertical="center"/>
    </xf>
    <xf numFmtId="0" fontId="56" fillId="51" borderId="0" xfId="0" applyFont="1" applyFill="1" applyAlignment="1">
      <alignment vertical="center"/>
    </xf>
    <xf numFmtId="0" fontId="57" fillId="51" borderId="0" xfId="0" applyFont="1" applyFill="1" applyAlignment="1">
      <alignment vertical="center"/>
    </xf>
    <xf numFmtId="0" fontId="58" fillId="51" borderId="0" xfId="0" applyFont="1" applyFill="1"/>
    <xf numFmtId="0" fontId="59" fillId="0" borderId="0" xfId="0" applyFont="1"/>
    <xf numFmtId="0" fontId="60" fillId="28" borderId="0" xfId="0" applyFont="1" applyFill="1" applyAlignment="1">
      <alignment horizontal="left" vertical="top"/>
    </xf>
    <xf numFmtId="0" fontId="61" fillId="28" borderId="0" xfId="0" applyFont="1" applyFill="1" applyAlignment="1">
      <alignment horizontal="left" vertical="top"/>
    </xf>
    <xf numFmtId="0" fontId="59" fillId="0" borderId="0" xfId="0" applyFont="1" applyAlignment="1">
      <alignment horizontal="left" vertical="center"/>
    </xf>
    <xf numFmtId="0" fontId="63" fillId="0" borderId="0" xfId="0" applyFont="1"/>
    <xf numFmtId="0" fontId="64" fillId="0" borderId="0" xfId="0" applyFont="1"/>
    <xf numFmtId="0" fontId="65" fillId="0" borderId="0" xfId="0" applyFont="1" applyAlignment="1">
      <alignment horizontal="left" vertical="center"/>
    </xf>
    <xf numFmtId="0" fontId="64" fillId="0" borderId="0" xfId="0" applyFont="1" applyAlignment="1">
      <alignment horizontal="left" vertical="center"/>
    </xf>
    <xf numFmtId="0" fontId="67" fillId="0" borderId="0" xfId="0" applyFont="1"/>
    <xf numFmtId="0" fontId="68" fillId="0" borderId="0" xfId="0" applyFont="1" applyAlignment="1">
      <alignment horizontal="left" vertical="center"/>
    </xf>
    <xf numFmtId="0" fontId="69" fillId="0" borderId="0" xfId="0" applyFont="1"/>
    <xf numFmtId="0" fontId="54" fillId="51" borderId="0" xfId="0" applyFont="1" applyFill="1" applyAlignment="1">
      <alignment vertical="center"/>
    </xf>
    <xf numFmtId="0" fontId="56" fillId="51" borderId="0" xfId="0" applyFont="1" applyFill="1" applyAlignment="1">
      <alignment horizontal="left"/>
    </xf>
    <xf numFmtId="0" fontId="54" fillId="51" borderId="0" xfId="0" applyFont="1" applyFill="1"/>
    <xf numFmtId="0" fontId="54" fillId="0" borderId="0" xfId="0" applyFont="1"/>
    <xf numFmtId="0" fontId="54" fillId="0" borderId="0" xfId="0" applyFont="1" applyAlignment="1">
      <alignment vertical="center"/>
    </xf>
    <xf numFmtId="0" fontId="29" fillId="0" borderId="0" xfId="0" applyFont="1"/>
    <xf numFmtId="0" fontId="19" fillId="3" borderId="7" xfId="0" applyFont="1" applyFill="1" applyBorder="1" applyAlignment="1">
      <alignment horizontal="center" vertical="center" wrapText="1"/>
    </xf>
    <xf numFmtId="0" fontId="19" fillId="3" borderId="5" xfId="0" applyFont="1" applyFill="1" applyBorder="1" applyAlignment="1">
      <alignment horizontal="center" vertical="center" wrapText="1"/>
    </xf>
    <xf numFmtId="0" fontId="4" fillId="3" borderId="15" xfId="0" applyFont="1" applyFill="1" applyBorder="1" applyAlignment="1">
      <alignment horizontal="center" vertical="center" wrapText="1"/>
    </xf>
    <xf numFmtId="168" fontId="34" fillId="25" borderId="0" xfId="0" applyNumberFormat="1" applyFont="1" applyFill="1" applyAlignment="1">
      <alignment horizontal="center" vertical="center"/>
    </xf>
    <xf numFmtId="177" fontId="34" fillId="25" borderId="0" xfId="0" applyNumberFormat="1" applyFont="1" applyFill="1" applyAlignment="1">
      <alignment horizontal="center" vertical="center"/>
    </xf>
    <xf numFmtId="0" fontId="4" fillId="3" borderId="0" xfId="0" applyFont="1" applyFill="1" applyAlignment="1">
      <alignment horizontal="center" vertical="center" wrapText="1"/>
    </xf>
    <xf numFmtId="0" fontId="4" fillId="3" borderId="14" xfId="0" applyFont="1" applyFill="1" applyBorder="1" applyAlignment="1">
      <alignment horizontal="center" vertical="center" wrapText="1"/>
    </xf>
    <xf numFmtId="168" fontId="34" fillId="25" borderId="7" xfId="0" applyNumberFormat="1" applyFont="1" applyFill="1" applyBorder="1" applyAlignment="1">
      <alignment horizontal="center" vertical="center"/>
    </xf>
    <xf numFmtId="168" fontId="34" fillId="25" borderId="5" xfId="0" applyNumberFormat="1" applyFont="1" applyFill="1" applyBorder="1" applyAlignment="1">
      <alignment horizontal="center" vertical="center"/>
    </xf>
    <xf numFmtId="168" fontId="34" fillId="25" borderId="43" xfId="0" applyNumberFormat="1" applyFont="1" applyFill="1" applyBorder="1" applyAlignment="1">
      <alignment horizontal="center" vertical="center"/>
    </xf>
    <xf numFmtId="168" fontId="34" fillId="25" borderId="44" xfId="0" applyNumberFormat="1" applyFont="1" applyFill="1" applyBorder="1" applyAlignment="1">
      <alignment horizontal="center" vertical="center"/>
    </xf>
    <xf numFmtId="0" fontId="33" fillId="0" borderId="0" xfId="0" quotePrefix="1" applyFont="1" applyAlignment="1">
      <alignment vertical="center"/>
    </xf>
    <xf numFmtId="0" fontId="4" fillId="3" borderId="15" xfId="0" applyFont="1" applyFill="1" applyBorder="1" applyAlignment="1">
      <alignment horizontal="center" vertical="center"/>
    </xf>
    <xf numFmtId="168" fontId="0" fillId="3" borderId="14" xfId="0" applyNumberFormat="1" applyFill="1" applyBorder="1"/>
    <xf numFmtId="168" fontId="0" fillId="3" borderId="16" xfId="0" applyNumberFormat="1" applyFill="1" applyBorder="1"/>
    <xf numFmtId="0" fontId="4" fillId="40" borderId="14" xfId="0" applyFont="1" applyFill="1" applyBorder="1" applyAlignment="1">
      <alignment horizontal="center"/>
    </xf>
    <xf numFmtId="0" fontId="4" fillId="40" borderId="0" xfId="0" applyFont="1" applyFill="1" applyAlignment="1">
      <alignment horizontal="center"/>
    </xf>
    <xf numFmtId="0" fontId="4" fillId="40" borderId="15" xfId="0" applyFont="1" applyFill="1" applyBorder="1" applyAlignment="1">
      <alignment horizontal="center"/>
    </xf>
    <xf numFmtId="0" fontId="14" fillId="40" borderId="15" xfId="0" applyFont="1" applyFill="1" applyBorder="1" applyAlignment="1">
      <alignment horizontal="center"/>
    </xf>
    <xf numFmtId="0" fontId="4" fillId="0" borderId="0" xfId="0" applyFont="1" applyAlignment="1">
      <alignment horizontal="right" vertical="center"/>
    </xf>
    <xf numFmtId="168" fontId="4" fillId="3" borderId="0" xfId="0" applyNumberFormat="1" applyFont="1" applyFill="1" applyAlignment="1">
      <alignment wrapText="1"/>
    </xf>
    <xf numFmtId="168" fontId="3" fillId="53" borderId="0" xfId="0" applyNumberFormat="1" applyFont="1" applyFill="1"/>
    <xf numFmtId="0" fontId="74" fillId="51" borderId="0" xfId="0" applyFont="1" applyFill="1" applyAlignment="1">
      <alignment vertical="center"/>
    </xf>
    <xf numFmtId="0" fontId="63" fillId="51" borderId="0" xfId="0" applyFont="1" applyFill="1"/>
    <xf numFmtId="0" fontId="75" fillId="54" borderId="0" xfId="0" applyFont="1" applyFill="1" applyAlignment="1">
      <alignment horizontal="left" vertical="top"/>
    </xf>
    <xf numFmtId="0" fontId="76" fillId="54" borderId="0" xfId="7" applyFont="1" applyFill="1" applyBorder="1" applyAlignment="1">
      <alignment horizontal="left" vertical="top"/>
    </xf>
    <xf numFmtId="0" fontId="19" fillId="3" borderId="0" xfId="0" applyFont="1" applyFill="1" applyAlignment="1">
      <alignment horizontal="center" vertical="center"/>
    </xf>
    <xf numFmtId="0" fontId="19" fillId="3" borderId="0" xfId="0" applyFont="1" applyFill="1" applyAlignment="1">
      <alignment horizontal="center"/>
    </xf>
    <xf numFmtId="0" fontId="0" fillId="3" borderId="24" xfId="0" applyFill="1" applyBorder="1"/>
    <xf numFmtId="0" fontId="62" fillId="0" borderId="0" xfId="0" applyFont="1"/>
    <xf numFmtId="0" fontId="59" fillId="0" borderId="47" xfId="0" applyFont="1" applyBorder="1"/>
    <xf numFmtId="0" fontId="59" fillId="0" borderId="48" xfId="0" applyFont="1" applyBorder="1"/>
    <xf numFmtId="0" fontId="62" fillId="0" borderId="47" xfId="0" applyFont="1" applyBorder="1"/>
    <xf numFmtId="0" fontId="62" fillId="0" borderId="48" xfId="0" applyFont="1" applyBorder="1"/>
    <xf numFmtId="0" fontId="59" fillId="0" borderId="47" xfId="0" applyFont="1" applyBorder="1" applyAlignment="1">
      <alignment horizontal="left"/>
    </xf>
    <xf numFmtId="0" fontId="59" fillId="0" borderId="47" xfId="0" applyFont="1" applyBorder="1" applyAlignment="1">
      <alignment horizontal="left" vertical="center"/>
    </xf>
    <xf numFmtId="0" fontId="59" fillId="0" borderId="49" xfId="0" applyFont="1" applyBorder="1" applyAlignment="1">
      <alignment horizontal="left"/>
    </xf>
    <xf numFmtId="0" fontId="59" fillId="0" borderId="50" xfId="0" applyFont="1" applyBorder="1"/>
    <xf numFmtId="0" fontId="59" fillId="0" borderId="49" xfId="0" applyFont="1" applyBorder="1" applyAlignment="1">
      <alignment horizontal="left" vertical="center"/>
    </xf>
    <xf numFmtId="0" fontId="66" fillId="0" borderId="47" xfId="0" applyFont="1" applyBorder="1"/>
    <xf numFmtId="0" fontId="66" fillId="0" borderId="48" xfId="0" applyFont="1" applyBorder="1"/>
    <xf numFmtId="0" fontId="59" fillId="0" borderId="49" xfId="0" applyFont="1" applyBorder="1"/>
    <xf numFmtId="0" fontId="66" fillId="0" borderId="47" xfId="0" applyFont="1" applyBorder="1" applyAlignment="1">
      <alignment horizontal="left" vertical="center"/>
    </xf>
    <xf numFmtId="0" fontId="59" fillId="0" borderId="47" xfId="0" applyFont="1" applyBorder="1" applyAlignment="1">
      <alignment wrapText="1"/>
    </xf>
    <xf numFmtId="175" fontId="0" fillId="25" borderId="7" xfId="0" applyNumberFormat="1" applyFill="1" applyBorder="1" applyAlignment="1">
      <alignment horizontal="center" vertical="center"/>
    </xf>
    <xf numFmtId="175" fontId="0" fillId="25" borderId="5" xfId="0" applyNumberFormat="1" applyFill="1" applyBorder="1" applyAlignment="1">
      <alignment horizontal="center" vertical="center"/>
    </xf>
    <xf numFmtId="0" fontId="71" fillId="0" borderId="0" xfId="0" applyFont="1" applyAlignment="1">
      <alignment horizontal="left" vertical="center"/>
    </xf>
    <xf numFmtId="0" fontId="72" fillId="0" borderId="0" xfId="0" applyFont="1"/>
    <xf numFmtId="0" fontId="67" fillId="0" borderId="52" xfId="0" applyFont="1" applyBorder="1"/>
    <xf numFmtId="0" fontId="77" fillId="0" borderId="48" xfId="0" applyFont="1" applyBorder="1"/>
    <xf numFmtId="2" fontId="0" fillId="55" borderId="0" xfId="0" applyNumberFormat="1" applyFill="1"/>
    <xf numFmtId="2" fontId="0" fillId="11" borderId="0" xfId="0" applyNumberFormat="1" applyFill="1"/>
    <xf numFmtId="0" fontId="13" fillId="56" borderId="0" xfId="0" applyFont="1" applyFill="1" applyAlignment="1">
      <alignment horizontal="center" vertical="center"/>
    </xf>
    <xf numFmtId="0" fontId="21" fillId="26" borderId="0" xfId="0" applyFont="1" applyFill="1" applyAlignment="1">
      <alignment horizontal="center" vertical="center"/>
    </xf>
    <xf numFmtId="0" fontId="4" fillId="26" borderId="0" xfId="0" applyFont="1" applyFill="1" applyAlignment="1">
      <alignment horizontal="center" vertical="center"/>
    </xf>
    <xf numFmtId="0" fontId="4" fillId="26" borderId="0" xfId="0" applyFont="1" applyFill="1" applyAlignment="1">
      <alignment horizontal="center"/>
    </xf>
    <xf numFmtId="0" fontId="11" fillId="18" borderId="0" xfId="0" applyFont="1" applyFill="1"/>
    <xf numFmtId="0" fontId="11" fillId="18" borderId="1" xfId="0" applyFont="1" applyFill="1" applyBorder="1"/>
    <xf numFmtId="0" fontId="11" fillId="18" borderId="2" xfId="0" applyFont="1" applyFill="1" applyBorder="1"/>
    <xf numFmtId="0" fontId="11" fillId="18" borderId="0" xfId="0" applyFont="1" applyFill="1" applyAlignment="1">
      <alignment horizontal="center" vertical="center"/>
    </xf>
    <xf numFmtId="0" fontId="47" fillId="18" borderId="8" xfId="0" applyFont="1" applyFill="1" applyBorder="1" applyAlignment="1" applyProtection="1">
      <alignment horizontal="left"/>
      <protection locked="0"/>
    </xf>
    <xf numFmtId="0" fontId="47" fillId="18" borderId="8" xfId="0" applyFont="1" applyFill="1" applyBorder="1" applyProtection="1">
      <protection locked="0"/>
    </xf>
    <xf numFmtId="0" fontId="78" fillId="50" borderId="0" xfId="0" applyFont="1" applyFill="1"/>
    <xf numFmtId="2" fontId="78" fillId="50" borderId="0" xfId="0" applyNumberFormat="1" applyFont="1" applyFill="1"/>
    <xf numFmtId="0" fontId="78" fillId="0" borderId="0" xfId="0" applyFont="1"/>
    <xf numFmtId="2" fontId="78" fillId="0" borderId="0" xfId="0" applyNumberFormat="1" applyFont="1"/>
    <xf numFmtId="0" fontId="79" fillId="3" borderId="4" xfId="0" applyFont="1" applyFill="1" applyBorder="1" applyAlignment="1">
      <alignment horizontal="left" vertical="center"/>
    </xf>
    <xf numFmtId="0" fontId="79" fillId="3" borderId="0" xfId="0" applyFont="1" applyFill="1" applyAlignment="1">
      <alignment horizontal="left" vertical="center"/>
    </xf>
    <xf numFmtId="0" fontId="20" fillId="0" borderId="0" xfId="0" applyFont="1"/>
    <xf numFmtId="0" fontId="12" fillId="0" borderId="0" xfId="0" applyFont="1"/>
    <xf numFmtId="0" fontId="19" fillId="50" borderId="27" xfId="0" applyFont="1" applyFill="1" applyBorder="1" applyAlignment="1">
      <alignment horizontal="right" vertical="center"/>
    </xf>
    <xf numFmtId="0" fontId="19" fillId="50" borderId="28" xfId="0" applyFont="1" applyFill="1" applyBorder="1" applyAlignment="1">
      <alignment horizontal="right" vertical="center"/>
    </xf>
    <xf numFmtId="10" fontId="0" fillId="26" borderId="0" xfId="2" applyNumberFormat="1" applyFont="1" applyFill="1" applyProtection="1">
      <protection locked="0"/>
    </xf>
    <xf numFmtId="10" fontId="0" fillId="26" borderId="0" xfId="0" applyNumberFormat="1" applyFill="1" applyProtection="1">
      <protection locked="0"/>
    </xf>
    <xf numFmtId="0" fontId="0" fillId="26" borderId="0" xfId="0" applyFill="1" applyAlignment="1" applyProtection="1">
      <alignment horizontal="right"/>
      <protection locked="0"/>
    </xf>
    <xf numFmtId="0" fontId="0" fillId="26" borderId="0" xfId="0" applyFill="1" applyAlignment="1" applyProtection="1">
      <alignment horizontal="right" vertical="center"/>
      <protection locked="0"/>
    </xf>
    <xf numFmtId="9" fontId="0" fillId="26" borderId="0" xfId="2" applyFont="1" applyFill="1" applyAlignment="1" applyProtection="1">
      <alignment horizontal="right" vertical="center"/>
      <protection locked="0"/>
    </xf>
    <xf numFmtId="0" fontId="13" fillId="18" borderId="0" xfId="0" applyFont="1" applyFill="1" applyAlignment="1">
      <alignment horizontal="center" vertical="center"/>
    </xf>
    <xf numFmtId="166" fontId="0" fillId="22" borderId="0" xfId="2" applyNumberFormat="1" applyFont="1" applyFill="1"/>
    <xf numFmtId="2" fontId="1" fillId="25" borderId="0" xfId="0" applyNumberFormat="1" applyFont="1" applyFill="1" applyAlignment="1">
      <alignment vertical="center"/>
    </xf>
    <xf numFmtId="2" fontId="34" fillId="25" borderId="0" xfId="0" applyNumberFormat="1" applyFont="1" applyFill="1" applyAlignment="1">
      <alignment horizontal="center"/>
    </xf>
    <xf numFmtId="2" fontId="1" fillId="25" borderId="0" xfId="0" applyNumberFormat="1" applyFont="1" applyFill="1" applyAlignment="1">
      <alignment horizontal="center"/>
    </xf>
    <xf numFmtId="2" fontId="0" fillId="3" borderId="3" xfId="0" applyNumberFormat="1" applyFill="1" applyBorder="1" applyAlignment="1">
      <alignment horizontal="center" vertical="center"/>
    </xf>
    <xf numFmtId="2" fontId="0" fillId="0" borderId="3" xfId="0" applyNumberFormat="1" applyBorder="1" applyAlignment="1">
      <alignment horizontal="center" vertical="center"/>
    </xf>
    <xf numFmtId="0" fontId="0" fillId="22" borderId="0" xfId="0" applyFill="1" applyAlignment="1">
      <alignment horizontal="left" vertical="center"/>
    </xf>
    <xf numFmtId="0" fontId="10" fillId="22" borderId="0" xfId="0" applyFont="1" applyFill="1" applyAlignment="1">
      <alignment horizontal="left" vertical="center"/>
    </xf>
    <xf numFmtId="166" fontId="0" fillId="22" borderId="0" xfId="2" applyNumberFormat="1" applyFont="1" applyFill="1" applyAlignment="1">
      <alignment horizontal="left"/>
    </xf>
    <xf numFmtId="166" fontId="10" fillId="22" borderId="0" xfId="0" applyNumberFormat="1" applyFont="1" applyFill="1" applyAlignment="1">
      <alignment horizontal="left"/>
    </xf>
    <xf numFmtId="166" fontId="0" fillId="22" borderId="0" xfId="2" applyNumberFormat="1" applyFont="1" applyFill="1" applyAlignment="1">
      <alignment horizontal="left" vertical="center"/>
    </xf>
    <xf numFmtId="0" fontId="26" fillId="8" borderId="24" xfId="0" applyFont="1" applyFill="1" applyBorder="1" applyAlignment="1">
      <alignment horizontal="center" vertical="center"/>
    </xf>
    <xf numFmtId="0" fontId="73" fillId="54" borderId="45" xfId="0" applyFont="1" applyFill="1" applyBorder="1" applyAlignment="1">
      <alignment horizontal="center" vertical="top"/>
    </xf>
    <xf numFmtId="0" fontId="73" fillId="54" borderId="51" xfId="0" applyFont="1" applyFill="1" applyBorder="1" applyAlignment="1">
      <alignment horizontal="center" vertical="top"/>
    </xf>
    <xf numFmtId="0" fontId="73" fillId="54" borderId="46" xfId="0" applyFont="1" applyFill="1" applyBorder="1" applyAlignment="1">
      <alignment horizontal="center" vertical="top"/>
    </xf>
    <xf numFmtId="0" fontId="59" fillId="3" borderId="45" xfId="0" applyFont="1" applyFill="1" applyBorder="1" applyAlignment="1">
      <alignment horizontal="center" vertical="center"/>
    </xf>
    <xf numFmtId="0" fontId="59" fillId="3" borderId="51" xfId="0" applyFont="1" applyFill="1" applyBorder="1" applyAlignment="1">
      <alignment horizontal="center" vertical="center"/>
    </xf>
    <xf numFmtId="0" fontId="59" fillId="3" borderId="46" xfId="0" applyFont="1" applyFill="1" applyBorder="1" applyAlignment="1">
      <alignment horizontal="center" vertical="center"/>
    </xf>
    <xf numFmtId="0" fontId="59" fillId="3" borderId="47" xfId="0" applyFont="1" applyFill="1" applyBorder="1" applyAlignment="1">
      <alignment horizontal="center" vertical="center"/>
    </xf>
    <xf numFmtId="0" fontId="59" fillId="3" borderId="0" xfId="0" applyFont="1" applyFill="1" applyAlignment="1">
      <alignment horizontal="center" vertical="center"/>
    </xf>
    <xf numFmtId="0" fontId="59" fillId="3" borderId="48" xfId="0" applyFont="1" applyFill="1" applyBorder="1" applyAlignment="1">
      <alignment horizontal="center" vertical="center"/>
    </xf>
    <xf numFmtId="0" fontId="59" fillId="3" borderId="49" xfId="0" applyFont="1" applyFill="1" applyBorder="1" applyAlignment="1">
      <alignment horizontal="center" vertical="center"/>
    </xf>
    <xf numFmtId="0" fontId="59" fillId="3" borderId="52" xfId="0" applyFont="1" applyFill="1" applyBorder="1" applyAlignment="1">
      <alignment horizontal="center" vertical="center"/>
    </xf>
    <xf numFmtId="0" fontId="59" fillId="3" borderId="50" xfId="0" applyFont="1" applyFill="1" applyBorder="1" applyAlignment="1">
      <alignment horizontal="center" vertical="center"/>
    </xf>
    <xf numFmtId="0" fontId="73" fillId="51" borderId="45" xfId="0" applyFont="1" applyFill="1" applyBorder="1" applyAlignment="1">
      <alignment horizontal="center" vertical="center"/>
    </xf>
    <xf numFmtId="0" fontId="73" fillId="51" borderId="46" xfId="0" applyFont="1" applyFill="1" applyBorder="1" applyAlignment="1">
      <alignment horizontal="center" vertical="center"/>
    </xf>
    <xf numFmtId="0" fontId="69" fillId="0" borderId="0" xfId="0" applyFont="1" applyAlignment="1">
      <alignment horizontal="center"/>
    </xf>
    <xf numFmtId="0" fontId="22" fillId="14" borderId="0" xfId="0" applyFont="1" applyFill="1" applyAlignment="1">
      <alignment horizontal="left" vertical="center"/>
    </xf>
    <xf numFmtId="0" fontId="22" fillId="14" borderId="8" xfId="0" applyFont="1" applyFill="1" applyBorder="1" applyAlignment="1">
      <alignment horizontal="left" vertical="center"/>
    </xf>
    <xf numFmtId="0" fontId="22" fillId="3" borderId="0" xfId="0" applyFont="1" applyFill="1" applyAlignment="1">
      <alignment horizontal="left" vertical="center"/>
    </xf>
    <xf numFmtId="0" fontId="22" fillId="3" borderId="8" xfId="0" applyFont="1" applyFill="1" applyBorder="1" applyAlignment="1">
      <alignment horizontal="left" vertical="center"/>
    </xf>
    <xf numFmtId="0" fontId="22" fillId="4" borderId="0" xfId="0" applyFont="1" applyFill="1" applyAlignment="1">
      <alignment horizontal="left" vertical="center"/>
    </xf>
    <xf numFmtId="0" fontId="22" fillId="4" borderId="8" xfId="0" applyFont="1" applyFill="1" applyBorder="1" applyAlignment="1">
      <alignment horizontal="left" vertical="center"/>
    </xf>
    <xf numFmtId="0" fontId="22" fillId="2" borderId="0" xfId="0" applyFont="1" applyFill="1" applyAlignment="1">
      <alignment horizontal="left" vertical="center"/>
    </xf>
    <xf numFmtId="0" fontId="22" fillId="2" borderId="8" xfId="0" applyFont="1" applyFill="1" applyBorder="1" applyAlignment="1">
      <alignment horizontal="left" vertical="center"/>
    </xf>
    <xf numFmtId="0" fontId="13" fillId="18" borderId="0" xfId="0" applyFont="1" applyFill="1" applyAlignment="1">
      <alignment horizontal="center"/>
    </xf>
    <xf numFmtId="0" fontId="30" fillId="34" borderId="22" xfId="0" applyFont="1" applyFill="1" applyBorder="1" applyAlignment="1">
      <alignment horizontal="center" vertical="center"/>
    </xf>
    <xf numFmtId="0" fontId="30" fillId="34" borderId="23" xfId="0" applyFont="1" applyFill="1" applyBorder="1" applyAlignment="1">
      <alignment horizontal="center" vertical="center"/>
    </xf>
    <xf numFmtId="0" fontId="30" fillId="34" borderId="24" xfId="0" applyFont="1" applyFill="1" applyBorder="1" applyAlignment="1">
      <alignment horizontal="center" vertical="center"/>
    </xf>
    <xf numFmtId="0" fontId="30" fillId="34" borderId="16" xfId="0" applyFont="1" applyFill="1" applyBorder="1" applyAlignment="1">
      <alignment horizontal="center" vertical="center"/>
    </xf>
    <xf numFmtId="0" fontId="30" fillId="34" borderId="8" xfId="0" applyFont="1" applyFill="1" applyBorder="1" applyAlignment="1">
      <alignment horizontal="center" vertical="center"/>
    </xf>
    <xf numFmtId="0" fontId="30" fillId="34" borderId="17" xfId="0" applyFont="1" applyFill="1" applyBorder="1" applyAlignment="1">
      <alignment horizontal="center" vertical="center"/>
    </xf>
    <xf numFmtId="0" fontId="19" fillId="0" borderId="22" xfId="0" applyFont="1" applyBorder="1" applyAlignment="1">
      <alignment horizontal="center" vertical="center" wrapText="1" readingOrder="1"/>
    </xf>
    <xf numFmtId="0" fontId="19" fillId="0" borderId="24" xfId="0" applyFont="1" applyBorder="1" applyAlignment="1">
      <alignment horizontal="center" vertical="center" wrapText="1" readingOrder="1"/>
    </xf>
    <xf numFmtId="0" fontId="29" fillId="0" borderId="27" xfId="0" applyFont="1" applyBorder="1" applyAlignment="1">
      <alignment horizontal="center"/>
    </xf>
    <xf numFmtId="0" fontId="29" fillId="0" borderId="28" xfId="0" applyFont="1" applyBorder="1" applyAlignment="1">
      <alignment horizontal="center"/>
    </xf>
    <xf numFmtId="0" fontId="22" fillId="6" borderId="0" xfId="0" applyFont="1" applyFill="1" applyAlignment="1">
      <alignment horizontal="left" vertical="center"/>
    </xf>
    <xf numFmtId="0" fontId="22" fillId="6" borderId="8" xfId="0" applyFont="1" applyFill="1" applyBorder="1" applyAlignment="1">
      <alignment horizontal="left" vertical="center"/>
    </xf>
    <xf numFmtId="0" fontId="19" fillId="0" borderId="14" xfId="0" applyFont="1" applyBorder="1" applyAlignment="1">
      <alignment horizontal="center" vertical="center" wrapText="1" readingOrder="1"/>
    </xf>
    <xf numFmtId="0" fontId="19" fillId="0" borderId="15" xfId="0" applyFont="1" applyBorder="1" applyAlignment="1">
      <alignment horizontal="center" vertical="center" wrapText="1" readingOrder="1"/>
    </xf>
    <xf numFmtId="0" fontId="19" fillId="33" borderId="16" xfId="0" applyFont="1" applyFill="1" applyBorder="1" applyAlignment="1">
      <alignment horizontal="center" vertical="center" wrapText="1" readingOrder="1"/>
    </xf>
    <xf numFmtId="0" fontId="19" fillId="33" borderId="17" xfId="0" applyFont="1" applyFill="1" applyBorder="1" applyAlignment="1">
      <alignment horizontal="center" vertical="center" wrapText="1" readingOrder="1"/>
    </xf>
    <xf numFmtId="0" fontId="46" fillId="24" borderId="0" xfId="0" applyFont="1" applyFill="1" applyAlignment="1">
      <alignment horizontal="left" vertical="center"/>
    </xf>
    <xf numFmtId="0" fontId="40" fillId="26" borderId="27" xfId="0" applyFont="1" applyFill="1" applyBorder="1" applyAlignment="1">
      <alignment horizontal="center" vertical="center"/>
    </xf>
    <xf numFmtId="0" fontId="40" fillId="26" borderId="29" xfId="0" applyFont="1" applyFill="1" applyBorder="1" applyAlignment="1">
      <alignment horizontal="center" vertical="center"/>
    </xf>
    <xf numFmtId="0" fontId="40" fillId="26" borderId="28" xfId="0" applyFont="1" applyFill="1" applyBorder="1" applyAlignment="1">
      <alignment horizontal="center" vertical="center"/>
    </xf>
    <xf numFmtId="0" fontId="70" fillId="0" borderId="0" xfId="0" applyFont="1" applyAlignment="1">
      <alignment horizontal="left" vertical="center"/>
    </xf>
    <xf numFmtId="2" fontId="44" fillId="26" borderId="27" xfId="2" applyNumberFormat="1" applyFont="1" applyFill="1" applyBorder="1" applyAlignment="1">
      <alignment horizontal="center" vertical="center"/>
    </xf>
    <xf numFmtId="2" fontId="44" fillId="26" borderId="29" xfId="2" applyNumberFormat="1" applyFont="1" applyFill="1" applyBorder="1" applyAlignment="1">
      <alignment horizontal="center" vertical="center"/>
    </xf>
    <xf numFmtId="2" fontId="44" fillId="26" borderId="28" xfId="2" applyNumberFormat="1" applyFont="1" applyFill="1" applyBorder="1" applyAlignment="1">
      <alignment horizontal="center" vertical="center"/>
    </xf>
    <xf numFmtId="2" fontId="36" fillId="26" borderId="27" xfId="0" applyNumberFormat="1" applyFont="1" applyFill="1" applyBorder="1" applyAlignment="1">
      <alignment horizontal="center" vertical="center"/>
    </xf>
    <xf numFmtId="2" fontId="36" fillId="26" borderId="29" xfId="0" applyNumberFormat="1" applyFont="1" applyFill="1" applyBorder="1" applyAlignment="1">
      <alignment horizontal="center" vertical="center"/>
    </xf>
    <xf numFmtId="2" fontId="36" fillId="26" borderId="28" xfId="0" applyNumberFormat="1" applyFont="1" applyFill="1" applyBorder="1" applyAlignment="1">
      <alignment horizontal="center" vertical="center"/>
    </xf>
    <xf numFmtId="0" fontId="30" fillId="18" borderId="13" xfId="0" applyFont="1" applyFill="1" applyBorder="1" applyAlignment="1">
      <alignment horizontal="center"/>
    </xf>
    <xf numFmtId="0" fontId="30" fillId="18" borderId="0" xfId="0" applyFont="1" applyFill="1" applyAlignment="1">
      <alignment horizontal="center"/>
    </xf>
    <xf numFmtId="0" fontId="30" fillId="52" borderId="27" xfId="0" applyFont="1" applyFill="1" applyBorder="1" applyAlignment="1">
      <alignment horizontal="center"/>
    </xf>
    <xf numFmtId="0" fontId="30" fillId="52" borderId="29" xfId="0" applyFont="1" applyFill="1" applyBorder="1" applyAlignment="1">
      <alignment horizontal="center"/>
    </xf>
    <xf numFmtId="0" fontId="30" fillId="52" borderId="28" xfId="0" applyFont="1" applyFill="1" applyBorder="1" applyAlignment="1">
      <alignment horizontal="center"/>
    </xf>
    <xf numFmtId="166" fontId="0" fillId="47" borderId="22" xfId="2" applyNumberFormat="1" applyFont="1" applyFill="1" applyBorder="1" applyAlignment="1">
      <alignment horizontal="center"/>
    </xf>
    <xf numFmtId="166" fontId="0" fillId="47" borderId="23" xfId="2" applyNumberFormat="1" applyFont="1" applyFill="1" applyBorder="1" applyAlignment="1">
      <alignment horizontal="center"/>
    </xf>
    <xf numFmtId="166" fontId="0" fillId="47" borderId="24" xfId="2" applyNumberFormat="1" applyFont="1" applyFill="1" applyBorder="1" applyAlignment="1">
      <alignment horizontal="center"/>
    </xf>
    <xf numFmtId="0" fontId="30" fillId="18" borderId="27" xfId="0" applyFont="1" applyFill="1" applyBorder="1" applyAlignment="1">
      <alignment horizontal="center"/>
    </xf>
    <xf numFmtId="0" fontId="30" fillId="18" borderId="29" xfId="0" applyFont="1" applyFill="1" applyBorder="1" applyAlignment="1">
      <alignment horizontal="center"/>
    </xf>
    <xf numFmtId="0" fontId="30" fillId="18" borderId="28" xfId="0" applyFont="1" applyFill="1" applyBorder="1" applyAlignment="1">
      <alignment horizontal="center"/>
    </xf>
    <xf numFmtId="166" fontId="0" fillId="27" borderId="22" xfId="0" applyNumberFormat="1" applyFill="1" applyBorder="1" applyAlignment="1">
      <alignment horizontal="center"/>
    </xf>
    <xf numFmtId="166" fontId="0" fillId="27" borderId="23" xfId="0" applyNumberFormat="1" applyFill="1" applyBorder="1" applyAlignment="1">
      <alignment horizontal="center"/>
    </xf>
    <xf numFmtId="166" fontId="0" fillId="27" borderId="24" xfId="0" applyNumberFormat="1" applyFill="1" applyBorder="1" applyAlignment="1">
      <alignment horizontal="center"/>
    </xf>
    <xf numFmtId="9" fontId="0" fillId="47" borderId="14" xfId="2" applyFont="1" applyFill="1" applyBorder="1" applyAlignment="1">
      <alignment horizontal="center"/>
    </xf>
    <xf numFmtId="9" fontId="0" fillId="47" borderId="0" xfId="2" applyFont="1" applyFill="1" applyBorder="1" applyAlignment="1">
      <alignment horizontal="center"/>
    </xf>
    <xf numFmtId="9" fontId="0" fillId="47" borderId="15" xfId="2" applyFont="1" applyFill="1" applyBorder="1" applyAlignment="1">
      <alignment horizontal="center"/>
    </xf>
    <xf numFmtId="166" fontId="0" fillId="0" borderId="14" xfId="0" applyNumberFormat="1" applyBorder="1" applyAlignment="1">
      <alignment horizontal="center"/>
    </xf>
    <xf numFmtId="166" fontId="0" fillId="0" borderId="0" xfId="0" applyNumberFormat="1" applyAlignment="1">
      <alignment horizontal="center"/>
    </xf>
    <xf numFmtId="166" fontId="0" fillId="47" borderId="14" xfId="2" applyNumberFormat="1" applyFont="1" applyFill="1" applyBorder="1" applyAlignment="1">
      <alignment horizontal="center"/>
    </xf>
    <xf numFmtId="166" fontId="0" fillId="47" borderId="0" xfId="2" applyNumberFormat="1" applyFont="1" applyFill="1" applyBorder="1" applyAlignment="1">
      <alignment horizontal="center"/>
    </xf>
    <xf numFmtId="166" fontId="0" fillId="47" borderId="15" xfId="2" applyNumberFormat="1" applyFont="1" applyFill="1" applyBorder="1" applyAlignment="1">
      <alignment horizontal="center"/>
    </xf>
    <xf numFmtId="166" fontId="0" fillId="47" borderId="38" xfId="0" applyNumberFormat="1" applyFill="1" applyBorder="1" applyAlignment="1">
      <alignment horizontal="center"/>
    </xf>
    <xf numFmtId="166" fontId="0" fillId="47" borderId="39" xfId="0" applyNumberFormat="1" applyFill="1" applyBorder="1" applyAlignment="1">
      <alignment horizontal="center"/>
    </xf>
    <xf numFmtId="166" fontId="0" fillId="47" borderId="40" xfId="0" applyNumberFormat="1" applyFill="1" applyBorder="1" applyAlignment="1">
      <alignment horizontal="center"/>
    </xf>
    <xf numFmtId="2" fontId="0" fillId="47" borderId="41" xfId="1" applyNumberFormat="1" applyFont="1" applyFill="1" applyBorder="1" applyAlignment="1">
      <alignment horizontal="center"/>
    </xf>
    <xf numFmtId="2" fontId="0" fillId="47" borderId="4" xfId="1" applyNumberFormat="1" applyFont="1" applyFill="1" applyBorder="1" applyAlignment="1">
      <alignment horizontal="center"/>
    </xf>
    <xf numFmtId="2" fontId="0" fillId="47" borderId="42" xfId="1" applyNumberFormat="1" applyFont="1" applyFill="1" applyBorder="1" applyAlignment="1">
      <alignment horizontal="center"/>
    </xf>
    <xf numFmtId="2" fontId="0" fillId="47" borderId="14" xfId="0" applyNumberFormat="1" applyFill="1" applyBorder="1" applyAlignment="1">
      <alignment horizontal="center"/>
    </xf>
    <xf numFmtId="2" fontId="0" fillId="47" borderId="0" xfId="0" applyNumberFormat="1" applyFill="1" applyAlignment="1">
      <alignment horizontal="center"/>
    </xf>
    <xf numFmtId="2" fontId="0" fillId="47" borderId="15" xfId="0" applyNumberFormat="1" applyFill="1" applyBorder="1" applyAlignment="1">
      <alignment horizontal="center"/>
    </xf>
    <xf numFmtId="0" fontId="26" fillId="26" borderId="27" xfId="0" applyFont="1" applyFill="1" applyBorder="1" applyAlignment="1">
      <alignment horizontal="center"/>
    </xf>
    <xf numFmtId="0" fontId="26" fillId="26" borderId="29" xfId="0" applyFont="1" applyFill="1" applyBorder="1" applyAlignment="1">
      <alignment horizontal="center"/>
    </xf>
    <xf numFmtId="0" fontId="26" fillId="26" borderId="28" xfId="0" applyFont="1" applyFill="1" applyBorder="1" applyAlignment="1">
      <alignment horizontal="center"/>
    </xf>
    <xf numFmtId="0" fontId="26" fillId="29" borderId="27" xfId="0" applyFont="1" applyFill="1" applyBorder="1" applyAlignment="1">
      <alignment horizontal="center"/>
    </xf>
    <xf numFmtId="0" fontId="26" fillId="29" borderId="29" xfId="0" applyFont="1" applyFill="1" applyBorder="1" applyAlignment="1">
      <alignment horizontal="center"/>
    </xf>
    <xf numFmtId="0" fontId="26" fillId="29" borderId="28" xfId="0" applyFont="1" applyFill="1" applyBorder="1" applyAlignment="1">
      <alignment horizontal="center"/>
    </xf>
    <xf numFmtId="166" fontId="0" fillId="27" borderId="16" xfId="0" applyNumberFormat="1" applyFill="1" applyBorder="1" applyAlignment="1">
      <alignment horizontal="center"/>
    </xf>
    <xf numFmtId="166" fontId="0" fillId="27" borderId="8" xfId="0" applyNumberFormat="1" applyFill="1" applyBorder="1" applyAlignment="1">
      <alignment horizontal="center"/>
    </xf>
    <xf numFmtId="166" fontId="0" fillId="27" borderId="17" xfId="0" applyNumberFormat="1" applyFill="1" applyBorder="1" applyAlignment="1">
      <alignment horizontal="center"/>
    </xf>
    <xf numFmtId="2" fontId="0" fillId="27" borderId="14" xfId="1" applyNumberFormat="1" applyFont="1" applyFill="1" applyBorder="1" applyAlignment="1">
      <alignment horizontal="center"/>
    </xf>
    <xf numFmtId="2" fontId="0" fillId="27" borderId="0" xfId="1" applyNumberFormat="1" applyFont="1" applyFill="1" applyBorder="1" applyAlignment="1">
      <alignment horizontal="center"/>
    </xf>
    <xf numFmtId="2" fontId="0" fillId="27" borderId="15" xfId="1" applyNumberFormat="1" applyFont="1" applyFill="1" applyBorder="1" applyAlignment="1">
      <alignment horizontal="center"/>
    </xf>
    <xf numFmtId="2" fontId="0" fillId="27" borderId="16" xfId="0" applyNumberFormat="1" applyFill="1" applyBorder="1" applyAlignment="1">
      <alignment horizontal="center"/>
    </xf>
    <xf numFmtId="2" fontId="0" fillId="27" borderId="8" xfId="0" applyNumberFormat="1" applyFill="1" applyBorder="1" applyAlignment="1">
      <alignment horizontal="center"/>
    </xf>
    <xf numFmtId="2" fontId="0" fillId="27" borderId="17" xfId="0" applyNumberFormat="1" applyFill="1" applyBorder="1" applyAlignment="1">
      <alignment horizontal="center"/>
    </xf>
    <xf numFmtId="10" fontId="0" fillId="17" borderId="14" xfId="0" applyNumberFormat="1" applyFill="1" applyBorder="1" applyAlignment="1">
      <alignment horizontal="center"/>
    </xf>
    <xf numFmtId="10" fontId="0" fillId="17" borderId="0" xfId="0" applyNumberFormat="1" applyFill="1" applyAlignment="1">
      <alignment horizontal="center"/>
    </xf>
    <xf numFmtId="10" fontId="0" fillId="17" borderId="15" xfId="0" applyNumberFormat="1" applyFill="1" applyBorder="1" applyAlignment="1">
      <alignment horizontal="center"/>
    </xf>
    <xf numFmtId="1" fontId="0" fillId="47" borderId="14" xfId="2" applyNumberFormat="1" applyFont="1" applyFill="1" applyBorder="1" applyAlignment="1">
      <alignment horizontal="center"/>
    </xf>
    <xf numFmtId="1" fontId="0" fillId="47" borderId="0" xfId="2" applyNumberFormat="1" applyFont="1" applyFill="1" applyBorder="1" applyAlignment="1">
      <alignment horizontal="center"/>
    </xf>
    <xf numFmtId="1" fontId="0" fillId="47" borderId="15" xfId="2" applyNumberFormat="1" applyFont="1" applyFill="1" applyBorder="1" applyAlignment="1">
      <alignment horizontal="center"/>
    </xf>
    <xf numFmtId="166" fontId="0" fillId="47" borderId="16" xfId="2" applyNumberFormat="1" applyFont="1" applyFill="1" applyBorder="1" applyAlignment="1">
      <alignment horizontal="center"/>
    </xf>
    <xf numFmtId="166" fontId="0" fillId="47" borderId="8" xfId="2" applyNumberFormat="1" applyFont="1" applyFill="1" applyBorder="1" applyAlignment="1">
      <alignment horizontal="center"/>
    </xf>
    <xf numFmtId="166" fontId="0" fillId="47" borderId="17" xfId="2" applyNumberFormat="1" applyFont="1" applyFill="1" applyBorder="1" applyAlignment="1">
      <alignment horizontal="center"/>
    </xf>
    <xf numFmtId="166" fontId="0" fillId="0" borderId="16" xfId="0" applyNumberFormat="1" applyBorder="1" applyAlignment="1">
      <alignment horizontal="center"/>
    </xf>
    <xf numFmtId="166" fontId="0" fillId="0" borderId="8" xfId="0" applyNumberFormat="1" applyBorder="1" applyAlignment="1">
      <alignment horizontal="center"/>
    </xf>
    <xf numFmtId="10" fontId="0" fillId="17" borderId="22" xfId="0" quotePrefix="1" applyNumberFormat="1" applyFill="1" applyBorder="1" applyAlignment="1">
      <alignment horizontal="center"/>
    </xf>
    <xf numFmtId="10" fontId="0" fillId="17" borderId="23" xfId="0" applyNumberFormat="1" applyFill="1" applyBorder="1" applyAlignment="1">
      <alignment horizontal="center"/>
    </xf>
    <xf numFmtId="10" fontId="0" fillId="17" borderId="24" xfId="0" applyNumberFormat="1" applyFill="1" applyBorder="1" applyAlignment="1">
      <alignment horizontal="center"/>
    </xf>
    <xf numFmtId="0" fontId="26" fillId="23" borderId="27" xfId="0" applyFont="1" applyFill="1" applyBorder="1" applyAlignment="1">
      <alignment horizontal="center"/>
    </xf>
    <xf numFmtId="0" fontId="26" fillId="23" borderId="29" xfId="0" applyFont="1" applyFill="1" applyBorder="1" applyAlignment="1">
      <alignment horizontal="center"/>
    </xf>
    <xf numFmtId="0" fontId="26" fillId="23" borderId="28" xfId="0" applyFont="1" applyFill="1" applyBorder="1" applyAlignment="1">
      <alignment horizontal="center"/>
    </xf>
    <xf numFmtId="10" fontId="0" fillId="15" borderId="22" xfId="0" applyNumberFormat="1" applyFill="1" applyBorder="1" applyAlignment="1">
      <alignment horizontal="center"/>
    </xf>
    <xf numFmtId="10" fontId="0" fillId="15" borderId="23" xfId="0" applyNumberFormat="1" applyFill="1" applyBorder="1" applyAlignment="1">
      <alignment horizontal="center"/>
    </xf>
    <xf numFmtId="10" fontId="0" fillId="15" borderId="24" xfId="0" applyNumberFormat="1" applyFill="1" applyBorder="1" applyAlignment="1">
      <alignment horizontal="center"/>
    </xf>
    <xf numFmtId="10" fontId="0" fillId="15" borderId="14" xfId="0" applyNumberFormat="1" applyFill="1" applyBorder="1" applyAlignment="1">
      <alignment horizontal="center"/>
    </xf>
    <xf numFmtId="10" fontId="0" fillId="15" borderId="0" xfId="0" applyNumberFormat="1" applyFill="1" applyAlignment="1">
      <alignment horizontal="center"/>
    </xf>
    <xf numFmtId="10" fontId="0" fillId="15" borderId="15" xfId="0" applyNumberFormat="1" applyFill="1" applyBorder="1" applyAlignment="1">
      <alignment horizontal="center"/>
    </xf>
    <xf numFmtId="10" fontId="0" fillId="12" borderId="27" xfId="0" applyNumberFormat="1" applyFill="1" applyBorder="1" applyAlignment="1">
      <alignment horizontal="center"/>
    </xf>
    <xf numFmtId="10" fontId="0" fillId="12" borderId="29" xfId="0" applyNumberFormat="1" applyFill="1" applyBorder="1" applyAlignment="1">
      <alignment horizontal="center"/>
    </xf>
    <xf numFmtId="10" fontId="0" fillId="12" borderId="28" xfId="0" applyNumberFormat="1" applyFill="1" applyBorder="1" applyAlignment="1">
      <alignment horizontal="center"/>
    </xf>
    <xf numFmtId="10" fontId="0" fillId="15" borderId="16" xfId="0" applyNumberFormat="1" applyFill="1" applyBorder="1" applyAlignment="1">
      <alignment horizontal="center"/>
    </xf>
    <xf numFmtId="10" fontId="0" fillId="15" borderId="8" xfId="0" applyNumberFormat="1" applyFill="1" applyBorder="1" applyAlignment="1">
      <alignment horizontal="center"/>
    </xf>
    <xf numFmtId="10" fontId="0" fillId="15" borderId="17" xfId="0" applyNumberFormat="1" applyFill="1" applyBorder="1" applyAlignment="1">
      <alignment horizontal="center"/>
    </xf>
    <xf numFmtId="0" fontId="48" fillId="25" borderId="27" xfId="0" applyFont="1" applyFill="1" applyBorder="1" applyAlignment="1">
      <alignment horizontal="center"/>
    </xf>
    <xf numFmtId="0" fontId="48" fillId="25" borderId="29" xfId="0" applyFont="1" applyFill="1" applyBorder="1" applyAlignment="1">
      <alignment horizontal="center"/>
    </xf>
    <xf numFmtId="0" fontId="49" fillId="25" borderId="29" xfId="0" applyFont="1" applyFill="1" applyBorder="1" applyAlignment="1">
      <alignment horizontal="center" vertical="center"/>
    </xf>
    <xf numFmtId="0" fontId="49" fillId="25" borderId="28" xfId="0" applyFont="1" applyFill="1" applyBorder="1" applyAlignment="1">
      <alignment horizontal="center" vertical="center"/>
    </xf>
    <xf numFmtId="10" fontId="0" fillId="17" borderId="16" xfId="0" applyNumberFormat="1" applyFill="1" applyBorder="1" applyAlignment="1">
      <alignment horizontal="center"/>
    </xf>
    <xf numFmtId="10" fontId="0" fillId="17" borderId="8" xfId="0" applyNumberFormat="1" applyFill="1" applyBorder="1" applyAlignment="1">
      <alignment horizontal="center"/>
    </xf>
    <xf numFmtId="10" fontId="0" fillId="17" borderId="17" xfId="0" applyNumberFormat="1" applyFill="1" applyBorder="1" applyAlignment="1">
      <alignment horizontal="center"/>
    </xf>
    <xf numFmtId="0" fontId="22" fillId="17" borderId="22" xfId="0" applyFont="1" applyFill="1" applyBorder="1" applyAlignment="1" applyProtection="1">
      <alignment horizontal="center" vertical="center"/>
      <protection locked="0"/>
    </xf>
    <xf numFmtId="0" fontId="22" fillId="17" borderId="23" xfId="0" applyFont="1" applyFill="1" applyBorder="1" applyAlignment="1" applyProtection="1">
      <alignment horizontal="center" vertical="center"/>
      <protection locked="0"/>
    </xf>
    <xf numFmtId="0" fontId="22" fillId="17" borderId="24" xfId="0" applyFont="1" applyFill="1" applyBorder="1" applyAlignment="1" applyProtection="1">
      <alignment horizontal="center" vertical="center"/>
      <protection locked="0"/>
    </xf>
    <xf numFmtId="0" fontId="22" fillId="17" borderId="16" xfId="0" applyFont="1" applyFill="1" applyBorder="1" applyAlignment="1" applyProtection="1">
      <alignment horizontal="center" vertical="center"/>
      <protection locked="0"/>
    </xf>
    <xf numFmtId="0" fontId="22" fillId="17" borderId="8" xfId="0" applyFont="1" applyFill="1" applyBorder="1" applyAlignment="1" applyProtection="1">
      <alignment horizontal="center" vertical="center"/>
      <protection locked="0"/>
    </xf>
    <xf numFmtId="0" fontId="22" fillId="17" borderId="17" xfId="0" applyFont="1" applyFill="1" applyBorder="1" applyAlignment="1" applyProtection="1">
      <alignment horizontal="center" vertical="center"/>
      <protection locked="0"/>
    </xf>
    <xf numFmtId="0" fontId="22" fillId="17" borderId="27" xfId="0" applyFont="1" applyFill="1" applyBorder="1" applyAlignment="1" applyProtection="1">
      <alignment horizontal="center" vertical="center"/>
      <protection locked="0"/>
    </xf>
    <xf numFmtId="0" fontId="22" fillId="17" borderId="29" xfId="0" applyFont="1" applyFill="1" applyBorder="1" applyAlignment="1" applyProtection="1">
      <alignment horizontal="center" vertical="center"/>
      <protection locked="0"/>
    </xf>
    <xf numFmtId="0" fontId="22" fillId="17" borderId="28" xfId="0" applyFont="1" applyFill="1" applyBorder="1" applyAlignment="1" applyProtection="1">
      <alignment horizontal="center" vertical="center"/>
      <protection locked="0"/>
    </xf>
    <xf numFmtId="0" fontId="28" fillId="17" borderId="23" xfId="0" applyFont="1" applyFill="1" applyBorder="1" applyAlignment="1" applyProtection="1">
      <alignment horizontal="center" vertical="center" wrapText="1"/>
      <protection locked="0"/>
    </xf>
    <xf numFmtId="0" fontId="28" fillId="17" borderId="24" xfId="0" applyFont="1" applyFill="1" applyBorder="1" applyAlignment="1" applyProtection="1">
      <alignment horizontal="center" vertical="center" wrapText="1"/>
      <protection locked="0"/>
    </xf>
    <xf numFmtId="0" fontId="9" fillId="0" borderId="0" xfId="0" applyFont="1" applyAlignment="1" applyProtection="1">
      <alignment horizontal="center"/>
      <protection locked="0"/>
    </xf>
    <xf numFmtId="0" fontId="9" fillId="0" borderId="0" xfId="0" applyFont="1" applyAlignment="1" applyProtection="1">
      <alignment horizontal="left"/>
      <protection locked="0"/>
    </xf>
    <xf numFmtId="0" fontId="22" fillId="17" borderId="29" xfId="0" applyFont="1" applyFill="1" applyBorder="1" applyAlignment="1" applyProtection="1">
      <alignment horizontal="center"/>
      <protection locked="0"/>
    </xf>
    <xf numFmtId="0" fontId="22" fillId="17" borderId="28" xfId="0" applyFont="1" applyFill="1" applyBorder="1" applyAlignment="1" applyProtection="1">
      <alignment horizontal="center"/>
      <protection locked="0"/>
    </xf>
    <xf numFmtId="0" fontId="28" fillId="17" borderId="29" xfId="0" applyFont="1" applyFill="1" applyBorder="1" applyAlignment="1" applyProtection="1">
      <alignment horizontal="center" vertical="center" wrapText="1"/>
      <protection locked="0"/>
    </xf>
    <xf numFmtId="0" fontId="28" fillId="17" borderId="28" xfId="0" applyFont="1" applyFill="1" applyBorder="1" applyAlignment="1" applyProtection="1">
      <alignment horizontal="center" vertical="center" wrapText="1"/>
      <protection locked="0"/>
    </xf>
    <xf numFmtId="0" fontId="0" fillId="6" borderId="0" xfId="0" applyFill="1" applyAlignment="1">
      <alignment horizontal="center"/>
    </xf>
    <xf numFmtId="0" fontId="21" fillId="11" borderId="0" xfId="0" applyFont="1" applyFill="1" applyAlignment="1">
      <alignment horizontal="center"/>
    </xf>
    <xf numFmtId="0" fontId="0" fillId="10" borderId="0" xfId="0" applyFill="1" applyAlignment="1">
      <alignment horizontal="center"/>
    </xf>
    <xf numFmtId="0" fontId="11" fillId="9" borderId="0" xfId="0" applyFont="1" applyFill="1" applyAlignment="1">
      <alignment horizontal="center"/>
    </xf>
    <xf numFmtId="0" fontId="11" fillId="5" borderId="0" xfId="0" applyFont="1" applyFill="1" applyAlignment="1">
      <alignment horizontal="center"/>
    </xf>
    <xf numFmtId="0" fontId="0" fillId="8" borderId="0" xfId="0" applyFill="1" applyAlignment="1">
      <alignment horizontal="center"/>
    </xf>
    <xf numFmtId="0" fontId="4" fillId="29" borderId="0" xfId="0" applyFont="1" applyFill="1" applyAlignment="1">
      <alignment horizontal="right"/>
    </xf>
    <xf numFmtId="0" fontId="13" fillId="29" borderId="0" xfId="0" applyFont="1" applyFill="1" applyAlignment="1">
      <alignment horizontal="right"/>
    </xf>
    <xf numFmtId="0" fontId="4" fillId="3" borderId="4" xfId="0" applyFont="1" applyFill="1" applyBorder="1" applyAlignment="1">
      <alignment horizontal="right"/>
    </xf>
    <xf numFmtId="0" fontId="4" fillId="0" borderId="0" xfId="0" applyFont="1" applyAlignment="1">
      <alignment horizontal="center"/>
    </xf>
    <xf numFmtId="0" fontId="11" fillId="7" borderId="0" xfId="0" applyFont="1" applyFill="1" applyAlignment="1">
      <alignment horizontal="center"/>
    </xf>
    <xf numFmtId="0" fontId="4" fillId="8" borderId="0" xfId="0" applyFont="1" applyFill="1" applyAlignment="1">
      <alignment horizontal="center"/>
    </xf>
    <xf numFmtId="0" fontId="79" fillId="3" borderId="0" xfId="0" applyFont="1" applyFill="1" applyAlignment="1">
      <alignment horizontal="left" vertical="center"/>
    </xf>
    <xf numFmtId="0" fontId="4" fillId="21" borderId="0" xfId="0" applyFont="1" applyFill="1" applyAlignment="1">
      <alignment horizontal="center"/>
    </xf>
    <xf numFmtId="0" fontId="4" fillId="4" borderId="0" xfId="0" applyFont="1" applyFill="1" applyAlignment="1">
      <alignment horizontal="center"/>
    </xf>
    <xf numFmtId="0" fontId="4" fillId="19" borderId="0" xfId="0" applyFont="1" applyFill="1" applyAlignment="1">
      <alignment horizontal="center"/>
    </xf>
    <xf numFmtId="0" fontId="0" fillId="4" borderId="0" xfId="0" applyFill="1" applyAlignment="1">
      <alignment horizontal="center"/>
    </xf>
    <xf numFmtId="0" fontId="4" fillId="3" borderId="22" xfId="0" applyFont="1" applyFill="1" applyBorder="1" applyAlignment="1">
      <alignment horizontal="center"/>
    </xf>
    <xf numFmtId="0" fontId="4" fillId="3" borderId="23" xfId="0" applyFont="1" applyFill="1" applyBorder="1" applyAlignment="1">
      <alignment horizontal="center"/>
    </xf>
    <xf numFmtId="0" fontId="4" fillId="3" borderId="16" xfId="0" applyFont="1" applyFill="1" applyBorder="1" applyAlignment="1">
      <alignment horizontal="left"/>
    </xf>
    <xf numFmtId="0" fontId="4" fillId="3" borderId="8" xfId="0" applyFont="1" applyFill="1" applyBorder="1" applyAlignment="1">
      <alignment horizontal="left"/>
    </xf>
    <xf numFmtId="0" fontId="22" fillId="3" borderId="4" xfId="0" applyFont="1" applyFill="1" applyBorder="1" applyAlignment="1">
      <alignment horizontal="left" vertical="center"/>
    </xf>
    <xf numFmtId="0" fontId="19" fillId="3" borderId="0" xfId="0" applyFont="1" applyFill="1" applyAlignment="1">
      <alignment horizontal="center" vertical="center"/>
    </xf>
    <xf numFmtId="0" fontId="19" fillId="3" borderId="0" xfId="0" applyFont="1" applyFill="1" applyAlignment="1">
      <alignment horizontal="center"/>
    </xf>
    <xf numFmtId="0" fontId="19" fillId="3" borderId="30" xfId="0" applyFont="1" applyFill="1" applyBorder="1" applyAlignment="1">
      <alignment horizontal="center" vertical="center" wrapText="1"/>
    </xf>
    <xf numFmtId="0" fontId="19" fillId="3" borderId="31" xfId="0" applyFont="1" applyFill="1" applyBorder="1" applyAlignment="1">
      <alignment horizontal="center" vertical="center" wrapText="1"/>
    </xf>
    <xf numFmtId="0" fontId="19" fillId="3" borderId="23" xfId="0" applyFont="1" applyFill="1" applyBorder="1" applyAlignment="1">
      <alignment horizontal="center" vertical="center" wrapText="1"/>
    </xf>
    <xf numFmtId="0" fontId="32" fillId="0" borderId="22" xfId="0" applyFont="1" applyBorder="1" applyAlignment="1">
      <alignment horizontal="center" wrapText="1"/>
    </xf>
    <xf numFmtId="0" fontId="32" fillId="0" borderId="14" xfId="0" applyFont="1" applyBorder="1" applyAlignment="1">
      <alignment horizontal="center" wrapText="1"/>
    </xf>
    <xf numFmtId="0" fontId="19" fillId="3" borderId="32" xfId="0" applyFont="1" applyFill="1" applyBorder="1" applyAlignment="1">
      <alignment horizontal="center" vertical="center" wrapText="1"/>
    </xf>
    <xf numFmtId="0" fontId="19" fillId="3" borderId="33" xfId="0" applyFont="1" applyFill="1" applyBorder="1" applyAlignment="1">
      <alignment horizontal="center" vertical="center" wrapText="1"/>
    </xf>
    <xf numFmtId="0" fontId="19" fillId="3" borderId="36" xfId="0" applyFont="1" applyFill="1" applyBorder="1" applyAlignment="1">
      <alignment horizontal="center" vertical="center" wrapText="1"/>
    </xf>
    <xf numFmtId="0" fontId="19" fillId="3" borderId="14" xfId="0" applyFont="1" applyFill="1" applyBorder="1" applyAlignment="1">
      <alignment horizontal="center" vertical="center" wrapText="1"/>
    </xf>
    <xf numFmtId="0" fontId="19" fillId="3" borderId="0" xfId="0" applyFont="1" applyFill="1" applyAlignment="1">
      <alignment horizontal="center" vertical="center" wrapText="1"/>
    </xf>
    <xf numFmtId="0" fontId="19" fillId="3" borderId="24" xfId="0" applyFont="1" applyFill="1" applyBorder="1" applyAlignment="1">
      <alignment horizontal="center" vertical="center" wrapText="1"/>
    </xf>
    <xf numFmtId="0" fontId="4" fillId="3" borderId="24" xfId="0" applyFont="1" applyFill="1" applyBorder="1" applyAlignment="1">
      <alignment horizontal="center" wrapText="1"/>
    </xf>
    <xf numFmtId="0" fontId="4" fillId="3" borderId="15" xfId="0" applyFont="1" applyFill="1" applyBorder="1" applyAlignment="1">
      <alignment horizontal="center" wrapText="1"/>
    </xf>
    <xf numFmtId="0" fontId="4" fillId="3" borderId="22" xfId="0" applyFont="1" applyFill="1" applyBorder="1" applyAlignment="1">
      <alignment horizontal="center" vertical="center" wrapText="1"/>
    </xf>
    <xf numFmtId="0" fontId="4" fillId="3" borderId="23" xfId="0" applyFont="1" applyFill="1" applyBorder="1" applyAlignment="1">
      <alignment horizontal="center" vertical="center" wrapText="1"/>
    </xf>
    <xf numFmtId="0" fontId="4" fillId="3" borderId="24" xfId="0" applyFont="1" applyFill="1" applyBorder="1" applyAlignment="1">
      <alignment horizontal="center" vertical="center" wrapText="1"/>
    </xf>
    <xf numFmtId="0" fontId="22" fillId="3" borderId="22" xfId="0" applyFont="1" applyFill="1" applyBorder="1" applyAlignment="1">
      <alignment horizontal="center" vertical="center"/>
    </xf>
    <xf numFmtId="0" fontId="22" fillId="3" borderId="23" xfId="0" applyFont="1" applyFill="1" applyBorder="1" applyAlignment="1">
      <alignment horizontal="center" vertical="center"/>
    </xf>
    <xf numFmtId="0" fontId="22" fillId="3" borderId="24" xfId="0" applyFont="1" applyFill="1" applyBorder="1" applyAlignment="1">
      <alignment horizontal="center" vertical="center"/>
    </xf>
    <xf numFmtId="0" fontId="22" fillId="3" borderId="25" xfId="0" applyFont="1" applyFill="1" applyBorder="1" applyAlignment="1">
      <alignment horizontal="center" vertical="center"/>
    </xf>
    <xf numFmtId="0" fontId="22" fillId="3" borderId="3" xfId="0" applyFont="1" applyFill="1" applyBorder="1" applyAlignment="1">
      <alignment horizontal="center" vertical="center"/>
    </xf>
    <xf numFmtId="0" fontId="22" fillId="3" borderId="26" xfId="0" applyFont="1" applyFill="1" applyBorder="1" applyAlignment="1">
      <alignment horizontal="center" vertical="center"/>
    </xf>
    <xf numFmtId="0" fontId="32" fillId="3" borderId="15" xfId="0" applyFont="1" applyFill="1" applyBorder="1" applyAlignment="1">
      <alignment horizontal="center" wrapText="1"/>
    </xf>
    <xf numFmtId="0" fontId="32" fillId="3" borderId="26" xfId="0" applyFont="1" applyFill="1" applyBorder="1" applyAlignment="1">
      <alignment horizontal="center" wrapText="1"/>
    </xf>
  </cellXfs>
  <cellStyles count="8">
    <cellStyle name="Comma 2" xfId="5" xr:uid="{41A90225-F44C-4671-8F16-0A610A626966}"/>
    <cellStyle name="Comma 3" xfId="3" xr:uid="{FE8989AB-A697-4D7C-BBC3-CA8C7C284DD2}"/>
    <cellStyle name="Currency 2" xfId="6" xr:uid="{46C47C55-1CA5-4F1C-8365-19F2F1E4BB10}"/>
    <cellStyle name="Currency 3" xfId="4" xr:uid="{FAB847AC-3BD6-4A36-8299-F795046AF0B1}"/>
    <cellStyle name="千位分隔" xfId="1" builtinId="3"/>
    <cellStyle name="常规" xfId="0" builtinId="0"/>
    <cellStyle name="百分比" xfId="2" builtinId="5"/>
    <cellStyle name="超链接" xfId="7" builtinId="8"/>
  </cellStyles>
  <dxfs count="32">
    <dxf>
      <font>
        <color theme="1" tint="0.499984740745262"/>
      </font>
      <fill>
        <patternFill>
          <bgColor theme="7"/>
        </patternFill>
      </fill>
    </dxf>
    <dxf>
      <font>
        <color theme="1" tint="0.499984740745262"/>
      </font>
      <fill>
        <patternFill>
          <bgColor theme="5" tint="0.39994506668294322"/>
        </patternFill>
      </fill>
    </dxf>
    <dxf>
      <font>
        <color theme="1" tint="0.499984740745262"/>
      </font>
      <fill>
        <patternFill>
          <bgColor theme="2" tint="-0.499984740745262"/>
        </patternFill>
      </fill>
    </dxf>
    <dxf>
      <font>
        <color theme="1" tint="0.499984740745262"/>
      </font>
      <fill>
        <patternFill>
          <bgColor theme="2" tint="-0.24994659260841701"/>
        </patternFill>
      </fill>
    </dxf>
    <dxf>
      <font>
        <color theme="1" tint="0.499984740745262"/>
      </font>
      <fill>
        <patternFill>
          <bgColor theme="4" tint="-0.499984740745262"/>
        </patternFill>
      </fill>
    </dxf>
    <dxf>
      <font>
        <color theme="1" tint="0.499984740745262"/>
      </font>
      <fill>
        <patternFill>
          <bgColor theme="8" tint="-0.499984740745262"/>
        </patternFill>
      </fill>
    </dxf>
    <dxf>
      <font>
        <color theme="1" tint="0.499984740745262"/>
      </font>
      <fill>
        <patternFill>
          <bgColor theme="8" tint="-0.24994659260841701"/>
        </patternFill>
      </fill>
    </dxf>
    <dxf>
      <font>
        <color theme="1" tint="0.499984740745262"/>
      </font>
      <fill>
        <patternFill>
          <bgColor theme="8"/>
        </patternFill>
      </fill>
    </dxf>
    <dxf>
      <font>
        <color theme="1" tint="0.499984740745262"/>
      </font>
      <fill>
        <patternFill>
          <bgColor theme="8" tint="0.39994506668294322"/>
        </patternFill>
      </fill>
    </dxf>
    <dxf>
      <font>
        <color theme="1" tint="0.499984740745262"/>
      </font>
      <fill>
        <patternFill>
          <bgColor theme="4" tint="0.59996337778862885"/>
        </patternFill>
      </fill>
    </dxf>
    <dxf>
      <font>
        <color theme="1" tint="0.499984740745262"/>
      </font>
      <fill>
        <patternFill>
          <bgColor theme="7" tint="0.39994506668294322"/>
        </patternFill>
      </fill>
    </dxf>
    <dxf>
      <font>
        <color theme="1" tint="0.499984740745262"/>
      </font>
      <fill>
        <patternFill>
          <bgColor theme="7" tint="0.59996337778862885"/>
        </patternFill>
      </fill>
    </dxf>
    <dxf>
      <font>
        <color theme="1" tint="0.34998626667073579"/>
      </font>
      <fill>
        <patternFill>
          <bgColor theme="7" tint="0.79998168889431442"/>
        </patternFill>
      </fill>
    </dxf>
    <dxf>
      <font>
        <color theme="1" tint="0.499984740745262"/>
      </font>
      <fill>
        <patternFill>
          <bgColor theme="4" tint="0.79998168889431442"/>
        </patternFill>
      </fill>
    </dxf>
    <dxf>
      <font>
        <color theme="1" tint="0.499984740745262"/>
      </font>
      <fill>
        <patternFill>
          <bgColor rgb="FFFFF9E7"/>
        </patternFill>
      </fill>
    </dxf>
    <dxf>
      <fill>
        <patternFill>
          <bgColor theme="5" tint="0.59996337778862885"/>
        </patternFill>
      </fill>
    </dxf>
    <dxf>
      <fill>
        <patternFill>
          <bgColor theme="7" tint="0.79998168889431442"/>
        </patternFill>
      </fill>
    </dxf>
    <dxf>
      <fill>
        <patternFill>
          <bgColor theme="7" tint="0.59996337778862885"/>
        </patternFill>
      </fill>
    </dxf>
    <dxf>
      <fill>
        <patternFill>
          <bgColor rgb="FFFF9999"/>
        </patternFill>
      </fill>
    </dxf>
    <dxf>
      <fill>
        <patternFill>
          <bgColor rgb="FFFF9999"/>
        </patternFill>
      </fill>
    </dxf>
    <dxf>
      <fill>
        <patternFill>
          <bgColor rgb="FFFF9999"/>
        </patternFill>
      </fill>
    </dxf>
    <dxf>
      <fill>
        <patternFill>
          <bgColor rgb="FFFF9999"/>
        </patternFill>
      </fill>
    </dxf>
    <dxf>
      <fill>
        <patternFill>
          <bgColor rgb="FFFF9999"/>
        </patternFill>
      </fill>
    </dxf>
    <dxf>
      <fill>
        <patternFill>
          <bgColor rgb="FFFF9999"/>
        </patternFill>
      </fill>
    </dxf>
    <dxf>
      <fill>
        <patternFill>
          <bgColor rgb="FFFF9999"/>
        </patternFill>
      </fill>
    </dxf>
    <dxf>
      <numFmt numFmtId="168" formatCode="[$$-409]#,##0.00"/>
    </dxf>
    <dxf>
      <numFmt numFmtId="168" formatCode="[$$-409]#,##0.00"/>
    </dxf>
    <dxf>
      <numFmt numFmtId="168" formatCode="[$$-409]#,##0.00"/>
    </dxf>
    <dxf>
      <numFmt numFmtId="168" formatCode="[$$-409]#,##0.00"/>
    </dxf>
    <dxf>
      <numFmt numFmtId="168" formatCode="[$$-409]#,##0.00"/>
    </dxf>
    <dxf>
      <numFmt numFmtId="168" formatCode="[$$-409]#,##0.00"/>
    </dxf>
    <dxf>
      <numFmt numFmtId="168" formatCode="[$$-409]#,##0.00"/>
    </dxf>
  </dxfs>
  <tableStyles count="0" defaultTableStyle="TableStyleMedium2" defaultPivotStyle="PivotStyleLight16"/>
  <colors>
    <mruColors>
      <color rgb="FF996600"/>
      <color rgb="FFFFF9E7"/>
      <color rgb="FFFF7C80"/>
      <color rgb="FFD6BBEB"/>
      <color rgb="FFFFDB75"/>
      <color rgb="FFFFE2A7"/>
      <color rgb="FFFFCC66"/>
      <color rgb="FFFFCCFF"/>
      <color rgb="FFFF5050"/>
      <color rgb="FFCC99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17/10/relationships/person" Target="persons/person.xml"/><Relationship Id="rId10" Type="http://schemas.openxmlformats.org/officeDocument/2006/relationships/externalLink" Target="externalLinks/externalLink1.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5.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6.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27.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28.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_rels/chart29.xml.rels><?xml version="1.0" encoding="UTF-8" standalone="yes"?>
<Relationships xmlns="http://schemas.openxmlformats.org/package/2006/relationships"><Relationship Id="rId2" Type="http://schemas.microsoft.com/office/2011/relationships/chartColorStyle" Target="colors29.xml"/><Relationship Id="rId1" Type="http://schemas.microsoft.com/office/2011/relationships/chartStyle" Target="style29.xml"/></Relationships>
</file>

<file path=xl/charts/_rels/chart30.xml.rels><?xml version="1.0" encoding="UTF-8" standalone="yes"?>
<Relationships xmlns="http://schemas.openxmlformats.org/package/2006/relationships"><Relationship Id="rId2" Type="http://schemas.microsoft.com/office/2011/relationships/chartColorStyle" Target="colors30.xml"/><Relationship Id="rId1" Type="http://schemas.microsoft.com/office/2011/relationships/chartStyle" Target="style30.xml"/></Relationships>
</file>

<file path=xl/charts/_rels/chart31.xml.rels><?xml version="1.0" encoding="UTF-8" standalone="yes"?>
<Relationships xmlns="http://schemas.openxmlformats.org/package/2006/relationships"><Relationship Id="rId2" Type="http://schemas.microsoft.com/office/2011/relationships/chartColorStyle" Target="colors31.xml"/><Relationship Id="rId1" Type="http://schemas.microsoft.com/office/2011/relationships/chartStyle" Target="style3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ja-JP" sz="1920" b="0" i="0" u="none" strike="noStrike" kern="1200" spc="0" baseline="0">
                <a:solidFill>
                  <a:schemeClr val="tx1"/>
                </a:solidFill>
                <a:latin typeface="+mn-lt"/>
                <a:ea typeface="+mn-ea"/>
                <a:cs typeface="+mn-cs"/>
              </a:defRPr>
            </a:pPr>
            <a:r>
              <a:rPr lang="en-GB"/>
              <a:t>MinFin Projections in Absolute</a:t>
            </a:r>
            <a:r>
              <a:rPr lang="en-GB" baseline="0"/>
              <a:t> Terms</a:t>
            </a:r>
            <a:endParaRPr lang="en-GB"/>
          </a:p>
        </c:rich>
      </c:tx>
      <c:overlay val="0"/>
      <c:spPr>
        <a:noFill/>
        <a:ln>
          <a:noFill/>
        </a:ln>
        <a:effectLst/>
      </c:spPr>
      <c:txPr>
        <a:bodyPr rot="0" spcFirstLastPara="1" vertOverflow="ellipsis" vert="horz" wrap="square" anchor="ctr" anchorCtr="1"/>
        <a:lstStyle/>
        <a:p>
          <a:pPr>
            <a:defRPr lang="ja-JP" sz="1920" b="0" i="0" u="none" strike="noStrike" kern="1200" spc="0" baseline="0">
              <a:solidFill>
                <a:schemeClr val="tx1"/>
              </a:solidFill>
              <a:latin typeface="+mn-lt"/>
              <a:ea typeface="+mn-ea"/>
              <a:cs typeface="+mn-cs"/>
            </a:defRPr>
          </a:pPr>
          <a:endParaRPr lang="en-GB"/>
        </a:p>
      </c:txPr>
    </c:title>
    <c:autoTitleDeleted val="0"/>
    <c:plotArea>
      <c:layout/>
      <c:lineChart>
        <c:grouping val="standard"/>
        <c:varyColors val="0"/>
        <c:ser>
          <c:idx val="0"/>
          <c:order val="0"/>
          <c:tx>
            <c:v>Investment need</c:v>
          </c:tx>
          <c:spPr>
            <a:ln w="28575" cap="rnd">
              <a:solidFill>
                <a:schemeClr val="accent1"/>
              </a:solidFill>
              <a:round/>
            </a:ln>
            <a:effectLst/>
          </c:spPr>
          <c:marker>
            <c:symbol val="none"/>
          </c:marker>
          <c:val>
            <c:numRef>
              <c:f>'Visualisation Dashboard'!#REF!</c:f>
              <c:numCache>
                <c:formatCode>General</c:formatCode>
                <c:ptCount val="1"/>
                <c:pt idx="0">
                  <c:v>1</c:v>
                </c:pt>
              </c:numCache>
            </c:numRef>
          </c:val>
          <c:smooth val="0"/>
          <c:extLst>
            <c:ext xmlns:c15="http://schemas.microsoft.com/office/drawing/2012/chart" uri="{02D57815-91ED-43cb-92C2-25804820EDAC}">
              <c15:filteredCategoryTitle>
                <c15:cat>
                  <c:strRef>
                    <c:extLst>
                      <c:ext uri="{02D57815-91ED-43cb-92C2-25804820EDAC}">
                        <c15:formulaRef>
                          <c15:sqref>'Visualisation Dashboard'!#REF!</c15:sqref>
                        </c15:formulaRef>
                      </c:ext>
                    </c:extLst>
                    <c:strCache>
                      <c:ptCount val="1"/>
                      <c:pt idx="0">
                        <c:v>#REF!</c:v>
                      </c:pt>
                    </c:strCache>
                  </c:strRef>
                </c15:cat>
              </c15:filteredCategoryTitle>
            </c:ext>
            <c:ext xmlns:c16="http://schemas.microsoft.com/office/drawing/2014/chart" uri="{C3380CC4-5D6E-409C-BE32-E72D297353CC}">
              <c16:uniqueId val="{00000000-C140-9D4C-9518-339CBD3E8C7A}"/>
            </c:ext>
          </c:extLst>
        </c:ser>
        <c:ser>
          <c:idx val="1"/>
          <c:order val="1"/>
          <c:tx>
            <c:v>Funding availability</c:v>
          </c:tx>
          <c:spPr>
            <a:ln w="28575" cap="rnd">
              <a:solidFill>
                <a:schemeClr val="accent2"/>
              </a:solidFill>
              <a:round/>
            </a:ln>
            <a:effectLst/>
          </c:spPr>
          <c:marker>
            <c:symbol val="none"/>
          </c:marker>
          <c:val>
            <c:numRef>
              <c:f>'Visualisation Dashboard'!#REF!</c:f>
              <c:numCache>
                <c:formatCode>General</c:formatCode>
                <c:ptCount val="1"/>
                <c:pt idx="0">
                  <c:v>1</c:v>
                </c:pt>
              </c:numCache>
            </c:numRef>
          </c:val>
          <c:smooth val="0"/>
          <c:extLst>
            <c:ext xmlns:c15="http://schemas.microsoft.com/office/drawing/2012/chart" uri="{02D57815-91ED-43cb-92C2-25804820EDAC}">
              <c15:filteredCategoryTitle>
                <c15:cat>
                  <c:strRef>
                    <c:extLst>
                      <c:ext uri="{02D57815-91ED-43cb-92C2-25804820EDAC}">
                        <c15:formulaRef>
                          <c15:sqref>'Visualisation Dashboard'!#REF!</c15:sqref>
                        </c15:formulaRef>
                      </c:ext>
                    </c:extLst>
                    <c:strCache>
                      <c:ptCount val="1"/>
                      <c:pt idx="0">
                        <c:v>#REF!</c:v>
                      </c:pt>
                    </c:strCache>
                  </c:strRef>
                </c15:cat>
              </c15:filteredCategoryTitle>
            </c:ext>
            <c:ext xmlns:c16="http://schemas.microsoft.com/office/drawing/2014/chart" uri="{C3380CC4-5D6E-409C-BE32-E72D297353CC}">
              <c16:uniqueId val="{00000001-C140-9D4C-9518-339CBD3E8C7A}"/>
            </c:ext>
          </c:extLst>
        </c:ser>
        <c:ser>
          <c:idx val="3"/>
          <c:order val="2"/>
          <c:tx>
            <c:v>Financing requirement</c:v>
          </c:tx>
          <c:spPr>
            <a:ln w="28575" cap="rnd">
              <a:solidFill>
                <a:schemeClr val="accent4"/>
              </a:solidFill>
              <a:round/>
            </a:ln>
            <a:effectLst/>
          </c:spPr>
          <c:marker>
            <c:symbol val="none"/>
          </c:marker>
          <c:val>
            <c:numRef>
              <c:f>'Visualisation Dashboard'!#REF!</c:f>
              <c:numCache>
                <c:formatCode>General</c:formatCode>
                <c:ptCount val="1"/>
                <c:pt idx="0">
                  <c:v>1</c:v>
                </c:pt>
              </c:numCache>
            </c:numRef>
          </c:val>
          <c:smooth val="0"/>
          <c:extLst>
            <c:ext xmlns:c15="http://schemas.microsoft.com/office/drawing/2012/chart" uri="{02D57815-91ED-43cb-92C2-25804820EDAC}">
              <c15:filteredCategoryTitle>
                <c15:cat>
                  <c:strRef>
                    <c:extLst>
                      <c:ext uri="{02D57815-91ED-43cb-92C2-25804820EDAC}">
                        <c15:formulaRef>
                          <c15:sqref>'Visualisation Dashboard'!#REF!</c15:sqref>
                        </c15:formulaRef>
                      </c:ext>
                    </c:extLst>
                    <c:strCache>
                      <c:ptCount val="1"/>
                      <c:pt idx="0">
                        <c:v>#REF!</c:v>
                      </c:pt>
                    </c:strCache>
                  </c:strRef>
                </c15:cat>
              </c15:filteredCategoryTitle>
            </c:ext>
            <c:ext xmlns:c16="http://schemas.microsoft.com/office/drawing/2014/chart" uri="{C3380CC4-5D6E-409C-BE32-E72D297353CC}">
              <c16:uniqueId val="{00000002-C140-9D4C-9518-339CBD3E8C7A}"/>
            </c:ext>
          </c:extLst>
        </c:ser>
        <c:dLbls>
          <c:showLegendKey val="0"/>
          <c:showVal val="0"/>
          <c:showCatName val="0"/>
          <c:showSerName val="0"/>
          <c:showPercent val="0"/>
          <c:showBubbleSize val="0"/>
        </c:dLbls>
        <c:smooth val="0"/>
        <c:axId val="556246032"/>
        <c:axId val="556247952"/>
      </c:lineChart>
      <c:catAx>
        <c:axId val="556246032"/>
        <c:scaling>
          <c:orientation val="minMax"/>
        </c:scaling>
        <c:delete val="0"/>
        <c:axPos val="b"/>
        <c:title>
          <c:tx>
            <c:rich>
              <a:bodyPr rot="0" spcFirstLastPara="1" vertOverflow="ellipsis" vert="horz" wrap="square" anchor="ctr" anchorCtr="1"/>
              <a:lstStyle/>
              <a:p>
                <a:pPr>
                  <a:defRPr lang="ja-JP" sz="1600" b="0" i="0" u="none" strike="noStrike" kern="1200" baseline="0">
                    <a:solidFill>
                      <a:schemeClr val="tx1"/>
                    </a:solidFill>
                    <a:latin typeface="+mn-lt"/>
                    <a:ea typeface="+mn-ea"/>
                    <a:cs typeface="+mn-cs"/>
                  </a:defRPr>
                </a:pPr>
                <a:r>
                  <a:rPr lang="en-GB"/>
                  <a:t>Year</a:t>
                </a:r>
              </a:p>
            </c:rich>
          </c:tx>
          <c:overlay val="0"/>
          <c:spPr>
            <a:noFill/>
            <a:ln>
              <a:noFill/>
            </a:ln>
            <a:effectLst/>
          </c:spPr>
          <c:txPr>
            <a:bodyPr rot="0" spcFirstLastPara="1" vertOverflow="ellipsis" vert="horz" wrap="square" anchor="ctr" anchorCtr="1"/>
            <a:lstStyle/>
            <a:p>
              <a:pPr>
                <a:defRPr lang="ja-JP" sz="1600" b="0" i="0"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ja-JP" sz="1600" b="0" i="0" u="none" strike="noStrike" kern="1200" baseline="0">
                <a:solidFill>
                  <a:schemeClr val="tx1"/>
                </a:solidFill>
                <a:latin typeface="+mn-lt"/>
                <a:ea typeface="+mn-ea"/>
                <a:cs typeface="+mn-cs"/>
              </a:defRPr>
            </a:pPr>
            <a:endParaRPr lang="en-US"/>
          </a:p>
        </c:txPr>
        <c:crossAx val="556247952"/>
        <c:crosses val="autoZero"/>
        <c:auto val="1"/>
        <c:lblAlgn val="ctr"/>
        <c:lblOffset val="100"/>
        <c:tickLblSkip val="5"/>
        <c:noMultiLvlLbl val="0"/>
      </c:catAx>
      <c:valAx>
        <c:axId val="55624795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lang="ja-JP" sz="1600" b="0" i="0" u="none" strike="noStrike" kern="1200" baseline="0">
                    <a:solidFill>
                      <a:schemeClr val="tx1"/>
                    </a:solidFill>
                    <a:latin typeface="+mn-lt"/>
                    <a:ea typeface="+mn-ea"/>
                    <a:cs typeface="+mn-cs"/>
                  </a:defRPr>
                </a:pPr>
                <a:r>
                  <a:rPr lang="en-GB"/>
                  <a:t>Million US$</a:t>
                </a:r>
              </a:p>
            </c:rich>
          </c:tx>
          <c:overlay val="0"/>
          <c:spPr>
            <a:noFill/>
            <a:ln>
              <a:noFill/>
            </a:ln>
            <a:effectLst/>
          </c:spPr>
          <c:txPr>
            <a:bodyPr rot="-5400000" spcFirstLastPara="1" vertOverflow="ellipsis" vert="horz" wrap="square" anchor="ctr" anchorCtr="1"/>
            <a:lstStyle/>
            <a:p>
              <a:pPr>
                <a:defRPr lang="ja-JP" sz="1600" b="0" i="0" u="none" strike="noStrike" kern="1200" baseline="0">
                  <a:solidFill>
                    <a:schemeClr val="tx1"/>
                  </a:solidFill>
                  <a:latin typeface="+mn-lt"/>
                  <a:ea typeface="+mn-ea"/>
                  <a:cs typeface="+mn-cs"/>
                </a:defRPr>
              </a:pPr>
              <a:endParaRPr lang="en-US"/>
            </a:p>
          </c:txPr>
        </c:title>
        <c:numFmt formatCode="[$$-409]#,##0" sourceLinked="0"/>
        <c:majorTickMark val="none"/>
        <c:minorTickMark val="none"/>
        <c:tickLblPos val="nextTo"/>
        <c:spPr>
          <a:noFill/>
          <a:ln>
            <a:noFill/>
          </a:ln>
          <a:effectLst/>
        </c:spPr>
        <c:txPr>
          <a:bodyPr rot="-60000000" spcFirstLastPara="1" vertOverflow="ellipsis" vert="horz" wrap="square" anchor="ctr" anchorCtr="1"/>
          <a:lstStyle/>
          <a:p>
            <a:pPr>
              <a:defRPr lang="ja-JP" sz="1600" b="0" i="0" u="none" strike="noStrike" kern="1200" baseline="0">
                <a:solidFill>
                  <a:schemeClr val="tx1"/>
                </a:solidFill>
                <a:latin typeface="+mn-lt"/>
                <a:ea typeface="+mn-ea"/>
                <a:cs typeface="+mn-cs"/>
              </a:defRPr>
            </a:pPr>
            <a:endParaRPr lang="en-US"/>
          </a:p>
        </c:txPr>
        <c:crossAx val="55624603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lang="ja-JP" sz="1600" b="0"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sz="1600">
          <a:solidFill>
            <a:schemeClr val="tx1"/>
          </a:solidFill>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ja-JP" sz="1920" b="0" i="0" u="none" strike="noStrike" kern="1200" spc="0" baseline="0">
                <a:solidFill>
                  <a:schemeClr val="tx1"/>
                </a:solidFill>
                <a:latin typeface="+mn-lt"/>
                <a:ea typeface="+mn-ea"/>
                <a:cs typeface="+mn-cs"/>
              </a:defRPr>
            </a:pPr>
            <a:r>
              <a:rPr lang="en-GB"/>
              <a:t>Historic Sources of Funding Availability for Energy Investments</a:t>
            </a:r>
          </a:p>
        </c:rich>
      </c:tx>
      <c:overlay val="0"/>
      <c:spPr>
        <a:noFill/>
        <a:ln>
          <a:noFill/>
        </a:ln>
        <a:effectLst/>
      </c:spPr>
      <c:txPr>
        <a:bodyPr rot="0" spcFirstLastPara="1" vertOverflow="ellipsis" vert="horz" wrap="square" anchor="ctr" anchorCtr="1"/>
        <a:lstStyle/>
        <a:p>
          <a:pPr>
            <a:defRPr lang="ja-JP" sz="1920" b="0" i="0" u="none" strike="noStrike" kern="1200" spc="0" baseline="0">
              <a:solidFill>
                <a:schemeClr val="tx1"/>
              </a:solidFill>
              <a:latin typeface="+mn-lt"/>
              <a:ea typeface="+mn-ea"/>
              <a:cs typeface="+mn-cs"/>
            </a:defRPr>
          </a:pPr>
          <a:endParaRPr lang="en-US"/>
        </a:p>
      </c:txPr>
    </c:title>
    <c:autoTitleDeleted val="0"/>
    <c:plotArea>
      <c:layout/>
      <c:barChart>
        <c:barDir val="col"/>
        <c:grouping val="stacked"/>
        <c:varyColors val="0"/>
        <c:ser>
          <c:idx val="0"/>
          <c:order val="0"/>
          <c:tx>
            <c:v>Government Spending</c:v>
          </c:tx>
          <c:spPr>
            <a:solidFill>
              <a:srgbClr val="ECF0A2"/>
            </a:solidFill>
            <a:ln>
              <a:solidFill>
                <a:schemeClr val="tx1"/>
              </a:solidFill>
            </a:ln>
            <a:effectLst/>
          </c:spPr>
          <c:invertIfNegative val="0"/>
          <c:cat>
            <c:numRef>
              <c:f>'Funding Baseline'!$C$4:$P$4</c:f>
              <c:numCache>
                <c:formatCode>General</c:formatCode>
                <c:ptCount val="14"/>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numCache>
            </c:numRef>
          </c:cat>
          <c:val>
            <c:numRef>
              <c:f>'Funding Baseline'!$C$6:$P$6</c:f>
              <c:numCache>
                <c:formatCode>[$$-409]#,##0.00</c:formatCode>
                <c:ptCount val="14"/>
                <c:pt idx="0">
                  <c:v>212.58532153576101</c:v>
                </c:pt>
                <c:pt idx="1">
                  <c:v>212.58532153576147</c:v>
                </c:pt>
                <c:pt idx="2">
                  <c:v>212.58532153576147</c:v>
                </c:pt>
                <c:pt idx="3">
                  <c:v>185.199015453735</c:v>
                </c:pt>
                <c:pt idx="4">
                  <c:v>229.64720997846328</c:v>
                </c:pt>
                <c:pt idx="5">
                  <c:v>288.24101509199267</c:v>
                </c:pt>
                <c:pt idx="6">
                  <c:v>270.60436275485137</c:v>
                </c:pt>
                <c:pt idx="7">
                  <c:v>342.57746289418481</c:v>
                </c:pt>
                <c:pt idx="8">
                  <c:v>231.607570592088</c:v>
                </c:pt>
                <c:pt idx="9">
                  <c:v>241.06958523206123</c:v>
                </c:pt>
                <c:pt idx="10">
                  <c:v>180.71407570103051</c:v>
                </c:pt>
                <c:pt idx="11">
                  <c:v>192.86858750043089</c:v>
                </c:pt>
                <c:pt idx="12">
                  <c:v>129.43513309759894</c:v>
                </c:pt>
                <c:pt idx="13">
                  <c:v>92.520103865865337</c:v>
                </c:pt>
              </c:numCache>
            </c:numRef>
          </c:val>
          <c:extLst>
            <c:ext xmlns:c16="http://schemas.microsoft.com/office/drawing/2014/chart" uri="{C3380CC4-5D6E-409C-BE32-E72D297353CC}">
              <c16:uniqueId val="{00000000-1E0A-844D-A753-82012257B424}"/>
            </c:ext>
          </c:extLst>
        </c:ser>
        <c:ser>
          <c:idx val="1"/>
          <c:order val="1"/>
          <c:tx>
            <c:v>SOE internal cash generation</c:v>
          </c:tx>
          <c:spPr>
            <a:solidFill>
              <a:srgbClr val="C4DA4B"/>
            </a:solidFill>
            <a:ln>
              <a:solidFill>
                <a:schemeClr val="tx1"/>
              </a:solidFill>
            </a:ln>
            <a:effectLst/>
          </c:spPr>
          <c:invertIfNegative val="0"/>
          <c:cat>
            <c:numRef>
              <c:f>'Funding Baseline'!$C$4:$P$4</c:f>
              <c:numCache>
                <c:formatCode>General</c:formatCode>
                <c:ptCount val="14"/>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numCache>
            </c:numRef>
          </c:cat>
          <c:val>
            <c:numRef>
              <c:f>'Funding Baseline'!$C$7:$P$7</c:f>
              <c:numCache>
                <c:formatCode>[$$-409]#,##0.00</c:formatCode>
                <c:ptCount val="14"/>
                <c:pt idx="0">
                  <c:v>136.58931862877446</c:v>
                </c:pt>
                <c:pt idx="1">
                  <c:v>137.0466876254772</c:v>
                </c:pt>
                <c:pt idx="2">
                  <c:v>136.39326491913957</c:v>
                </c:pt>
                <c:pt idx="3">
                  <c:v>283.43636808559648</c:v>
                </c:pt>
                <c:pt idx="4">
                  <c:v>212.10732336522437</c:v>
                </c:pt>
                <c:pt idx="5">
                  <c:v>300.46436134912653</c:v>
                </c:pt>
                <c:pt idx="6">
                  <c:v>435.70610172217857</c:v>
                </c:pt>
                <c:pt idx="7">
                  <c:v>268.49133281775369</c:v>
                </c:pt>
                <c:pt idx="8">
                  <c:v>346.12047916485352</c:v>
                </c:pt>
                <c:pt idx="9">
                  <c:v>428.13028092168685</c:v>
                </c:pt>
                <c:pt idx="10">
                  <c:v>307.20255660961669</c:v>
                </c:pt>
                <c:pt idx="11">
                  <c:v>355.47405699460865</c:v>
                </c:pt>
                <c:pt idx="12">
                  <c:v>301.0071975765585</c:v>
                </c:pt>
                <c:pt idx="13">
                  <c:v>290.02527216498964</c:v>
                </c:pt>
              </c:numCache>
            </c:numRef>
          </c:val>
          <c:extLst>
            <c:ext xmlns:c16="http://schemas.microsoft.com/office/drawing/2014/chart" uri="{C3380CC4-5D6E-409C-BE32-E72D297353CC}">
              <c16:uniqueId val="{00000001-1E0A-844D-A753-82012257B424}"/>
            </c:ext>
          </c:extLst>
        </c:ser>
        <c:ser>
          <c:idx val="2"/>
          <c:order val="2"/>
          <c:tx>
            <c:strRef>
              <c:f>'Funding Baseline'!$A$8</c:f>
              <c:strCache>
                <c:ptCount val="1"/>
                <c:pt idx="0">
                  <c:v>International Grants</c:v>
                </c:pt>
              </c:strCache>
            </c:strRef>
          </c:tx>
          <c:spPr>
            <a:solidFill>
              <a:srgbClr val="8BBF3E"/>
            </a:solidFill>
            <a:ln>
              <a:solidFill>
                <a:schemeClr val="tx1"/>
              </a:solidFill>
            </a:ln>
            <a:effectLst/>
          </c:spPr>
          <c:invertIfNegative val="0"/>
          <c:cat>
            <c:numRef>
              <c:f>'Funding Baseline'!$C$4:$P$4</c:f>
              <c:numCache>
                <c:formatCode>General</c:formatCode>
                <c:ptCount val="14"/>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numCache>
            </c:numRef>
          </c:cat>
          <c:val>
            <c:numRef>
              <c:f>'Funding Baseline'!$C$8:$P$8</c:f>
              <c:numCache>
                <c:formatCode>[$$-409]#,##0.00</c:formatCode>
                <c:ptCount val="14"/>
                <c:pt idx="0">
                  <c:v>8.15</c:v>
                </c:pt>
                <c:pt idx="1">
                  <c:v>17.5</c:v>
                </c:pt>
                <c:pt idx="2">
                  <c:v>0</c:v>
                </c:pt>
                <c:pt idx="3">
                  <c:v>8.4</c:v>
                </c:pt>
                <c:pt idx="4">
                  <c:v>0.95</c:v>
                </c:pt>
                <c:pt idx="5">
                  <c:v>41.8</c:v>
                </c:pt>
                <c:pt idx="6">
                  <c:v>2.4773769999999997</c:v>
                </c:pt>
                <c:pt idx="7">
                  <c:v>0</c:v>
                </c:pt>
                <c:pt idx="8">
                  <c:v>0</c:v>
                </c:pt>
                <c:pt idx="9">
                  <c:v>17.3</c:v>
                </c:pt>
                <c:pt idx="10">
                  <c:v>22.517179311916156</c:v>
                </c:pt>
                <c:pt idx="11">
                  <c:v>0</c:v>
                </c:pt>
                <c:pt idx="12">
                  <c:v>0</c:v>
                </c:pt>
                <c:pt idx="13">
                  <c:v>0</c:v>
                </c:pt>
              </c:numCache>
            </c:numRef>
          </c:val>
          <c:extLst>
            <c:ext xmlns:c16="http://schemas.microsoft.com/office/drawing/2014/chart" uri="{C3380CC4-5D6E-409C-BE32-E72D297353CC}">
              <c16:uniqueId val="{00000002-1E0A-844D-A753-82012257B424}"/>
            </c:ext>
          </c:extLst>
        </c:ser>
        <c:dLbls>
          <c:showLegendKey val="0"/>
          <c:showVal val="0"/>
          <c:showCatName val="0"/>
          <c:showSerName val="0"/>
          <c:showPercent val="0"/>
          <c:showBubbleSize val="0"/>
        </c:dLbls>
        <c:gapWidth val="55"/>
        <c:overlap val="100"/>
        <c:axId val="1872918304"/>
        <c:axId val="1873411936"/>
      </c:barChart>
      <c:catAx>
        <c:axId val="1872918304"/>
        <c:scaling>
          <c:orientation val="minMax"/>
        </c:scaling>
        <c:delete val="0"/>
        <c:axPos val="b"/>
        <c:title>
          <c:tx>
            <c:rich>
              <a:bodyPr rot="0" spcFirstLastPara="1" vertOverflow="ellipsis" vert="horz" wrap="square" anchor="ctr" anchorCtr="1"/>
              <a:lstStyle/>
              <a:p>
                <a:pPr>
                  <a:defRPr lang="ja-JP" sz="1600" b="0" i="0" u="none" strike="noStrike" kern="1200" baseline="0">
                    <a:solidFill>
                      <a:schemeClr val="tx1"/>
                    </a:solidFill>
                    <a:latin typeface="+mn-lt"/>
                    <a:ea typeface="+mn-ea"/>
                    <a:cs typeface="+mn-cs"/>
                  </a:defRPr>
                </a:pPr>
                <a:r>
                  <a:rPr lang="en-GB"/>
                  <a:t>Year</a:t>
                </a:r>
              </a:p>
            </c:rich>
          </c:tx>
          <c:overlay val="0"/>
          <c:spPr>
            <a:noFill/>
            <a:ln>
              <a:noFill/>
            </a:ln>
            <a:effectLst/>
          </c:spPr>
          <c:txPr>
            <a:bodyPr rot="0" spcFirstLastPara="1" vertOverflow="ellipsis" vert="horz" wrap="square" anchor="ctr" anchorCtr="1"/>
            <a:lstStyle/>
            <a:p>
              <a:pPr>
                <a:defRPr lang="ja-JP" sz="1600" b="0" i="0"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ja-JP" sz="1600" b="0" i="0" u="none" strike="noStrike" kern="1200" baseline="0">
                <a:solidFill>
                  <a:schemeClr val="tx1"/>
                </a:solidFill>
                <a:latin typeface="+mn-lt"/>
                <a:ea typeface="+mn-ea"/>
                <a:cs typeface="+mn-cs"/>
              </a:defRPr>
            </a:pPr>
            <a:endParaRPr lang="en-US"/>
          </a:p>
        </c:txPr>
        <c:crossAx val="1873411936"/>
        <c:crosses val="autoZero"/>
        <c:auto val="1"/>
        <c:lblAlgn val="ctr"/>
        <c:lblOffset val="100"/>
        <c:noMultiLvlLbl val="0"/>
      </c:catAx>
      <c:valAx>
        <c:axId val="187341193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lang="ja-JP" sz="1600" b="0" i="0" u="none" strike="noStrike" kern="1200" baseline="0">
                    <a:solidFill>
                      <a:schemeClr val="tx1"/>
                    </a:solidFill>
                    <a:latin typeface="+mn-lt"/>
                    <a:ea typeface="+mn-ea"/>
                    <a:cs typeface="+mn-cs"/>
                  </a:defRPr>
                </a:pPr>
                <a:r>
                  <a:rPr lang="en-GB"/>
                  <a:t>Million US$</a:t>
                </a:r>
              </a:p>
            </c:rich>
          </c:tx>
          <c:overlay val="0"/>
          <c:spPr>
            <a:noFill/>
            <a:ln>
              <a:noFill/>
            </a:ln>
            <a:effectLst/>
          </c:spPr>
          <c:txPr>
            <a:bodyPr rot="-5400000" spcFirstLastPara="1" vertOverflow="ellipsis" vert="horz" wrap="square" anchor="ctr" anchorCtr="1"/>
            <a:lstStyle/>
            <a:p>
              <a:pPr>
                <a:defRPr lang="ja-JP" sz="1600" b="0" i="0" u="none" strike="noStrike" kern="1200" baseline="0">
                  <a:solidFill>
                    <a:schemeClr val="tx1"/>
                  </a:solidFill>
                  <a:latin typeface="+mn-lt"/>
                  <a:ea typeface="+mn-ea"/>
                  <a:cs typeface="+mn-cs"/>
                </a:defRPr>
              </a:pPr>
              <a:endParaRPr lang="en-US"/>
            </a:p>
          </c:txPr>
        </c:title>
        <c:numFmt formatCode="[$$-409]#,##0" sourceLinked="0"/>
        <c:majorTickMark val="none"/>
        <c:minorTickMark val="none"/>
        <c:tickLblPos val="nextTo"/>
        <c:spPr>
          <a:noFill/>
          <a:ln>
            <a:noFill/>
          </a:ln>
          <a:effectLst/>
        </c:spPr>
        <c:txPr>
          <a:bodyPr rot="-60000000" spcFirstLastPara="1" vertOverflow="ellipsis" vert="horz" wrap="square" anchor="ctr" anchorCtr="1"/>
          <a:lstStyle/>
          <a:p>
            <a:pPr>
              <a:defRPr lang="ja-JP" sz="1600" b="0" i="0" u="none" strike="noStrike" kern="1200" baseline="0">
                <a:solidFill>
                  <a:schemeClr val="tx1"/>
                </a:solidFill>
                <a:latin typeface="+mn-lt"/>
                <a:ea typeface="+mn-ea"/>
                <a:cs typeface="+mn-cs"/>
              </a:defRPr>
            </a:pPr>
            <a:endParaRPr lang="en-US"/>
          </a:p>
        </c:txPr>
        <c:crossAx val="187291830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lang="ja-JP" sz="1600" b="0"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sz="1600">
          <a:solidFill>
            <a:schemeClr val="tx1"/>
          </a:solidFill>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ja-JP" sz="1920" b="0" i="0" u="none" strike="noStrike" kern="1200" spc="0" baseline="0">
                <a:solidFill>
                  <a:schemeClr val="tx1"/>
                </a:solidFill>
                <a:latin typeface="+mn-lt"/>
                <a:ea typeface="+mn-ea"/>
                <a:cs typeface="+mn-cs"/>
              </a:defRPr>
            </a:pPr>
            <a:r>
              <a:rPr lang="en-GB" baseline="0"/>
              <a:t>Projected </a:t>
            </a:r>
            <a:r>
              <a:rPr lang="en-GB"/>
              <a:t>Funding Availability for Energy Investments by Source</a:t>
            </a:r>
          </a:p>
        </c:rich>
      </c:tx>
      <c:overlay val="0"/>
      <c:spPr>
        <a:noFill/>
        <a:ln>
          <a:noFill/>
        </a:ln>
        <a:effectLst/>
      </c:spPr>
      <c:txPr>
        <a:bodyPr rot="0" spcFirstLastPara="1" vertOverflow="ellipsis" vert="horz" wrap="square" anchor="ctr" anchorCtr="1"/>
        <a:lstStyle/>
        <a:p>
          <a:pPr>
            <a:defRPr lang="ja-JP" sz="1920" b="0" i="0" u="none" strike="noStrike" kern="1200" spc="0" baseline="0">
              <a:solidFill>
                <a:schemeClr val="tx1"/>
              </a:solidFill>
              <a:latin typeface="+mn-lt"/>
              <a:ea typeface="+mn-ea"/>
              <a:cs typeface="+mn-cs"/>
            </a:defRPr>
          </a:pPr>
          <a:endParaRPr lang="en-US"/>
        </a:p>
      </c:txPr>
    </c:title>
    <c:autoTitleDeleted val="0"/>
    <c:plotArea>
      <c:layout/>
      <c:barChart>
        <c:barDir val="col"/>
        <c:grouping val="stacked"/>
        <c:varyColors val="0"/>
        <c:ser>
          <c:idx val="0"/>
          <c:order val="0"/>
          <c:spPr>
            <a:solidFill>
              <a:schemeClr val="accent1"/>
            </a:solidFill>
            <a:ln>
              <a:noFill/>
            </a:ln>
            <a:effectLst/>
          </c:spPr>
          <c:invertIfNegative val="0"/>
          <c:val>
            <c:numRef>
              <c:f>'Visualisation Dashboard'!#REF!</c:f>
              <c:numCache>
                <c:formatCode>General</c:formatCode>
                <c:ptCount val="1"/>
                <c:pt idx="0">
                  <c:v>1</c:v>
                </c:pt>
              </c:numCache>
            </c:numRef>
          </c:val>
          <c:extLst>
            <c:ext xmlns:c15="http://schemas.microsoft.com/office/drawing/2012/chart" uri="{02D57815-91ED-43cb-92C2-25804820EDAC}">
              <c15:filteredSeriesTitle>
                <c15:tx>
                  <c:strRef>
                    <c:extLst>
                      <c:ext uri="{02D57815-91ED-43cb-92C2-25804820EDAC}">
                        <c15:formulaRef>
                          <c15:sqref>'Visualisation Dashboard'!#REF!</c15:sqref>
                        </c15:formulaRef>
                      </c:ext>
                    </c:extLst>
                    <c:strCache>
                      <c:ptCount val="1"/>
                      <c:pt idx="0">
                        <c:v>#REF!</c:v>
                      </c:pt>
                    </c:strCache>
                  </c:strRef>
                </c15:tx>
              </c15:filteredSeriesTitle>
            </c:ext>
            <c:ext xmlns:c15="http://schemas.microsoft.com/office/drawing/2012/chart" uri="{02D57815-91ED-43cb-92C2-25804820EDAC}">
              <c15:filteredCategoryTitle>
                <c15:cat>
                  <c:strRef>
                    <c:extLst>
                      <c:ext uri="{02D57815-91ED-43cb-92C2-25804820EDAC}">
                        <c15:formulaRef>
                          <c15:sqref>'Visualisation Dashboard'!#REF!</c15:sqref>
                        </c15:formulaRef>
                      </c:ext>
                    </c:extLst>
                    <c:strCache>
                      <c:ptCount val="1"/>
                      <c:pt idx="0">
                        <c:v>#REF!</c:v>
                      </c:pt>
                    </c:strCache>
                  </c:strRef>
                </c15:cat>
              </c15:filteredCategoryTitle>
            </c:ext>
            <c:ext xmlns:c16="http://schemas.microsoft.com/office/drawing/2014/chart" uri="{C3380CC4-5D6E-409C-BE32-E72D297353CC}">
              <c16:uniqueId val="{00000000-CF59-354A-A151-6ED0AFD44A6D}"/>
            </c:ext>
          </c:extLst>
        </c:ser>
        <c:ser>
          <c:idx val="1"/>
          <c:order val="1"/>
          <c:spPr>
            <a:solidFill>
              <a:schemeClr val="accent2"/>
            </a:solidFill>
            <a:ln>
              <a:noFill/>
            </a:ln>
            <a:effectLst/>
          </c:spPr>
          <c:invertIfNegative val="0"/>
          <c:val>
            <c:numRef>
              <c:f>'Visualisation Dashboard'!#REF!</c:f>
              <c:numCache>
                <c:formatCode>General</c:formatCode>
                <c:ptCount val="1"/>
                <c:pt idx="0">
                  <c:v>1</c:v>
                </c:pt>
              </c:numCache>
            </c:numRef>
          </c:val>
          <c:extLst>
            <c:ext xmlns:c15="http://schemas.microsoft.com/office/drawing/2012/chart" uri="{02D57815-91ED-43cb-92C2-25804820EDAC}">
              <c15:filteredSeriesTitle>
                <c15:tx>
                  <c:strRef>
                    <c:extLst>
                      <c:ext uri="{02D57815-91ED-43cb-92C2-25804820EDAC}">
                        <c15:formulaRef>
                          <c15:sqref>'Visualisation Dashboard'!#REF!</c15:sqref>
                        </c15:formulaRef>
                      </c:ext>
                    </c:extLst>
                    <c:strCache>
                      <c:ptCount val="1"/>
                      <c:pt idx="0">
                        <c:v>#REF!</c:v>
                      </c:pt>
                    </c:strCache>
                  </c:strRef>
                </c15:tx>
              </c15:filteredSeriesTitle>
            </c:ext>
            <c:ext xmlns:c15="http://schemas.microsoft.com/office/drawing/2012/chart" uri="{02D57815-91ED-43cb-92C2-25804820EDAC}">
              <c15:filteredCategoryTitle>
                <c15:cat>
                  <c:strRef>
                    <c:extLst>
                      <c:ext uri="{02D57815-91ED-43cb-92C2-25804820EDAC}">
                        <c15:formulaRef>
                          <c15:sqref>'Visualisation Dashboard'!#REF!</c15:sqref>
                        </c15:formulaRef>
                      </c:ext>
                    </c:extLst>
                    <c:strCache>
                      <c:ptCount val="1"/>
                      <c:pt idx="0">
                        <c:v>#REF!</c:v>
                      </c:pt>
                    </c:strCache>
                  </c:strRef>
                </c15:cat>
              </c15:filteredCategoryTitle>
            </c:ext>
            <c:ext xmlns:c16="http://schemas.microsoft.com/office/drawing/2014/chart" uri="{C3380CC4-5D6E-409C-BE32-E72D297353CC}">
              <c16:uniqueId val="{00000001-CF59-354A-A151-6ED0AFD44A6D}"/>
            </c:ext>
          </c:extLst>
        </c:ser>
        <c:ser>
          <c:idx val="2"/>
          <c:order val="2"/>
          <c:spPr>
            <a:solidFill>
              <a:schemeClr val="accent3"/>
            </a:solidFill>
            <a:ln>
              <a:noFill/>
            </a:ln>
            <a:effectLst/>
          </c:spPr>
          <c:invertIfNegative val="0"/>
          <c:val>
            <c:numRef>
              <c:f>'Visualisation Dashboard'!#REF!</c:f>
              <c:numCache>
                <c:formatCode>General</c:formatCode>
                <c:ptCount val="1"/>
                <c:pt idx="0">
                  <c:v>1</c:v>
                </c:pt>
              </c:numCache>
            </c:numRef>
          </c:val>
          <c:extLst>
            <c:ext xmlns:c15="http://schemas.microsoft.com/office/drawing/2012/chart" uri="{02D57815-91ED-43cb-92C2-25804820EDAC}">
              <c15:filteredSeriesTitle>
                <c15:tx>
                  <c:strRef>
                    <c:extLst>
                      <c:ext uri="{02D57815-91ED-43cb-92C2-25804820EDAC}">
                        <c15:formulaRef>
                          <c15:sqref>'Visualisation Dashboard'!#REF!</c15:sqref>
                        </c15:formulaRef>
                      </c:ext>
                    </c:extLst>
                    <c:strCache>
                      <c:ptCount val="1"/>
                      <c:pt idx="0">
                        <c:v>#REF!</c:v>
                      </c:pt>
                    </c:strCache>
                  </c:strRef>
                </c15:tx>
              </c15:filteredSeriesTitle>
            </c:ext>
            <c:ext xmlns:c15="http://schemas.microsoft.com/office/drawing/2012/chart" uri="{02D57815-91ED-43cb-92C2-25804820EDAC}">
              <c15:filteredCategoryTitle>
                <c15:cat>
                  <c:strRef>
                    <c:extLst>
                      <c:ext uri="{02D57815-91ED-43cb-92C2-25804820EDAC}">
                        <c15:formulaRef>
                          <c15:sqref>'Visualisation Dashboard'!#REF!</c15:sqref>
                        </c15:formulaRef>
                      </c:ext>
                    </c:extLst>
                    <c:strCache>
                      <c:ptCount val="1"/>
                      <c:pt idx="0">
                        <c:v>#REF!</c:v>
                      </c:pt>
                    </c:strCache>
                  </c:strRef>
                </c15:cat>
              </c15:filteredCategoryTitle>
            </c:ext>
            <c:ext xmlns:c16="http://schemas.microsoft.com/office/drawing/2014/chart" uri="{C3380CC4-5D6E-409C-BE32-E72D297353CC}">
              <c16:uniqueId val="{00000002-CF59-354A-A151-6ED0AFD44A6D}"/>
            </c:ext>
          </c:extLst>
        </c:ser>
        <c:ser>
          <c:idx val="3"/>
          <c:order val="3"/>
          <c:spPr>
            <a:solidFill>
              <a:schemeClr val="accent4"/>
            </a:solidFill>
            <a:ln>
              <a:noFill/>
            </a:ln>
            <a:effectLst/>
          </c:spPr>
          <c:invertIfNegative val="0"/>
          <c:val>
            <c:numRef>
              <c:f>'Visualisation Dashboard'!#REF!</c:f>
              <c:numCache>
                <c:formatCode>General</c:formatCode>
                <c:ptCount val="1"/>
                <c:pt idx="0">
                  <c:v>1</c:v>
                </c:pt>
              </c:numCache>
            </c:numRef>
          </c:val>
          <c:extLst>
            <c:ext xmlns:c15="http://schemas.microsoft.com/office/drawing/2012/chart" uri="{02D57815-91ED-43cb-92C2-25804820EDAC}">
              <c15:filteredSeriesTitle>
                <c15:tx>
                  <c:strRef>
                    <c:extLst>
                      <c:ext uri="{02D57815-91ED-43cb-92C2-25804820EDAC}">
                        <c15:formulaRef>
                          <c15:sqref>'Visualisation Dashboard'!#REF!</c15:sqref>
                        </c15:formulaRef>
                      </c:ext>
                    </c:extLst>
                    <c:strCache>
                      <c:ptCount val="1"/>
                      <c:pt idx="0">
                        <c:v>#REF!</c:v>
                      </c:pt>
                    </c:strCache>
                  </c:strRef>
                </c15:tx>
              </c15:filteredSeriesTitle>
            </c:ext>
            <c:ext xmlns:c15="http://schemas.microsoft.com/office/drawing/2012/chart" uri="{02D57815-91ED-43cb-92C2-25804820EDAC}">
              <c15:filteredCategoryTitle>
                <c15:cat>
                  <c:strRef>
                    <c:extLst>
                      <c:ext uri="{02D57815-91ED-43cb-92C2-25804820EDAC}">
                        <c15:formulaRef>
                          <c15:sqref>'Visualisation Dashboard'!#REF!</c15:sqref>
                        </c15:formulaRef>
                      </c:ext>
                    </c:extLst>
                    <c:strCache>
                      <c:ptCount val="1"/>
                      <c:pt idx="0">
                        <c:v>#REF!</c:v>
                      </c:pt>
                    </c:strCache>
                  </c:strRef>
                </c15:cat>
              </c15:filteredCategoryTitle>
            </c:ext>
            <c:ext xmlns:c16="http://schemas.microsoft.com/office/drawing/2014/chart" uri="{C3380CC4-5D6E-409C-BE32-E72D297353CC}">
              <c16:uniqueId val="{00000003-CF59-354A-A151-6ED0AFD44A6D}"/>
            </c:ext>
          </c:extLst>
        </c:ser>
        <c:dLbls>
          <c:showLegendKey val="0"/>
          <c:showVal val="0"/>
          <c:showCatName val="0"/>
          <c:showSerName val="0"/>
          <c:showPercent val="0"/>
          <c:showBubbleSize val="0"/>
        </c:dLbls>
        <c:gapWidth val="55"/>
        <c:overlap val="100"/>
        <c:axId val="314273503"/>
        <c:axId val="314275151"/>
      </c:barChart>
      <c:catAx>
        <c:axId val="314273503"/>
        <c:scaling>
          <c:orientation val="minMax"/>
        </c:scaling>
        <c:delete val="0"/>
        <c:axPos val="b"/>
        <c:title>
          <c:tx>
            <c:rich>
              <a:bodyPr rot="0" spcFirstLastPara="1" vertOverflow="ellipsis" vert="horz" wrap="square" anchor="ctr" anchorCtr="1"/>
              <a:lstStyle/>
              <a:p>
                <a:pPr>
                  <a:defRPr lang="ja-JP" sz="1600" b="0" i="0" u="none" strike="noStrike" kern="1200" baseline="0">
                    <a:solidFill>
                      <a:schemeClr val="tx1"/>
                    </a:solidFill>
                    <a:latin typeface="+mn-lt"/>
                    <a:ea typeface="+mn-ea"/>
                    <a:cs typeface="+mn-cs"/>
                  </a:defRPr>
                </a:pPr>
                <a:r>
                  <a:rPr lang="en-GB"/>
                  <a:t>Year</a:t>
                </a:r>
              </a:p>
            </c:rich>
          </c:tx>
          <c:overlay val="0"/>
          <c:spPr>
            <a:noFill/>
            <a:ln>
              <a:noFill/>
            </a:ln>
            <a:effectLst/>
          </c:spPr>
          <c:txPr>
            <a:bodyPr rot="0" spcFirstLastPara="1" vertOverflow="ellipsis" vert="horz" wrap="square" anchor="ctr" anchorCtr="1"/>
            <a:lstStyle/>
            <a:p>
              <a:pPr>
                <a:defRPr lang="ja-JP" sz="1600" b="0" i="0"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ja-JP" sz="1600" b="0" i="0" u="none" strike="noStrike" kern="1200" baseline="0">
                <a:solidFill>
                  <a:schemeClr val="tx1"/>
                </a:solidFill>
                <a:latin typeface="+mn-lt"/>
                <a:ea typeface="+mn-ea"/>
                <a:cs typeface="+mn-cs"/>
              </a:defRPr>
            </a:pPr>
            <a:endParaRPr lang="en-US"/>
          </a:p>
        </c:txPr>
        <c:crossAx val="314275151"/>
        <c:crosses val="autoZero"/>
        <c:auto val="1"/>
        <c:lblAlgn val="ctr"/>
        <c:lblOffset val="100"/>
        <c:tickLblSkip val="5"/>
        <c:noMultiLvlLbl val="0"/>
      </c:catAx>
      <c:valAx>
        <c:axId val="31427515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lang="ja-JP" sz="1600" b="0" i="0" u="none" strike="noStrike" kern="1200" baseline="0">
                    <a:solidFill>
                      <a:schemeClr val="tx1"/>
                    </a:solidFill>
                    <a:latin typeface="+mn-lt"/>
                    <a:ea typeface="+mn-ea"/>
                    <a:cs typeface="+mn-cs"/>
                  </a:defRPr>
                </a:pPr>
                <a:r>
                  <a:rPr lang="en-GB"/>
                  <a:t>Million US$</a:t>
                </a:r>
              </a:p>
            </c:rich>
          </c:tx>
          <c:overlay val="0"/>
          <c:spPr>
            <a:noFill/>
            <a:ln>
              <a:noFill/>
            </a:ln>
            <a:effectLst/>
          </c:spPr>
          <c:txPr>
            <a:bodyPr rot="-5400000" spcFirstLastPara="1" vertOverflow="ellipsis" vert="horz" wrap="square" anchor="ctr" anchorCtr="1"/>
            <a:lstStyle/>
            <a:p>
              <a:pPr>
                <a:defRPr lang="ja-JP" sz="1600" b="0" i="0" u="none" strike="noStrike" kern="1200" baseline="0">
                  <a:solidFill>
                    <a:schemeClr val="tx1"/>
                  </a:solidFill>
                  <a:latin typeface="+mn-lt"/>
                  <a:ea typeface="+mn-ea"/>
                  <a:cs typeface="+mn-cs"/>
                </a:defRPr>
              </a:pPr>
              <a:endParaRPr lang="en-US"/>
            </a:p>
          </c:txPr>
        </c:title>
        <c:numFmt formatCode="[$$-409]#,##0" sourceLinked="0"/>
        <c:majorTickMark val="none"/>
        <c:minorTickMark val="none"/>
        <c:tickLblPos val="nextTo"/>
        <c:spPr>
          <a:noFill/>
          <a:ln>
            <a:noFill/>
          </a:ln>
          <a:effectLst/>
        </c:spPr>
        <c:txPr>
          <a:bodyPr rot="-60000000" spcFirstLastPara="1" vertOverflow="ellipsis" vert="horz" wrap="square" anchor="ctr" anchorCtr="1"/>
          <a:lstStyle/>
          <a:p>
            <a:pPr>
              <a:defRPr lang="ja-JP" sz="1600" b="0" i="0" u="none" strike="noStrike" kern="1200" baseline="0">
                <a:solidFill>
                  <a:schemeClr val="tx1"/>
                </a:solidFill>
                <a:latin typeface="+mn-lt"/>
                <a:ea typeface="+mn-ea"/>
                <a:cs typeface="+mn-cs"/>
              </a:defRPr>
            </a:pPr>
            <a:endParaRPr lang="en-US"/>
          </a:p>
        </c:txPr>
        <c:crossAx val="31427350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lang="ja-JP" sz="1600" b="0"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sz="1600">
          <a:solidFill>
            <a:schemeClr val="tx1"/>
          </a:solidFill>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ja-JP" sz="1920" b="0" i="0" u="none" strike="noStrike" kern="1200" spc="0" baseline="0">
                <a:solidFill>
                  <a:schemeClr val="tx1"/>
                </a:solidFill>
                <a:latin typeface="+mn-lt"/>
                <a:ea typeface="+mn-ea"/>
                <a:cs typeface="+mn-cs"/>
              </a:defRPr>
            </a:pPr>
            <a:r>
              <a:rPr lang="en-GB"/>
              <a:t>Historic Sources of Finance for Energy Investments 2010-2024</a:t>
            </a:r>
          </a:p>
        </c:rich>
      </c:tx>
      <c:layout>
        <c:manualLayout>
          <c:xMode val="edge"/>
          <c:yMode val="edge"/>
          <c:x val="0.12516696874828362"/>
          <c:y val="1.952375650251997E-2"/>
        </c:manualLayout>
      </c:layout>
      <c:overlay val="0"/>
      <c:spPr>
        <a:noFill/>
        <a:ln>
          <a:noFill/>
        </a:ln>
        <a:effectLst/>
      </c:spPr>
      <c:txPr>
        <a:bodyPr rot="0" spcFirstLastPara="1" vertOverflow="ellipsis" vert="horz" wrap="square" anchor="ctr" anchorCtr="1"/>
        <a:lstStyle/>
        <a:p>
          <a:pPr>
            <a:defRPr lang="ja-JP" sz="1920" b="0" i="0" u="none" strike="noStrike" kern="1200" spc="0" baseline="0">
              <a:solidFill>
                <a:schemeClr val="tx1"/>
              </a:solidFill>
              <a:latin typeface="+mn-lt"/>
              <a:ea typeface="+mn-ea"/>
              <a:cs typeface="+mn-cs"/>
            </a:defRPr>
          </a:pPr>
          <a:endParaRPr lang="en-US"/>
        </a:p>
      </c:txPr>
    </c:title>
    <c:autoTitleDeleted val="0"/>
    <c:plotArea>
      <c:layout/>
      <c:barChart>
        <c:barDir val="bar"/>
        <c:grouping val="percentStacked"/>
        <c:varyColors val="0"/>
        <c:ser>
          <c:idx val="0"/>
          <c:order val="0"/>
          <c:spPr>
            <a:solidFill>
              <a:schemeClr val="accent1"/>
            </a:solidFill>
            <a:ln>
              <a:solidFill>
                <a:schemeClr val="tx1"/>
              </a:solidFill>
            </a:ln>
            <a:effectLst/>
          </c:spPr>
          <c:invertIfNegative val="0"/>
          <c:dPt>
            <c:idx val="0"/>
            <c:invertIfNegative val="0"/>
            <c:bubble3D val="0"/>
            <c:spPr>
              <a:solidFill>
                <a:srgbClr val="3C7AD4"/>
              </a:solidFill>
              <a:ln>
                <a:solidFill>
                  <a:schemeClr val="tx1"/>
                </a:solidFill>
              </a:ln>
              <a:effectLst/>
            </c:spPr>
            <c:extLst>
              <c:ext xmlns:c16="http://schemas.microsoft.com/office/drawing/2014/chart" uri="{C3380CC4-5D6E-409C-BE32-E72D297353CC}">
                <c16:uniqueId val="{0000000F-9437-3043-AF73-2FAC5090C6CE}"/>
              </c:ext>
            </c:extLst>
          </c:dPt>
          <c:dPt>
            <c:idx val="1"/>
            <c:invertIfNegative val="0"/>
            <c:bubble3D val="0"/>
            <c:spPr>
              <a:solidFill>
                <a:srgbClr val="69F297"/>
              </a:solidFill>
              <a:ln>
                <a:solidFill>
                  <a:schemeClr val="tx1"/>
                </a:solidFill>
              </a:ln>
              <a:effectLst/>
            </c:spPr>
            <c:extLst>
              <c:ext xmlns:c16="http://schemas.microsoft.com/office/drawing/2014/chart" uri="{C3380CC4-5D6E-409C-BE32-E72D297353CC}">
                <c16:uniqueId val="{0000000D-9437-3043-AF73-2FAC5090C6CE}"/>
              </c:ext>
            </c:extLst>
          </c:dPt>
          <c:dPt>
            <c:idx val="2"/>
            <c:invertIfNegative val="0"/>
            <c:bubble3D val="0"/>
            <c:spPr>
              <a:solidFill>
                <a:srgbClr val="FF754A"/>
              </a:solidFill>
              <a:ln>
                <a:solidFill>
                  <a:schemeClr val="tx1"/>
                </a:solidFill>
              </a:ln>
              <a:effectLst/>
            </c:spPr>
            <c:extLst>
              <c:ext xmlns:c16="http://schemas.microsoft.com/office/drawing/2014/chart" uri="{C3380CC4-5D6E-409C-BE32-E72D297353CC}">
                <c16:uniqueId val="{00000005-9437-3043-AF73-2FAC5090C6CE}"/>
              </c:ext>
            </c:extLst>
          </c:dPt>
          <c:dPt>
            <c:idx val="3"/>
            <c:invertIfNegative val="0"/>
            <c:bubble3D val="0"/>
            <c:spPr>
              <a:solidFill>
                <a:srgbClr val="ACDBED"/>
              </a:solidFill>
              <a:ln>
                <a:solidFill>
                  <a:schemeClr val="tx1"/>
                </a:solidFill>
              </a:ln>
              <a:effectLst/>
            </c:spPr>
            <c:extLst>
              <c:ext xmlns:c16="http://schemas.microsoft.com/office/drawing/2014/chart" uri="{C3380CC4-5D6E-409C-BE32-E72D297353CC}">
                <c16:uniqueId val="{00000001-9437-3043-AF73-2FAC5090C6CE}"/>
              </c:ext>
            </c:extLst>
          </c:dPt>
          <c:dLbls>
            <c:dLbl>
              <c:idx val="0"/>
              <c:tx>
                <c:rich>
                  <a:bodyPr/>
                  <a:lstStyle/>
                  <a:p>
                    <a:r>
                      <a:rPr lang="en-US"/>
                      <a:t>Public</a:t>
                    </a:r>
                  </a:p>
                </c:rich>
              </c:tx>
              <c:dLblPos val="ct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F-9437-3043-AF73-2FAC5090C6CE}"/>
                </c:ext>
              </c:extLst>
            </c:dLbl>
            <c:dLbl>
              <c:idx val="1"/>
              <c:tx>
                <c:rich>
                  <a:bodyPr/>
                  <a:lstStyle/>
                  <a:p>
                    <a:r>
                      <a:rPr lang="en-US"/>
                      <a:t>Debt</a:t>
                    </a:r>
                  </a:p>
                </c:rich>
              </c:tx>
              <c:dLblPos val="ct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D-9437-3043-AF73-2FAC5090C6CE}"/>
                </c:ext>
              </c:extLst>
            </c:dLbl>
            <c:dLbl>
              <c:idx val="2"/>
              <c:tx>
                <c:rich>
                  <a:bodyPr/>
                  <a:lstStyle/>
                  <a:p>
                    <a:r>
                      <a:rPr lang="en-US"/>
                      <a:t>Domestic</a:t>
                    </a:r>
                  </a:p>
                </c:rich>
              </c:tx>
              <c:dLblPos val="ct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5-9437-3043-AF73-2FAC5090C6CE}"/>
                </c:ext>
              </c:extLst>
            </c:dLbl>
            <c:dLbl>
              <c:idx val="3"/>
              <c:tx>
                <c:rich>
                  <a:bodyPr/>
                  <a:lstStyle/>
                  <a:p>
                    <a:r>
                      <a:rPr lang="en-US"/>
                      <a:t>Conc IFI</a:t>
                    </a:r>
                  </a:p>
                </c:rich>
              </c:tx>
              <c:dLblPos val="ct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9437-3043-AF73-2FAC5090C6CE}"/>
                </c:ext>
              </c:extLst>
            </c:dLbl>
            <c:spPr>
              <a:noFill/>
              <a:ln>
                <a:noFill/>
              </a:ln>
              <a:effectLst/>
            </c:spPr>
            <c:txPr>
              <a:bodyPr rot="0" spcFirstLastPara="1" vertOverflow="ellipsis" vert="horz" wrap="square" lIns="38100" tIns="19050" rIns="38100" bIns="19050" anchor="ctr" anchorCtr="1">
                <a:spAutoFit/>
              </a:bodyPr>
              <a:lstStyle/>
              <a:p>
                <a:pPr>
                  <a:defRPr lang="ja-JP" sz="16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'Visualisation Dashboard'!$D$124:$G$124</c:f>
              <c:strCache>
                <c:ptCount val="4"/>
                <c:pt idx="0">
                  <c:v>Provider</c:v>
                </c:pt>
                <c:pt idx="1">
                  <c:v>Instrument</c:v>
                </c:pt>
                <c:pt idx="2">
                  <c:v>Origin</c:v>
                </c:pt>
                <c:pt idx="3">
                  <c:v>Source</c:v>
                </c:pt>
              </c:strCache>
            </c:strRef>
          </c:cat>
          <c:val>
            <c:numRef>
              <c:f>'Visualisation Dashboard'!$D$125:$G$125</c:f>
              <c:numCache>
                <c:formatCode>0.00%</c:formatCode>
                <c:ptCount val="4"/>
                <c:pt idx="0">
                  <c:v>0.86302412130531136</c:v>
                </c:pt>
                <c:pt idx="1">
                  <c:v>0.79897796934435694</c:v>
                </c:pt>
                <c:pt idx="2">
                  <c:v>0.13437369299824117</c:v>
                </c:pt>
                <c:pt idx="3">
                  <c:v>0.74381343947146883</c:v>
                </c:pt>
              </c:numCache>
            </c:numRef>
          </c:val>
          <c:extLst>
            <c:ext xmlns:c16="http://schemas.microsoft.com/office/drawing/2014/chart" uri="{C3380CC4-5D6E-409C-BE32-E72D297353CC}">
              <c16:uniqueId val="{00000000-F09A-3544-BFCA-E5D892CA2F56}"/>
            </c:ext>
          </c:extLst>
        </c:ser>
        <c:ser>
          <c:idx val="1"/>
          <c:order val="1"/>
          <c:spPr>
            <a:solidFill>
              <a:schemeClr val="accent2"/>
            </a:solidFill>
            <a:ln>
              <a:solidFill>
                <a:schemeClr val="tx1"/>
              </a:solidFill>
            </a:ln>
            <a:effectLst/>
          </c:spPr>
          <c:invertIfNegative val="0"/>
          <c:dPt>
            <c:idx val="0"/>
            <c:invertIfNegative val="0"/>
            <c:bubble3D val="0"/>
            <c:spPr>
              <a:solidFill>
                <a:srgbClr val="4AD3FF"/>
              </a:solidFill>
              <a:ln>
                <a:solidFill>
                  <a:schemeClr val="tx1"/>
                </a:solidFill>
              </a:ln>
              <a:effectLst/>
            </c:spPr>
            <c:extLst>
              <c:ext xmlns:c16="http://schemas.microsoft.com/office/drawing/2014/chart" uri="{C3380CC4-5D6E-409C-BE32-E72D297353CC}">
                <c16:uniqueId val="{00000010-9437-3043-AF73-2FAC5090C6CE}"/>
              </c:ext>
            </c:extLst>
          </c:dPt>
          <c:dPt>
            <c:idx val="1"/>
            <c:invertIfNegative val="0"/>
            <c:bubble3D val="0"/>
            <c:spPr>
              <a:solidFill>
                <a:srgbClr val="05AEA0"/>
              </a:solidFill>
              <a:ln>
                <a:solidFill>
                  <a:schemeClr val="tx1"/>
                </a:solidFill>
              </a:ln>
              <a:effectLst/>
            </c:spPr>
            <c:extLst>
              <c:ext xmlns:c16="http://schemas.microsoft.com/office/drawing/2014/chart" uri="{C3380CC4-5D6E-409C-BE32-E72D297353CC}">
                <c16:uniqueId val="{0000000E-9437-3043-AF73-2FAC5090C6CE}"/>
              </c:ext>
            </c:extLst>
          </c:dPt>
          <c:dPt>
            <c:idx val="2"/>
            <c:invertIfNegative val="0"/>
            <c:bubble3D val="0"/>
            <c:spPr>
              <a:solidFill>
                <a:srgbClr val="B287EE"/>
              </a:solidFill>
              <a:ln>
                <a:solidFill>
                  <a:schemeClr val="tx1"/>
                </a:solidFill>
              </a:ln>
              <a:effectLst/>
            </c:spPr>
            <c:extLst>
              <c:ext xmlns:c16="http://schemas.microsoft.com/office/drawing/2014/chart" uri="{C3380CC4-5D6E-409C-BE32-E72D297353CC}">
                <c16:uniqueId val="{00000006-9437-3043-AF73-2FAC5090C6CE}"/>
              </c:ext>
            </c:extLst>
          </c:dPt>
          <c:dPt>
            <c:idx val="3"/>
            <c:invertIfNegative val="0"/>
            <c:bubble3D val="0"/>
            <c:spPr>
              <a:solidFill>
                <a:srgbClr val="F79818"/>
              </a:solidFill>
              <a:ln>
                <a:solidFill>
                  <a:schemeClr val="tx1"/>
                </a:solidFill>
              </a:ln>
              <a:effectLst/>
            </c:spPr>
            <c:extLst>
              <c:ext xmlns:c16="http://schemas.microsoft.com/office/drawing/2014/chart" uri="{C3380CC4-5D6E-409C-BE32-E72D297353CC}">
                <c16:uniqueId val="{00000002-9437-3043-AF73-2FAC5090C6CE}"/>
              </c:ext>
            </c:extLst>
          </c:dPt>
          <c:dLbls>
            <c:dLbl>
              <c:idx val="0"/>
              <c:tx>
                <c:rich>
                  <a:bodyPr/>
                  <a:lstStyle/>
                  <a:p>
                    <a:r>
                      <a:rPr lang="en-US"/>
                      <a:t>Private</a:t>
                    </a:r>
                  </a:p>
                </c:rich>
              </c:tx>
              <c:dLblPos val="ct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0-9437-3043-AF73-2FAC5090C6CE}"/>
                </c:ext>
              </c:extLst>
            </c:dLbl>
            <c:dLbl>
              <c:idx val="1"/>
              <c:tx>
                <c:rich>
                  <a:bodyPr/>
                  <a:lstStyle/>
                  <a:p>
                    <a:r>
                      <a:rPr lang="en-US"/>
                      <a:t>Equity</a:t>
                    </a:r>
                  </a:p>
                </c:rich>
              </c:tx>
              <c:dLblPos val="ct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E-9437-3043-AF73-2FAC5090C6CE}"/>
                </c:ext>
              </c:extLst>
            </c:dLbl>
            <c:dLbl>
              <c:idx val="2"/>
              <c:tx>
                <c:rich>
                  <a:bodyPr/>
                  <a:lstStyle/>
                  <a:p>
                    <a:r>
                      <a:rPr lang="en-US"/>
                      <a:t>International</a:t>
                    </a:r>
                  </a:p>
                </c:rich>
              </c:tx>
              <c:dLblPos val="ct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6-9437-3043-AF73-2FAC5090C6CE}"/>
                </c:ext>
              </c:extLst>
            </c:dLbl>
            <c:dLbl>
              <c:idx val="3"/>
              <c:tx>
                <c:rich>
                  <a:bodyPr/>
                  <a:lstStyle/>
                  <a:p>
                    <a:r>
                      <a:rPr lang="en-US"/>
                      <a:t>Conc </a:t>
                    </a:r>
                  </a:p>
                  <a:p>
                    <a:r>
                      <a:rPr lang="en-US"/>
                      <a:t>DPS</a:t>
                    </a:r>
                  </a:p>
                </c:rich>
              </c:tx>
              <c:dLblPos val="ct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9437-3043-AF73-2FAC5090C6CE}"/>
                </c:ext>
              </c:extLst>
            </c:dLbl>
            <c:spPr>
              <a:noFill/>
              <a:ln>
                <a:noFill/>
              </a:ln>
              <a:effectLst/>
            </c:spPr>
            <c:txPr>
              <a:bodyPr rot="0" spcFirstLastPara="1" vertOverflow="ellipsis" vert="horz" wrap="square" lIns="38100" tIns="19050" rIns="38100" bIns="19050" anchor="ctr" anchorCtr="1">
                <a:spAutoFit/>
              </a:bodyPr>
              <a:lstStyle/>
              <a:p>
                <a:pPr>
                  <a:defRPr lang="ja-JP" sz="16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'Visualisation Dashboard'!$D$124:$G$124</c:f>
              <c:strCache>
                <c:ptCount val="4"/>
                <c:pt idx="0">
                  <c:v>Provider</c:v>
                </c:pt>
                <c:pt idx="1">
                  <c:v>Instrument</c:v>
                </c:pt>
                <c:pt idx="2">
                  <c:v>Origin</c:v>
                </c:pt>
                <c:pt idx="3">
                  <c:v>Source</c:v>
                </c:pt>
              </c:strCache>
            </c:strRef>
          </c:cat>
          <c:val>
            <c:numRef>
              <c:f>'Visualisation Dashboard'!$D$126:$G$126</c:f>
              <c:numCache>
                <c:formatCode>0.00%</c:formatCode>
                <c:ptCount val="4"/>
                <c:pt idx="0">
                  <c:v>0.13697587869468839</c:v>
                </c:pt>
                <c:pt idx="1">
                  <c:v>0.20102203065564306</c:v>
                </c:pt>
                <c:pt idx="2">
                  <c:v>0.8656263070017588</c:v>
                </c:pt>
                <c:pt idx="3">
                  <c:v>0.11109827328595628</c:v>
                </c:pt>
              </c:numCache>
            </c:numRef>
          </c:val>
          <c:extLst>
            <c:ext xmlns:c16="http://schemas.microsoft.com/office/drawing/2014/chart" uri="{C3380CC4-5D6E-409C-BE32-E72D297353CC}">
              <c16:uniqueId val="{00000001-F09A-3544-BFCA-E5D892CA2F56}"/>
            </c:ext>
          </c:extLst>
        </c:ser>
        <c:ser>
          <c:idx val="2"/>
          <c:order val="2"/>
          <c:spPr>
            <a:solidFill>
              <a:srgbClr val="FD6EA3"/>
            </a:solidFill>
            <a:ln>
              <a:solidFill>
                <a:schemeClr val="tx1"/>
              </a:solidFill>
            </a:ln>
            <a:effectLst/>
          </c:spPr>
          <c:invertIfNegative val="0"/>
          <c:dLbls>
            <c:dLbl>
              <c:idx val="0"/>
              <c:delete val="1"/>
              <c:extLst>
                <c:ext xmlns:c15="http://schemas.microsoft.com/office/drawing/2012/chart" uri="{CE6537A1-D6FC-4f65-9D91-7224C49458BB}"/>
                <c:ext xmlns:c16="http://schemas.microsoft.com/office/drawing/2014/chart" uri="{C3380CC4-5D6E-409C-BE32-E72D297353CC}">
                  <c16:uniqueId val="{0000000C-9437-3043-AF73-2FAC5090C6CE}"/>
                </c:ext>
              </c:extLst>
            </c:dLbl>
            <c:dLbl>
              <c:idx val="1"/>
              <c:delete val="1"/>
              <c:extLst>
                <c:ext xmlns:c15="http://schemas.microsoft.com/office/drawing/2012/chart" uri="{CE6537A1-D6FC-4f65-9D91-7224C49458BB}"/>
                <c:ext xmlns:c16="http://schemas.microsoft.com/office/drawing/2014/chart" uri="{C3380CC4-5D6E-409C-BE32-E72D297353CC}">
                  <c16:uniqueId val="{0000000A-9437-3043-AF73-2FAC5090C6CE}"/>
                </c:ext>
              </c:extLst>
            </c:dLbl>
            <c:dLbl>
              <c:idx val="2"/>
              <c:delete val="1"/>
              <c:extLst>
                <c:ext xmlns:c15="http://schemas.microsoft.com/office/drawing/2012/chart" uri="{CE6537A1-D6FC-4f65-9D91-7224C49458BB}"/>
                <c:ext xmlns:c16="http://schemas.microsoft.com/office/drawing/2014/chart" uri="{C3380CC4-5D6E-409C-BE32-E72D297353CC}">
                  <c16:uniqueId val="{00000008-9437-3043-AF73-2FAC5090C6CE}"/>
                </c:ext>
              </c:extLst>
            </c:dLbl>
            <c:dLbl>
              <c:idx val="3"/>
              <c:layout>
                <c:manualLayout>
                  <c:x val="-1.1240036478912658E-2"/>
                  <c:y val="2.0852096552027711E-3"/>
                </c:manualLayout>
              </c:layout>
              <c:tx>
                <c:rich>
                  <a:bodyPr/>
                  <a:lstStyle/>
                  <a:p>
                    <a:r>
                      <a:rPr lang="en-US"/>
                      <a:t>Comm</a:t>
                    </a:r>
                  </a:p>
                  <a:p>
                    <a:r>
                      <a:rPr lang="en-US"/>
                      <a:t>Intl</a:t>
                    </a:r>
                  </a:p>
                </c:rich>
              </c:tx>
              <c:dLblPos val="ct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9437-3043-AF73-2FAC5090C6CE}"/>
                </c:ext>
              </c:extLst>
            </c:dLbl>
            <c:spPr>
              <a:noFill/>
              <a:ln>
                <a:noFill/>
              </a:ln>
              <a:effectLst/>
            </c:spPr>
            <c:txPr>
              <a:bodyPr rot="0" spcFirstLastPara="1" vertOverflow="ellipsis" vert="horz" wrap="square" lIns="38100" tIns="19050" rIns="38100" bIns="19050" anchor="ctr" anchorCtr="1">
                <a:spAutoFit/>
              </a:bodyPr>
              <a:lstStyle/>
              <a:p>
                <a:pPr>
                  <a:defRPr lang="ja-JP" sz="16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'Visualisation Dashboard'!$D$124:$G$124</c:f>
              <c:strCache>
                <c:ptCount val="4"/>
                <c:pt idx="0">
                  <c:v>Provider</c:v>
                </c:pt>
                <c:pt idx="1">
                  <c:v>Instrument</c:v>
                </c:pt>
                <c:pt idx="2">
                  <c:v>Origin</c:v>
                </c:pt>
                <c:pt idx="3">
                  <c:v>Source</c:v>
                </c:pt>
              </c:strCache>
            </c:strRef>
          </c:cat>
          <c:val>
            <c:numRef>
              <c:f>'Visualisation Dashboard'!$D$127:$G$127</c:f>
              <c:numCache>
                <c:formatCode>General</c:formatCode>
                <c:ptCount val="4"/>
                <c:pt idx="0">
                  <c:v>0</c:v>
                </c:pt>
                <c:pt idx="1">
                  <c:v>0</c:v>
                </c:pt>
                <c:pt idx="2">
                  <c:v>0</c:v>
                </c:pt>
                <c:pt idx="3" formatCode="0.00%">
                  <c:v>0.12181286753028993</c:v>
                </c:pt>
              </c:numCache>
            </c:numRef>
          </c:val>
          <c:extLst>
            <c:ext xmlns:c16="http://schemas.microsoft.com/office/drawing/2014/chart" uri="{C3380CC4-5D6E-409C-BE32-E72D297353CC}">
              <c16:uniqueId val="{00000002-F09A-3544-BFCA-E5D892CA2F56}"/>
            </c:ext>
          </c:extLst>
        </c:ser>
        <c:ser>
          <c:idx val="3"/>
          <c:order val="3"/>
          <c:spPr>
            <a:solidFill>
              <a:srgbClr val="FFFF00"/>
            </a:solidFill>
            <a:ln>
              <a:solidFill>
                <a:schemeClr val="tx1"/>
              </a:solidFill>
            </a:ln>
            <a:effectLst/>
          </c:spPr>
          <c:invertIfNegative val="0"/>
          <c:dLbls>
            <c:dLbl>
              <c:idx val="0"/>
              <c:delete val="1"/>
              <c:extLst>
                <c:ext xmlns:c15="http://schemas.microsoft.com/office/drawing/2012/chart" uri="{CE6537A1-D6FC-4f65-9D91-7224C49458BB}"/>
                <c:ext xmlns:c16="http://schemas.microsoft.com/office/drawing/2014/chart" uri="{C3380CC4-5D6E-409C-BE32-E72D297353CC}">
                  <c16:uniqueId val="{0000000B-9437-3043-AF73-2FAC5090C6CE}"/>
                </c:ext>
              </c:extLst>
            </c:dLbl>
            <c:dLbl>
              <c:idx val="1"/>
              <c:delete val="1"/>
              <c:extLst>
                <c:ext xmlns:c15="http://schemas.microsoft.com/office/drawing/2012/chart" uri="{CE6537A1-D6FC-4f65-9D91-7224C49458BB}"/>
                <c:ext xmlns:c16="http://schemas.microsoft.com/office/drawing/2014/chart" uri="{C3380CC4-5D6E-409C-BE32-E72D297353CC}">
                  <c16:uniqueId val="{00000009-9437-3043-AF73-2FAC5090C6CE}"/>
                </c:ext>
              </c:extLst>
            </c:dLbl>
            <c:dLbl>
              <c:idx val="2"/>
              <c:delete val="1"/>
              <c:extLst>
                <c:ext xmlns:c15="http://schemas.microsoft.com/office/drawing/2012/chart" uri="{CE6537A1-D6FC-4f65-9D91-7224C49458BB}"/>
                <c:ext xmlns:c16="http://schemas.microsoft.com/office/drawing/2014/chart" uri="{C3380CC4-5D6E-409C-BE32-E72D297353CC}">
                  <c16:uniqueId val="{00000007-9437-3043-AF73-2FAC5090C6CE}"/>
                </c:ext>
              </c:extLst>
            </c:dLbl>
            <c:dLbl>
              <c:idx val="3"/>
              <c:layout>
                <c:manualLayout>
                  <c:x val="1.1240036478912424E-2"/>
                  <c:y val="2.3915953564479482E-3"/>
                </c:manualLayout>
              </c:layout>
              <c:tx>
                <c:rich>
                  <a:bodyPr/>
                  <a:lstStyle/>
                  <a:p>
                    <a:r>
                      <a:rPr lang="en-US"/>
                      <a:t>Comm</a:t>
                    </a:r>
                  </a:p>
                  <a:p>
                    <a:r>
                      <a:rPr lang="en-US"/>
                      <a:t>Dom</a:t>
                    </a:r>
                  </a:p>
                </c:rich>
              </c:tx>
              <c:dLblPos val="ct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9437-3043-AF73-2FAC5090C6CE}"/>
                </c:ext>
              </c:extLst>
            </c:dLbl>
            <c:spPr>
              <a:noFill/>
              <a:ln>
                <a:noFill/>
              </a:ln>
              <a:effectLst/>
            </c:spPr>
            <c:txPr>
              <a:bodyPr rot="0" spcFirstLastPara="1" vertOverflow="ellipsis" vert="horz" wrap="square" lIns="38100" tIns="19050" rIns="38100" bIns="19050" anchor="ctr" anchorCtr="1">
                <a:spAutoFit/>
              </a:bodyPr>
              <a:lstStyle/>
              <a:p>
                <a:pPr>
                  <a:defRPr lang="ja-JP" sz="16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'Visualisation Dashboard'!$D$124:$G$124</c:f>
              <c:strCache>
                <c:ptCount val="4"/>
                <c:pt idx="0">
                  <c:v>Provider</c:v>
                </c:pt>
                <c:pt idx="1">
                  <c:v>Instrument</c:v>
                </c:pt>
                <c:pt idx="2">
                  <c:v>Origin</c:v>
                </c:pt>
                <c:pt idx="3">
                  <c:v>Source</c:v>
                </c:pt>
              </c:strCache>
            </c:strRef>
          </c:cat>
          <c:val>
            <c:numRef>
              <c:f>'Visualisation Dashboard'!$D$128:$G$128</c:f>
              <c:numCache>
                <c:formatCode>General</c:formatCode>
                <c:ptCount val="4"/>
                <c:pt idx="0">
                  <c:v>0</c:v>
                </c:pt>
                <c:pt idx="1">
                  <c:v>0</c:v>
                </c:pt>
                <c:pt idx="2">
                  <c:v>0</c:v>
                </c:pt>
                <c:pt idx="3" formatCode="0.00%">
                  <c:v>2.3275419712284889E-2</c:v>
                </c:pt>
              </c:numCache>
            </c:numRef>
          </c:val>
          <c:extLst>
            <c:ext xmlns:c16="http://schemas.microsoft.com/office/drawing/2014/chart" uri="{C3380CC4-5D6E-409C-BE32-E72D297353CC}">
              <c16:uniqueId val="{00000003-F09A-3544-BFCA-E5D892CA2F56}"/>
            </c:ext>
          </c:extLst>
        </c:ser>
        <c:dLbls>
          <c:dLblPos val="ctr"/>
          <c:showLegendKey val="0"/>
          <c:showVal val="1"/>
          <c:showCatName val="0"/>
          <c:showSerName val="0"/>
          <c:showPercent val="0"/>
          <c:showBubbleSize val="0"/>
        </c:dLbls>
        <c:gapWidth val="80"/>
        <c:overlap val="100"/>
        <c:axId val="191256495"/>
        <c:axId val="199530047"/>
      </c:barChart>
      <c:catAx>
        <c:axId val="19125649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ja-JP" sz="1600" b="0" i="0" u="none" strike="noStrike" kern="1200" baseline="0">
                <a:solidFill>
                  <a:schemeClr val="tx1"/>
                </a:solidFill>
                <a:latin typeface="+mn-lt"/>
                <a:ea typeface="+mn-ea"/>
                <a:cs typeface="+mn-cs"/>
              </a:defRPr>
            </a:pPr>
            <a:endParaRPr lang="en-US"/>
          </a:p>
        </c:txPr>
        <c:crossAx val="199530047"/>
        <c:crosses val="autoZero"/>
        <c:auto val="1"/>
        <c:lblAlgn val="ctr"/>
        <c:lblOffset val="100"/>
        <c:noMultiLvlLbl val="0"/>
      </c:catAx>
      <c:valAx>
        <c:axId val="199530047"/>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lang="ja-JP" sz="1600" b="0" i="0" u="none" strike="noStrike" kern="1200" baseline="0">
                <a:solidFill>
                  <a:schemeClr val="tx1"/>
                </a:solidFill>
                <a:latin typeface="+mn-lt"/>
                <a:ea typeface="+mn-ea"/>
                <a:cs typeface="+mn-cs"/>
              </a:defRPr>
            </a:pPr>
            <a:endParaRPr lang="en-US"/>
          </a:p>
        </c:txPr>
        <c:crossAx val="19125649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sz="1600">
          <a:solidFill>
            <a:schemeClr val="tx1"/>
          </a:solidFill>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ja-JP" sz="1920" b="0" i="0" u="none" strike="noStrike" kern="1200" spc="0" baseline="0">
                <a:solidFill>
                  <a:schemeClr val="tx1">
                    <a:lumMod val="65000"/>
                    <a:lumOff val="35000"/>
                  </a:schemeClr>
                </a:solidFill>
                <a:latin typeface="+mn-lt"/>
                <a:ea typeface="+mn-ea"/>
                <a:cs typeface="+mn-cs"/>
              </a:defRPr>
            </a:pPr>
            <a:r>
              <a:rPr lang="en-GB"/>
              <a:t>Extra Stranded Cost Compensation of Net Zero  </a:t>
            </a:r>
          </a:p>
        </c:rich>
      </c:tx>
      <c:overlay val="0"/>
      <c:spPr>
        <a:noFill/>
        <a:ln>
          <a:noFill/>
        </a:ln>
        <a:effectLst/>
      </c:spPr>
      <c:txPr>
        <a:bodyPr rot="0" spcFirstLastPara="1" vertOverflow="ellipsis" vert="horz" wrap="square" anchor="ctr" anchorCtr="1"/>
        <a:lstStyle/>
        <a:p>
          <a:pPr>
            <a:defRPr lang="ja-JP" sz="192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0"/>
        <c:ser>
          <c:idx val="0"/>
          <c:order val="0"/>
          <c:spPr>
            <a:solidFill>
              <a:schemeClr val="accent1"/>
            </a:solidFill>
            <a:ln>
              <a:solidFill>
                <a:schemeClr val="tx1"/>
              </a:solidFill>
            </a:ln>
            <a:effectLst/>
          </c:spPr>
          <c:invertIfNegative val="0"/>
          <c:dPt>
            <c:idx val="2"/>
            <c:invertIfNegative val="0"/>
            <c:bubble3D val="0"/>
            <c:spPr>
              <a:solidFill>
                <a:srgbClr val="997200"/>
              </a:solidFill>
              <a:ln>
                <a:solidFill>
                  <a:schemeClr val="tx1"/>
                </a:solidFill>
              </a:ln>
              <a:effectLst/>
            </c:spPr>
            <c:extLst>
              <c:ext xmlns:c16="http://schemas.microsoft.com/office/drawing/2014/chart" uri="{C3380CC4-5D6E-409C-BE32-E72D297353CC}">
                <c16:uniqueId val="{00000002-B367-EE40-979E-34E4524DF373}"/>
              </c:ext>
            </c:extLst>
          </c:dPt>
          <c:cat>
            <c:strRef>
              <c:f>'Visualisation Dashboard'!$E$67:$E$69</c:f>
              <c:strCache>
                <c:ptCount val="3"/>
                <c:pt idx="0">
                  <c:v>Coal</c:v>
                </c:pt>
                <c:pt idx="1">
                  <c:v>Gas</c:v>
                </c:pt>
                <c:pt idx="2">
                  <c:v>Oil</c:v>
                </c:pt>
              </c:strCache>
            </c:strRef>
          </c:cat>
          <c:val>
            <c:numRef>
              <c:f>'Visualisation Dashboard'!$F$67:$F$69</c:f>
              <c:numCache>
                <c:formatCode>General</c:formatCode>
                <c:ptCount val="3"/>
                <c:pt idx="0">
                  <c:v>0</c:v>
                </c:pt>
                <c:pt idx="1">
                  <c:v>0</c:v>
                </c:pt>
                <c:pt idx="2">
                  <c:v>0</c:v>
                </c:pt>
              </c:numCache>
            </c:numRef>
          </c:val>
          <c:extLst>
            <c:ext xmlns:c16="http://schemas.microsoft.com/office/drawing/2014/chart" uri="{C3380CC4-5D6E-409C-BE32-E72D297353CC}">
              <c16:uniqueId val="{00000000-B367-EE40-979E-34E4524DF373}"/>
            </c:ext>
          </c:extLst>
        </c:ser>
        <c:dLbls>
          <c:showLegendKey val="0"/>
          <c:showVal val="0"/>
          <c:showCatName val="0"/>
          <c:showSerName val="0"/>
          <c:showPercent val="0"/>
          <c:showBubbleSize val="0"/>
        </c:dLbls>
        <c:gapWidth val="150"/>
        <c:overlap val="100"/>
        <c:axId val="1609815919"/>
        <c:axId val="98531248"/>
      </c:barChart>
      <c:catAx>
        <c:axId val="1609815919"/>
        <c:scaling>
          <c:orientation val="minMax"/>
        </c:scaling>
        <c:delete val="0"/>
        <c:axPos val="b"/>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ja-JP" sz="1600" b="0" i="0" u="none" strike="noStrike" kern="1200" baseline="0">
                <a:solidFill>
                  <a:schemeClr val="tx1">
                    <a:lumMod val="65000"/>
                    <a:lumOff val="35000"/>
                  </a:schemeClr>
                </a:solidFill>
                <a:latin typeface="+mn-lt"/>
                <a:ea typeface="+mn-ea"/>
                <a:cs typeface="+mn-cs"/>
              </a:defRPr>
            </a:pPr>
            <a:endParaRPr lang="en-US"/>
          </a:p>
        </c:txPr>
        <c:crossAx val="98531248"/>
        <c:crosses val="autoZero"/>
        <c:auto val="1"/>
        <c:lblAlgn val="ctr"/>
        <c:lblOffset val="100"/>
        <c:noMultiLvlLbl val="0"/>
      </c:catAx>
      <c:valAx>
        <c:axId val="9853124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lang="ja-JP" sz="1600" b="0" i="0" u="none" strike="noStrike" kern="1200" baseline="0">
                    <a:solidFill>
                      <a:schemeClr val="tx1">
                        <a:lumMod val="65000"/>
                        <a:lumOff val="35000"/>
                      </a:schemeClr>
                    </a:solidFill>
                    <a:latin typeface="+mn-lt"/>
                    <a:ea typeface="+mn-ea"/>
                    <a:cs typeface="+mn-cs"/>
                  </a:defRPr>
                </a:pPr>
                <a:r>
                  <a:rPr lang="en-GB"/>
                  <a:t>Million US$</a:t>
                </a:r>
              </a:p>
            </c:rich>
          </c:tx>
          <c:overlay val="0"/>
          <c:spPr>
            <a:noFill/>
            <a:ln>
              <a:noFill/>
            </a:ln>
            <a:effectLst/>
          </c:spPr>
          <c:txPr>
            <a:bodyPr rot="-5400000" spcFirstLastPara="1" vertOverflow="ellipsis" vert="horz" wrap="square" anchor="ctr" anchorCtr="1"/>
            <a:lstStyle/>
            <a:p>
              <a:pPr>
                <a:defRPr lang="ja-JP" sz="1600" b="0" i="0" u="none" strike="noStrike" kern="1200" baseline="0">
                  <a:solidFill>
                    <a:schemeClr val="tx1">
                      <a:lumMod val="65000"/>
                      <a:lumOff val="35000"/>
                    </a:schemeClr>
                  </a:solidFill>
                  <a:latin typeface="+mn-lt"/>
                  <a:ea typeface="+mn-ea"/>
                  <a:cs typeface="+mn-cs"/>
                </a:defRPr>
              </a:pPr>
              <a:endParaRPr lang="en-US"/>
            </a:p>
          </c:txPr>
        </c:title>
        <c:numFmt formatCode="[$$-409]#,##0" sourceLinked="0"/>
        <c:majorTickMark val="none"/>
        <c:minorTickMark val="none"/>
        <c:tickLblPos val="nextTo"/>
        <c:spPr>
          <a:noFill/>
          <a:ln>
            <a:noFill/>
          </a:ln>
          <a:effectLst/>
        </c:spPr>
        <c:txPr>
          <a:bodyPr rot="-60000000" spcFirstLastPara="1" vertOverflow="ellipsis" vert="horz" wrap="square" anchor="ctr" anchorCtr="1"/>
          <a:lstStyle/>
          <a:p>
            <a:pPr>
              <a:defRPr lang="ja-JP" sz="1600" b="0" i="0" u="none" strike="noStrike" kern="1200" baseline="0">
                <a:solidFill>
                  <a:schemeClr val="tx1">
                    <a:lumMod val="65000"/>
                    <a:lumOff val="35000"/>
                  </a:schemeClr>
                </a:solidFill>
                <a:latin typeface="+mn-lt"/>
                <a:ea typeface="+mn-ea"/>
                <a:cs typeface="+mn-cs"/>
              </a:defRPr>
            </a:pPr>
            <a:endParaRPr lang="en-US"/>
          </a:p>
        </c:txPr>
        <c:crossAx val="160981591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sz="1600"/>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920" b="0" i="0" u="none" strike="noStrike" kern="1200" spc="0" baseline="0">
                <a:solidFill>
                  <a:schemeClr val="tx1"/>
                </a:solidFill>
                <a:latin typeface="+mn-lt"/>
                <a:ea typeface="+mn-ea"/>
                <a:cs typeface="+mn-cs"/>
              </a:defRPr>
            </a:pPr>
            <a:r>
              <a:rPr lang="en-GB"/>
              <a:t> Market Elements of Finance for Energy Investments 2010-2024 by Financier</a:t>
            </a:r>
          </a:p>
        </c:rich>
      </c:tx>
      <c:layout>
        <c:manualLayout>
          <c:xMode val="edge"/>
          <c:yMode val="edge"/>
          <c:x val="0.13224088035851317"/>
          <c:y val="0"/>
        </c:manualLayout>
      </c:layout>
      <c:overlay val="0"/>
      <c:spPr>
        <a:noFill/>
        <a:ln>
          <a:noFill/>
        </a:ln>
        <a:effectLst/>
      </c:spPr>
      <c:txPr>
        <a:bodyPr rot="0" spcFirstLastPara="1" vertOverflow="ellipsis" vert="horz" wrap="square" anchor="ctr" anchorCtr="1"/>
        <a:lstStyle/>
        <a:p>
          <a:pPr>
            <a:defRPr sz="1920" b="0" i="0" u="none" strike="noStrike" kern="1200" spc="0" baseline="0">
              <a:solidFill>
                <a:schemeClr val="tx1"/>
              </a:solidFill>
              <a:latin typeface="+mn-lt"/>
              <a:ea typeface="+mn-ea"/>
              <a:cs typeface="+mn-cs"/>
            </a:defRPr>
          </a:pPr>
          <a:endParaRPr lang="en-US"/>
        </a:p>
      </c:txPr>
    </c:title>
    <c:autoTitleDeleted val="0"/>
    <c:plotArea>
      <c:layout>
        <c:manualLayout>
          <c:layoutTarget val="inner"/>
          <c:xMode val="edge"/>
          <c:yMode val="edge"/>
          <c:x val="0.12145764919672357"/>
          <c:y val="0.14591942332142405"/>
          <c:w val="0.85925316756142056"/>
          <c:h val="0.51864777865261114"/>
        </c:manualLayout>
      </c:layout>
      <c:barChart>
        <c:barDir val="col"/>
        <c:grouping val="stacked"/>
        <c:varyColors val="0"/>
        <c:ser>
          <c:idx val="0"/>
          <c:order val="0"/>
          <c:spPr>
            <a:solidFill>
              <a:schemeClr val="accent1"/>
            </a:solidFill>
            <a:ln>
              <a:noFill/>
            </a:ln>
            <a:effectLst/>
          </c:spPr>
          <c:invertIfNegative val="0"/>
          <c:dPt>
            <c:idx val="0"/>
            <c:invertIfNegative val="0"/>
            <c:bubble3D val="0"/>
            <c:spPr>
              <a:solidFill>
                <a:srgbClr val="996600"/>
              </a:solidFill>
              <a:ln>
                <a:solidFill>
                  <a:schemeClr val="tx1"/>
                </a:solidFill>
              </a:ln>
              <a:effectLst/>
            </c:spPr>
            <c:extLst>
              <c:ext xmlns:c16="http://schemas.microsoft.com/office/drawing/2014/chart" uri="{C3380CC4-5D6E-409C-BE32-E72D297353CC}">
                <c16:uniqueId val="{00000002-0E5A-5949-BF15-5EB8F88CB3AA}"/>
              </c:ext>
            </c:extLst>
          </c:dPt>
          <c:dPt>
            <c:idx val="1"/>
            <c:invertIfNegative val="0"/>
            <c:bubble3D val="0"/>
            <c:spPr>
              <a:solidFill>
                <a:schemeClr val="accent4">
                  <a:lumMod val="75000"/>
                </a:schemeClr>
              </a:solidFill>
              <a:ln>
                <a:solidFill>
                  <a:schemeClr val="tx1"/>
                </a:solidFill>
              </a:ln>
              <a:effectLst/>
            </c:spPr>
            <c:extLst>
              <c:ext xmlns:c16="http://schemas.microsoft.com/office/drawing/2014/chart" uri="{C3380CC4-5D6E-409C-BE32-E72D297353CC}">
                <c16:uniqueId val="{00000003-0E5A-5949-BF15-5EB8F88CB3AA}"/>
              </c:ext>
            </c:extLst>
          </c:dPt>
          <c:dPt>
            <c:idx val="2"/>
            <c:invertIfNegative val="0"/>
            <c:bubble3D val="0"/>
            <c:spPr>
              <a:solidFill>
                <a:schemeClr val="accent4"/>
              </a:solidFill>
              <a:ln>
                <a:solidFill>
                  <a:schemeClr val="tx1"/>
                </a:solidFill>
              </a:ln>
              <a:effectLst/>
            </c:spPr>
            <c:extLst>
              <c:ext xmlns:c16="http://schemas.microsoft.com/office/drawing/2014/chart" uri="{C3380CC4-5D6E-409C-BE32-E72D297353CC}">
                <c16:uniqueId val="{00000004-0E5A-5949-BF15-5EB8F88CB3AA}"/>
              </c:ext>
            </c:extLst>
          </c:dPt>
          <c:dPt>
            <c:idx val="3"/>
            <c:invertIfNegative val="0"/>
            <c:bubble3D val="0"/>
            <c:spPr>
              <a:solidFill>
                <a:schemeClr val="accent4">
                  <a:lumMod val="60000"/>
                  <a:lumOff val="40000"/>
                </a:schemeClr>
              </a:solidFill>
              <a:ln>
                <a:solidFill>
                  <a:schemeClr val="tx1"/>
                </a:solidFill>
              </a:ln>
              <a:effectLst/>
            </c:spPr>
            <c:extLst>
              <c:ext xmlns:c16="http://schemas.microsoft.com/office/drawing/2014/chart" uri="{C3380CC4-5D6E-409C-BE32-E72D297353CC}">
                <c16:uniqueId val="{00000005-0E5A-5949-BF15-5EB8F88CB3AA}"/>
              </c:ext>
            </c:extLst>
          </c:dPt>
          <c:dPt>
            <c:idx val="4"/>
            <c:invertIfNegative val="0"/>
            <c:bubble3D val="0"/>
            <c:spPr>
              <a:solidFill>
                <a:schemeClr val="accent4">
                  <a:lumMod val="40000"/>
                  <a:lumOff val="60000"/>
                </a:schemeClr>
              </a:solidFill>
              <a:ln>
                <a:solidFill>
                  <a:schemeClr val="tx1"/>
                </a:solidFill>
              </a:ln>
              <a:effectLst/>
            </c:spPr>
            <c:extLst>
              <c:ext xmlns:c16="http://schemas.microsoft.com/office/drawing/2014/chart" uri="{C3380CC4-5D6E-409C-BE32-E72D297353CC}">
                <c16:uniqueId val="{00000006-0E5A-5949-BF15-5EB8F88CB3AA}"/>
              </c:ext>
            </c:extLst>
          </c:dPt>
          <c:dPt>
            <c:idx val="5"/>
            <c:invertIfNegative val="0"/>
            <c:bubble3D val="0"/>
            <c:spPr>
              <a:solidFill>
                <a:schemeClr val="accent1">
                  <a:lumMod val="50000"/>
                </a:schemeClr>
              </a:solidFill>
              <a:ln>
                <a:solidFill>
                  <a:schemeClr val="tx1"/>
                </a:solidFill>
              </a:ln>
              <a:effectLst/>
            </c:spPr>
            <c:extLst>
              <c:ext xmlns:c16="http://schemas.microsoft.com/office/drawing/2014/chart" uri="{C3380CC4-5D6E-409C-BE32-E72D297353CC}">
                <c16:uniqueId val="{0000000C-FA65-4961-AD25-4C4AF9AAEA45}"/>
              </c:ext>
            </c:extLst>
          </c:dPt>
          <c:dPt>
            <c:idx val="6"/>
            <c:invertIfNegative val="0"/>
            <c:bubble3D val="0"/>
            <c:spPr>
              <a:solidFill>
                <a:schemeClr val="accent1"/>
              </a:solidFill>
              <a:ln>
                <a:solidFill>
                  <a:schemeClr val="tx1"/>
                </a:solidFill>
              </a:ln>
              <a:effectLst/>
            </c:spPr>
            <c:extLst>
              <c:ext xmlns:c16="http://schemas.microsoft.com/office/drawing/2014/chart" uri="{C3380CC4-5D6E-409C-BE32-E72D297353CC}">
                <c16:uniqueId val="{00000007-0E5A-5949-BF15-5EB8F88CB3AA}"/>
              </c:ext>
            </c:extLst>
          </c:dPt>
          <c:cat>
            <c:strRef>
              <c:f>'Visualisation Dashboard'!$P$153:$P$159</c:f>
              <c:strCache>
                <c:ptCount val="7"/>
                <c:pt idx="0">
                  <c:v>Private Equity Fund</c:v>
                </c:pt>
                <c:pt idx="1">
                  <c:v>Commercial Bank</c:v>
                </c:pt>
                <c:pt idx="2">
                  <c:v>Climate Funds</c:v>
                </c:pt>
                <c:pt idx="3">
                  <c:v>National Government</c:v>
                </c:pt>
                <c:pt idx="4">
                  <c:v>Bilateral Agency</c:v>
                </c:pt>
                <c:pt idx="5">
                  <c:v>Multilateral Agency</c:v>
                </c:pt>
                <c:pt idx="6">
                  <c:v>Foreign Government</c:v>
                </c:pt>
              </c:strCache>
            </c:strRef>
          </c:cat>
          <c:val>
            <c:numRef>
              <c:f>'Visualisation Dashboard'!$Q$153:$Q$159</c:f>
              <c:numCache>
                <c:formatCode>0.0%</c:formatCode>
                <c:ptCount val="7"/>
                <c:pt idx="0">
                  <c:v>1.0000000000000002</c:v>
                </c:pt>
                <c:pt idx="1">
                  <c:v>0.54983600310029723</c:v>
                </c:pt>
                <c:pt idx="2">
                  <c:v>0.48022815714677664</c:v>
                </c:pt>
                <c:pt idx="3">
                  <c:v>0.33762496733096431</c:v>
                </c:pt>
                <c:pt idx="4">
                  <c:v>0.25680086971596155</c:v>
                </c:pt>
                <c:pt idx="5">
                  <c:v>0.20947145082983773</c:v>
                </c:pt>
                <c:pt idx="6">
                  <c:v>9.3944253605170086E-2</c:v>
                </c:pt>
              </c:numCache>
            </c:numRef>
          </c:val>
          <c:extLst>
            <c:ext xmlns:c16="http://schemas.microsoft.com/office/drawing/2014/chart" uri="{C3380CC4-5D6E-409C-BE32-E72D297353CC}">
              <c16:uniqueId val="{00000000-0E5A-5949-BF15-5EB8F88CB3AA}"/>
            </c:ext>
          </c:extLst>
        </c:ser>
        <c:dLbls>
          <c:showLegendKey val="0"/>
          <c:showVal val="0"/>
          <c:showCatName val="0"/>
          <c:showSerName val="0"/>
          <c:showPercent val="0"/>
          <c:showBubbleSize val="0"/>
        </c:dLbls>
        <c:gapWidth val="150"/>
        <c:overlap val="100"/>
        <c:axId val="1003074511"/>
        <c:axId val="1728871791"/>
      </c:barChart>
      <c:catAx>
        <c:axId val="10030745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crossAx val="1728871791"/>
        <c:crosses val="autoZero"/>
        <c:auto val="1"/>
        <c:lblAlgn val="ctr"/>
        <c:lblOffset val="100"/>
        <c:noMultiLvlLbl val="0"/>
      </c:catAx>
      <c:valAx>
        <c:axId val="1728871791"/>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crossAx val="1003074511"/>
        <c:crosses val="autoZero"/>
        <c:crossBetween val="between"/>
        <c:majorUnit val="0.2"/>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ysClr val="window" lastClr="FFFFFF"/>
    </a:solidFill>
    <a:ln w="9525" cap="flat" cmpd="sng" algn="ctr">
      <a:noFill/>
      <a:round/>
    </a:ln>
    <a:effectLst/>
  </c:spPr>
  <c:txPr>
    <a:bodyPr/>
    <a:lstStyle/>
    <a:p>
      <a:pPr>
        <a:defRPr sz="1600">
          <a:solidFill>
            <a:schemeClr val="tx1"/>
          </a:solidFill>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920" b="0" i="0" u="none" strike="noStrike" kern="1200" spc="0" baseline="0">
                <a:solidFill>
                  <a:schemeClr val="tx1"/>
                </a:solidFill>
                <a:latin typeface="+mn-lt"/>
                <a:ea typeface="+mn-ea"/>
                <a:cs typeface="+mn-cs"/>
              </a:defRPr>
            </a:pPr>
            <a:r>
              <a:rPr lang="en-GB"/>
              <a:t>Future Investmentt Needs by Source</a:t>
            </a:r>
          </a:p>
        </c:rich>
      </c:tx>
      <c:overlay val="0"/>
      <c:spPr>
        <a:noFill/>
        <a:ln>
          <a:noFill/>
        </a:ln>
        <a:effectLst/>
      </c:spPr>
      <c:txPr>
        <a:bodyPr rot="0" spcFirstLastPara="1" vertOverflow="ellipsis" vert="horz" wrap="square" anchor="ctr" anchorCtr="1"/>
        <a:lstStyle/>
        <a:p>
          <a:pPr>
            <a:defRPr sz="1920" b="0" i="0" u="none" strike="noStrike" kern="1200" spc="0" baseline="0">
              <a:solidFill>
                <a:schemeClr val="tx1"/>
              </a:solidFill>
              <a:latin typeface="+mn-lt"/>
              <a:ea typeface="+mn-ea"/>
              <a:cs typeface="+mn-cs"/>
            </a:defRPr>
          </a:pPr>
          <a:endParaRPr lang="en-US"/>
        </a:p>
      </c:txPr>
    </c:title>
    <c:autoTitleDeleted val="0"/>
    <c:plotArea>
      <c:layout/>
      <c:barChart>
        <c:barDir val="col"/>
        <c:grouping val="stacked"/>
        <c:varyColors val="0"/>
        <c:ser>
          <c:idx val="0"/>
          <c:order val="0"/>
          <c:tx>
            <c:v>Net Zero Financing Needs</c:v>
          </c:tx>
          <c:spPr>
            <a:solidFill>
              <a:schemeClr val="bg2">
                <a:lumMod val="75000"/>
              </a:schemeClr>
            </a:solidFill>
            <a:ln>
              <a:solidFill>
                <a:schemeClr val="tx1"/>
              </a:solidFill>
            </a:ln>
            <a:effectLst/>
          </c:spPr>
          <c:invertIfNegative val="0"/>
          <c:cat>
            <c:numRef>
              <c:f>'Investment Needs'!$C$4:$AV$4</c:f>
              <c:numCache>
                <c:formatCode>General</c:formatCode>
                <c:ptCount val="46"/>
                <c:pt idx="0">
                  <c:v>2025</c:v>
                </c:pt>
                <c:pt idx="1">
                  <c:v>2026</c:v>
                </c:pt>
                <c:pt idx="2">
                  <c:v>2027</c:v>
                </c:pt>
                <c:pt idx="3">
                  <c:v>2028</c:v>
                </c:pt>
                <c:pt idx="4">
                  <c:v>2029</c:v>
                </c:pt>
                <c:pt idx="5">
                  <c:v>2030</c:v>
                </c:pt>
                <c:pt idx="6">
                  <c:v>2031</c:v>
                </c:pt>
                <c:pt idx="7">
                  <c:v>2032</c:v>
                </c:pt>
                <c:pt idx="8">
                  <c:v>2033</c:v>
                </c:pt>
                <c:pt idx="9">
                  <c:v>2034</c:v>
                </c:pt>
                <c:pt idx="10">
                  <c:v>2035</c:v>
                </c:pt>
                <c:pt idx="11">
                  <c:v>2036</c:v>
                </c:pt>
                <c:pt idx="12">
                  <c:v>2037</c:v>
                </c:pt>
                <c:pt idx="13">
                  <c:v>2038</c:v>
                </c:pt>
                <c:pt idx="14">
                  <c:v>2039</c:v>
                </c:pt>
                <c:pt idx="15">
                  <c:v>2040</c:v>
                </c:pt>
                <c:pt idx="16">
                  <c:v>2041</c:v>
                </c:pt>
                <c:pt idx="17">
                  <c:v>2042</c:v>
                </c:pt>
                <c:pt idx="18">
                  <c:v>2043</c:v>
                </c:pt>
                <c:pt idx="19">
                  <c:v>2044</c:v>
                </c:pt>
                <c:pt idx="20">
                  <c:v>2045</c:v>
                </c:pt>
                <c:pt idx="21">
                  <c:v>2046</c:v>
                </c:pt>
                <c:pt idx="22">
                  <c:v>2047</c:v>
                </c:pt>
                <c:pt idx="23">
                  <c:v>2048</c:v>
                </c:pt>
                <c:pt idx="24">
                  <c:v>2049</c:v>
                </c:pt>
                <c:pt idx="25">
                  <c:v>2050</c:v>
                </c:pt>
                <c:pt idx="26">
                  <c:v>2051</c:v>
                </c:pt>
                <c:pt idx="27">
                  <c:v>2052</c:v>
                </c:pt>
                <c:pt idx="28">
                  <c:v>2053</c:v>
                </c:pt>
                <c:pt idx="29">
                  <c:v>2054</c:v>
                </c:pt>
                <c:pt idx="30">
                  <c:v>2055</c:v>
                </c:pt>
                <c:pt idx="31">
                  <c:v>2056</c:v>
                </c:pt>
                <c:pt idx="32">
                  <c:v>2057</c:v>
                </c:pt>
                <c:pt idx="33">
                  <c:v>2058</c:v>
                </c:pt>
                <c:pt idx="34">
                  <c:v>2059</c:v>
                </c:pt>
                <c:pt idx="35">
                  <c:v>2060</c:v>
                </c:pt>
                <c:pt idx="36">
                  <c:v>2061</c:v>
                </c:pt>
                <c:pt idx="37">
                  <c:v>2062</c:v>
                </c:pt>
                <c:pt idx="38">
                  <c:v>2063</c:v>
                </c:pt>
                <c:pt idx="39">
                  <c:v>2064</c:v>
                </c:pt>
                <c:pt idx="40">
                  <c:v>2065</c:v>
                </c:pt>
                <c:pt idx="41">
                  <c:v>2066</c:v>
                </c:pt>
                <c:pt idx="42">
                  <c:v>2067</c:v>
                </c:pt>
                <c:pt idx="43">
                  <c:v>2068</c:v>
                </c:pt>
                <c:pt idx="44">
                  <c:v>2069</c:v>
                </c:pt>
                <c:pt idx="45">
                  <c:v>2070</c:v>
                </c:pt>
              </c:numCache>
            </c:numRef>
          </c:cat>
          <c:val>
            <c:numRef>
              <c:f>'Investment Needs'!$C$65:$AV$65</c:f>
              <c:numCache>
                <c:formatCode>[$$-409]#,##0</c:formatCode>
                <c:ptCount val="46"/>
                <c:pt idx="0">
                  <c:v>850.28309999999999</c:v>
                </c:pt>
                <c:pt idx="1">
                  <c:v>891.30279999999993</c:v>
                </c:pt>
                <c:pt idx="2">
                  <c:v>892.31080000000009</c:v>
                </c:pt>
                <c:pt idx="3">
                  <c:v>783.88200000000006</c:v>
                </c:pt>
                <c:pt idx="4">
                  <c:v>1637.2811999999999</c:v>
                </c:pt>
                <c:pt idx="5">
                  <c:v>966.93870000000004</c:v>
                </c:pt>
                <c:pt idx="6">
                  <c:v>1100.6995999999999</c:v>
                </c:pt>
                <c:pt idx="7">
                  <c:v>792.58999999999992</c:v>
                </c:pt>
                <c:pt idx="8">
                  <c:v>758.73990000000003</c:v>
                </c:pt>
                <c:pt idx="9">
                  <c:v>1222.0521999999999</c:v>
                </c:pt>
                <c:pt idx="10">
                  <c:v>963.81530000000009</c:v>
                </c:pt>
                <c:pt idx="11">
                  <c:v>1388.3742999999999</c:v>
                </c:pt>
                <c:pt idx="12">
                  <c:v>1304.9629000000002</c:v>
                </c:pt>
                <c:pt idx="13">
                  <c:v>1267.4485999999999</c:v>
                </c:pt>
                <c:pt idx="14">
                  <c:v>1759.1960000000001</c:v>
                </c:pt>
                <c:pt idx="15">
                  <c:v>2280.2151999999996</c:v>
                </c:pt>
                <c:pt idx="16">
                  <c:v>1956.6569000000002</c:v>
                </c:pt>
                <c:pt idx="17">
                  <c:v>1301.3557000000001</c:v>
                </c:pt>
                <c:pt idx="18">
                  <c:v>1359.3568</c:v>
                </c:pt>
                <c:pt idx="19">
                  <c:v>1463.7227</c:v>
                </c:pt>
                <c:pt idx="20">
                  <c:v>1575.0400999999999</c:v>
                </c:pt>
                <c:pt idx="21">
                  <c:v>1687.5381</c:v>
                </c:pt>
                <c:pt idx="22">
                  <c:v>1800.9875999999999</c:v>
                </c:pt>
                <c:pt idx="23">
                  <c:v>1922.2903000000001</c:v>
                </c:pt>
                <c:pt idx="24">
                  <c:v>2099.6988000000001</c:v>
                </c:pt>
                <c:pt idx="25">
                  <c:v>2430.3555999999999</c:v>
                </c:pt>
                <c:pt idx="26">
                  <c:v>2368.0668999999998</c:v>
                </c:pt>
                <c:pt idx="27">
                  <c:v>2207.9177</c:v>
                </c:pt>
                <c:pt idx="28">
                  <c:v>2225.7754999999997</c:v>
                </c:pt>
                <c:pt idx="29">
                  <c:v>3004.1397999999995</c:v>
                </c:pt>
                <c:pt idx="30">
                  <c:v>2080.1179999999999</c:v>
                </c:pt>
                <c:pt idx="31">
                  <c:v>2280.6886</c:v>
                </c:pt>
                <c:pt idx="32">
                  <c:v>2009.4267</c:v>
                </c:pt>
                <c:pt idx="33">
                  <c:v>1955.1030000000001</c:v>
                </c:pt>
                <c:pt idx="34">
                  <c:v>2393.1575999999995</c:v>
                </c:pt>
                <c:pt idx="35">
                  <c:v>2083.9499000000001</c:v>
                </c:pt>
                <c:pt idx="36">
                  <c:v>2543.0387999999998</c:v>
                </c:pt>
                <c:pt idx="37">
                  <c:v>2416.4369999999999</c:v>
                </c:pt>
                <c:pt idx="38">
                  <c:v>2379.3407999999999</c:v>
                </c:pt>
                <c:pt idx="39">
                  <c:v>2812.2185999999997</c:v>
                </c:pt>
                <c:pt idx="40">
                  <c:v>3282.4703999999997</c:v>
                </c:pt>
                <c:pt idx="41">
                  <c:v>2891.0751</c:v>
                </c:pt>
                <c:pt idx="42">
                  <c:v>2267.7013999999999</c:v>
                </c:pt>
                <c:pt idx="43">
                  <c:v>2240.1758</c:v>
                </c:pt>
                <c:pt idx="44">
                  <c:v>2447.7587999999996</c:v>
                </c:pt>
                <c:pt idx="45">
                  <c:v>2598.8757999999998</c:v>
                </c:pt>
              </c:numCache>
            </c:numRef>
          </c:val>
          <c:extLst>
            <c:ext xmlns:c16="http://schemas.microsoft.com/office/drawing/2014/chart" uri="{C3380CC4-5D6E-409C-BE32-E72D297353CC}">
              <c16:uniqueId val="{00000000-467B-CA40-BC68-10EA5630FFDE}"/>
            </c:ext>
          </c:extLst>
        </c:ser>
        <c:ser>
          <c:idx val="1"/>
          <c:order val="1"/>
          <c:tx>
            <c:v>Stranded Cost Compensation</c:v>
          </c:tx>
          <c:spPr>
            <a:solidFill>
              <a:schemeClr val="tx1"/>
            </a:solidFill>
            <a:ln>
              <a:solidFill>
                <a:schemeClr val="tx1"/>
              </a:solidFill>
            </a:ln>
            <a:effectLst/>
          </c:spPr>
          <c:invertIfNegative val="0"/>
          <c:cat>
            <c:numRef>
              <c:f>'Investment Needs'!$C$4:$AV$4</c:f>
              <c:numCache>
                <c:formatCode>General</c:formatCode>
                <c:ptCount val="46"/>
                <c:pt idx="0">
                  <c:v>2025</c:v>
                </c:pt>
                <c:pt idx="1">
                  <c:v>2026</c:v>
                </c:pt>
                <c:pt idx="2">
                  <c:v>2027</c:v>
                </c:pt>
                <c:pt idx="3">
                  <c:v>2028</c:v>
                </c:pt>
                <c:pt idx="4">
                  <c:v>2029</c:v>
                </c:pt>
                <c:pt idx="5">
                  <c:v>2030</c:v>
                </c:pt>
                <c:pt idx="6">
                  <c:v>2031</c:v>
                </c:pt>
                <c:pt idx="7">
                  <c:v>2032</c:v>
                </c:pt>
                <c:pt idx="8">
                  <c:v>2033</c:v>
                </c:pt>
                <c:pt idx="9">
                  <c:v>2034</c:v>
                </c:pt>
                <c:pt idx="10">
                  <c:v>2035</c:v>
                </c:pt>
                <c:pt idx="11">
                  <c:v>2036</c:v>
                </c:pt>
                <c:pt idx="12">
                  <c:v>2037</c:v>
                </c:pt>
                <c:pt idx="13">
                  <c:v>2038</c:v>
                </c:pt>
                <c:pt idx="14">
                  <c:v>2039</c:v>
                </c:pt>
                <c:pt idx="15">
                  <c:v>2040</c:v>
                </c:pt>
                <c:pt idx="16">
                  <c:v>2041</c:v>
                </c:pt>
                <c:pt idx="17">
                  <c:v>2042</c:v>
                </c:pt>
                <c:pt idx="18">
                  <c:v>2043</c:v>
                </c:pt>
                <c:pt idx="19">
                  <c:v>2044</c:v>
                </c:pt>
                <c:pt idx="20">
                  <c:v>2045</c:v>
                </c:pt>
                <c:pt idx="21">
                  <c:v>2046</c:v>
                </c:pt>
                <c:pt idx="22">
                  <c:v>2047</c:v>
                </c:pt>
                <c:pt idx="23">
                  <c:v>2048</c:v>
                </c:pt>
                <c:pt idx="24">
                  <c:v>2049</c:v>
                </c:pt>
                <c:pt idx="25">
                  <c:v>2050</c:v>
                </c:pt>
                <c:pt idx="26">
                  <c:v>2051</c:v>
                </c:pt>
                <c:pt idx="27">
                  <c:v>2052</c:v>
                </c:pt>
                <c:pt idx="28">
                  <c:v>2053</c:v>
                </c:pt>
                <c:pt idx="29">
                  <c:v>2054</c:v>
                </c:pt>
                <c:pt idx="30">
                  <c:v>2055</c:v>
                </c:pt>
                <c:pt idx="31">
                  <c:v>2056</c:v>
                </c:pt>
                <c:pt idx="32">
                  <c:v>2057</c:v>
                </c:pt>
                <c:pt idx="33">
                  <c:v>2058</c:v>
                </c:pt>
                <c:pt idx="34">
                  <c:v>2059</c:v>
                </c:pt>
                <c:pt idx="35">
                  <c:v>2060</c:v>
                </c:pt>
                <c:pt idx="36">
                  <c:v>2061</c:v>
                </c:pt>
                <c:pt idx="37">
                  <c:v>2062</c:v>
                </c:pt>
                <c:pt idx="38">
                  <c:v>2063</c:v>
                </c:pt>
                <c:pt idx="39">
                  <c:v>2064</c:v>
                </c:pt>
                <c:pt idx="40">
                  <c:v>2065</c:v>
                </c:pt>
                <c:pt idx="41">
                  <c:v>2066</c:v>
                </c:pt>
                <c:pt idx="42">
                  <c:v>2067</c:v>
                </c:pt>
                <c:pt idx="43">
                  <c:v>2068</c:v>
                </c:pt>
                <c:pt idx="44">
                  <c:v>2069</c:v>
                </c:pt>
                <c:pt idx="45">
                  <c:v>2070</c:v>
                </c:pt>
              </c:numCache>
            </c:numRef>
          </c:cat>
          <c:val>
            <c:numRef>
              <c:f>'Investment Needs'!$C$171:$AV$171</c:f>
              <c:numCache>
                <c:formatCode>0.00</c:formatCode>
                <c:ptCount val="4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numCache>
            </c:numRef>
          </c:val>
          <c:extLst>
            <c:ext xmlns:c16="http://schemas.microsoft.com/office/drawing/2014/chart" uri="{C3380CC4-5D6E-409C-BE32-E72D297353CC}">
              <c16:uniqueId val="{00000001-467B-CA40-BC68-10EA5630FFDE}"/>
            </c:ext>
          </c:extLst>
        </c:ser>
        <c:dLbls>
          <c:showLegendKey val="0"/>
          <c:showVal val="0"/>
          <c:showCatName val="0"/>
          <c:showSerName val="0"/>
          <c:showPercent val="0"/>
          <c:showBubbleSize val="0"/>
        </c:dLbls>
        <c:gapWidth val="150"/>
        <c:overlap val="100"/>
        <c:axId val="1255640735"/>
        <c:axId val="755507359"/>
      </c:barChart>
      <c:catAx>
        <c:axId val="1255640735"/>
        <c:scaling>
          <c:orientation val="minMax"/>
        </c:scaling>
        <c:delete val="0"/>
        <c:axPos val="b"/>
        <c:title>
          <c:tx>
            <c:rich>
              <a:bodyPr rot="0" spcFirstLastPara="1" vertOverflow="ellipsis" vert="horz" wrap="square" anchor="ctr" anchorCtr="1"/>
              <a:lstStyle/>
              <a:p>
                <a:pPr>
                  <a:defRPr sz="1600" b="0" i="0" u="none" strike="noStrike" kern="1200" baseline="0">
                    <a:solidFill>
                      <a:schemeClr val="tx1"/>
                    </a:solidFill>
                    <a:latin typeface="+mn-lt"/>
                    <a:ea typeface="+mn-ea"/>
                    <a:cs typeface="+mn-cs"/>
                  </a:defRPr>
                </a:pPr>
                <a:r>
                  <a:rPr lang="en-GB"/>
                  <a:t>Year</a:t>
                </a:r>
              </a:p>
            </c:rich>
          </c:tx>
          <c:overlay val="0"/>
          <c:spPr>
            <a:noFill/>
            <a:ln>
              <a:noFill/>
            </a:ln>
            <a:effectLst/>
          </c:spPr>
          <c:txPr>
            <a:bodyPr rot="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crossAx val="755507359"/>
        <c:crosses val="autoZero"/>
        <c:auto val="1"/>
        <c:lblAlgn val="ctr"/>
        <c:lblOffset val="100"/>
        <c:tickLblSkip val="5"/>
        <c:noMultiLvlLbl val="0"/>
      </c:catAx>
      <c:valAx>
        <c:axId val="75550735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600" b="0" i="0" u="none" strike="noStrike" kern="1200" baseline="0">
                    <a:solidFill>
                      <a:schemeClr val="tx1"/>
                    </a:solidFill>
                    <a:latin typeface="+mn-lt"/>
                    <a:ea typeface="+mn-ea"/>
                    <a:cs typeface="+mn-cs"/>
                  </a:defRPr>
                </a:pPr>
                <a:r>
                  <a:rPr lang="en-GB"/>
                  <a:t>Million US$</a:t>
                </a:r>
              </a:p>
            </c:rich>
          </c:tx>
          <c:overlay val="0"/>
          <c:spPr>
            <a:noFill/>
            <a:ln>
              <a:noFill/>
            </a:ln>
            <a:effectLst/>
          </c:spPr>
          <c:txPr>
            <a:bodyPr rot="-540000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title>
        <c:numFmt formatCode="[$$-409]#,##0" sourceLinked="0"/>
        <c:majorTickMark val="none"/>
        <c:minorTickMark val="none"/>
        <c:tickLblPos val="nextTo"/>
        <c:spPr>
          <a:noFill/>
          <a:ln>
            <a:noFill/>
          </a:ln>
          <a:effectLst/>
        </c:spPr>
        <c:txPr>
          <a:bodyPr rot="-6000000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crossAx val="125564073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sz="1600">
          <a:solidFill>
            <a:schemeClr val="tx1"/>
          </a:solidFill>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920" b="0" i="0" u="none" strike="noStrike" kern="1200" spc="0" baseline="0">
                <a:solidFill>
                  <a:schemeClr val="tx1"/>
                </a:solidFill>
                <a:latin typeface="+mn-lt"/>
                <a:ea typeface="+mn-ea"/>
                <a:cs typeface="+mn-cs"/>
              </a:defRPr>
            </a:pPr>
            <a:r>
              <a:rPr lang="en-GB"/>
              <a:t>Average Cost of Electricity US$/TWh</a:t>
            </a:r>
          </a:p>
        </c:rich>
      </c:tx>
      <c:overlay val="0"/>
      <c:spPr>
        <a:noFill/>
        <a:ln>
          <a:noFill/>
        </a:ln>
        <a:effectLst/>
      </c:spPr>
      <c:txPr>
        <a:bodyPr rot="0" spcFirstLastPara="1" vertOverflow="ellipsis" vert="horz" wrap="square" anchor="ctr" anchorCtr="1"/>
        <a:lstStyle/>
        <a:p>
          <a:pPr>
            <a:defRPr sz="1920" b="0" i="0" u="none" strike="noStrike" kern="1200" spc="0" baseline="0">
              <a:solidFill>
                <a:schemeClr val="tx1"/>
              </a:solidFill>
              <a:latin typeface="+mn-lt"/>
              <a:ea typeface="+mn-ea"/>
              <a:cs typeface="+mn-cs"/>
            </a:defRPr>
          </a:pPr>
          <a:endParaRPr lang="en-US"/>
        </a:p>
      </c:txPr>
    </c:title>
    <c:autoTitleDeleted val="0"/>
    <c:plotArea>
      <c:layout/>
      <c:lineChart>
        <c:grouping val="standard"/>
        <c:varyColors val="0"/>
        <c:ser>
          <c:idx val="0"/>
          <c:order val="0"/>
          <c:tx>
            <c:strRef>
              <c:f>'OSeMOSYS (Input)'!$L$138</c:f>
              <c:strCache>
                <c:ptCount val="1"/>
                <c:pt idx="0">
                  <c:v>NetZero</c:v>
                </c:pt>
              </c:strCache>
            </c:strRef>
          </c:tx>
          <c:spPr>
            <a:ln w="31750" cap="rnd">
              <a:solidFill>
                <a:srgbClr val="69F297"/>
              </a:solidFill>
              <a:round/>
            </a:ln>
            <a:effectLst/>
          </c:spPr>
          <c:marker>
            <c:symbol val="none"/>
          </c:marker>
          <c:cat>
            <c:numRef>
              <c:f>'OSeMOSYS (Input)'!$A$139:$A$184</c:f>
              <c:numCache>
                <c:formatCode>General</c:formatCode>
                <c:ptCount val="46"/>
                <c:pt idx="0">
                  <c:v>2025</c:v>
                </c:pt>
                <c:pt idx="1">
                  <c:v>2026</c:v>
                </c:pt>
                <c:pt idx="2">
                  <c:v>2027</c:v>
                </c:pt>
                <c:pt idx="3">
                  <c:v>2028</c:v>
                </c:pt>
                <c:pt idx="4">
                  <c:v>2029</c:v>
                </c:pt>
                <c:pt idx="5">
                  <c:v>2030</c:v>
                </c:pt>
                <c:pt idx="6">
                  <c:v>2031</c:v>
                </c:pt>
                <c:pt idx="7">
                  <c:v>2032</c:v>
                </c:pt>
                <c:pt idx="8">
                  <c:v>2033</c:v>
                </c:pt>
                <c:pt idx="9">
                  <c:v>2034</c:v>
                </c:pt>
                <c:pt idx="10">
                  <c:v>2035</c:v>
                </c:pt>
                <c:pt idx="11">
                  <c:v>2036</c:v>
                </c:pt>
                <c:pt idx="12">
                  <c:v>2037</c:v>
                </c:pt>
                <c:pt idx="13">
                  <c:v>2038</c:v>
                </c:pt>
                <c:pt idx="14">
                  <c:v>2039</c:v>
                </c:pt>
                <c:pt idx="15">
                  <c:v>2040</c:v>
                </c:pt>
                <c:pt idx="16">
                  <c:v>2041</c:v>
                </c:pt>
                <c:pt idx="17">
                  <c:v>2042</c:v>
                </c:pt>
                <c:pt idx="18">
                  <c:v>2043</c:v>
                </c:pt>
                <c:pt idx="19">
                  <c:v>2044</c:v>
                </c:pt>
                <c:pt idx="20">
                  <c:v>2045</c:v>
                </c:pt>
                <c:pt idx="21">
                  <c:v>2046</c:v>
                </c:pt>
                <c:pt idx="22">
                  <c:v>2047</c:v>
                </c:pt>
                <c:pt idx="23">
                  <c:v>2048</c:v>
                </c:pt>
                <c:pt idx="24">
                  <c:v>2049</c:v>
                </c:pt>
                <c:pt idx="25">
                  <c:v>2050</c:v>
                </c:pt>
                <c:pt idx="26">
                  <c:v>2051</c:v>
                </c:pt>
                <c:pt idx="27">
                  <c:v>2052</c:v>
                </c:pt>
                <c:pt idx="28">
                  <c:v>2053</c:v>
                </c:pt>
                <c:pt idx="29">
                  <c:v>2054</c:v>
                </c:pt>
                <c:pt idx="30">
                  <c:v>2055</c:v>
                </c:pt>
                <c:pt idx="31">
                  <c:v>2056</c:v>
                </c:pt>
                <c:pt idx="32">
                  <c:v>2057</c:v>
                </c:pt>
                <c:pt idx="33">
                  <c:v>2058</c:v>
                </c:pt>
                <c:pt idx="34">
                  <c:v>2059</c:v>
                </c:pt>
                <c:pt idx="35">
                  <c:v>2060</c:v>
                </c:pt>
                <c:pt idx="36">
                  <c:v>2061</c:v>
                </c:pt>
                <c:pt idx="37">
                  <c:v>2062</c:v>
                </c:pt>
                <c:pt idx="38">
                  <c:v>2063</c:v>
                </c:pt>
                <c:pt idx="39">
                  <c:v>2064</c:v>
                </c:pt>
                <c:pt idx="40">
                  <c:v>2065</c:v>
                </c:pt>
                <c:pt idx="41">
                  <c:v>2066</c:v>
                </c:pt>
                <c:pt idx="42">
                  <c:v>2067</c:v>
                </c:pt>
                <c:pt idx="43">
                  <c:v>2068</c:v>
                </c:pt>
                <c:pt idx="44">
                  <c:v>2069</c:v>
                </c:pt>
                <c:pt idx="45">
                  <c:v>2070</c:v>
                </c:pt>
              </c:numCache>
            </c:numRef>
          </c:cat>
          <c:val>
            <c:numRef>
              <c:f>'OSeMOSYS (Input)'!$N$139:$N$184</c:f>
              <c:numCache>
                <c:formatCode>[$$-409]#,##0.00</c:formatCode>
                <c:ptCount val="46"/>
                <c:pt idx="0">
                  <c:v>13.226952966173267</c:v>
                </c:pt>
                <c:pt idx="1">
                  <c:v>13.366076543824519</c:v>
                </c:pt>
                <c:pt idx="2">
                  <c:v>12.990598018209724</c:v>
                </c:pt>
                <c:pt idx="3">
                  <c:v>12.272379142502524</c:v>
                </c:pt>
                <c:pt idx="4">
                  <c:v>17.236681928577482</c:v>
                </c:pt>
                <c:pt idx="5">
                  <c:v>14.391891575048144</c:v>
                </c:pt>
                <c:pt idx="6">
                  <c:v>11.479320567729712</c:v>
                </c:pt>
                <c:pt idx="7">
                  <c:v>12.057029442681332</c:v>
                </c:pt>
                <c:pt idx="8">
                  <c:v>12.519815808712705</c:v>
                </c:pt>
                <c:pt idx="9">
                  <c:v>10.916096410749413</c:v>
                </c:pt>
                <c:pt idx="10">
                  <c:v>11.667363096774194</c:v>
                </c:pt>
                <c:pt idx="11">
                  <c:v>11.016721141469862</c:v>
                </c:pt>
                <c:pt idx="12">
                  <c:v>10.961160851605593</c:v>
                </c:pt>
                <c:pt idx="13">
                  <c:v>15.070226030260622</c:v>
                </c:pt>
                <c:pt idx="14">
                  <c:v>11.568896730043811</c:v>
                </c:pt>
                <c:pt idx="15">
                  <c:v>13.243927436318117</c:v>
                </c:pt>
                <c:pt idx="16">
                  <c:v>15.462319144060414</c:v>
                </c:pt>
                <c:pt idx="17">
                  <c:v>12.692649917450527</c:v>
                </c:pt>
                <c:pt idx="18">
                  <c:v>13.04127892802823</c:v>
                </c:pt>
                <c:pt idx="19">
                  <c:v>11.9068321640808</c:v>
                </c:pt>
                <c:pt idx="20">
                  <c:v>14.517820140530409</c:v>
                </c:pt>
                <c:pt idx="21">
                  <c:v>12.38442987050407</c:v>
                </c:pt>
                <c:pt idx="22">
                  <c:v>13.641736425525227</c:v>
                </c:pt>
                <c:pt idx="23">
                  <c:v>13.147274662703744</c:v>
                </c:pt>
                <c:pt idx="24">
                  <c:v>12.034951269950337</c:v>
                </c:pt>
                <c:pt idx="25">
                  <c:v>15.131395369780916</c:v>
                </c:pt>
                <c:pt idx="26">
                  <c:v>11.175183537570268</c:v>
                </c:pt>
                <c:pt idx="27">
                  <c:v>11.495433601940473</c:v>
                </c:pt>
                <c:pt idx="28">
                  <c:v>11.3448896636095</c:v>
                </c:pt>
                <c:pt idx="29">
                  <c:v>12.238180705086902</c:v>
                </c:pt>
                <c:pt idx="30">
                  <c:v>10.626914171438786</c:v>
                </c:pt>
                <c:pt idx="31">
                  <c:v>10.086511027282421</c:v>
                </c:pt>
                <c:pt idx="32">
                  <c:v>9.7190400403920858</c:v>
                </c:pt>
                <c:pt idx="33">
                  <c:v>11.283341271266687</c:v>
                </c:pt>
                <c:pt idx="34">
                  <c:v>9.7825978053353495</c:v>
                </c:pt>
                <c:pt idx="35">
                  <c:v>9.0062035859025329</c:v>
                </c:pt>
                <c:pt idx="36">
                  <c:v>11.681214181726853</c:v>
                </c:pt>
                <c:pt idx="37">
                  <c:v>11.214615460990196</c:v>
                </c:pt>
                <c:pt idx="38">
                  <c:v>11.163994164218767</c:v>
                </c:pt>
                <c:pt idx="39">
                  <c:v>11.236296277047183</c:v>
                </c:pt>
                <c:pt idx="40">
                  <c:v>13.074470301764311</c:v>
                </c:pt>
                <c:pt idx="41">
                  <c:v>11.196588859296892</c:v>
                </c:pt>
                <c:pt idx="42">
                  <c:v>10.644792343334833</c:v>
                </c:pt>
                <c:pt idx="43">
                  <c:v>10.241740108939174</c:v>
                </c:pt>
                <c:pt idx="44">
                  <c:v>9.8098945946884157</c:v>
                </c:pt>
                <c:pt idx="45">
                  <c:v>11.339452723510588</c:v>
                </c:pt>
              </c:numCache>
            </c:numRef>
          </c:val>
          <c:smooth val="0"/>
          <c:extLst>
            <c:ext xmlns:c16="http://schemas.microsoft.com/office/drawing/2014/chart" uri="{C3380CC4-5D6E-409C-BE32-E72D297353CC}">
              <c16:uniqueId val="{00000000-7F09-2D40-90AE-AFFF936FCD02}"/>
            </c:ext>
          </c:extLst>
        </c:ser>
        <c:ser>
          <c:idx val="1"/>
          <c:order val="1"/>
          <c:tx>
            <c:strRef>
              <c:f>'OSeMOSYS (Input)'!$M$138</c:f>
              <c:strCache>
                <c:ptCount val="1"/>
                <c:pt idx="0">
                  <c:v>LeastCost</c:v>
                </c:pt>
              </c:strCache>
            </c:strRef>
          </c:tx>
          <c:spPr>
            <a:ln w="31750" cap="rnd">
              <a:solidFill>
                <a:srgbClr val="49D3FF"/>
              </a:solidFill>
              <a:round/>
            </a:ln>
            <a:effectLst/>
          </c:spPr>
          <c:marker>
            <c:symbol val="none"/>
          </c:marker>
          <c:cat>
            <c:numRef>
              <c:f>'OSeMOSYS (Input)'!$A$139:$A$184</c:f>
              <c:numCache>
                <c:formatCode>General</c:formatCode>
                <c:ptCount val="46"/>
                <c:pt idx="0">
                  <c:v>2025</c:v>
                </c:pt>
                <c:pt idx="1">
                  <c:v>2026</c:v>
                </c:pt>
                <c:pt idx="2">
                  <c:v>2027</c:v>
                </c:pt>
                <c:pt idx="3">
                  <c:v>2028</c:v>
                </c:pt>
                <c:pt idx="4">
                  <c:v>2029</c:v>
                </c:pt>
                <c:pt idx="5">
                  <c:v>2030</c:v>
                </c:pt>
                <c:pt idx="6">
                  <c:v>2031</c:v>
                </c:pt>
                <c:pt idx="7">
                  <c:v>2032</c:v>
                </c:pt>
                <c:pt idx="8">
                  <c:v>2033</c:v>
                </c:pt>
                <c:pt idx="9">
                  <c:v>2034</c:v>
                </c:pt>
                <c:pt idx="10">
                  <c:v>2035</c:v>
                </c:pt>
                <c:pt idx="11">
                  <c:v>2036</c:v>
                </c:pt>
                <c:pt idx="12">
                  <c:v>2037</c:v>
                </c:pt>
                <c:pt idx="13">
                  <c:v>2038</c:v>
                </c:pt>
                <c:pt idx="14">
                  <c:v>2039</c:v>
                </c:pt>
                <c:pt idx="15">
                  <c:v>2040</c:v>
                </c:pt>
                <c:pt idx="16">
                  <c:v>2041</c:v>
                </c:pt>
                <c:pt idx="17">
                  <c:v>2042</c:v>
                </c:pt>
                <c:pt idx="18">
                  <c:v>2043</c:v>
                </c:pt>
                <c:pt idx="19">
                  <c:v>2044</c:v>
                </c:pt>
                <c:pt idx="20">
                  <c:v>2045</c:v>
                </c:pt>
                <c:pt idx="21">
                  <c:v>2046</c:v>
                </c:pt>
                <c:pt idx="22">
                  <c:v>2047</c:v>
                </c:pt>
                <c:pt idx="23">
                  <c:v>2048</c:v>
                </c:pt>
                <c:pt idx="24">
                  <c:v>2049</c:v>
                </c:pt>
                <c:pt idx="25">
                  <c:v>2050</c:v>
                </c:pt>
                <c:pt idx="26">
                  <c:v>2051</c:v>
                </c:pt>
                <c:pt idx="27">
                  <c:v>2052</c:v>
                </c:pt>
                <c:pt idx="28">
                  <c:v>2053</c:v>
                </c:pt>
                <c:pt idx="29">
                  <c:v>2054</c:v>
                </c:pt>
                <c:pt idx="30">
                  <c:v>2055</c:v>
                </c:pt>
                <c:pt idx="31">
                  <c:v>2056</c:v>
                </c:pt>
                <c:pt idx="32">
                  <c:v>2057</c:v>
                </c:pt>
                <c:pt idx="33">
                  <c:v>2058</c:v>
                </c:pt>
                <c:pt idx="34">
                  <c:v>2059</c:v>
                </c:pt>
                <c:pt idx="35">
                  <c:v>2060</c:v>
                </c:pt>
                <c:pt idx="36">
                  <c:v>2061</c:v>
                </c:pt>
                <c:pt idx="37">
                  <c:v>2062</c:v>
                </c:pt>
                <c:pt idx="38">
                  <c:v>2063</c:v>
                </c:pt>
                <c:pt idx="39">
                  <c:v>2064</c:v>
                </c:pt>
                <c:pt idx="40">
                  <c:v>2065</c:v>
                </c:pt>
                <c:pt idx="41">
                  <c:v>2066</c:v>
                </c:pt>
                <c:pt idx="42">
                  <c:v>2067</c:v>
                </c:pt>
                <c:pt idx="43">
                  <c:v>2068</c:v>
                </c:pt>
                <c:pt idx="44">
                  <c:v>2069</c:v>
                </c:pt>
                <c:pt idx="45">
                  <c:v>2070</c:v>
                </c:pt>
              </c:numCache>
            </c:numRef>
          </c:cat>
          <c:val>
            <c:numRef>
              <c:f>'OSeMOSYS (Input)'!$O$139:$O$184</c:f>
              <c:numCache>
                <c:formatCode>[$$-409]#,##0.00</c:formatCode>
                <c:ptCount val="46"/>
                <c:pt idx="0">
                  <c:v>10.009923095207888</c:v>
                </c:pt>
                <c:pt idx="1">
                  <c:v>13.366076543824519</c:v>
                </c:pt>
                <c:pt idx="2">
                  <c:v>14.013074834570245</c:v>
                </c:pt>
                <c:pt idx="3">
                  <c:v>12.139410759147628</c:v>
                </c:pt>
                <c:pt idx="4">
                  <c:v>17.104103575310084</c:v>
                </c:pt>
                <c:pt idx="5">
                  <c:v>12.829771507596746</c:v>
                </c:pt>
                <c:pt idx="6">
                  <c:v>12.78506182988688</c:v>
                </c:pt>
                <c:pt idx="7">
                  <c:v>12.243062727703297</c:v>
                </c:pt>
                <c:pt idx="8">
                  <c:v>11.949115520914249</c:v>
                </c:pt>
                <c:pt idx="9">
                  <c:v>12.047958658720571</c:v>
                </c:pt>
                <c:pt idx="10">
                  <c:v>12.818304603942217</c:v>
                </c:pt>
                <c:pt idx="11">
                  <c:v>11.222736300461408</c:v>
                </c:pt>
                <c:pt idx="12">
                  <c:v>11.319952906223957</c:v>
                </c:pt>
                <c:pt idx="13">
                  <c:v>14.991028743392802</c:v>
                </c:pt>
                <c:pt idx="14">
                  <c:v>11.577448006817525</c:v>
                </c:pt>
                <c:pt idx="15">
                  <c:v>12.943218403801925</c:v>
                </c:pt>
                <c:pt idx="16">
                  <c:v>15.579482543946282</c:v>
                </c:pt>
                <c:pt idx="17">
                  <c:v>12.692873876442242</c:v>
                </c:pt>
                <c:pt idx="18">
                  <c:v>13.266778823707973</c:v>
                </c:pt>
                <c:pt idx="19">
                  <c:v>12.03764493607046</c:v>
                </c:pt>
                <c:pt idx="20">
                  <c:v>14.612539198933517</c:v>
                </c:pt>
                <c:pt idx="21">
                  <c:v>12.504137821679324</c:v>
                </c:pt>
                <c:pt idx="22">
                  <c:v>14.176169100407602</c:v>
                </c:pt>
                <c:pt idx="23">
                  <c:v>13.160483252442306</c:v>
                </c:pt>
                <c:pt idx="24">
                  <c:v>12.123453873410133</c:v>
                </c:pt>
                <c:pt idx="25">
                  <c:v>13.815012988960381</c:v>
                </c:pt>
                <c:pt idx="26">
                  <c:v>11.562656962967367</c:v>
                </c:pt>
                <c:pt idx="27">
                  <c:v>11.961398726858375</c:v>
                </c:pt>
                <c:pt idx="28">
                  <c:v>11.4956095811915</c:v>
                </c:pt>
                <c:pt idx="29">
                  <c:v>12.067064662095468</c:v>
                </c:pt>
                <c:pt idx="30">
                  <c:v>11.052850097239274</c:v>
                </c:pt>
                <c:pt idx="31">
                  <c:v>10.316045060882072</c:v>
                </c:pt>
                <c:pt idx="32">
                  <c:v>9.473786858602276</c:v>
                </c:pt>
                <c:pt idx="33">
                  <c:v>11.166677179147667</c:v>
                </c:pt>
                <c:pt idx="34">
                  <c:v>9.9052849579472468</c:v>
                </c:pt>
                <c:pt idx="35">
                  <c:v>8.9989719769986642</c:v>
                </c:pt>
                <c:pt idx="36">
                  <c:v>11.687262268436843</c:v>
                </c:pt>
                <c:pt idx="37">
                  <c:v>11.182047701023082</c:v>
                </c:pt>
                <c:pt idx="38">
                  <c:v>11.231756893781748</c:v>
                </c:pt>
                <c:pt idx="39">
                  <c:v>11.31157264161118</c:v>
                </c:pt>
                <c:pt idx="40">
                  <c:v>13.002880088792942</c:v>
                </c:pt>
                <c:pt idx="41">
                  <c:v>11.445326635547238</c:v>
                </c:pt>
                <c:pt idx="42">
                  <c:v>11.000802719082145</c:v>
                </c:pt>
                <c:pt idx="43">
                  <c:v>10.033836182433866</c:v>
                </c:pt>
                <c:pt idx="44">
                  <c:v>9.773879017382729</c:v>
                </c:pt>
                <c:pt idx="45">
                  <c:v>10.539386243891007</c:v>
                </c:pt>
              </c:numCache>
            </c:numRef>
          </c:val>
          <c:smooth val="0"/>
          <c:extLst>
            <c:ext xmlns:c16="http://schemas.microsoft.com/office/drawing/2014/chart" uri="{C3380CC4-5D6E-409C-BE32-E72D297353CC}">
              <c16:uniqueId val="{00000001-7F09-2D40-90AE-AFFF936FCD02}"/>
            </c:ext>
          </c:extLst>
        </c:ser>
        <c:dLbls>
          <c:showLegendKey val="0"/>
          <c:showVal val="0"/>
          <c:showCatName val="0"/>
          <c:showSerName val="0"/>
          <c:showPercent val="0"/>
          <c:showBubbleSize val="0"/>
        </c:dLbls>
        <c:smooth val="0"/>
        <c:axId val="1692328623"/>
        <c:axId val="209957839"/>
      </c:lineChart>
      <c:catAx>
        <c:axId val="1692328623"/>
        <c:scaling>
          <c:orientation val="minMax"/>
        </c:scaling>
        <c:delete val="0"/>
        <c:axPos val="b"/>
        <c:title>
          <c:tx>
            <c:rich>
              <a:bodyPr rot="0" spcFirstLastPara="1" vertOverflow="ellipsis" vert="horz" wrap="square" anchor="ctr" anchorCtr="1"/>
              <a:lstStyle/>
              <a:p>
                <a:pPr>
                  <a:defRPr sz="1600" b="0" i="0" u="none" strike="noStrike" kern="1200" baseline="0">
                    <a:solidFill>
                      <a:schemeClr val="tx1"/>
                    </a:solidFill>
                    <a:latin typeface="+mn-lt"/>
                    <a:ea typeface="+mn-ea"/>
                    <a:cs typeface="+mn-cs"/>
                  </a:defRPr>
                </a:pPr>
                <a:r>
                  <a:rPr lang="en-GB"/>
                  <a:t>Year</a:t>
                </a:r>
              </a:p>
            </c:rich>
          </c:tx>
          <c:overlay val="0"/>
          <c:spPr>
            <a:noFill/>
            <a:ln>
              <a:noFill/>
            </a:ln>
            <a:effectLst/>
          </c:spPr>
          <c:txPr>
            <a:bodyPr rot="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crossAx val="209957839"/>
        <c:crosses val="autoZero"/>
        <c:auto val="1"/>
        <c:lblAlgn val="ctr"/>
        <c:lblOffset val="100"/>
        <c:tickLblSkip val="5"/>
        <c:noMultiLvlLbl val="0"/>
      </c:catAx>
      <c:valAx>
        <c:axId val="20995783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600" b="0" i="0" u="none" strike="noStrike" kern="1200" baseline="0">
                    <a:solidFill>
                      <a:schemeClr val="tx1"/>
                    </a:solidFill>
                    <a:latin typeface="+mn-lt"/>
                    <a:ea typeface="+mn-ea"/>
                    <a:cs typeface="+mn-cs"/>
                  </a:defRPr>
                </a:pPr>
                <a:r>
                  <a:rPr lang="en-GB"/>
                  <a:t> US$/TWh</a:t>
                </a:r>
              </a:p>
            </c:rich>
          </c:tx>
          <c:overlay val="0"/>
          <c:spPr>
            <a:noFill/>
            <a:ln>
              <a:noFill/>
            </a:ln>
            <a:effectLst/>
          </c:spPr>
          <c:txPr>
            <a:bodyPr rot="-540000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title>
        <c:numFmt formatCode="[$$-540A]#,##0" sourceLinked="0"/>
        <c:majorTickMark val="none"/>
        <c:minorTickMark val="none"/>
        <c:tickLblPos val="nextTo"/>
        <c:spPr>
          <a:noFill/>
          <a:ln>
            <a:noFill/>
          </a:ln>
          <a:effectLst/>
        </c:spPr>
        <c:txPr>
          <a:bodyPr rot="-6000000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crossAx val="169232862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sz="1600" b="0">
          <a:solidFill>
            <a:schemeClr val="tx1"/>
          </a:solidFill>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920" b="1" i="0" u="none" strike="noStrike" kern="1200" spc="0" baseline="0">
                <a:solidFill>
                  <a:schemeClr val="tx1"/>
                </a:solidFill>
                <a:latin typeface="Arial" panose="020B0604020202020204" pitchFamily="34" charset="0"/>
                <a:ea typeface="+mn-ea"/>
                <a:cs typeface="Arial" panose="020B0604020202020204" pitchFamily="34" charset="0"/>
              </a:defRPr>
            </a:pPr>
            <a:r>
              <a:rPr lang="en-GB" b="0"/>
              <a:t>Merit order of Financing Sources by Grant Element between 2010-2024</a:t>
            </a:r>
          </a:p>
        </c:rich>
      </c:tx>
      <c:overlay val="0"/>
      <c:spPr>
        <a:noFill/>
        <a:ln>
          <a:noFill/>
        </a:ln>
        <a:effectLst/>
      </c:spPr>
      <c:txPr>
        <a:bodyPr rot="0" spcFirstLastPara="1" vertOverflow="ellipsis" vert="horz" wrap="square" anchor="ctr" anchorCtr="1"/>
        <a:lstStyle/>
        <a:p>
          <a:pPr>
            <a:defRPr sz="1920" b="1" i="0" u="none" strike="noStrike" kern="1200" spc="0" baseline="0">
              <a:solidFill>
                <a:schemeClr val="tx1"/>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0.12298961076534998"/>
          <c:y val="0.14483863517060366"/>
          <c:w val="0.86724675719882838"/>
          <c:h val="0.59812724409448814"/>
        </c:manualLayout>
      </c:layout>
      <c:areaChart>
        <c:grouping val="standard"/>
        <c:varyColors val="0"/>
        <c:ser>
          <c:idx val="0"/>
          <c:order val="0"/>
          <c:tx>
            <c:strRef>
              <c:f>'Visualisation Dashboard'!$M$125</c:f>
              <c:strCache>
                <c:ptCount val="1"/>
                <c:pt idx="0">
                  <c:v>Conc Intl</c:v>
                </c:pt>
              </c:strCache>
            </c:strRef>
          </c:tx>
          <c:spPr>
            <a:solidFill>
              <a:srgbClr val="FFBBBC"/>
            </a:solidFill>
            <a:ln>
              <a:solidFill>
                <a:schemeClr val="tx1"/>
              </a:solidFill>
            </a:ln>
            <a:effectLst/>
          </c:spPr>
          <c:dLbls>
            <c:delete val="1"/>
          </c:dLbls>
          <c:cat>
            <c:numRef>
              <c:f>'Visualisation Dashboard'!$L$127:$L$137</c:f>
              <c:numCache>
                <c:formatCode>General</c:formatCode>
                <c:ptCount val="11"/>
                <c:pt idx="0">
                  <c:v>0</c:v>
                </c:pt>
                <c:pt idx="1">
                  <c:v>8033.914587321874</c:v>
                </c:pt>
                <c:pt idx="2">
                  <c:v>8033.914587321874</c:v>
                </c:pt>
                <c:pt idx="3">
                  <c:v>8033.914587321874</c:v>
                </c:pt>
                <c:pt idx="4">
                  <c:v>8239.8945873218745</c:v>
                </c:pt>
                <c:pt idx="5">
                  <c:v>8239.8945873218745</c:v>
                </c:pt>
                <c:pt idx="6">
                  <c:v>8239.8945873218745</c:v>
                </c:pt>
                <c:pt idx="7">
                  <c:v>8723.9145873218749</c:v>
                </c:pt>
                <c:pt idx="8">
                  <c:v>8723.9145873218749</c:v>
                </c:pt>
                <c:pt idx="9">
                  <c:v>8723.9145873218749</c:v>
                </c:pt>
                <c:pt idx="10">
                  <c:v>8775.3145873218746</c:v>
                </c:pt>
              </c:numCache>
            </c:numRef>
          </c:cat>
          <c:val>
            <c:numRef>
              <c:f>'Visualisation Dashboard'!$M$127:$M$137</c:f>
              <c:numCache>
                <c:formatCode>General</c:formatCode>
                <c:ptCount val="11"/>
                <c:pt idx="0">
                  <c:v>0.19386327212276647</c:v>
                </c:pt>
                <c:pt idx="1">
                  <c:v>0.19386327212276647</c:v>
                </c:pt>
                <c:pt idx="2">
                  <c:v>0</c:v>
                </c:pt>
                <c:pt idx="3">
                  <c:v>0</c:v>
                </c:pt>
              </c:numCache>
            </c:numRef>
          </c:val>
          <c:extLst>
            <c:ext xmlns:c16="http://schemas.microsoft.com/office/drawing/2014/chart" uri="{C3380CC4-5D6E-409C-BE32-E72D297353CC}">
              <c16:uniqueId val="{00000000-0DF5-9D40-91D1-91E38E7E6B10}"/>
            </c:ext>
          </c:extLst>
        </c:ser>
        <c:ser>
          <c:idx val="1"/>
          <c:order val="1"/>
          <c:tx>
            <c:strRef>
              <c:f>'Visualisation Dashboard'!$N$125</c:f>
              <c:strCache>
                <c:ptCount val="1"/>
                <c:pt idx="0">
                  <c:v>Conc Dom</c:v>
                </c:pt>
              </c:strCache>
            </c:strRef>
          </c:tx>
          <c:spPr>
            <a:solidFill>
              <a:srgbClr val="FF7B7B"/>
            </a:solidFill>
            <a:ln>
              <a:solidFill>
                <a:schemeClr val="tx1"/>
              </a:solidFill>
            </a:ln>
            <a:effectLst/>
          </c:spPr>
          <c:dLbls>
            <c:delete val="1"/>
          </c:dLbls>
          <c:cat>
            <c:numRef>
              <c:f>'Visualisation Dashboard'!$L$127:$L$137</c:f>
              <c:numCache>
                <c:formatCode>General</c:formatCode>
                <c:ptCount val="11"/>
                <c:pt idx="0">
                  <c:v>0</c:v>
                </c:pt>
                <c:pt idx="1">
                  <c:v>8033.914587321874</c:v>
                </c:pt>
                <c:pt idx="2">
                  <c:v>8033.914587321874</c:v>
                </c:pt>
                <c:pt idx="3">
                  <c:v>8033.914587321874</c:v>
                </c:pt>
                <c:pt idx="4">
                  <c:v>8239.8945873218745</c:v>
                </c:pt>
                <c:pt idx="5">
                  <c:v>8239.8945873218745</c:v>
                </c:pt>
                <c:pt idx="6">
                  <c:v>8239.8945873218745</c:v>
                </c:pt>
                <c:pt idx="7">
                  <c:v>8723.9145873218749</c:v>
                </c:pt>
                <c:pt idx="8">
                  <c:v>8723.9145873218749</c:v>
                </c:pt>
                <c:pt idx="9">
                  <c:v>8723.9145873218749</c:v>
                </c:pt>
                <c:pt idx="10">
                  <c:v>8775.3145873218746</c:v>
                </c:pt>
              </c:numCache>
            </c:numRef>
          </c:cat>
          <c:val>
            <c:numRef>
              <c:f>'Visualisation Dashboard'!$N$127:$N$137</c:f>
              <c:numCache>
                <c:formatCode>General</c:formatCode>
                <c:ptCount val="11"/>
                <c:pt idx="2">
                  <c:v>0</c:v>
                </c:pt>
                <c:pt idx="3">
                  <c:v>0.22868714221826006</c:v>
                </c:pt>
                <c:pt idx="4">
                  <c:v>0.22868714221826006</c:v>
                </c:pt>
              </c:numCache>
            </c:numRef>
          </c:val>
          <c:extLst>
            <c:ext xmlns:c16="http://schemas.microsoft.com/office/drawing/2014/chart" uri="{C3380CC4-5D6E-409C-BE32-E72D297353CC}">
              <c16:uniqueId val="{0000000C-0DF5-9D40-91D1-91E38E7E6B10}"/>
            </c:ext>
          </c:extLst>
        </c:ser>
        <c:ser>
          <c:idx val="2"/>
          <c:order val="2"/>
          <c:tx>
            <c:strRef>
              <c:f>'Visualisation Dashboard'!$O$125</c:f>
              <c:strCache>
                <c:ptCount val="1"/>
                <c:pt idx="0">
                  <c:v>Com Intl</c:v>
                </c:pt>
              </c:strCache>
            </c:strRef>
          </c:tx>
          <c:spPr>
            <a:solidFill>
              <a:srgbClr val="FF0000"/>
            </a:solidFill>
            <a:ln>
              <a:solidFill>
                <a:schemeClr val="tx1"/>
              </a:solidFill>
            </a:ln>
            <a:effectLst/>
          </c:spPr>
          <c:dLbls>
            <c:delete val="1"/>
          </c:dLbls>
          <c:cat>
            <c:numRef>
              <c:f>'Visualisation Dashboard'!$L$127:$L$137</c:f>
              <c:numCache>
                <c:formatCode>General</c:formatCode>
                <c:ptCount val="11"/>
                <c:pt idx="0">
                  <c:v>0</c:v>
                </c:pt>
                <c:pt idx="1">
                  <c:v>8033.914587321874</c:v>
                </c:pt>
                <c:pt idx="2">
                  <c:v>8033.914587321874</c:v>
                </c:pt>
                <c:pt idx="3">
                  <c:v>8033.914587321874</c:v>
                </c:pt>
                <c:pt idx="4">
                  <c:v>8239.8945873218745</c:v>
                </c:pt>
                <c:pt idx="5">
                  <c:v>8239.8945873218745</c:v>
                </c:pt>
                <c:pt idx="6">
                  <c:v>8239.8945873218745</c:v>
                </c:pt>
                <c:pt idx="7">
                  <c:v>8723.9145873218749</c:v>
                </c:pt>
                <c:pt idx="8">
                  <c:v>8723.9145873218749</c:v>
                </c:pt>
                <c:pt idx="9">
                  <c:v>8723.9145873218749</c:v>
                </c:pt>
                <c:pt idx="10">
                  <c:v>8775.3145873218746</c:v>
                </c:pt>
              </c:numCache>
            </c:numRef>
          </c:cat>
          <c:val>
            <c:numRef>
              <c:f>'Visualisation Dashboard'!$O$127:$O$137</c:f>
              <c:numCache>
                <c:formatCode>General</c:formatCode>
                <c:ptCount val="11"/>
                <c:pt idx="2">
                  <c:v>0</c:v>
                </c:pt>
                <c:pt idx="6">
                  <c:v>0.66103184640162871</c:v>
                </c:pt>
                <c:pt idx="7">
                  <c:v>0.66103184640162871</c:v>
                </c:pt>
              </c:numCache>
            </c:numRef>
          </c:val>
          <c:extLst>
            <c:ext xmlns:c16="http://schemas.microsoft.com/office/drawing/2014/chart" uri="{C3380CC4-5D6E-409C-BE32-E72D297353CC}">
              <c16:uniqueId val="{0000000D-0DF5-9D40-91D1-91E38E7E6B10}"/>
            </c:ext>
          </c:extLst>
        </c:ser>
        <c:ser>
          <c:idx val="3"/>
          <c:order val="3"/>
          <c:tx>
            <c:strRef>
              <c:f>'Visualisation Dashboard'!$P$125</c:f>
              <c:strCache>
                <c:ptCount val="1"/>
                <c:pt idx="0">
                  <c:v>Com Dom</c:v>
                </c:pt>
              </c:strCache>
            </c:strRef>
          </c:tx>
          <c:spPr>
            <a:solidFill>
              <a:srgbClr val="C00000"/>
            </a:solidFill>
            <a:ln>
              <a:solidFill>
                <a:schemeClr val="tx1"/>
              </a:solidFill>
            </a:ln>
            <a:effectLst/>
          </c:spPr>
          <c:dLbls>
            <c:delete val="1"/>
          </c:dLbls>
          <c:cat>
            <c:numRef>
              <c:f>'Visualisation Dashboard'!$L$127:$L$137</c:f>
              <c:numCache>
                <c:formatCode>General</c:formatCode>
                <c:ptCount val="11"/>
                <c:pt idx="0">
                  <c:v>0</c:v>
                </c:pt>
                <c:pt idx="1">
                  <c:v>8033.914587321874</c:v>
                </c:pt>
                <c:pt idx="2">
                  <c:v>8033.914587321874</c:v>
                </c:pt>
                <c:pt idx="3">
                  <c:v>8033.914587321874</c:v>
                </c:pt>
                <c:pt idx="4">
                  <c:v>8239.8945873218745</c:v>
                </c:pt>
                <c:pt idx="5">
                  <c:v>8239.8945873218745</c:v>
                </c:pt>
                <c:pt idx="6">
                  <c:v>8239.8945873218745</c:v>
                </c:pt>
                <c:pt idx="7">
                  <c:v>8723.9145873218749</c:v>
                </c:pt>
                <c:pt idx="8">
                  <c:v>8723.9145873218749</c:v>
                </c:pt>
                <c:pt idx="9">
                  <c:v>8723.9145873218749</c:v>
                </c:pt>
                <c:pt idx="10">
                  <c:v>8775.3145873218746</c:v>
                </c:pt>
              </c:numCache>
            </c:numRef>
          </c:cat>
          <c:val>
            <c:numRef>
              <c:f>'Visualisation Dashboard'!$P$127:$P$137</c:f>
              <c:numCache>
                <c:formatCode>General</c:formatCode>
                <c:ptCount val="11"/>
                <c:pt idx="2">
                  <c:v>0</c:v>
                </c:pt>
                <c:pt idx="9">
                  <c:v>0.75238729752096856</c:v>
                </c:pt>
                <c:pt idx="10">
                  <c:v>0.75238729752096856</c:v>
                </c:pt>
              </c:numCache>
            </c:numRef>
          </c:val>
          <c:extLst>
            <c:ext xmlns:c16="http://schemas.microsoft.com/office/drawing/2014/chart" uri="{C3380CC4-5D6E-409C-BE32-E72D297353CC}">
              <c16:uniqueId val="{0000000E-0DF5-9D40-91D1-91E38E7E6B10}"/>
            </c:ext>
          </c:extLst>
        </c:ser>
        <c:dLbls>
          <c:showLegendKey val="0"/>
          <c:showVal val="1"/>
          <c:showCatName val="0"/>
          <c:showSerName val="0"/>
          <c:showPercent val="0"/>
          <c:showBubbleSize val="0"/>
        </c:dLbls>
        <c:axId val="1793119999"/>
        <c:axId val="1730215967"/>
      </c:areaChart>
      <c:dateAx>
        <c:axId val="1793119999"/>
        <c:scaling>
          <c:orientation val="minMax"/>
        </c:scaling>
        <c:delete val="0"/>
        <c:axPos val="b"/>
        <c:numFmt formatCode="[$$-409]#,##0" sourceLinked="0"/>
        <c:majorTickMark val="out"/>
        <c:minorTickMark val="out"/>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1600" b="1"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crossAx val="1730215967"/>
        <c:crosses val="autoZero"/>
        <c:auto val="0"/>
        <c:lblOffset val="100"/>
        <c:baseTimeUnit val="days"/>
        <c:majorUnit val="500"/>
        <c:majorTimeUnit val="days"/>
        <c:minorUnit val="100"/>
        <c:minorTimeUnit val="days"/>
      </c:dateAx>
      <c:valAx>
        <c:axId val="1730215967"/>
        <c:scaling>
          <c:orientation val="minMax"/>
          <c:max val="1"/>
        </c:scaling>
        <c:delete val="0"/>
        <c:axPos val="l"/>
        <c:title>
          <c:tx>
            <c:rich>
              <a:bodyPr rot="-5400000" spcFirstLastPara="1" vertOverflow="ellipsis" vert="horz" wrap="square" anchor="ctr" anchorCtr="1"/>
              <a:lstStyle/>
              <a:p>
                <a:pPr>
                  <a:defRPr sz="1600" b="1" i="0" u="none" strike="noStrike" kern="1200" baseline="0">
                    <a:solidFill>
                      <a:schemeClr val="tx1"/>
                    </a:solidFill>
                    <a:latin typeface="Arial" panose="020B0604020202020204" pitchFamily="34" charset="0"/>
                    <a:ea typeface="+mn-ea"/>
                    <a:cs typeface="Arial" panose="020B0604020202020204" pitchFamily="34" charset="0"/>
                  </a:defRPr>
                </a:pPr>
                <a:r>
                  <a:rPr lang="en-GB"/>
                  <a:t>Market Element</a:t>
                </a:r>
              </a:p>
            </c:rich>
          </c:tx>
          <c:layout>
            <c:manualLayout>
              <c:xMode val="edge"/>
              <c:yMode val="edge"/>
              <c:x val="2.1108425384624353E-2"/>
              <c:y val="0.20456263240707276"/>
            </c:manualLayout>
          </c:layout>
          <c:overlay val="0"/>
          <c:spPr>
            <a:noFill/>
            <a:ln>
              <a:noFill/>
            </a:ln>
            <a:effectLst/>
          </c:spPr>
          <c:txPr>
            <a:bodyPr rot="-5400000" spcFirstLastPara="1" vertOverflow="ellipsis" vert="horz" wrap="square" anchor="ctr" anchorCtr="1"/>
            <a:lstStyle/>
            <a:p>
              <a:pPr>
                <a:defRPr sz="1600" b="1"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lang="ja-JP" sz="1100" b="1"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crossAx val="1793119999"/>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1" i="0" u="none" strike="noStrike" kern="1200" baseline="0">
              <a:solidFill>
                <a:schemeClr val="tx1"/>
              </a:solidFill>
              <a:latin typeface="Arial" panose="020B0604020202020204" pitchFamily="34" charset="0"/>
              <a:ea typeface="+mn-ea"/>
              <a:cs typeface="Arial" panose="020B0604020202020204" pitchFamily="34"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sz="1600" b="1" i="0">
          <a:solidFill>
            <a:schemeClr val="tx1"/>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ja-JP" sz="1920" b="0" i="0" u="none" strike="noStrike" kern="1200" spc="0" baseline="0">
                <a:solidFill>
                  <a:schemeClr val="tx1"/>
                </a:solidFill>
                <a:latin typeface="Open Sans" panose="020B0606030504020204" pitchFamily="34" charset="0"/>
                <a:ea typeface="Open Sans" panose="020B0606030504020204" pitchFamily="34" charset="0"/>
                <a:cs typeface="Open Sans" panose="020B0606030504020204" pitchFamily="34" charset="0"/>
              </a:defRPr>
            </a:pPr>
            <a:r>
              <a:rPr lang="en-GB"/>
              <a:t>Historic Cost of Financing</a:t>
            </a:r>
            <a:r>
              <a:rPr lang="en-GB" baseline="0"/>
              <a:t> 2010-2024</a:t>
            </a:r>
            <a:endParaRPr lang="en-GB"/>
          </a:p>
        </c:rich>
      </c:tx>
      <c:overlay val="0"/>
      <c:spPr>
        <a:noFill/>
        <a:ln>
          <a:noFill/>
        </a:ln>
        <a:effectLst/>
      </c:spPr>
      <c:txPr>
        <a:bodyPr rot="0" spcFirstLastPara="1" vertOverflow="ellipsis" vert="horz" wrap="square" anchor="ctr" anchorCtr="1"/>
        <a:lstStyle/>
        <a:p>
          <a:pPr>
            <a:defRPr lang="ja-JP" sz="1920" b="0" i="0" u="none" strike="noStrike" kern="1200" spc="0" baseline="0">
              <a:solidFill>
                <a:schemeClr val="tx1"/>
              </a:solidFill>
              <a:latin typeface="Open Sans" panose="020B0606030504020204" pitchFamily="34" charset="0"/>
              <a:ea typeface="Open Sans" panose="020B0606030504020204" pitchFamily="34" charset="0"/>
              <a:cs typeface="Open Sans" panose="020B0606030504020204" pitchFamily="34" charset="0"/>
            </a:defRPr>
          </a:pPr>
          <a:endParaRPr lang="en-GB"/>
        </a:p>
      </c:txPr>
    </c:title>
    <c:autoTitleDeleted val="0"/>
    <c:plotArea>
      <c:layout>
        <c:manualLayout>
          <c:layoutTarget val="inner"/>
          <c:xMode val="edge"/>
          <c:yMode val="edge"/>
          <c:x val="9.8147453102095453E-2"/>
          <c:y val="0.16504348703283786"/>
          <c:w val="0.8820665528889392"/>
          <c:h val="0.5129921622463256"/>
        </c:manualLayout>
      </c:layout>
      <c:barChart>
        <c:barDir val="col"/>
        <c:grouping val="clustered"/>
        <c:varyColors val="0"/>
        <c:ser>
          <c:idx val="0"/>
          <c:order val="0"/>
          <c:tx>
            <c:strRef>
              <c:f>'Visualisation Dashboard'!$AF$161</c:f>
              <c:strCache>
                <c:ptCount val="1"/>
                <c:pt idx="0">
                  <c:v>IRR</c:v>
                </c:pt>
              </c:strCache>
            </c:strRef>
          </c:tx>
          <c:spPr>
            <a:solidFill>
              <a:srgbClr val="00FFCC"/>
            </a:solidFill>
            <a:ln>
              <a:solidFill>
                <a:schemeClr val="tx1"/>
              </a:solidFill>
            </a:ln>
            <a:effectLst/>
          </c:spPr>
          <c:invertIfNegative val="0"/>
          <c:cat>
            <c:strRef>
              <c:f>'Visualisation Dashboard'!$AE$162:$AE$171</c:f>
              <c:strCache>
                <c:ptCount val="10"/>
                <c:pt idx="0">
                  <c:v>Distribution</c:v>
                </c:pt>
                <c:pt idx="1">
                  <c:v>Transmission</c:v>
                </c:pt>
                <c:pt idx="2">
                  <c:v>Solar</c:v>
                </c:pt>
                <c:pt idx="3">
                  <c:v>Hydro</c:v>
                </c:pt>
                <c:pt idx="4">
                  <c:v>Wind</c:v>
                </c:pt>
                <c:pt idx="5">
                  <c:v>Battery</c:v>
                </c:pt>
                <c:pt idx="6">
                  <c:v>Geothermal</c:v>
                </c:pt>
                <c:pt idx="7">
                  <c:v>Biomass</c:v>
                </c:pt>
                <c:pt idx="8">
                  <c:v>Non-Renewable</c:v>
                </c:pt>
                <c:pt idx="9">
                  <c:v>Oil</c:v>
                </c:pt>
              </c:strCache>
            </c:strRef>
          </c:cat>
          <c:val>
            <c:numRef>
              <c:f>'Visualisation Dashboard'!$AF$162:$AF$171</c:f>
              <c:numCache>
                <c:formatCode>0%</c:formatCode>
                <c:ptCount val="10"/>
                <c:pt idx="0">
                  <c:v>9.2177777799999985E-2</c:v>
                </c:pt>
                <c:pt idx="1">
                  <c:v>0.14368333335000003</c:v>
                </c:pt>
                <c:pt idx="2">
                  <c:v>5.3000000000000005E-2</c:v>
                </c:pt>
                <c:pt idx="3">
                  <c:v>5.2999999999999999E-2</c:v>
                </c:pt>
                <c:pt idx="4">
                  <c:v>0.15333333333333332</c:v>
                </c:pt>
                <c:pt idx="5">
                  <c:v>6.7333333333333328E-2</c:v>
                </c:pt>
                <c:pt idx="6">
                  <c:v>0.18721296296277778</c:v>
                </c:pt>
                <c:pt idx="7">
                  <c:v>0.12</c:v>
                </c:pt>
                <c:pt idx="8">
                  <c:v>9.9333333333333329E-2</c:v>
                </c:pt>
                <c:pt idx="9">
                  <c:v>0.185</c:v>
                </c:pt>
              </c:numCache>
            </c:numRef>
          </c:val>
          <c:extLst>
            <c:ext xmlns:c16="http://schemas.microsoft.com/office/drawing/2014/chart" uri="{C3380CC4-5D6E-409C-BE32-E72D297353CC}">
              <c16:uniqueId val="{00000000-7D19-D748-9A8E-1EDC0F531216}"/>
            </c:ext>
          </c:extLst>
        </c:ser>
        <c:ser>
          <c:idx val="1"/>
          <c:order val="1"/>
          <c:tx>
            <c:strRef>
              <c:f>'Visualisation Dashboard'!$AH$161</c:f>
              <c:strCache>
                <c:ptCount val="1"/>
                <c:pt idx="0">
                  <c:v>Interest Rate</c:v>
                </c:pt>
              </c:strCache>
            </c:strRef>
          </c:tx>
          <c:spPr>
            <a:solidFill>
              <a:schemeClr val="accent4"/>
            </a:solidFill>
            <a:ln>
              <a:solidFill>
                <a:schemeClr val="tx1"/>
              </a:solidFill>
            </a:ln>
            <a:effectLst/>
          </c:spPr>
          <c:invertIfNegative val="0"/>
          <c:cat>
            <c:strRef>
              <c:f>'Visualisation Dashboard'!$AE$162:$AE$171</c:f>
              <c:strCache>
                <c:ptCount val="10"/>
                <c:pt idx="0">
                  <c:v>Distribution</c:v>
                </c:pt>
                <c:pt idx="1">
                  <c:v>Transmission</c:v>
                </c:pt>
                <c:pt idx="2">
                  <c:v>Solar</c:v>
                </c:pt>
                <c:pt idx="3">
                  <c:v>Hydro</c:v>
                </c:pt>
                <c:pt idx="4">
                  <c:v>Wind</c:v>
                </c:pt>
                <c:pt idx="5">
                  <c:v>Battery</c:v>
                </c:pt>
                <c:pt idx="6">
                  <c:v>Geothermal</c:v>
                </c:pt>
                <c:pt idx="7">
                  <c:v>Biomass</c:v>
                </c:pt>
                <c:pt idx="8">
                  <c:v>Non-Renewable</c:v>
                </c:pt>
                <c:pt idx="9">
                  <c:v>Oil</c:v>
                </c:pt>
              </c:strCache>
            </c:strRef>
          </c:cat>
          <c:val>
            <c:numRef>
              <c:f>'Visualisation Dashboard'!$AH$162:$AH$171</c:f>
              <c:numCache>
                <c:formatCode>0%</c:formatCode>
                <c:ptCount val="10"/>
                <c:pt idx="0">
                  <c:v>2.3167424070115746E-2</c:v>
                </c:pt>
                <c:pt idx="1">
                  <c:v>1.529629089830091E-2</c:v>
                </c:pt>
                <c:pt idx="2">
                  <c:v>3.6277943645164103E-2</c:v>
                </c:pt>
                <c:pt idx="3">
                  <c:v>5.2249999999999998E-2</c:v>
                </c:pt>
                <c:pt idx="4">
                  <c:v>3.2505911267665263E-2</c:v>
                </c:pt>
                <c:pt idx="5">
                  <c:v>0</c:v>
                </c:pt>
                <c:pt idx="6">
                  <c:v>3.2753269069841821E-2</c:v>
                </c:pt>
                <c:pt idx="7">
                  <c:v>6.1521050244123444E-2</c:v>
                </c:pt>
                <c:pt idx="8">
                  <c:v>9.5966666666666658E-2</c:v>
                </c:pt>
                <c:pt idx="9">
                  <c:v>7.3025000000000007E-2</c:v>
                </c:pt>
              </c:numCache>
            </c:numRef>
          </c:val>
          <c:extLst>
            <c:ext xmlns:c16="http://schemas.microsoft.com/office/drawing/2014/chart" uri="{C3380CC4-5D6E-409C-BE32-E72D297353CC}">
              <c16:uniqueId val="{00000001-7D19-D748-9A8E-1EDC0F531216}"/>
            </c:ext>
          </c:extLst>
        </c:ser>
        <c:ser>
          <c:idx val="2"/>
          <c:order val="2"/>
          <c:tx>
            <c:strRef>
              <c:f>'Visualisation Dashboard'!$AK$161</c:f>
              <c:strCache>
                <c:ptCount val="1"/>
                <c:pt idx="0">
                  <c:v>WACC</c:v>
                </c:pt>
              </c:strCache>
            </c:strRef>
          </c:tx>
          <c:spPr>
            <a:solidFill>
              <a:srgbClr val="FF99FF"/>
            </a:solidFill>
            <a:ln>
              <a:solidFill>
                <a:schemeClr val="tx1"/>
              </a:solidFill>
            </a:ln>
            <a:effectLst/>
          </c:spPr>
          <c:invertIfNegative val="0"/>
          <c:cat>
            <c:strRef>
              <c:f>'Visualisation Dashboard'!$AE$162:$AE$171</c:f>
              <c:strCache>
                <c:ptCount val="10"/>
                <c:pt idx="0">
                  <c:v>Distribution</c:v>
                </c:pt>
                <c:pt idx="1">
                  <c:v>Transmission</c:v>
                </c:pt>
                <c:pt idx="2">
                  <c:v>Solar</c:v>
                </c:pt>
                <c:pt idx="3">
                  <c:v>Hydro</c:v>
                </c:pt>
                <c:pt idx="4">
                  <c:v>Wind</c:v>
                </c:pt>
                <c:pt idx="5">
                  <c:v>Battery</c:v>
                </c:pt>
                <c:pt idx="6">
                  <c:v>Geothermal</c:v>
                </c:pt>
                <c:pt idx="7">
                  <c:v>Biomass</c:v>
                </c:pt>
                <c:pt idx="8">
                  <c:v>Non-Renewable</c:v>
                </c:pt>
                <c:pt idx="9">
                  <c:v>Oil</c:v>
                </c:pt>
              </c:strCache>
            </c:strRef>
          </c:cat>
          <c:val>
            <c:numRef>
              <c:f>'Visualisation Dashboard'!$AK$162:$AK$171</c:f>
              <c:numCache>
                <c:formatCode>0%</c:formatCode>
                <c:ptCount val="10"/>
                <c:pt idx="0">
                  <c:v>2.4970925141394484E-2</c:v>
                </c:pt>
                <c:pt idx="1">
                  <c:v>3.2329655799044031E-2</c:v>
                </c:pt>
                <c:pt idx="2">
                  <c:v>4.0471885137765805E-2</c:v>
                </c:pt>
                <c:pt idx="3">
                  <c:v>5.2518107476635517E-2</c:v>
                </c:pt>
                <c:pt idx="4">
                  <c:v>5.6721577142879724E-2</c:v>
                </c:pt>
                <c:pt idx="5">
                  <c:v>6.7333333333333328E-2</c:v>
                </c:pt>
                <c:pt idx="6">
                  <c:v>7.2263716490529567E-2</c:v>
                </c:pt>
                <c:pt idx="7">
                  <c:v>8.3993310412320554E-2</c:v>
                </c:pt>
                <c:pt idx="8">
                  <c:v>9.6469014007441456E-2</c:v>
                </c:pt>
                <c:pt idx="9">
                  <c:v>0.10101875</c:v>
                </c:pt>
              </c:numCache>
            </c:numRef>
          </c:val>
          <c:extLst>
            <c:ext xmlns:c16="http://schemas.microsoft.com/office/drawing/2014/chart" uri="{C3380CC4-5D6E-409C-BE32-E72D297353CC}">
              <c16:uniqueId val="{00000002-7D19-D748-9A8E-1EDC0F531216}"/>
            </c:ext>
          </c:extLst>
        </c:ser>
        <c:dLbls>
          <c:showLegendKey val="0"/>
          <c:showVal val="0"/>
          <c:showCatName val="0"/>
          <c:showSerName val="0"/>
          <c:showPercent val="0"/>
          <c:showBubbleSize val="0"/>
        </c:dLbls>
        <c:gapWidth val="242"/>
        <c:overlap val="-27"/>
        <c:axId val="1051572511"/>
        <c:axId val="679061536"/>
      </c:barChart>
      <c:catAx>
        <c:axId val="1051572511"/>
        <c:scaling>
          <c:orientation val="minMax"/>
        </c:scaling>
        <c:delete val="0"/>
        <c:axPos val="b"/>
        <c:numFmt formatCode="General" sourceLinked="1"/>
        <c:majorTickMark val="cross"/>
        <c:minorTickMark val="none"/>
        <c:tickLblPos val="nextTo"/>
        <c:spPr>
          <a:noFill/>
          <a:ln w="9525" cap="flat" cmpd="sng" algn="ctr">
            <a:solidFill>
              <a:schemeClr val="tx1">
                <a:lumMod val="15000"/>
                <a:lumOff val="85000"/>
              </a:schemeClr>
            </a:solidFill>
            <a:round/>
          </a:ln>
          <a:effectLst/>
        </c:spPr>
        <c:txPr>
          <a:bodyPr rot="-2700000" spcFirstLastPara="1" vertOverflow="ellipsis" wrap="square" anchor="ctr" anchorCtr="1"/>
          <a:lstStyle/>
          <a:p>
            <a:pPr>
              <a:defRPr lang="ja-JP" sz="1600" b="0" i="0" u="none" strike="noStrike" kern="1200" baseline="0">
                <a:solidFill>
                  <a:sysClr val="windowText" lastClr="000000"/>
                </a:solidFill>
                <a:latin typeface="Open Sans" panose="020B0606030504020204" pitchFamily="34" charset="0"/>
                <a:ea typeface="Open Sans" panose="020B0606030504020204" pitchFamily="34" charset="0"/>
                <a:cs typeface="Open Sans" panose="020B0606030504020204" pitchFamily="34" charset="0"/>
              </a:defRPr>
            </a:pPr>
            <a:endParaRPr lang="en-US"/>
          </a:p>
        </c:txPr>
        <c:crossAx val="679061536"/>
        <c:crosses val="autoZero"/>
        <c:auto val="1"/>
        <c:lblAlgn val="ctr"/>
        <c:lblOffset val="100"/>
        <c:noMultiLvlLbl val="0"/>
      </c:catAx>
      <c:valAx>
        <c:axId val="679061536"/>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lang="ja-JP" sz="1600" b="0" i="0" u="none" strike="noStrike" kern="1200" baseline="0">
                <a:solidFill>
                  <a:schemeClr val="tx1"/>
                </a:solidFill>
                <a:latin typeface="Open Sans" panose="020B0606030504020204" pitchFamily="34" charset="0"/>
                <a:ea typeface="Open Sans" panose="020B0606030504020204" pitchFamily="34" charset="0"/>
                <a:cs typeface="Open Sans" panose="020B0606030504020204" pitchFamily="34" charset="0"/>
              </a:defRPr>
            </a:pPr>
            <a:endParaRPr lang="en-US"/>
          </a:p>
        </c:txPr>
        <c:crossAx val="1051572511"/>
        <c:crosses val="autoZero"/>
        <c:crossBetween val="between"/>
        <c:majorUnit val="4.0000000000000008E-2"/>
        <c:minorUnit val="1.0000000000000002E-2"/>
      </c:valAx>
      <c:spPr>
        <a:noFill/>
        <a:ln>
          <a:noFill/>
        </a:ln>
        <a:effectLst/>
      </c:spPr>
    </c:plotArea>
    <c:legend>
      <c:legendPos val="b"/>
      <c:layout>
        <c:manualLayout>
          <c:xMode val="edge"/>
          <c:yMode val="edge"/>
          <c:x val="0.18603939011586917"/>
          <c:y val="0.10326132918282338"/>
          <c:w val="0.64586597361395359"/>
          <c:h val="7.2607294942616293E-2"/>
        </c:manualLayout>
      </c:layout>
      <c:overlay val="0"/>
      <c:spPr>
        <a:noFill/>
        <a:ln>
          <a:noFill/>
        </a:ln>
        <a:effectLst/>
      </c:spPr>
      <c:txPr>
        <a:bodyPr rot="0" spcFirstLastPara="1" vertOverflow="ellipsis" vert="horz" wrap="square" anchor="ctr" anchorCtr="1"/>
        <a:lstStyle/>
        <a:p>
          <a:pPr>
            <a:defRPr lang="ja-JP" sz="1600" b="0" i="0" u="none" strike="noStrike" kern="1200" baseline="0">
              <a:solidFill>
                <a:schemeClr val="tx1"/>
              </a:solidFill>
              <a:latin typeface="Open Sans" panose="020B0606030504020204" pitchFamily="34" charset="0"/>
              <a:ea typeface="Open Sans" panose="020B0606030504020204" pitchFamily="34" charset="0"/>
              <a:cs typeface="Open Sans" panose="020B0606030504020204" pitchFamily="34"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sz="1600">
          <a:solidFill>
            <a:schemeClr val="tx1"/>
          </a:solidFill>
          <a:latin typeface="Open Sans" panose="020B0606030504020204" pitchFamily="34" charset="0"/>
          <a:ea typeface="Open Sans" panose="020B0606030504020204" pitchFamily="34" charset="0"/>
          <a:cs typeface="Open Sans" panose="020B0606030504020204" pitchFamily="34" charset="0"/>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ja-JP" sz="1800" b="0" i="0" u="none" strike="noStrike" kern="1200" spc="0" baseline="0">
                <a:solidFill>
                  <a:schemeClr val="tx1"/>
                </a:solidFill>
                <a:latin typeface="+mn-lt"/>
                <a:ea typeface="+mn-ea"/>
                <a:cs typeface="+mn-cs"/>
              </a:defRPr>
            </a:pPr>
            <a:r>
              <a:rPr lang="en-GB" sz="1800"/>
              <a:t>Differential benefits and costs of NZ vs BAU </a:t>
            </a:r>
            <a:r>
              <a:rPr lang="en-GB" sz="1800" baseline="0"/>
              <a:t>Kenya (</a:t>
            </a:r>
            <a:r>
              <a:rPr lang="en-GB" sz="1800"/>
              <a:t>Million</a:t>
            </a:r>
            <a:r>
              <a:rPr lang="en-GB" sz="1800" baseline="0"/>
              <a:t> US$)</a:t>
            </a:r>
            <a:endParaRPr lang="en-GB" sz="1800"/>
          </a:p>
        </c:rich>
      </c:tx>
      <c:layout>
        <c:manualLayout>
          <c:xMode val="edge"/>
          <c:yMode val="edge"/>
          <c:x val="0.20295955712155331"/>
          <c:y val="5.7007491260196441E-2"/>
        </c:manualLayout>
      </c:layout>
      <c:overlay val="0"/>
      <c:spPr>
        <a:noFill/>
        <a:ln>
          <a:noFill/>
        </a:ln>
        <a:effectLst/>
      </c:spPr>
      <c:txPr>
        <a:bodyPr rot="0" spcFirstLastPara="1" vertOverflow="ellipsis" vert="horz" wrap="square" anchor="ctr" anchorCtr="1"/>
        <a:lstStyle/>
        <a:p>
          <a:pPr>
            <a:defRPr lang="ja-JP" sz="1800" b="0" i="0" u="none" strike="noStrike" kern="1200" spc="0" baseline="0">
              <a:solidFill>
                <a:schemeClr val="tx1"/>
              </a:solidFill>
              <a:latin typeface="+mn-lt"/>
              <a:ea typeface="+mn-ea"/>
              <a:cs typeface="+mn-cs"/>
            </a:defRPr>
          </a:pPr>
          <a:endParaRPr lang="en-GB"/>
        </a:p>
      </c:txPr>
    </c:title>
    <c:autoTitleDeleted val="0"/>
    <c:plotArea>
      <c:layout>
        <c:manualLayout>
          <c:layoutTarget val="inner"/>
          <c:xMode val="edge"/>
          <c:yMode val="edge"/>
          <c:x val="0.17420204323024607"/>
          <c:y val="0.1921801205975627"/>
          <c:w val="0.80573930238078428"/>
          <c:h val="0.52255494398389513"/>
        </c:manualLayout>
      </c:layout>
      <c:barChart>
        <c:barDir val="col"/>
        <c:grouping val="stacked"/>
        <c:varyColors val="0"/>
        <c:ser>
          <c:idx val="0"/>
          <c:order val="0"/>
          <c:tx>
            <c:v>Capital Cost</c:v>
          </c:tx>
          <c:spPr>
            <a:solidFill>
              <a:srgbClr val="ABDCED"/>
            </a:solidFill>
            <a:ln>
              <a:solidFill>
                <a:schemeClr val="tx1"/>
              </a:solidFill>
            </a:ln>
            <a:effectLst/>
          </c:spPr>
          <c:invertIfNegative val="0"/>
          <c:cat>
            <c:numRef>
              <c:f>'Visualisation Dashboard'!$AE$38:$AM$38</c:f>
              <c:numCache>
                <c:formatCode>General</c:formatCode>
                <c:ptCount val="9"/>
                <c:pt idx="0">
                  <c:v>2025</c:v>
                </c:pt>
                <c:pt idx="1">
                  <c:v>2030</c:v>
                </c:pt>
                <c:pt idx="2">
                  <c:v>2035</c:v>
                </c:pt>
                <c:pt idx="3">
                  <c:v>2040</c:v>
                </c:pt>
                <c:pt idx="4">
                  <c:v>2045</c:v>
                </c:pt>
                <c:pt idx="5">
                  <c:v>2050</c:v>
                </c:pt>
                <c:pt idx="6">
                  <c:v>2055</c:v>
                </c:pt>
                <c:pt idx="7">
                  <c:v>2060</c:v>
                </c:pt>
                <c:pt idx="8">
                  <c:v>2065</c:v>
                </c:pt>
              </c:numCache>
            </c:numRef>
          </c:cat>
          <c:val>
            <c:numRef>
              <c:f>'OSeMOSYS (Input)'!$Z$143:$Z$151</c:f>
              <c:numCache>
                <c:formatCode>[$$-409]#,##0.00</c:formatCode>
                <c:ptCount val="9"/>
                <c:pt idx="0">
                  <c:v>-7.2443959999999947</c:v>
                </c:pt>
                <c:pt idx="1">
                  <c:v>10.20622000000003</c:v>
                </c:pt>
                <c:pt idx="2">
                  <c:v>53.63301999999976</c:v>
                </c:pt>
                <c:pt idx="3">
                  <c:v>-10.491500000000087</c:v>
                </c:pt>
                <c:pt idx="4">
                  <c:v>-73.072779999999511</c:v>
                </c:pt>
                <c:pt idx="5">
                  <c:v>-47.113459999999577</c:v>
                </c:pt>
                <c:pt idx="6">
                  <c:v>-3.6605399999998554</c:v>
                </c:pt>
                <c:pt idx="7">
                  <c:v>-73.278060000000551</c:v>
                </c:pt>
                <c:pt idx="8">
                  <c:v>-92.342959999999948</c:v>
                </c:pt>
              </c:numCache>
            </c:numRef>
          </c:val>
          <c:extLst>
            <c:ext xmlns:c16="http://schemas.microsoft.com/office/drawing/2014/chart" uri="{C3380CC4-5D6E-409C-BE32-E72D297353CC}">
              <c16:uniqueId val="{00000000-5EAC-409E-BF20-53E8D9C6EF4D}"/>
            </c:ext>
          </c:extLst>
        </c:ser>
        <c:ser>
          <c:idx val="1"/>
          <c:order val="1"/>
          <c:tx>
            <c:v>Variable Cost</c:v>
          </c:tx>
          <c:spPr>
            <a:solidFill>
              <a:srgbClr val="F89917"/>
            </a:solidFill>
            <a:ln>
              <a:solidFill>
                <a:schemeClr val="tx1"/>
              </a:solidFill>
            </a:ln>
            <a:effectLst/>
          </c:spPr>
          <c:invertIfNegative val="0"/>
          <c:cat>
            <c:numRef>
              <c:f>'Visualisation Dashboard'!$AE$38:$AM$38</c:f>
              <c:numCache>
                <c:formatCode>General</c:formatCode>
                <c:ptCount val="9"/>
                <c:pt idx="0">
                  <c:v>2025</c:v>
                </c:pt>
                <c:pt idx="1">
                  <c:v>2030</c:v>
                </c:pt>
                <c:pt idx="2">
                  <c:v>2035</c:v>
                </c:pt>
                <c:pt idx="3">
                  <c:v>2040</c:v>
                </c:pt>
                <c:pt idx="4">
                  <c:v>2045</c:v>
                </c:pt>
                <c:pt idx="5">
                  <c:v>2050</c:v>
                </c:pt>
                <c:pt idx="6">
                  <c:v>2055</c:v>
                </c:pt>
                <c:pt idx="7">
                  <c:v>2060</c:v>
                </c:pt>
                <c:pt idx="8">
                  <c:v>2065</c:v>
                </c:pt>
              </c:numCache>
            </c:numRef>
          </c:cat>
          <c:val>
            <c:numRef>
              <c:f>'OSeMOSYS (Input)'!$AC$143:$AC$151</c:f>
              <c:numCache>
                <c:formatCode>[$$-409]#,##0.00</c:formatCode>
                <c:ptCount val="9"/>
                <c:pt idx="0">
                  <c:v>-2.1305960000000006</c:v>
                </c:pt>
                <c:pt idx="1">
                  <c:v>10.972839999999991</c:v>
                </c:pt>
                <c:pt idx="2">
                  <c:v>-3.1034599999999983</c:v>
                </c:pt>
                <c:pt idx="3">
                  <c:v>9.3103600000000384</c:v>
                </c:pt>
                <c:pt idx="4">
                  <c:v>24.099219999999974</c:v>
                </c:pt>
                <c:pt idx="5">
                  <c:v>38.019279999999938</c:v>
                </c:pt>
                <c:pt idx="6">
                  <c:v>37.796620000000075</c:v>
                </c:pt>
                <c:pt idx="7">
                  <c:v>64.060240000000135</c:v>
                </c:pt>
                <c:pt idx="8">
                  <c:v>79.337900000000133</c:v>
                </c:pt>
              </c:numCache>
            </c:numRef>
          </c:val>
          <c:extLst>
            <c:ext xmlns:c16="http://schemas.microsoft.com/office/drawing/2014/chart" uri="{C3380CC4-5D6E-409C-BE32-E72D297353CC}">
              <c16:uniqueId val="{00000001-5EAC-409E-BF20-53E8D9C6EF4D}"/>
            </c:ext>
          </c:extLst>
        </c:ser>
        <c:ser>
          <c:idx val="2"/>
          <c:order val="2"/>
          <c:tx>
            <c:v>Fixed Cost</c:v>
          </c:tx>
          <c:spPr>
            <a:solidFill>
              <a:srgbClr val="05AEA1"/>
            </a:solidFill>
            <a:ln>
              <a:solidFill>
                <a:schemeClr val="tx1"/>
              </a:solidFill>
            </a:ln>
            <a:effectLst/>
          </c:spPr>
          <c:invertIfNegative val="0"/>
          <c:cat>
            <c:numRef>
              <c:f>'Visualisation Dashboard'!$AE$38:$AM$38</c:f>
              <c:numCache>
                <c:formatCode>General</c:formatCode>
                <c:ptCount val="9"/>
                <c:pt idx="0">
                  <c:v>2025</c:v>
                </c:pt>
                <c:pt idx="1">
                  <c:v>2030</c:v>
                </c:pt>
                <c:pt idx="2">
                  <c:v>2035</c:v>
                </c:pt>
                <c:pt idx="3">
                  <c:v>2040</c:v>
                </c:pt>
                <c:pt idx="4">
                  <c:v>2045</c:v>
                </c:pt>
                <c:pt idx="5">
                  <c:v>2050</c:v>
                </c:pt>
                <c:pt idx="6">
                  <c:v>2055</c:v>
                </c:pt>
                <c:pt idx="7">
                  <c:v>2060</c:v>
                </c:pt>
                <c:pt idx="8">
                  <c:v>2065</c:v>
                </c:pt>
              </c:numCache>
            </c:numRef>
          </c:cat>
          <c:val>
            <c:numRef>
              <c:f>'OSeMOSYS (Input)'!$AF$143:$AF$151</c:f>
              <c:numCache>
                <c:formatCode>[$$-409]#,##0.00</c:formatCode>
                <c:ptCount val="9"/>
                <c:pt idx="0">
                  <c:v>0.57610799999999074</c:v>
                </c:pt>
                <c:pt idx="1">
                  <c:v>-4.6304400000000783</c:v>
                </c:pt>
                <c:pt idx="2">
                  <c:v>1.4144799999997986</c:v>
                </c:pt>
                <c:pt idx="3">
                  <c:v>-1.8629399999999805</c:v>
                </c:pt>
                <c:pt idx="4">
                  <c:v>-5.4045399999999972</c:v>
                </c:pt>
                <c:pt idx="5">
                  <c:v>-12.391059999999925</c:v>
                </c:pt>
                <c:pt idx="6">
                  <c:v>2.5993200000000343</c:v>
                </c:pt>
                <c:pt idx="7">
                  <c:v>12.598559999999907</c:v>
                </c:pt>
                <c:pt idx="8">
                  <c:v>24.175599999999804</c:v>
                </c:pt>
              </c:numCache>
            </c:numRef>
          </c:val>
          <c:extLst>
            <c:ext xmlns:c16="http://schemas.microsoft.com/office/drawing/2014/chart" uri="{C3380CC4-5D6E-409C-BE32-E72D297353CC}">
              <c16:uniqueId val="{00000002-5EAC-409E-BF20-53E8D9C6EF4D}"/>
            </c:ext>
          </c:extLst>
        </c:ser>
        <c:ser>
          <c:idx val="3"/>
          <c:order val="3"/>
          <c:tx>
            <c:v>Cost of Carbon</c:v>
          </c:tx>
          <c:spPr>
            <a:solidFill>
              <a:srgbClr val="69F297"/>
            </a:solidFill>
            <a:ln>
              <a:solidFill>
                <a:schemeClr val="tx1"/>
              </a:solidFill>
            </a:ln>
            <a:effectLst/>
          </c:spPr>
          <c:invertIfNegative val="0"/>
          <c:cat>
            <c:numRef>
              <c:f>'Visualisation Dashboard'!$AE$38:$AM$38</c:f>
              <c:numCache>
                <c:formatCode>General</c:formatCode>
                <c:ptCount val="9"/>
                <c:pt idx="0">
                  <c:v>2025</c:v>
                </c:pt>
                <c:pt idx="1">
                  <c:v>2030</c:v>
                </c:pt>
                <c:pt idx="2">
                  <c:v>2035</c:v>
                </c:pt>
                <c:pt idx="3">
                  <c:v>2040</c:v>
                </c:pt>
                <c:pt idx="4">
                  <c:v>2045</c:v>
                </c:pt>
                <c:pt idx="5">
                  <c:v>2050</c:v>
                </c:pt>
                <c:pt idx="6">
                  <c:v>2055</c:v>
                </c:pt>
                <c:pt idx="7">
                  <c:v>2060</c:v>
                </c:pt>
                <c:pt idx="8">
                  <c:v>2065</c:v>
                </c:pt>
              </c:numCache>
            </c:numRef>
          </c:cat>
          <c:val>
            <c:numRef>
              <c:f>'OSeMOSYS (Input)'!$AG$143:$AG$151</c:f>
              <c:numCache>
                <c:formatCode>[$$-409]#,##0.00</c:formatCode>
                <c:ptCount val="9"/>
                <c:pt idx="0">
                  <c:v>-0.36301820972969445</c:v>
                </c:pt>
                <c:pt idx="1">
                  <c:v>3.8632656438737096</c:v>
                </c:pt>
                <c:pt idx="2">
                  <c:v>5.9990352621002501</c:v>
                </c:pt>
                <c:pt idx="3">
                  <c:v>10.109944256142612</c:v>
                </c:pt>
                <c:pt idx="4">
                  <c:v>37.446832714265994</c:v>
                </c:pt>
                <c:pt idx="5">
                  <c:v>88.182873633365205</c:v>
                </c:pt>
                <c:pt idx="6">
                  <c:v>134.14080083744804</c:v>
                </c:pt>
                <c:pt idx="7">
                  <c:v>211.79823058892271</c:v>
                </c:pt>
                <c:pt idx="8">
                  <c:v>289.02661953449649</c:v>
                </c:pt>
              </c:numCache>
            </c:numRef>
          </c:val>
          <c:extLst>
            <c:ext xmlns:c16="http://schemas.microsoft.com/office/drawing/2014/chart" uri="{C3380CC4-5D6E-409C-BE32-E72D297353CC}">
              <c16:uniqueId val="{00000003-5EAC-409E-BF20-53E8D9C6EF4D}"/>
            </c:ext>
          </c:extLst>
        </c:ser>
        <c:dLbls>
          <c:showLegendKey val="0"/>
          <c:showVal val="0"/>
          <c:showCatName val="0"/>
          <c:showSerName val="0"/>
          <c:showPercent val="0"/>
          <c:showBubbleSize val="0"/>
        </c:dLbls>
        <c:gapWidth val="40"/>
        <c:overlap val="100"/>
        <c:axId val="1486293471"/>
        <c:axId val="1485939375"/>
      </c:barChart>
      <c:lineChart>
        <c:grouping val="standard"/>
        <c:varyColors val="0"/>
        <c:dLbls>
          <c:showLegendKey val="0"/>
          <c:showVal val="0"/>
          <c:showCatName val="0"/>
          <c:showSerName val="0"/>
          <c:showPercent val="0"/>
          <c:showBubbleSize val="0"/>
        </c:dLbls>
        <c:marker val="1"/>
        <c:smooth val="0"/>
        <c:axId val="871456415"/>
        <c:axId val="871478495"/>
        <c:extLst>
          <c:ext xmlns:c15="http://schemas.microsoft.com/office/drawing/2012/chart" uri="{02D57815-91ED-43cb-92C2-25804820EDAC}">
            <c15:filteredLineSeries>
              <c15:ser>
                <c:idx val="4"/>
                <c:order val="4"/>
                <c:tx>
                  <c:strRef>
                    <c:extLst>
                      <c:ext uri="{02D57815-91ED-43cb-92C2-25804820EDAC}">
                        <c15:formulaRef>
                          <c15:sqref>'Visualisation Dashboard'!$AD$37</c15:sqref>
                        </c15:formulaRef>
                      </c:ext>
                    </c:extLst>
                    <c:strCache>
                      <c:ptCount val="1"/>
                      <c:pt idx="0">
                        <c:v>Net Benefits</c:v>
                      </c:pt>
                    </c:strCache>
                  </c:strRef>
                </c:tx>
                <c:spPr>
                  <a:ln w="28575" cap="rnd">
                    <a:solidFill>
                      <a:srgbClr val="C00000"/>
                    </a:solidFill>
                    <a:round/>
                  </a:ln>
                  <a:effectLst/>
                </c:spPr>
                <c:marker>
                  <c:symbol val="none"/>
                </c:marker>
                <c:dLbls>
                  <c:dLbl>
                    <c:idx val="1"/>
                    <c:delete val="1"/>
                    <c:extLst>
                      <c:ext uri="{CE6537A1-D6FC-4f65-9D91-7224C49458BB}"/>
                      <c:ext xmlns:c16="http://schemas.microsoft.com/office/drawing/2014/chart" uri="{C3380CC4-5D6E-409C-BE32-E72D297353CC}">
                        <c16:uniqueId val="{0000001F-5EAC-409E-BF20-53E8D9C6EF4D}"/>
                      </c:ext>
                    </c:extLst>
                  </c:dLbl>
                  <c:dLbl>
                    <c:idx val="2"/>
                    <c:layout>
                      <c:manualLayout>
                        <c:x val="-3.9961177677187661E-2"/>
                        <c:y val="2.9680795656283055E-2"/>
                      </c:manualLayout>
                    </c:layout>
                    <c:dLblPos val="r"/>
                    <c:showLegendKey val="0"/>
                    <c:showVal val="1"/>
                    <c:showCatName val="0"/>
                    <c:showSerName val="0"/>
                    <c:showPercent val="0"/>
                    <c:showBubbleSize val="0"/>
                    <c:extLst>
                      <c:ext uri="{CE6537A1-D6FC-4f65-9D91-7224C49458BB}"/>
                      <c:ext xmlns:c16="http://schemas.microsoft.com/office/drawing/2014/chart" uri="{C3380CC4-5D6E-409C-BE32-E72D297353CC}">
                        <c16:uniqueId val="{00000020-5EAC-409E-BF20-53E8D9C6EF4D}"/>
                      </c:ext>
                    </c:extLst>
                  </c:dLbl>
                  <c:dLbl>
                    <c:idx val="3"/>
                    <c:delete val="1"/>
                    <c:extLst>
                      <c:ext uri="{CE6537A1-D6FC-4f65-9D91-7224C49458BB}"/>
                      <c:ext xmlns:c16="http://schemas.microsoft.com/office/drawing/2014/chart" uri="{C3380CC4-5D6E-409C-BE32-E72D297353CC}">
                        <c16:uniqueId val="{00000021-5EAC-409E-BF20-53E8D9C6EF4D}"/>
                      </c:ext>
                    </c:extLst>
                  </c:dLbl>
                  <c:dLbl>
                    <c:idx val="6"/>
                    <c:delete val="1"/>
                    <c:extLst>
                      <c:ext uri="{CE6537A1-D6FC-4f65-9D91-7224C49458BB}"/>
                      <c:ext xmlns:c16="http://schemas.microsoft.com/office/drawing/2014/chart" uri="{C3380CC4-5D6E-409C-BE32-E72D297353CC}">
                        <c16:uniqueId val="{00000022-5EAC-409E-BF20-53E8D9C6EF4D}"/>
                      </c:ext>
                    </c:extLst>
                  </c:dLbl>
                  <c:dLbl>
                    <c:idx val="7"/>
                    <c:layout>
                      <c:manualLayout>
                        <c:x val="-3.9961177677187661E-2"/>
                        <c:y val="4.3582756401962339E-2"/>
                      </c:manualLayout>
                    </c:layout>
                    <c:dLblPos val="r"/>
                    <c:showLegendKey val="0"/>
                    <c:showVal val="1"/>
                    <c:showCatName val="0"/>
                    <c:showSerName val="0"/>
                    <c:showPercent val="0"/>
                    <c:showBubbleSize val="0"/>
                    <c:extLst>
                      <c:ext uri="{CE6537A1-D6FC-4f65-9D91-7224C49458BB}"/>
                      <c:ext xmlns:c16="http://schemas.microsoft.com/office/drawing/2014/chart" uri="{C3380CC4-5D6E-409C-BE32-E72D297353CC}">
                        <c16:uniqueId val="{00000023-5EAC-409E-BF20-53E8D9C6EF4D}"/>
                      </c:ext>
                    </c:extLst>
                  </c:dLbl>
                  <c:dLbl>
                    <c:idx val="8"/>
                    <c:delete val="1"/>
                    <c:extLst>
                      <c:ext uri="{CE6537A1-D6FC-4f65-9D91-7224C49458BB}"/>
                      <c:ext xmlns:c16="http://schemas.microsoft.com/office/drawing/2014/chart" uri="{C3380CC4-5D6E-409C-BE32-E72D297353CC}">
                        <c16:uniqueId val="{00000024-5EAC-409E-BF20-53E8D9C6EF4D}"/>
                      </c:ext>
                    </c:extLst>
                  </c:dLbl>
                  <c:dLbl>
                    <c:idx val="11"/>
                    <c:delete val="1"/>
                    <c:extLst>
                      <c:ext uri="{CE6537A1-D6FC-4f65-9D91-7224C49458BB}"/>
                      <c:ext xmlns:c16="http://schemas.microsoft.com/office/drawing/2014/chart" uri="{C3380CC4-5D6E-409C-BE32-E72D297353CC}">
                        <c16:uniqueId val="{00000025-5EAC-409E-BF20-53E8D9C6EF4D}"/>
                      </c:ext>
                    </c:extLst>
                  </c:dLbl>
                  <c:dLbl>
                    <c:idx val="13"/>
                    <c:delete val="1"/>
                    <c:extLst>
                      <c:ext uri="{CE6537A1-D6FC-4f65-9D91-7224C49458BB}"/>
                      <c:ext xmlns:c16="http://schemas.microsoft.com/office/drawing/2014/chart" uri="{C3380CC4-5D6E-409C-BE32-E72D297353CC}">
                        <c16:uniqueId val="{00000026-5EAC-409E-BF20-53E8D9C6EF4D}"/>
                      </c:ext>
                    </c:extLst>
                  </c:dLbl>
                  <c:dLbl>
                    <c:idx val="16"/>
                    <c:delete val="1"/>
                    <c:extLst>
                      <c:ext uri="{CE6537A1-D6FC-4f65-9D91-7224C49458BB}"/>
                      <c:ext xmlns:c16="http://schemas.microsoft.com/office/drawing/2014/chart" uri="{C3380CC4-5D6E-409C-BE32-E72D297353CC}">
                        <c16:uniqueId val="{00000027-5EAC-409E-BF20-53E8D9C6EF4D}"/>
                      </c:ext>
                    </c:extLst>
                  </c:dLbl>
                  <c:dLbl>
                    <c:idx val="18"/>
                    <c:delete val="1"/>
                    <c:extLst>
                      <c:ext uri="{CE6537A1-D6FC-4f65-9D91-7224C49458BB}"/>
                      <c:ext xmlns:c16="http://schemas.microsoft.com/office/drawing/2014/chart" uri="{C3380CC4-5D6E-409C-BE32-E72D297353CC}">
                        <c16:uniqueId val="{00000028-5EAC-409E-BF20-53E8D9C6EF4D}"/>
                      </c:ext>
                    </c:extLst>
                  </c:dLbl>
                  <c:dLbl>
                    <c:idx val="21"/>
                    <c:delete val="1"/>
                    <c:extLst>
                      <c:ext uri="{CE6537A1-D6FC-4f65-9D91-7224C49458BB}"/>
                      <c:ext xmlns:c16="http://schemas.microsoft.com/office/drawing/2014/chart" uri="{C3380CC4-5D6E-409C-BE32-E72D297353CC}">
                        <c16:uniqueId val="{00000029-5EAC-409E-BF20-53E8D9C6EF4D}"/>
                      </c:ext>
                    </c:extLst>
                  </c:dLbl>
                  <c:dLbl>
                    <c:idx val="23"/>
                    <c:delete val="1"/>
                    <c:extLst>
                      <c:ext uri="{CE6537A1-D6FC-4f65-9D91-7224C49458BB}"/>
                      <c:ext xmlns:c16="http://schemas.microsoft.com/office/drawing/2014/chart" uri="{C3380CC4-5D6E-409C-BE32-E72D297353CC}">
                        <c16:uniqueId val="{0000002A-5EAC-409E-BF20-53E8D9C6EF4D}"/>
                      </c:ext>
                    </c:extLst>
                  </c:dLbl>
                  <c:dLbl>
                    <c:idx val="26"/>
                    <c:delete val="1"/>
                    <c:extLst>
                      <c:ext uri="{CE6537A1-D6FC-4f65-9D91-7224C49458BB}"/>
                      <c:ext xmlns:c16="http://schemas.microsoft.com/office/drawing/2014/chart" uri="{C3380CC4-5D6E-409C-BE32-E72D297353CC}">
                        <c16:uniqueId val="{0000002B-5EAC-409E-BF20-53E8D9C6EF4D}"/>
                      </c:ext>
                    </c:extLst>
                  </c:dLbl>
                  <c:dLbl>
                    <c:idx val="28"/>
                    <c:delete val="1"/>
                    <c:extLst>
                      <c:ext uri="{CE6537A1-D6FC-4f65-9D91-7224C49458BB}"/>
                      <c:ext xmlns:c16="http://schemas.microsoft.com/office/drawing/2014/chart" uri="{C3380CC4-5D6E-409C-BE32-E72D297353CC}">
                        <c16:uniqueId val="{0000002C-5EAC-409E-BF20-53E8D9C6EF4D}"/>
                      </c:ext>
                    </c:extLst>
                  </c:dLbl>
                  <c:dLbl>
                    <c:idx val="31"/>
                    <c:delete val="1"/>
                    <c:extLst>
                      <c:ext uri="{CE6537A1-D6FC-4f65-9D91-7224C49458BB}"/>
                      <c:ext xmlns:c16="http://schemas.microsoft.com/office/drawing/2014/chart" uri="{C3380CC4-5D6E-409C-BE32-E72D297353CC}">
                        <c16:uniqueId val="{0000002D-5EAC-409E-BF20-53E8D9C6EF4D}"/>
                      </c:ext>
                    </c:extLst>
                  </c:dLbl>
                  <c:dLbl>
                    <c:idx val="33"/>
                    <c:delete val="1"/>
                    <c:extLst>
                      <c:ext uri="{CE6537A1-D6FC-4f65-9D91-7224C49458BB}"/>
                      <c:ext xmlns:c16="http://schemas.microsoft.com/office/drawing/2014/chart" uri="{C3380CC4-5D6E-409C-BE32-E72D297353CC}">
                        <c16:uniqueId val="{0000002E-5EAC-409E-BF20-53E8D9C6EF4D}"/>
                      </c:ext>
                    </c:extLst>
                  </c:dLbl>
                  <c:dLbl>
                    <c:idx val="36"/>
                    <c:layout>
                      <c:manualLayout>
                        <c:x val="-2.2227151281549722E-2"/>
                        <c:y val="-3.9828899986960251E-2"/>
                      </c:manualLayout>
                    </c:layout>
                    <c:dLblPos val="r"/>
                    <c:showLegendKey val="0"/>
                    <c:showVal val="1"/>
                    <c:showCatName val="0"/>
                    <c:showSerName val="0"/>
                    <c:showPercent val="0"/>
                    <c:showBubbleSize val="0"/>
                    <c:extLst>
                      <c:ext uri="{CE6537A1-D6FC-4f65-9D91-7224C49458BB}"/>
                      <c:ext xmlns:c16="http://schemas.microsoft.com/office/drawing/2014/chart" uri="{C3380CC4-5D6E-409C-BE32-E72D297353CC}">
                        <c16:uniqueId val="{0000002F-5EAC-409E-BF20-53E8D9C6EF4D}"/>
                      </c:ext>
                    </c:extLst>
                  </c:dLbl>
                  <c:dLbl>
                    <c:idx val="37"/>
                    <c:delete val="1"/>
                    <c:extLst>
                      <c:ext uri="{CE6537A1-D6FC-4f65-9D91-7224C49458BB}"/>
                      <c:ext xmlns:c16="http://schemas.microsoft.com/office/drawing/2014/chart" uri="{C3380CC4-5D6E-409C-BE32-E72D297353CC}">
                        <c16:uniqueId val="{00000030-5EAC-409E-BF20-53E8D9C6EF4D}"/>
                      </c:ext>
                    </c:extLst>
                  </c:dLbl>
                  <c:dLbl>
                    <c:idx val="38"/>
                    <c:delete val="1"/>
                    <c:extLst>
                      <c:ext uri="{CE6537A1-D6FC-4f65-9D91-7224C49458BB}"/>
                      <c:ext xmlns:c16="http://schemas.microsoft.com/office/drawing/2014/chart" uri="{C3380CC4-5D6E-409C-BE32-E72D297353CC}">
                        <c16:uniqueId val="{00000031-5EAC-409E-BF20-53E8D9C6EF4D}"/>
                      </c:ext>
                    </c:extLst>
                  </c:dLbl>
                  <c:dLbl>
                    <c:idx val="41"/>
                    <c:delete val="1"/>
                    <c:extLst>
                      <c:ext uri="{CE6537A1-D6FC-4f65-9D91-7224C49458BB}"/>
                      <c:ext xmlns:c16="http://schemas.microsoft.com/office/drawing/2014/chart" uri="{C3380CC4-5D6E-409C-BE32-E72D297353CC}">
                        <c16:uniqueId val="{00000032-5EAC-409E-BF20-53E8D9C6EF4D}"/>
                      </c:ext>
                    </c:extLst>
                  </c:dLbl>
                  <c:dLbl>
                    <c:idx val="42"/>
                    <c:layout>
                      <c:manualLayout>
                        <c:x val="-3.2990594467109252E-2"/>
                        <c:y val="3.8021972103690675E-2"/>
                      </c:manualLayout>
                    </c:layout>
                    <c:dLblPos val="r"/>
                    <c:showLegendKey val="0"/>
                    <c:showVal val="1"/>
                    <c:showCatName val="0"/>
                    <c:showSerName val="0"/>
                    <c:showPercent val="0"/>
                    <c:showBubbleSize val="0"/>
                    <c:extLst>
                      <c:ext uri="{CE6537A1-D6FC-4f65-9D91-7224C49458BB}"/>
                      <c:ext xmlns:c16="http://schemas.microsoft.com/office/drawing/2014/chart" uri="{C3380CC4-5D6E-409C-BE32-E72D297353CC}">
                        <c16:uniqueId val="{00000033-5EAC-409E-BF20-53E8D9C6EF4D}"/>
                      </c:ext>
                    </c:extLst>
                  </c:dLbl>
                  <c:dLbl>
                    <c:idx val="43"/>
                    <c:delete val="1"/>
                    <c:extLst>
                      <c:ext uri="{CE6537A1-D6FC-4f65-9D91-7224C49458BB}"/>
                      <c:ext xmlns:c16="http://schemas.microsoft.com/office/drawing/2014/chart" uri="{C3380CC4-5D6E-409C-BE32-E72D297353CC}">
                        <c16:uniqueId val="{00000034-5EAC-409E-BF20-53E8D9C6EF4D}"/>
                      </c:ext>
                    </c:extLst>
                  </c:dLbl>
                  <c:numFmt formatCode="[$$-409]#,##0" sourceLinked="0"/>
                  <c:spPr>
                    <a:noFill/>
                    <a:ln>
                      <a:noFill/>
                    </a:ln>
                    <a:effectLst/>
                  </c:spPr>
                  <c:txPr>
                    <a:bodyPr rot="0" spcFirstLastPara="1" vertOverflow="ellipsis" vert="horz" wrap="square" lIns="38100" tIns="19050" rIns="38100" bIns="19050" anchor="t" anchorCtr="0">
                      <a:spAutoFit/>
                    </a:bodyPr>
                    <a:lstStyle/>
                    <a:p>
                      <a:pPr>
                        <a:defRPr sz="12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showLeaderLines val="0"/>
                  <c:extLst>
                    <c:ext uri="{CE6537A1-D6FC-4f65-9D91-7224C49458BB}">
                      <c15:showLeaderLines val="1"/>
                      <c15:leaderLines>
                        <c:spPr>
                          <a:ln w="9525" cap="flat" cmpd="sng" algn="ctr">
                            <a:solidFill>
                              <a:schemeClr val="tx1">
                                <a:lumMod val="35000"/>
                                <a:lumOff val="65000"/>
                              </a:schemeClr>
                            </a:solidFill>
                            <a:round/>
                          </a:ln>
                          <a:effectLst/>
                        </c:spPr>
                      </c15:leaderLines>
                    </c:ext>
                  </c:extLst>
                </c:dLbls>
                <c:cat>
                  <c:numLit>
                    <c:formatCode>General</c:formatCode>
                    <c:ptCount val="45"/>
                  </c:numLit>
                </c:cat>
                <c:val>
                  <c:numRef>
                    <c:extLst>
                      <c:ext uri="{02D57815-91ED-43cb-92C2-25804820EDAC}">
                        <c15:formulaRef>
                          <c15:sqref>'Visualisation Dashboard'!$AE$37</c15:sqref>
                        </c15:formulaRef>
                      </c:ext>
                    </c:extLst>
                    <c:numCache>
                      <c:formatCode>General</c:formatCode>
                      <c:ptCount val="1"/>
                    </c:numCache>
                  </c:numRef>
                </c:val>
                <c:smooth val="0"/>
                <c:extLst>
                  <c:ext xmlns:c16="http://schemas.microsoft.com/office/drawing/2014/chart" uri="{C3380CC4-5D6E-409C-BE32-E72D297353CC}">
                    <c16:uniqueId val="{00000035-5EAC-409E-BF20-53E8D9C6EF4D}"/>
                  </c:ext>
                </c:extLst>
              </c15:ser>
            </c15:filteredLineSeries>
          </c:ext>
        </c:extLst>
      </c:lineChart>
      <c:scatterChart>
        <c:scatterStyle val="lineMarker"/>
        <c:varyColors val="0"/>
        <c:ser>
          <c:idx val="5"/>
          <c:order val="5"/>
          <c:tx>
            <c:strRef>
              <c:f>'Visualisation Dashboard'!$AE$39</c:f>
              <c:strCache>
                <c:ptCount val="1"/>
                <c:pt idx="0">
                  <c:v>-$9</c:v>
                </c:pt>
              </c:strCache>
            </c:strRef>
          </c:tx>
          <c:spPr>
            <a:ln w="25400" cap="rnd">
              <a:solidFill>
                <a:srgbClr val="C00000"/>
              </a:solidFill>
              <a:round/>
            </a:ln>
            <a:effectLst/>
          </c:spPr>
          <c:marker>
            <c:symbol val="circle"/>
            <c:size val="5"/>
            <c:spPr>
              <a:noFill/>
              <a:ln w="9525">
                <a:noFill/>
              </a:ln>
              <a:effectLst/>
            </c:spPr>
          </c:marker>
          <c:dLbls>
            <c:dLbl>
              <c:idx val="0"/>
              <c:layout>
                <c:manualLayout>
                  <c:x val="-2.9261748799567772E-17"/>
                  <c:y val="-3.5304288683446552E-2"/>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en-US"/>
                </a:p>
              </c:txPr>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4-5EAC-409E-BF20-53E8D9C6EF4D}"/>
                </c:ext>
              </c:extLst>
            </c:dLbl>
            <c:dLbl>
              <c:idx val="1"/>
              <c:delete val="1"/>
              <c:extLst>
                <c:ext xmlns:c15="http://schemas.microsoft.com/office/drawing/2012/chart" uri="{CE6537A1-D6FC-4f65-9D91-7224C49458BB}"/>
                <c:ext xmlns:c16="http://schemas.microsoft.com/office/drawing/2014/chart" uri="{C3380CC4-5D6E-409C-BE32-E72D297353CC}">
                  <c16:uniqueId val="{00000005-5EAC-409E-BF20-53E8D9C6EF4D}"/>
                </c:ext>
              </c:extLst>
            </c:dLbl>
            <c:numFmt formatCode="[$$-409]#,##0" sourceLinked="0"/>
            <c:spPr>
              <a:noFill/>
              <a:ln>
                <a:noFill/>
              </a:ln>
              <a:effectLst/>
            </c:spPr>
            <c:txPr>
              <a:bodyPr rot="0" spcFirstLastPara="1" vertOverflow="ellipsis" vert="horz" wrap="square" lIns="38100" tIns="19050" rIns="38100" bIns="19050" anchor="t" anchorCtr="0">
                <a:spAutoFit/>
              </a:bodyPr>
              <a:lstStyle/>
              <a:p>
                <a:pPr>
                  <a:defRPr sz="12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xVal>
            <c:numRef>
              <c:f>'Visualisation Dashboard'!$AE$41:$AE$42</c:f>
              <c:numCache>
                <c:formatCode>General</c:formatCode>
                <c:ptCount val="2"/>
                <c:pt idx="0">
                  <c:v>1</c:v>
                </c:pt>
                <c:pt idx="1">
                  <c:v>4</c:v>
                </c:pt>
              </c:numCache>
            </c:numRef>
          </c:xVal>
          <c:yVal>
            <c:numRef>
              <c:f>'Visualisation Dashboard'!$AE$39:$AE$40</c:f>
              <c:numCache>
                <c:formatCode>[$$-409]#,##0</c:formatCode>
                <c:ptCount val="2"/>
                <c:pt idx="0">
                  <c:v>-9.1619022097296998</c:v>
                </c:pt>
                <c:pt idx="1">
                  <c:v>-9.1619022097296998</c:v>
                </c:pt>
              </c:numCache>
            </c:numRef>
          </c:yVal>
          <c:smooth val="0"/>
          <c:extLst>
            <c:ext xmlns:c16="http://schemas.microsoft.com/office/drawing/2014/chart" uri="{C3380CC4-5D6E-409C-BE32-E72D297353CC}">
              <c16:uniqueId val="{00000006-5EAC-409E-BF20-53E8D9C6EF4D}"/>
            </c:ext>
          </c:extLst>
        </c:ser>
        <c:ser>
          <c:idx val="6"/>
          <c:order val="6"/>
          <c:tx>
            <c:strRef>
              <c:f>'Visualisation Dashboard'!$AF$39</c:f>
              <c:strCache>
                <c:ptCount val="1"/>
                <c:pt idx="0">
                  <c:v>$20</c:v>
                </c:pt>
              </c:strCache>
            </c:strRef>
          </c:tx>
          <c:spPr>
            <a:ln w="28575" cap="rnd">
              <a:solidFill>
                <a:srgbClr val="C00000"/>
              </a:solidFill>
              <a:round/>
            </a:ln>
            <a:effectLst/>
          </c:spPr>
          <c:marker>
            <c:symbol val="circle"/>
            <c:size val="5"/>
            <c:spPr>
              <a:noFill/>
              <a:ln w="9525">
                <a:noFill/>
              </a:ln>
              <a:effectLst/>
            </c:spPr>
          </c:marker>
          <c:dLbls>
            <c:dLbl>
              <c:idx val="0"/>
              <c:delete val="1"/>
              <c:extLst>
                <c:ext xmlns:c15="http://schemas.microsoft.com/office/drawing/2012/chart" uri="{CE6537A1-D6FC-4f65-9D91-7224C49458BB}"/>
                <c:ext xmlns:c16="http://schemas.microsoft.com/office/drawing/2014/chart" uri="{C3380CC4-5D6E-409C-BE32-E72D297353CC}">
                  <c16:uniqueId val="{00000007-5EAC-409E-BF20-53E8D9C6EF4D}"/>
                </c:ext>
              </c:extLst>
            </c:dLbl>
            <c:dLbl>
              <c:idx val="1"/>
              <c:layout>
                <c:manualLayout>
                  <c:x val="-7.315194147844685E-2"/>
                  <c:y val="5.2771183756154603E-2"/>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en-US"/>
                </a:p>
              </c:txPr>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8-5EAC-409E-BF20-53E8D9C6EF4D}"/>
                </c:ext>
              </c:extLst>
            </c:dLbl>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solidFill>
                    <a:latin typeface="+mn-lt"/>
                    <a:ea typeface="+mn-ea"/>
                    <a:cs typeface="+mn-cs"/>
                  </a:defRPr>
                </a:pPr>
                <a:endParaRPr lang="en-US"/>
              </a:p>
            </c:txP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'Visualisation Dashboard'!$AF$41:$AF$42</c:f>
              <c:numCache>
                <c:formatCode>General</c:formatCode>
                <c:ptCount val="2"/>
                <c:pt idx="0">
                  <c:v>5</c:v>
                </c:pt>
                <c:pt idx="1">
                  <c:v>8</c:v>
                </c:pt>
              </c:numCache>
            </c:numRef>
          </c:xVal>
          <c:yVal>
            <c:numRef>
              <c:f>'Visualisation Dashboard'!$AF$39:$AF$40</c:f>
              <c:numCache>
                <c:formatCode>[$$-409]#,##0</c:formatCode>
                <c:ptCount val="2"/>
                <c:pt idx="0">
                  <c:v>20.411885643873653</c:v>
                </c:pt>
                <c:pt idx="1">
                  <c:v>20.411885643873653</c:v>
                </c:pt>
              </c:numCache>
            </c:numRef>
          </c:yVal>
          <c:smooth val="0"/>
          <c:extLst>
            <c:ext xmlns:c16="http://schemas.microsoft.com/office/drawing/2014/chart" uri="{C3380CC4-5D6E-409C-BE32-E72D297353CC}">
              <c16:uniqueId val="{00000009-5EAC-409E-BF20-53E8D9C6EF4D}"/>
            </c:ext>
          </c:extLst>
        </c:ser>
        <c:ser>
          <c:idx val="7"/>
          <c:order val="7"/>
          <c:tx>
            <c:strRef>
              <c:f>'Visualisation Dashboard'!$AG$39</c:f>
              <c:strCache>
                <c:ptCount val="1"/>
                <c:pt idx="0">
                  <c:v>$58</c:v>
                </c:pt>
              </c:strCache>
            </c:strRef>
          </c:tx>
          <c:spPr>
            <a:ln w="25400" cap="rnd">
              <a:solidFill>
                <a:srgbClr val="C00000"/>
              </a:solidFill>
              <a:round/>
            </a:ln>
            <a:effectLst/>
          </c:spPr>
          <c:marker>
            <c:symbol val="circle"/>
            <c:size val="5"/>
            <c:spPr>
              <a:noFill/>
              <a:ln w="9525">
                <a:noFill/>
              </a:ln>
              <a:effectLst/>
            </c:spPr>
          </c:marker>
          <c:dLbls>
            <c:dLbl>
              <c:idx val="0"/>
              <c:delete val="1"/>
              <c:extLst>
                <c:ext xmlns:c15="http://schemas.microsoft.com/office/drawing/2012/chart" uri="{CE6537A1-D6FC-4f65-9D91-7224C49458BB}"/>
                <c:ext xmlns:c16="http://schemas.microsoft.com/office/drawing/2014/chart" uri="{C3380CC4-5D6E-409C-BE32-E72D297353CC}">
                  <c16:uniqueId val="{0000000A-5EAC-409E-BF20-53E8D9C6EF4D}"/>
                </c:ext>
              </c:extLst>
            </c:dLbl>
            <c:dLbl>
              <c:idx val="1"/>
              <c:layout>
                <c:manualLayout>
                  <c:x val="-7.0478810582397328E-2"/>
                  <c:y val="4.6627823698211196E-2"/>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en-US"/>
                </a:p>
              </c:txPr>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B-5EAC-409E-BF20-53E8D9C6EF4D}"/>
                </c:ext>
              </c:extLst>
            </c:dLbl>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solidFill>
                    <a:latin typeface="+mn-lt"/>
                    <a:ea typeface="+mn-ea"/>
                    <a:cs typeface="+mn-cs"/>
                  </a:defRPr>
                </a:pPr>
                <a:endParaRPr lang="en-US"/>
              </a:p>
            </c:txP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'Visualisation Dashboard'!$AG$41:$AG$42</c:f>
              <c:numCache>
                <c:formatCode>General</c:formatCode>
                <c:ptCount val="2"/>
                <c:pt idx="0">
                  <c:v>9</c:v>
                </c:pt>
                <c:pt idx="1">
                  <c:v>12</c:v>
                </c:pt>
              </c:numCache>
            </c:numRef>
          </c:xVal>
          <c:yVal>
            <c:numRef>
              <c:f>'Visualisation Dashboard'!$AG$39:$AG$40</c:f>
              <c:numCache>
                <c:formatCode>[$$-409]#,##0</c:formatCode>
                <c:ptCount val="2"/>
                <c:pt idx="0">
                  <c:v>57.943075262099811</c:v>
                </c:pt>
                <c:pt idx="1">
                  <c:v>57.943075262099811</c:v>
                </c:pt>
              </c:numCache>
            </c:numRef>
          </c:yVal>
          <c:smooth val="0"/>
          <c:extLst>
            <c:ext xmlns:c16="http://schemas.microsoft.com/office/drawing/2014/chart" uri="{C3380CC4-5D6E-409C-BE32-E72D297353CC}">
              <c16:uniqueId val="{0000000C-5EAC-409E-BF20-53E8D9C6EF4D}"/>
            </c:ext>
          </c:extLst>
        </c:ser>
        <c:ser>
          <c:idx val="8"/>
          <c:order val="8"/>
          <c:tx>
            <c:strRef>
              <c:f>'Visualisation Dashboard'!$AH$39</c:f>
              <c:strCache>
                <c:ptCount val="1"/>
                <c:pt idx="0">
                  <c:v>$7</c:v>
                </c:pt>
              </c:strCache>
            </c:strRef>
          </c:tx>
          <c:spPr>
            <a:ln w="25400" cap="rnd">
              <a:solidFill>
                <a:srgbClr val="C00000"/>
              </a:solidFill>
              <a:round/>
            </a:ln>
            <a:effectLst/>
          </c:spPr>
          <c:marker>
            <c:symbol val="circle"/>
            <c:size val="5"/>
            <c:spPr>
              <a:noFill/>
              <a:ln w="9525">
                <a:noFill/>
              </a:ln>
              <a:effectLst/>
            </c:spPr>
          </c:marker>
          <c:dLbls>
            <c:dLbl>
              <c:idx val="0"/>
              <c:delete val="1"/>
              <c:extLst>
                <c:ext xmlns:c15="http://schemas.microsoft.com/office/drawing/2012/chart" uri="{CE6537A1-D6FC-4f65-9D91-7224C49458BB}"/>
                <c:ext xmlns:c16="http://schemas.microsoft.com/office/drawing/2014/chart" uri="{C3380CC4-5D6E-409C-BE32-E72D297353CC}">
                  <c16:uniqueId val="{0000000D-5EAC-409E-BF20-53E8D9C6EF4D}"/>
                </c:ext>
              </c:extLst>
            </c:dLbl>
            <c:dLbl>
              <c:idx val="1"/>
              <c:layout>
                <c:manualLayout>
                  <c:x val="-8.1754898247115182E-2"/>
                  <c:y val="-3.2864030304237721E-2"/>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en-US"/>
                </a:p>
              </c:txPr>
              <c:showLegendKey val="0"/>
              <c:showVal val="0"/>
              <c:showCatName val="0"/>
              <c:showSerName val="1"/>
              <c:showPercent val="0"/>
              <c:showBubbleSize val="0"/>
              <c:extLst>
                <c:ext xmlns:c15="http://schemas.microsoft.com/office/drawing/2012/chart" uri="{CE6537A1-D6FC-4f65-9D91-7224C49458BB}">
                  <c15:layout>
                    <c:manualLayout>
                      <c:w val="7.9330242890736521E-2"/>
                      <c:h val="6.5638419893558439E-2"/>
                    </c:manualLayout>
                  </c15:layout>
                </c:ext>
                <c:ext xmlns:c16="http://schemas.microsoft.com/office/drawing/2014/chart" uri="{C3380CC4-5D6E-409C-BE32-E72D297353CC}">
                  <c16:uniqueId val="{0000000E-5EAC-409E-BF20-53E8D9C6EF4D}"/>
                </c:ext>
              </c:extLst>
            </c:dLbl>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solidFill>
                    <a:latin typeface="+mn-lt"/>
                    <a:ea typeface="+mn-ea"/>
                    <a:cs typeface="+mn-cs"/>
                  </a:defRPr>
                </a:pPr>
                <a:endParaRPr lang="en-US"/>
              </a:p>
            </c:txP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'Visualisation Dashboard'!$AH$41:$AH$42</c:f>
              <c:numCache>
                <c:formatCode>General</c:formatCode>
                <c:ptCount val="2"/>
                <c:pt idx="0">
                  <c:v>13</c:v>
                </c:pt>
                <c:pt idx="1">
                  <c:v>16</c:v>
                </c:pt>
              </c:numCache>
            </c:numRef>
          </c:xVal>
          <c:yVal>
            <c:numRef>
              <c:f>'Visualisation Dashboard'!$AH$39:$AH$40</c:f>
              <c:numCache>
                <c:formatCode>[$$-409]#,##0</c:formatCode>
                <c:ptCount val="2"/>
                <c:pt idx="0">
                  <c:v>7.0658642561425822</c:v>
                </c:pt>
                <c:pt idx="1">
                  <c:v>7.0658642561425822</c:v>
                </c:pt>
              </c:numCache>
            </c:numRef>
          </c:yVal>
          <c:smooth val="0"/>
          <c:extLst>
            <c:ext xmlns:c16="http://schemas.microsoft.com/office/drawing/2014/chart" uri="{C3380CC4-5D6E-409C-BE32-E72D297353CC}">
              <c16:uniqueId val="{0000000F-5EAC-409E-BF20-53E8D9C6EF4D}"/>
            </c:ext>
          </c:extLst>
        </c:ser>
        <c:ser>
          <c:idx val="9"/>
          <c:order val="9"/>
          <c:tx>
            <c:strRef>
              <c:f>'Visualisation Dashboard'!$AI$39</c:f>
              <c:strCache>
                <c:ptCount val="1"/>
                <c:pt idx="0">
                  <c:v>-$17</c:v>
                </c:pt>
              </c:strCache>
            </c:strRef>
          </c:tx>
          <c:spPr>
            <a:ln w="25400" cap="rnd">
              <a:solidFill>
                <a:srgbClr val="C00000"/>
              </a:solidFill>
              <a:round/>
            </a:ln>
            <a:effectLst/>
          </c:spPr>
          <c:marker>
            <c:symbol val="circle"/>
            <c:size val="5"/>
            <c:spPr>
              <a:noFill/>
              <a:ln w="9525">
                <a:noFill/>
              </a:ln>
              <a:effectLst/>
            </c:spPr>
          </c:marker>
          <c:dLbls>
            <c:dLbl>
              <c:idx val="0"/>
              <c:delete val="1"/>
              <c:extLst>
                <c:ext xmlns:c15="http://schemas.microsoft.com/office/drawing/2012/chart" uri="{CE6537A1-D6FC-4f65-9D91-7224C49458BB}"/>
                <c:ext xmlns:c16="http://schemas.microsoft.com/office/drawing/2014/chart" uri="{C3380CC4-5D6E-409C-BE32-E72D297353CC}">
                  <c16:uniqueId val="{00000010-5EAC-409E-BF20-53E8D9C6EF4D}"/>
                </c:ext>
              </c:extLst>
            </c:dLbl>
            <c:dLbl>
              <c:idx val="1"/>
              <c:layout>
                <c:manualLayout>
                  <c:x val="-6.2044714814676223E-2"/>
                  <c:y val="-3.2869590034739105E-2"/>
                </c:manualLayout>
              </c:layout>
              <c:numFmt formatCode="[$$-409]#,##0.00" sourceLinked="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en-US"/>
                </a:p>
              </c:txPr>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11-5EAC-409E-BF20-53E8D9C6EF4D}"/>
                </c:ext>
              </c:extLst>
            </c:dLbl>
            <c:numFmt formatCode="[$$-409]#,##0.00" sourceLinked="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solidFill>
                    <a:latin typeface="+mn-lt"/>
                    <a:ea typeface="+mn-ea"/>
                    <a:cs typeface="+mn-cs"/>
                  </a:defRPr>
                </a:pPr>
                <a:endParaRPr lang="en-US"/>
              </a:p>
            </c:txP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'Visualisation Dashboard'!$AI$41:$AI$42</c:f>
              <c:numCache>
                <c:formatCode>General</c:formatCode>
                <c:ptCount val="2"/>
                <c:pt idx="0">
                  <c:v>17</c:v>
                </c:pt>
                <c:pt idx="1">
                  <c:v>20</c:v>
                </c:pt>
              </c:numCache>
            </c:numRef>
          </c:xVal>
          <c:yVal>
            <c:numRef>
              <c:f>'Visualisation Dashboard'!$AI$39:$AI$40</c:f>
              <c:numCache>
                <c:formatCode>[$$-409]#,##0</c:formatCode>
                <c:ptCount val="2"/>
                <c:pt idx="0">
                  <c:v>-16.93126728573354</c:v>
                </c:pt>
                <c:pt idx="1">
                  <c:v>-16.93126728573354</c:v>
                </c:pt>
              </c:numCache>
            </c:numRef>
          </c:yVal>
          <c:smooth val="0"/>
          <c:extLst>
            <c:ext xmlns:c16="http://schemas.microsoft.com/office/drawing/2014/chart" uri="{C3380CC4-5D6E-409C-BE32-E72D297353CC}">
              <c16:uniqueId val="{00000012-5EAC-409E-BF20-53E8D9C6EF4D}"/>
            </c:ext>
          </c:extLst>
        </c:ser>
        <c:ser>
          <c:idx val="10"/>
          <c:order val="10"/>
          <c:tx>
            <c:strRef>
              <c:f>'Visualisation Dashboard'!$AJ$39</c:f>
              <c:strCache>
                <c:ptCount val="1"/>
                <c:pt idx="0">
                  <c:v>$67</c:v>
                </c:pt>
              </c:strCache>
            </c:strRef>
          </c:tx>
          <c:spPr>
            <a:ln w="25400" cap="rnd">
              <a:solidFill>
                <a:srgbClr val="C00000"/>
              </a:solidFill>
              <a:round/>
            </a:ln>
            <a:effectLst/>
          </c:spPr>
          <c:marker>
            <c:symbol val="circle"/>
            <c:size val="5"/>
            <c:spPr>
              <a:noFill/>
              <a:ln w="9525">
                <a:noFill/>
              </a:ln>
              <a:effectLst/>
            </c:spPr>
          </c:marker>
          <c:dLbls>
            <c:dLbl>
              <c:idx val="0"/>
              <c:delete val="1"/>
              <c:extLst>
                <c:ext xmlns:c15="http://schemas.microsoft.com/office/drawing/2012/chart" uri="{CE6537A1-D6FC-4f65-9D91-7224C49458BB}"/>
                <c:ext xmlns:c16="http://schemas.microsoft.com/office/drawing/2014/chart" uri="{C3380CC4-5D6E-409C-BE32-E72D297353CC}">
                  <c16:uniqueId val="{00000013-5EAC-409E-BF20-53E8D9C6EF4D}"/>
                </c:ext>
              </c:extLst>
            </c:dLbl>
            <c:dLbl>
              <c:idx val="1"/>
              <c:layout>
                <c:manualLayout>
                  <c:x val="-5.8600954881223771E-2"/>
                  <c:y val="-4.9447343297710333E-2"/>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en-US"/>
                </a:p>
              </c:txPr>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14-5EAC-409E-BF20-53E8D9C6EF4D}"/>
                </c:ext>
              </c:extLst>
            </c:dLbl>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solidFill>
                    <a:latin typeface="+mn-lt"/>
                    <a:ea typeface="+mn-ea"/>
                    <a:cs typeface="+mn-cs"/>
                  </a:defRPr>
                </a:pPr>
                <a:endParaRPr lang="en-US"/>
              </a:p>
            </c:txP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'Visualisation Dashboard'!$AJ$41:$AJ$42</c:f>
              <c:numCache>
                <c:formatCode>General</c:formatCode>
                <c:ptCount val="2"/>
                <c:pt idx="0">
                  <c:v>21</c:v>
                </c:pt>
                <c:pt idx="1">
                  <c:v>24</c:v>
                </c:pt>
              </c:numCache>
            </c:numRef>
          </c:xVal>
          <c:yVal>
            <c:numRef>
              <c:f>'Visualisation Dashboard'!$AJ$39:$AJ$40</c:f>
              <c:numCache>
                <c:formatCode>[$$-409]#,##0</c:formatCode>
                <c:ptCount val="2"/>
                <c:pt idx="0">
                  <c:v>66.697633633365641</c:v>
                </c:pt>
                <c:pt idx="1">
                  <c:v>66.697633633365641</c:v>
                </c:pt>
              </c:numCache>
            </c:numRef>
          </c:yVal>
          <c:smooth val="0"/>
          <c:extLst>
            <c:ext xmlns:c16="http://schemas.microsoft.com/office/drawing/2014/chart" uri="{C3380CC4-5D6E-409C-BE32-E72D297353CC}">
              <c16:uniqueId val="{00000015-5EAC-409E-BF20-53E8D9C6EF4D}"/>
            </c:ext>
          </c:extLst>
        </c:ser>
        <c:ser>
          <c:idx val="11"/>
          <c:order val="11"/>
          <c:tx>
            <c:strRef>
              <c:f>'Visualisation Dashboard'!$AK$39</c:f>
              <c:strCache>
                <c:ptCount val="1"/>
                <c:pt idx="0">
                  <c:v>$171</c:v>
                </c:pt>
              </c:strCache>
            </c:strRef>
          </c:tx>
          <c:spPr>
            <a:ln w="25400" cap="rnd">
              <a:solidFill>
                <a:srgbClr val="C00000"/>
              </a:solidFill>
              <a:round/>
            </a:ln>
            <a:effectLst/>
          </c:spPr>
          <c:marker>
            <c:symbol val="circle"/>
            <c:size val="5"/>
            <c:spPr>
              <a:noFill/>
              <a:ln w="9525">
                <a:noFill/>
              </a:ln>
              <a:effectLst/>
            </c:spPr>
          </c:marker>
          <c:dLbls>
            <c:dLbl>
              <c:idx val="0"/>
              <c:delete val="1"/>
              <c:extLst>
                <c:ext xmlns:c15="http://schemas.microsoft.com/office/drawing/2012/chart" uri="{CE6537A1-D6FC-4f65-9D91-7224C49458BB}"/>
                <c:ext xmlns:c16="http://schemas.microsoft.com/office/drawing/2014/chart" uri="{C3380CC4-5D6E-409C-BE32-E72D297353CC}">
                  <c16:uniqueId val="{00000016-5EAC-409E-BF20-53E8D9C6EF4D}"/>
                </c:ext>
              </c:extLst>
            </c:dLbl>
            <c:dLbl>
              <c:idx val="1"/>
              <c:layout>
                <c:manualLayout>
                  <c:x val="-6.7341957097325794E-2"/>
                  <c:y val="-2.0399573855072933E-2"/>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en-US"/>
                </a:p>
              </c:txPr>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17-5EAC-409E-BF20-53E8D9C6EF4D}"/>
                </c:ext>
              </c:extLst>
            </c:dLbl>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solidFill>
                    <a:latin typeface="+mn-lt"/>
                    <a:ea typeface="+mn-ea"/>
                    <a:cs typeface="+mn-cs"/>
                  </a:defRPr>
                </a:pPr>
                <a:endParaRPr lang="en-US"/>
              </a:p>
            </c:txP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'Visualisation Dashboard'!$AK$41:$AK$42</c:f>
              <c:numCache>
                <c:formatCode>General</c:formatCode>
                <c:ptCount val="2"/>
                <c:pt idx="0">
                  <c:v>25</c:v>
                </c:pt>
                <c:pt idx="1">
                  <c:v>28</c:v>
                </c:pt>
              </c:numCache>
            </c:numRef>
          </c:xVal>
          <c:yVal>
            <c:numRef>
              <c:f>'Visualisation Dashboard'!$AK$39:$AK$40</c:f>
              <c:numCache>
                <c:formatCode>[$$-409]#,##0</c:formatCode>
                <c:ptCount val="2"/>
                <c:pt idx="0">
                  <c:v>170.87620083744829</c:v>
                </c:pt>
                <c:pt idx="1">
                  <c:v>170.87620083744829</c:v>
                </c:pt>
              </c:numCache>
            </c:numRef>
          </c:yVal>
          <c:smooth val="0"/>
          <c:extLst>
            <c:ext xmlns:c16="http://schemas.microsoft.com/office/drawing/2014/chart" uri="{C3380CC4-5D6E-409C-BE32-E72D297353CC}">
              <c16:uniqueId val="{00000018-5EAC-409E-BF20-53E8D9C6EF4D}"/>
            </c:ext>
          </c:extLst>
        </c:ser>
        <c:ser>
          <c:idx val="12"/>
          <c:order val="12"/>
          <c:tx>
            <c:strRef>
              <c:f>'Visualisation Dashboard'!$AL$39</c:f>
              <c:strCache>
                <c:ptCount val="1"/>
                <c:pt idx="0">
                  <c:v>$215</c:v>
                </c:pt>
              </c:strCache>
            </c:strRef>
          </c:tx>
          <c:spPr>
            <a:ln w="25400" cap="rnd">
              <a:solidFill>
                <a:srgbClr val="C00000"/>
              </a:solidFill>
              <a:round/>
            </a:ln>
            <a:effectLst/>
          </c:spPr>
          <c:marker>
            <c:symbol val="circle"/>
            <c:size val="5"/>
            <c:spPr>
              <a:noFill/>
              <a:ln w="9525">
                <a:noFill/>
              </a:ln>
              <a:effectLst/>
            </c:spPr>
          </c:marker>
          <c:dLbls>
            <c:dLbl>
              <c:idx val="0"/>
              <c:delete val="1"/>
              <c:extLst>
                <c:ext xmlns:c15="http://schemas.microsoft.com/office/drawing/2012/chart" uri="{CE6537A1-D6FC-4f65-9D91-7224C49458BB}"/>
                <c:ext xmlns:c16="http://schemas.microsoft.com/office/drawing/2014/chart" uri="{C3380CC4-5D6E-409C-BE32-E72D297353CC}">
                  <c16:uniqueId val="{00000019-5EAC-409E-BF20-53E8D9C6EF4D}"/>
                </c:ext>
              </c:extLst>
            </c:dLbl>
            <c:dLbl>
              <c:idx val="1"/>
              <c:layout>
                <c:manualLayout>
                  <c:x val="-6.7110130346838354E-2"/>
                  <c:y val="-2.9096583552209555E-2"/>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en-US"/>
                </a:p>
              </c:txPr>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1A-5EAC-409E-BF20-53E8D9C6EF4D}"/>
                </c:ext>
              </c:extLst>
            </c:dLbl>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solidFill>
                    <a:latin typeface="+mn-lt"/>
                    <a:ea typeface="+mn-ea"/>
                    <a:cs typeface="+mn-cs"/>
                  </a:defRPr>
                </a:pPr>
                <a:endParaRPr lang="en-US"/>
              </a:p>
            </c:txP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'Visualisation Dashboard'!$AL$41:$AL$42</c:f>
              <c:numCache>
                <c:formatCode>General</c:formatCode>
                <c:ptCount val="2"/>
                <c:pt idx="0">
                  <c:v>29</c:v>
                </c:pt>
                <c:pt idx="1">
                  <c:v>32</c:v>
                </c:pt>
              </c:numCache>
            </c:numRef>
          </c:xVal>
          <c:yVal>
            <c:numRef>
              <c:f>'Visualisation Dashboard'!$AL$39:$AL$40</c:f>
              <c:numCache>
                <c:formatCode>[$$-409]#,##0</c:formatCode>
                <c:ptCount val="2"/>
                <c:pt idx="0">
                  <c:v>215.1789705889222</c:v>
                </c:pt>
                <c:pt idx="1">
                  <c:v>215.1789705889222</c:v>
                </c:pt>
              </c:numCache>
            </c:numRef>
          </c:yVal>
          <c:smooth val="0"/>
          <c:extLst>
            <c:ext xmlns:c16="http://schemas.microsoft.com/office/drawing/2014/chart" uri="{C3380CC4-5D6E-409C-BE32-E72D297353CC}">
              <c16:uniqueId val="{0000001B-5EAC-409E-BF20-53E8D9C6EF4D}"/>
            </c:ext>
          </c:extLst>
        </c:ser>
        <c:ser>
          <c:idx val="14"/>
          <c:order val="13"/>
          <c:tx>
            <c:strRef>
              <c:f>'Visualisation Dashboard'!$AM$39</c:f>
              <c:strCache>
                <c:ptCount val="1"/>
                <c:pt idx="0">
                  <c:v>$300</c:v>
                </c:pt>
              </c:strCache>
            </c:strRef>
          </c:tx>
          <c:spPr>
            <a:ln w="25400" cap="rnd">
              <a:solidFill>
                <a:srgbClr val="C00000"/>
              </a:solidFill>
              <a:round/>
            </a:ln>
            <a:effectLst/>
          </c:spPr>
          <c:marker>
            <c:symbol val="circle"/>
            <c:size val="5"/>
            <c:spPr>
              <a:noFill/>
              <a:ln w="9525">
                <a:noFill/>
              </a:ln>
              <a:effectLst/>
            </c:spPr>
          </c:marker>
          <c:dLbls>
            <c:dLbl>
              <c:idx val="0"/>
              <c:delete val="1"/>
              <c:extLst>
                <c:ext xmlns:c15="http://schemas.microsoft.com/office/drawing/2012/chart" uri="{CE6537A1-D6FC-4f65-9D91-7224C49458BB}"/>
                <c:ext xmlns:c16="http://schemas.microsoft.com/office/drawing/2014/chart" uri="{C3380CC4-5D6E-409C-BE32-E72D297353CC}">
                  <c16:uniqueId val="{0000001C-5EAC-409E-BF20-53E8D9C6EF4D}"/>
                </c:ext>
              </c:extLst>
            </c:dLbl>
            <c:dLbl>
              <c:idx val="1"/>
              <c:layout>
                <c:manualLayout>
                  <c:x val="-3.3902349203800863E-2"/>
                  <c:y val="-3.1234731531395346E-2"/>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en-US"/>
                </a:p>
              </c:txPr>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1D-5EAC-409E-BF20-53E8D9C6EF4D}"/>
                </c:ext>
              </c:extLst>
            </c:dLbl>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solidFill>
                    <a:latin typeface="+mn-lt"/>
                    <a:ea typeface="+mn-ea"/>
                    <a:cs typeface="+mn-cs"/>
                  </a:defRPr>
                </a:pPr>
                <a:endParaRPr lang="en-US"/>
              </a:p>
            </c:txP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'Visualisation Dashboard'!$AM$41:$AM$42</c:f>
              <c:numCache>
                <c:formatCode>General</c:formatCode>
                <c:ptCount val="2"/>
                <c:pt idx="0">
                  <c:v>33</c:v>
                </c:pt>
                <c:pt idx="1">
                  <c:v>36</c:v>
                </c:pt>
              </c:numCache>
            </c:numRef>
          </c:xVal>
          <c:yVal>
            <c:numRef>
              <c:f>'Visualisation Dashboard'!$AM$39:$AM$40</c:f>
              <c:numCache>
                <c:formatCode>[$$-409]#,##0</c:formatCode>
                <c:ptCount val="2"/>
                <c:pt idx="0">
                  <c:v>300.19715953449645</c:v>
                </c:pt>
                <c:pt idx="1">
                  <c:v>300.19715953449645</c:v>
                </c:pt>
              </c:numCache>
            </c:numRef>
          </c:yVal>
          <c:smooth val="0"/>
          <c:extLst>
            <c:ext xmlns:c16="http://schemas.microsoft.com/office/drawing/2014/chart" uri="{C3380CC4-5D6E-409C-BE32-E72D297353CC}">
              <c16:uniqueId val="{0000001E-5EAC-409E-BF20-53E8D9C6EF4D}"/>
            </c:ext>
          </c:extLst>
        </c:ser>
        <c:ser>
          <c:idx val="13"/>
          <c:order val="14"/>
          <c:tx>
            <c:strRef>
              <c:f>'Visualisation Dashboard'!$AD$37</c:f>
              <c:strCache>
                <c:ptCount val="1"/>
                <c:pt idx="0">
                  <c:v>Net Benefits</c:v>
                </c:pt>
              </c:strCache>
            </c:strRef>
          </c:tx>
          <c:spPr>
            <a:ln w="28575" cap="rnd">
              <a:solidFill>
                <a:srgbClr val="C00000"/>
              </a:solidFill>
              <a:round/>
            </a:ln>
            <a:effectLst/>
          </c:spPr>
          <c:marker>
            <c:symbol val="circle"/>
            <c:size val="5"/>
            <c:spPr>
              <a:noFill/>
              <a:ln w="9525">
                <a:noFill/>
              </a:ln>
              <a:effectLst/>
            </c:spPr>
          </c:marker>
          <c:xVal>
            <c:numRef>
              <c:f>'Visualisation Dashboard'!$AE$37:$AF$37</c:f>
              <c:numCache>
                <c:formatCode>General</c:formatCode>
                <c:ptCount val="2"/>
              </c:numCache>
            </c:numRef>
          </c:xVal>
          <c:yVal>
            <c:numRef>
              <c:f>'Visualisation Dashboard'!$AE$37:$AF$37</c:f>
              <c:numCache>
                <c:formatCode>General</c:formatCode>
                <c:ptCount val="2"/>
              </c:numCache>
            </c:numRef>
          </c:yVal>
          <c:smooth val="0"/>
          <c:extLst>
            <c:ext xmlns:c16="http://schemas.microsoft.com/office/drawing/2014/chart" uri="{C3380CC4-5D6E-409C-BE32-E72D297353CC}">
              <c16:uniqueId val="{00000036-5EAC-409E-BF20-53E8D9C6EF4D}"/>
            </c:ext>
          </c:extLst>
        </c:ser>
        <c:dLbls>
          <c:showLegendKey val="0"/>
          <c:showVal val="0"/>
          <c:showCatName val="0"/>
          <c:showSerName val="0"/>
          <c:showPercent val="0"/>
          <c:showBubbleSize val="0"/>
        </c:dLbls>
        <c:axId val="871456415"/>
        <c:axId val="871478495"/>
      </c:scatterChart>
      <c:catAx>
        <c:axId val="1486293471"/>
        <c:scaling>
          <c:orientation val="minMax"/>
        </c:scaling>
        <c:delete val="0"/>
        <c:axPos val="b"/>
        <c:title>
          <c:tx>
            <c:rich>
              <a:bodyPr rot="0" spcFirstLastPara="1" vertOverflow="ellipsis" vert="horz" wrap="square" anchor="ctr" anchorCtr="1"/>
              <a:lstStyle/>
              <a:p>
                <a:pPr>
                  <a:defRPr lang="ja-JP" sz="1600" b="0" i="0" u="none" strike="noStrike" kern="1200" baseline="0">
                    <a:solidFill>
                      <a:schemeClr val="tx1"/>
                    </a:solidFill>
                    <a:latin typeface="+mn-lt"/>
                    <a:ea typeface="+mn-ea"/>
                    <a:cs typeface="+mn-cs"/>
                  </a:defRPr>
                </a:pPr>
                <a:r>
                  <a:rPr lang="en-GB"/>
                  <a:t>Year</a:t>
                </a:r>
              </a:p>
            </c:rich>
          </c:tx>
          <c:overlay val="0"/>
          <c:spPr>
            <a:noFill/>
            <a:ln>
              <a:noFill/>
            </a:ln>
            <a:effectLst/>
          </c:spPr>
          <c:txPr>
            <a:bodyPr rot="0" spcFirstLastPara="1" vertOverflow="ellipsis" vert="horz" wrap="square" anchor="ctr" anchorCtr="1"/>
            <a:lstStyle/>
            <a:p>
              <a:pPr>
                <a:defRPr lang="ja-JP" sz="1600" b="0" i="0"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low"/>
        <c:spPr>
          <a:noFill/>
          <a:ln w="9525" cap="flat" cmpd="sng" algn="ctr">
            <a:solidFill>
              <a:schemeClr val="tx1"/>
            </a:solidFill>
            <a:round/>
          </a:ln>
          <a:effectLst/>
        </c:spPr>
        <c:txPr>
          <a:bodyPr rot="-60000000" spcFirstLastPara="1" vertOverflow="ellipsis" vert="horz" wrap="square" anchor="ctr" anchorCtr="1"/>
          <a:lstStyle/>
          <a:p>
            <a:pPr>
              <a:defRPr lang="ja-JP" sz="1600" b="0" i="0" u="none" strike="noStrike" kern="1200" baseline="0">
                <a:solidFill>
                  <a:schemeClr val="tx1"/>
                </a:solidFill>
                <a:latin typeface="+mn-lt"/>
                <a:ea typeface="+mn-ea"/>
                <a:cs typeface="+mn-cs"/>
              </a:defRPr>
            </a:pPr>
            <a:endParaRPr lang="en-US"/>
          </a:p>
        </c:txPr>
        <c:crossAx val="1485939375"/>
        <c:crosses val="autoZero"/>
        <c:auto val="1"/>
        <c:lblAlgn val="ctr"/>
        <c:lblOffset val="100"/>
        <c:noMultiLvlLbl val="0"/>
      </c:catAx>
      <c:valAx>
        <c:axId val="148593937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lang="ja-JP" sz="1600" b="0" i="0" u="none" strike="noStrike" kern="1200" baseline="0">
                    <a:solidFill>
                      <a:schemeClr val="tx1"/>
                    </a:solidFill>
                    <a:latin typeface="+mn-lt"/>
                    <a:ea typeface="+mn-ea"/>
                    <a:cs typeface="+mn-cs"/>
                  </a:defRPr>
                </a:pPr>
                <a:r>
                  <a:rPr lang="en-GB"/>
                  <a:t>Million US$</a:t>
                </a:r>
              </a:p>
            </c:rich>
          </c:tx>
          <c:overlay val="0"/>
          <c:spPr>
            <a:noFill/>
            <a:ln>
              <a:noFill/>
            </a:ln>
            <a:effectLst/>
          </c:spPr>
          <c:txPr>
            <a:bodyPr rot="-5400000" spcFirstLastPara="1" vertOverflow="ellipsis" vert="horz" wrap="square" anchor="ctr" anchorCtr="1"/>
            <a:lstStyle/>
            <a:p>
              <a:pPr>
                <a:defRPr lang="ja-JP" sz="1600" b="0" i="0" u="none" strike="noStrike" kern="1200" baseline="0">
                  <a:solidFill>
                    <a:schemeClr val="tx1"/>
                  </a:solidFill>
                  <a:latin typeface="+mn-lt"/>
                  <a:ea typeface="+mn-ea"/>
                  <a:cs typeface="+mn-cs"/>
                </a:defRPr>
              </a:pPr>
              <a:endParaRPr lang="en-US"/>
            </a:p>
          </c:txPr>
        </c:title>
        <c:numFmt formatCode="[$$-409]#,##0" sourceLinked="0"/>
        <c:majorTickMark val="none"/>
        <c:minorTickMark val="none"/>
        <c:tickLblPos val="nextTo"/>
        <c:spPr>
          <a:noFill/>
          <a:ln>
            <a:noFill/>
          </a:ln>
          <a:effectLst/>
        </c:spPr>
        <c:txPr>
          <a:bodyPr rot="-60000000" spcFirstLastPara="1" vertOverflow="ellipsis" vert="horz" wrap="square" anchor="ctr" anchorCtr="1"/>
          <a:lstStyle/>
          <a:p>
            <a:pPr>
              <a:defRPr lang="ja-JP" sz="1600" b="0" i="0" u="none" strike="noStrike" kern="1200" baseline="0">
                <a:solidFill>
                  <a:schemeClr val="tx1"/>
                </a:solidFill>
                <a:latin typeface="+mn-lt"/>
                <a:ea typeface="+mn-ea"/>
                <a:cs typeface="+mn-cs"/>
              </a:defRPr>
            </a:pPr>
            <a:endParaRPr lang="en-US"/>
          </a:p>
        </c:txPr>
        <c:crossAx val="1486293471"/>
        <c:crosses val="autoZero"/>
        <c:crossBetween val="between"/>
      </c:valAx>
      <c:valAx>
        <c:axId val="871478495"/>
        <c:scaling>
          <c:orientation val="minMax"/>
        </c:scaling>
        <c:delete val="1"/>
        <c:axPos val="r"/>
        <c:numFmt formatCode="[$$-409]#,##0" sourceLinked="1"/>
        <c:majorTickMark val="out"/>
        <c:minorTickMark val="none"/>
        <c:tickLblPos val="nextTo"/>
        <c:crossAx val="871456415"/>
        <c:crosses val="max"/>
        <c:crossBetween val="between"/>
      </c:valAx>
      <c:catAx>
        <c:axId val="871456415"/>
        <c:scaling>
          <c:orientation val="minMax"/>
        </c:scaling>
        <c:delete val="0"/>
        <c:axPos val="t"/>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1600" b="0" i="0" u="none" strike="noStrike" kern="1200" baseline="0">
                <a:noFill/>
                <a:latin typeface="+mn-lt"/>
                <a:ea typeface="+mn-ea"/>
                <a:cs typeface="+mn-cs"/>
              </a:defRPr>
            </a:pPr>
            <a:endParaRPr lang="en-US"/>
          </a:p>
        </c:txPr>
        <c:crossAx val="871478495"/>
        <c:crosses val="max"/>
        <c:auto val="1"/>
        <c:lblAlgn val="ctr"/>
        <c:lblOffset val="100"/>
        <c:noMultiLvlLbl val="0"/>
      </c:catAx>
      <c:spPr>
        <a:noFill/>
        <a:ln>
          <a:noFill/>
        </a:ln>
        <a:effectLst/>
      </c:spPr>
    </c:plotArea>
    <c:legend>
      <c:legendPos val="b"/>
      <c:legendEntry>
        <c:idx val="4"/>
        <c:delete val="1"/>
      </c:legendEntry>
      <c:legendEntry>
        <c:idx val="5"/>
        <c:delete val="1"/>
      </c:legendEntry>
      <c:legendEntry>
        <c:idx val="6"/>
        <c:delete val="1"/>
      </c:legendEntry>
      <c:legendEntry>
        <c:idx val="7"/>
        <c:delete val="1"/>
      </c:legendEntry>
      <c:legendEntry>
        <c:idx val="8"/>
        <c:delete val="1"/>
      </c:legendEntry>
      <c:legendEntry>
        <c:idx val="9"/>
        <c:delete val="1"/>
      </c:legendEntry>
      <c:legendEntry>
        <c:idx val="10"/>
        <c:delete val="1"/>
      </c:legendEntry>
      <c:legendEntry>
        <c:idx val="11"/>
        <c:delete val="1"/>
      </c:legendEntry>
      <c:legendEntry>
        <c:idx val="12"/>
        <c:delete val="1"/>
      </c:legendEntry>
      <c:overlay val="0"/>
      <c:spPr>
        <a:noFill/>
        <a:ln>
          <a:noFill/>
        </a:ln>
        <a:effectLst/>
      </c:spPr>
      <c:txPr>
        <a:bodyPr rot="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sz="1600">
          <a:solidFill>
            <a:schemeClr val="tx1"/>
          </a:solidFill>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ja-JP" sz="1920" b="0" i="0" u="none" strike="noStrike" kern="1200" spc="0" baseline="0">
                <a:solidFill>
                  <a:schemeClr val="tx1"/>
                </a:solidFill>
                <a:latin typeface="+mn-lt"/>
                <a:ea typeface="+mn-ea"/>
                <a:cs typeface="+mn-cs"/>
              </a:defRPr>
            </a:pPr>
            <a:r>
              <a:rPr lang="en-GB"/>
              <a:t>MinFin Projections in Absolute</a:t>
            </a:r>
            <a:r>
              <a:rPr lang="en-GB" baseline="0"/>
              <a:t> Terms</a:t>
            </a:r>
            <a:endParaRPr lang="en-GB"/>
          </a:p>
        </c:rich>
      </c:tx>
      <c:overlay val="0"/>
      <c:spPr>
        <a:noFill/>
        <a:ln>
          <a:noFill/>
        </a:ln>
        <a:effectLst/>
      </c:spPr>
      <c:txPr>
        <a:bodyPr rot="0" spcFirstLastPara="1" vertOverflow="ellipsis" vert="horz" wrap="square" anchor="ctr" anchorCtr="1"/>
        <a:lstStyle/>
        <a:p>
          <a:pPr>
            <a:defRPr lang="ja-JP" sz="1920" b="0" i="0" u="none" strike="noStrike" kern="1200" spc="0" baseline="0">
              <a:solidFill>
                <a:schemeClr val="tx1"/>
              </a:solidFill>
              <a:latin typeface="+mn-lt"/>
              <a:ea typeface="+mn-ea"/>
              <a:cs typeface="+mn-cs"/>
            </a:defRPr>
          </a:pPr>
          <a:endParaRPr lang="en-GB"/>
        </a:p>
      </c:txPr>
    </c:title>
    <c:autoTitleDeleted val="0"/>
    <c:plotArea>
      <c:layout/>
      <c:lineChart>
        <c:grouping val="standard"/>
        <c:varyColors val="0"/>
        <c:ser>
          <c:idx val="0"/>
          <c:order val="0"/>
          <c:tx>
            <c:v>Investment need</c:v>
          </c:tx>
          <c:spPr>
            <a:ln w="28575" cap="rnd">
              <a:solidFill>
                <a:schemeClr val="tx1"/>
              </a:solidFill>
              <a:round/>
            </a:ln>
            <a:effectLst/>
          </c:spPr>
          <c:marker>
            <c:symbol val="none"/>
          </c:marker>
          <c:cat>
            <c:numRef>
              <c:f>'High Level Dashboard'!$B$64:$AU$64</c:f>
              <c:numCache>
                <c:formatCode>General</c:formatCode>
                <c:ptCount val="46"/>
                <c:pt idx="0">
                  <c:v>2025</c:v>
                </c:pt>
                <c:pt idx="1">
                  <c:v>2026</c:v>
                </c:pt>
                <c:pt idx="2">
                  <c:v>2027</c:v>
                </c:pt>
                <c:pt idx="3">
                  <c:v>2028</c:v>
                </c:pt>
                <c:pt idx="4">
                  <c:v>2029</c:v>
                </c:pt>
                <c:pt idx="5">
                  <c:v>2030</c:v>
                </c:pt>
                <c:pt idx="6">
                  <c:v>2031</c:v>
                </c:pt>
                <c:pt idx="7">
                  <c:v>2032</c:v>
                </c:pt>
                <c:pt idx="8">
                  <c:v>2033</c:v>
                </c:pt>
                <c:pt idx="9">
                  <c:v>2034</c:v>
                </c:pt>
                <c:pt idx="10">
                  <c:v>2035</c:v>
                </c:pt>
                <c:pt idx="11">
                  <c:v>2036</c:v>
                </c:pt>
                <c:pt idx="12">
                  <c:v>2037</c:v>
                </c:pt>
                <c:pt idx="13">
                  <c:v>2038</c:v>
                </c:pt>
                <c:pt idx="14">
                  <c:v>2039</c:v>
                </c:pt>
                <c:pt idx="15">
                  <c:v>2040</c:v>
                </c:pt>
                <c:pt idx="16">
                  <c:v>2041</c:v>
                </c:pt>
                <c:pt idx="17">
                  <c:v>2042</c:v>
                </c:pt>
                <c:pt idx="18">
                  <c:v>2043</c:v>
                </c:pt>
                <c:pt idx="19">
                  <c:v>2044</c:v>
                </c:pt>
                <c:pt idx="20">
                  <c:v>2045</c:v>
                </c:pt>
                <c:pt idx="21">
                  <c:v>2046</c:v>
                </c:pt>
                <c:pt idx="22">
                  <c:v>2047</c:v>
                </c:pt>
                <c:pt idx="23">
                  <c:v>2048</c:v>
                </c:pt>
                <c:pt idx="24">
                  <c:v>2049</c:v>
                </c:pt>
                <c:pt idx="25">
                  <c:v>2050</c:v>
                </c:pt>
                <c:pt idx="26">
                  <c:v>2051</c:v>
                </c:pt>
                <c:pt idx="27">
                  <c:v>2052</c:v>
                </c:pt>
                <c:pt idx="28">
                  <c:v>2053</c:v>
                </c:pt>
                <c:pt idx="29">
                  <c:v>2054</c:v>
                </c:pt>
                <c:pt idx="30">
                  <c:v>2055</c:v>
                </c:pt>
                <c:pt idx="31">
                  <c:v>2056</c:v>
                </c:pt>
                <c:pt idx="32">
                  <c:v>2057</c:v>
                </c:pt>
                <c:pt idx="33">
                  <c:v>2058</c:v>
                </c:pt>
                <c:pt idx="34">
                  <c:v>2059</c:v>
                </c:pt>
                <c:pt idx="35">
                  <c:v>2060</c:v>
                </c:pt>
                <c:pt idx="36">
                  <c:v>2061</c:v>
                </c:pt>
                <c:pt idx="37">
                  <c:v>2062</c:v>
                </c:pt>
                <c:pt idx="38">
                  <c:v>2063</c:v>
                </c:pt>
                <c:pt idx="39">
                  <c:v>2064</c:v>
                </c:pt>
                <c:pt idx="40">
                  <c:v>2065</c:v>
                </c:pt>
                <c:pt idx="41">
                  <c:v>2066</c:v>
                </c:pt>
                <c:pt idx="42">
                  <c:v>2067</c:v>
                </c:pt>
                <c:pt idx="43">
                  <c:v>2068</c:v>
                </c:pt>
                <c:pt idx="44">
                  <c:v>2069</c:v>
                </c:pt>
                <c:pt idx="45">
                  <c:v>2070</c:v>
                </c:pt>
              </c:numCache>
            </c:numRef>
          </c:cat>
          <c:val>
            <c:numRef>
              <c:f>'High Level Dashboard'!$B$65:$AU$65</c:f>
              <c:numCache>
                <c:formatCode>[$$-409]#,##0.00</c:formatCode>
                <c:ptCount val="46"/>
                <c:pt idx="0">
                  <c:v>850.28309999999999</c:v>
                </c:pt>
                <c:pt idx="1">
                  <c:v>891.30279999999993</c:v>
                </c:pt>
                <c:pt idx="2">
                  <c:v>892.31080000000009</c:v>
                </c:pt>
                <c:pt idx="3">
                  <c:v>783.88200000000006</c:v>
                </c:pt>
                <c:pt idx="4">
                  <c:v>1637.2811999999999</c:v>
                </c:pt>
                <c:pt idx="5">
                  <c:v>966.93870000000004</c:v>
                </c:pt>
                <c:pt idx="6">
                  <c:v>1100.6995999999999</c:v>
                </c:pt>
                <c:pt idx="7">
                  <c:v>792.58999999999992</c:v>
                </c:pt>
                <c:pt idx="8">
                  <c:v>758.73990000000003</c:v>
                </c:pt>
                <c:pt idx="9">
                  <c:v>1222.0521999999999</c:v>
                </c:pt>
                <c:pt idx="10">
                  <c:v>963.81530000000009</c:v>
                </c:pt>
                <c:pt idx="11">
                  <c:v>1388.3742999999999</c:v>
                </c:pt>
                <c:pt idx="12">
                  <c:v>1304.9629000000002</c:v>
                </c:pt>
                <c:pt idx="13">
                  <c:v>1267.4485999999999</c:v>
                </c:pt>
                <c:pt idx="14">
                  <c:v>1759.1960000000001</c:v>
                </c:pt>
                <c:pt idx="15">
                  <c:v>2280.2151999999996</c:v>
                </c:pt>
                <c:pt idx="16">
                  <c:v>1956.6569000000002</c:v>
                </c:pt>
                <c:pt idx="17">
                  <c:v>1301.3557000000001</c:v>
                </c:pt>
                <c:pt idx="18">
                  <c:v>1359.3568</c:v>
                </c:pt>
                <c:pt idx="19">
                  <c:v>1463.7227</c:v>
                </c:pt>
                <c:pt idx="20">
                  <c:v>1575.0400999999999</c:v>
                </c:pt>
                <c:pt idx="21">
                  <c:v>1687.5381</c:v>
                </c:pt>
                <c:pt idx="22">
                  <c:v>1800.9875999999999</c:v>
                </c:pt>
                <c:pt idx="23">
                  <c:v>1922.2903000000001</c:v>
                </c:pt>
                <c:pt idx="24">
                  <c:v>2099.6988000000001</c:v>
                </c:pt>
                <c:pt idx="25">
                  <c:v>2430.3555999999999</c:v>
                </c:pt>
                <c:pt idx="26">
                  <c:v>2368.0668999999998</c:v>
                </c:pt>
                <c:pt idx="27">
                  <c:v>2207.9177</c:v>
                </c:pt>
                <c:pt idx="28">
                  <c:v>2225.7754999999997</c:v>
                </c:pt>
                <c:pt idx="29">
                  <c:v>3004.1397999999995</c:v>
                </c:pt>
                <c:pt idx="30">
                  <c:v>2080.1179999999999</c:v>
                </c:pt>
                <c:pt idx="31">
                  <c:v>2280.6886</c:v>
                </c:pt>
                <c:pt idx="32">
                  <c:v>2009.4267</c:v>
                </c:pt>
                <c:pt idx="33">
                  <c:v>1955.1030000000001</c:v>
                </c:pt>
                <c:pt idx="34">
                  <c:v>2393.1575999999995</c:v>
                </c:pt>
                <c:pt idx="35">
                  <c:v>2083.9499000000001</c:v>
                </c:pt>
                <c:pt idx="36">
                  <c:v>2543.0387999999998</c:v>
                </c:pt>
                <c:pt idx="37">
                  <c:v>2416.4369999999999</c:v>
                </c:pt>
                <c:pt idx="38">
                  <c:v>2379.3407999999999</c:v>
                </c:pt>
                <c:pt idx="39">
                  <c:v>2812.2185999999997</c:v>
                </c:pt>
                <c:pt idx="40">
                  <c:v>3282.4703999999997</c:v>
                </c:pt>
                <c:pt idx="41">
                  <c:v>2891.0751</c:v>
                </c:pt>
                <c:pt idx="42">
                  <c:v>2267.7013999999999</c:v>
                </c:pt>
                <c:pt idx="43">
                  <c:v>2240.1758</c:v>
                </c:pt>
                <c:pt idx="44">
                  <c:v>2447.7587999999996</c:v>
                </c:pt>
                <c:pt idx="45">
                  <c:v>2598.8757999999998</c:v>
                </c:pt>
              </c:numCache>
            </c:numRef>
          </c:val>
          <c:smooth val="0"/>
          <c:extLst>
            <c:ext xmlns:c16="http://schemas.microsoft.com/office/drawing/2014/chart" uri="{C3380CC4-5D6E-409C-BE32-E72D297353CC}">
              <c16:uniqueId val="{00000000-C140-9D4C-9518-339CBD3E8C7A}"/>
            </c:ext>
          </c:extLst>
        </c:ser>
        <c:ser>
          <c:idx val="1"/>
          <c:order val="1"/>
          <c:tx>
            <c:v>Funding availability</c:v>
          </c:tx>
          <c:spPr>
            <a:ln w="28575" cap="rnd">
              <a:solidFill>
                <a:srgbClr val="00B050"/>
              </a:solidFill>
              <a:round/>
            </a:ln>
            <a:effectLst/>
          </c:spPr>
          <c:marker>
            <c:symbol val="none"/>
          </c:marker>
          <c:cat>
            <c:numRef>
              <c:f>'High Level Dashboard'!$B$64:$AU$64</c:f>
              <c:numCache>
                <c:formatCode>General</c:formatCode>
                <c:ptCount val="46"/>
                <c:pt idx="0">
                  <c:v>2025</c:v>
                </c:pt>
                <c:pt idx="1">
                  <c:v>2026</c:v>
                </c:pt>
                <c:pt idx="2">
                  <c:v>2027</c:v>
                </c:pt>
                <c:pt idx="3">
                  <c:v>2028</c:v>
                </c:pt>
                <c:pt idx="4">
                  <c:v>2029</c:v>
                </c:pt>
                <c:pt idx="5">
                  <c:v>2030</c:v>
                </c:pt>
                <c:pt idx="6">
                  <c:v>2031</c:v>
                </c:pt>
                <c:pt idx="7">
                  <c:v>2032</c:v>
                </c:pt>
                <c:pt idx="8">
                  <c:v>2033</c:v>
                </c:pt>
                <c:pt idx="9">
                  <c:v>2034</c:v>
                </c:pt>
                <c:pt idx="10">
                  <c:v>2035</c:v>
                </c:pt>
                <c:pt idx="11">
                  <c:v>2036</c:v>
                </c:pt>
                <c:pt idx="12">
                  <c:v>2037</c:v>
                </c:pt>
                <c:pt idx="13">
                  <c:v>2038</c:v>
                </c:pt>
                <c:pt idx="14">
                  <c:v>2039</c:v>
                </c:pt>
                <c:pt idx="15">
                  <c:v>2040</c:v>
                </c:pt>
                <c:pt idx="16">
                  <c:v>2041</c:v>
                </c:pt>
                <c:pt idx="17">
                  <c:v>2042</c:v>
                </c:pt>
                <c:pt idx="18">
                  <c:v>2043</c:v>
                </c:pt>
                <c:pt idx="19">
                  <c:v>2044</c:v>
                </c:pt>
                <c:pt idx="20">
                  <c:v>2045</c:v>
                </c:pt>
                <c:pt idx="21">
                  <c:v>2046</c:v>
                </c:pt>
                <c:pt idx="22">
                  <c:v>2047</c:v>
                </c:pt>
                <c:pt idx="23">
                  <c:v>2048</c:v>
                </c:pt>
                <c:pt idx="24">
                  <c:v>2049</c:v>
                </c:pt>
                <c:pt idx="25">
                  <c:v>2050</c:v>
                </c:pt>
                <c:pt idx="26">
                  <c:v>2051</c:v>
                </c:pt>
                <c:pt idx="27">
                  <c:v>2052</c:v>
                </c:pt>
                <c:pt idx="28">
                  <c:v>2053</c:v>
                </c:pt>
                <c:pt idx="29">
                  <c:v>2054</c:v>
                </c:pt>
                <c:pt idx="30">
                  <c:v>2055</c:v>
                </c:pt>
                <c:pt idx="31">
                  <c:v>2056</c:v>
                </c:pt>
                <c:pt idx="32">
                  <c:v>2057</c:v>
                </c:pt>
                <c:pt idx="33">
                  <c:v>2058</c:v>
                </c:pt>
                <c:pt idx="34">
                  <c:v>2059</c:v>
                </c:pt>
                <c:pt idx="35">
                  <c:v>2060</c:v>
                </c:pt>
                <c:pt idx="36">
                  <c:v>2061</c:v>
                </c:pt>
                <c:pt idx="37">
                  <c:v>2062</c:v>
                </c:pt>
                <c:pt idx="38">
                  <c:v>2063</c:v>
                </c:pt>
                <c:pt idx="39">
                  <c:v>2064</c:v>
                </c:pt>
                <c:pt idx="40">
                  <c:v>2065</c:v>
                </c:pt>
                <c:pt idx="41">
                  <c:v>2066</c:v>
                </c:pt>
                <c:pt idx="42">
                  <c:v>2067</c:v>
                </c:pt>
                <c:pt idx="43">
                  <c:v>2068</c:v>
                </c:pt>
                <c:pt idx="44">
                  <c:v>2069</c:v>
                </c:pt>
                <c:pt idx="45">
                  <c:v>2070</c:v>
                </c:pt>
              </c:numCache>
            </c:numRef>
          </c:cat>
          <c:val>
            <c:numRef>
              <c:f>'High Level Dashboard'!$B$66:$AU$66</c:f>
              <c:numCache>
                <c:formatCode>[$$-409]#,##0.00</c:formatCode>
                <c:ptCount val="46"/>
                <c:pt idx="0">
                  <c:v>502.40628356392745</c:v>
                </c:pt>
                <c:pt idx="1">
                  <c:v>504.0975125923506</c:v>
                </c:pt>
                <c:pt idx="2">
                  <c:v>514.4199437365296</c:v>
                </c:pt>
                <c:pt idx="3">
                  <c:v>525.46248738498934</c:v>
                </c:pt>
                <c:pt idx="4">
                  <c:v>537.25510932199859</c:v>
                </c:pt>
                <c:pt idx="5">
                  <c:v>552.45865936377231</c:v>
                </c:pt>
                <c:pt idx="6">
                  <c:v>565.17384020559894</c:v>
                </c:pt>
                <c:pt idx="7">
                  <c:v>579.92507953950121</c:v>
                </c:pt>
                <c:pt idx="8">
                  <c:v>602.2966055964489</c:v>
                </c:pt>
                <c:pt idx="9">
                  <c:v>612.41282627441581</c:v>
                </c:pt>
                <c:pt idx="10">
                  <c:v>631.81561202119542</c:v>
                </c:pt>
                <c:pt idx="11">
                  <c:v>647.43368264886635</c:v>
                </c:pt>
                <c:pt idx="12">
                  <c:v>667.96459826515718</c:v>
                </c:pt>
                <c:pt idx="13">
                  <c:v>688.69805451570721</c:v>
                </c:pt>
                <c:pt idx="14">
                  <c:v>712.10428234038443</c:v>
                </c:pt>
                <c:pt idx="15">
                  <c:v>732.21155245641683</c:v>
                </c:pt>
                <c:pt idx="16">
                  <c:v>757.10808479114064</c:v>
                </c:pt>
                <c:pt idx="17">
                  <c:v>784.33166309769319</c:v>
                </c:pt>
                <c:pt idx="18">
                  <c:v>809.8669549979935</c:v>
                </c:pt>
                <c:pt idx="19">
                  <c:v>837.71913770889682</c:v>
                </c:pt>
                <c:pt idx="20">
                  <c:v>867.87422971948899</c:v>
                </c:pt>
                <c:pt idx="21">
                  <c:v>898.33352870014335</c:v>
                </c:pt>
                <c:pt idx="22">
                  <c:v>929.37215593721203</c:v>
                </c:pt>
                <c:pt idx="23">
                  <c:v>969.07160760109912</c:v>
                </c:pt>
                <c:pt idx="24">
                  <c:v>1007.2738131699969</c:v>
                </c:pt>
                <c:pt idx="25">
                  <c:v>1056.0597013467818</c:v>
                </c:pt>
                <c:pt idx="26">
                  <c:v>1091.5605738225011</c:v>
                </c:pt>
                <c:pt idx="27">
                  <c:v>1134.6861872565714</c:v>
                </c:pt>
                <c:pt idx="28">
                  <c:v>1181.9728438612822</c:v>
                </c:pt>
                <c:pt idx="29">
                  <c:v>1232.5266909964989</c:v>
                </c:pt>
                <c:pt idx="30">
                  <c:v>1285.501930199624</c:v>
                </c:pt>
                <c:pt idx="31">
                  <c:v>1344.8465360959403</c:v>
                </c:pt>
                <c:pt idx="32">
                  <c:v>1407.5139856554781</c:v>
                </c:pt>
                <c:pt idx="33">
                  <c:v>1470.5805982845543</c:v>
                </c:pt>
                <c:pt idx="34">
                  <c:v>1537.4076872631756</c:v>
                </c:pt>
                <c:pt idx="35">
                  <c:v>1607.963723063634</c:v>
                </c:pt>
                <c:pt idx="36">
                  <c:v>1681.043909110894</c:v>
                </c:pt>
                <c:pt idx="37">
                  <c:v>1758.217270571836</c:v>
                </c:pt>
                <c:pt idx="38">
                  <c:v>1839.1888567881358</c:v>
                </c:pt>
                <c:pt idx="39">
                  <c:v>1922.1483579965802</c:v>
                </c:pt>
                <c:pt idx="40">
                  <c:v>2005.5093370110203</c:v>
                </c:pt>
                <c:pt idx="41">
                  <c:v>2093.2581765719751</c:v>
                </c:pt>
                <c:pt idx="42">
                  <c:v>2187.1404431032438</c:v>
                </c:pt>
                <c:pt idx="43">
                  <c:v>2284.1209676497765</c:v>
                </c:pt>
                <c:pt idx="44">
                  <c:v>2387.6226448076141</c:v>
                </c:pt>
                <c:pt idx="45">
                  <c:v>2495.7180504949638</c:v>
                </c:pt>
              </c:numCache>
            </c:numRef>
          </c:val>
          <c:smooth val="0"/>
          <c:extLst>
            <c:ext xmlns:c16="http://schemas.microsoft.com/office/drawing/2014/chart" uri="{C3380CC4-5D6E-409C-BE32-E72D297353CC}">
              <c16:uniqueId val="{00000001-C140-9D4C-9518-339CBD3E8C7A}"/>
            </c:ext>
          </c:extLst>
        </c:ser>
        <c:ser>
          <c:idx val="3"/>
          <c:order val="2"/>
          <c:tx>
            <c:v>Financing requirement</c:v>
          </c:tx>
          <c:spPr>
            <a:ln w="28575" cap="rnd">
              <a:solidFill>
                <a:srgbClr val="FF0000"/>
              </a:solidFill>
              <a:round/>
            </a:ln>
            <a:effectLst/>
          </c:spPr>
          <c:marker>
            <c:symbol val="circle"/>
            <c:size val="5"/>
            <c:spPr>
              <a:noFill/>
              <a:ln w="9525">
                <a:noFill/>
              </a:ln>
              <a:effectLst/>
            </c:spPr>
          </c:marker>
          <c:cat>
            <c:numRef>
              <c:f>'High Level Dashboard'!$B$64:$AU$64</c:f>
              <c:numCache>
                <c:formatCode>General</c:formatCode>
                <c:ptCount val="46"/>
                <c:pt idx="0">
                  <c:v>2025</c:v>
                </c:pt>
                <c:pt idx="1">
                  <c:v>2026</c:v>
                </c:pt>
                <c:pt idx="2">
                  <c:v>2027</c:v>
                </c:pt>
                <c:pt idx="3">
                  <c:v>2028</c:v>
                </c:pt>
                <c:pt idx="4">
                  <c:v>2029</c:v>
                </c:pt>
                <c:pt idx="5">
                  <c:v>2030</c:v>
                </c:pt>
                <c:pt idx="6">
                  <c:v>2031</c:v>
                </c:pt>
                <c:pt idx="7">
                  <c:v>2032</c:v>
                </c:pt>
                <c:pt idx="8">
                  <c:v>2033</c:v>
                </c:pt>
                <c:pt idx="9">
                  <c:v>2034</c:v>
                </c:pt>
                <c:pt idx="10">
                  <c:v>2035</c:v>
                </c:pt>
                <c:pt idx="11">
                  <c:v>2036</c:v>
                </c:pt>
                <c:pt idx="12">
                  <c:v>2037</c:v>
                </c:pt>
                <c:pt idx="13">
                  <c:v>2038</c:v>
                </c:pt>
                <c:pt idx="14">
                  <c:v>2039</c:v>
                </c:pt>
                <c:pt idx="15">
                  <c:v>2040</c:v>
                </c:pt>
                <c:pt idx="16">
                  <c:v>2041</c:v>
                </c:pt>
                <c:pt idx="17">
                  <c:v>2042</c:v>
                </c:pt>
                <c:pt idx="18">
                  <c:v>2043</c:v>
                </c:pt>
                <c:pt idx="19">
                  <c:v>2044</c:v>
                </c:pt>
                <c:pt idx="20">
                  <c:v>2045</c:v>
                </c:pt>
                <c:pt idx="21">
                  <c:v>2046</c:v>
                </c:pt>
                <c:pt idx="22">
                  <c:v>2047</c:v>
                </c:pt>
                <c:pt idx="23">
                  <c:v>2048</c:v>
                </c:pt>
                <c:pt idx="24">
                  <c:v>2049</c:v>
                </c:pt>
                <c:pt idx="25">
                  <c:v>2050</c:v>
                </c:pt>
                <c:pt idx="26">
                  <c:v>2051</c:v>
                </c:pt>
                <c:pt idx="27">
                  <c:v>2052</c:v>
                </c:pt>
                <c:pt idx="28">
                  <c:v>2053</c:v>
                </c:pt>
                <c:pt idx="29">
                  <c:v>2054</c:v>
                </c:pt>
                <c:pt idx="30">
                  <c:v>2055</c:v>
                </c:pt>
                <c:pt idx="31">
                  <c:v>2056</c:v>
                </c:pt>
                <c:pt idx="32">
                  <c:v>2057</c:v>
                </c:pt>
                <c:pt idx="33">
                  <c:v>2058</c:v>
                </c:pt>
                <c:pt idx="34">
                  <c:v>2059</c:v>
                </c:pt>
                <c:pt idx="35">
                  <c:v>2060</c:v>
                </c:pt>
                <c:pt idx="36">
                  <c:v>2061</c:v>
                </c:pt>
                <c:pt idx="37">
                  <c:v>2062</c:v>
                </c:pt>
                <c:pt idx="38">
                  <c:v>2063</c:v>
                </c:pt>
                <c:pt idx="39">
                  <c:v>2064</c:v>
                </c:pt>
                <c:pt idx="40">
                  <c:v>2065</c:v>
                </c:pt>
                <c:pt idx="41">
                  <c:v>2066</c:v>
                </c:pt>
                <c:pt idx="42">
                  <c:v>2067</c:v>
                </c:pt>
                <c:pt idx="43">
                  <c:v>2068</c:v>
                </c:pt>
                <c:pt idx="44">
                  <c:v>2069</c:v>
                </c:pt>
                <c:pt idx="45">
                  <c:v>2070</c:v>
                </c:pt>
              </c:numCache>
            </c:numRef>
          </c:cat>
          <c:val>
            <c:numRef>
              <c:f>'High Level Dashboard'!$B$67:$AU$67</c:f>
              <c:numCache>
                <c:formatCode>[$$-409]#,##0.00</c:formatCode>
                <c:ptCount val="46"/>
                <c:pt idx="0">
                  <c:v>942.04874389567578</c:v>
                </c:pt>
                <c:pt idx="1">
                  <c:v>1016.79176822089</c:v>
                </c:pt>
                <c:pt idx="2">
                  <c:v>1064.9135372032933</c:v>
                </c:pt>
                <c:pt idx="3">
                  <c:v>1111.5758585628198</c:v>
                </c:pt>
                <c:pt idx="4">
                  <c:v>1156.3444325455321</c:v>
                </c:pt>
                <c:pt idx="5">
                  <c:v>1196.1928256892675</c:v>
                </c:pt>
                <c:pt idx="6">
                  <c:v>1274.4250770232575</c:v>
                </c:pt>
                <c:pt idx="7">
                  <c:v>1306.2446241777634</c:v>
                </c:pt>
                <c:pt idx="8">
                  <c:v>1320.1250863639393</c:v>
                </c:pt>
                <c:pt idx="9">
                  <c:v>1375.8967233373121</c:v>
                </c:pt>
                <c:pt idx="10">
                  <c:v>1445.1561766458412</c:v>
                </c:pt>
                <c:pt idx="11">
                  <c:v>1500.3434201863715</c:v>
                </c:pt>
                <c:pt idx="12">
                  <c:v>1463.6245752142872</c:v>
                </c:pt>
                <c:pt idx="13">
                  <c:v>1468.6720805247353</c:v>
                </c:pt>
                <c:pt idx="14">
                  <c:v>1556.6050267003934</c:v>
                </c:pt>
                <c:pt idx="15">
                  <c:v>1659.0994050148297</c:v>
                </c:pt>
                <c:pt idx="16">
                  <c:v>1769.0372708977786</c:v>
                </c:pt>
                <c:pt idx="17">
                  <c:v>1875.6831102825679</c:v>
                </c:pt>
                <c:pt idx="18">
                  <c:v>1927.3669982599886</c:v>
                </c:pt>
                <c:pt idx="19">
                  <c:v>1961.6933053498265</c:v>
                </c:pt>
                <c:pt idx="20">
                  <c:v>2074.5265210167563</c:v>
                </c:pt>
                <c:pt idx="21">
                  <c:v>2221.2782144122716</c:v>
                </c:pt>
                <c:pt idx="22">
                  <c:v>2335.0774957036374</c:v>
                </c:pt>
                <c:pt idx="23">
                  <c:v>2445.3036769794949</c:v>
                </c:pt>
                <c:pt idx="24">
                  <c:v>2578.7249273294642</c:v>
                </c:pt>
                <c:pt idx="25">
                  <c:v>2740.0627129809482</c:v>
                </c:pt>
                <c:pt idx="26">
                  <c:v>2872.1254818112279</c:v>
                </c:pt>
                <c:pt idx="27">
                  <c:v>2993.1096644920708</c:v>
                </c:pt>
                <c:pt idx="28">
                  <c:v>3092.8807555539552</c:v>
                </c:pt>
                <c:pt idx="29">
                  <c:v>3249.3788144707364</c:v>
                </c:pt>
                <c:pt idx="30">
                  <c:v>3355.9359997432607</c:v>
                </c:pt>
                <c:pt idx="31">
                  <c:v>3457.4287179049775</c:v>
                </c:pt>
                <c:pt idx="32">
                  <c:v>3560.4644642851686</c:v>
                </c:pt>
                <c:pt idx="33">
                  <c:v>3664.1310280490347</c:v>
                </c:pt>
                <c:pt idx="34">
                  <c:v>3779.9916313863241</c:v>
                </c:pt>
                <c:pt idx="35">
                  <c:v>3901.082780416577</c:v>
                </c:pt>
                <c:pt idx="36">
                  <c:v>4007.0440158646766</c:v>
                </c:pt>
                <c:pt idx="37">
                  <c:v>4111.5149416040495</c:v>
                </c:pt>
                <c:pt idx="38">
                  <c:v>4166.7813069813928</c:v>
                </c:pt>
                <c:pt idx="39">
                  <c:v>4266.6986788481699</c:v>
                </c:pt>
                <c:pt idx="40">
                  <c:v>4389.731258524077</c:v>
                </c:pt>
                <c:pt idx="41">
                  <c:v>4477.2070381479862</c:v>
                </c:pt>
                <c:pt idx="42">
                  <c:v>4528.74458592271</c:v>
                </c:pt>
                <c:pt idx="43">
                  <c:v>4576.4696308700941</c:v>
                </c:pt>
                <c:pt idx="44">
                  <c:v>4659.3702068508264</c:v>
                </c:pt>
                <c:pt idx="45">
                  <c:v>4753.8348359691809</c:v>
                </c:pt>
              </c:numCache>
            </c:numRef>
          </c:val>
          <c:smooth val="0"/>
          <c:extLst>
            <c:ext xmlns:c16="http://schemas.microsoft.com/office/drawing/2014/chart" uri="{C3380CC4-5D6E-409C-BE32-E72D297353CC}">
              <c16:uniqueId val="{00000002-C140-9D4C-9518-339CBD3E8C7A}"/>
            </c:ext>
          </c:extLst>
        </c:ser>
        <c:dLbls>
          <c:showLegendKey val="0"/>
          <c:showVal val="0"/>
          <c:showCatName val="0"/>
          <c:showSerName val="0"/>
          <c:showPercent val="0"/>
          <c:showBubbleSize val="0"/>
        </c:dLbls>
        <c:smooth val="0"/>
        <c:axId val="556246032"/>
        <c:axId val="556247952"/>
      </c:lineChart>
      <c:catAx>
        <c:axId val="556246032"/>
        <c:scaling>
          <c:orientation val="minMax"/>
        </c:scaling>
        <c:delete val="0"/>
        <c:axPos val="b"/>
        <c:title>
          <c:tx>
            <c:rich>
              <a:bodyPr rot="0" spcFirstLastPara="1" vertOverflow="ellipsis" vert="horz" wrap="square" anchor="ctr" anchorCtr="1"/>
              <a:lstStyle/>
              <a:p>
                <a:pPr>
                  <a:defRPr lang="ja-JP" sz="1600" b="0" i="0" u="none" strike="noStrike" kern="1200" baseline="0">
                    <a:solidFill>
                      <a:schemeClr val="tx1"/>
                    </a:solidFill>
                    <a:latin typeface="+mn-lt"/>
                    <a:ea typeface="+mn-ea"/>
                    <a:cs typeface="+mn-cs"/>
                  </a:defRPr>
                </a:pPr>
                <a:r>
                  <a:rPr lang="en-GB"/>
                  <a:t>Year</a:t>
                </a:r>
              </a:p>
            </c:rich>
          </c:tx>
          <c:overlay val="0"/>
          <c:spPr>
            <a:noFill/>
            <a:ln>
              <a:noFill/>
            </a:ln>
            <a:effectLst/>
          </c:spPr>
          <c:txPr>
            <a:bodyPr rot="0" spcFirstLastPara="1" vertOverflow="ellipsis" vert="horz" wrap="square" anchor="ctr" anchorCtr="1"/>
            <a:lstStyle/>
            <a:p>
              <a:pPr>
                <a:defRPr lang="ja-JP" sz="1600" b="0" i="0"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ja-JP" sz="1600" b="0" i="0" u="none" strike="noStrike" kern="1200" baseline="0">
                <a:solidFill>
                  <a:schemeClr val="tx1"/>
                </a:solidFill>
                <a:latin typeface="+mn-lt"/>
                <a:ea typeface="+mn-ea"/>
                <a:cs typeface="+mn-cs"/>
              </a:defRPr>
            </a:pPr>
            <a:endParaRPr lang="en-US"/>
          </a:p>
        </c:txPr>
        <c:crossAx val="556247952"/>
        <c:crosses val="autoZero"/>
        <c:auto val="1"/>
        <c:lblAlgn val="ctr"/>
        <c:lblOffset val="100"/>
        <c:tickLblSkip val="5"/>
        <c:noMultiLvlLbl val="0"/>
      </c:catAx>
      <c:valAx>
        <c:axId val="55624795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lang="ja-JP" sz="1600" b="0" i="0" u="none" strike="noStrike" kern="1200" baseline="0">
                    <a:solidFill>
                      <a:schemeClr val="tx1"/>
                    </a:solidFill>
                    <a:latin typeface="+mn-lt"/>
                    <a:ea typeface="+mn-ea"/>
                    <a:cs typeface="+mn-cs"/>
                  </a:defRPr>
                </a:pPr>
                <a:r>
                  <a:rPr lang="en-GB"/>
                  <a:t>Million US$</a:t>
                </a:r>
              </a:p>
            </c:rich>
          </c:tx>
          <c:overlay val="0"/>
          <c:spPr>
            <a:noFill/>
            <a:ln>
              <a:noFill/>
            </a:ln>
            <a:effectLst/>
          </c:spPr>
          <c:txPr>
            <a:bodyPr rot="-5400000" spcFirstLastPara="1" vertOverflow="ellipsis" vert="horz" wrap="square" anchor="ctr" anchorCtr="1"/>
            <a:lstStyle/>
            <a:p>
              <a:pPr>
                <a:defRPr lang="ja-JP" sz="1600" b="0" i="0" u="none" strike="noStrike" kern="1200" baseline="0">
                  <a:solidFill>
                    <a:schemeClr val="tx1"/>
                  </a:solidFill>
                  <a:latin typeface="+mn-lt"/>
                  <a:ea typeface="+mn-ea"/>
                  <a:cs typeface="+mn-cs"/>
                </a:defRPr>
              </a:pPr>
              <a:endParaRPr lang="en-US"/>
            </a:p>
          </c:txPr>
        </c:title>
        <c:numFmt formatCode="[$$-409]#,##0" sourceLinked="0"/>
        <c:majorTickMark val="none"/>
        <c:minorTickMark val="none"/>
        <c:tickLblPos val="nextTo"/>
        <c:spPr>
          <a:noFill/>
          <a:ln>
            <a:noFill/>
          </a:ln>
          <a:effectLst/>
        </c:spPr>
        <c:txPr>
          <a:bodyPr rot="-60000000" spcFirstLastPara="1" vertOverflow="ellipsis" vert="horz" wrap="square" anchor="ctr" anchorCtr="1"/>
          <a:lstStyle/>
          <a:p>
            <a:pPr>
              <a:defRPr lang="ja-JP" sz="1600" b="0" i="0" u="none" strike="noStrike" kern="1200" baseline="0">
                <a:solidFill>
                  <a:schemeClr val="tx1"/>
                </a:solidFill>
                <a:latin typeface="+mn-lt"/>
                <a:ea typeface="+mn-ea"/>
                <a:cs typeface="+mn-cs"/>
              </a:defRPr>
            </a:pPr>
            <a:endParaRPr lang="en-US"/>
          </a:p>
        </c:txPr>
        <c:crossAx val="55624603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lang="ja-JP" sz="1600" b="0"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sz="1600">
          <a:solidFill>
            <a:schemeClr val="tx1"/>
          </a:solidFill>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ja-JP" sz="1920" b="0" i="0" u="none" strike="noStrike" kern="1200" spc="0" baseline="0">
                <a:solidFill>
                  <a:schemeClr val="tx1"/>
                </a:solidFill>
                <a:latin typeface="+mn-lt"/>
                <a:ea typeface="+mn-ea"/>
                <a:cs typeface="+mn-cs"/>
              </a:defRPr>
            </a:pPr>
            <a:r>
              <a:rPr lang="en-GB"/>
              <a:t>MinFin Projections Relative to GDP</a:t>
            </a:r>
          </a:p>
        </c:rich>
      </c:tx>
      <c:overlay val="0"/>
      <c:spPr>
        <a:noFill/>
        <a:ln>
          <a:noFill/>
        </a:ln>
        <a:effectLst/>
      </c:spPr>
      <c:txPr>
        <a:bodyPr rot="0" spcFirstLastPara="1" vertOverflow="ellipsis" vert="horz" wrap="square" anchor="ctr" anchorCtr="1"/>
        <a:lstStyle/>
        <a:p>
          <a:pPr>
            <a:defRPr lang="ja-JP" sz="1920" b="0" i="0" u="none" strike="noStrike" kern="1200" spc="0" baseline="0">
              <a:solidFill>
                <a:schemeClr val="tx1"/>
              </a:solidFill>
              <a:latin typeface="+mn-lt"/>
              <a:ea typeface="+mn-ea"/>
              <a:cs typeface="+mn-cs"/>
            </a:defRPr>
          </a:pPr>
          <a:endParaRPr lang="en-US"/>
        </a:p>
      </c:txPr>
    </c:title>
    <c:autoTitleDeleted val="0"/>
    <c:plotArea>
      <c:layout/>
      <c:lineChart>
        <c:grouping val="standard"/>
        <c:varyColors val="0"/>
        <c:ser>
          <c:idx val="0"/>
          <c:order val="0"/>
          <c:tx>
            <c:v>Financing requirement</c:v>
          </c:tx>
          <c:spPr>
            <a:ln w="28575" cap="rnd">
              <a:solidFill>
                <a:srgbClr val="FF0000"/>
              </a:solidFill>
              <a:round/>
            </a:ln>
            <a:effectLst/>
          </c:spPr>
          <c:marker>
            <c:symbol val="none"/>
          </c:marker>
          <c:cat>
            <c:numRef>
              <c:f>'High Level Dashboard'!$B$64:$AU$64</c:f>
              <c:numCache>
                <c:formatCode>General</c:formatCode>
                <c:ptCount val="46"/>
                <c:pt idx="0">
                  <c:v>2025</c:v>
                </c:pt>
                <c:pt idx="1">
                  <c:v>2026</c:v>
                </c:pt>
                <c:pt idx="2">
                  <c:v>2027</c:v>
                </c:pt>
                <c:pt idx="3">
                  <c:v>2028</c:v>
                </c:pt>
                <c:pt idx="4">
                  <c:v>2029</c:v>
                </c:pt>
                <c:pt idx="5">
                  <c:v>2030</c:v>
                </c:pt>
                <c:pt idx="6">
                  <c:v>2031</c:v>
                </c:pt>
                <c:pt idx="7">
                  <c:v>2032</c:v>
                </c:pt>
                <c:pt idx="8">
                  <c:v>2033</c:v>
                </c:pt>
                <c:pt idx="9">
                  <c:v>2034</c:v>
                </c:pt>
                <c:pt idx="10">
                  <c:v>2035</c:v>
                </c:pt>
                <c:pt idx="11">
                  <c:v>2036</c:v>
                </c:pt>
                <c:pt idx="12">
                  <c:v>2037</c:v>
                </c:pt>
                <c:pt idx="13">
                  <c:v>2038</c:v>
                </c:pt>
                <c:pt idx="14">
                  <c:v>2039</c:v>
                </c:pt>
                <c:pt idx="15">
                  <c:v>2040</c:v>
                </c:pt>
                <c:pt idx="16">
                  <c:v>2041</c:v>
                </c:pt>
                <c:pt idx="17">
                  <c:v>2042</c:v>
                </c:pt>
                <c:pt idx="18">
                  <c:v>2043</c:v>
                </c:pt>
                <c:pt idx="19">
                  <c:v>2044</c:v>
                </c:pt>
                <c:pt idx="20">
                  <c:v>2045</c:v>
                </c:pt>
                <c:pt idx="21">
                  <c:v>2046</c:v>
                </c:pt>
                <c:pt idx="22">
                  <c:v>2047</c:v>
                </c:pt>
                <c:pt idx="23">
                  <c:v>2048</c:v>
                </c:pt>
                <c:pt idx="24">
                  <c:v>2049</c:v>
                </c:pt>
                <c:pt idx="25">
                  <c:v>2050</c:v>
                </c:pt>
                <c:pt idx="26">
                  <c:v>2051</c:v>
                </c:pt>
                <c:pt idx="27">
                  <c:v>2052</c:v>
                </c:pt>
                <c:pt idx="28">
                  <c:v>2053</c:v>
                </c:pt>
                <c:pt idx="29">
                  <c:v>2054</c:v>
                </c:pt>
                <c:pt idx="30">
                  <c:v>2055</c:v>
                </c:pt>
                <c:pt idx="31">
                  <c:v>2056</c:v>
                </c:pt>
                <c:pt idx="32">
                  <c:v>2057</c:v>
                </c:pt>
                <c:pt idx="33">
                  <c:v>2058</c:v>
                </c:pt>
                <c:pt idx="34">
                  <c:v>2059</c:v>
                </c:pt>
                <c:pt idx="35">
                  <c:v>2060</c:v>
                </c:pt>
                <c:pt idx="36">
                  <c:v>2061</c:v>
                </c:pt>
                <c:pt idx="37">
                  <c:v>2062</c:v>
                </c:pt>
                <c:pt idx="38">
                  <c:v>2063</c:v>
                </c:pt>
                <c:pt idx="39">
                  <c:v>2064</c:v>
                </c:pt>
                <c:pt idx="40">
                  <c:v>2065</c:v>
                </c:pt>
                <c:pt idx="41">
                  <c:v>2066</c:v>
                </c:pt>
                <c:pt idx="42">
                  <c:v>2067</c:v>
                </c:pt>
                <c:pt idx="43">
                  <c:v>2068</c:v>
                </c:pt>
                <c:pt idx="44">
                  <c:v>2069</c:v>
                </c:pt>
                <c:pt idx="45">
                  <c:v>2070</c:v>
                </c:pt>
              </c:numCache>
            </c:numRef>
          </c:cat>
          <c:val>
            <c:numRef>
              <c:f>'High Level Dashboard'!$B$133:$AU$133</c:f>
              <c:numCache>
                <c:formatCode>0.00%</c:formatCode>
                <c:ptCount val="46"/>
                <c:pt idx="0">
                  <c:v>8.5917292367772274E-3</c:v>
                </c:pt>
                <c:pt idx="1">
                  <c:v>8.6135215782058693E-3</c:v>
                </c:pt>
                <c:pt idx="2">
                  <c:v>8.4363619865743481E-3</c:v>
                </c:pt>
                <c:pt idx="3">
                  <c:v>8.2040567902135191E-3</c:v>
                </c:pt>
                <c:pt idx="4">
                  <c:v>7.9540537945599205E-3</c:v>
                </c:pt>
                <c:pt idx="5">
                  <c:v>7.8168339415684383E-3</c:v>
                </c:pt>
                <c:pt idx="6">
                  <c:v>7.9117468677579236E-3</c:v>
                </c:pt>
                <c:pt idx="7">
                  <c:v>7.7039059798352958E-3</c:v>
                </c:pt>
                <c:pt idx="8">
                  <c:v>7.3965623817371182E-3</c:v>
                </c:pt>
                <c:pt idx="9">
                  <c:v>7.3236749285696991E-3</c:v>
                </c:pt>
                <c:pt idx="10">
                  <c:v>7.3077955545482352E-3</c:v>
                </c:pt>
                <c:pt idx="11">
                  <c:v>7.2075998241753099E-3</c:v>
                </c:pt>
                <c:pt idx="12">
                  <c:v>6.6797170068860975E-3</c:v>
                </c:pt>
                <c:pt idx="13">
                  <c:v>6.3676853045953018E-3</c:v>
                </c:pt>
                <c:pt idx="14">
                  <c:v>6.4115578364993464E-3</c:v>
                </c:pt>
                <c:pt idx="15">
                  <c:v>6.4921108380100387E-3</c:v>
                </c:pt>
                <c:pt idx="16">
                  <c:v>6.5762586145427411E-3</c:v>
                </c:pt>
                <c:pt idx="17">
                  <c:v>6.6241437906638502E-3</c:v>
                </c:pt>
                <c:pt idx="18">
                  <c:v>6.4664077204297093E-3</c:v>
                </c:pt>
                <c:pt idx="19">
                  <c:v>6.2525641820223681E-3</c:v>
                </c:pt>
                <c:pt idx="20">
                  <c:v>6.2816599439645604E-3</c:v>
                </c:pt>
                <c:pt idx="21">
                  <c:v>6.3897927281852023E-3</c:v>
                </c:pt>
                <c:pt idx="22">
                  <c:v>6.3813636546565739E-3</c:v>
                </c:pt>
                <c:pt idx="23">
                  <c:v>6.3485329729690374E-3</c:v>
                </c:pt>
                <c:pt idx="24">
                  <c:v>6.3602469682617537E-3</c:v>
                </c:pt>
                <c:pt idx="25">
                  <c:v>6.4203373258576394E-3</c:v>
                </c:pt>
                <c:pt idx="26">
                  <c:v>6.3933596595899759E-3</c:v>
                </c:pt>
                <c:pt idx="27">
                  <c:v>6.3296068870295442E-3</c:v>
                </c:pt>
                <c:pt idx="28">
                  <c:v>6.2136339888111463E-3</c:v>
                </c:pt>
                <c:pt idx="29">
                  <c:v>6.2017066354719532E-3</c:v>
                </c:pt>
                <c:pt idx="30">
                  <c:v>6.0848927294101587E-3</c:v>
                </c:pt>
                <c:pt idx="31">
                  <c:v>5.9555362726063706E-3</c:v>
                </c:pt>
                <c:pt idx="32">
                  <c:v>5.8264319336619654E-3</c:v>
                </c:pt>
                <c:pt idx="33">
                  <c:v>5.696333394241593E-3</c:v>
                </c:pt>
                <c:pt idx="34">
                  <c:v>5.582691445279106E-3</c:v>
                </c:pt>
                <c:pt idx="35">
                  <c:v>5.4735152873746197E-3</c:v>
                </c:pt>
                <c:pt idx="36">
                  <c:v>5.3411363499079227E-3</c:v>
                </c:pt>
                <c:pt idx="37">
                  <c:v>5.2064272855549846E-3</c:v>
                </c:pt>
                <c:pt idx="38">
                  <c:v>5.0126458721659996E-3</c:v>
                </c:pt>
                <c:pt idx="39">
                  <c:v>4.8762579671633131E-3</c:v>
                </c:pt>
                <c:pt idx="40">
                  <c:v>4.7660765716312798E-3</c:v>
                </c:pt>
                <c:pt idx="41">
                  <c:v>4.6180501243535156E-3</c:v>
                </c:pt>
                <c:pt idx="42">
                  <c:v>4.4376972981978544E-3</c:v>
                </c:pt>
                <c:pt idx="43">
                  <c:v>4.2602865839703168E-3</c:v>
                </c:pt>
                <c:pt idx="44">
                  <c:v>4.1206319983230306E-3</c:v>
                </c:pt>
                <c:pt idx="45">
                  <c:v>3.994009409412482E-3</c:v>
                </c:pt>
              </c:numCache>
            </c:numRef>
          </c:val>
          <c:smooth val="0"/>
          <c:extLst>
            <c:ext xmlns:c16="http://schemas.microsoft.com/office/drawing/2014/chart" uri="{C3380CC4-5D6E-409C-BE32-E72D297353CC}">
              <c16:uniqueId val="{00000000-069A-0442-AB8E-E2A65BC375F3}"/>
            </c:ext>
          </c:extLst>
        </c:ser>
        <c:ser>
          <c:idx val="1"/>
          <c:order val="1"/>
          <c:tx>
            <c:v>Funding availability</c:v>
          </c:tx>
          <c:spPr>
            <a:ln w="28575" cap="rnd">
              <a:solidFill>
                <a:srgbClr val="00B050"/>
              </a:solidFill>
              <a:round/>
            </a:ln>
            <a:effectLst/>
          </c:spPr>
          <c:marker>
            <c:symbol val="none"/>
          </c:marker>
          <c:cat>
            <c:numRef>
              <c:f>'High Level Dashboard'!$B$64:$AU$64</c:f>
              <c:numCache>
                <c:formatCode>General</c:formatCode>
                <c:ptCount val="46"/>
                <c:pt idx="0">
                  <c:v>2025</c:v>
                </c:pt>
                <c:pt idx="1">
                  <c:v>2026</c:v>
                </c:pt>
                <c:pt idx="2">
                  <c:v>2027</c:v>
                </c:pt>
                <c:pt idx="3">
                  <c:v>2028</c:v>
                </c:pt>
                <c:pt idx="4">
                  <c:v>2029</c:v>
                </c:pt>
                <c:pt idx="5">
                  <c:v>2030</c:v>
                </c:pt>
                <c:pt idx="6">
                  <c:v>2031</c:v>
                </c:pt>
                <c:pt idx="7">
                  <c:v>2032</c:v>
                </c:pt>
                <c:pt idx="8">
                  <c:v>2033</c:v>
                </c:pt>
                <c:pt idx="9">
                  <c:v>2034</c:v>
                </c:pt>
                <c:pt idx="10">
                  <c:v>2035</c:v>
                </c:pt>
                <c:pt idx="11">
                  <c:v>2036</c:v>
                </c:pt>
                <c:pt idx="12">
                  <c:v>2037</c:v>
                </c:pt>
                <c:pt idx="13">
                  <c:v>2038</c:v>
                </c:pt>
                <c:pt idx="14">
                  <c:v>2039</c:v>
                </c:pt>
                <c:pt idx="15">
                  <c:v>2040</c:v>
                </c:pt>
                <c:pt idx="16">
                  <c:v>2041</c:v>
                </c:pt>
                <c:pt idx="17">
                  <c:v>2042</c:v>
                </c:pt>
                <c:pt idx="18">
                  <c:v>2043</c:v>
                </c:pt>
                <c:pt idx="19">
                  <c:v>2044</c:v>
                </c:pt>
                <c:pt idx="20">
                  <c:v>2045</c:v>
                </c:pt>
                <c:pt idx="21">
                  <c:v>2046</c:v>
                </c:pt>
                <c:pt idx="22">
                  <c:v>2047</c:v>
                </c:pt>
                <c:pt idx="23">
                  <c:v>2048</c:v>
                </c:pt>
                <c:pt idx="24">
                  <c:v>2049</c:v>
                </c:pt>
                <c:pt idx="25">
                  <c:v>2050</c:v>
                </c:pt>
                <c:pt idx="26">
                  <c:v>2051</c:v>
                </c:pt>
                <c:pt idx="27">
                  <c:v>2052</c:v>
                </c:pt>
                <c:pt idx="28">
                  <c:v>2053</c:v>
                </c:pt>
                <c:pt idx="29">
                  <c:v>2054</c:v>
                </c:pt>
                <c:pt idx="30">
                  <c:v>2055</c:v>
                </c:pt>
                <c:pt idx="31">
                  <c:v>2056</c:v>
                </c:pt>
                <c:pt idx="32">
                  <c:v>2057</c:v>
                </c:pt>
                <c:pt idx="33">
                  <c:v>2058</c:v>
                </c:pt>
                <c:pt idx="34">
                  <c:v>2059</c:v>
                </c:pt>
                <c:pt idx="35">
                  <c:v>2060</c:v>
                </c:pt>
                <c:pt idx="36">
                  <c:v>2061</c:v>
                </c:pt>
                <c:pt idx="37">
                  <c:v>2062</c:v>
                </c:pt>
                <c:pt idx="38">
                  <c:v>2063</c:v>
                </c:pt>
                <c:pt idx="39">
                  <c:v>2064</c:v>
                </c:pt>
                <c:pt idx="40">
                  <c:v>2065</c:v>
                </c:pt>
                <c:pt idx="41">
                  <c:v>2066</c:v>
                </c:pt>
                <c:pt idx="42">
                  <c:v>2067</c:v>
                </c:pt>
                <c:pt idx="43">
                  <c:v>2068</c:v>
                </c:pt>
                <c:pt idx="44">
                  <c:v>2069</c:v>
                </c:pt>
                <c:pt idx="45">
                  <c:v>2070</c:v>
                </c:pt>
              </c:numCache>
            </c:numRef>
          </c:cat>
          <c:val>
            <c:numRef>
              <c:f>'High Level Dashboard'!$B$134:$AU$134</c:f>
              <c:numCache>
                <c:formatCode>0.00%</c:formatCode>
                <c:ptCount val="4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numCache>
            </c:numRef>
          </c:val>
          <c:smooth val="0"/>
          <c:extLst>
            <c:ext xmlns:c16="http://schemas.microsoft.com/office/drawing/2014/chart" uri="{C3380CC4-5D6E-409C-BE32-E72D297353CC}">
              <c16:uniqueId val="{00000001-069A-0442-AB8E-E2A65BC375F3}"/>
            </c:ext>
          </c:extLst>
        </c:ser>
        <c:dLbls>
          <c:showLegendKey val="0"/>
          <c:showVal val="0"/>
          <c:showCatName val="0"/>
          <c:showSerName val="0"/>
          <c:showPercent val="0"/>
          <c:showBubbleSize val="0"/>
        </c:dLbls>
        <c:smooth val="0"/>
        <c:axId val="1201389352"/>
        <c:axId val="1201391648"/>
      </c:lineChart>
      <c:catAx>
        <c:axId val="1201389352"/>
        <c:scaling>
          <c:orientation val="minMax"/>
        </c:scaling>
        <c:delete val="0"/>
        <c:axPos val="b"/>
        <c:title>
          <c:tx>
            <c:rich>
              <a:bodyPr rot="0" spcFirstLastPara="1" vertOverflow="ellipsis" vert="horz" wrap="square" anchor="ctr" anchorCtr="1"/>
              <a:lstStyle/>
              <a:p>
                <a:pPr>
                  <a:defRPr lang="ja-JP" sz="1600" b="0" i="0" u="none" strike="noStrike" kern="1200" baseline="0">
                    <a:solidFill>
                      <a:schemeClr val="tx1"/>
                    </a:solidFill>
                    <a:latin typeface="+mn-lt"/>
                    <a:ea typeface="+mn-ea"/>
                    <a:cs typeface="+mn-cs"/>
                  </a:defRPr>
                </a:pPr>
                <a:r>
                  <a:rPr lang="en-GB"/>
                  <a:t>Year</a:t>
                </a:r>
              </a:p>
            </c:rich>
          </c:tx>
          <c:overlay val="0"/>
          <c:spPr>
            <a:noFill/>
            <a:ln>
              <a:noFill/>
            </a:ln>
            <a:effectLst/>
          </c:spPr>
          <c:txPr>
            <a:bodyPr rot="0" spcFirstLastPara="1" vertOverflow="ellipsis" vert="horz" wrap="square" anchor="ctr" anchorCtr="1"/>
            <a:lstStyle/>
            <a:p>
              <a:pPr>
                <a:defRPr lang="ja-JP" sz="1600" b="0" i="0"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ja-JP" sz="1600" b="0" i="0" u="none" strike="noStrike" kern="1200" baseline="0">
                <a:solidFill>
                  <a:schemeClr val="tx1"/>
                </a:solidFill>
                <a:latin typeface="+mn-lt"/>
                <a:ea typeface="+mn-ea"/>
                <a:cs typeface="+mn-cs"/>
              </a:defRPr>
            </a:pPr>
            <a:endParaRPr lang="en-US"/>
          </a:p>
        </c:txPr>
        <c:crossAx val="1201391648"/>
        <c:crosses val="autoZero"/>
        <c:auto val="1"/>
        <c:lblAlgn val="ctr"/>
        <c:lblOffset val="100"/>
        <c:tickLblSkip val="5"/>
        <c:noMultiLvlLbl val="0"/>
      </c:catAx>
      <c:valAx>
        <c:axId val="120139164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lang="ja-JP" sz="1600" b="0" i="0" u="none" strike="noStrike" kern="1200" baseline="0">
                    <a:solidFill>
                      <a:schemeClr val="tx1"/>
                    </a:solidFill>
                    <a:latin typeface="+mn-lt"/>
                    <a:ea typeface="+mn-ea"/>
                    <a:cs typeface="+mn-cs"/>
                  </a:defRPr>
                </a:pPr>
                <a:r>
                  <a:rPr lang="en-GB"/>
                  <a:t>% of GDP</a:t>
                </a:r>
              </a:p>
            </c:rich>
          </c:tx>
          <c:overlay val="0"/>
          <c:spPr>
            <a:noFill/>
            <a:ln>
              <a:noFill/>
            </a:ln>
            <a:effectLst/>
          </c:spPr>
          <c:txPr>
            <a:bodyPr rot="-5400000" spcFirstLastPara="1" vertOverflow="ellipsis" vert="horz" wrap="square" anchor="ctr" anchorCtr="1"/>
            <a:lstStyle/>
            <a:p>
              <a:pPr>
                <a:defRPr lang="ja-JP" sz="1600" b="0" i="0" u="none" strike="noStrike" kern="1200" baseline="0">
                  <a:solidFill>
                    <a:schemeClr val="tx1"/>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lang="ja-JP" sz="1600" b="0" i="0" u="none" strike="noStrike" kern="1200" baseline="0">
                <a:solidFill>
                  <a:schemeClr val="tx1"/>
                </a:solidFill>
                <a:latin typeface="+mn-lt"/>
                <a:ea typeface="+mn-ea"/>
                <a:cs typeface="+mn-cs"/>
              </a:defRPr>
            </a:pPr>
            <a:endParaRPr lang="en-US"/>
          </a:p>
        </c:txPr>
        <c:crossAx val="1201389352"/>
        <c:crosses val="autoZero"/>
        <c:crossBetween val="between"/>
      </c:valAx>
      <c:spPr>
        <a:noFill/>
        <a:ln>
          <a:noFill/>
        </a:ln>
        <a:effectLst/>
      </c:spPr>
    </c:plotArea>
    <c:legend>
      <c:legendPos val="b"/>
      <c:layout>
        <c:manualLayout>
          <c:xMode val="edge"/>
          <c:yMode val="edge"/>
          <c:x val="6.1906386701662292E-2"/>
          <c:y val="0.88483741615631384"/>
          <c:w val="0.75079923973366391"/>
          <c:h val="7.532806692266461E-2"/>
        </c:manualLayout>
      </c:layout>
      <c:overlay val="0"/>
      <c:spPr>
        <a:noFill/>
        <a:ln>
          <a:noFill/>
        </a:ln>
        <a:effectLst/>
      </c:spPr>
      <c:txPr>
        <a:bodyPr rot="0" spcFirstLastPara="1" vertOverflow="ellipsis" vert="horz" wrap="square" anchor="ctr" anchorCtr="1"/>
        <a:lstStyle/>
        <a:p>
          <a:pPr>
            <a:defRPr lang="ja-JP" sz="1600" b="0" i="0" u="none" strike="noStrike" kern="1200" baseline="0">
              <a:solidFill>
                <a:schemeClr val="tx1"/>
              </a:solidFill>
              <a:latin typeface="+mn-lt"/>
              <a:ea typeface="+mn-ea"/>
              <a:cs typeface="+mn-cs"/>
            </a:defRPr>
          </a:pPr>
          <a:endParaRPr lang="en-US"/>
        </a:p>
      </c:txPr>
    </c:legend>
    <c:plotVisOnly val="1"/>
    <c:dispBlanksAs val="gap"/>
    <c:showDLblsOverMax val="0"/>
  </c:chart>
  <c:spPr>
    <a:solidFill>
      <a:schemeClr val="bg1"/>
    </a:solidFill>
    <a:ln w="9525" cap="flat" cmpd="sng" algn="ctr">
      <a:noFill/>
      <a:round/>
    </a:ln>
    <a:effectLst/>
  </c:spPr>
  <c:txPr>
    <a:bodyPr/>
    <a:lstStyle/>
    <a:p>
      <a:pPr>
        <a:defRPr sz="1600">
          <a:solidFill>
            <a:schemeClr val="tx1"/>
          </a:solidFill>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ja-JP" sz="1920" b="0" i="0" u="none" strike="noStrike" kern="1200" spc="0" baseline="0">
                <a:solidFill>
                  <a:schemeClr val="tx1"/>
                </a:solidFill>
                <a:latin typeface="+mn-lt"/>
                <a:ea typeface="+mn-ea"/>
                <a:cs typeface="+mn-cs"/>
              </a:defRPr>
            </a:pPr>
            <a:r>
              <a:rPr lang="en-GB"/>
              <a:t>Projected CO2 Emissions by Scenario</a:t>
            </a:r>
          </a:p>
        </c:rich>
      </c:tx>
      <c:overlay val="0"/>
      <c:spPr>
        <a:noFill/>
        <a:ln>
          <a:noFill/>
        </a:ln>
        <a:effectLst/>
      </c:spPr>
      <c:txPr>
        <a:bodyPr rot="0" spcFirstLastPara="1" vertOverflow="ellipsis" vert="horz" wrap="square" anchor="ctr" anchorCtr="1"/>
        <a:lstStyle/>
        <a:p>
          <a:pPr>
            <a:defRPr lang="ja-JP" sz="1920" b="0" i="0" u="none" strike="noStrike" kern="1200" spc="0" baseline="0">
              <a:solidFill>
                <a:schemeClr val="tx1"/>
              </a:solidFill>
              <a:latin typeface="+mn-lt"/>
              <a:ea typeface="+mn-ea"/>
              <a:cs typeface="+mn-cs"/>
            </a:defRPr>
          </a:pPr>
          <a:endParaRPr lang="en-US"/>
        </a:p>
      </c:txPr>
    </c:title>
    <c:autoTitleDeleted val="0"/>
    <c:plotArea>
      <c:layout/>
      <c:lineChart>
        <c:grouping val="standard"/>
        <c:varyColors val="0"/>
        <c:ser>
          <c:idx val="0"/>
          <c:order val="0"/>
          <c:tx>
            <c:v>Least Cost</c:v>
          </c:tx>
          <c:spPr>
            <a:ln w="28575" cap="rnd">
              <a:solidFill>
                <a:schemeClr val="accent1"/>
              </a:solidFill>
              <a:round/>
            </a:ln>
            <a:effectLst/>
          </c:spPr>
          <c:marker>
            <c:symbol val="none"/>
          </c:marker>
          <c:cat>
            <c:numRef>
              <c:f>'OSeMOSYS (Input)'!$A$84:$A$130</c:f>
              <c:numCache>
                <c:formatCode>General</c:formatCode>
                <c:ptCount val="47"/>
                <c:pt idx="0">
                  <c:v>2024</c:v>
                </c:pt>
                <c:pt idx="1">
                  <c:v>2025</c:v>
                </c:pt>
                <c:pt idx="2">
                  <c:v>2026</c:v>
                </c:pt>
                <c:pt idx="3">
                  <c:v>2027</c:v>
                </c:pt>
                <c:pt idx="4">
                  <c:v>2028</c:v>
                </c:pt>
                <c:pt idx="5">
                  <c:v>2029</c:v>
                </c:pt>
                <c:pt idx="6">
                  <c:v>2030</c:v>
                </c:pt>
                <c:pt idx="7">
                  <c:v>2031</c:v>
                </c:pt>
                <c:pt idx="8">
                  <c:v>2032</c:v>
                </c:pt>
                <c:pt idx="9">
                  <c:v>2033</c:v>
                </c:pt>
                <c:pt idx="10">
                  <c:v>2034</c:v>
                </c:pt>
                <c:pt idx="11">
                  <c:v>2035</c:v>
                </c:pt>
                <c:pt idx="12">
                  <c:v>2036</c:v>
                </c:pt>
                <c:pt idx="13">
                  <c:v>2037</c:v>
                </c:pt>
                <c:pt idx="14">
                  <c:v>2038</c:v>
                </c:pt>
                <c:pt idx="15">
                  <c:v>2039</c:v>
                </c:pt>
                <c:pt idx="16">
                  <c:v>2040</c:v>
                </c:pt>
                <c:pt idx="17">
                  <c:v>2041</c:v>
                </c:pt>
                <c:pt idx="18">
                  <c:v>2042</c:v>
                </c:pt>
                <c:pt idx="19">
                  <c:v>2043</c:v>
                </c:pt>
                <c:pt idx="20">
                  <c:v>2044</c:v>
                </c:pt>
                <c:pt idx="21">
                  <c:v>2045</c:v>
                </c:pt>
                <c:pt idx="22">
                  <c:v>2046</c:v>
                </c:pt>
                <c:pt idx="23">
                  <c:v>2047</c:v>
                </c:pt>
                <c:pt idx="24">
                  <c:v>2048</c:v>
                </c:pt>
                <c:pt idx="25">
                  <c:v>2049</c:v>
                </c:pt>
                <c:pt idx="26">
                  <c:v>2050</c:v>
                </c:pt>
                <c:pt idx="27">
                  <c:v>2051</c:v>
                </c:pt>
                <c:pt idx="28">
                  <c:v>2052</c:v>
                </c:pt>
                <c:pt idx="29">
                  <c:v>2053</c:v>
                </c:pt>
                <c:pt idx="30">
                  <c:v>2054</c:v>
                </c:pt>
                <c:pt idx="31">
                  <c:v>2055</c:v>
                </c:pt>
                <c:pt idx="32">
                  <c:v>2056</c:v>
                </c:pt>
                <c:pt idx="33">
                  <c:v>2057</c:v>
                </c:pt>
                <c:pt idx="34">
                  <c:v>2058</c:v>
                </c:pt>
                <c:pt idx="35">
                  <c:v>2059</c:v>
                </c:pt>
                <c:pt idx="36">
                  <c:v>2060</c:v>
                </c:pt>
                <c:pt idx="37">
                  <c:v>2061</c:v>
                </c:pt>
                <c:pt idx="38">
                  <c:v>2062</c:v>
                </c:pt>
                <c:pt idx="39">
                  <c:v>2063</c:v>
                </c:pt>
                <c:pt idx="40">
                  <c:v>2064</c:v>
                </c:pt>
                <c:pt idx="41">
                  <c:v>2065</c:v>
                </c:pt>
                <c:pt idx="42">
                  <c:v>2066</c:v>
                </c:pt>
                <c:pt idx="43">
                  <c:v>2067</c:v>
                </c:pt>
                <c:pt idx="44">
                  <c:v>2068</c:v>
                </c:pt>
                <c:pt idx="45">
                  <c:v>2069</c:v>
                </c:pt>
                <c:pt idx="46">
                  <c:v>2070</c:v>
                </c:pt>
              </c:numCache>
            </c:numRef>
          </c:cat>
          <c:val>
            <c:numRef>
              <c:f>'OSeMOSYS (Input)'!#REF!</c:f>
              <c:numCache>
                <c:formatCode>General</c:formatCode>
                <c:ptCount val="1"/>
                <c:pt idx="0">
                  <c:v>1</c:v>
                </c:pt>
              </c:numCache>
            </c:numRef>
          </c:val>
          <c:smooth val="0"/>
          <c:extLst>
            <c:ext xmlns:c16="http://schemas.microsoft.com/office/drawing/2014/chart" uri="{C3380CC4-5D6E-409C-BE32-E72D297353CC}">
              <c16:uniqueId val="{00000000-D9C2-4B4C-BDA0-BF187EF3C9AE}"/>
            </c:ext>
          </c:extLst>
        </c:ser>
        <c:ser>
          <c:idx val="1"/>
          <c:order val="1"/>
          <c:tx>
            <c:v>Net Zero</c:v>
          </c:tx>
          <c:spPr>
            <a:ln w="28575" cap="rnd">
              <a:solidFill>
                <a:schemeClr val="accent2"/>
              </a:solidFill>
              <a:round/>
            </a:ln>
            <a:effectLst/>
          </c:spPr>
          <c:marker>
            <c:symbol val="none"/>
          </c:marker>
          <c:cat>
            <c:numRef>
              <c:f>'OSeMOSYS (Input)'!$A$84:$A$130</c:f>
              <c:numCache>
                <c:formatCode>General</c:formatCode>
                <c:ptCount val="47"/>
                <c:pt idx="0">
                  <c:v>2024</c:v>
                </c:pt>
                <c:pt idx="1">
                  <c:v>2025</c:v>
                </c:pt>
                <c:pt idx="2">
                  <c:v>2026</c:v>
                </c:pt>
                <c:pt idx="3">
                  <c:v>2027</c:v>
                </c:pt>
                <c:pt idx="4">
                  <c:v>2028</c:v>
                </c:pt>
                <c:pt idx="5">
                  <c:v>2029</c:v>
                </c:pt>
                <c:pt idx="6">
                  <c:v>2030</c:v>
                </c:pt>
                <c:pt idx="7">
                  <c:v>2031</c:v>
                </c:pt>
                <c:pt idx="8">
                  <c:v>2032</c:v>
                </c:pt>
                <c:pt idx="9">
                  <c:v>2033</c:v>
                </c:pt>
                <c:pt idx="10">
                  <c:v>2034</c:v>
                </c:pt>
                <c:pt idx="11">
                  <c:v>2035</c:v>
                </c:pt>
                <c:pt idx="12">
                  <c:v>2036</c:v>
                </c:pt>
                <c:pt idx="13">
                  <c:v>2037</c:v>
                </c:pt>
                <c:pt idx="14">
                  <c:v>2038</c:v>
                </c:pt>
                <c:pt idx="15">
                  <c:v>2039</c:v>
                </c:pt>
                <c:pt idx="16">
                  <c:v>2040</c:v>
                </c:pt>
                <c:pt idx="17">
                  <c:v>2041</c:v>
                </c:pt>
                <c:pt idx="18">
                  <c:v>2042</c:v>
                </c:pt>
                <c:pt idx="19">
                  <c:v>2043</c:v>
                </c:pt>
                <c:pt idx="20">
                  <c:v>2044</c:v>
                </c:pt>
                <c:pt idx="21">
                  <c:v>2045</c:v>
                </c:pt>
                <c:pt idx="22">
                  <c:v>2046</c:v>
                </c:pt>
                <c:pt idx="23">
                  <c:v>2047</c:v>
                </c:pt>
                <c:pt idx="24">
                  <c:v>2048</c:v>
                </c:pt>
                <c:pt idx="25">
                  <c:v>2049</c:v>
                </c:pt>
                <c:pt idx="26">
                  <c:v>2050</c:v>
                </c:pt>
                <c:pt idx="27">
                  <c:v>2051</c:v>
                </c:pt>
                <c:pt idx="28">
                  <c:v>2052</c:v>
                </c:pt>
                <c:pt idx="29">
                  <c:v>2053</c:v>
                </c:pt>
                <c:pt idx="30">
                  <c:v>2054</c:v>
                </c:pt>
                <c:pt idx="31">
                  <c:v>2055</c:v>
                </c:pt>
                <c:pt idx="32">
                  <c:v>2056</c:v>
                </c:pt>
                <c:pt idx="33">
                  <c:v>2057</c:v>
                </c:pt>
                <c:pt idx="34">
                  <c:v>2058</c:v>
                </c:pt>
                <c:pt idx="35">
                  <c:v>2059</c:v>
                </c:pt>
                <c:pt idx="36">
                  <c:v>2060</c:v>
                </c:pt>
                <c:pt idx="37">
                  <c:v>2061</c:v>
                </c:pt>
                <c:pt idx="38">
                  <c:v>2062</c:v>
                </c:pt>
                <c:pt idx="39">
                  <c:v>2063</c:v>
                </c:pt>
                <c:pt idx="40">
                  <c:v>2064</c:v>
                </c:pt>
                <c:pt idx="41">
                  <c:v>2065</c:v>
                </c:pt>
                <c:pt idx="42">
                  <c:v>2066</c:v>
                </c:pt>
                <c:pt idx="43">
                  <c:v>2067</c:v>
                </c:pt>
                <c:pt idx="44">
                  <c:v>2068</c:v>
                </c:pt>
                <c:pt idx="45">
                  <c:v>2069</c:v>
                </c:pt>
                <c:pt idx="46">
                  <c:v>2070</c:v>
                </c:pt>
              </c:numCache>
            </c:numRef>
          </c:cat>
          <c:val>
            <c:numRef>
              <c:f>'OSeMOSYS (Input)'!#REF!</c:f>
              <c:numCache>
                <c:formatCode>General</c:formatCode>
                <c:ptCount val="1"/>
                <c:pt idx="0">
                  <c:v>1</c:v>
                </c:pt>
              </c:numCache>
            </c:numRef>
          </c:val>
          <c:smooth val="0"/>
          <c:extLst>
            <c:ext xmlns:c16="http://schemas.microsoft.com/office/drawing/2014/chart" uri="{C3380CC4-5D6E-409C-BE32-E72D297353CC}">
              <c16:uniqueId val="{00000001-D9C2-4B4C-BDA0-BF187EF3C9AE}"/>
            </c:ext>
          </c:extLst>
        </c:ser>
        <c:ser>
          <c:idx val="2"/>
          <c:order val="2"/>
          <c:tx>
            <c:v>Emissions Savings</c:v>
          </c:tx>
          <c:spPr>
            <a:ln w="31750" cap="sq">
              <a:solidFill>
                <a:schemeClr val="accent3"/>
              </a:solidFill>
              <a:prstDash val="sysDash"/>
              <a:bevel/>
            </a:ln>
            <a:effectLst/>
          </c:spPr>
          <c:marker>
            <c:symbol val="none"/>
          </c:marker>
          <c:cat>
            <c:numRef>
              <c:f>'OSeMOSYS (Input)'!$A$84:$A$130</c:f>
              <c:numCache>
                <c:formatCode>General</c:formatCode>
                <c:ptCount val="47"/>
                <c:pt idx="0">
                  <c:v>2024</c:v>
                </c:pt>
                <c:pt idx="1">
                  <c:v>2025</c:v>
                </c:pt>
                <c:pt idx="2">
                  <c:v>2026</c:v>
                </c:pt>
                <c:pt idx="3">
                  <c:v>2027</c:v>
                </c:pt>
                <c:pt idx="4">
                  <c:v>2028</c:v>
                </c:pt>
                <c:pt idx="5">
                  <c:v>2029</c:v>
                </c:pt>
                <c:pt idx="6">
                  <c:v>2030</c:v>
                </c:pt>
                <c:pt idx="7">
                  <c:v>2031</c:v>
                </c:pt>
                <c:pt idx="8">
                  <c:v>2032</c:v>
                </c:pt>
                <c:pt idx="9">
                  <c:v>2033</c:v>
                </c:pt>
                <c:pt idx="10">
                  <c:v>2034</c:v>
                </c:pt>
                <c:pt idx="11">
                  <c:v>2035</c:v>
                </c:pt>
                <c:pt idx="12">
                  <c:v>2036</c:v>
                </c:pt>
                <c:pt idx="13">
                  <c:v>2037</c:v>
                </c:pt>
                <c:pt idx="14">
                  <c:v>2038</c:v>
                </c:pt>
                <c:pt idx="15">
                  <c:v>2039</c:v>
                </c:pt>
                <c:pt idx="16">
                  <c:v>2040</c:v>
                </c:pt>
                <c:pt idx="17">
                  <c:v>2041</c:v>
                </c:pt>
                <c:pt idx="18">
                  <c:v>2042</c:v>
                </c:pt>
                <c:pt idx="19">
                  <c:v>2043</c:v>
                </c:pt>
                <c:pt idx="20">
                  <c:v>2044</c:v>
                </c:pt>
                <c:pt idx="21">
                  <c:v>2045</c:v>
                </c:pt>
                <c:pt idx="22">
                  <c:v>2046</c:v>
                </c:pt>
                <c:pt idx="23">
                  <c:v>2047</c:v>
                </c:pt>
                <c:pt idx="24">
                  <c:v>2048</c:v>
                </c:pt>
                <c:pt idx="25">
                  <c:v>2049</c:v>
                </c:pt>
                <c:pt idx="26">
                  <c:v>2050</c:v>
                </c:pt>
                <c:pt idx="27">
                  <c:v>2051</c:v>
                </c:pt>
                <c:pt idx="28">
                  <c:v>2052</c:v>
                </c:pt>
                <c:pt idx="29">
                  <c:v>2053</c:v>
                </c:pt>
                <c:pt idx="30">
                  <c:v>2054</c:v>
                </c:pt>
                <c:pt idx="31">
                  <c:v>2055</c:v>
                </c:pt>
                <c:pt idx="32">
                  <c:v>2056</c:v>
                </c:pt>
                <c:pt idx="33">
                  <c:v>2057</c:v>
                </c:pt>
                <c:pt idx="34">
                  <c:v>2058</c:v>
                </c:pt>
                <c:pt idx="35">
                  <c:v>2059</c:v>
                </c:pt>
                <c:pt idx="36">
                  <c:v>2060</c:v>
                </c:pt>
                <c:pt idx="37">
                  <c:v>2061</c:v>
                </c:pt>
                <c:pt idx="38">
                  <c:v>2062</c:v>
                </c:pt>
                <c:pt idx="39">
                  <c:v>2063</c:v>
                </c:pt>
                <c:pt idx="40">
                  <c:v>2064</c:v>
                </c:pt>
                <c:pt idx="41">
                  <c:v>2065</c:v>
                </c:pt>
                <c:pt idx="42">
                  <c:v>2066</c:v>
                </c:pt>
                <c:pt idx="43">
                  <c:v>2067</c:v>
                </c:pt>
                <c:pt idx="44">
                  <c:v>2068</c:v>
                </c:pt>
                <c:pt idx="45">
                  <c:v>2069</c:v>
                </c:pt>
                <c:pt idx="46">
                  <c:v>2070</c:v>
                </c:pt>
              </c:numCache>
            </c:numRef>
          </c:cat>
          <c:val>
            <c:numRef>
              <c:f>'Investment Needs'!$C$194:$AV$194</c:f>
              <c:numCache>
                <c:formatCode>0.00</c:formatCode>
                <c:ptCount val="46"/>
                <c:pt idx="0">
                  <c:v>0</c:v>
                </c:pt>
                <c:pt idx="1">
                  <c:v>0</c:v>
                </c:pt>
                <c:pt idx="2">
                  <c:v>-4.5999999999999985E-2</c:v>
                </c:pt>
                <c:pt idx="3">
                  <c:v>-4.5000000000000012E-2</c:v>
                </c:pt>
                <c:pt idx="4">
                  <c:v>-3.5799999999999998E-2</c:v>
                </c:pt>
                <c:pt idx="5">
                  <c:v>2.6100000000000012E-2</c:v>
                </c:pt>
                <c:pt idx="6">
                  <c:v>1.6500000000000015E-2</c:v>
                </c:pt>
                <c:pt idx="7">
                  <c:v>2.0299999999999985E-2</c:v>
                </c:pt>
                <c:pt idx="8">
                  <c:v>0.15039999999999998</c:v>
                </c:pt>
                <c:pt idx="9">
                  <c:v>2.9799999999999993E-2</c:v>
                </c:pt>
                <c:pt idx="10">
                  <c:v>4.3300000000000005E-2</c:v>
                </c:pt>
                <c:pt idx="11">
                  <c:v>2.3299999999999987E-2</c:v>
                </c:pt>
                <c:pt idx="12">
                  <c:v>7.1000000000000008E-2</c:v>
                </c:pt>
                <c:pt idx="13">
                  <c:v>9.369999999999995E-2</c:v>
                </c:pt>
                <c:pt idx="14">
                  <c:v>0.10639999999999999</c:v>
                </c:pt>
                <c:pt idx="15">
                  <c:v>9.1799999999999993E-2</c:v>
                </c:pt>
                <c:pt idx="16">
                  <c:v>9.8799999999999999E-2</c:v>
                </c:pt>
                <c:pt idx="17">
                  <c:v>0.11179999999999995</c:v>
                </c:pt>
                <c:pt idx="18">
                  <c:v>0.10639999999999999</c:v>
                </c:pt>
                <c:pt idx="19">
                  <c:v>0.10620000000000002</c:v>
                </c:pt>
                <c:pt idx="20">
                  <c:v>0.11049999999999999</c:v>
                </c:pt>
                <c:pt idx="21">
                  <c:v>0.10770000000000002</c:v>
                </c:pt>
                <c:pt idx="22">
                  <c:v>9.8899999999999988E-2</c:v>
                </c:pt>
                <c:pt idx="23">
                  <c:v>0.28599999999999998</c:v>
                </c:pt>
                <c:pt idx="24">
                  <c:v>0.36310000000000003</c:v>
                </c:pt>
                <c:pt idx="25">
                  <c:v>0.68120000000000003</c:v>
                </c:pt>
                <c:pt idx="26">
                  <c:v>0.67900000000000005</c:v>
                </c:pt>
                <c:pt idx="27">
                  <c:v>0.70599999999999996</c:v>
                </c:pt>
                <c:pt idx="28">
                  <c:v>0.74329999999999996</c:v>
                </c:pt>
                <c:pt idx="29">
                  <c:v>0.78590000000000004</c:v>
                </c:pt>
                <c:pt idx="30">
                  <c:v>0.82899999999999996</c:v>
                </c:pt>
                <c:pt idx="31">
                  <c:v>0.89749999999999996</c:v>
                </c:pt>
                <c:pt idx="32">
                  <c:v>0.97199999999999998</c:v>
                </c:pt>
                <c:pt idx="33">
                  <c:v>1.0492999999999999</c:v>
                </c:pt>
                <c:pt idx="34">
                  <c:v>1.1368</c:v>
                </c:pt>
                <c:pt idx="35">
                  <c:v>1.2198</c:v>
                </c:pt>
                <c:pt idx="36">
                  <c:v>1.2932999999999999</c:v>
                </c:pt>
                <c:pt idx="37">
                  <c:v>1.3791</c:v>
                </c:pt>
                <c:pt idx="38">
                  <c:v>1.4714</c:v>
                </c:pt>
                <c:pt idx="39">
                  <c:v>1.5426</c:v>
                </c:pt>
                <c:pt idx="40">
                  <c:v>1.5763</c:v>
                </c:pt>
                <c:pt idx="41">
                  <c:v>1.617</c:v>
                </c:pt>
                <c:pt idx="42">
                  <c:v>1.6862999999999999</c:v>
                </c:pt>
                <c:pt idx="43">
                  <c:v>1.7415</c:v>
                </c:pt>
                <c:pt idx="44">
                  <c:v>1.8198000000000001</c:v>
                </c:pt>
                <c:pt idx="45">
                  <c:v>1.8980999999999999</c:v>
                </c:pt>
              </c:numCache>
            </c:numRef>
          </c:val>
          <c:smooth val="0"/>
          <c:extLst>
            <c:ext xmlns:c16="http://schemas.microsoft.com/office/drawing/2014/chart" uri="{C3380CC4-5D6E-409C-BE32-E72D297353CC}">
              <c16:uniqueId val="{00000002-D9C2-4B4C-BDA0-BF187EF3C9AE}"/>
            </c:ext>
          </c:extLst>
        </c:ser>
        <c:dLbls>
          <c:showLegendKey val="0"/>
          <c:showVal val="0"/>
          <c:showCatName val="0"/>
          <c:showSerName val="0"/>
          <c:showPercent val="0"/>
          <c:showBubbleSize val="0"/>
        </c:dLbls>
        <c:smooth val="0"/>
        <c:axId val="808265664"/>
        <c:axId val="808014192"/>
      </c:lineChart>
      <c:catAx>
        <c:axId val="8082656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ja-JP" sz="1600" b="0" i="0" u="none" strike="noStrike" kern="1200" baseline="0">
                <a:solidFill>
                  <a:schemeClr val="tx1"/>
                </a:solidFill>
                <a:latin typeface="+mn-lt"/>
                <a:ea typeface="+mn-ea"/>
                <a:cs typeface="+mn-cs"/>
              </a:defRPr>
            </a:pPr>
            <a:endParaRPr lang="en-US"/>
          </a:p>
        </c:txPr>
        <c:crossAx val="808014192"/>
        <c:crosses val="autoZero"/>
        <c:auto val="1"/>
        <c:lblAlgn val="ctr"/>
        <c:lblOffset val="100"/>
        <c:tickLblSkip val="5"/>
        <c:noMultiLvlLbl val="0"/>
      </c:catAx>
      <c:valAx>
        <c:axId val="80801419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lang="ja-JP" sz="1600" b="0" i="0" u="none" strike="noStrike" kern="1200" baseline="0">
                    <a:solidFill>
                      <a:schemeClr val="tx1"/>
                    </a:solidFill>
                    <a:latin typeface="+mn-lt"/>
                    <a:ea typeface="+mn-ea"/>
                    <a:cs typeface="+mn-cs"/>
                  </a:defRPr>
                </a:pPr>
                <a:r>
                  <a:rPr lang="en-GB"/>
                  <a:t>Mt CO2</a:t>
                </a:r>
              </a:p>
            </c:rich>
          </c:tx>
          <c:overlay val="0"/>
          <c:spPr>
            <a:noFill/>
            <a:ln>
              <a:noFill/>
            </a:ln>
            <a:effectLst/>
          </c:spPr>
          <c:txPr>
            <a:bodyPr rot="-5400000" spcFirstLastPara="1" vertOverflow="ellipsis" vert="horz" wrap="square" anchor="ctr" anchorCtr="1"/>
            <a:lstStyle/>
            <a:p>
              <a:pPr>
                <a:defRPr lang="ja-JP" sz="1600" b="0" i="0" u="none" strike="noStrike" kern="1200" baseline="0">
                  <a:solidFill>
                    <a:schemeClr val="tx1"/>
                  </a:solidFill>
                  <a:latin typeface="+mn-lt"/>
                  <a:ea typeface="+mn-ea"/>
                  <a:cs typeface="+mn-cs"/>
                </a:defRPr>
              </a:pPr>
              <a:endParaRPr lang="en-US"/>
            </a:p>
          </c:txPr>
        </c:title>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lang="ja-JP" sz="1600" b="0" i="0" u="none" strike="noStrike" kern="1200" baseline="0">
                <a:solidFill>
                  <a:schemeClr val="tx1"/>
                </a:solidFill>
                <a:latin typeface="+mn-lt"/>
                <a:ea typeface="+mn-ea"/>
                <a:cs typeface="+mn-cs"/>
              </a:defRPr>
            </a:pPr>
            <a:endParaRPr lang="en-US"/>
          </a:p>
        </c:txPr>
        <c:crossAx val="80826566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lang="ja-JP" sz="1600" b="0"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sz="1600">
          <a:solidFill>
            <a:schemeClr val="tx1"/>
          </a:solidFill>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ja-JP" sz="1920" b="0" i="0" u="none" strike="noStrike" kern="1200" spc="0" baseline="0">
                <a:solidFill>
                  <a:schemeClr val="tx1"/>
                </a:solidFill>
                <a:latin typeface="+mn-lt"/>
                <a:ea typeface="+mn-ea"/>
                <a:cs typeface="+mn-cs"/>
              </a:defRPr>
            </a:pPr>
            <a:r>
              <a:rPr lang="en-GB"/>
              <a:t>Projected Funding Shortfall in Absolute Terms</a:t>
            </a:r>
          </a:p>
        </c:rich>
      </c:tx>
      <c:overlay val="0"/>
      <c:spPr>
        <a:noFill/>
        <a:ln>
          <a:noFill/>
        </a:ln>
        <a:effectLst/>
      </c:spPr>
      <c:txPr>
        <a:bodyPr rot="0" spcFirstLastPara="1" vertOverflow="ellipsis" vert="horz" wrap="square" anchor="ctr" anchorCtr="1"/>
        <a:lstStyle/>
        <a:p>
          <a:pPr>
            <a:defRPr lang="ja-JP" sz="1920" b="0" i="0" u="none" strike="noStrike" kern="1200" spc="0" baseline="0">
              <a:solidFill>
                <a:schemeClr val="tx1"/>
              </a:solidFill>
              <a:latin typeface="+mn-lt"/>
              <a:ea typeface="+mn-ea"/>
              <a:cs typeface="+mn-cs"/>
            </a:defRPr>
          </a:pPr>
          <a:endParaRPr lang="en-US"/>
        </a:p>
      </c:txPr>
    </c:title>
    <c:autoTitleDeleted val="0"/>
    <c:plotArea>
      <c:layout>
        <c:manualLayout>
          <c:layoutTarget val="inner"/>
          <c:xMode val="edge"/>
          <c:yMode val="edge"/>
          <c:x val="0.15988277859689851"/>
          <c:y val="0.13125988379155498"/>
          <c:w val="0.80064022126716228"/>
          <c:h val="0.68203100129729488"/>
        </c:manualLayout>
      </c:layout>
      <c:barChart>
        <c:barDir val="col"/>
        <c:grouping val="stacked"/>
        <c:varyColors val="0"/>
        <c:ser>
          <c:idx val="0"/>
          <c:order val="0"/>
          <c:tx>
            <c:v>Funding Shortfall</c:v>
          </c:tx>
          <c:spPr>
            <a:solidFill>
              <a:srgbClr val="69F297"/>
            </a:solidFill>
            <a:ln>
              <a:solidFill>
                <a:schemeClr val="tx1"/>
              </a:solidFill>
            </a:ln>
            <a:effectLst/>
          </c:spPr>
          <c:invertIfNegative val="0"/>
          <c:cat>
            <c:numRef>
              <c:f>'High Level Dashboard'!$B$64:$AU$64</c:f>
              <c:numCache>
                <c:formatCode>General</c:formatCode>
                <c:ptCount val="46"/>
                <c:pt idx="0">
                  <c:v>2025</c:v>
                </c:pt>
                <c:pt idx="1">
                  <c:v>2026</c:v>
                </c:pt>
                <c:pt idx="2">
                  <c:v>2027</c:v>
                </c:pt>
                <c:pt idx="3">
                  <c:v>2028</c:v>
                </c:pt>
                <c:pt idx="4">
                  <c:v>2029</c:v>
                </c:pt>
                <c:pt idx="5">
                  <c:v>2030</c:v>
                </c:pt>
                <c:pt idx="6">
                  <c:v>2031</c:v>
                </c:pt>
                <c:pt idx="7">
                  <c:v>2032</c:v>
                </c:pt>
                <c:pt idx="8">
                  <c:v>2033</c:v>
                </c:pt>
                <c:pt idx="9">
                  <c:v>2034</c:v>
                </c:pt>
                <c:pt idx="10">
                  <c:v>2035</c:v>
                </c:pt>
                <c:pt idx="11">
                  <c:v>2036</c:v>
                </c:pt>
                <c:pt idx="12">
                  <c:v>2037</c:v>
                </c:pt>
                <c:pt idx="13">
                  <c:v>2038</c:v>
                </c:pt>
                <c:pt idx="14">
                  <c:v>2039</c:v>
                </c:pt>
                <c:pt idx="15">
                  <c:v>2040</c:v>
                </c:pt>
                <c:pt idx="16">
                  <c:v>2041</c:v>
                </c:pt>
                <c:pt idx="17">
                  <c:v>2042</c:v>
                </c:pt>
                <c:pt idx="18">
                  <c:v>2043</c:v>
                </c:pt>
                <c:pt idx="19">
                  <c:v>2044</c:v>
                </c:pt>
                <c:pt idx="20">
                  <c:v>2045</c:v>
                </c:pt>
                <c:pt idx="21">
                  <c:v>2046</c:v>
                </c:pt>
                <c:pt idx="22">
                  <c:v>2047</c:v>
                </c:pt>
                <c:pt idx="23">
                  <c:v>2048</c:v>
                </c:pt>
                <c:pt idx="24">
                  <c:v>2049</c:v>
                </c:pt>
                <c:pt idx="25">
                  <c:v>2050</c:v>
                </c:pt>
                <c:pt idx="26">
                  <c:v>2051</c:v>
                </c:pt>
                <c:pt idx="27">
                  <c:v>2052</c:v>
                </c:pt>
                <c:pt idx="28">
                  <c:v>2053</c:v>
                </c:pt>
                <c:pt idx="29">
                  <c:v>2054</c:v>
                </c:pt>
                <c:pt idx="30">
                  <c:v>2055</c:v>
                </c:pt>
                <c:pt idx="31">
                  <c:v>2056</c:v>
                </c:pt>
                <c:pt idx="32">
                  <c:v>2057</c:v>
                </c:pt>
                <c:pt idx="33">
                  <c:v>2058</c:v>
                </c:pt>
                <c:pt idx="34">
                  <c:v>2059</c:v>
                </c:pt>
                <c:pt idx="35">
                  <c:v>2060</c:v>
                </c:pt>
                <c:pt idx="36">
                  <c:v>2061</c:v>
                </c:pt>
                <c:pt idx="37">
                  <c:v>2062</c:v>
                </c:pt>
                <c:pt idx="38">
                  <c:v>2063</c:v>
                </c:pt>
                <c:pt idx="39">
                  <c:v>2064</c:v>
                </c:pt>
                <c:pt idx="40">
                  <c:v>2065</c:v>
                </c:pt>
                <c:pt idx="41">
                  <c:v>2066</c:v>
                </c:pt>
                <c:pt idx="42">
                  <c:v>2067</c:v>
                </c:pt>
                <c:pt idx="43">
                  <c:v>2068</c:v>
                </c:pt>
                <c:pt idx="44">
                  <c:v>2069</c:v>
                </c:pt>
                <c:pt idx="45">
                  <c:v>2070</c:v>
                </c:pt>
              </c:numCache>
            </c:numRef>
          </c:cat>
          <c:val>
            <c:numRef>
              <c:f>'High Level Dashboard'!$B$68:$AU$68</c:f>
              <c:numCache>
                <c:formatCode>[$$-409]#,##0.00</c:formatCode>
                <c:ptCount val="46"/>
                <c:pt idx="0">
                  <c:v>439.64246033174834</c:v>
                </c:pt>
                <c:pt idx="1">
                  <c:v>512.69425562853939</c:v>
                </c:pt>
                <c:pt idx="2">
                  <c:v>509.67149346676365</c:v>
                </c:pt>
                <c:pt idx="3">
                  <c:v>577.62027117783043</c:v>
                </c:pt>
                <c:pt idx="4">
                  <c:v>609.80562322353353</c:v>
                </c:pt>
                <c:pt idx="5">
                  <c:v>707.07476632549492</c:v>
                </c:pt>
                <c:pt idx="6">
                  <c:v>876.36423681765859</c:v>
                </c:pt>
                <c:pt idx="7">
                  <c:v>706.08364463826229</c:v>
                </c:pt>
                <c:pt idx="8">
                  <c:v>746.5942807674902</c:v>
                </c:pt>
                <c:pt idx="9">
                  <c:v>868.05329706289604</c:v>
                </c:pt>
                <c:pt idx="10">
                  <c:v>820.19656462464548</c:v>
                </c:pt>
                <c:pt idx="11">
                  <c:v>881.4065375375053</c:v>
                </c:pt>
                <c:pt idx="12">
                  <c:v>872.12237694912983</c:v>
                </c:pt>
                <c:pt idx="13">
                  <c:v>842.64862600902779</c:v>
                </c:pt>
                <c:pt idx="14">
                  <c:v>834.56644436000909</c:v>
                </c:pt>
                <c:pt idx="15">
                  <c:v>841.92445255841255</c:v>
                </c:pt>
                <c:pt idx="16">
                  <c:v>1029.185986106638</c:v>
                </c:pt>
                <c:pt idx="17">
                  <c:v>1119.9787471848749</c:v>
                </c:pt>
                <c:pt idx="18">
                  <c:v>1116.2067432619951</c:v>
                </c:pt>
                <c:pt idx="19">
                  <c:v>1121.3379676409297</c:v>
                </c:pt>
                <c:pt idx="20">
                  <c:v>1203.5672912972673</c:v>
                </c:pt>
                <c:pt idx="21">
                  <c:v>1318.8035857121283</c:v>
                </c:pt>
                <c:pt idx="22">
                  <c:v>1451.5313397664254</c:v>
                </c:pt>
                <c:pt idx="23">
                  <c:v>1683.9658693783958</c:v>
                </c:pt>
                <c:pt idx="24">
                  <c:v>1676.9722141594675</c:v>
                </c:pt>
                <c:pt idx="25">
                  <c:v>1778.2929116341661</c:v>
                </c:pt>
                <c:pt idx="26">
                  <c:v>2183.4783079887266</c:v>
                </c:pt>
                <c:pt idx="27">
                  <c:v>1817.2143772354993</c:v>
                </c:pt>
                <c:pt idx="28">
                  <c:v>1703.5662116926733</c:v>
                </c:pt>
                <c:pt idx="29">
                  <c:v>1809.7148234742381</c:v>
                </c:pt>
                <c:pt idx="30">
                  <c:v>1937.5016695436368</c:v>
                </c:pt>
                <c:pt idx="31">
                  <c:v>2160.8342818090377</c:v>
                </c:pt>
                <c:pt idx="32">
                  <c:v>2019.8149786296908</c:v>
                </c:pt>
                <c:pt idx="33">
                  <c:v>2195.3994297644808</c:v>
                </c:pt>
                <c:pt idx="34">
                  <c:v>2231.3497441231484</c:v>
                </c:pt>
                <c:pt idx="35">
                  <c:v>2226.9460573529432</c:v>
                </c:pt>
                <c:pt idx="36">
                  <c:v>2280.9850067537827</c:v>
                </c:pt>
                <c:pt idx="37">
                  <c:v>2274.670571032214</c:v>
                </c:pt>
                <c:pt idx="38">
                  <c:v>2215.4283501932568</c:v>
                </c:pt>
                <c:pt idx="39">
                  <c:v>2229.73232085159</c:v>
                </c:pt>
                <c:pt idx="40">
                  <c:v>2155.2527215130567</c:v>
                </c:pt>
                <c:pt idx="41">
                  <c:v>2322.0260615760112</c:v>
                </c:pt>
                <c:pt idx="42">
                  <c:v>2287.1307428194664</c:v>
                </c:pt>
                <c:pt idx="43">
                  <c:v>2192.6805632203177</c:v>
                </c:pt>
                <c:pt idx="44">
                  <c:v>2159.3455620432123</c:v>
                </c:pt>
                <c:pt idx="45">
                  <c:v>2129.8774854742169</c:v>
                </c:pt>
              </c:numCache>
            </c:numRef>
          </c:val>
          <c:extLst>
            <c:ext xmlns:c16="http://schemas.microsoft.com/office/drawing/2014/chart" uri="{C3380CC4-5D6E-409C-BE32-E72D297353CC}">
              <c16:uniqueId val="{00000000-B54C-AD40-B6B4-89492CCE2358}"/>
            </c:ext>
          </c:extLst>
        </c:ser>
        <c:dLbls>
          <c:showLegendKey val="0"/>
          <c:showVal val="0"/>
          <c:showCatName val="0"/>
          <c:showSerName val="0"/>
          <c:showPercent val="0"/>
          <c:showBubbleSize val="0"/>
        </c:dLbls>
        <c:gapWidth val="55"/>
        <c:overlap val="100"/>
        <c:axId val="1869547088"/>
        <c:axId val="1664830160"/>
      </c:barChart>
      <c:catAx>
        <c:axId val="1869547088"/>
        <c:scaling>
          <c:orientation val="minMax"/>
        </c:scaling>
        <c:delete val="0"/>
        <c:axPos val="b"/>
        <c:title>
          <c:tx>
            <c:rich>
              <a:bodyPr rot="0" spcFirstLastPara="1" vertOverflow="ellipsis" vert="horz" wrap="square" anchor="ctr" anchorCtr="1"/>
              <a:lstStyle/>
              <a:p>
                <a:pPr>
                  <a:defRPr lang="ja-JP" sz="1600" b="0" i="0" u="none" strike="noStrike" kern="1200" baseline="0">
                    <a:solidFill>
                      <a:schemeClr val="tx1"/>
                    </a:solidFill>
                    <a:latin typeface="+mn-lt"/>
                    <a:ea typeface="+mn-ea"/>
                    <a:cs typeface="+mn-cs"/>
                  </a:defRPr>
                </a:pPr>
                <a:r>
                  <a:rPr lang="en-GB"/>
                  <a:t>Year</a:t>
                </a:r>
              </a:p>
            </c:rich>
          </c:tx>
          <c:overlay val="0"/>
          <c:spPr>
            <a:noFill/>
            <a:ln>
              <a:noFill/>
            </a:ln>
            <a:effectLst/>
          </c:spPr>
          <c:txPr>
            <a:bodyPr rot="0" spcFirstLastPara="1" vertOverflow="ellipsis" vert="horz" wrap="square" anchor="ctr" anchorCtr="1"/>
            <a:lstStyle/>
            <a:p>
              <a:pPr>
                <a:defRPr lang="ja-JP" sz="1600" b="0" i="0"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ja-JP" sz="1600" b="0" i="0" u="none" strike="noStrike" kern="1200" baseline="0">
                <a:solidFill>
                  <a:schemeClr val="tx1"/>
                </a:solidFill>
                <a:latin typeface="+mn-lt"/>
                <a:ea typeface="+mn-ea"/>
                <a:cs typeface="+mn-cs"/>
              </a:defRPr>
            </a:pPr>
            <a:endParaRPr lang="en-US"/>
          </a:p>
        </c:txPr>
        <c:crossAx val="1664830160"/>
        <c:crosses val="autoZero"/>
        <c:auto val="1"/>
        <c:lblAlgn val="ctr"/>
        <c:lblOffset val="100"/>
        <c:tickLblSkip val="5"/>
        <c:noMultiLvlLbl val="0"/>
      </c:catAx>
      <c:valAx>
        <c:axId val="166483016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lang="ja-JP" sz="1600" b="0" i="0" u="none" strike="noStrike" kern="1200" baseline="0">
                    <a:solidFill>
                      <a:schemeClr val="tx1"/>
                    </a:solidFill>
                    <a:latin typeface="+mn-lt"/>
                    <a:ea typeface="+mn-ea"/>
                    <a:cs typeface="+mn-cs"/>
                  </a:defRPr>
                </a:pPr>
                <a:r>
                  <a:rPr lang="en-GB"/>
                  <a:t>Million US$</a:t>
                </a:r>
              </a:p>
            </c:rich>
          </c:tx>
          <c:overlay val="0"/>
          <c:spPr>
            <a:noFill/>
            <a:ln>
              <a:noFill/>
            </a:ln>
            <a:effectLst/>
          </c:spPr>
          <c:txPr>
            <a:bodyPr rot="-5400000" spcFirstLastPara="1" vertOverflow="ellipsis" vert="horz" wrap="square" anchor="ctr" anchorCtr="1"/>
            <a:lstStyle/>
            <a:p>
              <a:pPr>
                <a:defRPr lang="ja-JP" sz="1600" b="0" i="0" u="none" strike="noStrike" kern="1200" baseline="0">
                  <a:solidFill>
                    <a:schemeClr val="tx1"/>
                  </a:solidFill>
                  <a:latin typeface="+mn-lt"/>
                  <a:ea typeface="+mn-ea"/>
                  <a:cs typeface="+mn-cs"/>
                </a:defRPr>
              </a:pPr>
              <a:endParaRPr lang="en-US"/>
            </a:p>
          </c:txPr>
        </c:title>
        <c:numFmt formatCode="[$$-409]#,##0" sourceLinked="0"/>
        <c:majorTickMark val="none"/>
        <c:minorTickMark val="none"/>
        <c:tickLblPos val="nextTo"/>
        <c:spPr>
          <a:noFill/>
          <a:ln>
            <a:noFill/>
          </a:ln>
          <a:effectLst/>
        </c:spPr>
        <c:txPr>
          <a:bodyPr rot="-60000000" spcFirstLastPara="1" vertOverflow="ellipsis" vert="horz" wrap="square" anchor="ctr" anchorCtr="1"/>
          <a:lstStyle/>
          <a:p>
            <a:pPr>
              <a:defRPr lang="ja-JP" sz="1600" b="0" i="0" u="none" strike="noStrike" kern="1200" baseline="0">
                <a:solidFill>
                  <a:schemeClr val="tx1"/>
                </a:solidFill>
                <a:latin typeface="+mn-lt"/>
                <a:ea typeface="+mn-ea"/>
                <a:cs typeface="+mn-cs"/>
              </a:defRPr>
            </a:pPr>
            <a:endParaRPr lang="en-US"/>
          </a:p>
        </c:txPr>
        <c:crossAx val="186954708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sz="1600">
          <a:solidFill>
            <a:schemeClr val="tx1"/>
          </a:solidFill>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920" b="0" i="0" u="none" strike="noStrike" kern="1200" spc="0" baseline="0">
                <a:solidFill>
                  <a:schemeClr val="tx1"/>
                </a:solidFill>
                <a:latin typeface="+mn-lt"/>
                <a:ea typeface="+mn-ea"/>
                <a:cs typeface="+mn-cs"/>
              </a:defRPr>
            </a:pPr>
            <a:r>
              <a:rPr lang="en-GB"/>
              <a:t>Total Undiscounted Scenario Cost 2025 to 2070</a:t>
            </a:r>
          </a:p>
        </c:rich>
      </c:tx>
      <c:overlay val="0"/>
      <c:spPr>
        <a:noFill/>
        <a:ln>
          <a:noFill/>
        </a:ln>
        <a:effectLst/>
      </c:spPr>
      <c:txPr>
        <a:bodyPr rot="0" spcFirstLastPara="1" vertOverflow="ellipsis" vert="horz" wrap="square" anchor="ctr" anchorCtr="1"/>
        <a:lstStyle/>
        <a:p>
          <a:pPr>
            <a:defRPr sz="1920" b="0" i="0" u="none" strike="noStrike" kern="1200" spc="0" baseline="0">
              <a:solidFill>
                <a:schemeClr val="tx1"/>
              </a:solidFill>
              <a:latin typeface="+mn-lt"/>
              <a:ea typeface="+mn-ea"/>
              <a:cs typeface="+mn-cs"/>
            </a:defRPr>
          </a:pPr>
          <a:endParaRPr lang="en-US"/>
        </a:p>
      </c:txPr>
    </c:title>
    <c:autoTitleDeleted val="0"/>
    <c:plotArea>
      <c:layout/>
      <c:barChart>
        <c:barDir val="col"/>
        <c:grouping val="stacked"/>
        <c:varyColors val="0"/>
        <c:ser>
          <c:idx val="0"/>
          <c:order val="0"/>
          <c:tx>
            <c:v>Capital Cost</c:v>
          </c:tx>
          <c:spPr>
            <a:solidFill>
              <a:srgbClr val="ABDDED"/>
            </a:solidFill>
            <a:ln>
              <a:solidFill>
                <a:schemeClr val="tx1"/>
              </a:solidFill>
            </a:ln>
            <a:effectLst/>
          </c:spPr>
          <c:invertIfNegative val="0"/>
          <c:cat>
            <c:strRef>
              <c:f>'OSeMOSYS (Input)'!$H$138:$I$138</c:f>
              <c:strCache>
                <c:ptCount val="2"/>
                <c:pt idx="0">
                  <c:v>NetZero</c:v>
                </c:pt>
                <c:pt idx="1">
                  <c:v>LeastCost</c:v>
                </c:pt>
              </c:strCache>
            </c:strRef>
          </c:cat>
          <c:val>
            <c:numRef>
              <c:f>'OSeMOSYS (Input)'!$B$185</c:f>
              <c:numCache>
                <c:formatCode>0.00</c:formatCode>
                <c:ptCount val="1"/>
                <c:pt idx="0">
                  <c:v>131149.56749999998</c:v>
                </c:pt>
              </c:numCache>
            </c:numRef>
          </c:val>
          <c:extLst>
            <c:ext xmlns:c16="http://schemas.microsoft.com/office/drawing/2014/chart" uri="{C3380CC4-5D6E-409C-BE32-E72D297353CC}">
              <c16:uniqueId val="{00000000-E24B-3C4A-90CC-2B98F3E2BFB1}"/>
            </c:ext>
          </c:extLst>
        </c:ser>
        <c:ser>
          <c:idx val="1"/>
          <c:order val="1"/>
          <c:tx>
            <c:v>O&amp;M Costs (Variable)</c:v>
          </c:tx>
          <c:spPr>
            <a:solidFill>
              <a:srgbClr val="F89916"/>
            </a:solidFill>
            <a:ln>
              <a:solidFill>
                <a:schemeClr val="tx1"/>
              </a:solidFill>
            </a:ln>
            <a:effectLst/>
          </c:spPr>
          <c:invertIfNegative val="0"/>
          <c:cat>
            <c:strRef>
              <c:f>'OSeMOSYS (Input)'!$H$138:$I$138</c:f>
              <c:strCache>
                <c:ptCount val="2"/>
                <c:pt idx="0">
                  <c:v>NetZero</c:v>
                </c:pt>
                <c:pt idx="1">
                  <c:v>LeastCost</c:v>
                </c:pt>
              </c:strCache>
            </c:strRef>
          </c:cat>
          <c:val>
            <c:numRef>
              <c:f>'OSeMOSYS (Input)'!$D$185</c:f>
              <c:numCache>
                <c:formatCode>0.00</c:formatCode>
                <c:ptCount val="1"/>
                <c:pt idx="0">
                  <c:v>5254.9279000000006</c:v>
                </c:pt>
              </c:numCache>
            </c:numRef>
          </c:val>
          <c:extLst>
            <c:ext xmlns:c16="http://schemas.microsoft.com/office/drawing/2014/chart" uri="{C3380CC4-5D6E-409C-BE32-E72D297353CC}">
              <c16:uniqueId val="{00000001-E24B-3C4A-90CC-2B98F3E2BFB1}"/>
            </c:ext>
          </c:extLst>
        </c:ser>
        <c:ser>
          <c:idx val="2"/>
          <c:order val="2"/>
          <c:tx>
            <c:v>O&amp;M Costs (Fixed)</c:v>
          </c:tx>
          <c:spPr>
            <a:solidFill>
              <a:srgbClr val="04AFA1"/>
            </a:solidFill>
            <a:ln>
              <a:solidFill>
                <a:schemeClr val="tx1"/>
              </a:solidFill>
            </a:ln>
            <a:effectLst/>
          </c:spPr>
          <c:invertIfNegative val="0"/>
          <c:cat>
            <c:strRef>
              <c:f>'OSeMOSYS (Input)'!$H$138:$I$138</c:f>
              <c:strCache>
                <c:ptCount val="2"/>
                <c:pt idx="0">
                  <c:v>NetZero</c:v>
                </c:pt>
                <c:pt idx="1">
                  <c:v>LeastCost</c:v>
                </c:pt>
              </c:strCache>
            </c:strRef>
          </c:cat>
          <c:val>
            <c:numRef>
              <c:f>'OSeMOSYS (Input)'!$F$185</c:f>
              <c:numCache>
                <c:formatCode>0.00</c:formatCode>
                <c:ptCount val="1"/>
                <c:pt idx="0">
                  <c:v>42852.253700000001</c:v>
                </c:pt>
              </c:numCache>
            </c:numRef>
          </c:val>
          <c:extLst>
            <c:ext xmlns:c16="http://schemas.microsoft.com/office/drawing/2014/chart" uri="{C3380CC4-5D6E-409C-BE32-E72D297353CC}">
              <c16:uniqueId val="{00000002-E24B-3C4A-90CC-2B98F3E2BFB1}"/>
            </c:ext>
          </c:extLst>
        </c:ser>
        <c:dLbls>
          <c:showLegendKey val="0"/>
          <c:showVal val="0"/>
          <c:showCatName val="0"/>
          <c:showSerName val="0"/>
          <c:showPercent val="0"/>
          <c:showBubbleSize val="0"/>
        </c:dLbls>
        <c:gapWidth val="150"/>
        <c:overlap val="100"/>
        <c:axId val="946277167"/>
        <c:axId val="2000049583"/>
      </c:barChart>
      <c:catAx>
        <c:axId val="946277167"/>
        <c:scaling>
          <c:orientation val="minMax"/>
        </c:scaling>
        <c:delete val="0"/>
        <c:axPos val="b"/>
        <c:numFmt formatCode="General" sourceLinked="0"/>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crossAx val="2000049583"/>
        <c:crosses val="autoZero"/>
        <c:auto val="1"/>
        <c:lblAlgn val="ctr"/>
        <c:lblOffset val="100"/>
        <c:noMultiLvlLbl val="0"/>
      </c:catAx>
      <c:valAx>
        <c:axId val="200004958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600" b="0" i="0" u="none" strike="noStrike" kern="1200" baseline="0">
                    <a:solidFill>
                      <a:schemeClr val="tx1"/>
                    </a:solidFill>
                    <a:latin typeface="+mn-lt"/>
                    <a:ea typeface="+mn-ea"/>
                    <a:cs typeface="+mn-cs"/>
                  </a:defRPr>
                </a:pPr>
                <a:r>
                  <a:rPr lang="en-GB"/>
                  <a:t>Million US$</a:t>
                </a:r>
              </a:p>
            </c:rich>
          </c:tx>
          <c:overlay val="0"/>
          <c:spPr>
            <a:noFill/>
            <a:ln>
              <a:noFill/>
            </a:ln>
            <a:effectLst/>
          </c:spPr>
          <c:txPr>
            <a:bodyPr rot="-540000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title>
        <c:numFmt formatCode="[$$-409]#,##0" sourceLinked="0"/>
        <c:majorTickMark val="none"/>
        <c:minorTickMark val="none"/>
        <c:tickLblPos val="nextTo"/>
        <c:spPr>
          <a:noFill/>
          <a:ln>
            <a:noFill/>
          </a:ln>
          <a:effectLst/>
        </c:spPr>
        <c:txPr>
          <a:bodyPr rot="-6000000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crossAx val="94627716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sz="1600">
          <a:solidFill>
            <a:schemeClr val="tx1"/>
          </a:solidFill>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920" b="0" i="0" u="none" strike="noStrike" kern="1200" spc="0" baseline="0">
                <a:solidFill>
                  <a:schemeClr val="tx1"/>
                </a:solidFill>
                <a:latin typeface="+mn-lt"/>
                <a:ea typeface="+mn-ea"/>
                <a:cs typeface="+mn-cs"/>
              </a:defRPr>
            </a:pPr>
            <a:r>
              <a:rPr lang="en-GB"/>
              <a:t>Additional Capital Cost of Net Zero</a:t>
            </a:r>
          </a:p>
        </c:rich>
      </c:tx>
      <c:overlay val="0"/>
      <c:spPr>
        <a:noFill/>
        <a:ln>
          <a:noFill/>
        </a:ln>
        <a:effectLst/>
      </c:spPr>
      <c:txPr>
        <a:bodyPr rot="0" spcFirstLastPara="1" vertOverflow="ellipsis" vert="horz" wrap="square" anchor="ctr" anchorCtr="1"/>
        <a:lstStyle/>
        <a:p>
          <a:pPr>
            <a:defRPr sz="1920" b="0" i="0" u="none" strike="noStrike" kern="1200" spc="0" baseline="0">
              <a:solidFill>
                <a:schemeClr val="tx1"/>
              </a:solidFill>
              <a:latin typeface="+mn-lt"/>
              <a:ea typeface="+mn-ea"/>
              <a:cs typeface="+mn-cs"/>
            </a:defRPr>
          </a:pPr>
          <a:endParaRPr lang="en-US"/>
        </a:p>
      </c:txPr>
    </c:title>
    <c:autoTitleDeleted val="0"/>
    <c:plotArea>
      <c:layout>
        <c:manualLayout>
          <c:layoutTarget val="inner"/>
          <c:xMode val="edge"/>
          <c:yMode val="edge"/>
          <c:x val="0.13565895862388691"/>
          <c:y val="0.11937298619159707"/>
          <c:w val="0.83927118804161027"/>
          <c:h val="0.52484524428814372"/>
        </c:manualLayout>
      </c:layout>
      <c:barChart>
        <c:barDir val="col"/>
        <c:grouping val="stacked"/>
        <c:varyColors val="0"/>
        <c:ser>
          <c:idx val="0"/>
          <c:order val="0"/>
          <c:tx>
            <c:strRef>
              <c:f>'Investment Needs'!$A$14</c:f>
              <c:strCache>
                <c:ptCount val="1"/>
                <c:pt idx="0">
                  <c:v>Biomass</c:v>
                </c:pt>
              </c:strCache>
            </c:strRef>
          </c:tx>
          <c:spPr>
            <a:solidFill>
              <a:srgbClr val="69F297"/>
            </a:solidFill>
            <a:ln>
              <a:solidFill>
                <a:schemeClr val="tx1"/>
              </a:solidFill>
            </a:ln>
            <a:effectLst/>
          </c:spPr>
          <c:invertIfNegative val="0"/>
          <c:cat>
            <c:numRef>
              <c:f>'Investment Needs'!$C$4:$AV$4</c:f>
              <c:numCache>
                <c:formatCode>General</c:formatCode>
                <c:ptCount val="46"/>
                <c:pt idx="0">
                  <c:v>2025</c:v>
                </c:pt>
                <c:pt idx="1">
                  <c:v>2026</c:v>
                </c:pt>
                <c:pt idx="2">
                  <c:v>2027</c:v>
                </c:pt>
                <c:pt idx="3">
                  <c:v>2028</c:v>
                </c:pt>
                <c:pt idx="4">
                  <c:v>2029</c:v>
                </c:pt>
                <c:pt idx="5">
                  <c:v>2030</c:v>
                </c:pt>
                <c:pt idx="6">
                  <c:v>2031</c:v>
                </c:pt>
                <c:pt idx="7">
                  <c:v>2032</c:v>
                </c:pt>
                <c:pt idx="8">
                  <c:v>2033</c:v>
                </c:pt>
                <c:pt idx="9">
                  <c:v>2034</c:v>
                </c:pt>
                <c:pt idx="10">
                  <c:v>2035</c:v>
                </c:pt>
                <c:pt idx="11">
                  <c:v>2036</c:v>
                </c:pt>
                <c:pt idx="12">
                  <c:v>2037</c:v>
                </c:pt>
                <c:pt idx="13">
                  <c:v>2038</c:v>
                </c:pt>
                <c:pt idx="14">
                  <c:v>2039</c:v>
                </c:pt>
                <c:pt idx="15">
                  <c:v>2040</c:v>
                </c:pt>
                <c:pt idx="16">
                  <c:v>2041</c:v>
                </c:pt>
                <c:pt idx="17">
                  <c:v>2042</c:v>
                </c:pt>
                <c:pt idx="18">
                  <c:v>2043</c:v>
                </c:pt>
                <c:pt idx="19">
                  <c:v>2044</c:v>
                </c:pt>
                <c:pt idx="20">
                  <c:v>2045</c:v>
                </c:pt>
                <c:pt idx="21">
                  <c:v>2046</c:v>
                </c:pt>
                <c:pt idx="22">
                  <c:v>2047</c:v>
                </c:pt>
                <c:pt idx="23">
                  <c:v>2048</c:v>
                </c:pt>
                <c:pt idx="24">
                  <c:v>2049</c:v>
                </c:pt>
                <c:pt idx="25">
                  <c:v>2050</c:v>
                </c:pt>
                <c:pt idx="26">
                  <c:v>2051</c:v>
                </c:pt>
                <c:pt idx="27">
                  <c:v>2052</c:v>
                </c:pt>
                <c:pt idx="28">
                  <c:v>2053</c:v>
                </c:pt>
                <c:pt idx="29">
                  <c:v>2054</c:v>
                </c:pt>
                <c:pt idx="30">
                  <c:v>2055</c:v>
                </c:pt>
                <c:pt idx="31">
                  <c:v>2056</c:v>
                </c:pt>
                <c:pt idx="32">
                  <c:v>2057</c:v>
                </c:pt>
                <c:pt idx="33">
                  <c:v>2058</c:v>
                </c:pt>
                <c:pt idx="34">
                  <c:v>2059</c:v>
                </c:pt>
                <c:pt idx="35">
                  <c:v>2060</c:v>
                </c:pt>
                <c:pt idx="36">
                  <c:v>2061</c:v>
                </c:pt>
                <c:pt idx="37">
                  <c:v>2062</c:v>
                </c:pt>
                <c:pt idx="38">
                  <c:v>2063</c:v>
                </c:pt>
                <c:pt idx="39">
                  <c:v>2064</c:v>
                </c:pt>
                <c:pt idx="40">
                  <c:v>2065</c:v>
                </c:pt>
                <c:pt idx="41">
                  <c:v>2066</c:v>
                </c:pt>
                <c:pt idx="42">
                  <c:v>2067</c:v>
                </c:pt>
                <c:pt idx="43">
                  <c:v>2068</c:v>
                </c:pt>
                <c:pt idx="44">
                  <c:v>2069</c:v>
                </c:pt>
                <c:pt idx="45">
                  <c:v>2070</c:v>
                </c:pt>
              </c:numCache>
            </c:numRef>
          </c:cat>
          <c:val>
            <c:numRef>
              <c:f>'Investment Needs'!$B$14:$AV$14</c:f>
              <c:numCache>
                <c:formatCode>0.00</c:formatCode>
                <c:ptCount val="47"/>
                <c:pt idx="1">
                  <c:v>50</c:v>
                </c:pt>
                <c:pt idx="2">
                  <c:v>0</c:v>
                </c:pt>
                <c:pt idx="3">
                  <c:v>0</c:v>
                </c:pt>
                <c:pt idx="4">
                  <c:v>0</c:v>
                </c:pt>
                <c:pt idx="5">
                  <c:v>0</c:v>
                </c:pt>
                <c:pt idx="6">
                  <c:v>0</c:v>
                </c:pt>
                <c:pt idx="7">
                  <c:v>0</c:v>
                </c:pt>
                <c:pt idx="8">
                  <c:v>0</c:v>
                </c:pt>
                <c:pt idx="9">
                  <c:v>0</c:v>
                </c:pt>
                <c:pt idx="10">
                  <c:v>0</c:v>
                </c:pt>
                <c:pt idx="11">
                  <c:v>0</c:v>
                </c:pt>
                <c:pt idx="12">
                  <c:v>0</c:v>
                </c:pt>
                <c:pt idx="13">
                  <c:v>-44.5</c:v>
                </c:pt>
                <c:pt idx="14">
                  <c:v>-22.25</c:v>
                </c:pt>
                <c:pt idx="15">
                  <c:v>0</c:v>
                </c:pt>
                <c:pt idx="16">
                  <c:v>0</c:v>
                </c:pt>
                <c:pt idx="17">
                  <c:v>0</c:v>
                </c:pt>
                <c:pt idx="18">
                  <c:v>0</c:v>
                </c:pt>
                <c:pt idx="19">
                  <c:v>0</c:v>
                </c:pt>
                <c:pt idx="20">
                  <c:v>0</c:v>
                </c:pt>
                <c:pt idx="21">
                  <c:v>0</c:v>
                </c:pt>
                <c:pt idx="22">
                  <c:v>0</c:v>
                </c:pt>
                <c:pt idx="23">
                  <c:v>0</c:v>
                </c:pt>
                <c:pt idx="24">
                  <c:v>-176.5478</c:v>
                </c:pt>
                <c:pt idx="25">
                  <c:v>-73.202200000000005</c:v>
                </c:pt>
                <c:pt idx="26">
                  <c:v>-22.25</c:v>
                </c:pt>
                <c:pt idx="27">
                  <c:v>-22.25</c:v>
                </c:pt>
                <c:pt idx="28">
                  <c:v>-22.25</c:v>
                </c:pt>
                <c:pt idx="29">
                  <c:v>-25.75</c:v>
                </c:pt>
                <c:pt idx="30">
                  <c:v>-22.25</c:v>
                </c:pt>
                <c:pt idx="31">
                  <c:v>-22.25</c:v>
                </c:pt>
                <c:pt idx="32">
                  <c:v>-47.25</c:v>
                </c:pt>
                <c:pt idx="33">
                  <c:v>-22.25</c:v>
                </c:pt>
                <c:pt idx="34">
                  <c:v>-42.25</c:v>
                </c:pt>
                <c:pt idx="35">
                  <c:v>-22.25</c:v>
                </c:pt>
                <c:pt idx="36">
                  <c:v>-142.75</c:v>
                </c:pt>
                <c:pt idx="37">
                  <c:v>-72.25</c:v>
                </c:pt>
                <c:pt idx="38">
                  <c:v>-49.25</c:v>
                </c:pt>
                <c:pt idx="39">
                  <c:v>-29.75</c:v>
                </c:pt>
                <c:pt idx="40">
                  <c:v>-37.25</c:v>
                </c:pt>
                <c:pt idx="41">
                  <c:v>-23</c:v>
                </c:pt>
                <c:pt idx="42">
                  <c:v>-22.25</c:v>
                </c:pt>
                <c:pt idx="43">
                  <c:v>-66.75</c:v>
                </c:pt>
                <c:pt idx="44">
                  <c:v>-44.5</c:v>
                </c:pt>
                <c:pt idx="45">
                  <c:v>-22.25</c:v>
                </c:pt>
                <c:pt idx="46">
                  <c:v>-22.25</c:v>
                </c:pt>
              </c:numCache>
            </c:numRef>
          </c:val>
          <c:extLst>
            <c:ext xmlns:c16="http://schemas.microsoft.com/office/drawing/2014/chart" uri="{C3380CC4-5D6E-409C-BE32-E72D297353CC}">
              <c16:uniqueId val="{00000000-C14F-494E-A94B-EC00840A26C0}"/>
            </c:ext>
          </c:extLst>
        </c:ser>
        <c:ser>
          <c:idx val="1"/>
          <c:order val="1"/>
          <c:tx>
            <c:strRef>
              <c:f>'Investment Needs'!$A$15</c:f>
              <c:strCache>
                <c:ptCount val="1"/>
                <c:pt idx="0">
                  <c:v>Geothermal</c:v>
                </c:pt>
              </c:strCache>
            </c:strRef>
          </c:tx>
          <c:spPr>
            <a:solidFill>
              <a:srgbClr val="FFC001"/>
            </a:solidFill>
            <a:ln>
              <a:solidFill>
                <a:schemeClr val="tx1"/>
              </a:solidFill>
            </a:ln>
            <a:effectLst/>
          </c:spPr>
          <c:invertIfNegative val="0"/>
          <c:cat>
            <c:numRef>
              <c:f>'Investment Needs'!$C$4:$AV$4</c:f>
              <c:numCache>
                <c:formatCode>General</c:formatCode>
                <c:ptCount val="46"/>
                <c:pt idx="0">
                  <c:v>2025</c:v>
                </c:pt>
                <c:pt idx="1">
                  <c:v>2026</c:v>
                </c:pt>
                <c:pt idx="2">
                  <c:v>2027</c:v>
                </c:pt>
                <c:pt idx="3">
                  <c:v>2028</c:v>
                </c:pt>
                <c:pt idx="4">
                  <c:v>2029</c:v>
                </c:pt>
                <c:pt idx="5">
                  <c:v>2030</c:v>
                </c:pt>
                <c:pt idx="6">
                  <c:v>2031</c:v>
                </c:pt>
                <c:pt idx="7">
                  <c:v>2032</c:v>
                </c:pt>
                <c:pt idx="8">
                  <c:v>2033</c:v>
                </c:pt>
                <c:pt idx="9">
                  <c:v>2034</c:v>
                </c:pt>
                <c:pt idx="10">
                  <c:v>2035</c:v>
                </c:pt>
                <c:pt idx="11">
                  <c:v>2036</c:v>
                </c:pt>
                <c:pt idx="12">
                  <c:v>2037</c:v>
                </c:pt>
                <c:pt idx="13">
                  <c:v>2038</c:v>
                </c:pt>
                <c:pt idx="14">
                  <c:v>2039</c:v>
                </c:pt>
                <c:pt idx="15">
                  <c:v>2040</c:v>
                </c:pt>
                <c:pt idx="16">
                  <c:v>2041</c:v>
                </c:pt>
                <c:pt idx="17">
                  <c:v>2042</c:v>
                </c:pt>
                <c:pt idx="18">
                  <c:v>2043</c:v>
                </c:pt>
                <c:pt idx="19">
                  <c:v>2044</c:v>
                </c:pt>
                <c:pt idx="20">
                  <c:v>2045</c:v>
                </c:pt>
                <c:pt idx="21">
                  <c:v>2046</c:v>
                </c:pt>
                <c:pt idx="22">
                  <c:v>2047</c:v>
                </c:pt>
                <c:pt idx="23">
                  <c:v>2048</c:v>
                </c:pt>
                <c:pt idx="24">
                  <c:v>2049</c:v>
                </c:pt>
                <c:pt idx="25">
                  <c:v>2050</c:v>
                </c:pt>
                <c:pt idx="26">
                  <c:v>2051</c:v>
                </c:pt>
                <c:pt idx="27">
                  <c:v>2052</c:v>
                </c:pt>
                <c:pt idx="28">
                  <c:v>2053</c:v>
                </c:pt>
                <c:pt idx="29">
                  <c:v>2054</c:v>
                </c:pt>
                <c:pt idx="30">
                  <c:v>2055</c:v>
                </c:pt>
                <c:pt idx="31">
                  <c:v>2056</c:v>
                </c:pt>
                <c:pt idx="32">
                  <c:v>2057</c:v>
                </c:pt>
                <c:pt idx="33">
                  <c:v>2058</c:v>
                </c:pt>
                <c:pt idx="34">
                  <c:v>2059</c:v>
                </c:pt>
                <c:pt idx="35">
                  <c:v>2060</c:v>
                </c:pt>
                <c:pt idx="36">
                  <c:v>2061</c:v>
                </c:pt>
                <c:pt idx="37">
                  <c:v>2062</c:v>
                </c:pt>
                <c:pt idx="38">
                  <c:v>2063</c:v>
                </c:pt>
                <c:pt idx="39">
                  <c:v>2064</c:v>
                </c:pt>
                <c:pt idx="40">
                  <c:v>2065</c:v>
                </c:pt>
                <c:pt idx="41">
                  <c:v>2066</c:v>
                </c:pt>
                <c:pt idx="42">
                  <c:v>2067</c:v>
                </c:pt>
                <c:pt idx="43">
                  <c:v>2068</c:v>
                </c:pt>
                <c:pt idx="44">
                  <c:v>2069</c:v>
                </c:pt>
                <c:pt idx="45">
                  <c:v>2070</c:v>
                </c:pt>
              </c:numCache>
            </c:numRef>
          </c:cat>
          <c:val>
            <c:numRef>
              <c:f>'Investment Needs'!$B$15:$AV$15</c:f>
              <c:numCache>
                <c:formatCode>0.00</c:formatCode>
                <c:ptCount val="47"/>
                <c:pt idx="1">
                  <c:v>5.6843418860808015E-14</c:v>
                </c:pt>
                <c:pt idx="2">
                  <c:v>0</c:v>
                </c:pt>
                <c:pt idx="3">
                  <c:v>0</c:v>
                </c:pt>
                <c:pt idx="4">
                  <c:v>0</c:v>
                </c:pt>
                <c:pt idx="5">
                  <c:v>0</c:v>
                </c:pt>
                <c:pt idx="6">
                  <c:v>0</c:v>
                </c:pt>
                <c:pt idx="7">
                  <c:v>-49.295499999999947</c:v>
                </c:pt>
                <c:pt idx="8">
                  <c:v>49.295500000000004</c:v>
                </c:pt>
                <c:pt idx="9">
                  <c:v>0</c:v>
                </c:pt>
                <c:pt idx="10">
                  <c:v>-95.460599999999999</c:v>
                </c:pt>
                <c:pt idx="11">
                  <c:v>95.460600000000028</c:v>
                </c:pt>
                <c:pt idx="12">
                  <c:v>-11.759100000000103</c:v>
                </c:pt>
                <c:pt idx="13">
                  <c:v>11.759099999999989</c:v>
                </c:pt>
                <c:pt idx="14">
                  <c:v>0</c:v>
                </c:pt>
                <c:pt idx="15">
                  <c:v>0</c:v>
                </c:pt>
                <c:pt idx="16">
                  <c:v>86.014000000000124</c:v>
                </c:pt>
                <c:pt idx="17">
                  <c:v>-86.01400000000001</c:v>
                </c:pt>
                <c:pt idx="18">
                  <c:v>0</c:v>
                </c:pt>
                <c:pt idx="19">
                  <c:v>0</c:v>
                </c:pt>
                <c:pt idx="20">
                  <c:v>0</c:v>
                </c:pt>
                <c:pt idx="21">
                  <c:v>0</c:v>
                </c:pt>
                <c:pt idx="22">
                  <c:v>0</c:v>
                </c:pt>
                <c:pt idx="23">
                  <c:v>0</c:v>
                </c:pt>
                <c:pt idx="24">
                  <c:v>0</c:v>
                </c:pt>
                <c:pt idx="25">
                  <c:v>0</c:v>
                </c:pt>
                <c:pt idx="26">
                  <c:v>0</c:v>
                </c:pt>
                <c:pt idx="27">
                  <c:v>0</c:v>
                </c:pt>
                <c:pt idx="28">
                  <c:v>0</c:v>
                </c:pt>
                <c:pt idx="29">
                  <c:v>0</c:v>
                </c:pt>
                <c:pt idx="30">
                  <c:v>-2.2737367544323206E-13</c:v>
                </c:pt>
                <c:pt idx="31">
                  <c:v>0</c:v>
                </c:pt>
                <c:pt idx="32">
                  <c:v>-49.295500000000175</c:v>
                </c:pt>
                <c:pt idx="33">
                  <c:v>49.295500000000061</c:v>
                </c:pt>
                <c:pt idx="34">
                  <c:v>0</c:v>
                </c:pt>
                <c:pt idx="35">
                  <c:v>-95.460600000000113</c:v>
                </c:pt>
                <c:pt idx="36">
                  <c:v>95.460599999999999</c:v>
                </c:pt>
                <c:pt idx="37">
                  <c:v>-11.759099999999989</c:v>
                </c:pt>
                <c:pt idx="38">
                  <c:v>11.759099999999989</c:v>
                </c:pt>
                <c:pt idx="39">
                  <c:v>0</c:v>
                </c:pt>
                <c:pt idx="40">
                  <c:v>0</c:v>
                </c:pt>
                <c:pt idx="41">
                  <c:v>86.013999999999896</c:v>
                </c:pt>
                <c:pt idx="42">
                  <c:v>-86.014000000000124</c:v>
                </c:pt>
                <c:pt idx="43">
                  <c:v>0</c:v>
                </c:pt>
                <c:pt idx="44">
                  <c:v>0</c:v>
                </c:pt>
                <c:pt idx="45">
                  <c:v>0</c:v>
                </c:pt>
                <c:pt idx="46">
                  <c:v>0</c:v>
                </c:pt>
              </c:numCache>
            </c:numRef>
          </c:val>
          <c:extLst>
            <c:ext xmlns:c16="http://schemas.microsoft.com/office/drawing/2014/chart" uri="{C3380CC4-5D6E-409C-BE32-E72D297353CC}">
              <c16:uniqueId val="{00000001-C14F-494E-A94B-EC00840A26C0}"/>
            </c:ext>
          </c:extLst>
        </c:ser>
        <c:ser>
          <c:idx val="2"/>
          <c:order val="2"/>
          <c:tx>
            <c:strRef>
              <c:f>'Investment Needs'!$A$16</c:f>
              <c:strCache>
                <c:ptCount val="1"/>
                <c:pt idx="0">
                  <c:v>Solar PV</c:v>
                </c:pt>
              </c:strCache>
            </c:strRef>
          </c:tx>
          <c:spPr>
            <a:solidFill>
              <a:srgbClr val="FFFF00"/>
            </a:solidFill>
            <a:ln>
              <a:solidFill>
                <a:schemeClr val="tx1"/>
              </a:solidFill>
            </a:ln>
            <a:effectLst/>
          </c:spPr>
          <c:invertIfNegative val="0"/>
          <c:cat>
            <c:numRef>
              <c:f>'Investment Needs'!$C$4:$AV$4</c:f>
              <c:numCache>
                <c:formatCode>General</c:formatCode>
                <c:ptCount val="46"/>
                <c:pt idx="0">
                  <c:v>2025</c:v>
                </c:pt>
                <c:pt idx="1">
                  <c:v>2026</c:v>
                </c:pt>
                <c:pt idx="2">
                  <c:v>2027</c:v>
                </c:pt>
                <c:pt idx="3">
                  <c:v>2028</c:v>
                </c:pt>
                <c:pt idx="4">
                  <c:v>2029</c:v>
                </c:pt>
                <c:pt idx="5">
                  <c:v>2030</c:v>
                </c:pt>
                <c:pt idx="6">
                  <c:v>2031</c:v>
                </c:pt>
                <c:pt idx="7">
                  <c:v>2032</c:v>
                </c:pt>
                <c:pt idx="8">
                  <c:v>2033</c:v>
                </c:pt>
                <c:pt idx="9">
                  <c:v>2034</c:v>
                </c:pt>
                <c:pt idx="10">
                  <c:v>2035</c:v>
                </c:pt>
                <c:pt idx="11">
                  <c:v>2036</c:v>
                </c:pt>
                <c:pt idx="12">
                  <c:v>2037</c:v>
                </c:pt>
                <c:pt idx="13">
                  <c:v>2038</c:v>
                </c:pt>
                <c:pt idx="14">
                  <c:v>2039</c:v>
                </c:pt>
                <c:pt idx="15">
                  <c:v>2040</c:v>
                </c:pt>
                <c:pt idx="16">
                  <c:v>2041</c:v>
                </c:pt>
                <c:pt idx="17">
                  <c:v>2042</c:v>
                </c:pt>
                <c:pt idx="18">
                  <c:v>2043</c:v>
                </c:pt>
                <c:pt idx="19">
                  <c:v>2044</c:v>
                </c:pt>
                <c:pt idx="20">
                  <c:v>2045</c:v>
                </c:pt>
                <c:pt idx="21">
                  <c:v>2046</c:v>
                </c:pt>
                <c:pt idx="22">
                  <c:v>2047</c:v>
                </c:pt>
                <c:pt idx="23">
                  <c:v>2048</c:v>
                </c:pt>
                <c:pt idx="24">
                  <c:v>2049</c:v>
                </c:pt>
                <c:pt idx="25">
                  <c:v>2050</c:v>
                </c:pt>
                <c:pt idx="26">
                  <c:v>2051</c:v>
                </c:pt>
                <c:pt idx="27">
                  <c:v>2052</c:v>
                </c:pt>
                <c:pt idx="28">
                  <c:v>2053</c:v>
                </c:pt>
                <c:pt idx="29">
                  <c:v>2054</c:v>
                </c:pt>
                <c:pt idx="30">
                  <c:v>2055</c:v>
                </c:pt>
                <c:pt idx="31">
                  <c:v>2056</c:v>
                </c:pt>
                <c:pt idx="32">
                  <c:v>2057</c:v>
                </c:pt>
                <c:pt idx="33">
                  <c:v>2058</c:v>
                </c:pt>
                <c:pt idx="34">
                  <c:v>2059</c:v>
                </c:pt>
                <c:pt idx="35">
                  <c:v>2060</c:v>
                </c:pt>
                <c:pt idx="36">
                  <c:v>2061</c:v>
                </c:pt>
                <c:pt idx="37">
                  <c:v>2062</c:v>
                </c:pt>
                <c:pt idx="38">
                  <c:v>2063</c:v>
                </c:pt>
                <c:pt idx="39">
                  <c:v>2064</c:v>
                </c:pt>
                <c:pt idx="40">
                  <c:v>2065</c:v>
                </c:pt>
                <c:pt idx="41">
                  <c:v>2066</c:v>
                </c:pt>
                <c:pt idx="42">
                  <c:v>2067</c:v>
                </c:pt>
                <c:pt idx="43">
                  <c:v>2068</c:v>
                </c:pt>
                <c:pt idx="44">
                  <c:v>2069</c:v>
                </c:pt>
                <c:pt idx="45">
                  <c:v>2070</c:v>
                </c:pt>
              </c:numCache>
            </c:numRef>
          </c:cat>
          <c:val>
            <c:numRef>
              <c:f>'Investment Needs'!$B$16:$AV$16</c:f>
              <c:numCache>
                <c:formatCode>0.00</c:formatCode>
                <c:ptCount val="47"/>
                <c:pt idx="1">
                  <c:v>0</c:v>
                </c:pt>
                <c:pt idx="2">
                  <c:v>0</c:v>
                </c:pt>
                <c:pt idx="3">
                  <c:v>0</c:v>
                </c:pt>
                <c:pt idx="4">
                  <c:v>0</c:v>
                </c:pt>
                <c:pt idx="5">
                  <c:v>0</c:v>
                </c:pt>
                <c:pt idx="6">
                  <c:v>0</c:v>
                </c:pt>
                <c:pt idx="7">
                  <c:v>0</c:v>
                </c:pt>
                <c:pt idx="8">
                  <c:v>0</c:v>
                </c:pt>
                <c:pt idx="9">
                  <c:v>0</c:v>
                </c:pt>
                <c:pt idx="10">
                  <c:v>0</c:v>
                </c:pt>
                <c:pt idx="11">
                  <c:v>0</c:v>
                </c:pt>
                <c:pt idx="12">
                  <c:v>0</c:v>
                </c:pt>
                <c:pt idx="13">
                  <c:v>0</c:v>
                </c:pt>
                <c:pt idx="14">
                  <c:v>-48.6462</c:v>
                </c:pt>
                <c:pt idx="15">
                  <c:v>0</c:v>
                </c:pt>
                <c:pt idx="16">
                  <c:v>0</c:v>
                </c:pt>
                <c:pt idx="17">
                  <c:v>73.2761</c:v>
                </c:pt>
                <c:pt idx="18">
                  <c:v>-27.1585</c:v>
                </c:pt>
                <c:pt idx="19">
                  <c:v>0</c:v>
                </c:pt>
                <c:pt idx="20">
                  <c:v>0</c:v>
                </c:pt>
                <c:pt idx="21">
                  <c:v>0</c:v>
                </c:pt>
                <c:pt idx="22">
                  <c:v>0</c:v>
                </c:pt>
                <c:pt idx="23">
                  <c:v>0</c:v>
                </c:pt>
                <c:pt idx="24">
                  <c:v>0</c:v>
                </c:pt>
                <c:pt idx="25">
                  <c:v>0</c:v>
                </c:pt>
                <c:pt idx="26">
                  <c:v>70.561300000000003</c:v>
                </c:pt>
                <c:pt idx="27">
                  <c:v>-244.08850000000001</c:v>
                </c:pt>
                <c:pt idx="28">
                  <c:v>103.032</c:v>
                </c:pt>
                <c:pt idx="29">
                  <c:v>206.02189999999999</c:v>
                </c:pt>
                <c:pt idx="30">
                  <c:v>23.941500000000001</c:v>
                </c:pt>
                <c:pt idx="31">
                  <c:v>63.821399999999997</c:v>
                </c:pt>
                <c:pt idx="32">
                  <c:v>66.116500000000002</c:v>
                </c:pt>
                <c:pt idx="33">
                  <c:v>14.821400000000001</c:v>
                </c:pt>
                <c:pt idx="34">
                  <c:v>-67.245400000000004</c:v>
                </c:pt>
                <c:pt idx="35">
                  <c:v>20.973199999999999</c:v>
                </c:pt>
                <c:pt idx="36">
                  <c:v>3.9983</c:v>
                </c:pt>
                <c:pt idx="37">
                  <c:v>87.830200000000005</c:v>
                </c:pt>
                <c:pt idx="38">
                  <c:v>-9.9888000000000012</c:v>
                </c:pt>
                <c:pt idx="39">
                  <c:v>19.916599999999999</c:v>
                </c:pt>
                <c:pt idx="40">
                  <c:v>18.860099999999999</c:v>
                </c:pt>
                <c:pt idx="41">
                  <c:v>14.533300000000001</c:v>
                </c:pt>
                <c:pt idx="42">
                  <c:v>20.973199999999999</c:v>
                </c:pt>
                <c:pt idx="43">
                  <c:v>20.973199999999999</c:v>
                </c:pt>
                <c:pt idx="44">
                  <c:v>20.973199999999999</c:v>
                </c:pt>
                <c:pt idx="45">
                  <c:v>20.973199999999999</c:v>
                </c:pt>
                <c:pt idx="46">
                  <c:v>91.849100000000007</c:v>
                </c:pt>
              </c:numCache>
            </c:numRef>
          </c:val>
          <c:extLst>
            <c:ext xmlns:c16="http://schemas.microsoft.com/office/drawing/2014/chart" uri="{C3380CC4-5D6E-409C-BE32-E72D297353CC}">
              <c16:uniqueId val="{00000002-C14F-494E-A94B-EC00840A26C0}"/>
            </c:ext>
          </c:extLst>
        </c:ser>
        <c:ser>
          <c:idx val="4"/>
          <c:order val="3"/>
          <c:tx>
            <c:strRef>
              <c:f>'Investment Needs'!$A$18</c:f>
              <c:strCache>
                <c:ptCount val="1"/>
                <c:pt idx="0">
                  <c:v>Hydropower</c:v>
                </c:pt>
              </c:strCache>
            </c:strRef>
          </c:tx>
          <c:spPr>
            <a:solidFill>
              <a:srgbClr val="49D3FF"/>
            </a:solidFill>
            <a:ln>
              <a:solidFill>
                <a:schemeClr val="tx1"/>
              </a:solidFill>
            </a:ln>
            <a:effectLst/>
          </c:spPr>
          <c:invertIfNegative val="0"/>
          <c:cat>
            <c:numRef>
              <c:f>'Investment Needs'!$C$4:$AV$4</c:f>
              <c:numCache>
                <c:formatCode>General</c:formatCode>
                <c:ptCount val="46"/>
                <c:pt idx="0">
                  <c:v>2025</c:v>
                </c:pt>
                <c:pt idx="1">
                  <c:v>2026</c:v>
                </c:pt>
                <c:pt idx="2">
                  <c:v>2027</c:v>
                </c:pt>
                <c:pt idx="3">
                  <c:v>2028</c:v>
                </c:pt>
                <c:pt idx="4">
                  <c:v>2029</c:v>
                </c:pt>
                <c:pt idx="5">
                  <c:v>2030</c:v>
                </c:pt>
                <c:pt idx="6">
                  <c:v>2031</c:v>
                </c:pt>
                <c:pt idx="7">
                  <c:v>2032</c:v>
                </c:pt>
                <c:pt idx="8">
                  <c:v>2033</c:v>
                </c:pt>
                <c:pt idx="9">
                  <c:v>2034</c:v>
                </c:pt>
                <c:pt idx="10">
                  <c:v>2035</c:v>
                </c:pt>
                <c:pt idx="11">
                  <c:v>2036</c:v>
                </c:pt>
                <c:pt idx="12">
                  <c:v>2037</c:v>
                </c:pt>
                <c:pt idx="13">
                  <c:v>2038</c:v>
                </c:pt>
                <c:pt idx="14">
                  <c:v>2039</c:v>
                </c:pt>
                <c:pt idx="15">
                  <c:v>2040</c:v>
                </c:pt>
                <c:pt idx="16">
                  <c:v>2041</c:v>
                </c:pt>
                <c:pt idx="17">
                  <c:v>2042</c:v>
                </c:pt>
                <c:pt idx="18">
                  <c:v>2043</c:v>
                </c:pt>
                <c:pt idx="19">
                  <c:v>2044</c:v>
                </c:pt>
                <c:pt idx="20">
                  <c:v>2045</c:v>
                </c:pt>
                <c:pt idx="21">
                  <c:v>2046</c:v>
                </c:pt>
                <c:pt idx="22">
                  <c:v>2047</c:v>
                </c:pt>
                <c:pt idx="23">
                  <c:v>2048</c:v>
                </c:pt>
                <c:pt idx="24">
                  <c:v>2049</c:v>
                </c:pt>
                <c:pt idx="25">
                  <c:v>2050</c:v>
                </c:pt>
                <c:pt idx="26">
                  <c:v>2051</c:v>
                </c:pt>
                <c:pt idx="27">
                  <c:v>2052</c:v>
                </c:pt>
                <c:pt idx="28">
                  <c:v>2053</c:v>
                </c:pt>
                <c:pt idx="29">
                  <c:v>2054</c:v>
                </c:pt>
                <c:pt idx="30">
                  <c:v>2055</c:v>
                </c:pt>
                <c:pt idx="31">
                  <c:v>2056</c:v>
                </c:pt>
                <c:pt idx="32">
                  <c:v>2057</c:v>
                </c:pt>
                <c:pt idx="33">
                  <c:v>2058</c:v>
                </c:pt>
                <c:pt idx="34">
                  <c:v>2059</c:v>
                </c:pt>
                <c:pt idx="35">
                  <c:v>2060</c:v>
                </c:pt>
                <c:pt idx="36">
                  <c:v>2061</c:v>
                </c:pt>
                <c:pt idx="37">
                  <c:v>2062</c:v>
                </c:pt>
                <c:pt idx="38">
                  <c:v>2063</c:v>
                </c:pt>
                <c:pt idx="39">
                  <c:v>2064</c:v>
                </c:pt>
                <c:pt idx="40">
                  <c:v>2065</c:v>
                </c:pt>
                <c:pt idx="41">
                  <c:v>2066</c:v>
                </c:pt>
                <c:pt idx="42">
                  <c:v>2067</c:v>
                </c:pt>
                <c:pt idx="43">
                  <c:v>2068</c:v>
                </c:pt>
                <c:pt idx="44">
                  <c:v>2069</c:v>
                </c:pt>
                <c:pt idx="45">
                  <c:v>2070</c:v>
                </c:pt>
              </c:numCache>
            </c:numRef>
          </c:cat>
          <c:val>
            <c:numRef>
              <c:f>'Investment Needs'!$B$18:$AV$18</c:f>
              <c:numCache>
                <c:formatCode>0.00</c:formatCode>
                <c:ptCount val="47"/>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numCache>
            </c:numRef>
          </c:val>
          <c:extLst>
            <c:ext xmlns:c16="http://schemas.microsoft.com/office/drawing/2014/chart" uri="{C3380CC4-5D6E-409C-BE32-E72D297353CC}">
              <c16:uniqueId val="{00000004-C14F-494E-A94B-EC00840A26C0}"/>
            </c:ext>
          </c:extLst>
        </c:ser>
        <c:ser>
          <c:idx val="5"/>
          <c:order val="4"/>
          <c:tx>
            <c:strRef>
              <c:f>'Investment Needs'!$A$19</c:f>
              <c:strCache>
                <c:ptCount val="1"/>
                <c:pt idx="0">
                  <c:v>Wind</c:v>
                </c:pt>
              </c:strCache>
            </c:strRef>
          </c:tx>
          <c:spPr>
            <a:solidFill>
              <a:srgbClr val="ABDDED"/>
            </a:solidFill>
            <a:ln>
              <a:solidFill>
                <a:schemeClr val="tx1"/>
              </a:solidFill>
            </a:ln>
            <a:effectLst/>
          </c:spPr>
          <c:invertIfNegative val="0"/>
          <c:cat>
            <c:numRef>
              <c:f>'Investment Needs'!$C$4:$AV$4</c:f>
              <c:numCache>
                <c:formatCode>General</c:formatCode>
                <c:ptCount val="46"/>
                <c:pt idx="0">
                  <c:v>2025</c:v>
                </c:pt>
                <c:pt idx="1">
                  <c:v>2026</c:v>
                </c:pt>
                <c:pt idx="2">
                  <c:v>2027</c:v>
                </c:pt>
                <c:pt idx="3">
                  <c:v>2028</c:v>
                </c:pt>
                <c:pt idx="4">
                  <c:v>2029</c:v>
                </c:pt>
                <c:pt idx="5">
                  <c:v>2030</c:v>
                </c:pt>
                <c:pt idx="6">
                  <c:v>2031</c:v>
                </c:pt>
                <c:pt idx="7">
                  <c:v>2032</c:v>
                </c:pt>
                <c:pt idx="8">
                  <c:v>2033</c:v>
                </c:pt>
                <c:pt idx="9">
                  <c:v>2034</c:v>
                </c:pt>
                <c:pt idx="10">
                  <c:v>2035</c:v>
                </c:pt>
                <c:pt idx="11">
                  <c:v>2036</c:v>
                </c:pt>
                <c:pt idx="12">
                  <c:v>2037</c:v>
                </c:pt>
                <c:pt idx="13">
                  <c:v>2038</c:v>
                </c:pt>
                <c:pt idx="14">
                  <c:v>2039</c:v>
                </c:pt>
                <c:pt idx="15">
                  <c:v>2040</c:v>
                </c:pt>
                <c:pt idx="16">
                  <c:v>2041</c:v>
                </c:pt>
                <c:pt idx="17">
                  <c:v>2042</c:v>
                </c:pt>
                <c:pt idx="18">
                  <c:v>2043</c:v>
                </c:pt>
                <c:pt idx="19">
                  <c:v>2044</c:v>
                </c:pt>
                <c:pt idx="20">
                  <c:v>2045</c:v>
                </c:pt>
                <c:pt idx="21">
                  <c:v>2046</c:v>
                </c:pt>
                <c:pt idx="22">
                  <c:v>2047</c:v>
                </c:pt>
                <c:pt idx="23">
                  <c:v>2048</c:v>
                </c:pt>
                <c:pt idx="24">
                  <c:v>2049</c:v>
                </c:pt>
                <c:pt idx="25">
                  <c:v>2050</c:v>
                </c:pt>
                <c:pt idx="26">
                  <c:v>2051</c:v>
                </c:pt>
                <c:pt idx="27">
                  <c:v>2052</c:v>
                </c:pt>
                <c:pt idx="28">
                  <c:v>2053</c:v>
                </c:pt>
                <c:pt idx="29">
                  <c:v>2054</c:v>
                </c:pt>
                <c:pt idx="30">
                  <c:v>2055</c:v>
                </c:pt>
                <c:pt idx="31">
                  <c:v>2056</c:v>
                </c:pt>
                <c:pt idx="32">
                  <c:v>2057</c:v>
                </c:pt>
                <c:pt idx="33">
                  <c:v>2058</c:v>
                </c:pt>
                <c:pt idx="34">
                  <c:v>2059</c:v>
                </c:pt>
                <c:pt idx="35">
                  <c:v>2060</c:v>
                </c:pt>
                <c:pt idx="36">
                  <c:v>2061</c:v>
                </c:pt>
                <c:pt idx="37">
                  <c:v>2062</c:v>
                </c:pt>
                <c:pt idx="38">
                  <c:v>2063</c:v>
                </c:pt>
                <c:pt idx="39">
                  <c:v>2064</c:v>
                </c:pt>
                <c:pt idx="40">
                  <c:v>2065</c:v>
                </c:pt>
                <c:pt idx="41">
                  <c:v>2066</c:v>
                </c:pt>
                <c:pt idx="42">
                  <c:v>2067</c:v>
                </c:pt>
                <c:pt idx="43">
                  <c:v>2068</c:v>
                </c:pt>
                <c:pt idx="44">
                  <c:v>2069</c:v>
                </c:pt>
                <c:pt idx="45">
                  <c:v>2070</c:v>
                </c:pt>
              </c:numCache>
            </c:numRef>
          </c:cat>
          <c:val>
            <c:numRef>
              <c:f>'Investment Needs'!$B$19:$AV$19</c:f>
              <c:numCache>
                <c:formatCode>0.00</c:formatCode>
                <c:ptCount val="47"/>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numCache>
            </c:numRef>
          </c:val>
          <c:extLst>
            <c:ext xmlns:c16="http://schemas.microsoft.com/office/drawing/2014/chart" uri="{C3380CC4-5D6E-409C-BE32-E72D297353CC}">
              <c16:uniqueId val="{00000005-C14F-494E-A94B-EC00840A26C0}"/>
            </c:ext>
          </c:extLst>
        </c:ser>
        <c:ser>
          <c:idx val="8"/>
          <c:order val="5"/>
          <c:tx>
            <c:strRef>
              <c:f>'Investment Needs'!$A$23</c:f>
              <c:strCache>
                <c:ptCount val="1"/>
                <c:pt idx="0">
                  <c:v>Gas</c:v>
                </c:pt>
              </c:strCache>
            </c:strRef>
          </c:tx>
          <c:spPr>
            <a:solidFill>
              <a:srgbClr val="B1A2C7"/>
            </a:solidFill>
            <a:ln>
              <a:solidFill>
                <a:schemeClr val="tx1"/>
              </a:solidFill>
            </a:ln>
            <a:effectLst/>
          </c:spPr>
          <c:invertIfNegative val="0"/>
          <c:cat>
            <c:numRef>
              <c:f>'Investment Needs'!$C$4:$AV$4</c:f>
              <c:numCache>
                <c:formatCode>General</c:formatCode>
                <c:ptCount val="46"/>
                <c:pt idx="0">
                  <c:v>2025</c:v>
                </c:pt>
                <c:pt idx="1">
                  <c:v>2026</c:v>
                </c:pt>
                <c:pt idx="2">
                  <c:v>2027</c:v>
                </c:pt>
                <c:pt idx="3">
                  <c:v>2028</c:v>
                </c:pt>
                <c:pt idx="4">
                  <c:v>2029</c:v>
                </c:pt>
                <c:pt idx="5">
                  <c:v>2030</c:v>
                </c:pt>
                <c:pt idx="6">
                  <c:v>2031</c:v>
                </c:pt>
                <c:pt idx="7">
                  <c:v>2032</c:v>
                </c:pt>
                <c:pt idx="8">
                  <c:v>2033</c:v>
                </c:pt>
                <c:pt idx="9">
                  <c:v>2034</c:v>
                </c:pt>
                <c:pt idx="10">
                  <c:v>2035</c:v>
                </c:pt>
                <c:pt idx="11">
                  <c:v>2036</c:v>
                </c:pt>
                <c:pt idx="12">
                  <c:v>2037</c:v>
                </c:pt>
                <c:pt idx="13">
                  <c:v>2038</c:v>
                </c:pt>
                <c:pt idx="14">
                  <c:v>2039</c:v>
                </c:pt>
                <c:pt idx="15">
                  <c:v>2040</c:v>
                </c:pt>
                <c:pt idx="16">
                  <c:v>2041</c:v>
                </c:pt>
                <c:pt idx="17">
                  <c:v>2042</c:v>
                </c:pt>
                <c:pt idx="18">
                  <c:v>2043</c:v>
                </c:pt>
                <c:pt idx="19">
                  <c:v>2044</c:v>
                </c:pt>
                <c:pt idx="20">
                  <c:v>2045</c:v>
                </c:pt>
                <c:pt idx="21">
                  <c:v>2046</c:v>
                </c:pt>
                <c:pt idx="22">
                  <c:v>2047</c:v>
                </c:pt>
                <c:pt idx="23">
                  <c:v>2048</c:v>
                </c:pt>
                <c:pt idx="24">
                  <c:v>2049</c:v>
                </c:pt>
                <c:pt idx="25">
                  <c:v>2050</c:v>
                </c:pt>
                <c:pt idx="26">
                  <c:v>2051</c:v>
                </c:pt>
                <c:pt idx="27">
                  <c:v>2052</c:v>
                </c:pt>
                <c:pt idx="28">
                  <c:v>2053</c:v>
                </c:pt>
                <c:pt idx="29">
                  <c:v>2054</c:v>
                </c:pt>
                <c:pt idx="30">
                  <c:v>2055</c:v>
                </c:pt>
                <c:pt idx="31">
                  <c:v>2056</c:v>
                </c:pt>
                <c:pt idx="32">
                  <c:v>2057</c:v>
                </c:pt>
                <c:pt idx="33">
                  <c:v>2058</c:v>
                </c:pt>
                <c:pt idx="34">
                  <c:v>2059</c:v>
                </c:pt>
                <c:pt idx="35">
                  <c:v>2060</c:v>
                </c:pt>
                <c:pt idx="36">
                  <c:v>2061</c:v>
                </c:pt>
                <c:pt idx="37">
                  <c:v>2062</c:v>
                </c:pt>
                <c:pt idx="38">
                  <c:v>2063</c:v>
                </c:pt>
                <c:pt idx="39">
                  <c:v>2064</c:v>
                </c:pt>
                <c:pt idx="40">
                  <c:v>2065</c:v>
                </c:pt>
                <c:pt idx="41">
                  <c:v>2066</c:v>
                </c:pt>
                <c:pt idx="42">
                  <c:v>2067</c:v>
                </c:pt>
                <c:pt idx="43">
                  <c:v>2068</c:v>
                </c:pt>
                <c:pt idx="44">
                  <c:v>2069</c:v>
                </c:pt>
                <c:pt idx="45">
                  <c:v>2070</c:v>
                </c:pt>
              </c:numCache>
            </c:numRef>
          </c:cat>
          <c:val>
            <c:numRef>
              <c:f>'Investment Needs'!$B$23:$AV$23</c:f>
              <c:numCache>
                <c:formatCode>0.00</c:formatCode>
                <c:ptCount val="47"/>
                <c:pt idx="1">
                  <c:v>0</c:v>
                </c:pt>
                <c:pt idx="2">
                  <c:v>0</c:v>
                </c:pt>
                <c:pt idx="3">
                  <c:v>32.453099999999992</c:v>
                </c:pt>
                <c:pt idx="4">
                  <c:v>0</c:v>
                </c:pt>
                <c:pt idx="5">
                  <c:v>0</c:v>
                </c:pt>
                <c:pt idx="6">
                  <c:v>-56.406599999999997</c:v>
                </c:pt>
                <c:pt idx="7">
                  <c:v>-115.5132</c:v>
                </c:pt>
                <c:pt idx="8">
                  <c:v>-25.967300000000002</c:v>
                </c:pt>
                <c:pt idx="9">
                  <c:v>-28.8673</c:v>
                </c:pt>
                <c:pt idx="10">
                  <c:v>-10.184799999999999</c:v>
                </c:pt>
                <c:pt idx="11">
                  <c:v>-109.11669999999999</c:v>
                </c:pt>
                <c:pt idx="12">
                  <c:v>-22.480599999999999</c:v>
                </c:pt>
                <c:pt idx="13">
                  <c:v>-50.414299999999997</c:v>
                </c:pt>
                <c:pt idx="14">
                  <c:v>0</c:v>
                </c:pt>
                <c:pt idx="15">
                  <c:v>0</c:v>
                </c:pt>
                <c:pt idx="16">
                  <c:v>0</c:v>
                </c:pt>
                <c:pt idx="17">
                  <c:v>-2.8954</c:v>
                </c:pt>
                <c:pt idx="18">
                  <c:v>0</c:v>
                </c:pt>
                <c:pt idx="19">
                  <c:v>0</c:v>
                </c:pt>
                <c:pt idx="20">
                  <c:v>0</c:v>
                </c:pt>
                <c:pt idx="21">
                  <c:v>0</c:v>
                </c:pt>
                <c:pt idx="22">
                  <c:v>0</c:v>
                </c:pt>
                <c:pt idx="23">
                  <c:v>-44.284100000000002</c:v>
                </c:pt>
                <c:pt idx="24">
                  <c:v>-26.119599999999998</c:v>
                </c:pt>
                <c:pt idx="25">
                  <c:v>-25.4953</c:v>
                </c:pt>
                <c:pt idx="26">
                  <c:v>-132.2576</c:v>
                </c:pt>
                <c:pt idx="27">
                  <c:v>-130.1395</c:v>
                </c:pt>
                <c:pt idx="28">
                  <c:v>-38.973599999999998</c:v>
                </c:pt>
                <c:pt idx="29">
                  <c:v>-63.901400000000002</c:v>
                </c:pt>
                <c:pt idx="30">
                  <c:v>-17.945599999999999</c:v>
                </c:pt>
                <c:pt idx="31">
                  <c:v>-110.1789</c:v>
                </c:pt>
                <c:pt idx="32">
                  <c:v>-87.442999999999998</c:v>
                </c:pt>
                <c:pt idx="33">
                  <c:v>-95.853300000000004</c:v>
                </c:pt>
                <c:pt idx="34">
                  <c:v>-76.391800000000003</c:v>
                </c:pt>
                <c:pt idx="35">
                  <c:v>-72.769000000000005</c:v>
                </c:pt>
                <c:pt idx="36">
                  <c:v>-64.082999999999998</c:v>
                </c:pt>
                <c:pt idx="37">
                  <c:v>-49.0471</c:v>
                </c:pt>
                <c:pt idx="38">
                  <c:v>-57.1053</c:v>
                </c:pt>
                <c:pt idx="39">
                  <c:v>-63.950400000000002</c:v>
                </c:pt>
                <c:pt idx="40">
                  <c:v>-54.073500000000003</c:v>
                </c:pt>
                <c:pt idx="41">
                  <c:v>-38.101700000000001</c:v>
                </c:pt>
                <c:pt idx="42">
                  <c:v>-41.825899999999997</c:v>
                </c:pt>
                <c:pt idx="43">
                  <c:v>-92.534199999999998</c:v>
                </c:pt>
                <c:pt idx="44">
                  <c:v>-71.157200000000003</c:v>
                </c:pt>
                <c:pt idx="45">
                  <c:v>-82.443700000000007</c:v>
                </c:pt>
                <c:pt idx="46">
                  <c:v>-189.20580000000001</c:v>
                </c:pt>
              </c:numCache>
            </c:numRef>
          </c:val>
          <c:extLst>
            <c:ext xmlns:c16="http://schemas.microsoft.com/office/drawing/2014/chart" uri="{C3380CC4-5D6E-409C-BE32-E72D297353CC}">
              <c16:uniqueId val="{00000008-C14F-494E-A94B-EC00840A26C0}"/>
            </c:ext>
          </c:extLst>
        </c:ser>
        <c:ser>
          <c:idx val="11"/>
          <c:order val="6"/>
          <c:tx>
            <c:strRef>
              <c:f>'Investment Needs'!$A$27</c:f>
              <c:strCache>
                <c:ptCount val="1"/>
                <c:pt idx="0">
                  <c:v>Distribution</c:v>
                </c:pt>
              </c:strCache>
            </c:strRef>
          </c:tx>
          <c:spPr>
            <a:solidFill>
              <a:schemeClr val="bg2">
                <a:lumMod val="50000"/>
              </a:schemeClr>
            </a:solidFill>
            <a:ln>
              <a:solidFill>
                <a:schemeClr val="tx1"/>
              </a:solidFill>
            </a:ln>
            <a:effectLst/>
          </c:spPr>
          <c:invertIfNegative val="0"/>
          <c:cat>
            <c:numRef>
              <c:f>'Investment Needs'!$C$4:$AV$4</c:f>
              <c:numCache>
                <c:formatCode>General</c:formatCode>
                <c:ptCount val="46"/>
                <c:pt idx="0">
                  <c:v>2025</c:v>
                </c:pt>
                <c:pt idx="1">
                  <c:v>2026</c:v>
                </c:pt>
                <c:pt idx="2">
                  <c:v>2027</c:v>
                </c:pt>
                <c:pt idx="3">
                  <c:v>2028</c:v>
                </c:pt>
                <c:pt idx="4">
                  <c:v>2029</c:v>
                </c:pt>
                <c:pt idx="5">
                  <c:v>2030</c:v>
                </c:pt>
                <c:pt idx="6">
                  <c:v>2031</c:v>
                </c:pt>
                <c:pt idx="7">
                  <c:v>2032</c:v>
                </c:pt>
                <c:pt idx="8">
                  <c:v>2033</c:v>
                </c:pt>
                <c:pt idx="9">
                  <c:v>2034</c:v>
                </c:pt>
                <c:pt idx="10">
                  <c:v>2035</c:v>
                </c:pt>
                <c:pt idx="11">
                  <c:v>2036</c:v>
                </c:pt>
                <c:pt idx="12">
                  <c:v>2037</c:v>
                </c:pt>
                <c:pt idx="13">
                  <c:v>2038</c:v>
                </c:pt>
                <c:pt idx="14">
                  <c:v>2039</c:v>
                </c:pt>
                <c:pt idx="15">
                  <c:v>2040</c:v>
                </c:pt>
                <c:pt idx="16">
                  <c:v>2041</c:v>
                </c:pt>
                <c:pt idx="17">
                  <c:v>2042</c:v>
                </c:pt>
                <c:pt idx="18">
                  <c:v>2043</c:v>
                </c:pt>
                <c:pt idx="19">
                  <c:v>2044</c:v>
                </c:pt>
                <c:pt idx="20">
                  <c:v>2045</c:v>
                </c:pt>
                <c:pt idx="21">
                  <c:v>2046</c:v>
                </c:pt>
                <c:pt idx="22">
                  <c:v>2047</c:v>
                </c:pt>
                <c:pt idx="23">
                  <c:v>2048</c:v>
                </c:pt>
                <c:pt idx="24">
                  <c:v>2049</c:v>
                </c:pt>
                <c:pt idx="25">
                  <c:v>2050</c:v>
                </c:pt>
                <c:pt idx="26">
                  <c:v>2051</c:v>
                </c:pt>
                <c:pt idx="27">
                  <c:v>2052</c:v>
                </c:pt>
                <c:pt idx="28">
                  <c:v>2053</c:v>
                </c:pt>
                <c:pt idx="29">
                  <c:v>2054</c:v>
                </c:pt>
                <c:pt idx="30">
                  <c:v>2055</c:v>
                </c:pt>
                <c:pt idx="31">
                  <c:v>2056</c:v>
                </c:pt>
                <c:pt idx="32">
                  <c:v>2057</c:v>
                </c:pt>
                <c:pt idx="33">
                  <c:v>2058</c:v>
                </c:pt>
                <c:pt idx="34">
                  <c:v>2059</c:v>
                </c:pt>
                <c:pt idx="35">
                  <c:v>2060</c:v>
                </c:pt>
                <c:pt idx="36">
                  <c:v>2061</c:v>
                </c:pt>
                <c:pt idx="37">
                  <c:v>2062</c:v>
                </c:pt>
                <c:pt idx="38">
                  <c:v>2063</c:v>
                </c:pt>
                <c:pt idx="39">
                  <c:v>2064</c:v>
                </c:pt>
                <c:pt idx="40">
                  <c:v>2065</c:v>
                </c:pt>
                <c:pt idx="41">
                  <c:v>2066</c:v>
                </c:pt>
                <c:pt idx="42">
                  <c:v>2067</c:v>
                </c:pt>
                <c:pt idx="43">
                  <c:v>2068</c:v>
                </c:pt>
                <c:pt idx="44">
                  <c:v>2069</c:v>
                </c:pt>
                <c:pt idx="45">
                  <c:v>2070</c:v>
                </c:pt>
              </c:numCache>
            </c:numRef>
          </c:cat>
          <c:val>
            <c:numRef>
              <c:f>'Investment Needs'!$B$27:$AV$27</c:f>
              <c:numCache>
                <c:formatCode>0.00</c:formatCode>
                <c:ptCount val="47"/>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50.610000000000014</c:v>
                </c:pt>
              </c:numCache>
            </c:numRef>
          </c:val>
          <c:extLst>
            <c:ext xmlns:c16="http://schemas.microsoft.com/office/drawing/2014/chart" uri="{C3380CC4-5D6E-409C-BE32-E72D297353CC}">
              <c16:uniqueId val="{0000000B-C14F-494E-A94B-EC00840A26C0}"/>
            </c:ext>
          </c:extLst>
        </c:ser>
        <c:ser>
          <c:idx val="3"/>
          <c:order val="7"/>
          <c:tx>
            <c:strRef>
              <c:f>'Investment Needs'!$A$28</c:f>
              <c:strCache>
                <c:ptCount val="1"/>
                <c:pt idx="0">
                  <c:v>Other</c:v>
                </c:pt>
              </c:strCache>
            </c:strRef>
          </c:tx>
          <c:spPr>
            <a:solidFill>
              <a:srgbClr val="44536A"/>
            </a:solidFill>
            <a:ln>
              <a:solidFill>
                <a:schemeClr val="tx1"/>
              </a:solidFill>
            </a:ln>
            <a:effectLst/>
          </c:spPr>
          <c:invertIfNegative val="0"/>
          <c:cat>
            <c:numRef>
              <c:f>'Investment Needs'!$C$4:$AV$4</c:f>
              <c:numCache>
                <c:formatCode>General</c:formatCode>
                <c:ptCount val="46"/>
                <c:pt idx="0">
                  <c:v>2025</c:v>
                </c:pt>
                <c:pt idx="1">
                  <c:v>2026</c:v>
                </c:pt>
                <c:pt idx="2">
                  <c:v>2027</c:v>
                </c:pt>
                <c:pt idx="3">
                  <c:v>2028</c:v>
                </c:pt>
                <c:pt idx="4">
                  <c:v>2029</c:v>
                </c:pt>
                <c:pt idx="5">
                  <c:v>2030</c:v>
                </c:pt>
                <c:pt idx="6">
                  <c:v>2031</c:v>
                </c:pt>
                <c:pt idx="7">
                  <c:v>2032</c:v>
                </c:pt>
                <c:pt idx="8">
                  <c:v>2033</c:v>
                </c:pt>
                <c:pt idx="9">
                  <c:v>2034</c:v>
                </c:pt>
                <c:pt idx="10">
                  <c:v>2035</c:v>
                </c:pt>
                <c:pt idx="11">
                  <c:v>2036</c:v>
                </c:pt>
                <c:pt idx="12">
                  <c:v>2037</c:v>
                </c:pt>
                <c:pt idx="13">
                  <c:v>2038</c:v>
                </c:pt>
                <c:pt idx="14">
                  <c:v>2039</c:v>
                </c:pt>
                <c:pt idx="15">
                  <c:v>2040</c:v>
                </c:pt>
                <c:pt idx="16">
                  <c:v>2041</c:v>
                </c:pt>
                <c:pt idx="17">
                  <c:v>2042</c:v>
                </c:pt>
                <c:pt idx="18">
                  <c:v>2043</c:v>
                </c:pt>
                <c:pt idx="19">
                  <c:v>2044</c:v>
                </c:pt>
                <c:pt idx="20">
                  <c:v>2045</c:v>
                </c:pt>
                <c:pt idx="21">
                  <c:v>2046</c:v>
                </c:pt>
                <c:pt idx="22">
                  <c:v>2047</c:v>
                </c:pt>
                <c:pt idx="23">
                  <c:v>2048</c:v>
                </c:pt>
                <c:pt idx="24">
                  <c:v>2049</c:v>
                </c:pt>
                <c:pt idx="25">
                  <c:v>2050</c:v>
                </c:pt>
                <c:pt idx="26">
                  <c:v>2051</c:v>
                </c:pt>
                <c:pt idx="27">
                  <c:v>2052</c:v>
                </c:pt>
                <c:pt idx="28">
                  <c:v>2053</c:v>
                </c:pt>
                <c:pt idx="29">
                  <c:v>2054</c:v>
                </c:pt>
                <c:pt idx="30">
                  <c:v>2055</c:v>
                </c:pt>
                <c:pt idx="31">
                  <c:v>2056</c:v>
                </c:pt>
                <c:pt idx="32">
                  <c:v>2057</c:v>
                </c:pt>
                <c:pt idx="33">
                  <c:v>2058</c:v>
                </c:pt>
                <c:pt idx="34">
                  <c:v>2059</c:v>
                </c:pt>
                <c:pt idx="35">
                  <c:v>2060</c:v>
                </c:pt>
                <c:pt idx="36">
                  <c:v>2061</c:v>
                </c:pt>
                <c:pt idx="37">
                  <c:v>2062</c:v>
                </c:pt>
                <c:pt idx="38">
                  <c:v>2063</c:v>
                </c:pt>
                <c:pt idx="39">
                  <c:v>2064</c:v>
                </c:pt>
                <c:pt idx="40">
                  <c:v>2065</c:v>
                </c:pt>
                <c:pt idx="41">
                  <c:v>2066</c:v>
                </c:pt>
                <c:pt idx="42">
                  <c:v>2067</c:v>
                </c:pt>
                <c:pt idx="43">
                  <c:v>2068</c:v>
                </c:pt>
                <c:pt idx="44">
                  <c:v>2069</c:v>
                </c:pt>
                <c:pt idx="45">
                  <c:v>2070</c:v>
                </c:pt>
              </c:numCache>
            </c:numRef>
          </c:cat>
          <c:val>
            <c:numRef>
              <c:f>'Investment Needs'!$C$28:$AV$28</c:f>
              <c:numCache>
                <c:formatCode>0.00</c:formatCode>
                <c:ptCount val="4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numCache>
            </c:numRef>
          </c:val>
          <c:extLst>
            <c:ext xmlns:c16="http://schemas.microsoft.com/office/drawing/2014/chart" uri="{C3380CC4-5D6E-409C-BE32-E72D297353CC}">
              <c16:uniqueId val="{00000016-C14F-494E-A94B-EC00840A26C0}"/>
            </c:ext>
          </c:extLst>
        </c:ser>
        <c:ser>
          <c:idx val="6"/>
          <c:order val="8"/>
          <c:tx>
            <c:strRef>
              <c:f>'Investment Needs'!$A$17:$B$17</c:f>
              <c:strCache>
                <c:ptCount val="2"/>
                <c:pt idx="0">
                  <c:v>CSP</c:v>
                </c:pt>
              </c:strCache>
            </c:strRef>
          </c:tx>
          <c:spPr>
            <a:solidFill>
              <a:srgbClr val="FFE799"/>
            </a:solidFill>
            <a:ln>
              <a:solidFill>
                <a:schemeClr val="tx1"/>
              </a:solidFill>
            </a:ln>
            <a:effectLst/>
          </c:spPr>
          <c:invertIfNegative val="0"/>
          <c:val>
            <c:numRef>
              <c:f>'Investment Needs'!$C$17:$AV$17</c:f>
              <c:numCache>
                <c:formatCode>0.00</c:formatCode>
                <c:ptCount val="46"/>
                <c:pt idx="0">
                  <c:v>250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numCache>
            </c:numRef>
          </c:val>
          <c:extLst>
            <c:ext xmlns:c16="http://schemas.microsoft.com/office/drawing/2014/chart" uri="{C3380CC4-5D6E-409C-BE32-E72D297353CC}">
              <c16:uniqueId val="{00000001-9D33-4D4F-B10F-9C18711998AD}"/>
            </c:ext>
          </c:extLst>
        </c:ser>
        <c:ser>
          <c:idx val="7"/>
          <c:order val="9"/>
          <c:tx>
            <c:strRef>
              <c:f>'Investment Needs'!$A$20:$B$20</c:f>
              <c:strCache>
                <c:ptCount val="2"/>
                <c:pt idx="0">
                  <c:v>Nuclear</c:v>
                </c:pt>
              </c:strCache>
            </c:strRef>
          </c:tx>
          <c:spPr>
            <a:solidFill>
              <a:srgbClr val="B287EE"/>
            </a:solidFill>
            <a:ln>
              <a:solidFill>
                <a:schemeClr val="tx1"/>
              </a:solidFill>
            </a:ln>
            <a:effectLst/>
          </c:spPr>
          <c:invertIfNegative val="0"/>
          <c:val>
            <c:numRef>
              <c:f>'Investment Needs'!$C$20:$AV$20</c:f>
              <c:numCache>
                <c:formatCode>0.00</c:formatCode>
                <c:ptCount val="4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82.478899999999996</c:v>
                </c:pt>
                <c:pt idx="29">
                  <c:v>216.51509999999999</c:v>
                </c:pt>
                <c:pt idx="30">
                  <c:v>193.4906</c:v>
                </c:pt>
                <c:pt idx="31">
                  <c:v>58.627299999999998</c:v>
                </c:pt>
                <c:pt idx="32">
                  <c:v>176.16909999999999</c:v>
                </c:pt>
                <c:pt idx="33">
                  <c:v>171.6943</c:v>
                </c:pt>
                <c:pt idx="34">
                  <c:v>167.0805</c:v>
                </c:pt>
                <c:pt idx="35">
                  <c:v>161.11089999999999</c:v>
                </c:pt>
                <c:pt idx="36">
                  <c:v>74.842299999999994</c:v>
                </c:pt>
                <c:pt idx="37">
                  <c:v>165.74289999999999</c:v>
                </c:pt>
                <c:pt idx="38">
                  <c:v>166.709</c:v>
                </c:pt>
                <c:pt idx="39">
                  <c:v>166.3374</c:v>
                </c:pt>
                <c:pt idx="40">
                  <c:v>167.04339999999999</c:v>
                </c:pt>
                <c:pt idx="41">
                  <c:v>167.0805</c:v>
                </c:pt>
                <c:pt idx="42">
                  <c:v>167.0805</c:v>
                </c:pt>
                <c:pt idx="43">
                  <c:v>167.0805</c:v>
                </c:pt>
                <c:pt idx="44">
                  <c:v>167.0805</c:v>
                </c:pt>
                <c:pt idx="45">
                  <c:v>166.0471</c:v>
                </c:pt>
              </c:numCache>
            </c:numRef>
          </c:val>
          <c:extLst>
            <c:ext xmlns:c16="http://schemas.microsoft.com/office/drawing/2014/chart" uri="{C3380CC4-5D6E-409C-BE32-E72D297353CC}">
              <c16:uniqueId val="{00000002-9D33-4D4F-B10F-9C18711998AD}"/>
            </c:ext>
          </c:extLst>
        </c:ser>
        <c:ser>
          <c:idx val="9"/>
          <c:order val="10"/>
          <c:tx>
            <c:strRef>
              <c:f>'Investment Needs'!$A$22:$B$22</c:f>
              <c:strCache>
                <c:ptCount val="2"/>
                <c:pt idx="0">
                  <c:v>Coal</c:v>
                </c:pt>
              </c:strCache>
            </c:strRef>
          </c:tx>
          <c:spPr>
            <a:solidFill>
              <a:schemeClr val="tx1"/>
            </a:solidFill>
            <a:ln>
              <a:solidFill>
                <a:schemeClr val="tx1"/>
              </a:solidFill>
            </a:ln>
            <a:effectLst/>
          </c:spPr>
          <c:invertIfNegative val="0"/>
          <c:val>
            <c:numRef>
              <c:f>'Investment Needs'!$C$22:$AV$22</c:f>
              <c:numCache>
                <c:formatCode>0.00</c:formatCode>
                <c:ptCount val="4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numCache>
            </c:numRef>
          </c:val>
          <c:extLst>
            <c:ext xmlns:c16="http://schemas.microsoft.com/office/drawing/2014/chart" uri="{C3380CC4-5D6E-409C-BE32-E72D297353CC}">
              <c16:uniqueId val="{00000003-9D33-4D4F-B10F-9C18711998AD}"/>
            </c:ext>
          </c:extLst>
        </c:ser>
        <c:ser>
          <c:idx val="10"/>
          <c:order val="11"/>
          <c:tx>
            <c:strRef>
              <c:f>'Investment Needs'!$A$24:$B$24</c:f>
              <c:strCache>
                <c:ptCount val="2"/>
                <c:pt idx="0">
                  <c:v>Oil</c:v>
                </c:pt>
              </c:strCache>
            </c:strRef>
          </c:tx>
          <c:spPr>
            <a:solidFill>
              <a:srgbClr val="997300"/>
            </a:solidFill>
            <a:ln>
              <a:solidFill>
                <a:schemeClr val="tx1"/>
              </a:solidFill>
            </a:ln>
            <a:effectLst/>
          </c:spPr>
          <c:invertIfNegative val="0"/>
          <c:val>
            <c:numRef>
              <c:f>'Investment Needs'!$C$24:$AV$24</c:f>
              <c:numCache>
                <c:formatCode>0.00</c:formatCode>
                <c:ptCount val="4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numCache>
            </c:numRef>
          </c:val>
          <c:extLst>
            <c:ext xmlns:c16="http://schemas.microsoft.com/office/drawing/2014/chart" uri="{C3380CC4-5D6E-409C-BE32-E72D297353CC}">
              <c16:uniqueId val="{00000004-9D33-4D4F-B10F-9C18711998AD}"/>
            </c:ext>
          </c:extLst>
        </c:ser>
        <c:dLbls>
          <c:showLegendKey val="0"/>
          <c:showVal val="0"/>
          <c:showCatName val="0"/>
          <c:showSerName val="0"/>
          <c:showPercent val="0"/>
          <c:showBubbleSize val="0"/>
        </c:dLbls>
        <c:gapWidth val="150"/>
        <c:overlap val="100"/>
        <c:axId val="1158518736"/>
        <c:axId val="1157764912"/>
      </c:barChart>
      <c:catAx>
        <c:axId val="1158518736"/>
        <c:scaling>
          <c:orientation val="minMax"/>
        </c:scaling>
        <c:delete val="0"/>
        <c:axPos val="b"/>
        <c:title>
          <c:tx>
            <c:rich>
              <a:bodyPr rot="0" spcFirstLastPara="1" vertOverflow="ellipsis" vert="horz" wrap="square" anchor="ctr" anchorCtr="1"/>
              <a:lstStyle/>
              <a:p>
                <a:pPr>
                  <a:defRPr sz="1600" b="0" i="0" u="none" strike="noStrike" kern="1200" baseline="0">
                    <a:solidFill>
                      <a:schemeClr val="tx1"/>
                    </a:solidFill>
                    <a:latin typeface="+mn-lt"/>
                    <a:ea typeface="+mn-ea"/>
                    <a:cs typeface="+mn-cs"/>
                  </a:defRPr>
                </a:pPr>
                <a:r>
                  <a:rPr lang="en-GB"/>
                  <a:t>Year</a:t>
                </a:r>
              </a:p>
            </c:rich>
          </c:tx>
          <c:overlay val="0"/>
          <c:spPr>
            <a:noFill/>
            <a:ln>
              <a:noFill/>
            </a:ln>
            <a:effectLst/>
          </c:spPr>
          <c:txPr>
            <a:bodyPr rot="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crossAx val="1157764912"/>
        <c:crosses val="autoZero"/>
        <c:auto val="1"/>
        <c:lblAlgn val="ctr"/>
        <c:lblOffset val="100"/>
        <c:tickLblSkip val="5"/>
        <c:noMultiLvlLbl val="0"/>
      </c:catAx>
      <c:valAx>
        <c:axId val="115776491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600" b="0" i="0" u="none" strike="noStrike" kern="1200" baseline="0">
                    <a:solidFill>
                      <a:schemeClr val="tx1"/>
                    </a:solidFill>
                    <a:latin typeface="+mn-lt"/>
                    <a:ea typeface="+mn-ea"/>
                    <a:cs typeface="+mn-cs"/>
                  </a:defRPr>
                </a:pPr>
                <a:r>
                  <a:rPr lang="en-GB"/>
                  <a:t>Million US$</a:t>
                </a:r>
              </a:p>
            </c:rich>
          </c:tx>
          <c:overlay val="0"/>
          <c:spPr>
            <a:noFill/>
            <a:ln>
              <a:noFill/>
            </a:ln>
            <a:effectLst/>
          </c:spPr>
          <c:txPr>
            <a:bodyPr rot="-540000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title>
        <c:numFmt formatCode="[$$-409]#,##0" sourceLinked="0"/>
        <c:majorTickMark val="none"/>
        <c:minorTickMark val="none"/>
        <c:tickLblPos val="nextTo"/>
        <c:spPr>
          <a:noFill/>
          <a:ln>
            <a:noFill/>
          </a:ln>
          <a:effectLst/>
        </c:spPr>
        <c:txPr>
          <a:bodyPr rot="-6000000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crossAx val="1158518736"/>
        <c:crosses val="autoZero"/>
        <c:crossBetween val="between"/>
      </c:valAx>
      <c:spPr>
        <a:noFill/>
        <a:ln>
          <a:noFill/>
        </a:ln>
        <a:effectLst/>
      </c:spPr>
    </c:plotArea>
    <c:legend>
      <c:legendPos val="b"/>
      <c:layout>
        <c:manualLayout>
          <c:xMode val="edge"/>
          <c:yMode val="edge"/>
          <c:x val="9.5654926450828251E-2"/>
          <c:y val="0.80667341161652795"/>
          <c:w val="0.87526865802608944"/>
          <c:h val="0.17639384581471268"/>
        </c:manualLayout>
      </c:layout>
      <c:overlay val="0"/>
      <c:spPr>
        <a:noFill/>
        <a:ln>
          <a:noFill/>
        </a:ln>
        <a:effectLst/>
      </c:spPr>
      <c:txPr>
        <a:bodyPr rot="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sz="1600">
          <a:solidFill>
            <a:schemeClr val="tx1"/>
          </a:solidFill>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920" b="0" i="0" u="none" strike="noStrike" kern="1200" spc="0" baseline="0">
                <a:solidFill>
                  <a:schemeClr val="tx1"/>
                </a:solidFill>
                <a:latin typeface="+mn-lt"/>
                <a:ea typeface="+mn-ea"/>
                <a:cs typeface="+mn-cs"/>
              </a:defRPr>
            </a:pPr>
            <a:r>
              <a:rPr lang="en-GB"/>
              <a:t>Projected Investment Needs to Reach Net Zero by 2050</a:t>
            </a:r>
          </a:p>
        </c:rich>
      </c:tx>
      <c:overlay val="0"/>
      <c:spPr>
        <a:noFill/>
        <a:ln>
          <a:noFill/>
        </a:ln>
        <a:effectLst/>
      </c:spPr>
      <c:txPr>
        <a:bodyPr rot="0" spcFirstLastPara="1" vertOverflow="ellipsis" vert="horz" wrap="square" anchor="ctr" anchorCtr="1"/>
        <a:lstStyle/>
        <a:p>
          <a:pPr>
            <a:defRPr sz="1920" b="0" i="0" u="none" strike="noStrike" kern="1200" spc="0" baseline="0">
              <a:solidFill>
                <a:schemeClr val="tx1"/>
              </a:solidFill>
              <a:latin typeface="+mn-lt"/>
              <a:ea typeface="+mn-ea"/>
              <a:cs typeface="+mn-cs"/>
            </a:defRPr>
          </a:pPr>
          <a:endParaRPr lang="en-US"/>
        </a:p>
      </c:txPr>
    </c:title>
    <c:autoTitleDeleted val="0"/>
    <c:plotArea>
      <c:layout/>
      <c:areaChart>
        <c:grouping val="stacked"/>
        <c:varyColors val="0"/>
        <c:ser>
          <c:idx val="0"/>
          <c:order val="0"/>
          <c:tx>
            <c:strRef>
              <c:f>'Investment Needs'!$A$67:$B$67</c:f>
              <c:strCache>
                <c:ptCount val="2"/>
                <c:pt idx="0">
                  <c:v>Biomass</c:v>
                </c:pt>
              </c:strCache>
            </c:strRef>
          </c:tx>
          <c:spPr>
            <a:solidFill>
              <a:srgbClr val="69F297"/>
            </a:solidFill>
            <a:ln>
              <a:noFill/>
            </a:ln>
            <a:effectLst/>
          </c:spPr>
          <c:cat>
            <c:numRef>
              <c:f>'Investment Needs'!$C$4:$AV$4</c:f>
              <c:numCache>
                <c:formatCode>General</c:formatCode>
                <c:ptCount val="46"/>
                <c:pt idx="0">
                  <c:v>2025</c:v>
                </c:pt>
                <c:pt idx="1">
                  <c:v>2026</c:v>
                </c:pt>
                <c:pt idx="2">
                  <c:v>2027</c:v>
                </c:pt>
                <c:pt idx="3">
                  <c:v>2028</c:v>
                </c:pt>
                <c:pt idx="4">
                  <c:v>2029</c:v>
                </c:pt>
                <c:pt idx="5">
                  <c:v>2030</c:v>
                </c:pt>
                <c:pt idx="6">
                  <c:v>2031</c:v>
                </c:pt>
                <c:pt idx="7">
                  <c:v>2032</c:v>
                </c:pt>
                <c:pt idx="8">
                  <c:v>2033</c:v>
                </c:pt>
                <c:pt idx="9">
                  <c:v>2034</c:v>
                </c:pt>
                <c:pt idx="10">
                  <c:v>2035</c:v>
                </c:pt>
                <c:pt idx="11">
                  <c:v>2036</c:v>
                </c:pt>
                <c:pt idx="12">
                  <c:v>2037</c:v>
                </c:pt>
                <c:pt idx="13">
                  <c:v>2038</c:v>
                </c:pt>
                <c:pt idx="14">
                  <c:v>2039</c:v>
                </c:pt>
                <c:pt idx="15">
                  <c:v>2040</c:v>
                </c:pt>
                <c:pt idx="16">
                  <c:v>2041</c:v>
                </c:pt>
                <c:pt idx="17">
                  <c:v>2042</c:v>
                </c:pt>
                <c:pt idx="18">
                  <c:v>2043</c:v>
                </c:pt>
                <c:pt idx="19">
                  <c:v>2044</c:v>
                </c:pt>
                <c:pt idx="20">
                  <c:v>2045</c:v>
                </c:pt>
                <c:pt idx="21">
                  <c:v>2046</c:v>
                </c:pt>
                <c:pt idx="22">
                  <c:v>2047</c:v>
                </c:pt>
                <c:pt idx="23">
                  <c:v>2048</c:v>
                </c:pt>
                <c:pt idx="24">
                  <c:v>2049</c:v>
                </c:pt>
                <c:pt idx="25">
                  <c:v>2050</c:v>
                </c:pt>
                <c:pt idx="26">
                  <c:v>2051</c:v>
                </c:pt>
                <c:pt idx="27">
                  <c:v>2052</c:v>
                </c:pt>
                <c:pt idx="28">
                  <c:v>2053</c:v>
                </c:pt>
                <c:pt idx="29">
                  <c:v>2054</c:v>
                </c:pt>
                <c:pt idx="30">
                  <c:v>2055</c:v>
                </c:pt>
                <c:pt idx="31">
                  <c:v>2056</c:v>
                </c:pt>
                <c:pt idx="32">
                  <c:v>2057</c:v>
                </c:pt>
                <c:pt idx="33">
                  <c:v>2058</c:v>
                </c:pt>
                <c:pt idx="34">
                  <c:v>2059</c:v>
                </c:pt>
                <c:pt idx="35">
                  <c:v>2060</c:v>
                </c:pt>
                <c:pt idx="36">
                  <c:v>2061</c:v>
                </c:pt>
                <c:pt idx="37">
                  <c:v>2062</c:v>
                </c:pt>
                <c:pt idx="38">
                  <c:v>2063</c:v>
                </c:pt>
                <c:pt idx="39">
                  <c:v>2064</c:v>
                </c:pt>
                <c:pt idx="40">
                  <c:v>2065</c:v>
                </c:pt>
                <c:pt idx="41">
                  <c:v>2066</c:v>
                </c:pt>
                <c:pt idx="42">
                  <c:v>2067</c:v>
                </c:pt>
                <c:pt idx="43">
                  <c:v>2068</c:v>
                </c:pt>
                <c:pt idx="44">
                  <c:v>2069</c:v>
                </c:pt>
                <c:pt idx="45">
                  <c:v>2070</c:v>
                </c:pt>
              </c:numCache>
            </c:numRef>
          </c:cat>
          <c:val>
            <c:numRef>
              <c:f>'Investment Needs'!$C$67:$AV$67</c:f>
              <c:numCache>
                <c:formatCode>0.00</c:formatCode>
                <c:ptCount val="46"/>
                <c:pt idx="0">
                  <c:v>100</c:v>
                </c:pt>
                <c:pt idx="1">
                  <c:v>25</c:v>
                </c:pt>
                <c:pt idx="2">
                  <c:v>0</c:v>
                </c:pt>
                <c:pt idx="3">
                  <c:v>20</c:v>
                </c:pt>
                <c:pt idx="4">
                  <c:v>0</c:v>
                </c:pt>
                <c:pt idx="5">
                  <c:v>120.5</c:v>
                </c:pt>
                <c:pt idx="6">
                  <c:v>50</c:v>
                </c:pt>
                <c:pt idx="7">
                  <c:v>27</c:v>
                </c:pt>
                <c:pt idx="8">
                  <c:v>7.5</c:v>
                </c:pt>
                <c:pt idx="9">
                  <c:v>15</c:v>
                </c:pt>
                <c:pt idx="10">
                  <c:v>0.75</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numCache>
            </c:numRef>
          </c:val>
          <c:extLst>
            <c:ext xmlns:c16="http://schemas.microsoft.com/office/drawing/2014/chart" uri="{C3380CC4-5D6E-409C-BE32-E72D297353CC}">
              <c16:uniqueId val="{00000000-C59D-434E-ADB5-961CD8FCB0C6}"/>
            </c:ext>
          </c:extLst>
        </c:ser>
        <c:ser>
          <c:idx val="1"/>
          <c:order val="1"/>
          <c:tx>
            <c:strRef>
              <c:f>'Investment Needs'!$A$68:$B$68</c:f>
              <c:strCache>
                <c:ptCount val="2"/>
                <c:pt idx="0">
                  <c:v>Geothermal</c:v>
                </c:pt>
              </c:strCache>
            </c:strRef>
          </c:tx>
          <c:spPr>
            <a:solidFill>
              <a:srgbClr val="FFC000"/>
            </a:solidFill>
            <a:ln>
              <a:noFill/>
            </a:ln>
            <a:effectLst/>
          </c:spPr>
          <c:cat>
            <c:numRef>
              <c:f>'Investment Needs'!$C$4:$AV$4</c:f>
              <c:numCache>
                <c:formatCode>General</c:formatCode>
                <c:ptCount val="46"/>
                <c:pt idx="0">
                  <c:v>2025</c:v>
                </c:pt>
                <c:pt idx="1">
                  <c:v>2026</c:v>
                </c:pt>
                <c:pt idx="2">
                  <c:v>2027</c:v>
                </c:pt>
                <c:pt idx="3">
                  <c:v>2028</c:v>
                </c:pt>
                <c:pt idx="4">
                  <c:v>2029</c:v>
                </c:pt>
                <c:pt idx="5">
                  <c:v>2030</c:v>
                </c:pt>
                <c:pt idx="6">
                  <c:v>2031</c:v>
                </c:pt>
                <c:pt idx="7">
                  <c:v>2032</c:v>
                </c:pt>
                <c:pt idx="8">
                  <c:v>2033</c:v>
                </c:pt>
                <c:pt idx="9">
                  <c:v>2034</c:v>
                </c:pt>
                <c:pt idx="10">
                  <c:v>2035</c:v>
                </c:pt>
                <c:pt idx="11">
                  <c:v>2036</c:v>
                </c:pt>
                <c:pt idx="12">
                  <c:v>2037</c:v>
                </c:pt>
                <c:pt idx="13">
                  <c:v>2038</c:v>
                </c:pt>
                <c:pt idx="14">
                  <c:v>2039</c:v>
                </c:pt>
                <c:pt idx="15">
                  <c:v>2040</c:v>
                </c:pt>
                <c:pt idx="16">
                  <c:v>2041</c:v>
                </c:pt>
                <c:pt idx="17">
                  <c:v>2042</c:v>
                </c:pt>
                <c:pt idx="18">
                  <c:v>2043</c:v>
                </c:pt>
                <c:pt idx="19">
                  <c:v>2044</c:v>
                </c:pt>
                <c:pt idx="20">
                  <c:v>2045</c:v>
                </c:pt>
                <c:pt idx="21">
                  <c:v>2046</c:v>
                </c:pt>
                <c:pt idx="22">
                  <c:v>2047</c:v>
                </c:pt>
                <c:pt idx="23">
                  <c:v>2048</c:v>
                </c:pt>
                <c:pt idx="24">
                  <c:v>2049</c:v>
                </c:pt>
                <c:pt idx="25">
                  <c:v>2050</c:v>
                </c:pt>
                <c:pt idx="26">
                  <c:v>2051</c:v>
                </c:pt>
                <c:pt idx="27">
                  <c:v>2052</c:v>
                </c:pt>
                <c:pt idx="28">
                  <c:v>2053</c:v>
                </c:pt>
                <c:pt idx="29">
                  <c:v>2054</c:v>
                </c:pt>
                <c:pt idx="30">
                  <c:v>2055</c:v>
                </c:pt>
                <c:pt idx="31">
                  <c:v>2056</c:v>
                </c:pt>
                <c:pt idx="32">
                  <c:v>2057</c:v>
                </c:pt>
                <c:pt idx="33">
                  <c:v>2058</c:v>
                </c:pt>
                <c:pt idx="34">
                  <c:v>2059</c:v>
                </c:pt>
                <c:pt idx="35">
                  <c:v>2060</c:v>
                </c:pt>
                <c:pt idx="36">
                  <c:v>2061</c:v>
                </c:pt>
                <c:pt idx="37">
                  <c:v>2062</c:v>
                </c:pt>
                <c:pt idx="38">
                  <c:v>2063</c:v>
                </c:pt>
                <c:pt idx="39">
                  <c:v>2064</c:v>
                </c:pt>
                <c:pt idx="40">
                  <c:v>2065</c:v>
                </c:pt>
                <c:pt idx="41">
                  <c:v>2066</c:v>
                </c:pt>
                <c:pt idx="42">
                  <c:v>2067</c:v>
                </c:pt>
                <c:pt idx="43">
                  <c:v>2068</c:v>
                </c:pt>
                <c:pt idx="44">
                  <c:v>2069</c:v>
                </c:pt>
                <c:pt idx="45">
                  <c:v>2070</c:v>
                </c:pt>
              </c:numCache>
            </c:numRef>
          </c:cat>
          <c:val>
            <c:numRef>
              <c:f>'Investment Needs'!$C$68:$AV$68</c:f>
              <c:numCache>
                <c:formatCode>0.00</c:formatCode>
                <c:ptCount val="46"/>
                <c:pt idx="0">
                  <c:v>278.24730000000005</c:v>
                </c:pt>
                <c:pt idx="1">
                  <c:v>544.25279999999998</c:v>
                </c:pt>
                <c:pt idx="2">
                  <c:v>403.99560000000002</c:v>
                </c:pt>
                <c:pt idx="3">
                  <c:v>331.83539999999999</c:v>
                </c:pt>
                <c:pt idx="4">
                  <c:v>1158.2438999999999</c:v>
                </c:pt>
                <c:pt idx="5">
                  <c:v>217.36670000000001</c:v>
                </c:pt>
                <c:pt idx="6">
                  <c:v>529.49990000000003</c:v>
                </c:pt>
                <c:pt idx="7">
                  <c:v>212.75110000000001</c:v>
                </c:pt>
                <c:pt idx="8">
                  <c:v>163.4556</c:v>
                </c:pt>
                <c:pt idx="9">
                  <c:v>599.66459999999995</c:v>
                </c:pt>
                <c:pt idx="10">
                  <c:v>313.40140000000002</c:v>
                </c:pt>
                <c:pt idx="11">
                  <c:v>737.85129999999992</c:v>
                </c:pt>
                <c:pt idx="12">
                  <c:v>628.08510000000001</c:v>
                </c:pt>
                <c:pt idx="13">
                  <c:v>561.84079999999994</c:v>
                </c:pt>
                <c:pt idx="14">
                  <c:v>1012.8712</c:v>
                </c:pt>
                <c:pt idx="15">
                  <c:v>1488.0749000000001</c:v>
                </c:pt>
                <c:pt idx="16">
                  <c:v>1011.1725</c:v>
                </c:pt>
                <c:pt idx="17">
                  <c:v>435.88159999999999</c:v>
                </c:pt>
                <c:pt idx="18">
                  <c:v>435.88159999999999</c:v>
                </c:pt>
                <c:pt idx="19">
                  <c:v>490.36680000000001</c:v>
                </c:pt>
                <c:pt idx="20">
                  <c:v>544.85199999999998</c:v>
                </c:pt>
                <c:pt idx="21">
                  <c:v>599.33720000000005</c:v>
                </c:pt>
                <c:pt idx="22">
                  <c:v>653.82240000000002</c:v>
                </c:pt>
                <c:pt idx="23">
                  <c:v>708.30759999999998</c:v>
                </c:pt>
                <c:pt idx="24">
                  <c:v>817.27800000000002</c:v>
                </c:pt>
                <c:pt idx="25">
                  <c:v>1007.6455</c:v>
                </c:pt>
                <c:pt idx="26">
                  <c:v>1089.1048000000001</c:v>
                </c:pt>
                <c:pt idx="27">
                  <c:v>948.84760000000006</c:v>
                </c:pt>
                <c:pt idx="28">
                  <c:v>876.68740000000003</c:v>
                </c:pt>
                <c:pt idx="29">
                  <c:v>1703.0958999999998</c:v>
                </c:pt>
                <c:pt idx="30">
                  <c:v>762.21870000000001</c:v>
                </c:pt>
                <c:pt idx="31">
                  <c:v>1074.3518999999999</c:v>
                </c:pt>
                <c:pt idx="32">
                  <c:v>757.60310000000004</c:v>
                </c:pt>
                <c:pt idx="33">
                  <c:v>708.30759999999998</c:v>
                </c:pt>
                <c:pt idx="34">
                  <c:v>1144.5165999999999</c:v>
                </c:pt>
                <c:pt idx="35">
                  <c:v>858.25340000000006</c:v>
                </c:pt>
                <c:pt idx="36">
                  <c:v>1282.7032999999999</c:v>
                </c:pt>
                <c:pt idx="37">
                  <c:v>1172.9371000000001</c:v>
                </c:pt>
                <c:pt idx="38">
                  <c:v>1106.6928</c:v>
                </c:pt>
                <c:pt idx="39">
                  <c:v>1557.7231999999999</c:v>
                </c:pt>
                <c:pt idx="40">
                  <c:v>2032.9268999999999</c:v>
                </c:pt>
                <c:pt idx="41">
                  <c:v>1556.0245</c:v>
                </c:pt>
                <c:pt idx="42">
                  <c:v>980.73360000000002</c:v>
                </c:pt>
                <c:pt idx="43">
                  <c:v>980.73360000000002</c:v>
                </c:pt>
                <c:pt idx="44">
                  <c:v>1035.2188000000001</c:v>
                </c:pt>
                <c:pt idx="45">
                  <c:v>1089.704</c:v>
                </c:pt>
              </c:numCache>
            </c:numRef>
          </c:val>
          <c:extLst>
            <c:ext xmlns:c16="http://schemas.microsoft.com/office/drawing/2014/chart" uri="{C3380CC4-5D6E-409C-BE32-E72D297353CC}">
              <c16:uniqueId val="{00000001-C59D-434E-ADB5-961CD8FCB0C6}"/>
            </c:ext>
          </c:extLst>
        </c:ser>
        <c:ser>
          <c:idx val="2"/>
          <c:order val="2"/>
          <c:tx>
            <c:strRef>
              <c:f>'Investment Needs'!$A$69:$B$69</c:f>
              <c:strCache>
                <c:ptCount val="2"/>
                <c:pt idx="0">
                  <c:v>Solar PV</c:v>
                </c:pt>
              </c:strCache>
            </c:strRef>
          </c:tx>
          <c:spPr>
            <a:solidFill>
              <a:srgbClr val="FFFF00"/>
            </a:solidFill>
            <a:ln>
              <a:noFill/>
            </a:ln>
            <a:effectLst/>
          </c:spPr>
          <c:cat>
            <c:numRef>
              <c:f>'Investment Needs'!$C$4:$AV$4</c:f>
              <c:numCache>
                <c:formatCode>General</c:formatCode>
                <c:ptCount val="46"/>
                <c:pt idx="0">
                  <c:v>2025</c:v>
                </c:pt>
                <c:pt idx="1">
                  <c:v>2026</c:v>
                </c:pt>
                <c:pt idx="2">
                  <c:v>2027</c:v>
                </c:pt>
                <c:pt idx="3">
                  <c:v>2028</c:v>
                </c:pt>
                <c:pt idx="4">
                  <c:v>2029</c:v>
                </c:pt>
                <c:pt idx="5">
                  <c:v>2030</c:v>
                </c:pt>
                <c:pt idx="6">
                  <c:v>2031</c:v>
                </c:pt>
                <c:pt idx="7">
                  <c:v>2032</c:v>
                </c:pt>
                <c:pt idx="8">
                  <c:v>2033</c:v>
                </c:pt>
                <c:pt idx="9">
                  <c:v>2034</c:v>
                </c:pt>
                <c:pt idx="10">
                  <c:v>2035</c:v>
                </c:pt>
                <c:pt idx="11">
                  <c:v>2036</c:v>
                </c:pt>
                <c:pt idx="12">
                  <c:v>2037</c:v>
                </c:pt>
                <c:pt idx="13">
                  <c:v>2038</c:v>
                </c:pt>
                <c:pt idx="14">
                  <c:v>2039</c:v>
                </c:pt>
                <c:pt idx="15">
                  <c:v>2040</c:v>
                </c:pt>
                <c:pt idx="16">
                  <c:v>2041</c:v>
                </c:pt>
                <c:pt idx="17">
                  <c:v>2042</c:v>
                </c:pt>
                <c:pt idx="18">
                  <c:v>2043</c:v>
                </c:pt>
                <c:pt idx="19">
                  <c:v>2044</c:v>
                </c:pt>
                <c:pt idx="20">
                  <c:v>2045</c:v>
                </c:pt>
                <c:pt idx="21">
                  <c:v>2046</c:v>
                </c:pt>
                <c:pt idx="22">
                  <c:v>2047</c:v>
                </c:pt>
                <c:pt idx="23">
                  <c:v>2048</c:v>
                </c:pt>
                <c:pt idx="24">
                  <c:v>2049</c:v>
                </c:pt>
                <c:pt idx="25">
                  <c:v>2050</c:v>
                </c:pt>
                <c:pt idx="26">
                  <c:v>2051</c:v>
                </c:pt>
                <c:pt idx="27">
                  <c:v>2052</c:v>
                </c:pt>
                <c:pt idx="28">
                  <c:v>2053</c:v>
                </c:pt>
                <c:pt idx="29">
                  <c:v>2054</c:v>
                </c:pt>
                <c:pt idx="30">
                  <c:v>2055</c:v>
                </c:pt>
                <c:pt idx="31">
                  <c:v>2056</c:v>
                </c:pt>
                <c:pt idx="32">
                  <c:v>2057</c:v>
                </c:pt>
                <c:pt idx="33">
                  <c:v>2058</c:v>
                </c:pt>
                <c:pt idx="34">
                  <c:v>2059</c:v>
                </c:pt>
                <c:pt idx="35">
                  <c:v>2060</c:v>
                </c:pt>
                <c:pt idx="36">
                  <c:v>2061</c:v>
                </c:pt>
                <c:pt idx="37">
                  <c:v>2062</c:v>
                </c:pt>
                <c:pt idx="38">
                  <c:v>2063</c:v>
                </c:pt>
                <c:pt idx="39">
                  <c:v>2064</c:v>
                </c:pt>
                <c:pt idx="40">
                  <c:v>2065</c:v>
                </c:pt>
                <c:pt idx="41">
                  <c:v>2066</c:v>
                </c:pt>
                <c:pt idx="42">
                  <c:v>2067</c:v>
                </c:pt>
                <c:pt idx="43">
                  <c:v>2068</c:v>
                </c:pt>
                <c:pt idx="44">
                  <c:v>2069</c:v>
                </c:pt>
                <c:pt idx="45">
                  <c:v>2070</c:v>
                </c:pt>
              </c:numCache>
            </c:numRef>
          </c:cat>
          <c:val>
            <c:numRef>
              <c:f>'Investment Needs'!$C$69:$AV$69</c:f>
              <c:numCache>
                <c:formatCode>0.00</c:formatCode>
                <c:ptCount val="46"/>
                <c:pt idx="0">
                  <c:v>0</c:v>
                </c:pt>
                <c:pt idx="1">
                  <c:v>41.154000000000003</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110.3518</c:v>
                </c:pt>
                <c:pt idx="17">
                  <c:v>0</c:v>
                </c:pt>
                <c:pt idx="18">
                  <c:v>0</c:v>
                </c:pt>
                <c:pt idx="19">
                  <c:v>0</c:v>
                </c:pt>
                <c:pt idx="20">
                  <c:v>0</c:v>
                </c:pt>
                <c:pt idx="21">
                  <c:v>0</c:v>
                </c:pt>
                <c:pt idx="22">
                  <c:v>0</c:v>
                </c:pt>
                <c:pt idx="23">
                  <c:v>0</c:v>
                </c:pt>
                <c:pt idx="24">
                  <c:v>0</c:v>
                </c:pt>
                <c:pt idx="25">
                  <c:v>70.561300000000003</c:v>
                </c:pt>
                <c:pt idx="26">
                  <c:v>218.37479999999999</c:v>
                </c:pt>
                <c:pt idx="27">
                  <c:v>198.4828</c:v>
                </c:pt>
                <c:pt idx="28">
                  <c:v>206.02189999999999</c:v>
                </c:pt>
                <c:pt idx="29">
                  <c:v>23.941500000000001</c:v>
                </c:pt>
                <c:pt idx="30">
                  <c:v>63.821399999999997</c:v>
                </c:pt>
                <c:pt idx="31">
                  <c:v>87.122100000000003</c:v>
                </c:pt>
                <c:pt idx="32">
                  <c:v>15.0672</c:v>
                </c:pt>
                <c:pt idx="33">
                  <c:v>14.5138</c:v>
                </c:pt>
                <c:pt idx="34">
                  <c:v>20.973199999999999</c:v>
                </c:pt>
                <c:pt idx="35">
                  <c:v>3.9983</c:v>
                </c:pt>
                <c:pt idx="36">
                  <c:v>124.9059</c:v>
                </c:pt>
                <c:pt idx="37">
                  <c:v>17.169699999999999</c:v>
                </c:pt>
                <c:pt idx="38">
                  <c:v>19.916599999999999</c:v>
                </c:pt>
                <c:pt idx="39">
                  <c:v>18.860099999999999</c:v>
                </c:pt>
                <c:pt idx="40">
                  <c:v>20.8675</c:v>
                </c:pt>
                <c:pt idx="41">
                  <c:v>20.973199999999999</c:v>
                </c:pt>
                <c:pt idx="42">
                  <c:v>20.973199999999999</c:v>
                </c:pt>
                <c:pt idx="43">
                  <c:v>20.973199999999999</c:v>
                </c:pt>
                <c:pt idx="44">
                  <c:v>20.973199999999999</c:v>
                </c:pt>
                <c:pt idx="45">
                  <c:v>91.849100000000007</c:v>
                </c:pt>
              </c:numCache>
            </c:numRef>
          </c:val>
          <c:extLst>
            <c:ext xmlns:c16="http://schemas.microsoft.com/office/drawing/2014/chart" uri="{C3380CC4-5D6E-409C-BE32-E72D297353CC}">
              <c16:uniqueId val="{00000002-C59D-434E-ADB5-961CD8FCB0C6}"/>
            </c:ext>
          </c:extLst>
        </c:ser>
        <c:ser>
          <c:idx val="3"/>
          <c:order val="3"/>
          <c:tx>
            <c:strRef>
              <c:f>'Investment Needs'!$A$70:$B$70</c:f>
              <c:strCache>
                <c:ptCount val="2"/>
                <c:pt idx="0">
                  <c:v>CSP</c:v>
                </c:pt>
              </c:strCache>
            </c:strRef>
          </c:tx>
          <c:spPr>
            <a:solidFill>
              <a:schemeClr val="accent4">
                <a:lumMod val="40000"/>
                <a:lumOff val="60000"/>
              </a:schemeClr>
            </a:solidFill>
            <a:ln>
              <a:noFill/>
            </a:ln>
            <a:effectLst/>
          </c:spPr>
          <c:cat>
            <c:numRef>
              <c:f>'Investment Needs'!$C$4:$AV$4</c:f>
              <c:numCache>
                <c:formatCode>General</c:formatCode>
                <c:ptCount val="46"/>
                <c:pt idx="0">
                  <c:v>2025</c:v>
                </c:pt>
                <c:pt idx="1">
                  <c:v>2026</c:v>
                </c:pt>
                <c:pt idx="2">
                  <c:v>2027</c:v>
                </c:pt>
                <c:pt idx="3">
                  <c:v>2028</c:v>
                </c:pt>
                <c:pt idx="4">
                  <c:v>2029</c:v>
                </c:pt>
                <c:pt idx="5">
                  <c:v>2030</c:v>
                </c:pt>
                <c:pt idx="6">
                  <c:v>2031</c:v>
                </c:pt>
                <c:pt idx="7">
                  <c:v>2032</c:v>
                </c:pt>
                <c:pt idx="8">
                  <c:v>2033</c:v>
                </c:pt>
                <c:pt idx="9">
                  <c:v>2034</c:v>
                </c:pt>
                <c:pt idx="10">
                  <c:v>2035</c:v>
                </c:pt>
                <c:pt idx="11">
                  <c:v>2036</c:v>
                </c:pt>
                <c:pt idx="12">
                  <c:v>2037</c:v>
                </c:pt>
                <c:pt idx="13">
                  <c:v>2038</c:v>
                </c:pt>
                <c:pt idx="14">
                  <c:v>2039</c:v>
                </c:pt>
                <c:pt idx="15">
                  <c:v>2040</c:v>
                </c:pt>
                <c:pt idx="16">
                  <c:v>2041</c:v>
                </c:pt>
                <c:pt idx="17">
                  <c:v>2042</c:v>
                </c:pt>
                <c:pt idx="18">
                  <c:v>2043</c:v>
                </c:pt>
                <c:pt idx="19">
                  <c:v>2044</c:v>
                </c:pt>
                <c:pt idx="20">
                  <c:v>2045</c:v>
                </c:pt>
                <c:pt idx="21">
                  <c:v>2046</c:v>
                </c:pt>
                <c:pt idx="22">
                  <c:v>2047</c:v>
                </c:pt>
                <c:pt idx="23">
                  <c:v>2048</c:v>
                </c:pt>
                <c:pt idx="24">
                  <c:v>2049</c:v>
                </c:pt>
                <c:pt idx="25">
                  <c:v>2050</c:v>
                </c:pt>
                <c:pt idx="26">
                  <c:v>2051</c:v>
                </c:pt>
                <c:pt idx="27">
                  <c:v>2052</c:v>
                </c:pt>
                <c:pt idx="28">
                  <c:v>2053</c:v>
                </c:pt>
                <c:pt idx="29">
                  <c:v>2054</c:v>
                </c:pt>
                <c:pt idx="30">
                  <c:v>2055</c:v>
                </c:pt>
                <c:pt idx="31">
                  <c:v>2056</c:v>
                </c:pt>
                <c:pt idx="32">
                  <c:v>2057</c:v>
                </c:pt>
                <c:pt idx="33">
                  <c:v>2058</c:v>
                </c:pt>
                <c:pt idx="34">
                  <c:v>2059</c:v>
                </c:pt>
                <c:pt idx="35">
                  <c:v>2060</c:v>
                </c:pt>
                <c:pt idx="36">
                  <c:v>2061</c:v>
                </c:pt>
                <c:pt idx="37">
                  <c:v>2062</c:v>
                </c:pt>
                <c:pt idx="38">
                  <c:v>2063</c:v>
                </c:pt>
                <c:pt idx="39">
                  <c:v>2064</c:v>
                </c:pt>
                <c:pt idx="40">
                  <c:v>2065</c:v>
                </c:pt>
                <c:pt idx="41">
                  <c:v>2066</c:v>
                </c:pt>
                <c:pt idx="42">
                  <c:v>2067</c:v>
                </c:pt>
                <c:pt idx="43">
                  <c:v>2068</c:v>
                </c:pt>
                <c:pt idx="44">
                  <c:v>2069</c:v>
                </c:pt>
                <c:pt idx="45">
                  <c:v>2070</c:v>
                </c:pt>
              </c:numCache>
            </c:numRef>
          </c:cat>
          <c:val>
            <c:numRef>
              <c:f>'Investment Needs'!$C$70:$AV$70</c:f>
              <c:numCache>
                <c:formatCode>0.00</c:formatCode>
                <c:ptCount val="46"/>
                <c:pt idx="0">
                  <c:v>250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numCache>
            </c:numRef>
          </c:val>
          <c:extLst>
            <c:ext xmlns:c16="http://schemas.microsoft.com/office/drawing/2014/chart" uri="{C3380CC4-5D6E-409C-BE32-E72D297353CC}">
              <c16:uniqueId val="{00000003-C59D-434E-ADB5-961CD8FCB0C6}"/>
            </c:ext>
          </c:extLst>
        </c:ser>
        <c:ser>
          <c:idx val="4"/>
          <c:order val="4"/>
          <c:tx>
            <c:strRef>
              <c:f>'Investment Needs'!$A$71:$B$71</c:f>
              <c:strCache>
                <c:ptCount val="2"/>
                <c:pt idx="0">
                  <c:v>Hydropower</c:v>
                </c:pt>
              </c:strCache>
            </c:strRef>
          </c:tx>
          <c:spPr>
            <a:solidFill>
              <a:srgbClr val="4AD3FF"/>
            </a:solidFill>
            <a:ln>
              <a:noFill/>
            </a:ln>
            <a:effectLst/>
          </c:spPr>
          <c:cat>
            <c:numRef>
              <c:f>'Investment Needs'!$C$4:$AV$4</c:f>
              <c:numCache>
                <c:formatCode>General</c:formatCode>
                <c:ptCount val="46"/>
                <c:pt idx="0">
                  <c:v>2025</c:v>
                </c:pt>
                <c:pt idx="1">
                  <c:v>2026</c:v>
                </c:pt>
                <c:pt idx="2">
                  <c:v>2027</c:v>
                </c:pt>
                <c:pt idx="3">
                  <c:v>2028</c:v>
                </c:pt>
                <c:pt idx="4">
                  <c:v>2029</c:v>
                </c:pt>
                <c:pt idx="5">
                  <c:v>2030</c:v>
                </c:pt>
                <c:pt idx="6">
                  <c:v>2031</c:v>
                </c:pt>
                <c:pt idx="7">
                  <c:v>2032</c:v>
                </c:pt>
                <c:pt idx="8">
                  <c:v>2033</c:v>
                </c:pt>
                <c:pt idx="9">
                  <c:v>2034</c:v>
                </c:pt>
                <c:pt idx="10">
                  <c:v>2035</c:v>
                </c:pt>
                <c:pt idx="11">
                  <c:v>2036</c:v>
                </c:pt>
                <c:pt idx="12">
                  <c:v>2037</c:v>
                </c:pt>
                <c:pt idx="13">
                  <c:v>2038</c:v>
                </c:pt>
                <c:pt idx="14">
                  <c:v>2039</c:v>
                </c:pt>
                <c:pt idx="15">
                  <c:v>2040</c:v>
                </c:pt>
                <c:pt idx="16">
                  <c:v>2041</c:v>
                </c:pt>
                <c:pt idx="17">
                  <c:v>2042</c:v>
                </c:pt>
                <c:pt idx="18">
                  <c:v>2043</c:v>
                </c:pt>
                <c:pt idx="19">
                  <c:v>2044</c:v>
                </c:pt>
                <c:pt idx="20">
                  <c:v>2045</c:v>
                </c:pt>
                <c:pt idx="21">
                  <c:v>2046</c:v>
                </c:pt>
                <c:pt idx="22">
                  <c:v>2047</c:v>
                </c:pt>
                <c:pt idx="23">
                  <c:v>2048</c:v>
                </c:pt>
                <c:pt idx="24">
                  <c:v>2049</c:v>
                </c:pt>
                <c:pt idx="25">
                  <c:v>2050</c:v>
                </c:pt>
                <c:pt idx="26">
                  <c:v>2051</c:v>
                </c:pt>
                <c:pt idx="27">
                  <c:v>2052</c:v>
                </c:pt>
                <c:pt idx="28">
                  <c:v>2053</c:v>
                </c:pt>
                <c:pt idx="29">
                  <c:v>2054</c:v>
                </c:pt>
                <c:pt idx="30">
                  <c:v>2055</c:v>
                </c:pt>
                <c:pt idx="31">
                  <c:v>2056</c:v>
                </c:pt>
                <c:pt idx="32">
                  <c:v>2057</c:v>
                </c:pt>
                <c:pt idx="33">
                  <c:v>2058</c:v>
                </c:pt>
                <c:pt idx="34">
                  <c:v>2059</c:v>
                </c:pt>
                <c:pt idx="35">
                  <c:v>2060</c:v>
                </c:pt>
                <c:pt idx="36">
                  <c:v>2061</c:v>
                </c:pt>
                <c:pt idx="37">
                  <c:v>2062</c:v>
                </c:pt>
                <c:pt idx="38">
                  <c:v>2063</c:v>
                </c:pt>
                <c:pt idx="39">
                  <c:v>2064</c:v>
                </c:pt>
                <c:pt idx="40">
                  <c:v>2065</c:v>
                </c:pt>
                <c:pt idx="41">
                  <c:v>2066</c:v>
                </c:pt>
                <c:pt idx="42">
                  <c:v>2067</c:v>
                </c:pt>
                <c:pt idx="43">
                  <c:v>2068</c:v>
                </c:pt>
                <c:pt idx="44">
                  <c:v>2069</c:v>
                </c:pt>
                <c:pt idx="45">
                  <c:v>2070</c:v>
                </c:pt>
              </c:numCache>
            </c:numRef>
          </c:cat>
          <c:val>
            <c:numRef>
              <c:f>'Investment Needs'!$C$71:$AV$71</c:f>
              <c:numCache>
                <c:formatCode>0.00</c:formatCode>
                <c:ptCount val="46"/>
                <c:pt idx="0">
                  <c:v>1.0452999999999999</c:v>
                </c:pt>
                <c:pt idx="1">
                  <c:v>86.409599999999998</c:v>
                </c:pt>
                <c:pt idx="2">
                  <c:v>38.326900000000002</c:v>
                </c:pt>
                <c:pt idx="3">
                  <c:v>10.8012</c:v>
                </c:pt>
                <c:pt idx="4">
                  <c:v>25.7835</c:v>
                </c:pt>
                <c:pt idx="5">
                  <c:v>127.5239</c:v>
                </c:pt>
                <c:pt idx="6">
                  <c:v>97.907700000000006</c:v>
                </c:pt>
                <c:pt idx="7">
                  <c:v>63.413499999999999</c:v>
                </c:pt>
                <c:pt idx="8">
                  <c:v>112.1932</c:v>
                </c:pt>
                <c:pt idx="9">
                  <c:v>87.454899999999995</c:v>
                </c:pt>
                <c:pt idx="10">
                  <c:v>110.45099999999999</c:v>
                </c:pt>
                <c:pt idx="11">
                  <c:v>97.210899999999995</c:v>
                </c:pt>
                <c:pt idx="12">
                  <c:v>12.5433</c:v>
                </c:pt>
                <c:pt idx="13">
                  <c:v>13.5886</c:v>
                </c:pt>
                <c:pt idx="14">
                  <c:v>14.633900000000001</c:v>
                </c:pt>
                <c:pt idx="15">
                  <c:v>16.376000000000001</c:v>
                </c:pt>
                <c:pt idx="16">
                  <c:v>17.7697</c:v>
                </c:pt>
                <c:pt idx="17">
                  <c:v>19.511900000000001</c:v>
                </c:pt>
                <c:pt idx="18">
                  <c:v>21.254000000000001</c:v>
                </c:pt>
                <c:pt idx="19">
                  <c:v>22.996099999999998</c:v>
                </c:pt>
                <c:pt idx="20">
                  <c:v>25.435099999999998</c:v>
                </c:pt>
                <c:pt idx="21">
                  <c:v>27.874099999999999</c:v>
                </c:pt>
                <c:pt idx="22">
                  <c:v>30.313099999999999</c:v>
                </c:pt>
                <c:pt idx="23">
                  <c:v>33.100499999999997</c:v>
                </c:pt>
                <c:pt idx="24">
                  <c:v>36.2363</c:v>
                </c:pt>
                <c:pt idx="25">
                  <c:v>39.720599999999997</c:v>
                </c:pt>
                <c:pt idx="26">
                  <c:v>26.480399999999999</c:v>
                </c:pt>
                <c:pt idx="27">
                  <c:v>26.480399999999999</c:v>
                </c:pt>
                <c:pt idx="28">
                  <c:v>26.480399999999999</c:v>
                </c:pt>
                <c:pt idx="29">
                  <c:v>26.480399999999999</c:v>
                </c:pt>
                <c:pt idx="30">
                  <c:v>26.480399999999999</c:v>
                </c:pt>
                <c:pt idx="31">
                  <c:v>26.480399999999999</c:v>
                </c:pt>
                <c:pt idx="32">
                  <c:v>26.480399999999999</c:v>
                </c:pt>
                <c:pt idx="33">
                  <c:v>26.480399999999999</c:v>
                </c:pt>
                <c:pt idx="34">
                  <c:v>26.480399999999999</c:v>
                </c:pt>
                <c:pt idx="35">
                  <c:v>26.480399999999999</c:v>
                </c:pt>
                <c:pt idx="36">
                  <c:v>26.480399999999999</c:v>
                </c:pt>
                <c:pt idx="37">
                  <c:v>26.480399999999999</c:v>
                </c:pt>
                <c:pt idx="38">
                  <c:v>51.915500000000002</c:v>
                </c:pt>
                <c:pt idx="39">
                  <c:v>35.191000000000003</c:v>
                </c:pt>
                <c:pt idx="40">
                  <c:v>27.525700000000001</c:v>
                </c:pt>
                <c:pt idx="41">
                  <c:v>112.89</c:v>
                </c:pt>
                <c:pt idx="42">
                  <c:v>64.807199999999995</c:v>
                </c:pt>
                <c:pt idx="43">
                  <c:v>37.281599999999997</c:v>
                </c:pt>
                <c:pt idx="44">
                  <c:v>52.2639</c:v>
                </c:pt>
                <c:pt idx="45">
                  <c:v>154.0043</c:v>
                </c:pt>
              </c:numCache>
            </c:numRef>
          </c:val>
          <c:extLst>
            <c:ext xmlns:c16="http://schemas.microsoft.com/office/drawing/2014/chart" uri="{C3380CC4-5D6E-409C-BE32-E72D297353CC}">
              <c16:uniqueId val="{00000004-C59D-434E-ADB5-961CD8FCB0C6}"/>
            </c:ext>
          </c:extLst>
        </c:ser>
        <c:ser>
          <c:idx val="5"/>
          <c:order val="5"/>
          <c:tx>
            <c:strRef>
              <c:f>'Investment Needs'!$A$72:$B$72</c:f>
              <c:strCache>
                <c:ptCount val="2"/>
                <c:pt idx="0">
                  <c:v>Wind</c:v>
                </c:pt>
              </c:strCache>
            </c:strRef>
          </c:tx>
          <c:spPr>
            <a:solidFill>
              <a:srgbClr val="ABDCED"/>
            </a:solidFill>
            <a:ln>
              <a:noFill/>
            </a:ln>
            <a:effectLst/>
          </c:spPr>
          <c:cat>
            <c:numRef>
              <c:f>'Investment Needs'!$C$4:$AV$4</c:f>
              <c:numCache>
                <c:formatCode>General</c:formatCode>
                <c:ptCount val="46"/>
                <c:pt idx="0">
                  <c:v>2025</c:v>
                </c:pt>
                <c:pt idx="1">
                  <c:v>2026</c:v>
                </c:pt>
                <c:pt idx="2">
                  <c:v>2027</c:v>
                </c:pt>
                <c:pt idx="3">
                  <c:v>2028</c:v>
                </c:pt>
                <c:pt idx="4">
                  <c:v>2029</c:v>
                </c:pt>
                <c:pt idx="5">
                  <c:v>2030</c:v>
                </c:pt>
                <c:pt idx="6">
                  <c:v>2031</c:v>
                </c:pt>
                <c:pt idx="7">
                  <c:v>2032</c:v>
                </c:pt>
                <c:pt idx="8">
                  <c:v>2033</c:v>
                </c:pt>
                <c:pt idx="9">
                  <c:v>2034</c:v>
                </c:pt>
                <c:pt idx="10">
                  <c:v>2035</c:v>
                </c:pt>
                <c:pt idx="11">
                  <c:v>2036</c:v>
                </c:pt>
                <c:pt idx="12">
                  <c:v>2037</c:v>
                </c:pt>
                <c:pt idx="13">
                  <c:v>2038</c:v>
                </c:pt>
                <c:pt idx="14">
                  <c:v>2039</c:v>
                </c:pt>
                <c:pt idx="15">
                  <c:v>2040</c:v>
                </c:pt>
                <c:pt idx="16">
                  <c:v>2041</c:v>
                </c:pt>
                <c:pt idx="17">
                  <c:v>2042</c:v>
                </c:pt>
                <c:pt idx="18">
                  <c:v>2043</c:v>
                </c:pt>
                <c:pt idx="19">
                  <c:v>2044</c:v>
                </c:pt>
                <c:pt idx="20">
                  <c:v>2045</c:v>
                </c:pt>
                <c:pt idx="21">
                  <c:v>2046</c:v>
                </c:pt>
                <c:pt idx="22">
                  <c:v>2047</c:v>
                </c:pt>
                <c:pt idx="23">
                  <c:v>2048</c:v>
                </c:pt>
                <c:pt idx="24">
                  <c:v>2049</c:v>
                </c:pt>
                <c:pt idx="25">
                  <c:v>2050</c:v>
                </c:pt>
                <c:pt idx="26">
                  <c:v>2051</c:v>
                </c:pt>
                <c:pt idx="27">
                  <c:v>2052</c:v>
                </c:pt>
                <c:pt idx="28">
                  <c:v>2053</c:v>
                </c:pt>
                <c:pt idx="29">
                  <c:v>2054</c:v>
                </c:pt>
                <c:pt idx="30">
                  <c:v>2055</c:v>
                </c:pt>
                <c:pt idx="31">
                  <c:v>2056</c:v>
                </c:pt>
                <c:pt idx="32">
                  <c:v>2057</c:v>
                </c:pt>
                <c:pt idx="33">
                  <c:v>2058</c:v>
                </c:pt>
                <c:pt idx="34">
                  <c:v>2059</c:v>
                </c:pt>
                <c:pt idx="35">
                  <c:v>2060</c:v>
                </c:pt>
                <c:pt idx="36">
                  <c:v>2061</c:v>
                </c:pt>
                <c:pt idx="37">
                  <c:v>2062</c:v>
                </c:pt>
                <c:pt idx="38">
                  <c:v>2063</c:v>
                </c:pt>
                <c:pt idx="39">
                  <c:v>2064</c:v>
                </c:pt>
                <c:pt idx="40">
                  <c:v>2065</c:v>
                </c:pt>
                <c:pt idx="41">
                  <c:v>2066</c:v>
                </c:pt>
                <c:pt idx="42">
                  <c:v>2067</c:v>
                </c:pt>
                <c:pt idx="43">
                  <c:v>2068</c:v>
                </c:pt>
                <c:pt idx="44">
                  <c:v>2069</c:v>
                </c:pt>
                <c:pt idx="45">
                  <c:v>2070</c:v>
                </c:pt>
              </c:numCache>
            </c:numRef>
          </c:cat>
          <c:val>
            <c:numRef>
              <c:f>'Investment Needs'!$C$72:$AV$72</c:f>
              <c:numCache>
                <c:formatCode>0.00</c:formatCode>
                <c:ptCount val="4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numCache>
            </c:numRef>
          </c:val>
          <c:extLst>
            <c:ext xmlns:c16="http://schemas.microsoft.com/office/drawing/2014/chart" uri="{C3380CC4-5D6E-409C-BE32-E72D297353CC}">
              <c16:uniqueId val="{00000005-C59D-434E-ADB5-961CD8FCB0C6}"/>
            </c:ext>
          </c:extLst>
        </c:ser>
        <c:ser>
          <c:idx val="6"/>
          <c:order val="6"/>
          <c:tx>
            <c:strRef>
              <c:f>'Investment Needs'!$A$73:$B$73</c:f>
              <c:strCache>
                <c:ptCount val="2"/>
                <c:pt idx="0">
                  <c:v>Nuclear</c:v>
                </c:pt>
              </c:strCache>
            </c:strRef>
          </c:tx>
          <c:spPr>
            <a:solidFill>
              <a:srgbClr val="B287EE"/>
            </a:solidFill>
            <a:ln>
              <a:noFill/>
            </a:ln>
            <a:effectLst/>
          </c:spPr>
          <c:cat>
            <c:numRef>
              <c:f>'Investment Needs'!$C$4:$AV$4</c:f>
              <c:numCache>
                <c:formatCode>General</c:formatCode>
                <c:ptCount val="46"/>
                <c:pt idx="0">
                  <c:v>2025</c:v>
                </c:pt>
                <c:pt idx="1">
                  <c:v>2026</c:v>
                </c:pt>
                <c:pt idx="2">
                  <c:v>2027</c:v>
                </c:pt>
                <c:pt idx="3">
                  <c:v>2028</c:v>
                </c:pt>
                <c:pt idx="4">
                  <c:v>2029</c:v>
                </c:pt>
                <c:pt idx="5">
                  <c:v>2030</c:v>
                </c:pt>
                <c:pt idx="6">
                  <c:v>2031</c:v>
                </c:pt>
                <c:pt idx="7">
                  <c:v>2032</c:v>
                </c:pt>
                <c:pt idx="8">
                  <c:v>2033</c:v>
                </c:pt>
                <c:pt idx="9">
                  <c:v>2034</c:v>
                </c:pt>
                <c:pt idx="10">
                  <c:v>2035</c:v>
                </c:pt>
                <c:pt idx="11">
                  <c:v>2036</c:v>
                </c:pt>
                <c:pt idx="12">
                  <c:v>2037</c:v>
                </c:pt>
                <c:pt idx="13">
                  <c:v>2038</c:v>
                </c:pt>
                <c:pt idx="14">
                  <c:v>2039</c:v>
                </c:pt>
                <c:pt idx="15">
                  <c:v>2040</c:v>
                </c:pt>
                <c:pt idx="16">
                  <c:v>2041</c:v>
                </c:pt>
                <c:pt idx="17">
                  <c:v>2042</c:v>
                </c:pt>
                <c:pt idx="18">
                  <c:v>2043</c:v>
                </c:pt>
                <c:pt idx="19">
                  <c:v>2044</c:v>
                </c:pt>
                <c:pt idx="20">
                  <c:v>2045</c:v>
                </c:pt>
                <c:pt idx="21">
                  <c:v>2046</c:v>
                </c:pt>
                <c:pt idx="22">
                  <c:v>2047</c:v>
                </c:pt>
                <c:pt idx="23">
                  <c:v>2048</c:v>
                </c:pt>
                <c:pt idx="24">
                  <c:v>2049</c:v>
                </c:pt>
                <c:pt idx="25">
                  <c:v>2050</c:v>
                </c:pt>
                <c:pt idx="26">
                  <c:v>2051</c:v>
                </c:pt>
                <c:pt idx="27">
                  <c:v>2052</c:v>
                </c:pt>
                <c:pt idx="28">
                  <c:v>2053</c:v>
                </c:pt>
                <c:pt idx="29">
                  <c:v>2054</c:v>
                </c:pt>
                <c:pt idx="30">
                  <c:v>2055</c:v>
                </c:pt>
                <c:pt idx="31">
                  <c:v>2056</c:v>
                </c:pt>
                <c:pt idx="32">
                  <c:v>2057</c:v>
                </c:pt>
                <c:pt idx="33">
                  <c:v>2058</c:v>
                </c:pt>
                <c:pt idx="34">
                  <c:v>2059</c:v>
                </c:pt>
                <c:pt idx="35">
                  <c:v>2060</c:v>
                </c:pt>
                <c:pt idx="36">
                  <c:v>2061</c:v>
                </c:pt>
                <c:pt idx="37">
                  <c:v>2062</c:v>
                </c:pt>
                <c:pt idx="38">
                  <c:v>2063</c:v>
                </c:pt>
                <c:pt idx="39">
                  <c:v>2064</c:v>
                </c:pt>
                <c:pt idx="40">
                  <c:v>2065</c:v>
                </c:pt>
                <c:pt idx="41">
                  <c:v>2066</c:v>
                </c:pt>
                <c:pt idx="42">
                  <c:v>2067</c:v>
                </c:pt>
                <c:pt idx="43">
                  <c:v>2068</c:v>
                </c:pt>
                <c:pt idx="44">
                  <c:v>2069</c:v>
                </c:pt>
                <c:pt idx="45">
                  <c:v>2070</c:v>
                </c:pt>
              </c:numCache>
            </c:numRef>
          </c:cat>
          <c:val>
            <c:numRef>
              <c:f>'Investment Needs'!$C$73:$AV$73</c:f>
              <c:numCache>
                <c:formatCode>0.00</c:formatCode>
                <c:ptCount val="4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82.478899999999996</c:v>
                </c:pt>
                <c:pt idx="29">
                  <c:v>216.51509999999999</c:v>
                </c:pt>
                <c:pt idx="30">
                  <c:v>193.4906</c:v>
                </c:pt>
                <c:pt idx="31">
                  <c:v>58.627299999999998</c:v>
                </c:pt>
                <c:pt idx="32">
                  <c:v>176.16909999999999</c:v>
                </c:pt>
                <c:pt idx="33">
                  <c:v>171.6943</c:v>
                </c:pt>
                <c:pt idx="34">
                  <c:v>167.0805</c:v>
                </c:pt>
                <c:pt idx="35">
                  <c:v>161.11089999999999</c:v>
                </c:pt>
                <c:pt idx="36">
                  <c:v>74.842299999999994</c:v>
                </c:pt>
                <c:pt idx="37">
                  <c:v>165.74289999999999</c:v>
                </c:pt>
                <c:pt idx="38">
                  <c:v>166.709</c:v>
                </c:pt>
                <c:pt idx="39">
                  <c:v>166.3374</c:v>
                </c:pt>
                <c:pt idx="40">
                  <c:v>167.04339999999999</c:v>
                </c:pt>
                <c:pt idx="41">
                  <c:v>167.0805</c:v>
                </c:pt>
                <c:pt idx="42">
                  <c:v>167.0805</c:v>
                </c:pt>
                <c:pt idx="43">
                  <c:v>167.0805</c:v>
                </c:pt>
                <c:pt idx="44">
                  <c:v>167.0805</c:v>
                </c:pt>
                <c:pt idx="45">
                  <c:v>166.0471</c:v>
                </c:pt>
              </c:numCache>
            </c:numRef>
          </c:val>
          <c:extLst>
            <c:ext xmlns:c16="http://schemas.microsoft.com/office/drawing/2014/chart" uri="{C3380CC4-5D6E-409C-BE32-E72D297353CC}">
              <c16:uniqueId val="{00000006-C59D-434E-ADB5-961CD8FCB0C6}"/>
            </c:ext>
          </c:extLst>
        </c:ser>
        <c:ser>
          <c:idx val="7"/>
          <c:order val="7"/>
          <c:tx>
            <c:strRef>
              <c:f>'Investment Needs'!$A$75:$B$75</c:f>
              <c:strCache>
                <c:ptCount val="2"/>
                <c:pt idx="0">
                  <c:v>Coal</c:v>
                </c:pt>
              </c:strCache>
            </c:strRef>
          </c:tx>
          <c:spPr>
            <a:solidFill>
              <a:schemeClr val="tx1"/>
            </a:solidFill>
            <a:ln>
              <a:noFill/>
            </a:ln>
            <a:effectLst/>
          </c:spPr>
          <c:cat>
            <c:numRef>
              <c:f>'Investment Needs'!$C$4:$AV$4</c:f>
              <c:numCache>
                <c:formatCode>General</c:formatCode>
                <c:ptCount val="46"/>
                <c:pt idx="0">
                  <c:v>2025</c:v>
                </c:pt>
                <c:pt idx="1">
                  <c:v>2026</c:v>
                </c:pt>
                <c:pt idx="2">
                  <c:v>2027</c:v>
                </c:pt>
                <c:pt idx="3">
                  <c:v>2028</c:v>
                </c:pt>
                <c:pt idx="4">
                  <c:v>2029</c:v>
                </c:pt>
                <c:pt idx="5">
                  <c:v>2030</c:v>
                </c:pt>
                <c:pt idx="6">
                  <c:v>2031</c:v>
                </c:pt>
                <c:pt idx="7">
                  <c:v>2032</c:v>
                </c:pt>
                <c:pt idx="8">
                  <c:v>2033</c:v>
                </c:pt>
                <c:pt idx="9">
                  <c:v>2034</c:v>
                </c:pt>
                <c:pt idx="10">
                  <c:v>2035</c:v>
                </c:pt>
                <c:pt idx="11">
                  <c:v>2036</c:v>
                </c:pt>
                <c:pt idx="12">
                  <c:v>2037</c:v>
                </c:pt>
                <c:pt idx="13">
                  <c:v>2038</c:v>
                </c:pt>
                <c:pt idx="14">
                  <c:v>2039</c:v>
                </c:pt>
                <c:pt idx="15">
                  <c:v>2040</c:v>
                </c:pt>
                <c:pt idx="16">
                  <c:v>2041</c:v>
                </c:pt>
                <c:pt idx="17">
                  <c:v>2042</c:v>
                </c:pt>
                <c:pt idx="18">
                  <c:v>2043</c:v>
                </c:pt>
                <c:pt idx="19">
                  <c:v>2044</c:v>
                </c:pt>
                <c:pt idx="20">
                  <c:v>2045</c:v>
                </c:pt>
                <c:pt idx="21">
                  <c:v>2046</c:v>
                </c:pt>
                <c:pt idx="22">
                  <c:v>2047</c:v>
                </c:pt>
                <c:pt idx="23">
                  <c:v>2048</c:v>
                </c:pt>
                <c:pt idx="24">
                  <c:v>2049</c:v>
                </c:pt>
                <c:pt idx="25">
                  <c:v>2050</c:v>
                </c:pt>
                <c:pt idx="26">
                  <c:v>2051</c:v>
                </c:pt>
                <c:pt idx="27">
                  <c:v>2052</c:v>
                </c:pt>
                <c:pt idx="28">
                  <c:v>2053</c:v>
                </c:pt>
                <c:pt idx="29">
                  <c:v>2054</c:v>
                </c:pt>
                <c:pt idx="30">
                  <c:v>2055</c:v>
                </c:pt>
                <c:pt idx="31">
                  <c:v>2056</c:v>
                </c:pt>
                <c:pt idx="32">
                  <c:v>2057</c:v>
                </c:pt>
                <c:pt idx="33">
                  <c:v>2058</c:v>
                </c:pt>
                <c:pt idx="34">
                  <c:v>2059</c:v>
                </c:pt>
                <c:pt idx="35">
                  <c:v>2060</c:v>
                </c:pt>
                <c:pt idx="36">
                  <c:v>2061</c:v>
                </c:pt>
                <c:pt idx="37">
                  <c:v>2062</c:v>
                </c:pt>
                <c:pt idx="38">
                  <c:v>2063</c:v>
                </c:pt>
                <c:pt idx="39">
                  <c:v>2064</c:v>
                </c:pt>
                <c:pt idx="40">
                  <c:v>2065</c:v>
                </c:pt>
                <c:pt idx="41">
                  <c:v>2066</c:v>
                </c:pt>
                <c:pt idx="42">
                  <c:v>2067</c:v>
                </c:pt>
                <c:pt idx="43">
                  <c:v>2068</c:v>
                </c:pt>
                <c:pt idx="44">
                  <c:v>2069</c:v>
                </c:pt>
                <c:pt idx="45">
                  <c:v>2070</c:v>
                </c:pt>
              </c:numCache>
            </c:numRef>
          </c:cat>
          <c:val>
            <c:numRef>
              <c:f>'Investment Needs'!$C$75:$AV$75</c:f>
              <c:numCache>
                <c:formatCode>0.00</c:formatCode>
                <c:ptCount val="4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numCache>
            </c:numRef>
          </c:val>
          <c:extLst>
            <c:ext xmlns:c16="http://schemas.microsoft.com/office/drawing/2014/chart" uri="{C3380CC4-5D6E-409C-BE32-E72D297353CC}">
              <c16:uniqueId val="{00000007-C59D-434E-ADB5-961CD8FCB0C6}"/>
            </c:ext>
          </c:extLst>
        </c:ser>
        <c:ser>
          <c:idx val="8"/>
          <c:order val="8"/>
          <c:tx>
            <c:strRef>
              <c:f>'Investment Needs'!$A$76:$B$76</c:f>
              <c:strCache>
                <c:ptCount val="2"/>
                <c:pt idx="0">
                  <c:v>Gas</c:v>
                </c:pt>
              </c:strCache>
            </c:strRef>
          </c:tx>
          <c:spPr>
            <a:solidFill>
              <a:srgbClr val="B1A2C7"/>
            </a:solidFill>
            <a:ln>
              <a:noFill/>
            </a:ln>
            <a:effectLst/>
          </c:spPr>
          <c:cat>
            <c:numRef>
              <c:f>'Investment Needs'!$C$4:$AV$4</c:f>
              <c:numCache>
                <c:formatCode>General</c:formatCode>
                <c:ptCount val="46"/>
                <c:pt idx="0">
                  <c:v>2025</c:v>
                </c:pt>
                <c:pt idx="1">
                  <c:v>2026</c:v>
                </c:pt>
                <c:pt idx="2">
                  <c:v>2027</c:v>
                </c:pt>
                <c:pt idx="3">
                  <c:v>2028</c:v>
                </c:pt>
                <c:pt idx="4">
                  <c:v>2029</c:v>
                </c:pt>
                <c:pt idx="5">
                  <c:v>2030</c:v>
                </c:pt>
                <c:pt idx="6">
                  <c:v>2031</c:v>
                </c:pt>
                <c:pt idx="7">
                  <c:v>2032</c:v>
                </c:pt>
                <c:pt idx="8">
                  <c:v>2033</c:v>
                </c:pt>
                <c:pt idx="9">
                  <c:v>2034</c:v>
                </c:pt>
                <c:pt idx="10">
                  <c:v>2035</c:v>
                </c:pt>
                <c:pt idx="11">
                  <c:v>2036</c:v>
                </c:pt>
                <c:pt idx="12">
                  <c:v>2037</c:v>
                </c:pt>
                <c:pt idx="13">
                  <c:v>2038</c:v>
                </c:pt>
                <c:pt idx="14">
                  <c:v>2039</c:v>
                </c:pt>
                <c:pt idx="15">
                  <c:v>2040</c:v>
                </c:pt>
                <c:pt idx="16">
                  <c:v>2041</c:v>
                </c:pt>
                <c:pt idx="17">
                  <c:v>2042</c:v>
                </c:pt>
                <c:pt idx="18">
                  <c:v>2043</c:v>
                </c:pt>
                <c:pt idx="19">
                  <c:v>2044</c:v>
                </c:pt>
                <c:pt idx="20">
                  <c:v>2045</c:v>
                </c:pt>
                <c:pt idx="21">
                  <c:v>2046</c:v>
                </c:pt>
                <c:pt idx="22">
                  <c:v>2047</c:v>
                </c:pt>
                <c:pt idx="23">
                  <c:v>2048</c:v>
                </c:pt>
                <c:pt idx="24">
                  <c:v>2049</c:v>
                </c:pt>
                <c:pt idx="25">
                  <c:v>2050</c:v>
                </c:pt>
                <c:pt idx="26">
                  <c:v>2051</c:v>
                </c:pt>
                <c:pt idx="27">
                  <c:v>2052</c:v>
                </c:pt>
                <c:pt idx="28">
                  <c:v>2053</c:v>
                </c:pt>
                <c:pt idx="29">
                  <c:v>2054</c:v>
                </c:pt>
                <c:pt idx="30">
                  <c:v>2055</c:v>
                </c:pt>
                <c:pt idx="31">
                  <c:v>2056</c:v>
                </c:pt>
                <c:pt idx="32">
                  <c:v>2057</c:v>
                </c:pt>
                <c:pt idx="33">
                  <c:v>2058</c:v>
                </c:pt>
                <c:pt idx="34">
                  <c:v>2059</c:v>
                </c:pt>
                <c:pt idx="35">
                  <c:v>2060</c:v>
                </c:pt>
                <c:pt idx="36">
                  <c:v>2061</c:v>
                </c:pt>
                <c:pt idx="37">
                  <c:v>2062</c:v>
                </c:pt>
                <c:pt idx="38">
                  <c:v>2063</c:v>
                </c:pt>
                <c:pt idx="39">
                  <c:v>2064</c:v>
                </c:pt>
                <c:pt idx="40">
                  <c:v>2065</c:v>
                </c:pt>
                <c:pt idx="41">
                  <c:v>2066</c:v>
                </c:pt>
                <c:pt idx="42">
                  <c:v>2067</c:v>
                </c:pt>
                <c:pt idx="43">
                  <c:v>2068</c:v>
                </c:pt>
                <c:pt idx="44">
                  <c:v>2069</c:v>
                </c:pt>
                <c:pt idx="45">
                  <c:v>2070</c:v>
                </c:pt>
              </c:numCache>
            </c:numRef>
          </c:cat>
          <c:val>
            <c:numRef>
              <c:f>'Investment Needs'!$C$76:$AV$76</c:f>
              <c:numCache>
                <c:formatCode>0.00</c:formatCode>
                <c:ptCount val="46"/>
                <c:pt idx="0">
                  <c:v>0</c:v>
                </c:pt>
                <c:pt idx="1">
                  <c:v>0</c:v>
                </c:pt>
                <c:pt idx="2">
                  <c:v>83.003699999999995</c:v>
                </c:pt>
                <c:pt idx="3">
                  <c:v>19.853100000000001</c:v>
                </c:pt>
                <c:pt idx="4">
                  <c:v>0</c:v>
                </c:pt>
                <c:pt idx="5">
                  <c:v>58.285499999999999</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numCache>
            </c:numRef>
          </c:val>
          <c:extLst>
            <c:ext xmlns:c16="http://schemas.microsoft.com/office/drawing/2014/chart" uri="{C3380CC4-5D6E-409C-BE32-E72D297353CC}">
              <c16:uniqueId val="{00000008-C59D-434E-ADB5-961CD8FCB0C6}"/>
            </c:ext>
          </c:extLst>
        </c:ser>
        <c:ser>
          <c:idx val="9"/>
          <c:order val="9"/>
          <c:tx>
            <c:strRef>
              <c:f>'Investment Needs'!$A$77:$B$77</c:f>
              <c:strCache>
                <c:ptCount val="2"/>
                <c:pt idx="0">
                  <c:v>Oil</c:v>
                </c:pt>
              </c:strCache>
            </c:strRef>
          </c:tx>
          <c:spPr>
            <a:solidFill>
              <a:srgbClr val="997300"/>
            </a:solidFill>
            <a:ln>
              <a:noFill/>
            </a:ln>
            <a:effectLst/>
          </c:spPr>
          <c:cat>
            <c:numRef>
              <c:f>'Investment Needs'!$C$4:$AV$4</c:f>
              <c:numCache>
                <c:formatCode>General</c:formatCode>
                <c:ptCount val="46"/>
                <c:pt idx="0">
                  <c:v>2025</c:v>
                </c:pt>
                <c:pt idx="1">
                  <c:v>2026</c:v>
                </c:pt>
                <c:pt idx="2">
                  <c:v>2027</c:v>
                </c:pt>
                <c:pt idx="3">
                  <c:v>2028</c:v>
                </c:pt>
                <c:pt idx="4">
                  <c:v>2029</c:v>
                </c:pt>
                <c:pt idx="5">
                  <c:v>2030</c:v>
                </c:pt>
                <c:pt idx="6">
                  <c:v>2031</c:v>
                </c:pt>
                <c:pt idx="7">
                  <c:v>2032</c:v>
                </c:pt>
                <c:pt idx="8">
                  <c:v>2033</c:v>
                </c:pt>
                <c:pt idx="9">
                  <c:v>2034</c:v>
                </c:pt>
                <c:pt idx="10">
                  <c:v>2035</c:v>
                </c:pt>
                <c:pt idx="11">
                  <c:v>2036</c:v>
                </c:pt>
                <c:pt idx="12">
                  <c:v>2037</c:v>
                </c:pt>
                <c:pt idx="13">
                  <c:v>2038</c:v>
                </c:pt>
                <c:pt idx="14">
                  <c:v>2039</c:v>
                </c:pt>
                <c:pt idx="15">
                  <c:v>2040</c:v>
                </c:pt>
                <c:pt idx="16">
                  <c:v>2041</c:v>
                </c:pt>
                <c:pt idx="17">
                  <c:v>2042</c:v>
                </c:pt>
                <c:pt idx="18">
                  <c:v>2043</c:v>
                </c:pt>
                <c:pt idx="19">
                  <c:v>2044</c:v>
                </c:pt>
                <c:pt idx="20">
                  <c:v>2045</c:v>
                </c:pt>
                <c:pt idx="21">
                  <c:v>2046</c:v>
                </c:pt>
                <c:pt idx="22">
                  <c:v>2047</c:v>
                </c:pt>
                <c:pt idx="23">
                  <c:v>2048</c:v>
                </c:pt>
                <c:pt idx="24">
                  <c:v>2049</c:v>
                </c:pt>
                <c:pt idx="25">
                  <c:v>2050</c:v>
                </c:pt>
                <c:pt idx="26">
                  <c:v>2051</c:v>
                </c:pt>
                <c:pt idx="27">
                  <c:v>2052</c:v>
                </c:pt>
                <c:pt idx="28">
                  <c:v>2053</c:v>
                </c:pt>
                <c:pt idx="29">
                  <c:v>2054</c:v>
                </c:pt>
                <c:pt idx="30">
                  <c:v>2055</c:v>
                </c:pt>
                <c:pt idx="31">
                  <c:v>2056</c:v>
                </c:pt>
                <c:pt idx="32">
                  <c:v>2057</c:v>
                </c:pt>
                <c:pt idx="33">
                  <c:v>2058</c:v>
                </c:pt>
                <c:pt idx="34">
                  <c:v>2059</c:v>
                </c:pt>
                <c:pt idx="35">
                  <c:v>2060</c:v>
                </c:pt>
                <c:pt idx="36">
                  <c:v>2061</c:v>
                </c:pt>
                <c:pt idx="37">
                  <c:v>2062</c:v>
                </c:pt>
                <c:pt idx="38">
                  <c:v>2063</c:v>
                </c:pt>
                <c:pt idx="39">
                  <c:v>2064</c:v>
                </c:pt>
                <c:pt idx="40">
                  <c:v>2065</c:v>
                </c:pt>
                <c:pt idx="41">
                  <c:v>2066</c:v>
                </c:pt>
                <c:pt idx="42">
                  <c:v>2067</c:v>
                </c:pt>
                <c:pt idx="43">
                  <c:v>2068</c:v>
                </c:pt>
                <c:pt idx="44">
                  <c:v>2069</c:v>
                </c:pt>
                <c:pt idx="45">
                  <c:v>2070</c:v>
                </c:pt>
              </c:numCache>
            </c:numRef>
          </c:cat>
          <c:val>
            <c:numRef>
              <c:f>'Investment Needs'!$C$77:$AV$77</c:f>
              <c:numCache>
                <c:formatCode>0.00</c:formatCode>
                <c:ptCount val="46"/>
                <c:pt idx="0">
                  <c:v>191.74850000000001</c:v>
                </c:pt>
                <c:pt idx="1">
                  <c:v>168.75149999999999</c:v>
                </c:pt>
                <c:pt idx="2">
                  <c:v>318.42430000000002</c:v>
                </c:pt>
                <c:pt idx="3">
                  <c:v>348.27910000000003</c:v>
                </c:pt>
                <c:pt idx="4">
                  <c:v>393.27809999999999</c:v>
                </c:pt>
                <c:pt idx="5">
                  <c:v>384.60899999999998</c:v>
                </c:pt>
                <c:pt idx="6">
                  <c:v>367.28100000000001</c:v>
                </c:pt>
                <c:pt idx="7">
                  <c:v>424.66340000000002</c:v>
                </c:pt>
                <c:pt idx="8">
                  <c:v>412.65969999999999</c:v>
                </c:pt>
                <c:pt idx="9">
                  <c:v>451.13389999999998</c:v>
                </c:pt>
                <c:pt idx="10">
                  <c:v>467.86290000000002</c:v>
                </c:pt>
                <c:pt idx="11">
                  <c:v>480.09649999999999</c:v>
                </c:pt>
                <c:pt idx="12">
                  <c:v>576.42809999999997</c:v>
                </c:pt>
                <c:pt idx="13">
                  <c:v>600.44949999999994</c:v>
                </c:pt>
                <c:pt idx="14">
                  <c:v>634.87180000000001</c:v>
                </c:pt>
                <c:pt idx="15">
                  <c:v>673.11329999999998</c:v>
                </c:pt>
                <c:pt idx="16">
                  <c:v>709.20740000000001</c:v>
                </c:pt>
                <c:pt idx="17">
                  <c:v>734.02239999999995</c:v>
                </c:pt>
                <c:pt idx="18">
                  <c:v>782.83709999999996</c:v>
                </c:pt>
                <c:pt idx="19">
                  <c:v>824.60590000000002</c:v>
                </c:pt>
                <c:pt idx="20">
                  <c:v>871.80160000000001</c:v>
                </c:pt>
                <c:pt idx="21">
                  <c:v>920.02179999999998</c:v>
                </c:pt>
                <c:pt idx="22">
                  <c:v>969.0675</c:v>
                </c:pt>
                <c:pt idx="23">
                  <c:v>1024.625</c:v>
                </c:pt>
                <c:pt idx="24">
                  <c:v>1081.2863</c:v>
                </c:pt>
                <c:pt idx="25">
                  <c:v>1138.7645</c:v>
                </c:pt>
                <c:pt idx="26">
                  <c:v>897.2713</c:v>
                </c:pt>
                <c:pt idx="27">
                  <c:v>897.2713</c:v>
                </c:pt>
                <c:pt idx="28">
                  <c:v>897.2713</c:v>
                </c:pt>
                <c:pt idx="29">
                  <c:v>897.2713</c:v>
                </c:pt>
                <c:pt idx="30">
                  <c:v>897.2713</c:v>
                </c:pt>
                <c:pt idx="31">
                  <c:v>897.2713</c:v>
                </c:pt>
                <c:pt idx="32">
                  <c:v>897.2713</c:v>
                </c:pt>
                <c:pt idx="33">
                  <c:v>897.2713</c:v>
                </c:pt>
                <c:pt idx="34">
                  <c:v>897.2713</c:v>
                </c:pt>
                <c:pt idx="35">
                  <c:v>897.2713</c:v>
                </c:pt>
                <c:pt idx="36">
                  <c:v>897.2713</c:v>
                </c:pt>
                <c:pt idx="37">
                  <c:v>897.2713</c:v>
                </c:pt>
                <c:pt idx="38">
                  <c:v>897.2713</c:v>
                </c:pt>
                <c:pt idx="39">
                  <c:v>897.2713</c:v>
                </c:pt>
                <c:pt idx="40">
                  <c:v>897.2713</c:v>
                </c:pt>
                <c:pt idx="41">
                  <c:v>897.2713</c:v>
                </c:pt>
                <c:pt idx="42">
                  <c:v>897.2713</c:v>
                </c:pt>
                <c:pt idx="43">
                  <c:v>897.2713</c:v>
                </c:pt>
                <c:pt idx="44">
                  <c:v>897.2713</c:v>
                </c:pt>
                <c:pt idx="45">
                  <c:v>897.2713</c:v>
                </c:pt>
              </c:numCache>
            </c:numRef>
          </c:val>
          <c:extLst>
            <c:ext xmlns:c16="http://schemas.microsoft.com/office/drawing/2014/chart" uri="{C3380CC4-5D6E-409C-BE32-E72D297353CC}">
              <c16:uniqueId val="{00000009-C59D-434E-ADB5-961CD8FCB0C6}"/>
            </c:ext>
          </c:extLst>
        </c:ser>
        <c:ser>
          <c:idx val="10"/>
          <c:order val="10"/>
          <c:tx>
            <c:v>Transmission</c:v>
          </c:tx>
          <c:spPr>
            <a:solidFill>
              <a:schemeClr val="accent5">
                <a:lumMod val="60000"/>
              </a:schemeClr>
            </a:solidFill>
            <a:ln w="25400">
              <a:noFill/>
            </a:ln>
            <a:effectLst/>
          </c:spPr>
          <c:cat>
            <c:numRef>
              <c:f>'Investment Needs'!$C$4:$AV$4</c:f>
              <c:numCache>
                <c:formatCode>General</c:formatCode>
                <c:ptCount val="46"/>
                <c:pt idx="0">
                  <c:v>2025</c:v>
                </c:pt>
                <c:pt idx="1">
                  <c:v>2026</c:v>
                </c:pt>
                <c:pt idx="2">
                  <c:v>2027</c:v>
                </c:pt>
                <c:pt idx="3">
                  <c:v>2028</c:v>
                </c:pt>
                <c:pt idx="4">
                  <c:v>2029</c:v>
                </c:pt>
                <c:pt idx="5">
                  <c:v>2030</c:v>
                </c:pt>
                <c:pt idx="6">
                  <c:v>2031</c:v>
                </c:pt>
                <c:pt idx="7">
                  <c:v>2032</c:v>
                </c:pt>
                <c:pt idx="8">
                  <c:v>2033</c:v>
                </c:pt>
                <c:pt idx="9">
                  <c:v>2034</c:v>
                </c:pt>
                <c:pt idx="10">
                  <c:v>2035</c:v>
                </c:pt>
                <c:pt idx="11">
                  <c:v>2036</c:v>
                </c:pt>
                <c:pt idx="12">
                  <c:v>2037</c:v>
                </c:pt>
                <c:pt idx="13">
                  <c:v>2038</c:v>
                </c:pt>
                <c:pt idx="14">
                  <c:v>2039</c:v>
                </c:pt>
                <c:pt idx="15">
                  <c:v>2040</c:v>
                </c:pt>
                <c:pt idx="16">
                  <c:v>2041</c:v>
                </c:pt>
                <c:pt idx="17">
                  <c:v>2042</c:v>
                </c:pt>
                <c:pt idx="18">
                  <c:v>2043</c:v>
                </c:pt>
                <c:pt idx="19">
                  <c:v>2044</c:v>
                </c:pt>
                <c:pt idx="20">
                  <c:v>2045</c:v>
                </c:pt>
                <c:pt idx="21">
                  <c:v>2046</c:v>
                </c:pt>
                <c:pt idx="22">
                  <c:v>2047</c:v>
                </c:pt>
                <c:pt idx="23">
                  <c:v>2048</c:v>
                </c:pt>
                <c:pt idx="24">
                  <c:v>2049</c:v>
                </c:pt>
                <c:pt idx="25">
                  <c:v>2050</c:v>
                </c:pt>
                <c:pt idx="26">
                  <c:v>2051</c:v>
                </c:pt>
                <c:pt idx="27">
                  <c:v>2052</c:v>
                </c:pt>
                <c:pt idx="28">
                  <c:v>2053</c:v>
                </c:pt>
                <c:pt idx="29">
                  <c:v>2054</c:v>
                </c:pt>
                <c:pt idx="30">
                  <c:v>2055</c:v>
                </c:pt>
                <c:pt idx="31">
                  <c:v>2056</c:v>
                </c:pt>
                <c:pt idx="32">
                  <c:v>2057</c:v>
                </c:pt>
                <c:pt idx="33">
                  <c:v>2058</c:v>
                </c:pt>
                <c:pt idx="34">
                  <c:v>2059</c:v>
                </c:pt>
                <c:pt idx="35">
                  <c:v>2060</c:v>
                </c:pt>
                <c:pt idx="36">
                  <c:v>2061</c:v>
                </c:pt>
                <c:pt idx="37">
                  <c:v>2062</c:v>
                </c:pt>
                <c:pt idx="38">
                  <c:v>2063</c:v>
                </c:pt>
                <c:pt idx="39">
                  <c:v>2064</c:v>
                </c:pt>
                <c:pt idx="40">
                  <c:v>2065</c:v>
                </c:pt>
                <c:pt idx="41">
                  <c:v>2066</c:v>
                </c:pt>
                <c:pt idx="42">
                  <c:v>2067</c:v>
                </c:pt>
                <c:pt idx="43">
                  <c:v>2068</c:v>
                </c:pt>
                <c:pt idx="44">
                  <c:v>2069</c:v>
                </c:pt>
                <c:pt idx="45">
                  <c:v>2070</c:v>
                </c:pt>
              </c:numCache>
            </c:numRef>
          </c:cat>
          <c:val>
            <c:numRef>
              <c:f>'Investment Needs'!#REF!</c:f>
              <c:numCache>
                <c:formatCode>General</c:formatCode>
                <c:ptCount val="1"/>
                <c:pt idx="0">
                  <c:v>1</c:v>
                </c:pt>
              </c:numCache>
            </c:numRef>
          </c:val>
          <c:extLst>
            <c:ext xmlns:c16="http://schemas.microsoft.com/office/drawing/2014/chart" uri="{C3380CC4-5D6E-409C-BE32-E72D297353CC}">
              <c16:uniqueId val="{0000000A-C59D-434E-ADB5-961CD8FCB0C6}"/>
            </c:ext>
          </c:extLst>
        </c:ser>
        <c:ser>
          <c:idx val="11"/>
          <c:order val="11"/>
          <c:tx>
            <c:v>Distribution</c:v>
          </c:tx>
          <c:spPr>
            <a:solidFill>
              <a:schemeClr val="accent6">
                <a:lumMod val="60000"/>
              </a:schemeClr>
            </a:solidFill>
            <a:ln w="25400">
              <a:noFill/>
            </a:ln>
            <a:effectLst/>
          </c:spPr>
          <c:cat>
            <c:numRef>
              <c:f>'Investment Needs'!$C$4:$AV$4</c:f>
              <c:numCache>
                <c:formatCode>General</c:formatCode>
                <c:ptCount val="46"/>
                <c:pt idx="0">
                  <c:v>2025</c:v>
                </c:pt>
                <c:pt idx="1">
                  <c:v>2026</c:v>
                </c:pt>
                <c:pt idx="2">
                  <c:v>2027</c:v>
                </c:pt>
                <c:pt idx="3">
                  <c:v>2028</c:v>
                </c:pt>
                <c:pt idx="4">
                  <c:v>2029</c:v>
                </c:pt>
                <c:pt idx="5">
                  <c:v>2030</c:v>
                </c:pt>
                <c:pt idx="6">
                  <c:v>2031</c:v>
                </c:pt>
                <c:pt idx="7">
                  <c:v>2032</c:v>
                </c:pt>
                <c:pt idx="8">
                  <c:v>2033</c:v>
                </c:pt>
                <c:pt idx="9">
                  <c:v>2034</c:v>
                </c:pt>
                <c:pt idx="10">
                  <c:v>2035</c:v>
                </c:pt>
                <c:pt idx="11">
                  <c:v>2036</c:v>
                </c:pt>
                <c:pt idx="12">
                  <c:v>2037</c:v>
                </c:pt>
                <c:pt idx="13">
                  <c:v>2038</c:v>
                </c:pt>
                <c:pt idx="14">
                  <c:v>2039</c:v>
                </c:pt>
                <c:pt idx="15">
                  <c:v>2040</c:v>
                </c:pt>
                <c:pt idx="16">
                  <c:v>2041</c:v>
                </c:pt>
                <c:pt idx="17">
                  <c:v>2042</c:v>
                </c:pt>
                <c:pt idx="18">
                  <c:v>2043</c:v>
                </c:pt>
                <c:pt idx="19">
                  <c:v>2044</c:v>
                </c:pt>
                <c:pt idx="20">
                  <c:v>2045</c:v>
                </c:pt>
                <c:pt idx="21">
                  <c:v>2046</c:v>
                </c:pt>
                <c:pt idx="22">
                  <c:v>2047</c:v>
                </c:pt>
                <c:pt idx="23">
                  <c:v>2048</c:v>
                </c:pt>
                <c:pt idx="24">
                  <c:v>2049</c:v>
                </c:pt>
                <c:pt idx="25">
                  <c:v>2050</c:v>
                </c:pt>
                <c:pt idx="26">
                  <c:v>2051</c:v>
                </c:pt>
                <c:pt idx="27">
                  <c:v>2052</c:v>
                </c:pt>
                <c:pt idx="28">
                  <c:v>2053</c:v>
                </c:pt>
                <c:pt idx="29">
                  <c:v>2054</c:v>
                </c:pt>
                <c:pt idx="30">
                  <c:v>2055</c:v>
                </c:pt>
                <c:pt idx="31">
                  <c:v>2056</c:v>
                </c:pt>
                <c:pt idx="32">
                  <c:v>2057</c:v>
                </c:pt>
                <c:pt idx="33">
                  <c:v>2058</c:v>
                </c:pt>
                <c:pt idx="34">
                  <c:v>2059</c:v>
                </c:pt>
                <c:pt idx="35">
                  <c:v>2060</c:v>
                </c:pt>
                <c:pt idx="36">
                  <c:v>2061</c:v>
                </c:pt>
                <c:pt idx="37">
                  <c:v>2062</c:v>
                </c:pt>
                <c:pt idx="38">
                  <c:v>2063</c:v>
                </c:pt>
                <c:pt idx="39">
                  <c:v>2064</c:v>
                </c:pt>
                <c:pt idx="40">
                  <c:v>2065</c:v>
                </c:pt>
                <c:pt idx="41">
                  <c:v>2066</c:v>
                </c:pt>
                <c:pt idx="42">
                  <c:v>2067</c:v>
                </c:pt>
                <c:pt idx="43">
                  <c:v>2068</c:v>
                </c:pt>
                <c:pt idx="44">
                  <c:v>2069</c:v>
                </c:pt>
                <c:pt idx="45">
                  <c:v>2070</c:v>
                </c:pt>
              </c:numCache>
            </c:numRef>
          </c:cat>
          <c:val>
            <c:numRef>
              <c:f>'Investment Needs'!#REF!</c:f>
              <c:numCache>
                <c:formatCode>General</c:formatCode>
                <c:ptCount val="1"/>
                <c:pt idx="0">
                  <c:v>1</c:v>
                </c:pt>
              </c:numCache>
            </c:numRef>
          </c:val>
          <c:extLst>
            <c:ext xmlns:c16="http://schemas.microsoft.com/office/drawing/2014/chart" uri="{C3380CC4-5D6E-409C-BE32-E72D297353CC}">
              <c16:uniqueId val="{0000000B-C59D-434E-ADB5-961CD8FCB0C6}"/>
            </c:ext>
          </c:extLst>
        </c:ser>
        <c:ser>
          <c:idx val="12"/>
          <c:order val="12"/>
          <c:tx>
            <c:strRef>
              <c:f>'Investment Needs'!$A$81</c:f>
              <c:strCache>
                <c:ptCount val="1"/>
                <c:pt idx="0">
                  <c:v>Other</c:v>
                </c:pt>
              </c:strCache>
            </c:strRef>
          </c:tx>
          <c:spPr>
            <a:solidFill>
              <a:srgbClr val="44536A"/>
            </a:solidFill>
            <a:ln>
              <a:noFill/>
            </a:ln>
            <a:effectLst/>
          </c:spPr>
          <c:val>
            <c:numRef>
              <c:f>'Investment Needs'!$C$81:$AV$81</c:f>
              <c:numCache>
                <c:formatCode>0.00</c:formatCode>
                <c:ptCount val="4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numCache>
            </c:numRef>
          </c:val>
          <c:extLst>
            <c:ext xmlns:c16="http://schemas.microsoft.com/office/drawing/2014/chart" uri="{C3380CC4-5D6E-409C-BE32-E72D297353CC}">
              <c16:uniqueId val="{00000001-7861-A346-A6DD-18D71A2CFE1D}"/>
            </c:ext>
          </c:extLst>
        </c:ser>
        <c:dLbls>
          <c:showLegendKey val="0"/>
          <c:showVal val="0"/>
          <c:showCatName val="0"/>
          <c:showSerName val="0"/>
          <c:showPercent val="0"/>
          <c:showBubbleSize val="0"/>
        </c:dLbls>
        <c:axId val="162443983"/>
        <c:axId val="161903743"/>
      </c:areaChart>
      <c:catAx>
        <c:axId val="162443983"/>
        <c:scaling>
          <c:orientation val="minMax"/>
        </c:scaling>
        <c:delete val="0"/>
        <c:axPos val="b"/>
        <c:title>
          <c:tx>
            <c:rich>
              <a:bodyPr rot="0" spcFirstLastPara="1" vertOverflow="ellipsis" vert="horz" wrap="square" anchor="ctr" anchorCtr="1"/>
              <a:lstStyle/>
              <a:p>
                <a:pPr>
                  <a:defRPr sz="1600" b="0" i="0" u="none" strike="noStrike" kern="1200" baseline="0">
                    <a:solidFill>
                      <a:schemeClr val="tx1"/>
                    </a:solidFill>
                    <a:latin typeface="+mn-lt"/>
                    <a:ea typeface="+mn-ea"/>
                    <a:cs typeface="+mn-cs"/>
                  </a:defRPr>
                </a:pPr>
                <a:r>
                  <a:rPr lang="en-GB"/>
                  <a:t>Year</a:t>
                </a:r>
              </a:p>
            </c:rich>
          </c:tx>
          <c:overlay val="0"/>
          <c:spPr>
            <a:noFill/>
            <a:ln>
              <a:noFill/>
            </a:ln>
            <a:effectLst/>
          </c:spPr>
          <c:txPr>
            <a:bodyPr rot="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crossAx val="161903743"/>
        <c:crosses val="autoZero"/>
        <c:auto val="1"/>
        <c:lblAlgn val="ctr"/>
        <c:lblOffset val="100"/>
        <c:tickLblSkip val="5"/>
        <c:noMultiLvlLbl val="0"/>
      </c:catAx>
      <c:valAx>
        <c:axId val="16190374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600" b="0" i="0" u="none" strike="noStrike" kern="1200" baseline="0">
                    <a:solidFill>
                      <a:schemeClr val="tx1"/>
                    </a:solidFill>
                    <a:latin typeface="+mn-lt"/>
                    <a:ea typeface="+mn-ea"/>
                    <a:cs typeface="+mn-cs"/>
                  </a:defRPr>
                </a:pPr>
                <a:r>
                  <a:rPr lang="en-GB"/>
                  <a:t>Million US$</a:t>
                </a:r>
              </a:p>
            </c:rich>
          </c:tx>
          <c:overlay val="0"/>
          <c:spPr>
            <a:noFill/>
            <a:ln>
              <a:noFill/>
            </a:ln>
            <a:effectLst/>
          </c:spPr>
          <c:txPr>
            <a:bodyPr rot="-540000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title>
        <c:numFmt formatCode="[$$-409]#,##0" sourceLinked="0"/>
        <c:majorTickMark val="none"/>
        <c:minorTickMark val="none"/>
        <c:tickLblPos val="nextTo"/>
        <c:spPr>
          <a:noFill/>
          <a:ln>
            <a:noFill/>
          </a:ln>
          <a:effectLst/>
        </c:spPr>
        <c:txPr>
          <a:bodyPr rot="-6000000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crossAx val="162443983"/>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sz="1600">
          <a:solidFill>
            <a:schemeClr val="tx1"/>
          </a:solidFill>
        </a:defRPr>
      </a:pPr>
      <a:endParaRPr lang="en-US"/>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920" b="0" i="0" u="none" strike="noStrike" kern="1200" spc="0" baseline="0">
                <a:solidFill>
                  <a:schemeClr val="tx1"/>
                </a:solidFill>
                <a:latin typeface="+mn-lt"/>
                <a:ea typeface="+mn-ea"/>
                <a:cs typeface="+mn-cs"/>
              </a:defRPr>
            </a:pPr>
            <a:r>
              <a:rPr lang="en-GB"/>
              <a:t>Delta Capital Cost NZ</a:t>
            </a:r>
            <a:r>
              <a:rPr lang="en-GB" baseline="0"/>
              <a:t> vs LC</a:t>
            </a:r>
            <a:r>
              <a:rPr lang="en-GB"/>
              <a:t> </a:t>
            </a:r>
          </a:p>
        </c:rich>
      </c:tx>
      <c:overlay val="0"/>
      <c:spPr>
        <a:noFill/>
        <a:ln>
          <a:noFill/>
        </a:ln>
        <a:effectLst/>
      </c:spPr>
      <c:txPr>
        <a:bodyPr rot="0" spcFirstLastPara="1" vertOverflow="ellipsis" vert="horz" wrap="square" anchor="ctr" anchorCtr="1"/>
        <a:lstStyle/>
        <a:p>
          <a:pPr>
            <a:defRPr sz="1920" b="0" i="0" u="none" strike="noStrike" kern="1200" spc="0" baseline="0">
              <a:solidFill>
                <a:schemeClr val="tx1"/>
              </a:solidFill>
              <a:latin typeface="+mn-lt"/>
              <a:ea typeface="+mn-ea"/>
              <a:cs typeface="+mn-cs"/>
            </a:defRPr>
          </a:pPr>
          <a:endParaRPr lang="en-US"/>
        </a:p>
      </c:txPr>
    </c:title>
    <c:autoTitleDeleted val="0"/>
    <c:plotArea>
      <c:layout/>
      <c:lineChart>
        <c:grouping val="standard"/>
        <c:varyColors val="0"/>
        <c:ser>
          <c:idx val="0"/>
          <c:order val="0"/>
          <c:tx>
            <c:strRef>
              <c:f>'OSeMOSYS (Input)'!$B$138</c:f>
              <c:strCache>
                <c:ptCount val="1"/>
                <c:pt idx="0">
                  <c:v>NetZero</c:v>
                </c:pt>
              </c:strCache>
            </c:strRef>
          </c:tx>
          <c:spPr>
            <a:ln w="31750" cap="rnd">
              <a:solidFill>
                <a:srgbClr val="69F297"/>
              </a:solidFill>
              <a:round/>
            </a:ln>
            <a:effectLst/>
          </c:spPr>
          <c:marker>
            <c:symbol val="none"/>
          </c:marker>
          <c:cat>
            <c:numRef>
              <c:f>'OSeMOSYS (Input)'!$A$139:$A$184</c:f>
              <c:numCache>
                <c:formatCode>General</c:formatCode>
                <c:ptCount val="46"/>
                <c:pt idx="0">
                  <c:v>2025</c:v>
                </c:pt>
                <c:pt idx="1">
                  <c:v>2026</c:v>
                </c:pt>
                <c:pt idx="2">
                  <c:v>2027</c:v>
                </c:pt>
                <c:pt idx="3">
                  <c:v>2028</c:v>
                </c:pt>
                <c:pt idx="4">
                  <c:v>2029</c:v>
                </c:pt>
                <c:pt idx="5">
                  <c:v>2030</c:v>
                </c:pt>
                <c:pt idx="6">
                  <c:v>2031</c:v>
                </c:pt>
                <c:pt idx="7">
                  <c:v>2032</c:v>
                </c:pt>
                <c:pt idx="8">
                  <c:v>2033</c:v>
                </c:pt>
                <c:pt idx="9">
                  <c:v>2034</c:v>
                </c:pt>
                <c:pt idx="10">
                  <c:v>2035</c:v>
                </c:pt>
                <c:pt idx="11">
                  <c:v>2036</c:v>
                </c:pt>
                <c:pt idx="12">
                  <c:v>2037</c:v>
                </c:pt>
                <c:pt idx="13">
                  <c:v>2038</c:v>
                </c:pt>
                <c:pt idx="14">
                  <c:v>2039</c:v>
                </c:pt>
                <c:pt idx="15">
                  <c:v>2040</c:v>
                </c:pt>
                <c:pt idx="16">
                  <c:v>2041</c:v>
                </c:pt>
                <c:pt idx="17">
                  <c:v>2042</c:v>
                </c:pt>
                <c:pt idx="18">
                  <c:v>2043</c:v>
                </c:pt>
                <c:pt idx="19">
                  <c:v>2044</c:v>
                </c:pt>
                <c:pt idx="20">
                  <c:v>2045</c:v>
                </c:pt>
                <c:pt idx="21">
                  <c:v>2046</c:v>
                </c:pt>
                <c:pt idx="22">
                  <c:v>2047</c:v>
                </c:pt>
                <c:pt idx="23">
                  <c:v>2048</c:v>
                </c:pt>
                <c:pt idx="24">
                  <c:v>2049</c:v>
                </c:pt>
                <c:pt idx="25">
                  <c:v>2050</c:v>
                </c:pt>
                <c:pt idx="26">
                  <c:v>2051</c:v>
                </c:pt>
                <c:pt idx="27">
                  <c:v>2052</c:v>
                </c:pt>
                <c:pt idx="28">
                  <c:v>2053</c:v>
                </c:pt>
                <c:pt idx="29">
                  <c:v>2054</c:v>
                </c:pt>
                <c:pt idx="30">
                  <c:v>2055</c:v>
                </c:pt>
                <c:pt idx="31">
                  <c:v>2056</c:v>
                </c:pt>
                <c:pt idx="32">
                  <c:v>2057</c:v>
                </c:pt>
                <c:pt idx="33">
                  <c:v>2058</c:v>
                </c:pt>
                <c:pt idx="34">
                  <c:v>2059</c:v>
                </c:pt>
                <c:pt idx="35">
                  <c:v>2060</c:v>
                </c:pt>
                <c:pt idx="36">
                  <c:v>2061</c:v>
                </c:pt>
                <c:pt idx="37">
                  <c:v>2062</c:v>
                </c:pt>
                <c:pt idx="38">
                  <c:v>2063</c:v>
                </c:pt>
                <c:pt idx="39">
                  <c:v>2064</c:v>
                </c:pt>
                <c:pt idx="40">
                  <c:v>2065</c:v>
                </c:pt>
                <c:pt idx="41">
                  <c:v>2066</c:v>
                </c:pt>
                <c:pt idx="42">
                  <c:v>2067</c:v>
                </c:pt>
                <c:pt idx="43">
                  <c:v>2068</c:v>
                </c:pt>
                <c:pt idx="44">
                  <c:v>2069</c:v>
                </c:pt>
                <c:pt idx="45">
                  <c:v>2070</c:v>
                </c:pt>
              </c:numCache>
            </c:numRef>
          </c:cat>
          <c:val>
            <c:numRef>
              <c:f>'OSeMOSYS (Input)'!$B$139:$B$184</c:f>
              <c:numCache>
                <c:formatCode>[$$-409]#,##0.00</c:formatCode>
                <c:ptCount val="46"/>
                <c:pt idx="0">
                  <c:v>869.34389999999996</c:v>
                </c:pt>
                <c:pt idx="1">
                  <c:v>978.1742999999999</c:v>
                </c:pt>
                <c:pt idx="2">
                  <c:v>966.77909999999997</c:v>
                </c:pt>
                <c:pt idx="3">
                  <c:v>954.4079999999999</c:v>
                </c:pt>
                <c:pt idx="4">
                  <c:v>1637.2811999999999</c:v>
                </c:pt>
                <c:pt idx="5">
                  <c:v>1393.0034000000001</c:v>
                </c:pt>
                <c:pt idx="6">
                  <c:v>1100.6995999999999</c:v>
                </c:pt>
                <c:pt idx="7">
                  <c:v>1235.2891</c:v>
                </c:pt>
                <c:pt idx="8">
                  <c:v>1355.3974999999998</c:v>
                </c:pt>
                <c:pt idx="9">
                  <c:v>1222.0521999999999</c:v>
                </c:pt>
                <c:pt idx="10">
                  <c:v>1399.2402</c:v>
                </c:pt>
                <c:pt idx="11">
                  <c:v>1388.3742999999999</c:v>
                </c:pt>
                <c:pt idx="12">
                  <c:v>1462.7921000000001</c:v>
                </c:pt>
                <c:pt idx="13">
                  <c:v>2319.5680000000002</c:v>
                </c:pt>
                <c:pt idx="14">
                  <c:v>1759.1959999999999</c:v>
                </c:pt>
                <c:pt idx="15">
                  <c:v>2280.2152000000001</c:v>
                </c:pt>
                <c:pt idx="16">
                  <c:v>2912.7730000000001</c:v>
                </c:pt>
                <c:pt idx="17">
                  <c:v>2324.5971</c:v>
                </c:pt>
                <c:pt idx="18">
                  <c:v>2512.7969000000003</c:v>
                </c:pt>
                <c:pt idx="19">
                  <c:v>2340.5734000000002</c:v>
                </c:pt>
                <c:pt idx="20">
                  <c:v>3156.0230000000001</c:v>
                </c:pt>
                <c:pt idx="21">
                  <c:v>2700.3806999999997</c:v>
                </c:pt>
                <c:pt idx="22">
                  <c:v>3222.1208000000001</c:v>
                </c:pt>
                <c:pt idx="23">
                  <c:v>3231.7494999999999</c:v>
                </c:pt>
                <c:pt idx="24">
                  <c:v>3032.5613000000003</c:v>
                </c:pt>
                <c:pt idx="25">
                  <c:v>4300.7791999999999</c:v>
                </c:pt>
                <c:pt idx="26">
                  <c:v>3000.1952999999999</c:v>
                </c:pt>
                <c:pt idx="27">
                  <c:v>3232.7716</c:v>
                </c:pt>
                <c:pt idx="28">
                  <c:v>3283.3761999999997</c:v>
                </c:pt>
                <c:pt idx="29">
                  <c:v>3774.3104999999996</c:v>
                </c:pt>
                <c:pt idx="30">
                  <c:v>3212.1869999999999</c:v>
                </c:pt>
                <c:pt idx="31">
                  <c:v>3075.7915999999996</c:v>
                </c:pt>
                <c:pt idx="32">
                  <c:v>3009.4551000000001</c:v>
                </c:pt>
                <c:pt idx="33">
                  <c:v>3845.5776999999998</c:v>
                </c:pt>
                <c:pt idx="34">
                  <c:v>3232.8176999999996</c:v>
                </c:pt>
                <c:pt idx="35">
                  <c:v>2942.6376999999998</c:v>
                </c:pt>
                <c:pt idx="36">
                  <c:v>4406.2563999999993</c:v>
                </c:pt>
                <c:pt idx="37">
                  <c:v>4283.6018999999997</c:v>
                </c:pt>
                <c:pt idx="38">
                  <c:v>4373.6252999999997</c:v>
                </c:pt>
                <c:pt idx="39">
                  <c:v>4531.098</c:v>
                </c:pt>
                <c:pt idx="40">
                  <c:v>5703.2318000000005</c:v>
                </c:pt>
                <c:pt idx="41">
                  <c:v>4743.5778</c:v>
                </c:pt>
                <c:pt idx="42">
                  <c:v>4528.4947000000002</c:v>
                </c:pt>
                <c:pt idx="43">
                  <c:v>4389.2950999999994</c:v>
                </c:pt>
                <c:pt idx="44">
                  <c:v>4220.2814000000008</c:v>
                </c:pt>
                <c:pt idx="45">
                  <c:v>5304.8157000000001</c:v>
                </c:pt>
              </c:numCache>
            </c:numRef>
          </c:val>
          <c:smooth val="0"/>
          <c:extLst>
            <c:ext xmlns:c16="http://schemas.microsoft.com/office/drawing/2014/chart" uri="{C3380CC4-5D6E-409C-BE32-E72D297353CC}">
              <c16:uniqueId val="{00000000-2FCA-B943-B6D0-8FADD88E5997}"/>
            </c:ext>
          </c:extLst>
        </c:ser>
        <c:ser>
          <c:idx val="1"/>
          <c:order val="1"/>
          <c:tx>
            <c:strRef>
              <c:f>'OSeMOSYS (Input)'!$C$138</c:f>
              <c:strCache>
                <c:ptCount val="1"/>
                <c:pt idx="0">
                  <c:v>LeastCost</c:v>
                </c:pt>
              </c:strCache>
            </c:strRef>
          </c:tx>
          <c:spPr>
            <a:ln w="31750" cap="rnd">
              <a:solidFill>
                <a:srgbClr val="49D3FF"/>
              </a:solidFill>
              <a:round/>
            </a:ln>
            <a:effectLst/>
          </c:spPr>
          <c:marker>
            <c:symbol val="none"/>
          </c:marker>
          <c:cat>
            <c:numRef>
              <c:f>'OSeMOSYS (Input)'!$A$139:$A$184</c:f>
              <c:numCache>
                <c:formatCode>General</c:formatCode>
                <c:ptCount val="46"/>
                <c:pt idx="0">
                  <c:v>2025</c:v>
                </c:pt>
                <c:pt idx="1">
                  <c:v>2026</c:v>
                </c:pt>
                <c:pt idx="2">
                  <c:v>2027</c:v>
                </c:pt>
                <c:pt idx="3">
                  <c:v>2028</c:v>
                </c:pt>
                <c:pt idx="4">
                  <c:v>2029</c:v>
                </c:pt>
                <c:pt idx="5">
                  <c:v>2030</c:v>
                </c:pt>
                <c:pt idx="6">
                  <c:v>2031</c:v>
                </c:pt>
                <c:pt idx="7">
                  <c:v>2032</c:v>
                </c:pt>
                <c:pt idx="8">
                  <c:v>2033</c:v>
                </c:pt>
                <c:pt idx="9">
                  <c:v>2034</c:v>
                </c:pt>
                <c:pt idx="10">
                  <c:v>2035</c:v>
                </c:pt>
                <c:pt idx="11">
                  <c:v>2036</c:v>
                </c:pt>
                <c:pt idx="12">
                  <c:v>2037</c:v>
                </c:pt>
                <c:pt idx="13">
                  <c:v>2038</c:v>
                </c:pt>
                <c:pt idx="14">
                  <c:v>2039</c:v>
                </c:pt>
                <c:pt idx="15">
                  <c:v>2040</c:v>
                </c:pt>
                <c:pt idx="16">
                  <c:v>2041</c:v>
                </c:pt>
                <c:pt idx="17">
                  <c:v>2042</c:v>
                </c:pt>
                <c:pt idx="18">
                  <c:v>2043</c:v>
                </c:pt>
                <c:pt idx="19">
                  <c:v>2044</c:v>
                </c:pt>
                <c:pt idx="20">
                  <c:v>2045</c:v>
                </c:pt>
                <c:pt idx="21">
                  <c:v>2046</c:v>
                </c:pt>
                <c:pt idx="22">
                  <c:v>2047</c:v>
                </c:pt>
                <c:pt idx="23">
                  <c:v>2048</c:v>
                </c:pt>
                <c:pt idx="24">
                  <c:v>2049</c:v>
                </c:pt>
                <c:pt idx="25">
                  <c:v>2050</c:v>
                </c:pt>
                <c:pt idx="26">
                  <c:v>2051</c:v>
                </c:pt>
                <c:pt idx="27">
                  <c:v>2052</c:v>
                </c:pt>
                <c:pt idx="28">
                  <c:v>2053</c:v>
                </c:pt>
                <c:pt idx="29">
                  <c:v>2054</c:v>
                </c:pt>
                <c:pt idx="30">
                  <c:v>2055</c:v>
                </c:pt>
                <c:pt idx="31">
                  <c:v>2056</c:v>
                </c:pt>
                <c:pt idx="32">
                  <c:v>2057</c:v>
                </c:pt>
                <c:pt idx="33">
                  <c:v>2058</c:v>
                </c:pt>
                <c:pt idx="34">
                  <c:v>2059</c:v>
                </c:pt>
                <c:pt idx="35">
                  <c:v>2060</c:v>
                </c:pt>
                <c:pt idx="36">
                  <c:v>2061</c:v>
                </c:pt>
                <c:pt idx="37">
                  <c:v>2062</c:v>
                </c:pt>
                <c:pt idx="38">
                  <c:v>2063</c:v>
                </c:pt>
                <c:pt idx="39">
                  <c:v>2064</c:v>
                </c:pt>
                <c:pt idx="40">
                  <c:v>2065</c:v>
                </c:pt>
                <c:pt idx="41">
                  <c:v>2066</c:v>
                </c:pt>
                <c:pt idx="42">
                  <c:v>2067</c:v>
                </c:pt>
                <c:pt idx="43">
                  <c:v>2068</c:v>
                </c:pt>
                <c:pt idx="44">
                  <c:v>2069</c:v>
                </c:pt>
                <c:pt idx="45">
                  <c:v>2070</c:v>
                </c:pt>
              </c:numCache>
            </c:numRef>
          </c:cat>
          <c:val>
            <c:numRef>
              <c:f>'OSeMOSYS (Input)'!$C$139:$C$184</c:f>
              <c:numCache>
                <c:formatCode>[$$-409]#,##0.00</c:formatCode>
                <c:ptCount val="46"/>
                <c:pt idx="0">
                  <c:v>569.34389999999996</c:v>
                </c:pt>
                <c:pt idx="1">
                  <c:v>978.1742999999999</c:v>
                </c:pt>
                <c:pt idx="2">
                  <c:v>1085.6692</c:v>
                </c:pt>
                <c:pt idx="3">
                  <c:v>954.4079999999999</c:v>
                </c:pt>
                <c:pt idx="4">
                  <c:v>1637.2811999999999</c:v>
                </c:pt>
                <c:pt idx="5">
                  <c:v>1188.9818</c:v>
                </c:pt>
                <c:pt idx="6">
                  <c:v>1265.5083</c:v>
                </c:pt>
                <c:pt idx="7">
                  <c:v>1250.0477999999998</c:v>
                </c:pt>
                <c:pt idx="8">
                  <c:v>1262.6755999999998</c:v>
                </c:pt>
                <c:pt idx="9">
                  <c:v>1390.2593999999999</c:v>
                </c:pt>
                <c:pt idx="10">
                  <c:v>1580.0976000000001</c:v>
                </c:pt>
                <c:pt idx="11">
                  <c:v>1422.614</c:v>
                </c:pt>
                <c:pt idx="12">
                  <c:v>1526.9013</c:v>
                </c:pt>
                <c:pt idx="13">
                  <c:v>2308.5267999999996</c:v>
                </c:pt>
                <c:pt idx="14">
                  <c:v>1759.1959999999999</c:v>
                </c:pt>
                <c:pt idx="15">
                  <c:v>2194.2012</c:v>
                </c:pt>
                <c:pt idx="16">
                  <c:v>2917.8503000000001</c:v>
                </c:pt>
                <c:pt idx="17">
                  <c:v>2301.7977999999998</c:v>
                </c:pt>
                <c:pt idx="18">
                  <c:v>2548.8905999999997</c:v>
                </c:pt>
                <c:pt idx="19">
                  <c:v>2355.7582000000002</c:v>
                </c:pt>
                <c:pt idx="20">
                  <c:v>3159.2262000000001</c:v>
                </c:pt>
                <c:pt idx="21">
                  <c:v>2716.5078000000003</c:v>
                </c:pt>
                <c:pt idx="22">
                  <c:v>3360.1729</c:v>
                </c:pt>
                <c:pt idx="23">
                  <c:v>3209.9378999999999</c:v>
                </c:pt>
                <c:pt idx="24">
                  <c:v>3037.1322</c:v>
                </c:pt>
                <c:pt idx="25">
                  <c:v>3795.2736000000004</c:v>
                </c:pt>
                <c:pt idx="26">
                  <c:v>3127.3361</c:v>
                </c:pt>
                <c:pt idx="27">
                  <c:v>3405.0241999999998</c:v>
                </c:pt>
                <c:pt idx="28">
                  <c:v>3339.3960999999999</c:v>
                </c:pt>
                <c:pt idx="29">
                  <c:v>3688.8354999999997</c:v>
                </c:pt>
                <c:pt idx="30">
                  <c:v>3373.1306999999997</c:v>
                </c:pt>
                <c:pt idx="31">
                  <c:v>3150.2544999999996</c:v>
                </c:pt>
                <c:pt idx="32">
                  <c:v>2856.9631999999997</c:v>
                </c:pt>
                <c:pt idx="33">
                  <c:v>3742.0360999999998</c:v>
                </c:pt>
                <c:pt idx="34">
                  <c:v>3235.1418999999996</c:v>
                </c:pt>
                <c:pt idx="35">
                  <c:v>2869.7714999999998</c:v>
                </c:pt>
                <c:pt idx="36">
                  <c:v>4333.8136999999997</c:v>
                </c:pt>
                <c:pt idx="37">
                  <c:v>4181.8468999999996</c:v>
                </c:pt>
                <c:pt idx="38">
                  <c:v>4315.7686000000003</c:v>
                </c:pt>
                <c:pt idx="39">
                  <c:v>4469.6282999999994</c:v>
                </c:pt>
                <c:pt idx="40">
                  <c:v>5549.1382000000012</c:v>
                </c:pt>
                <c:pt idx="41">
                  <c:v>4771.5460000000003</c:v>
                </c:pt>
                <c:pt idx="42">
                  <c:v>4616.7844999999998</c:v>
                </c:pt>
                <c:pt idx="43">
                  <c:v>4128.9695000000002</c:v>
                </c:pt>
                <c:pt idx="44">
                  <c:v>4056.7278000000001</c:v>
                </c:pt>
                <c:pt idx="45">
                  <c:v>4636.3900999999996</c:v>
                </c:pt>
              </c:numCache>
            </c:numRef>
          </c:val>
          <c:smooth val="0"/>
          <c:extLst>
            <c:ext xmlns:c16="http://schemas.microsoft.com/office/drawing/2014/chart" uri="{C3380CC4-5D6E-409C-BE32-E72D297353CC}">
              <c16:uniqueId val="{00000001-2FCA-B943-B6D0-8FADD88E5997}"/>
            </c:ext>
          </c:extLst>
        </c:ser>
        <c:dLbls>
          <c:showLegendKey val="0"/>
          <c:showVal val="0"/>
          <c:showCatName val="0"/>
          <c:showSerName val="0"/>
          <c:showPercent val="0"/>
          <c:showBubbleSize val="0"/>
        </c:dLbls>
        <c:smooth val="0"/>
        <c:axId val="1169742528"/>
        <c:axId val="1169727840"/>
      </c:lineChart>
      <c:catAx>
        <c:axId val="11697425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crossAx val="1169727840"/>
        <c:crosses val="autoZero"/>
        <c:auto val="1"/>
        <c:lblAlgn val="ctr"/>
        <c:lblOffset val="100"/>
        <c:tickLblSkip val="5"/>
        <c:noMultiLvlLbl val="0"/>
      </c:catAx>
      <c:valAx>
        <c:axId val="116972784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600" b="0" i="0" u="none" strike="noStrike" kern="1200" baseline="0">
                    <a:solidFill>
                      <a:schemeClr val="tx1"/>
                    </a:solidFill>
                    <a:latin typeface="+mn-lt"/>
                    <a:ea typeface="+mn-ea"/>
                    <a:cs typeface="+mn-cs"/>
                  </a:defRPr>
                </a:pPr>
                <a:r>
                  <a:rPr lang="en-GB"/>
                  <a:t>Million US$</a:t>
                </a:r>
              </a:p>
            </c:rich>
          </c:tx>
          <c:overlay val="0"/>
          <c:spPr>
            <a:noFill/>
            <a:ln>
              <a:noFill/>
            </a:ln>
            <a:effectLst/>
          </c:spPr>
          <c:txPr>
            <a:bodyPr rot="-540000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title>
        <c:numFmt formatCode="[$$-409]#,##0" sourceLinked="0"/>
        <c:majorTickMark val="none"/>
        <c:minorTickMark val="none"/>
        <c:tickLblPos val="nextTo"/>
        <c:spPr>
          <a:noFill/>
          <a:ln>
            <a:noFill/>
          </a:ln>
          <a:effectLst/>
        </c:spPr>
        <c:txPr>
          <a:bodyPr rot="-6000000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crossAx val="116974252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sz="1600">
          <a:solidFill>
            <a:schemeClr val="tx1"/>
          </a:solidFill>
        </a:defRPr>
      </a:pPr>
      <a:endParaRPr lang="en-US"/>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ja-JP" sz="2000" b="0" i="0" u="none" strike="noStrike" kern="1200" spc="0" baseline="0">
                <a:solidFill>
                  <a:schemeClr val="tx1"/>
                </a:solidFill>
                <a:latin typeface="+mn-lt"/>
                <a:ea typeface="+mn-ea"/>
                <a:cs typeface="+mn-cs"/>
              </a:defRPr>
            </a:pPr>
            <a:r>
              <a:rPr lang="en-GB" sz="2000"/>
              <a:t>Disaggregation of Future Financing Requirement</a:t>
            </a:r>
          </a:p>
        </c:rich>
      </c:tx>
      <c:layout>
        <c:manualLayout>
          <c:xMode val="edge"/>
          <c:yMode val="edge"/>
          <c:x val="0.12152147844773828"/>
          <c:y val="6.1385440388574668E-3"/>
        </c:manualLayout>
      </c:layout>
      <c:overlay val="0"/>
      <c:spPr>
        <a:noFill/>
        <a:ln>
          <a:noFill/>
        </a:ln>
        <a:effectLst/>
      </c:spPr>
      <c:txPr>
        <a:bodyPr rot="0" spcFirstLastPara="1" vertOverflow="ellipsis" vert="horz" wrap="square" anchor="ctr" anchorCtr="1"/>
        <a:lstStyle/>
        <a:p>
          <a:pPr>
            <a:defRPr lang="ja-JP" sz="2000" b="0" i="0" u="none" strike="noStrike" kern="1200" spc="0" baseline="0">
              <a:solidFill>
                <a:schemeClr val="tx1"/>
              </a:solidFill>
              <a:latin typeface="+mn-lt"/>
              <a:ea typeface="+mn-ea"/>
              <a:cs typeface="+mn-cs"/>
            </a:defRPr>
          </a:pPr>
          <a:endParaRPr lang="en-US"/>
        </a:p>
      </c:txPr>
    </c:title>
    <c:autoTitleDeleted val="0"/>
    <c:plotArea>
      <c:layout>
        <c:manualLayout>
          <c:layoutTarget val="inner"/>
          <c:xMode val="edge"/>
          <c:yMode val="edge"/>
          <c:x val="0.17952669513520911"/>
          <c:y val="0.14787776757103854"/>
          <c:w val="0.78413571232967572"/>
          <c:h val="0.47665014746653966"/>
        </c:manualLayout>
      </c:layout>
      <c:areaChart>
        <c:grouping val="stacked"/>
        <c:varyColors val="0"/>
        <c:ser>
          <c:idx val="3"/>
          <c:order val="2"/>
          <c:tx>
            <c:v>Financing payments for retirement of old fossil fuel technologies</c:v>
          </c:tx>
          <c:spPr>
            <a:solidFill>
              <a:srgbClr val="FF0003"/>
            </a:solidFill>
            <a:ln w="12700">
              <a:solidFill>
                <a:schemeClr val="tx1"/>
              </a:solidFill>
            </a:ln>
            <a:effectLst/>
          </c:spPr>
          <c:cat>
            <c:numRef>
              <c:f>'High Level Dashboard'!$B$64:$AU$64</c:f>
              <c:numCache>
                <c:formatCode>General</c:formatCode>
                <c:ptCount val="46"/>
                <c:pt idx="0">
                  <c:v>2025</c:v>
                </c:pt>
                <c:pt idx="1">
                  <c:v>2026</c:v>
                </c:pt>
                <c:pt idx="2">
                  <c:v>2027</c:v>
                </c:pt>
                <c:pt idx="3">
                  <c:v>2028</c:v>
                </c:pt>
                <c:pt idx="4">
                  <c:v>2029</c:v>
                </c:pt>
                <c:pt idx="5">
                  <c:v>2030</c:v>
                </c:pt>
                <c:pt idx="6">
                  <c:v>2031</c:v>
                </c:pt>
                <c:pt idx="7">
                  <c:v>2032</c:v>
                </c:pt>
                <c:pt idx="8">
                  <c:v>2033</c:v>
                </c:pt>
                <c:pt idx="9">
                  <c:v>2034</c:v>
                </c:pt>
                <c:pt idx="10">
                  <c:v>2035</c:v>
                </c:pt>
                <c:pt idx="11">
                  <c:v>2036</c:v>
                </c:pt>
                <c:pt idx="12">
                  <c:v>2037</c:v>
                </c:pt>
                <c:pt idx="13">
                  <c:v>2038</c:v>
                </c:pt>
                <c:pt idx="14">
                  <c:v>2039</c:v>
                </c:pt>
                <c:pt idx="15">
                  <c:v>2040</c:v>
                </c:pt>
                <c:pt idx="16">
                  <c:v>2041</c:v>
                </c:pt>
                <c:pt idx="17">
                  <c:v>2042</c:v>
                </c:pt>
                <c:pt idx="18">
                  <c:v>2043</c:v>
                </c:pt>
                <c:pt idx="19">
                  <c:v>2044</c:v>
                </c:pt>
                <c:pt idx="20">
                  <c:v>2045</c:v>
                </c:pt>
                <c:pt idx="21">
                  <c:v>2046</c:v>
                </c:pt>
                <c:pt idx="22">
                  <c:v>2047</c:v>
                </c:pt>
                <c:pt idx="23">
                  <c:v>2048</c:v>
                </c:pt>
                <c:pt idx="24">
                  <c:v>2049</c:v>
                </c:pt>
                <c:pt idx="25">
                  <c:v>2050</c:v>
                </c:pt>
                <c:pt idx="26">
                  <c:v>2051</c:v>
                </c:pt>
                <c:pt idx="27">
                  <c:v>2052</c:v>
                </c:pt>
                <c:pt idx="28">
                  <c:v>2053</c:v>
                </c:pt>
                <c:pt idx="29">
                  <c:v>2054</c:v>
                </c:pt>
                <c:pt idx="30">
                  <c:v>2055</c:v>
                </c:pt>
                <c:pt idx="31">
                  <c:v>2056</c:v>
                </c:pt>
                <c:pt idx="32">
                  <c:v>2057</c:v>
                </c:pt>
                <c:pt idx="33">
                  <c:v>2058</c:v>
                </c:pt>
                <c:pt idx="34">
                  <c:v>2059</c:v>
                </c:pt>
                <c:pt idx="35">
                  <c:v>2060</c:v>
                </c:pt>
                <c:pt idx="36">
                  <c:v>2061</c:v>
                </c:pt>
                <c:pt idx="37">
                  <c:v>2062</c:v>
                </c:pt>
                <c:pt idx="38">
                  <c:v>2063</c:v>
                </c:pt>
                <c:pt idx="39">
                  <c:v>2064</c:v>
                </c:pt>
                <c:pt idx="40">
                  <c:v>2065</c:v>
                </c:pt>
                <c:pt idx="41">
                  <c:v>2066</c:v>
                </c:pt>
                <c:pt idx="42">
                  <c:v>2067</c:v>
                </c:pt>
                <c:pt idx="43">
                  <c:v>2068</c:v>
                </c:pt>
                <c:pt idx="44">
                  <c:v>2069</c:v>
                </c:pt>
                <c:pt idx="45">
                  <c:v>2070</c:v>
                </c:pt>
              </c:numCache>
            </c:numRef>
          </c:cat>
          <c:val>
            <c:numRef>
              <c:f>'High Level Dashboard'!$B$89:$AU$89</c:f>
              <c:numCache>
                <c:formatCode>[$$-409]#,##0.00</c:formatCode>
                <c:ptCount val="4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numCache>
            </c:numRef>
          </c:val>
          <c:extLst>
            <c:ext xmlns:c16="http://schemas.microsoft.com/office/drawing/2014/chart" uri="{C3380CC4-5D6E-409C-BE32-E72D297353CC}">
              <c16:uniqueId val="{00000002-9D18-DF44-A266-299CBED099A3}"/>
            </c:ext>
          </c:extLst>
        </c:ser>
        <c:ser>
          <c:idx val="1"/>
          <c:order val="0"/>
          <c:tx>
            <c:v>Existing finance payments</c:v>
          </c:tx>
          <c:spPr>
            <a:solidFill>
              <a:srgbClr val="FF9999"/>
            </a:solidFill>
            <a:ln w="12700">
              <a:solidFill>
                <a:schemeClr val="tx1"/>
              </a:solidFill>
            </a:ln>
            <a:effectLst/>
          </c:spPr>
          <c:cat>
            <c:numRef>
              <c:f>'High Level Dashboard'!$B$64:$AU$64</c:f>
              <c:numCache>
                <c:formatCode>General</c:formatCode>
                <c:ptCount val="46"/>
                <c:pt idx="0">
                  <c:v>2025</c:v>
                </c:pt>
                <c:pt idx="1">
                  <c:v>2026</c:v>
                </c:pt>
                <c:pt idx="2">
                  <c:v>2027</c:v>
                </c:pt>
                <c:pt idx="3">
                  <c:v>2028</c:v>
                </c:pt>
                <c:pt idx="4">
                  <c:v>2029</c:v>
                </c:pt>
                <c:pt idx="5">
                  <c:v>2030</c:v>
                </c:pt>
                <c:pt idx="6">
                  <c:v>2031</c:v>
                </c:pt>
                <c:pt idx="7">
                  <c:v>2032</c:v>
                </c:pt>
                <c:pt idx="8">
                  <c:v>2033</c:v>
                </c:pt>
                <c:pt idx="9">
                  <c:v>2034</c:v>
                </c:pt>
                <c:pt idx="10">
                  <c:v>2035</c:v>
                </c:pt>
                <c:pt idx="11">
                  <c:v>2036</c:v>
                </c:pt>
                <c:pt idx="12">
                  <c:v>2037</c:v>
                </c:pt>
                <c:pt idx="13">
                  <c:v>2038</c:v>
                </c:pt>
                <c:pt idx="14">
                  <c:v>2039</c:v>
                </c:pt>
                <c:pt idx="15">
                  <c:v>2040</c:v>
                </c:pt>
                <c:pt idx="16">
                  <c:v>2041</c:v>
                </c:pt>
                <c:pt idx="17">
                  <c:v>2042</c:v>
                </c:pt>
                <c:pt idx="18">
                  <c:v>2043</c:v>
                </c:pt>
                <c:pt idx="19">
                  <c:v>2044</c:v>
                </c:pt>
                <c:pt idx="20">
                  <c:v>2045</c:v>
                </c:pt>
                <c:pt idx="21">
                  <c:v>2046</c:v>
                </c:pt>
                <c:pt idx="22">
                  <c:v>2047</c:v>
                </c:pt>
                <c:pt idx="23">
                  <c:v>2048</c:v>
                </c:pt>
                <c:pt idx="24">
                  <c:v>2049</c:v>
                </c:pt>
                <c:pt idx="25">
                  <c:v>2050</c:v>
                </c:pt>
                <c:pt idx="26">
                  <c:v>2051</c:v>
                </c:pt>
                <c:pt idx="27">
                  <c:v>2052</c:v>
                </c:pt>
                <c:pt idx="28">
                  <c:v>2053</c:v>
                </c:pt>
                <c:pt idx="29">
                  <c:v>2054</c:v>
                </c:pt>
                <c:pt idx="30">
                  <c:v>2055</c:v>
                </c:pt>
                <c:pt idx="31">
                  <c:v>2056</c:v>
                </c:pt>
                <c:pt idx="32">
                  <c:v>2057</c:v>
                </c:pt>
                <c:pt idx="33">
                  <c:v>2058</c:v>
                </c:pt>
                <c:pt idx="34">
                  <c:v>2059</c:v>
                </c:pt>
                <c:pt idx="35">
                  <c:v>2060</c:v>
                </c:pt>
                <c:pt idx="36">
                  <c:v>2061</c:v>
                </c:pt>
                <c:pt idx="37">
                  <c:v>2062</c:v>
                </c:pt>
                <c:pt idx="38">
                  <c:v>2063</c:v>
                </c:pt>
                <c:pt idx="39">
                  <c:v>2064</c:v>
                </c:pt>
                <c:pt idx="40">
                  <c:v>2065</c:v>
                </c:pt>
                <c:pt idx="41">
                  <c:v>2066</c:v>
                </c:pt>
                <c:pt idx="42">
                  <c:v>2067</c:v>
                </c:pt>
                <c:pt idx="43">
                  <c:v>2068</c:v>
                </c:pt>
                <c:pt idx="44">
                  <c:v>2069</c:v>
                </c:pt>
                <c:pt idx="45">
                  <c:v>2070</c:v>
                </c:pt>
              </c:numCache>
            </c:numRef>
          </c:cat>
          <c:val>
            <c:numRef>
              <c:f>'High Level Dashboard'!$B$87:$AU$87</c:f>
              <c:numCache>
                <c:formatCode>[$$-409]#,##0.00</c:formatCode>
                <c:ptCount val="46"/>
                <c:pt idx="0">
                  <c:v>888.63645072282293</c:v>
                </c:pt>
                <c:pt idx="1">
                  <c:v>923.20345922568868</c:v>
                </c:pt>
                <c:pt idx="2">
                  <c:v>922.04108477747468</c:v>
                </c:pt>
                <c:pt idx="3">
                  <c:v>924.95849220256105</c:v>
                </c:pt>
                <c:pt idx="4">
                  <c:v>879.896840591809</c:v>
                </c:pt>
                <c:pt idx="5">
                  <c:v>866.2455570935291</c:v>
                </c:pt>
                <c:pt idx="6">
                  <c:v>861.55142298803014</c:v>
                </c:pt>
                <c:pt idx="7">
                  <c:v>824.54920183232116</c:v>
                </c:pt>
                <c:pt idx="8">
                  <c:v>770.55753253272906</c:v>
                </c:pt>
                <c:pt idx="9">
                  <c:v>736.48437713400006</c:v>
                </c:pt>
                <c:pt idx="10">
                  <c:v>708.83746887530549</c:v>
                </c:pt>
                <c:pt idx="11">
                  <c:v>658.53268173718584</c:v>
                </c:pt>
                <c:pt idx="12">
                  <c:v>518.44550384507386</c:v>
                </c:pt>
                <c:pt idx="13">
                  <c:v>429.68474684103188</c:v>
                </c:pt>
                <c:pt idx="14">
                  <c:v>398.68302542799177</c:v>
                </c:pt>
                <c:pt idx="15">
                  <c:v>344.05446377420299</c:v>
                </c:pt>
                <c:pt idx="16">
                  <c:v>323.04589201193249</c:v>
                </c:pt>
                <c:pt idx="17">
                  <c:v>323.04589201193249</c:v>
                </c:pt>
                <c:pt idx="18">
                  <c:v>266.77052817506728</c:v>
                </c:pt>
                <c:pt idx="19">
                  <c:v>190.26579508538987</c:v>
                </c:pt>
                <c:pt idx="20">
                  <c:v>177.24459508538982</c:v>
                </c:pt>
                <c:pt idx="21">
                  <c:v>174.83495813906848</c:v>
                </c:pt>
                <c:pt idx="22">
                  <c:v>140.5546329706028</c:v>
                </c:pt>
                <c:pt idx="23">
                  <c:v>112.13649393458361</c:v>
                </c:pt>
                <c:pt idx="24">
                  <c:v>97.92394980299818</c:v>
                </c:pt>
                <c:pt idx="25">
                  <c:v>97.92394980299818</c:v>
                </c:pt>
                <c:pt idx="26">
                  <c:v>73.091317773062258</c:v>
                </c:pt>
                <c:pt idx="27">
                  <c:v>72.271353054749156</c:v>
                </c:pt>
                <c:pt idx="28">
                  <c:v>55.520831104767623</c:v>
                </c:pt>
                <c:pt idx="29">
                  <c:v>55.520831104767623</c:v>
                </c:pt>
                <c:pt idx="30">
                  <c:v>52.537791491737487</c:v>
                </c:pt>
                <c:pt idx="31">
                  <c:v>50.157237597643373</c:v>
                </c:pt>
                <c:pt idx="32">
                  <c:v>50.157237597643373</c:v>
                </c:pt>
                <c:pt idx="33">
                  <c:v>50.157237597643373</c:v>
                </c:pt>
                <c:pt idx="34">
                  <c:v>50.157237597643373</c:v>
                </c:pt>
                <c:pt idx="35">
                  <c:v>50.157237597643373</c:v>
                </c:pt>
                <c:pt idx="36">
                  <c:v>47.293694681997195</c:v>
                </c:pt>
                <c:pt idx="37">
                  <c:v>43.882962886230558</c:v>
                </c:pt>
                <c:pt idx="38">
                  <c:v>26.095440445216969</c:v>
                </c:pt>
                <c:pt idx="39">
                  <c:v>26.095440445216969</c:v>
                </c:pt>
                <c:pt idx="40">
                  <c:v>19.162200005639999</c:v>
                </c:pt>
                <c:pt idx="41">
                  <c:v>17.540400005639999</c:v>
                </c:pt>
                <c:pt idx="42">
                  <c:v>17.540400005639999</c:v>
                </c:pt>
                <c:pt idx="43">
                  <c:v>17.540400005639999</c:v>
                </c:pt>
                <c:pt idx="44">
                  <c:v>17.540400005639999</c:v>
                </c:pt>
                <c:pt idx="45">
                  <c:v>17.540400005639999</c:v>
                </c:pt>
              </c:numCache>
            </c:numRef>
          </c:val>
          <c:extLst>
            <c:ext xmlns:c16="http://schemas.microsoft.com/office/drawing/2014/chart" uri="{C3380CC4-5D6E-409C-BE32-E72D297353CC}">
              <c16:uniqueId val="{00000000-9D18-DF44-A266-299CBED099A3}"/>
            </c:ext>
          </c:extLst>
        </c:ser>
        <c:ser>
          <c:idx val="2"/>
          <c:order val="1"/>
          <c:tx>
            <c:v>Financing payments for construction of new energy</c:v>
          </c:tx>
          <c:spPr>
            <a:solidFill>
              <a:schemeClr val="accent3"/>
            </a:solidFill>
            <a:ln w="12700">
              <a:solidFill>
                <a:schemeClr val="tx1"/>
              </a:solidFill>
            </a:ln>
            <a:effectLst/>
          </c:spPr>
          <c:cat>
            <c:numRef>
              <c:f>'High Level Dashboard'!$B$64:$AU$64</c:f>
              <c:numCache>
                <c:formatCode>General</c:formatCode>
                <c:ptCount val="46"/>
                <c:pt idx="0">
                  <c:v>2025</c:v>
                </c:pt>
                <c:pt idx="1">
                  <c:v>2026</c:v>
                </c:pt>
                <c:pt idx="2">
                  <c:v>2027</c:v>
                </c:pt>
                <c:pt idx="3">
                  <c:v>2028</c:v>
                </c:pt>
                <c:pt idx="4">
                  <c:v>2029</c:v>
                </c:pt>
                <c:pt idx="5">
                  <c:v>2030</c:v>
                </c:pt>
                <c:pt idx="6">
                  <c:v>2031</c:v>
                </c:pt>
                <c:pt idx="7">
                  <c:v>2032</c:v>
                </c:pt>
                <c:pt idx="8">
                  <c:v>2033</c:v>
                </c:pt>
                <c:pt idx="9">
                  <c:v>2034</c:v>
                </c:pt>
                <c:pt idx="10">
                  <c:v>2035</c:v>
                </c:pt>
                <c:pt idx="11">
                  <c:v>2036</c:v>
                </c:pt>
                <c:pt idx="12">
                  <c:v>2037</c:v>
                </c:pt>
                <c:pt idx="13">
                  <c:v>2038</c:v>
                </c:pt>
                <c:pt idx="14">
                  <c:v>2039</c:v>
                </c:pt>
                <c:pt idx="15">
                  <c:v>2040</c:v>
                </c:pt>
                <c:pt idx="16">
                  <c:v>2041</c:v>
                </c:pt>
                <c:pt idx="17">
                  <c:v>2042</c:v>
                </c:pt>
                <c:pt idx="18">
                  <c:v>2043</c:v>
                </c:pt>
                <c:pt idx="19">
                  <c:v>2044</c:v>
                </c:pt>
                <c:pt idx="20">
                  <c:v>2045</c:v>
                </c:pt>
                <c:pt idx="21">
                  <c:v>2046</c:v>
                </c:pt>
                <c:pt idx="22">
                  <c:v>2047</c:v>
                </c:pt>
                <c:pt idx="23">
                  <c:v>2048</c:v>
                </c:pt>
                <c:pt idx="24">
                  <c:v>2049</c:v>
                </c:pt>
                <c:pt idx="25">
                  <c:v>2050</c:v>
                </c:pt>
                <c:pt idx="26">
                  <c:v>2051</c:v>
                </c:pt>
                <c:pt idx="27">
                  <c:v>2052</c:v>
                </c:pt>
                <c:pt idx="28">
                  <c:v>2053</c:v>
                </c:pt>
                <c:pt idx="29">
                  <c:v>2054</c:v>
                </c:pt>
                <c:pt idx="30">
                  <c:v>2055</c:v>
                </c:pt>
                <c:pt idx="31">
                  <c:v>2056</c:v>
                </c:pt>
                <c:pt idx="32">
                  <c:v>2057</c:v>
                </c:pt>
                <c:pt idx="33">
                  <c:v>2058</c:v>
                </c:pt>
                <c:pt idx="34">
                  <c:v>2059</c:v>
                </c:pt>
                <c:pt idx="35">
                  <c:v>2060</c:v>
                </c:pt>
                <c:pt idx="36">
                  <c:v>2061</c:v>
                </c:pt>
                <c:pt idx="37">
                  <c:v>2062</c:v>
                </c:pt>
                <c:pt idx="38">
                  <c:v>2063</c:v>
                </c:pt>
                <c:pt idx="39">
                  <c:v>2064</c:v>
                </c:pt>
                <c:pt idx="40">
                  <c:v>2065</c:v>
                </c:pt>
                <c:pt idx="41">
                  <c:v>2066</c:v>
                </c:pt>
                <c:pt idx="42">
                  <c:v>2067</c:v>
                </c:pt>
                <c:pt idx="43">
                  <c:v>2068</c:v>
                </c:pt>
                <c:pt idx="44">
                  <c:v>2069</c:v>
                </c:pt>
                <c:pt idx="45">
                  <c:v>2070</c:v>
                </c:pt>
              </c:numCache>
            </c:numRef>
          </c:cat>
          <c:val>
            <c:numRef>
              <c:f>'High Level Dashboard'!$B$88:$AU$88</c:f>
              <c:numCache>
                <c:formatCode>[$$-409]#,##0.00</c:formatCode>
                <c:ptCount val="46"/>
                <c:pt idx="0">
                  <c:v>53.412293172852863</c:v>
                </c:pt>
                <c:pt idx="1">
                  <c:v>93.588308995201331</c:v>
                </c:pt>
                <c:pt idx="2">
                  <c:v>142.87245242581866</c:v>
                </c:pt>
                <c:pt idx="3">
                  <c:v>186.6173663602587</c:v>
                </c:pt>
                <c:pt idx="4">
                  <c:v>276.44759195372313</c:v>
                </c:pt>
                <c:pt idx="5">
                  <c:v>329.94726859573848</c:v>
                </c:pt>
                <c:pt idx="6">
                  <c:v>412.87365403522745</c:v>
                </c:pt>
                <c:pt idx="7">
                  <c:v>481.69542234544213</c:v>
                </c:pt>
                <c:pt idx="8">
                  <c:v>549.56755383121026</c:v>
                </c:pt>
                <c:pt idx="9">
                  <c:v>639.41234620331204</c:v>
                </c:pt>
                <c:pt idx="10">
                  <c:v>736.31870777053575</c:v>
                </c:pt>
                <c:pt idx="11">
                  <c:v>841.81073844918569</c:v>
                </c:pt>
                <c:pt idx="12">
                  <c:v>945.17907136921337</c:v>
                </c:pt>
                <c:pt idx="13">
                  <c:v>1038.9873336837034</c:v>
                </c:pt>
                <c:pt idx="14">
                  <c:v>1157.9220012724015</c:v>
                </c:pt>
                <c:pt idx="15">
                  <c:v>1315.0449412406267</c:v>
                </c:pt>
                <c:pt idx="16">
                  <c:v>1445.9913788858462</c:v>
                </c:pt>
                <c:pt idx="17">
                  <c:v>1552.6372182706355</c:v>
                </c:pt>
                <c:pt idx="18">
                  <c:v>1660.5964700849213</c:v>
                </c:pt>
                <c:pt idx="19">
                  <c:v>1771.4275102644367</c:v>
                </c:pt>
                <c:pt idx="20">
                  <c:v>1897.2819259313665</c:v>
                </c:pt>
                <c:pt idx="21">
                  <c:v>2046.4432562732031</c:v>
                </c:pt>
                <c:pt idx="22">
                  <c:v>2194.5228627330348</c:v>
                </c:pt>
                <c:pt idx="23">
                  <c:v>2333.1671830449113</c:v>
                </c:pt>
                <c:pt idx="24">
                  <c:v>2480.8009775264659</c:v>
                </c:pt>
                <c:pt idx="25">
                  <c:v>2642.1387631779498</c:v>
                </c:pt>
                <c:pt idx="26">
                  <c:v>2799.0341640381657</c:v>
                </c:pt>
                <c:pt idx="27">
                  <c:v>2920.8383114373219</c:v>
                </c:pt>
                <c:pt idx="28">
                  <c:v>3037.3599244491875</c:v>
                </c:pt>
                <c:pt idx="29">
                  <c:v>3193.8579833659687</c:v>
                </c:pt>
                <c:pt idx="30">
                  <c:v>3303.3982082515231</c:v>
                </c:pt>
                <c:pt idx="31">
                  <c:v>3407.2714803073341</c:v>
                </c:pt>
                <c:pt idx="32">
                  <c:v>3510.3072266875251</c:v>
                </c:pt>
                <c:pt idx="33">
                  <c:v>3613.9737904513913</c:v>
                </c:pt>
                <c:pt idx="34">
                  <c:v>3729.8343937886807</c:v>
                </c:pt>
                <c:pt idx="35">
                  <c:v>3850.9255428189335</c:v>
                </c:pt>
                <c:pt idx="36">
                  <c:v>3959.7503211826793</c:v>
                </c:pt>
                <c:pt idx="37">
                  <c:v>4067.631978717819</c:v>
                </c:pt>
                <c:pt idx="38">
                  <c:v>4140.685866536176</c:v>
                </c:pt>
                <c:pt idx="39">
                  <c:v>4240.6032384029531</c:v>
                </c:pt>
                <c:pt idx="40">
                  <c:v>4370.5690585184366</c:v>
                </c:pt>
                <c:pt idx="41">
                  <c:v>4459.6666381423465</c:v>
                </c:pt>
                <c:pt idx="42">
                  <c:v>4511.2041859170704</c:v>
                </c:pt>
                <c:pt idx="43">
                  <c:v>4558.9292308644544</c:v>
                </c:pt>
                <c:pt idx="44">
                  <c:v>4641.8298068451868</c:v>
                </c:pt>
                <c:pt idx="45">
                  <c:v>4736.2944359635412</c:v>
                </c:pt>
              </c:numCache>
            </c:numRef>
          </c:val>
          <c:extLst>
            <c:ext xmlns:c16="http://schemas.microsoft.com/office/drawing/2014/chart" uri="{C3380CC4-5D6E-409C-BE32-E72D297353CC}">
              <c16:uniqueId val="{00000001-9D18-DF44-A266-299CBED099A3}"/>
            </c:ext>
          </c:extLst>
        </c:ser>
        <c:dLbls>
          <c:showLegendKey val="0"/>
          <c:showVal val="0"/>
          <c:showCatName val="0"/>
          <c:showSerName val="0"/>
          <c:showPercent val="0"/>
          <c:showBubbleSize val="0"/>
        </c:dLbls>
        <c:axId val="962644992"/>
        <c:axId val="962646672"/>
      </c:areaChart>
      <c:dateAx>
        <c:axId val="9626449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2700000" spcFirstLastPara="1" vertOverflow="ellipsis" wrap="square" anchor="ctr" anchorCtr="1"/>
          <a:lstStyle/>
          <a:p>
            <a:pPr>
              <a:defRPr lang="ja-JP" sz="1600" b="0" i="0" u="none" strike="noStrike" kern="1200" baseline="0">
                <a:solidFill>
                  <a:schemeClr val="tx1"/>
                </a:solidFill>
                <a:latin typeface="+mn-lt"/>
                <a:ea typeface="+mn-ea"/>
                <a:cs typeface="+mn-cs"/>
              </a:defRPr>
            </a:pPr>
            <a:endParaRPr lang="en-US"/>
          </a:p>
        </c:txPr>
        <c:crossAx val="962646672"/>
        <c:crosses val="autoZero"/>
        <c:auto val="0"/>
        <c:lblOffset val="100"/>
        <c:baseTimeUnit val="days"/>
        <c:majorUnit val="5"/>
        <c:majorTimeUnit val="days"/>
      </c:dateAx>
      <c:valAx>
        <c:axId val="96264667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lang="ja-JP" sz="1600" b="0" i="0" u="none" strike="noStrike" kern="1200" baseline="0">
                    <a:solidFill>
                      <a:schemeClr val="tx1"/>
                    </a:solidFill>
                    <a:latin typeface="+mn-lt"/>
                    <a:ea typeface="+mn-ea"/>
                    <a:cs typeface="+mn-cs"/>
                  </a:defRPr>
                </a:pPr>
                <a:r>
                  <a:rPr lang="en-GB"/>
                  <a:t>Million US$</a:t>
                </a:r>
              </a:p>
            </c:rich>
          </c:tx>
          <c:overlay val="0"/>
          <c:spPr>
            <a:noFill/>
            <a:ln>
              <a:noFill/>
            </a:ln>
            <a:effectLst/>
          </c:spPr>
          <c:txPr>
            <a:bodyPr rot="-5400000" spcFirstLastPara="1" vertOverflow="ellipsis" vert="horz" wrap="square" anchor="ctr" anchorCtr="1"/>
            <a:lstStyle/>
            <a:p>
              <a:pPr>
                <a:defRPr lang="ja-JP" sz="1600" b="0" i="0" u="none" strike="noStrike" kern="1200" baseline="0">
                  <a:solidFill>
                    <a:schemeClr val="tx1"/>
                  </a:solidFill>
                  <a:latin typeface="+mn-lt"/>
                  <a:ea typeface="+mn-ea"/>
                  <a:cs typeface="+mn-cs"/>
                </a:defRPr>
              </a:pPr>
              <a:endParaRPr lang="en-US"/>
            </a:p>
          </c:txPr>
        </c:title>
        <c:numFmt formatCode="[$$-409]#,##0" sourceLinked="0"/>
        <c:majorTickMark val="none"/>
        <c:minorTickMark val="none"/>
        <c:tickLblPos val="nextTo"/>
        <c:spPr>
          <a:noFill/>
          <a:ln>
            <a:noFill/>
          </a:ln>
          <a:effectLst/>
        </c:spPr>
        <c:txPr>
          <a:bodyPr rot="-60000000" spcFirstLastPara="1" vertOverflow="ellipsis" vert="horz" wrap="square" anchor="ctr" anchorCtr="1"/>
          <a:lstStyle/>
          <a:p>
            <a:pPr>
              <a:defRPr lang="ja-JP" sz="1600" b="0" i="0" u="none" strike="noStrike" kern="1200" baseline="0">
                <a:solidFill>
                  <a:schemeClr val="tx1"/>
                </a:solidFill>
                <a:latin typeface="+mn-lt"/>
                <a:ea typeface="+mn-ea"/>
                <a:cs typeface="+mn-cs"/>
              </a:defRPr>
            </a:pPr>
            <a:endParaRPr lang="en-US"/>
          </a:p>
        </c:txPr>
        <c:crossAx val="962644992"/>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lang="ja-JP" sz="1600" b="0"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sz="1600">
          <a:solidFill>
            <a:schemeClr val="tx1"/>
          </a:solidFill>
        </a:defRPr>
      </a:pPr>
      <a:endParaRPr lang="en-US"/>
    </a:p>
  </c:tx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000" b="0" i="0" u="none" strike="noStrike" kern="1200" spc="0" baseline="0">
                <a:solidFill>
                  <a:schemeClr val="tx1"/>
                </a:solidFill>
                <a:latin typeface="+mn-lt"/>
                <a:ea typeface="+mn-ea"/>
                <a:cs typeface="+mn-cs"/>
              </a:defRPr>
            </a:pPr>
            <a:r>
              <a:rPr lang="en-GB" sz="2000"/>
              <a:t>New Debt Stock Generated (2025 - 2070)</a:t>
            </a:r>
          </a:p>
        </c:rich>
      </c:tx>
      <c:overlay val="0"/>
      <c:spPr>
        <a:noFill/>
        <a:ln>
          <a:noFill/>
        </a:ln>
        <a:effectLst/>
      </c:spPr>
      <c:txPr>
        <a:bodyPr rot="0" spcFirstLastPara="1" vertOverflow="ellipsis" vert="horz" wrap="square" anchor="ctr" anchorCtr="1"/>
        <a:lstStyle/>
        <a:p>
          <a:pPr>
            <a:defRPr sz="2000" b="0" i="0" u="none" strike="noStrike" kern="1200" spc="0" baseline="0">
              <a:solidFill>
                <a:schemeClr val="tx1"/>
              </a:solidFill>
              <a:latin typeface="+mn-lt"/>
              <a:ea typeface="+mn-ea"/>
              <a:cs typeface="+mn-cs"/>
            </a:defRPr>
          </a:pPr>
          <a:endParaRPr lang="en-US"/>
        </a:p>
      </c:txPr>
    </c:title>
    <c:autoTitleDeleted val="0"/>
    <c:plotArea>
      <c:layout>
        <c:manualLayout>
          <c:layoutTarget val="inner"/>
          <c:xMode val="edge"/>
          <c:yMode val="edge"/>
          <c:x val="0.10245354441288181"/>
          <c:y val="0.12124020137949584"/>
          <c:w val="0.85182828508505948"/>
          <c:h val="0.51376476381752623"/>
        </c:manualLayout>
      </c:layout>
      <c:areaChart>
        <c:grouping val="stacked"/>
        <c:varyColors val="0"/>
        <c:ser>
          <c:idx val="0"/>
          <c:order val="0"/>
          <c:tx>
            <c:strRef>
              <c:f>'High Level Dashboard'!$A$93</c:f>
              <c:strCache>
                <c:ptCount val="1"/>
                <c:pt idx="0">
                  <c:v>Concessional International Finance Debt Stock</c:v>
                </c:pt>
              </c:strCache>
            </c:strRef>
          </c:tx>
          <c:spPr>
            <a:solidFill>
              <a:schemeClr val="accent4">
                <a:lumMod val="75000"/>
              </a:schemeClr>
            </a:solidFill>
            <a:ln>
              <a:noFill/>
            </a:ln>
            <a:effectLst/>
          </c:spPr>
          <c:cat>
            <c:numRef>
              <c:f>'High Level Dashboard'!$B$64:$AU$64</c:f>
              <c:numCache>
                <c:formatCode>General</c:formatCode>
                <c:ptCount val="46"/>
                <c:pt idx="0">
                  <c:v>2025</c:v>
                </c:pt>
                <c:pt idx="1">
                  <c:v>2026</c:v>
                </c:pt>
                <c:pt idx="2">
                  <c:v>2027</c:v>
                </c:pt>
                <c:pt idx="3">
                  <c:v>2028</c:v>
                </c:pt>
                <c:pt idx="4">
                  <c:v>2029</c:v>
                </c:pt>
                <c:pt idx="5">
                  <c:v>2030</c:v>
                </c:pt>
                <c:pt idx="6">
                  <c:v>2031</c:v>
                </c:pt>
                <c:pt idx="7">
                  <c:v>2032</c:v>
                </c:pt>
                <c:pt idx="8">
                  <c:v>2033</c:v>
                </c:pt>
                <c:pt idx="9">
                  <c:v>2034</c:v>
                </c:pt>
                <c:pt idx="10">
                  <c:v>2035</c:v>
                </c:pt>
                <c:pt idx="11">
                  <c:v>2036</c:v>
                </c:pt>
                <c:pt idx="12">
                  <c:v>2037</c:v>
                </c:pt>
                <c:pt idx="13">
                  <c:v>2038</c:v>
                </c:pt>
                <c:pt idx="14">
                  <c:v>2039</c:v>
                </c:pt>
                <c:pt idx="15">
                  <c:v>2040</c:v>
                </c:pt>
                <c:pt idx="16">
                  <c:v>2041</c:v>
                </c:pt>
                <c:pt idx="17">
                  <c:v>2042</c:v>
                </c:pt>
                <c:pt idx="18">
                  <c:v>2043</c:v>
                </c:pt>
                <c:pt idx="19">
                  <c:v>2044</c:v>
                </c:pt>
                <c:pt idx="20">
                  <c:v>2045</c:v>
                </c:pt>
                <c:pt idx="21">
                  <c:v>2046</c:v>
                </c:pt>
                <c:pt idx="22">
                  <c:v>2047</c:v>
                </c:pt>
                <c:pt idx="23">
                  <c:v>2048</c:v>
                </c:pt>
                <c:pt idx="24">
                  <c:v>2049</c:v>
                </c:pt>
                <c:pt idx="25">
                  <c:v>2050</c:v>
                </c:pt>
                <c:pt idx="26">
                  <c:v>2051</c:v>
                </c:pt>
                <c:pt idx="27">
                  <c:v>2052</c:v>
                </c:pt>
                <c:pt idx="28">
                  <c:v>2053</c:v>
                </c:pt>
                <c:pt idx="29">
                  <c:v>2054</c:v>
                </c:pt>
                <c:pt idx="30">
                  <c:v>2055</c:v>
                </c:pt>
                <c:pt idx="31">
                  <c:v>2056</c:v>
                </c:pt>
                <c:pt idx="32">
                  <c:v>2057</c:v>
                </c:pt>
                <c:pt idx="33">
                  <c:v>2058</c:v>
                </c:pt>
                <c:pt idx="34">
                  <c:v>2059</c:v>
                </c:pt>
                <c:pt idx="35">
                  <c:v>2060</c:v>
                </c:pt>
                <c:pt idx="36">
                  <c:v>2061</c:v>
                </c:pt>
                <c:pt idx="37">
                  <c:v>2062</c:v>
                </c:pt>
                <c:pt idx="38">
                  <c:v>2063</c:v>
                </c:pt>
                <c:pt idx="39">
                  <c:v>2064</c:v>
                </c:pt>
                <c:pt idx="40">
                  <c:v>2065</c:v>
                </c:pt>
                <c:pt idx="41">
                  <c:v>2066</c:v>
                </c:pt>
                <c:pt idx="42">
                  <c:v>2067</c:v>
                </c:pt>
                <c:pt idx="43">
                  <c:v>2068</c:v>
                </c:pt>
                <c:pt idx="44">
                  <c:v>2069</c:v>
                </c:pt>
                <c:pt idx="45">
                  <c:v>2070</c:v>
                </c:pt>
              </c:numCache>
            </c:numRef>
          </c:cat>
          <c:val>
            <c:numRef>
              <c:f>'High Level Dashboard'!$B$93:$AU$93</c:f>
              <c:numCache>
                <c:formatCode>[$$-409]#,##0</c:formatCode>
                <c:ptCount val="46"/>
                <c:pt idx="0">
                  <c:v>670.19402400208492</c:v>
                </c:pt>
                <c:pt idx="1">
                  <c:v>1372.7162006806432</c:v>
                </c:pt>
                <c:pt idx="2">
                  <c:v>2076.0358744255705</c:v>
                </c:pt>
                <c:pt idx="3">
                  <c:v>2693.9128017460712</c:v>
                </c:pt>
                <c:pt idx="4">
                  <c:v>3984.3036860534262</c:v>
                </c:pt>
                <c:pt idx="5">
                  <c:v>4746.4428434658912</c:v>
                </c:pt>
                <c:pt idx="6">
                  <c:v>5591.2525172628384</c:v>
                </c:pt>
                <c:pt idx="7">
                  <c:v>6166.7680843961862</c:v>
                </c:pt>
                <c:pt idx="8">
                  <c:v>6688.388699259528</c:v>
                </c:pt>
                <c:pt idx="9">
                  <c:v>7550.2174999788695</c:v>
                </c:pt>
                <c:pt idx="10">
                  <c:v>8160.3015940064188</c:v>
                </c:pt>
                <c:pt idx="11">
                  <c:v>9071.7836367837317</c:v>
                </c:pt>
                <c:pt idx="12">
                  <c:v>9881.5495257386865</c:v>
                </c:pt>
                <c:pt idx="13">
                  <c:v>10632.980938068598</c:v>
                </c:pt>
                <c:pt idx="14">
                  <c:v>11744.135761234707</c:v>
                </c:pt>
                <c:pt idx="15">
                  <c:v>13225.032951014231</c:v>
                </c:pt>
                <c:pt idx="16">
                  <c:v>14415.118420521552</c:v>
                </c:pt>
                <c:pt idx="17">
                  <c:v>15041.298950630171</c:v>
                </c:pt>
                <c:pt idx="18">
                  <c:v>15665.909069831834</c:v>
                </c:pt>
                <c:pt idx="19">
                  <c:v>16325.639555630232</c:v>
                </c:pt>
                <c:pt idx="20">
                  <c:v>17011.731443512908</c:v>
                </c:pt>
                <c:pt idx="21">
                  <c:v>17708.560676846719</c:v>
                </c:pt>
                <c:pt idx="22">
                  <c:v>18422.689861011193</c:v>
                </c:pt>
                <c:pt idx="23">
                  <c:v>19177.13821489723</c:v>
                </c:pt>
                <c:pt idx="24">
                  <c:v>20014.82494565711</c:v>
                </c:pt>
                <c:pt idx="25">
                  <c:v>21052.308720892248</c:v>
                </c:pt>
                <c:pt idx="26">
                  <c:v>21975.33976387337</c:v>
                </c:pt>
                <c:pt idx="27">
                  <c:v>22731.601585310313</c:v>
                </c:pt>
                <c:pt idx="28">
                  <c:v>23468.733661563914</c:v>
                </c:pt>
                <c:pt idx="29">
                  <c:v>24782.380639877163</c:v>
                </c:pt>
                <c:pt idx="30">
                  <c:v>25321.320935145337</c:v>
                </c:pt>
                <c:pt idx="31">
                  <c:v>25990.071589899842</c:v>
                </c:pt>
                <c:pt idx="32">
                  <c:v>26403.593314472237</c:v>
                </c:pt>
                <c:pt idx="33">
                  <c:v>26733.225976479385</c:v>
                </c:pt>
                <c:pt idx="34">
                  <c:v>27356.71406330464</c:v>
                </c:pt>
                <c:pt idx="35">
                  <c:v>27658.19467526699</c:v>
                </c:pt>
                <c:pt idx="36">
                  <c:v>28280.394332931915</c:v>
                </c:pt>
                <c:pt idx="37">
                  <c:v>28753.923542493598</c:v>
                </c:pt>
                <c:pt idx="38">
                  <c:v>29166.960816507602</c:v>
                </c:pt>
                <c:pt idx="39">
                  <c:v>29893.304009435957</c:v>
                </c:pt>
                <c:pt idx="40">
                  <c:v>30947.792187007399</c:v>
                </c:pt>
                <c:pt idx="41">
                  <c:v>31674.626830803336</c:v>
                </c:pt>
                <c:pt idx="42">
                  <c:v>31902.921377652368</c:v>
                </c:pt>
                <c:pt idx="43">
                  <c:v>32099.186610025274</c:v>
                </c:pt>
                <c:pt idx="44">
                  <c:v>32422.983743596982</c:v>
                </c:pt>
                <c:pt idx="45">
                  <c:v>32811.770868000254</c:v>
                </c:pt>
              </c:numCache>
            </c:numRef>
          </c:val>
          <c:extLst>
            <c:ext xmlns:c16="http://schemas.microsoft.com/office/drawing/2014/chart" uri="{C3380CC4-5D6E-409C-BE32-E72D297353CC}">
              <c16:uniqueId val="{00000000-B3F8-9F47-A7CA-773FB0155254}"/>
            </c:ext>
          </c:extLst>
        </c:ser>
        <c:ser>
          <c:idx val="1"/>
          <c:order val="1"/>
          <c:tx>
            <c:strRef>
              <c:f>'High Level Dashboard'!$A$94</c:f>
              <c:strCache>
                <c:ptCount val="1"/>
                <c:pt idx="0">
                  <c:v>Concessional Domestic Finance Debt Stock</c:v>
                </c:pt>
              </c:strCache>
            </c:strRef>
          </c:tx>
          <c:spPr>
            <a:solidFill>
              <a:schemeClr val="accent4">
                <a:lumMod val="60000"/>
                <a:lumOff val="40000"/>
              </a:schemeClr>
            </a:solidFill>
            <a:ln>
              <a:noFill/>
            </a:ln>
            <a:effectLst/>
          </c:spPr>
          <c:cat>
            <c:numRef>
              <c:f>'High Level Dashboard'!$B$64:$AU$64</c:f>
              <c:numCache>
                <c:formatCode>General</c:formatCode>
                <c:ptCount val="46"/>
                <c:pt idx="0">
                  <c:v>2025</c:v>
                </c:pt>
                <c:pt idx="1">
                  <c:v>2026</c:v>
                </c:pt>
                <c:pt idx="2">
                  <c:v>2027</c:v>
                </c:pt>
                <c:pt idx="3">
                  <c:v>2028</c:v>
                </c:pt>
                <c:pt idx="4">
                  <c:v>2029</c:v>
                </c:pt>
                <c:pt idx="5">
                  <c:v>2030</c:v>
                </c:pt>
                <c:pt idx="6">
                  <c:v>2031</c:v>
                </c:pt>
                <c:pt idx="7">
                  <c:v>2032</c:v>
                </c:pt>
                <c:pt idx="8">
                  <c:v>2033</c:v>
                </c:pt>
                <c:pt idx="9">
                  <c:v>2034</c:v>
                </c:pt>
                <c:pt idx="10">
                  <c:v>2035</c:v>
                </c:pt>
                <c:pt idx="11">
                  <c:v>2036</c:v>
                </c:pt>
                <c:pt idx="12">
                  <c:v>2037</c:v>
                </c:pt>
                <c:pt idx="13">
                  <c:v>2038</c:v>
                </c:pt>
                <c:pt idx="14">
                  <c:v>2039</c:v>
                </c:pt>
                <c:pt idx="15">
                  <c:v>2040</c:v>
                </c:pt>
                <c:pt idx="16">
                  <c:v>2041</c:v>
                </c:pt>
                <c:pt idx="17">
                  <c:v>2042</c:v>
                </c:pt>
                <c:pt idx="18">
                  <c:v>2043</c:v>
                </c:pt>
                <c:pt idx="19">
                  <c:v>2044</c:v>
                </c:pt>
                <c:pt idx="20">
                  <c:v>2045</c:v>
                </c:pt>
                <c:pt idx="21">
                  <c:v>2046</c:v>
                </c:pt>
                <c:pt idx="22">
                  <c:v>2047</c:v>
                </c:pt>
                <c:pt idx="23">
                  <c:v>2048</c:v>
                </c:pt>
                <c:pt idx="24">
                  <c:v>2049</c:v>
                </c:pt>
                <c:pt idx="25">
                  <c:v>2050</c:v>
                </c:pt>
                <c:pt idx="26">
                  <c:v>2051</c:v>
                </c:pt>
                <c:pt idx="27">
                  <c:v>2052</c:v>
                </c:pt>
                <c:pt idx="28">
                  <c:v>2053</c:v>
                </c:pt>
                <c:pt idx="29">
                  <c:v>2054</c:v>
                </c:pt>
                <c:pt idx="30">
                  <c:v>2055</c:v>
                </c:pt>
                <c:pt idx="31">
                  <c:v>2056</c:v>
                </c:pt>
                <c:pt idx="32">
                  <c:v>2057</c:v>
                </c:pt>
                <c:pt idx="33">
                  <c:v>2058</c:v>
                </c:pt>
                <c:pt idx="34">
                  <c:v>2059</c:v>
                </c:pt>
                <c:pt idx="35">
                  <c:v>2060</c:v>
                </c:pt>
                <c:pt idx="36">
                  <c:v>2061</c:v>
                </c:pt>
                <c:pt idx="37">
                  <c:v>2062</c:v>
                </c:pt>
                <c:pt idx="38">
                  <c:v>2063</c:v>
                </c:pt>
                <c:pt idx="39">
                  <c:v>2064</c:v>
                </c:pt>
                <c:pt idx="40">
                  <c:v>2065</c:v>
                </c:pt>
                <c:pt idx="41">
                  <c:v>2066</c:v>
                </c:pt>
                <c:pt idx="42">
                  <c:v>2067</c:v>
                </c:pt>
                <c:pt idx="43">
                  <c:v>2068</c:v>
                </c:pt>
                <c:pt idx="44">
                  <c:v>2069</c:v>
                </c:pt>
                <c:pt idx="45">
                  <c:v>2070</c:v>
                </c:pt>
              </c:numCache>
            </c:numRef>
          </c:cat>
          <c:val>
            <c:numRef>
              <c:f>'High Level Dashboard'!$B$94:$AU$94</c:f>
              <c:numCache>
                <c:formatCode>[$$-409]#,##0</c:formatCode>
                <c:ptCount val="46"/>
                <c:pt idx="0">
                  <c:v>15.950276234372479</c:v>
                </c:pt>
                <c:pt idx="1">
                  <c:v>32.669946338468655</c:v>
                </c:pt>
                <c:pt idx="2">
                  <c:v>49.408628046029037</c:v>
                </c:pt>
                <c:pt idx="3">
                  <c:v>64.113931089287931</c:v>
                </c:pt>
                <c:pt idx="4">
                  <c:v>94.824115777479321</c:v>
                </c:pt>
                <c:pt idx="5">
                  <c:v>112.96271928437474</c:v>
                </c:pt>
                <c:pt idx="6">
                  <c:v>133.61001277794182</c:v>
                </c:pt>
                <c:pt idx="7">
                  <c:v>148.40271343357699</c:v>
                </c:pt>
                <c:pt idx="8">
                  <c:v>161.78105297019479</c:v>
                </c:pt>
                <c:pt idx="9">
                  <c:v>183.00762660567185</c:v>
                </c:pt>
                <c:pt idx="10">
                  <c:v>198.53710743319203</c:v>
                </c:pt>
                <c:pt idx="11">
                  <c:v>221.16441073425554</c:v>
                </c:pt>
                <c:pt idx="12">
                  <c:v>240.6949052398671</c:v>
                </c:pt>
                <c:pt idx="13">
                  <c:v>258.49111778693384</c:v>
                </c:pt>
                <c:pt idx="14">
                  <c:v>284.36885976298879</c:v>
                </c:pt>
                <c:pt idx="15">
                  <c:v>319.10480092530003</c:v>
                </c:pt>
                <c:pt idx="16">
                  <c:v>346.82139759233661</c:v>
                </c:pt>
                <c:pt idx="17">
                  <c:v>360.91203039200548</c:v>
                </c:pt>
                <c:pt idx="18">
                  <c:v>374.89376299833901</c:v>
                </c:pt>
                <c:pt idx="19">
                  <c:v>389.26076010119533</c:v>
                </c:pt>
                <c:pt idx="20">
                  <c:v>404.17411638935641</c:v>
                </c:pt>
                <c:pt idx="21">
                  <c:v>419.60155160302043</c:v>
                </c:pt>
                <c:pt idx="22">
                  <c:v>435.49162948503545</c:v>
                </c:pt>
                <c:pt idx="23">
                  <c:v>452.3355976068114</c:v>
                </c:pt>
                <c:pt idx="24">
                  <c:v>471.52270047799647</c:v>
                </c:pt>
                <c:pt idx="25">
                  <c:v>496.38365654668178</c:v>
                </c:pt>
                <c:pt idx="26">
                  <c:v>519.81188196883136</c:v>
                </c:pt>
                <c:pt idx="27">
                  <c:v>540.30377748689341</c:v>
                </c:pt>
                <c:pt idx="28">
                  <c:v>560.55627002417737</c:v>
                </c:pt>
                <c:pt idx="29">
                  <c:v>594.67869394773834</c:v>
                </c:pt>
                <c:pt idx="30">
                  <c:v>610.32316149533517</c:v>
                </c:pt>
                <c:pt idx="31">
                  <c:v>628.63770310054906</c:v>
                </c:pt>
                <c:pt idx="32">
                  <c:v>640.85764834106544</c:v>
                </c:pt>
                <c:pt idx="33">
                  <c:v>650.73763816722737</c:v>
                </c:pt>
                <c:pt idx="34">
                  <c:v>667.88608907023092</c:v>
                </c:pt>
                <c:pt idx="35">
                  <c:v>678.29972948414536</c:v>
                </c:pt>
                <c:pt idx="36">
                  <c:v>696.49237658060906</c:v>
                </c:pt>
                <c:pt idx="37">
                  <c:v>711.60850141643709</c:v>
                </c:pt>
                <c:pt idx="38">
                  <c:v>726.36338158882745</c:v>
                </c:pt>
                <c:pt idx="39">
                  <c:v>748.81246601854957</c:v>
                </c:pt>
                <c:pt idx="40">
                  <c:v>779.30906582386308</c:v>
                </c:pt>
                <c:pt idx="41">
                  <c:v>801.78407133666803</c:v>
                </c:pt>
                <c:pt idx="42">
                  <c:v>811.68574684454416</c:v>
                </c:pt>
                <c:pt idx="43">
                  <c:v>820.53759331632432</c:v>
                </c:pt>
                <c:pt idx="44">
                  <c:v>832.52611285647311</c:v>
                </c:pt>
                <c:pt idx="45">
                  <c:v>846.84489831030362</c:v>
                </c:pt>
              </c:numCache>
            </c:numRef>
          </c:val>
          <c:extLst>
            <c:ext xmlns:c16="http://schemas.microsoft.com/office/drawing/2014/chart" uri="{C3380CC4-5D6E-409C-BE32-E72D297353CC}">
              <c16:uniqueId val="{00000001-B3F8-9F47-A7CA-773FB0155254}"/>
            </c:ext>
          </c:extLst>
        </c:ser>
        <c:ser>
          <c:idx val="2"/>
          <c:order val="2"/>
          <c:tx>
            <c:strRef>
              <c:f>'High Level Dashboard'!$A$95</c:f>
              <c:strCache>
                <c:ptCount val="1"/>
                <c:pt idx="0">
                  <c:v>Commercial International Finance Debt Stock</c:v>
                </c:pt>
              </c:strCache>
            </c:strRef>
          </c:tx>
          <c:spPr>
            <a:solidFill>
              <a:schemeClr val="accent1">
                <a:lumMod val="75000"/>
              </a:schemeClr>
            </a:solidFill>
            <a:ln>
              <a:noFill/>
            </a:ln>
            <a:effectLst/>
          </c:spPr>
          <c:cat>
            <c:numRef>
              <c:f>'High Level Dashboard'!$B$64:$AU$64</c:f>
              <c:numCache>
                <c:formatCode>General</c:formatCode>
                <c:ptCount val="46"/>
                <c:pt idx="0">
                  <c:v>2025</c:v>
                </c:pt>
                <c:pt idx="1">
                  <c:v>2026</c:v>
                </c:pt>
                <c:pt idx="2">
                  <c:v>2027</c:v>
                </c:pt>
                <c:pt idx="3">
                  <c:v>2028</c:v>
                </c:pt>
                <c:pt idx="4">
                  <c:v>2029</c:v>
                </c:pt>
                <c:pt idx="5">
                  <c:v>2030</c:v>
                </c:pt>
                <c:pt idx="6">
                  <c:v>2031</c:v>
                </c:pt>
                <c:pt idx="7">
                  <c:v>2032</c:v>
                </c:pt>
                <c:pt idx="8">
                  <c:v>2033</c:v>
                </c:pt>
                <c:pt idx="9">
                  <c:v>2034</c:v>
                </c:pt>
                <c:pt idx="10">
                  <c:v>2035</c:v>
                </c:pt>
                <c:pt idx="11">
                  <c:v>2036</c:v>
                </c:pt>
                <c:pt idx="12">
                  <c:v>2037</c:v>
                </c:pt>
                <c:pt idx="13">
                  <c:v>2038</c:v>
                </c:pt>
                <c:pt idx="14">
                  <c:v>2039</c:v>
                </c:pt>
                <c:pt idx="15">
                  <c:v>2040</c:v>
                </c:pt>
                <c:pt idx="16">
                  <c:v>2041</c:v>
                </c:pt>
                <c:pt idx="17">
                  <c:v>2042</c:v>
                </c:pt>
                <c:pt idx="18">
                  <c:v>2043</c:v>
                </c:pt>
                <c:pt idx="19">
                  <c:v>2044</c:v>
                </c:pt>
                <c:pt idx="20">
                  <c:v>2045</c:v>
                </c:pt>
                <c:pt idx="21">
                  <c:v>2046</c:v>
                </c:pt>
                <c:pt idx="22">
                  <c:v>2047</c:v>
                </c:pt>
                <c:pt idx="23">
                  <c:v>2048</c:v>
                </c:pt>
                <c:pt idx="24">
                  <c:v>2049</c:v>
                </c:pt>
                <c:pt idx="25">
                  <c:v>2050</c:v>
                </c:pt>
                <c:pt idx="26">
                  <c:v>2051</c:v>
                </c:pt>
                <c:pt idx="27">
                  <c:v>2052</c:v>
                </c:pt>
                <c:pt idx="28">
                  <c:v>2053</c:v>
                </c:pt>
                <c:pt idx="29">
                  <c:v>2054</c:v>
                </c:pt>
                <c:pt idx="30">
                  <c:v>2055</c:v>
                </c:pt>
                <c:pt idx="31">
                  <c:v>2056</c:v>
                </c:pt>
                <c:pt idx="32">
                  <c:v>2057</c:v>
                </c:pt>
                <c:pt idx="33">
                  <c:v>2058</c:v>
                </c:pt>
                <c:pt idx="34">
                  <c:v>2059</c:v>
                </c:pt>
                <c:pt idx="35">
                  <c:v>2060</c:v>
                </c:pt>
                <c:pt idx="36">
                  <c:v>2061</c:v>
                </c:pt>
                <c:pt idx="37">
                  <c:v>2062</c:v>
                </c:pt>
                <c:pt idx="38">
                  <c:v>2063</c:v>
                </c:pt>
                <c:pt idx="39">
                  <c:v>2064</c:v>
                </c:pt>
                <c:pt idx="40">
                  <c:v>2065</c:v>
                </c:pt>
                <c:pt idx="41">
                  <c:v>2066</c:v>
                </c:pt>
                <c:pt idx="42">
                  <c:v>2067</c:v>
                </c:pt>
                <c:pt idx="43">
                  <c:v>2068</c:v>
                </c:pt>
                <c:pt idx="44">
                  <c:v>2069</c:v>
                </c:pt>
                <c:pt idx="45">
                  <c:v>2070</c:v>
                </c:pt>
              </c:numCache>
            </c:numRef>
          </c:cat>
          <c:val>
            <c:numRef>
              <c:f>'High Level Dashboard'!$B$95:$AU$95</c:f>
              <c:numCache>
                <c:formatCode>[$$-409]#,##0</c:formatCode>
                <c:ptCount val="46"/>
                <c:pt idx="0">
                  <c:v>37.505260298682131</c:v>
                </c:pt>
                <c:pt idx="1">
                  <c:v>76.821519735972743</c:v>
                </c:pt>
                <c:pt idx="2">
                  <c:v>115.0717379647446</c:v>
                </c:pt>
                <c:pt idx="3">
                  <c:v>147.01125790163502</c:v>
                </c:pt>
                <c:pt idx="4">
                  <c:v>214.86261771767215</c:v>
                </c:pt>
                <c:pt idx="5">
                  <c:v>251.45420502496069</c:v>
                </c:pt>
                <c:pt idx="6">
                  <c:v>290.95894829655629</c:v>
                </c:pt>
                <c:pt idx="7">
                  <c:v>314.24864838401498</c:v>
                </c:pt>
                <c:pt idx="8">
                  <c:v>333.17545885113515</c:v>
                </c:pt>
                <c:pt idx="9">
                  <c:v>369.7383175648302</c:v>
                </c:pt>
                <c:pt idx="10">
                  <c:v>392.00524382681658</c:v>
                </c:pt>
                <c:pt idx="11">
                  <c:v>429.18093209940071</c:v>
                </c:pt>
                <c:pt idx="12">
                  <c:v>458.71514209004874</c:v>
                </c:pt>
                <c:pt idx="13">
                  <c:v>481.76076210748749</c:v>
                </c:pt>
                <c:pt idx="14">
                  <c:v>521.15749750784596</c:v>
                </c:pt>
                <c:pt idx="15">
                  <c:v>578.87178718120867</c:v>
                </c:pt>
                <c:pt idx="16">
                  <c:v>620.50537564019396</c:v>
                </c:pt>
                <c:pt idx="17">
                  <c:v>630.6521027530639</c:v>
                </c:pt>
                <c:pt idx="18">
                  <c:v>640.62797177070581</c:v>
                </c:pt>
                <c:pt idx="19">
                  <c:v>653.81197028118322</c:v>
                </c:pt>
                <c:pt idx="20">
                  <c:v>673.49973571296948</c:v>
                </c:pt>
                <c:pt idx="21">
                  <c:v>696.85973932738591</c:v>
                </c:pt>
                <c:pt idx="22">
                  <c:v>723.83285622106803</c:v>
                </c:pt>
                <c:pt idx="23">
                  <c:v>752.99708133199442</c:v>
                </c:pt>
                <c:pt idx="24">
                  <c:v>786.79605502576089</c:v>
                </c:pt>
                <c:pt idx="25">
                  <c:v>833.253250386947</c:v>
                </c:pt>
                <c:pt idx="26">
                  <c:v>873.98010805349236</c:v>
                </c:pt>
                <c:pt idx="27">
                  <c:v>905.71245449675746</c:v>
                </c:pt>
                <c:pt idx="28">
                  <c:v>935.66083924290706</c:v>
                </c:pt>
                <c:pt idx="29">
                  <c:v>997.80253885117554</c:v>
                </c:pt>
                <c:pt idx="30">
                  <c:v>1019.8710512691507</c:v>
                </c:pt>
                <c:pt idx="31">
                  <c:v>1052.4039628020466</c:v>
                </c:pt>
                <c:pt idx="32">
                  <c:v>1073.4099604741778</c:v>
                </c:pt>
                <c:pt idx="33">
                  <c:v>1089.5838270563843</c:v>
                </c:pt>
                <c:pt idx="34">
                  <c:v>1123.0905536669409</c:v>
                </c:pt>
                <c:pt idx="35">
                  <c:v>1141.5840733978946</c:v>
                </c:pt>
                <c:pt idx="36">
                  <c:v>1178.8824639735144</c:v>
                </c:pt>
                <c:pt idx="37">
                  <c:v>1209.9799379429307</c:v>
                </c:pt>
                <c:pt idx="38">
                  <c:v>1238.9240552122392</c:v>
                </c:pt>
                <c:pt idx="39">
                  <c:v>1287.1968332503609</c:v>
                </c:pt>
                <c:pt idx="40">
                  <c:v>1357.8053504028446</c:v>
                </c:pt>
                <c:pt idx="41">
                  <c:v>1413.7995091843372</c:v>
                </c:pt>
                <c:pt idx="42">
                  <c:v>1443.9646026928847</c:v>
                </c:pt>
                <c:pt idx="43">
                  <c:v>1474.3893931280209</c:v>
                </c:pt>
                <c:pt idx="44">
                  <c:v>1517.6329669874719</c:v>
                </c:pt>
                <c:pt idx="45">
                  <c:v>1574.1115324348862</c:v>
                </c:pt>
              </c:numCache>
            </c:numRef>
          </c:val>
          <c:extLst>
            <c:ext xmlns:c16="http://schemas.microsoft.com/office/drawing/2014/chart" uri="{C3380CC4-5D6E-409C-BE32-E72D297353CC}">
              <c16:uniqueId val="{00000002-B3F8-9F47-A7CA-773FB0155254}"/>
            </c:ext>
          </c:extLst>
        </c:ser>
        <c:ser>
          <c:idx val="3"/>
          <c:order val="3"/>
          <c:tx>
            <c:strRef>
              <c:f>'High Level Dashboard'!$A$96</c:f>
              <c:strCache>
                <c:ptCount val="1"/>
                <c:pt idx="0">
                  <c:v>Commercial Domestic Finance Debt Stock</c:v>
                </c:pt>
              </c:strCache>
            </c:strRef>
          </c:tx>
          <c:spPr>
            <a:solidFill>
              <a:schemeClr val="accent1">
                <a:lumMod val="60000"/>
                <a:lumOff val="40000"/>
              </a:schemeClr>
            </a:solidFill>
            <a:ln>
              <a:noFill/>
            </a:ln>
            <a:effectLst/>
          </c:spPr>
          <c:cat>
            <c:numRef>
              <c:f>'High Level Dashboard'!$B$64:$AU$64</c:f>
              <c:numCache>
                <c:formatCode>General</c:formatCode>
                <c:ptCount val="46"/>
                <c:pt idx="0">
                  <c:v>2025</c:v>
                </c:pt>
                <c:pt idx="1">
                  <c:v>2026</c:v>
                </c:pt>
                <c:pt idx="2">
                  <c:v>2027</c:v>
                </c:pt>
                <c:pt idx="3">
                  <c:v>2028</c:v>
                </c:pt>
                <c:pt idx="4">
                  <c:v>2029</c:v>
                </c:pt>
                <c:pt idx="5">
                  <c:v>2030</c:v>
                </c:pt>
                <c:pt idx="6">
                  <c:v>2031</c:v>
                </c:pt>
                <c:pt idx="7">
                  <c:v>2032</c:v>
                </c:pt>
                <c:pt idx="8">
                  <c:v>2033</c:v>
                </c:pt>
                <c:pt idx="9">
                  <c:v>2034</c:v>
                </c:pt>
                <c:pt idx="10">
                  <c:v>2035</c:v>
                </c:pt>
                <c:pt idx="11">
                  <c:v>2036</c:v>
                </c:pt>
                <c:pt idx="12">
                  <c:v>2037</c:v>
                </c:pt>
                <c:pt idx="13">
                  <c:v>2038</c:v>
                </c:pt>
                <c:pt idx="14">
                  <c:v>2039</c:v>
                </c:pt>
                <c:pt idx="15">
                  <c:v>2040</c:v>
                </c:pt>
                <c:pt idx="16">
                  <c:v>2041</c:v>
                </c:pt>
                <c:pt idx="17">
                  <c:v>2042</c:v>
                </c:pt>
                <c:pt idx="18">
                  <c:v>2043</c:v>
                </c:pt>
                <c:pt idx="19">
                  <c:v>2044</c:v>
                </c:pt>
                <c:pt idx="20">
                  <c:v>2045</c:v>
                </c:pt>
                <c:pt idx="21">
                  <c:v>2046</c:v>
                </c:pt>
                <c:pt idx="22">
                  <c:v>2047</c:v>
                </c:pt>
                <c:pt idx="23">
                  <c:v>2048</c:v>
                </c:pt>
                <c:pt idx="24">
                  <c:v>2049</c:v>
                </c:pt>
                <c:pt idx="25">
                  <c:v>2050</c:v>
                </c:pt>
                <c:pt idx="26">
                  <c:v>2051</c:v>
                </c:pt>
                <c:pt idx="27">
                  <c:v>2052</c:v>
                </c:pt>
                <c:pt idx="28">
                  <c:v>2053</c:v>
                </c:pt>
                <c:pt idx="29">
                  <c:v>2054</c:v>
                </c:pt>
                <c:pt idx="30">
                  <c:v>2055</c:v>
                </c:pt>
                <c:pt idx="31">
                  <c:v>2056</c:v>
                </c:pt>
                <c:pt idx="32">
                  <c:v>2057</c:v>
                </c:pt>
                <c:pt idx="33">
                  <c:v>2058</c:v>
                </c:pt>
                <c:pt idx="34">
                  <c:v>2059</c:v>
                </c:pt>
                <c:pt idx="35">
                  <c:v>2060</c:v>
                </c:pt>
                <c:pt idx="36">
                  <c:v>2061</c:v>
                </c:pt>
                <c:pt idx="37">
                  <c:v>2062</c:v>
                </c:pt>
                <c:pt idx="38">
                  <c:v>2063</c:v>
                </c:pt>
                <c:pt idx="39">
                  <c:v>2064</c:v>
                </c:pt>
                <c:pt idx="40">
                  <c:v>2065</c:v>
                </c:pt>
                <c:pt idx="41">
                  <c:v>2066</c:v>
                </c:pt>
                <c:pt idx="42">
                  <c:v>2067</c:v>
                </c:pt>
                <c:pt idx="43">
                  <c:v>2068</c:v>
                </c:pt>
                <c:pt idx="44">
                  <c:v>2069</c:v>
                </c:pt>
                <c:pt idx="45">
                  <c:v>2070</c:v>
                </c:pt>
              </c:numCache>
            </c:numRef>
          </c:cat>
          <c:val>
            <c:numRef>
              <c:f>'High Level Dashboard'!$B$96:$AU$96</c:f>
              <c:numCache>
                <c:formatCode>[$$-409]#,##0</c:formatCode>
                <c:ptCount val="46"/>
                <c:pt idx="0">
                  <c:v>3.984834989100754</c:v>
                </c:pt>
                <c:pt idx="1">
                  <c:v>8.1624837135131258</c:v>
                </c:pt>
                <c:pt idx="2">
                  <c:v>12.345823706219711</c:v>
                </c:pt>
                <c:pt idx="3">
                  <c:v>16.022850253232832</c:v>
                </c:pt>
                <c:pt idx="4">
                  <c:v>23.694977441924074</c:v>
                </c:pt>
                <c:pt idx="5">
                  <c:v>28.231463253696873</c:v>
                </c:pt>
                <c:pt idx="6">
                  <c:v>33.395643615484467</c:v>
                </c:pt>
                <c:pt idx="7">
                  <c:v>37.049921019962056</c:v>
                </c:pt>
                <c:pt idx="8">
                  <c:v>40.398760641562681</c:v>
                </c:pt>
                <c:pt idx="9">
                  <c:v>45.742792871008781</c:v>
                </c:pt>
                <c:pt idx="10">
                  <c:v>49.68806059431148</c:v>
                </c:pt>
                <c:pt idx="11">
                  <c:v>55.338719656530117</c:v>
                </c:pt>
                <c:pt idx="12">
                  <c:v>60.265151971933221</c:v>
                </c:pt>
                <c:pt idx="13">
                  <c:v>64.672155403741399</c:v>
                </c:pt>
                <c:pt idx="14">
                  <c:v>71.000030885500593</c:v>
                </c:pt>
                <c:pt idx="15">
                  <c:v>79.354833459559345</c:v>
                </c:pt>
                <c:pt idx="16">
                  <c:v>85.686078845231492</c:v>
                </c:pt>
                <c:pt idx="17">
                  <c:v>88.350233501550179</c:v>
                </c:pt>
                <c:pt idx="18">
                  <c:v>90.914430383944733</c:v>
                </c:pt>
                <c:pt idx="19">
                  <c:v>93.927978555462289</c:v>
                </c:pt>
                <c:pt idx="20">
                  <c:v>97.450373363105967</c:v>
                </c:pt>
                <c:pt idx="21">
                  <c:v>101.40471058535866</c:v>
                </c:pt>
                <c:pt idx="22">
                  <c:v>105.98871401910543</c:v>
                </c:pt>
                <c:pt idx="23">
                  <c:v>111.37407412360142</c:v>
                </c:pt>
                <c:pt idx="24">
                  <c:v>117.67707242582475</c:v>
                </c:pt>
                <c:pt idx="25">
                  <c:v>125.61373971168534</c:v>
                </c:pt>
                <c:pt idx="26">
                  <c:v>133.187231716225</c:v>
                </c:pt>
                <c:pt idx="27">
                  <c:v>140.07988555939872</c:v>
                </c:pt>
                <c:pt idx="28">
                  <c:v>147.23156200364929</c:v>
                </c:pt>
                <c:pt idx="29">
                  <c:v>158.25762445960646</c:v>
                </c:pt>
                <c:pt idx="30">
                  <c:v>165.37299652525547</c:v>
                </c:pt>
                <c:pt idx="31">
                  <c:v>173.82501920915274</c:v>
                </c:pt>
                <c:pt idx="32">
                  <c:v>181.6025287430104</c:v>
                </c:pt>
                <c:pt idx="33">
                  <c:v>190.22788486379241</c:v>
                </c:pt>
                <c:pt idx="34">
                  <c:v>202.30516390617336</c:v>
                </c:pt>
                <c:pt idx="35">
                  <c:v>214.14747769263477</c:v>
                </c:pt>
                <c:pt idx="36">
                  <c:v>229.18336654783604</c:v>
                </c:pt>
                <c:pt idx="37">
                  <c:v>244.91519568900696</c:v>
                </c:pt>
                <c:pt idx="38">
                  <c:v>262.10377038705127</c:v>
                </c:pt>
                <c:pt idx="39">
                  <c:v>283.298559530207</c:v>
                </c:pt>
                <c:pt idx="40">
                  <c:v>309.09650386377371</c:v>
                </c:pt>
                <c:pt idx="41">
                  <c:v>335.89693234512578</c:v>
                </c:pt>
                <c:pt idx="42">
                  <c:v>363.16132688330231</c:v>
                </c:pt>
                <c:pt idx="43">
                  <c:v>394.38870026436422</c:v>
                </c:pt>
                <c:pt idx="44">
                  <c:v>431.40221016403797</c:v>
                </c:pt>
                <c:pt idx="45">
                  <c:v>474.58414047314278</c:v>
                </c:pt>
              </c:numCache>
            </c:numRef>
          </c:val>
          <c:extLst>
            <c:ext xmlns:c16="http://schemas.microsoft.com/office/drawing/2014/chart" uri="{C3380CC4-5D6E-409C-BE32-E72D297353CC}">
              <c16:uniqueId val="{00000003-B3F8-9F47-A7CA-773FB0155254}"/>
            </c:ext>
          </c:extLst>
        </c:ser>
        <c:dLbls>
          <c:showLegendKey val="0"/>
          <c:showVal val="0"/>
          <c:showCatName val="0"/>
          <c:showSerName val="0"/>
          <c:showPercent val="0"/>
          <c:showBubbleSize val="0"/>
        </c:dLbls>
        <c:axId val="18765231"/>
        <c:axId val="18763311"/>
      </c:areaChart>
      <c:dateAx>
        <c:axId val="18765231"/>
        <c:scaling>
          <c:orientation val="minMax"/>
        </c:scaling>
        <c:delete val="0"/>
        <c:axPos val="b"/>
        <c:numFmt formatCode="General" sourceLinked="1"/>
        <c:majorTickMark val="out"/>
        <c:minorTickMark val="none"/>
        <c:tickLblPos val="nextTo"/>
        <c:spPr>
          <a:noFill/>
          <a:ln w="9525" cap="flat" cmpd="sng" algn="ctr">
            <a:noFill/>
            <a:round/>
          </a:ln>
          <a:effectLst/>
        </c:spPr>
        <c:txPr>
          <a:bodyPr rot="-2700000" spcFirstLastPara="1" vertOverflow="ellipsis" wrap="square" anchor="ctr" anchorCtr="1"/>
          <a:lstStyle/>
          <a:p>
            <a:pPr>
              <a:defRPr sz="1600" b="0" i="0" u="none" strike="noStrike" kern="1200" baseline="0">
                <a:solidFill>
                  <a:schemeClr val="tx1"/>
                </a:solidFill>
                <a:latin typeface="+mn-lt"/>
                <a:ea typeface="+mn-ea"/>
                <a:cs typeface="+mn-cs"/>
              </a:defRPr>
            </a:pPr>
            <a:endParaRPr lang="en-US"/>
          </a:p>
        </c:txPr>
        <c:crossAx val="18763311"/>
        <c:crosses val="autoZero"/>
        <c:auto val="0"/>
        <c:lblOffset val="100"/>
        <c:baseTimeUnit val="days"/>
        <c:majorUnit val="5"/>
        <c:majorTimeUnit val="days"/>
      </c:dateAx>
      <c:valAx>
        <c:axId val="18763311"/>
        <c:scaling>
          <c:orientation val="minMax"/>
        </c:scaling>
        <c:delete val="0"/>
        <c:axPos val="l"/>
        <c:majorGridlines>
          <c:spPr>
            <a:ln w="9525" cap="flat" cmpd="sng" algn="ctr">
              <a:solidFill>
                <a:schemeClr val="tx1">
                  <a:lumMod val="15000"/>
                  <a:lumOff val="85000"/>
                </a:schemeClr>
              </a:solidFill>
              <a:round/>
            </a:ln>
            <a:effectLst/>
          </c:spPr>
        </c:majorGridlines>
        <c:numFmt formatCode="[$$-409]#,##0" sourceLinked="0"/>
        <c:majorTickMark val="none"/>
        <c:minorTickMark val="none"/>
        <c:tickLblPos val="nextTo"/>
        <c:spPr>
          <a:noFill/>
          <a:ln>
            <a:noFill/>
          </a:ln>
          <a:effectLst/>
        </c:spPr>
        <c:txPr>
          <a:bodyPr rot="-6000000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crossAx val="18765231"/>
        <c:crosses val="autoZero"/>
        <c:crossBetween val="midCat"/>
      </c:valAx>
      <c:spPr>
        <a:noFill/>
        <a:ln>
          <a:noFill/>
        </a:ln>
        <a:effectLst/>
      </c:spPr>
    </c:plotArea>
    <c:legend>
      <c:legendPos val="b"/>
      <c:layout>
        <c:manualLayout>
          <c:xMode val="edge"/>
          <c:yMode val="edge"/>
          <c:x val="0"/>
          <c:y val="0.7712785362244905"/>
          <c:w val="1"/>
          <c:h val="0.22872146377550948"/>
        </c:manualLayout>
      </c:layout>
      <c:overlay val="0"/>
      <c:spPr>
        <a:noFill/>
        <a:ln>
          <a:noFill/>
        </a:ln>
        <a:effectLst/>
      </c:spPr>
      <c:txPr>
        <a:bodyPr rot="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sz="1600">
          <a:solidFill>
            <a:schemeClr val="tx1"/>
          </a:solidFill>
        </a:defRPr>
      </a:pPr>
      <a:endParaRPr lang="en-US"/>
    </a:p>
  </c:tx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000" b="0" i="0" u="none" strike="noStrike" kern="1200" spc="0" baseline="0">
                <a:solidFill>
                  <a:sysClr val="windowText" lastClr="000000"/>
                </a:solidFill>
                <a:latin typeface="+mn-lt"/>
                <a:ea typeface="+mn-ea"/>
                <a:cs typeface="+mn-cs"/>
              </a:defRPr>
            </a:pPr>
            <a:r>
              <a:rPr lang="en-GB" sz="2000">
                <a:solidFill>
                  <a:sysClr val="windowText" lastClr="000000"/>
                </a:solidFill>
              </a:rPr>
              <a:t>Net Zero Financing Repayment by Source</a:t>
            </a:r>
          </a:p>
        </c:rich>
      </c:tx>
      <c:overlay val="0"/>
      <c:spPr>
        <a:noFill/>
        <a:ln>
          <a:noFill/>
        </a:ln>
        <a:effectLst/>
      </c:spPr>
      <c:txPr>
        <a:bodyPr rot="0" spcFirstLastPara="1" vertOverflow="ellipsis" vert="horz" wrap="square" anchor="ctr" anchorCtr="1"/>
        <a:lstStyle/>
        <a:p>
          <a:pPr>
            <a:defRPr sz="2000" b="0" i="0" u="none" strike="noStrike" kern="1200" spc="0" baseline="0">
              <a:solidFill>
                <a:sysClr val="windowText" lastClr="000000"/>
              </a:solidFill>
              <a:latin typeface="+mn-lt"/>
              <a:ea typeface="+mn-ea"/>
              <a:cs typeface="+mn-cs"/>
            </a:defRPr>
          </a:pPr>
          <a:endParaRPr lang="en-US"/>
        </a:p>
      </c:txPr>
    </c:title>
    <c:autoTitleDeleted val="0"/>
    <c:plotArea>
      <c:layout/>
      <c:areaChart>
        <c:grouping val="stacked"/>
        <c:varyColors val="0"/>
        <c:ser>
          <c:idx val="0"/>
          <c:order val="0"/>
          <c:tx>
            <c:v>Loans - Conc IFI</c:v>
          </c:tx>
          <c:spPr>
            <a:solidFill>
              <a:schemeClr val="accent4">
                <a:lumMod val="50000"/>
              </a:schemeClr>
            </a:solidFill>
            <a:ln>
              <a:noFill/>
            </a:ln>
            <a:effectLst/>
          </c:spPr>
          <c:cat>
            <c:numRef>
              <c:f>'High Level Dashboard'!$B$64:$AU$64</c:f>
              <c:numCache>
                <c:formatCode>General</c:formatCode>
                <c:ptCount val="46"/>
                <c:pt idx="0">
                  <c:v>2025</c:v>
                </c:pt>
                <c:pt idx="1">
                  <c:v>2026</c:v>
                </c:pt>
                <c:pt idx="2">
                  <c:v>2027</c:v>
                </c:pt>
                <c:pt idx="3">
                  <c:v>2028</c:v>
                </c:pt>
                <c:pt idx="4">
                  <c:v>2029</c:v>
                </c:pt>
                <c:pt idx="5">
                  <c:v>2030</c:v>
                </c:pt>
                <c:pt idx="6">
                  <c:v>2031</c:v>
                </c:pt>
                <c:pt idx="7">
                  <c:v>2032</c:v>
                </c:pt>
                <c:pt idx="8">
                  <c:v>2033</c:v>
                </c:pt>
                <c:pt idx="9">
                  <c:v>2034</c:v>
                </c:pt>
                <c:pt idx="10">
                  <c:v>2035</c:v>
                </c:pt>
                <c:pt idx="11">
                  <c:v>2036</c:v>
                </c:pt>
                <c:pt idx="12">
                  <c:v>2037</c:v>
                </c:pt>
                <c:pt idx="13">
                  <c:v>2038</c:v>
                </c:pt>
                <c:pt idx="14">
                  <c:v>2039</c:v>
                </c:pt>
                <c:pt idx="15">
                  <c:v>2040</c:v>
                </c:pt>
                <c:pt idx="16">
                  <c:v>2041</c:v>
                </c:pt>
                <c:pt idx="17">
                  <c:v>2042</c:v>
                </c:pt>
                <c:pt idx="18">
                  <c:v>2043</c:v>
                </c:pt>
                <c:pt idx="19">
                  <c:v>2044</c:v>
                </c:pt>
                <c:pt idx="20">
                  <c:v>2045</c:v>
                </c:pt>
                <c:pt idx="21">
                  <c:v>2046</c:v>
                </c:pt>
                <c:pt idx="22">
                  <c:v>2047</c:v>
                </c:pt>
                <c:pt idx="23">
                  <c:v>2048</c:v>
                </c:pt>
                <c:pt idx="24">
                  <c:v>2049</c:v>
                </c:pt>
                <c:pt idx="25">
                  <c:v>2050</c:v>
                </c:pt>
                <c:pt idx="26">
                  <c:v>2051</c:v>
                </c:pt>
                <c:pt idx="27">
                  <c:v>2052</c:v>
                </c:pt>
                <c:pt idx="28">
                  <c:v>2053</c:v>
                </c:pt>
                <c:pt idx="29">
                  <c:v>2054</c:v>
                </c:pt>
                <c:pt idx="30">
                  <c:v>2055</c:v>
                </c:pt>
                <c:pt idx="31">
                  <c:v>2056</c:v>
                </c:pt>
                <c:pt idx="32">
                  <c:v>2057</c:v>
                </c:pt>
                <c:pt idx="33">
                  <c:v>2058</c:v>
                </c:pt>
                <c:pt idx="34">
                  <c:v>2059</c:v>
                </c:pt>
                <c:pt idx="35">
                  <c:v>2060</c:v>
                </c:pt>
                <c:pt idx="36">
                  <c:v>2061</c:v>
                </c:pt>
                <c:pt idx="37">
                  <c:v>2062</c:v>
                </c:pt>
                <c:pt idx="38">
                  <c:v>2063</c:v>
                </c:pt>
                <c:pt idx="39">
                  <c:v>2064</c:v>
                </c:pt>
                <c:pt idx="40">
                  <c:v>2065</c:v>
                </c:pt>
                <c:pt idx="41">
                  <c:v>2066</c:v>
                </c:pt>
                <c:pt idx="42">
                  <c:v>2067</c:v>
                </c:pt>
                <c:pt idx="43">
                  <c:v>2068</c:v>
                </c:pt>
                <c:pt idx="44">
                  <c:v>2069</c:v>
                </c:pt>
                <c:pt idx="45">
                  <c:v>2070</c:v>
                </c:pt>
              </c:numCache>
            </c:numRef>
          </c:cat>
          <c:val>
            <c:numRef>
              <c:f>'High Level Dashboard'!$B$102:$AU$102</c:f>
              <c:numCache>
                <c:formatCode>[$$-409]#,##0.00</c:formatCode>
                <c:ptCount val="46"/>
                <c:pt idx="0">
                  <c:v>14.743580027298961</c:v>
                </c:pt>
                <c:pt idx="1">
                  <c:v>30.344097795809358</c:v>
                </c:pt>
                <c:pt idx="2">
                  <c:v>45.962258639053346</c:v>
                </c:pt>
                <c:pt idx="3">
                  <c:v>59.682584738573581</c:v>
                </c:pt>
                <c:pt idx="4">
                  <c:v>88.339999988080294</c:v>
                </c:pt>
                <c:pt idx="5">
                  <c:v>105.26437672111685</c:v>
                </c:pt>
                <c:pt idx="6">
                  <c:v>147.27152482465928</c:v>
                </c:pt>
                <c:pt idx="7">
                  <c:v>187.13483393900026</c:v>
                </c:pt>
                <c:pt idx="8">
                  <c:v>226.54489218186797</c:v>
                </c:pt>
                <c:pt idx="9">
                  <c:v>271.13927971883578</c:v>
                </c:pt>
                <c:pt idx="10">
                  <c:v>334.00568689709434</c:v>
                </c:pt>
                <c:pt idx="11">
                  <c:v>388.15780933353778</c:v>
                </c:pt>
                <c:pt idx="12">
                  <c:v>442.92755598776756</c:v>
                </c:pt>
                <c:pt idx="13">
                  <c:v>489.02839470422879</c:v>
                </c:pt>
                <c:pt idx="14">
                  <c:v>542.11749850068952</c:v>
                </c:pt>
                <c:pt idx="15">
                  <c:v>616.75706396354894</c:v>
                </c:pt>
                <c:pt idx="16">
                  <c:v>679.82152793241755</c:v>
                </c:pt>
                <c:pt idx="17">
                  <c:v>742.2876189624825</c:v>
                </c:pt>
                <c:pt idx="18">
                  <c:v>804.48832760786752</c:v>
                </c:pt>
                <c:pt idx="19">
                  <c:v>867.31210974941666</c:v>
                </c:pt>
                <c:pt idx="20">
                  <c:v>945.27462836229279</c:v>
                </c:pt>
                <c:pt idx="21">
                  <c:v>1040.3977362368116</c:v>
                </c:pt>
                <c:pt idx="22">
                  <c:v>1129.963197123004</c:v>
                </c:pt>
                <c:pt idx="23">
                  <c:v>1203.2197590254939</c:v>
                </c:pt>
                <c:pt idx="24">
                  <c:v>1279.64814294603</c:v>
                </c:pt>
                <c:pt idx="25">
                  <c:v>1364.8143969980015</c:v>
                </c:pt>
                <c:pt idx="26">
                  <c:v>1452.1345316710651</c:v>
                </c:pt>
                <c:pt idx="27">
                  <c:v>1510.3984425560327</c:v>
                </c:pt>
                <c:pt idx="28">
                  <c:v>1560.7106521963433</c:v>
                </c:pt>
                <c:pt idx="29">
                  <c:v>1627.5722281037558</c:v>
                </c:pt>
                <c:pt idx="30">
                  <c:v>1687.1191114305402</c:v>
                </c:pt>
                <c:pt idx="31">
                  <c:v>1730.8468908783248</c:v>
                </c:pt>
                <c:pt idx="32">
                  <c:v>1782.4169087895714</c:v>
                </c:pt>
                <c:pt idx="33">
                  <c:v>1831.7307258360559</c:v>
                </c:pt>
                <c:pt idx="34">
                  <c:v>1898.067538707576</c:v>
                </c:pt>
                <c:pt idx="35">
                  <c:v>1984.8438929108363</c:v>
                </c:pt>
                <c:pt idx="36">
                  <c:v>2040.6357853709917</c:v>
                </c:pt>
                <c:pt idx="37">
                  <c:v>2101.1429716189145</c:v>
                </c:pt>
                <c:pt idx="38">
                  <c:v>2142.2699354788415</c:v>
                </c:pt>
                <c:pt idx="39">
                  <c:v>2186.8386256404078</c:v>
                </c:pt>
                <c:pt idx="40">
                  <c:v>2253.6333432008764</c:v>
                </c:pt>
                <c:pt idx="41">
                  <c:v>2289.4232174014433</c:v>
                </c:pt>
                <c:pt idx="42">
                  <c:v>2301.9541321858255</c:v>
                </c:pt>
                <c:pt idx="43">
                  <c:v>2316.8810917129094</c:v>
                </c:pt>
                <c:pt idx="44">
                  <c:v>2360.9249698963986</c:v>
                </c:pt>
                <c:pt idx="45">
                  <c:v>2424.8577024077472</c:v>
                </c:pt>
              </c:numCache>
            </c:numRef>
          </c:val>
          <c:extLst>
            <c:ext xmlns:c16="http://schemas.microsoft.com/office/drawing/2014/chart" uri="{C3380CC4-5D6E-409C-BE32-E72D297353CC}">
              <c16:uniqueId val="{00000000-0E56-6841-9784-5DA4E327B853}"/>
            </c:ext>
          </c:extLst>
        </c:ser>
        <c:ser>
          <c:idx val="1"/>
          <c:order val="1"/>
          <c:tx>
            <c:v>Loans - Conc DPS</c:v>
          </c:tx>
          <c:spPr>
            <a:solidFill>
              <a:schemeClr val="accent4">
                <a:lumMod val="75000"/>
              </a:schemeClr>
            </a:solidFill>
            <a:ln>
              <a:noFill/>
            </a:ln>
            <a:effectLst/>
          </c:spPr>
          <c:cat>
            <c:numRef>
              <c:f>'High Level Dashboard'!$B$64:$AU$64</c:f>
              <c:numCache>
                <c:formatCode>General</c:formatCode>
                <c:ptCount val="46"/>
                <c:pt idx="0">
                  <c:v>2025</c:v>
                </c:pt>
                <c:pt idx="1">
                  <c:v>2026</c:v>
                </c:pt>
                <c:pt idx="2">
                  <c:v>2027</c:v>
                </c:pt>
                <c:pt idx="3">
                  <c:v>2028</c:v>
                </c:pt>
                <c:pt idx="4">
                  <c:v>2029</c:v>
                </c:pt>
                <c:pt idx="5">
                  <c:v>2030</c:v>
                </c:pt>
                <c:pt idx="6">
                  <c:v>2031</c:v>
                </c:pt>
                <c:pt idx="7">
                  <c:v>2032</c:v>
                </c:pt>
                <c:pt idx="8">
                  <c:v>2033</c:v>
                </c:pt>
                <c:pt idx="9">
                  <c:v>2034</c:v>
                </c:pt>
                <c:pt idx="10">
                  <c:v>2035</c:v>
                </c:pt>
                <c:pt idx="11">
                  <c:v>2036</c:v>
                </c:pt>
                <c:pt idx="12">
                  <c:v>2037</c:v>
                </c:pt>
                <c:pt idx="13">
                  <c:v>2038</c:v>
                </c:pt>
                <c:pt idx="14">
                  <c:v>2039</c:v>
                </c:pt>
                <c:pt idx="15">
                  <c:v>2040</c:v>
                </c:pt>
                <c:pt idx="16">
                  <c:v>2041</c:v>
                </c:pt>
                <c:pt idx="17">
                  <c:v>2042</c:v>
                </c:pt>
                <c:pt idx="18">
                  <c:v>2043</c:v>
                </c:pt>
                <c:pt idx="19">
                  <c:v>2044</c:v>
                </c:pt>
                <c:pt idx="20">
                  <c:v>2045</c:v>
                </c:pt>
                <c:pt idx="21">
                  <c:v>2046</c:v>
                </c:pt>
                <c:pt idx="22">
                  <c:v>2047</c:v>
                </c:pt>
                <c:pt idx="23">
                  <c:v>2048</c:v>
                </c:pt>
                <c:pt idx="24">
                  <c:v>2049</c:v>
                </c:pt>
                <c:pt idx="25">
                  <c:v>2050</c:v>
                </c:pt>
                <c:pt idx="26">
                  <c:v>2051</c:v>
                </c:pt>
                <c:pt idx="27">
                  <c:v>2052</c:v>
                </c:pt>
                <c:pt idx="28">
                  <c:v>2053</c:v>
                </c:pt>
                <c:pt idx="29">
                  <c:v>2054</c:v>
                </c:pt>
                <c:pt idx="30">
                  <c:v>2055</c:v>
                </c:pt>
                <c:pt idx="31">
                  <c:v>2056</c:v>
                </c:pt>
                <c:pt idx="32">
                  <c:v>2057</c:v>
                </c:pt>
                <c:pt idx="33">
                  <c:v>2058</c:v>
                </c:pt>
                <c:pt idx="34">
                  <c:v>2059</c:v>
                </c:pt>
                <c:pt idx="35">
                  <c:v>2060</c:v>
                </c:pt>
                <c:pt idx="36">
                  <c:v>2061</c:v>
                </c:pt>
                <c:pt idx="37">
                  <c:v>2062</c:v>
                </c:pt>
                <c:pt idx="38">
                  <c:v>2063</c:v>
                </c:pt>
                <c:pt idx="39">
                  <c:v>2064</c:v>
                </c:pt>
                <c:pt idx="40">
                  <c:v>2065</c:v>
                </c:pt>
                <c:pt idx="41">
                  <c:v>2066</c:v>
                </c:pt>
                <c:pt idx="42">
                  <c:v>2067</c:v>
                </c:pt>
                <c:pt idx="43">
                  <c:v>2068</c:v>
                </c:pt>
                <c:pt idx="44">
                  <c:v>2069</c:v>
                </c:pt>
                <c:pt idx="45">
                  <c:v>2070</c:v>
                </c:pt>
              </c:numCache>
            </c:numRef>
          </c:cat>
          <c:val>
            <c:numRef>
              <c:f>'High Level Dashboard'!$B$103:$AU$103</c:f>
              <c:numCache>
                <c:formatCode>[$$-409]#,##0.00</c:formatCode>
                <c:ptCount val="46"/>
                <c:pt idx="0">
                  <c:v>0.41881110352622164</c:v>
                </c:pt>
                <c:pt idx="1">
                  <c:v>0.86196466935708727</c:v>
                </c:pt>
                <c:pt idx="2">
                  <c:v>1.3056194103153704</c:v>
                </c:pt>
                <c:pt idx="3">
                  <c:v>1.6953636178850435</c:v>
                </c:pt>
                <c:pt idx="4">
                  <c:v>2.5094158143415548</c:v>
                </c:pt>
                <c:pt idx="5">
                  <c:v>2.9901753641206668</c:v>
                </c:pt>
                <c:pt idx="6">
                  <c:v>3.5374405052697884</c:v>
                </c:pt>
                <c:pt idx="7">
                  <c:v>4.0078988852859014</c:v>
                </c:pt>
                <c:pt idx="8">
                  <c:v>5.1627747262413557</c:v>
                </c:pt>
                <c:pt idx="9">
                  <c:v>6.5886001232295284</c:v>
                </c:pt>
                <c:pt idx="10">
                  <c:v>7.8770321745524887</c:v>
                </c:pt>
                <c:pt idx="11">
                  <c:v>9.3642459764325654</c:v>
                </c:pt>
                <c:pt idx="12">
                  <c:v>11.455154035385867</c:v>
                </c:pt>
                <c:pt idx="13">
                  <c:v>12.985015265642676</c:v>
                </c:pt>
                <c:pt idx="14">
                  <c:v>14.842082822769811</c:v>
                </c:pt>
                <c:pt idx="15">
                  <c:v>16.700254178342973</c:v>
                </c:pt>
                <c:pt idx="16">
                  <c:v>18.411565114490205</c:v>
                </c:pt>
                <c:pt idx="17">
                  <c:v>20.156908445955686</c:v>
                </c:pt>
                <c:pt idx="18">
                  <c:v>21.755969091036395</c:v>
                </c:pt>
                <c:pt idx="19">
                  <c:v>23.750562390551558</c:v>
                </c:pt>
                <c:pt idx="20">
                  <c:v>25.728100558474058</c:v>
                </c:pt>
                <c:pt idx="21">
                  <c:v>27.77513183441712</c:v>
                </c:pt>
                <c:pt idx="22">
                  <c:v>29.905545940991995</c:v>
                </c:pt>
                <c:pt idx="23">
                  <c:v>31.708162364459664</c:v>
                </c:pt>
                <c:pt idx="24">
                  <c:v>33.226934913071602</c:v>
                </c:pt>
                <c:pt idx="25">
                  <c:v>34.427343493149813</c:v>
                </c:pt>
                <c:pt idx="26">
                  <c:v>35.320030786220705</c:v>
                </c:pt>
                <c:pt idx="27">
                  <c:v>35.794388155291706</c:v>
                </c:pt>
                <c:pt idx="28">
                  <c:v>36.920845456607431</c:v>
                </c:pt>
                <c:pt idx="29">
                  <c:v>38.572389163572645</c:v>
                </c:pt>
                <c:pt idx="30">
                  <c:v>40.166321027330575</c:v>
                </c:pt>
                <c:pt idx="31">
                  <c:v>41.772255305816422</c:v>
                </c:pt>
                <c:pt idx="32">
                  <c:v>43.130240341581143</c:v>
                </c:pt>
                <c:pt idx="33">
                  <c:v>44.748359069963762</c:v>
                </c:pt>
                <c:pt idx="34">
                  <c:v>46.174967002377535</c:v>
                </c:pt>
                <c:pt idx="35">
                  <c:v>47.411744105136179</c:v>
                </c:pt>
                <c:pt idx="36">
                  <c:v>48.746892646886081</c:v>
                </c:pt>
                <c:pt idx="37">
                  <c:v>49.868472468335732</c:v>
                </c:pt>
                <c:pt idx="38">
                  <c:v>49.91631449654421</c:v>
                </c:pt>
                <c:pt idx="39">
                  <c:v>50.946758837359113</c:v>
                </c:pt>
                <c:pt idx="40">
                  <c:v>52.547375293732593</c:v>
                </c:pt>
                <c:pt idx="41">
                  <c:v>53.842592357667307</c:v>
                </c:pt>
                <c:pt idx="42">
                  <c:v>55.010987271937175</c:v>
                </c:pt>
                <c:pt idx="43">
                  <c:v>55.793418446339984</c:v>
                </c:pt>
                <c:pt idx="44">
                  <c:v>56.887670254076546</c:v>
                </c:pt>
                <c:pt idx="45">
                  <c:v>57.784440597918191</c:v>
                </c:pt>
              </c:numCache>
            </c:numRef>
          </c:val>
          <c:extLst>
            <c:ext xmlns:c16="http://schemas.microsoft.com/office/drawing/2014/chart" uri="{C3380CC4-5D6E-409C-BE32-E72D297353CC}">
              <c16:uniqueId val="{00000001-0E56-6841-9784-5DA4E327B853}"/>
            </c:ext>
          </c:extLst>
        </c:ser>
        <c:ser>
          <c:idx val="2"/>
          <c:order val="2"/>
          <c:tx>
            <c:v>Loans - Comm Intl</c:v>
          </c:tx>
          <c:spPr>
            <a:solidFill>
              <a:schemeClr val="accent4"/>
            </a:solidFill>
            <a:ln>
              <a:noFill/>
            </a:ln>
            <a:effectLst/>
          </c:spPr>
          <c:cat>
            <c:numRef>
              <c:f>'High Level Dashboard'!$B$64:$AU$64</c:f>
              <c:numCache>
                <c:formatCode>General</c:formatCode>
                <c:ptCount val="46"/>
                <c:pt idx="0">
                  <c:v>2025</c:v>
                </c:pt>
                <c:pt idx="1">
                  <c:v>2026</c:v>
                </c:pt>
                <c:pt idx="2">
                  <c:v>2027</c:v>
                </c:pt>
                <c:pt idx="3">
                  <c:v>2028</c:v>
                </c:pt>
                <c:pt idx="4">
                  <c:v>2029</c:v>
                </c:pt>
                <c:pt idx="5">
                  <c:v>2030</c:v>
                </c:pt>
                <c:pt idx="6">
                  <c:v>2031</c:v>
                </c:pt>
                <c:pt idx="7">
                  <c:v>2032</c:v>
                </c:pt>
                <c:pt idx="8">
                  <c:v>2033</c:v>
                </c:pt>
                <c:pt idx="9">
                  <c:v>2034</c:v>
                </c:pt>
                <c:pt idx="10">
                  <c:v>2035</c:v>
                </c:pt>
                <c:pt idx="11">
                  <c:v>2036</c:v>
                </c:pt>
                <c:pt idx="12">
                  <c:v>2037</c:v>
                </c:pt>
                <c:pt idx="13">
                  <c:v>2038</c:v>
                </c:pt>
                <c:pt idx="14">
                  <c:v>2039</c:v>
                </c:pt>
                <c:pt idx="15">
                  <c:v>2040</c:v>
                </c:pt>
                <c:pt idx="16">
                  <c:v>2041</c:v>
                </c:pt>
                <c:pt idx="17">
                  <c:v>2042</c:v>
                </c:pt>
                <c:pt idx="18">
                  <c:v>2043</c:v>
                </c:pt>
                <c:pt idx="19">
                  <c:v>2044</c:v>
                </c:pt>
                <c:pt idx="20">
                  <c:v>2045</c:v>
                </c:pt>
                <c:pt idx="21">
                  <c:v>2046</c:v>
                </c:pt>
                <c:pt idx="22">
                  <c:v>2047</c:v>
                </c:pt>
                <c:pt idx="23">
                  <c:v>2048</c:v>
                </c:pt>
                <c:pt idx="24">
                  <c:v>2049</c:v>
                </c:pt>
                <c:pt idx="25">
                  <c:v>2050</c:v>
                </c:pt>
                <c:pt idx="26">
                  <c:v>2051</c:v>
                </c:pt>
                <c:pt idx="27">
                  <c:v>2052</c:v>
                </c:pt>
                <c:pt idx="28">
                  <c:v>2053</c:v>
                </c:pt>
                <c:pt idx="29">
                  <c:v>2054</c:v>
                </c:pt>
                <c:pt idx="30">
                  <c:v>2055</c:v>
                </c:pt>
                <c:pt idx="31">
                  <c:v>2056</c:v>
                </c:pt>
                <c:pt idx="32">
                  <c:v>2057</c:v>
                </c:pt>
                <c:pt idx="33">
                  <c:v>2058</c:v>
                </c:pt>
                <c:pt idx="34">
                  <c:v>2059</c:v>
                </c:pt>
                <c:pt idx="35">
                  <c:v>2060</c:v>
                </c:pt>
                <c:pt idx="36">
                  <c:v>2061</c:v>
                </c:pt>
                <c:pt idx="37">
                  <c:v>2062</c:v>
                </c:pt>
                <c:pt idx="38">
                  <c:v>2063</c:v>
                </c:pt>
                <c:pt idx="39">
                  <c:v>2064</c:v>
                </c:pt>
                <c:pt idx="40">
                  <c:v>2065</c:v>
                </c:pt>
                <c:pt idx="41">
                  <c:v>2066</c:v>
                </c:pt>
                <c:pt idx="42">
                  <c:v>2067</c:v>
                </c:pt>
                <c:pt idx="43">
                  <c:v>2068</c:v>
                </c:pt>
                <c:pt idx="44">
                  <c:v>2069</c:v>
                </c:pt>
                <c:pt idx="45">
                  <c:v>2070</c:v>
                </c:pt>
              </c:numCache>
            </c:numRef>
          </c:cat>
          <c:val>
            <c:numRef>
              <c:f>'High Level Dashboard'!$B$104:$AU$104</c:f>
              <c:numCache>
                <c:formatCode>[$$-409]#,##0.00</c:formatCode>
                <c:ptCount val="46"/>
                <c:pt idx="0">
                  <c:v>3.6010969565123609</c:v>
                </c:pt>
                <c:pt idx="1">
                  <c:v>7.4114996505785067</c:v>
                </c:pt>
                <c:pt idx="2">
                  <c:v>12.340286782292518</c:v>
                </c:pt>
                <c:pt idx="3">
                  <c:v>17.119668296529991</c:v>
                </c:pt>
                <c:pt idx="4">
                  <c:v>25.56323916442571</c:v>
                </c:pt>
                <c:pt idx="5">
                  <c:v>30.997924821575346</c:v>
                </c:pt>
                <c:pt idx="6">
                  <c:v>38.101046700843888</c:v>
                </c:pt>
                <c:pt idx="7">
                  <c:v>43.253040558416366</c:v>
                </c:pt>
                <c:pt idx="8">
                  <c:v>48.23877109498715</c:v>
                </c:pt>
                <c:pt idx="9">
                  <c:v>54.837303559057837</c:v>
                </c:pt>
                <c:pt idx="10">
                  <c:v>60.195860322589198</c:v>
                </c:pt>
                <c:pt idx="11">
                  <c:v>67.972197053059773</c:v>
                </c:pt>
                <c:pt idx="12">
                  <c:v>75.187569083648015</c:v>
                </c:pt>
                <c:pt idx="13">
                  <c:v>82.727627814389635</c:v>
                </c:pt>
                <c:pt idx="14">
                  <c:v>92.385328584106475</c:v>
                </c:pt>
                <c:pt idx="15">
                  <c:v>103.07791432539611</c:v>
                </c:pt>
                <c:pt idx="16">
                  <c:v>109.11519173680178</c:v>
                </c:pt>
                <c:pt idx="17">
                  <c:v>112.9607786295358</c:v>
                </c:pt>
                <c:pt idx="18">
                  <c:v>116.91998007324818</c:v>
                </c:pt>
                <c:pt idx="19">
                  <c:v>119.72509389839126</c:v>
                </c:pt>
                <c:pt idx="20">
                  <c:v>119.88185194237803</c:v>
                </c:pt>
                <c:pt idx="21">
                  <c:v>123.55813527955436</c:v>
                </c:pt>
                <c:pt idx="22">
                  <c:v>127.6957817837275</c:v>
                </c:pt>
                <c:pt idx="23">
                  <c:v>133.98559397515888</c:v>
                </c:pt>
                <c:pt idx="24">
                  <c:v>140.75671879896561</c:v>
                </c:pt>
                <c:pt idx="25">
                  <c:v>147.36266562873465</c:v>
                </c:pt>
                <c:pt idx="26">
                  <c:v>154.58844552047685</c:v>
                </c:pt>
                <c:pt idx="27">
                  <c:v>159.79150775727445</c:v>
                </c:pt>
                <c:pt idx="28">
                  <c:v>165.51710278238687</c:v>
                </c:pt>
                <c:pt idx="29">
                  <c:v>173.85853032549923</c:v>
                </c:pt>
                <c:pt idx="30">
                  <c:v>175.28879163246683</c:v>
                </c:pt>
                <c:pt idx="31">
                  <c:v>176.66167679486585</c:v>
                </c:pt>
                <c:pt idx="32">
                  <c:v>178.2305907256515</c:v>
                </c:pt>
                <c:pt idx="33">
                  <c:v>182.47424173762232</c:v>
                </c:pt>
                <c:pt idx="34">
                  <c:v>187.88783691733963</c:v>
                </c:pt>
                <c:pt idx="35">
                  <c:v>191.20304844126576</c:v>
                </c:pt>
                <c:pt idx="36">
                  <c:v>196.38654798832223</c:v>
                </c:pt>
                <c:pt idx="37">
                  <c:v>200.08525105382793</c:v>
                </c:pt>
                <c:pt idx="38">
                  <c:v>203.46193930385618</c:v>
                </c:pt>
                <c:pt idx="39">
                  <c:v>207.86828887293782</c:v>
                </c:pt>
                <c:pt idx="40">
                  <c:v>212.94942677424319</c:v>
                </c:pt>
                <c:pt idx="41">
                  <c:v>215.49167860097913</c:v>
                </c:pt>
                <c:pt idx="42">
                  <c:v>216.61608132212908</c:v>
                </c:pt>
                <c:pt idx="43">
                  <c:v>217.95195117010107</c:v>
                </c:pt>
                <c:pt idx="44">
                  <c:v>218.12009246336189</c:v>
                </c:pt>
                <c:pt idx="45">
                  <c:v>216.38574737944688</c:v>
                </c:pt>
              </c:numCache>
            </c:numRef>
          </c:val>
          <c:extLst>
            <c:ext xmlns:c16="http://schemas.microsoft.com/office/drawing/2014/chart" uri="{C3380CC4-5D6E-409C-BE32-E72D297353CC}">
              <c16:uniqueId val="{00000002-0E56-6841-9784-5DA4E327B853}"/>
            </c:ext>
          </c:extLst>
        </c:ser>
        <c:ser>
          <c:idx val="3"/>
          <c:order val="3"/>
          <c:tx>
            <c:v>Loans - Comm Dom</c:v>
          </c:tx>
          <c:spPr>
            <a:solidFill>
              <a:schemeClr val="accent4">
                <a:lumMod val="40000"/>
                <a:lumOff val="60000"/>
              </a:schemeClr>
            </a:solidFill>
            <a:ln>
              <a:noFill/>
            </a:ln>
            <a:effectLst/>
          </c:spPr>
          <c:cat>
            <c:numRef>
              <c:f>'High Level Dashboard'!$B$64:$AU$64</c:f>
              <c:numCache>
                <c:formatCode>General</c:formatCode>
                <c:ptCount val="46"/>
                <c:pt idx="0">
                  <c:v>2025</c:v>
                </c:pt>
                <c:pt idx="1">
                  <c:v>2026</c:v>
                </c:pt>
                <c:pt idx="2">
                  <c:v>2027</c:v>
                </c:pt>
                <c:pt idx="3">
                  <c:v>2028</c:v>
                </c:pt>
                <c:pt idx="4">
                  <c:v>2029</c:v>
                </c:pt>
                <c:pt idx="5">
                  <c:v>2030</c:v>
                </c:pt>
                <c:pt idx="6">
                  <c:v>2031</c:v>
                </c:pt>
                <c:pt idx="7">
                  <c:v>2032</c:v>
                </c:pt>
                <c:pt idx="8">
                  <c:v>2033</c:v>
                </c:pt>
                <c:pt idx="9">
                  <c:v>2034</c:v>
                </c:pt>
                <c:pt idx="10">
                  <c:v>2035</c:v>
                </c:pt>
                <c:pt idx="11">
                  <c:v>2036</c:v>
                </c:pt>
                <c:pt idx="12">
                  <c:v>2037</c:v>
                </c:pt>
                <c:pt idx="13">
                  <c:v>2038</c:v>
                </c:pt>
                <c:pt idx="14">
                  <c:v>2039</c:v>
                </c:pt>
                <c:pt idx="15">
                  <c:v>2040</c:v>
                </c:pt>
                <c:pt idx="16">
                  <c:v>2041</c:v>
                </c:pt>
                <c:pt idx="17">
                  <c:v>2042</c:v>
                </c:pt>
                <c:pt idx="18">
                  <c:v>2043</c:v>
                </c:pt>
                <c:pt idx="19">
                  <c:v>2044</c:v>
                </c:pt>
                <c:pt idx="20">
                  <c:v>2045</c:v>
                </c:pt>
                <c:pt idx="21">
                  <c:v>2046</c:v>
                </c:pt>
                <c:pt idx="22">
                  <c:v>2047</c:v>
                </c:pt>
                <c:pt idx="23">
                  <c:v>2048</c:v>
                </c:pt>
                <c:pt idx="24">
                  <c:v>2049</c:v>
                </c:pt>
                <c:pt idx="25">
                  <c:v>2050</c:v>
                </c:pt>
                <c:pt idx="26">
                  <c:v>2051</c:v>
                </c:pt>
                <c:pt idx="27">
                  <c:v>2052</c:v>
                </c:pt>
                <c:pt idx="28">
                  <c:v>2053</c:v>
                </c:pt>
                <c:pt idx="29">
                  <c:v>2054</c:v>
                </c:pt>
                <c:pt idx="30">
                  <c:v>2055</c:v>
                </c:pt>
                <c:pt idx="31">
                  <c:v>2056</c:v>
                </c:pt>
                <c:pt idx="32">
                  <c:v>2057</c:v>
                </c:pt>
                <c:pt idx="33">
                  <c:v>2058</c:v>
                </c:pt>
                <c:pt idx="34">
                  <c:v>2059</c:v>
                </c:pt>
                <c:pt idx="35">
                  <c:v>2060</c:v>
                </c:pt>
                <c:pt idx="36">
                  <c:v>2061</c:v>
                </c:pt>
                <c:pt idx="37">
                  <c:v>2062</c:v>
                </c:pt>
                <c:pt idx="38">
                  <c:v>2063</c:v>
                </c:pt>
                <c:pt idx="39">
                  <c:v>2064</c:v>
                </c:pt>
                <c:pt idx="40">
                  <c:v>2065</c:v>
                </c:pt>
                <c:pt idx="41">
                  <c:v>2066</c:v>
                </c:pt>
                <c:pt idx="42">
                  <c:v>2067</c:v>
                </c:pt>
                <c:pt idx="43">
                  <c:v>2068</c:v>
                </c:pt>
                <c:pt idx="44">
                  <c:v>2069</c:v>
                </c:pt>
                <c:pt idx="45">
                  <c:v>2070</c:v>
                </c:pt>
              </c:numCache>
            </c:numRef>
          </c:cat>
          <c:val>
            <c:numRef>
              <c:f>'High Level Dashboard'!$B$105:$AU$105</c:f>
              <c:numCache>
                <c:formatCode>[$$-409]#,##0.00</c:formatCode>
                <c:ptCount val="46"/>
                <c:pt idx="0">
                  <c:v>0.59491115072147538</c:v>
                </c:pt>
                <c:pt idx="1">
                  <c:v>1.2244001866497198</c:v>
                </c:pt>
                <c:pt idx="2">
                  <c:v>1.8546011298537135</c:v>
                </c:pt>
                <c:pt idx="3">
                  <c:v>2.4082234504180646</c:v>
                </c:pt>
                <c:pt idx="4">
                  <c:v>3.5645651158222789</c:v>
                </c:pt>
                <c:pt idx="5">
                  <c:v>4.2474725520658421</c:v>
                </c:pt>
                <c:pt idx="6">
                  <c:v>5.0248495894212777</c:v>
                </c:pt>
                <c:pt idx="7">
                  <c:v>5.6545740413700658</c:v>
                </c:pt>
                <c:pt idx="8">
                  <c:v>6.3291696126266901</c:v>
                </c:pt>
                <c:pt idx="9">
                  <c:v>7.3348278007402863</c:v>
                </c:pt>
                <c:pt idx="10">
                  <c:v>8.1491773307081186</c:v>
                </c:pt>
                <c:pt idx="11">
                  <c:v>9.325914947662012</c:v>
                </c:pt>
                <c:pt idx="12">
                  <c:v>10.453635898292829</c:v>
                </c:pt>
                <c:pt idx="13">
                  <c:v>11.514471830112665</c:v>
                </c:pt>
                <c:pt idx="14">
                  <c:v>12.90729713271303</c:v>
                </c:pt>
                <c:pt idx="15">
                  <c:v>14.641614728914574</c:v>
                </c:pt>
                <c:pt idx="16">
                  <c:v>16.183292007180601</c:v>
                </c:pt>
                <c:pt idx="17">
                  <c:v>17.276306414722495</c:v>
                </c:pt>
                <c:pt idx="18">
                  <c:v>18.090722905888889</c:v>
                </c:pt>
                <c:pt idx="19">
                  <c:v>18.590472801690023</c:v>
                </c:pt>
                <c:pt idx="20">
                  <c:v>19.135982231730061</c:v>
                </c:pt>
                <c:pt idx="21">
                  <c:v>19.841546515779346</c:v>
                </c:pt>
                <c:pt idx="22">
                  <c:v>20.41969779615199</c:v>
                </c:pt>
                <c:pt idx="23">
                  <c:v>20.963482113072612</c:v>
                </c:pt>
                <c:pt idx="24">
                  <c:v>21.814114172649401</c:v>
                </c:pt>
                <c:pt idx="25">
                  <c:v>22.91261652157495</c:v>
                </c:pt>
                <c:pt idx="26">
                  <c:v>24.138045051450252</c:v>
                </c:pt>
                <c:pt idx="27">
                  <c:v>25.099237840786163</c:v>
                </c:pt>
                <c:pt idx="28">
                  <c:v>25.976593406837619</c:v>
                </c:pt>
                <c:pt idx="29">
                  <c:v>27.373872089838166</c:v>
                </c:pt>
                <c:pt idx="30">
                  <c:v>27.971629240643729</c:v>
                </c:pt>
                <c:pt idx="31">
                  <c:v>28.789085163305334</c:v>
                </c:pt>
                <c:pt idx="32">
                  <c:v>29.278066090855752</c:v>
                </c:pt>
                <c:pt idx="33">
                  <c:v>29.311354349228164</c:v>
                </c:pt>
                <c:pt idx="34">
                  <c:v>29.520537447085939</c:v>
                </c:pt>
                <c:pt idx="35">
                  <c:v>29.91268858072641</c:v>
                </c:pt>
                <c:pt idx="36">
                  <c:v>30.9789951435971</c:v>
                </c:pt>
                <c:pt idx="37">
                  <c:v>31.870275905757989</c:v>
                </c:pt>
                <c:pt idx="38">
                  <c:v>32.587868016530628</c:v>
                </c:pt>
                <c:pt idx="39">
                  <c:v>33.507180641224139</c:v>
                </c:pt>
                <c:pt idx="40">
                  <c:v>34.635445476704291</c:v>
                </c:pt>
                <c:pt idx="41">
                  <c:v>35.418104676405882</c:v>
                </c:pt>
                <c:pt idx="42">
                  <c:v>35.641101438543195</c:v>
                </c:pt>
                <c:pt idx="43">
                  <c:v>35.644427001884409</c:v>
                </c:pt>
                <c:pt idx="44">
                  <c:v>35.688989794651725</c:v>
                </c:pt>
                <c:pt idx="45">
                  <c:v>35.920340028101798</c:v>
                </c:pt>
              </c:numCache>
            </c:numRef>
          </c:val>
          <c:extLst>
            <c:ext xmlns:c16="http://schemas.microsoft.com/office/drawing/2014/chart" uri="{C3380CC4-5D6E-409C-BE32-E72D297353CC}">
              <c16:uniqueId val="{00000003-0E56-6841-9784-5DA4E327B853}"/>
            </c:ext>
          </c:extLst>
        </c:ser>
        <c:ser>
          <c:idx val="4"/>
          <c:order val="4"/>
          <c:tx>
            <c:v>Equity - Conc IFI</c:v>
          </c:tx>
          <c:spPr>
            <a:solidFill>
              <a:schemeClr val="accent1">
                <a:lumMod val="50000"/>
              </a:schemeClr>
            </a:solidFill>
            <a:ln>
              <a:noFill/>
            </a:ln>
            <a:effectLst/>
          </c:spPr>
          <c:cat>
            <c:numRef>
              <c:f>'High Level Dashboard'!$B$64:$AU$64</c:f>
              <c:numCache>
                <c:formatCode>General</c:formatCode>
                <c:ptCount val="46"/>
                <c:pt idx="0">
                  <c:v>2025</c:v>
                </c:pt>
                <c:pt idx="1">
                  <c:v>2026</c:v>
                </c:pt>
                <c:pt idx="2">
                  <c:v>2027</c:v>
                </c:pt>
                <c:pt idx="3">
                  <c:v>2028</c:v>
                </c:pt>
                <c:pt idx="4">
                  <c:v>2029</c:v>
                </c:pt>
                <c:pt idx="5">
                  <c:v>2030</c:v>
                </c:pt>
                <c:pt idx="6">
                  <c:v>2031</c:v>
                </c:pt>
                <c:pt idx="7">
                  <c:v>2032</c:v>
                </c:pt>
                <c:pt idx="8">
                  <c:v>2033</c:v>
                </c:pt>
                <c:pt idx="9">
                  <c:v>2034</c:v>
                </c:pt>
                <c:pt idx="10">
                  <c:v>2035</c:v>
                </c:pt>
                <c:pt idx="11">
                  <c:v>2036</c:v>
                </c:pt>
                <c:pt idx="12">
                  <c:v>2037</c:v>
                </c:pt>
                <c:pt idx="13">
                  <c:v>2038</c:v>
                </c:pt>
                <c:pt idx="14">
                  <c:v>2039</c:v>
                </c:pt>
                <c:pt idx="15">
                  <c:v>2040</c:v>
                </c:pt>
                <c:pt idx="16">
                  <c:v>2041</c:v>
                </c:pt>
                <c:pt idx="17">
                  <c:v>2042</c:v>
                </c:pt>
                <c:pt idx="18">
                  <c:v>2043</c:v>
                </c:pt>
                <c:pt idx="19">
                  <c:v>2044</c:v>
                </c:pt>
                <c:pt idx="20">
                  <c:v>2045</c:v>
                </c:pt>
                <c:pt idx="21">
                  <c:v>2046</c:v>
                </c:pt>
                <c:pt idx="22">
                  <c:v>2047</c:v>
                </c:pt>
                <c:pt idx="23">
                  <c:v>2048</c:v>
                </c:pt>
                <c:pt idx="24">
                  <c:v>2049</c:v>
                </c:pt>
                <c:pt idx="25">
                  <c:v>2050</c:v>
                </c:pt>
                <c:pt idx="26">
                  <c:v>2051</c:v>
                </c:pt>
                <c:pt idx="27">
                  <c:v>2052</c:v>
                </c:pt>
                <c:pt idx="28">
                  <c:v>2053</c:v>
                </c:pt>
                <c:pt idx="29">
                  <c:v>2054</c:v>
                </c:pt>
                <c:pt idx="30">
                  <c:v>2055</c:v>
                </c:pt>
                <c:pt idx="31">
                  <c:v>2056</c:v>
                </c:pt>
                <c:pt idx="32">
                  <c:v>2057</c:v>
                </c:pt>
                <c:pt idx="33">
                  <c:v>2058</c:v>
                </c:pt>
                <c:pt idx="34">
                  <c:v>2059</c:v>
                </c:pt>
                <c:pt idx="35">
                  <c:v>2060</c:v>
                </c:pt>
                <c:pt idx="36">
                  <c:v>2061</c:v>
                </c:pt>
                <c:pt idx="37">
                  <c:v>2062</c:v>
                </c:pt>
                <c:pt idx="38">
                  <c:v>2063</c:v>
                </c:pt>
                <c:pt idx="39">
                  <c:v>2064</c:v>
                </c:pt>
                <c:pt idx="40">
                  <c:v>2065</c:v>
                </c:pt>
                <c:pt idx="41">
                  <c:v>2066</c:v>
                </c:pt>
                <c:pt idx="42">
                  <c:v>2067</c:v>
                </c:pt>
                <c:pt idx="43">
                  <c:v>2068</c:v>
                </c:pt>
                <c:pt idx="44">
                  <c:v>2069</c:v>
                </c:pt>
                <c:pt idx="45">
                  <c:v>2070</c:v>
                </c:pt>
              </c:numCache>
            </c:numRef>
          </c:cat>
          <c:val>
            <c:numRef>
              <c:f>'High Level Dashboard'!$B$106:$AU$106</c:f>
              <c:numCache>
                <c:formatCode>[$$-409]#,##0.00</c:formatCode>
                <c:ptCount val="46"/>
                <c:pt idx="0">
                  <c:v>1.7355981488101331</c:v>
                </c:pt>
                <c:pt idx="1">
                  <c:v>3.572074073203825</c:v>
                </c:pt>
                <c:pt idx="2">
                  <c:v>5.4106269210984745</c:v>
                </c:pt>
                <c:pt idx="3">
                  <c:v>7.0257687343695379</c:v>
                </c:pt>
                <c:pt idx="4">
                  <c:v>10.399288379166361</c:v>
                </c:pt>
                <c:pt idx="5">
                  <c:v>12.391607535927154</c:v>
                </c:pt>
                <c:pt idx="6">
                  <c:v>14.659532998956964</c:v>
                </c:pt>
                <c:pt idx="7">
                  <c:v>16.292617123583518</c:v>
                </c:pt>
                <c:pt idx="8">
                  <c:v>17.85595514880556</c:v>
                </c:pt>
                <c:pt idx="9">
                  <c:v>20.373920360686803</c:v>
                </c:pt>
                <c:pt idx="10">
                  <c:v>22.359803939210604</c:v>
                </c:pt>
                <c:pt idx="11">
                  <c:v>25.220465855673723</c:v>
                </c:pt>
                <c:pt idx="12">
                  <c:v>27.909263588696632</c:v>
                </c:pt>
                <c:pt idx="13">
                  <c:v>30.520765358136256</c:v>
                </c:pt>
                <c:pt idx="14">
                  <c:v>34.145483131141894</c:v>
                </c:pt>
                <c:pt idx="15">
                  <c:v>38.84372969475254</c:v>
                </c:pt>
                <c:pt idx="16">
                  <c:v>42.875303800823787</c:v>
                </c:pt>
                <c:pt idx="17">
                  <c:v>45.556669114746839</c:v>
                </c:pt>
                <c:pt idx="18">
                  <c:v>48.357542214058157</c:v>
                </c:pt>
                <c:pt idx="19">
                  <c:v>51.37345498639381</c:v>
                </c:pt>
                <c:pt idx="20">
                  <c:v>54.618730580282467</c:v>
                </c:pt>
                <c:pt idx="21">
                  <c:v>58.095801551165863</c:v>
                </c:pt>
                <c:pt idx="22">
                  <c:v>61.806628407685963</c:v>
                </c:pt>
                <c:pt idx="23">
                  <c:v>65.767392197102467</c:v>
                </c:pt>
                <c:pt idx="24">
                  <c:v>69.897746775914399</c:v>
                </c:pt>
                <c:pt idx="25">
                  <c:v>73.158361387554734</c:v>
                </c:pt>
                <c:pt idx="26">
                  <c:v>76.200910697500717</c:v>
                </c:pt>
                <c:pt idx="27">
                  <c:v>78.93686282679495</c:v>
                </c:pt>
                <c:pt idx="28">
                  <c:v>81.709277242857269</c:v>
                </c:pt>
                <c:pt idx="29">
                  <c:v>84.681544683777147</c:v>
                </c:pt>
                <c:pt idx="30">
                  <c:v>86.944067907996839</c:v>
                </c:pt>
                <c:pt idx="31">
                  <c:v>89.447037915060378</c:v>
                </c:pt>
                <c:pt idx="32">
                  <c:v>91.962131226635449</c:v>
                </c:pt>
                <c:pt idx="33">
                  <c:v>94.319388320135474</c:v>
                </c:pt>
                <c:pt idx="34">
                  <c:v>96.792452646922229</c:v>
                </c:pt>
                <c:pt idx="35">
                  <c:v>99.001660414656797</c:v>
                </c:pt>
                <c:pt idx="36">
                  <c:v>101.40018075638091</c:v>
                </c:pt>
                <c:pt idx="37">
                  <c:v>103.69903313296334</c:v>
                </c:pt>
                <c:pt idx="38">
                  <c:v>105.87562833800889</c:v>
                </c:pt>
                <c:pt idx="39">
                  <c:v>107.92411696071282</c:v>
                </c:pt>
                <c:pt idx="40">
                  <c:v>110.06447086895402</c:v>
                </c:pt>
                <c:pt idx="41">
                  <c:v>112.14222186233742</c:v>
                </c:pt>
                <c:pt idx="42">
                  <c:v>114.11982676670924</c:v>
                </c:pt>
                <c:pt idx="43">
                  <c:v>115.91042350281595</c:v>
                </c:pt>
                <c:pt idx="44">
                  <c:v>117.912075797124</c:v>
                </c:pt>
                <c:pt idx="45">
                  <c:v>119.99545814335086</c:v>
                </c:pt>
              </c:numCache>
            </c:numRef>
          </c:val>
          <c:extLst>
            <c:ext xmlns:c16="http://schemas.microsoft.com/office/drawing/2014/chart" uri="{C3380CC4-5D6E-409C-BE32-E72D297353CC}">
              <c16:uniqueId val="{00000004-0E56-6841-9784-5DA4E327B853}"/>
            </c:ext>
          </c:extLst>
        </c:ser>
        <c:ser>
          <c:idx val="5"/>
          <c:order val="5"/>
          <c:tx>
            <c:v>Equity - Conc DPS</c:v>
          </c:tx>
          <c:spPr>
            <a:solidFill>
              <a:schemeClr val="accent1">
                <a:lumMod val="75000"/>
              </a:schemeClr>
            </a:solidFill>
            <a:ln>
              <a:noFill/>
            </a:ln>
            <a:effectLst/>
          </c:spPr>
          <c:cat>
            <c:numRef>
              <c:f>'High Level Dashboard'!$B$64:$AU$64</c:f>
              <c:numCache>
                <c:formatCode>General</c:formatCode>
                <c:ptCount val="46"/>
                <c:pt idx="0">
                  <c:v>2025</c:v>
                </c:pt>
                <c:pt idx="1">
                  <c:v>2026</c:v>
                </c:pt>
                <c:pt idx="2">
                  <c:v>2027</c:v>
                </c:pt>
                <c:pt idx="3">
                  <c:v>2028</c:v>
                </c:pt>
                <c:pt idx="4">
                  <c:v>2029</c:v>
                </c:pt>
                <c:pt idx="5">
                  <c:v>2030</c:v>
                </c:pt>
                <c:pt idx="6">
                  <c:v>2031</c:v>
                </c:pt>
                <c:pt idx="7">
                  <c:v>2032</c:v>
                </c:pt>
                <c:pt idx="8">
                  <c:v>2033</c:v>
                </c:pt>
                <c:pt idx="9">
                  <c:v>2034</c:v>
                </c:pt>
                <c:pt idx="10">
                  <c:v>2035</c:v>
                </c:pt>
                <c:pt idx="11">
                  <c:v>2036</c:v>
                </c:pt>
                <c:pt idx="12">
                  <c:v>2037</c:v>
                </c:pt>
                <c:pt idx="13">
                  <c:v>2038</c:v>
                </c:pt>
                <c:pt idx="14">
                  <c:v>2039</c:v>
                </c:pt>
                <c:pt idx="15">
                  <c:v>2040</c:v>
                </c:pt>
                <c:pt idx="16">
                  <c:v>2041</c:v>
                </c:pt>
                <c:pt idx="17">
                  <c:v>2042</c:v>
                </c:pt>
                <c:pt idx="18">
                  <c:v>2043</c:v>
                </c:pt>
                <c:pt idx="19">
                  <c:v>2044</c:v>
                </c:pt>
                <c:pt idx="20">
                  <c:v>2045</c:v>
                </c:pt>
                <c:pt idx="21">
                  <c:v>2046</c:v>
                </c:pt>
                <c:pt idx="22">
                  <c:v>2047</c:v>
                </c:pt>
                <c:pt idx="23">
                  <c:v>2048</c:v>
                </c:pt>
                <c:pt idx="24">
                  <c:v>2049</c:v>
                </c:pt>
                <c:pt idx="25">
                  <c:v>2050</c:v>
                </c:pt>
                <c:pt idx="26">
                  <c:v>2051</c:v>
                </c:pt>
                <c:pt idx="27">
                  <c:v>2052</c:v>
                </c:pt>
                <c:pt idx="28">
                  <c:v>2053</c:v>
                </c:pt>
                <c:pt idx="29">
                  <c:v>2054</c:v>
                </c:pt>
                <c:pt idx="30">
                  <c:v>2055</c:v>
                </c:pt>
                <c:pt idx="31">
                  <c:v>2056</c:v>
                </c:pt>
                <c:pt idx="32">
                  <c:v>2057</c:v>
                </c:pt>
                <c:pt idx="33">
                  <c:v>2058</c:v>
                </c:pt>
                <c:pt idx="34">
                  <c:v>2059</c:v>
                </c:pt>
                <c:pt idx="35">
                  <c:v>2060</c:v>
                </c:pt>
                <c:pt idx="36">
                  <c:v>2061</c:v>
                </c:pt>
                <c:pt idx="37">
                  <c:v>2062</c:v>
                </c:pt>
                <c:pt idx="38">
                  <c:v>2063</c:v>
                </c:pt>
                <c:pt idx="39">
                  <c:v>2064</c:v>
                </c:pt>
                <c:pt idx="40">
                  <c:v>2065</c:v>
                </c:pt>
                <c:pt idx="41">
                  <c:v>2066</c:v>
                </c:pt>
                <c:pt idx="42">
                  <c:v>2067</c:v>
                </c:pt>
                <c:pt idx="43">
                  <c:v>2068</c:v>
                </c:pt>
                <c:pt idx="44">
                  <c:v>2069</c:v>
                </c:pt>
                <c:pt idx="45">
                  <c:v>2070</c:v>
                </c:pt>
              </c:numCache>
            </c:numRef>
          </c:cat>
          <c:val>
            <c:numRef>
              <c:f>'High Level Dashboard'!$B$107:$AU$107</c:f>
              <c:numCache>
                <c:formatCode>[$$-409]#,##0.00</c:formatCode>
                <c:ptCount val="46"/>
                <c:pt idx="0">
                  <c:v>15.340080175357249</c:v>
                </c:pt>
                <c:pt idx="1">
                  <c:v>31.571768334062707</c:v>
                </c:pt>
                <c:pt idx="2">
                  <c:v>47.821813376269453</c:v>
                </c:pt>
                <c:pt idx="3">
                  <c:v>62.097240511943603</c:v>
                </c:pt>
                <c:pt idx="4">
                  <c:v>91.91408599533159</c:v>
                </c:pt>
                <c:pt idx="5">
                  <c:v>109.52319419849671</c:v>
                </c:pt>
                <c:pt idx="6">
                  <c:v>129.56824809444748</c:v>
                </c:pt>
                <c:pt idx="7">
                  <c:v>144.00225830703556</c:v>
                </c:pt>
                <c:pt idx="8">
                  <c:v>157.81981778330712</c:v>
                </c:pt>
                <c:pt idx="9">
                  <c:v>180.07484741415755</c:v>
                </c:pt>
                <c:pt idx="10">
                  <c:v>197.6270747741402</c:v>
                </c:pt>
                <c:pt idx="11">
                  <c:v>222.91102842621106</c:v>
                </c:pt>
                <c:pt idx="12">
                  <c:v>246.67596089526637</c:v>
                </c:pt>
                <c:pt idx="13">
                  <c:v>269.7577131711347</c:v>
                </c:pt>
                <c:pt idx="14">
                  <c:v>301.79477272266087</c:v>
                </c:pt>
                <c:pt idx="15">
                  <c:v>343.32021397690153</c:v>
                </c:pt>
                <c:pt idx="16">
                  <c:v>378.95327227580884</c:v>
                </c:pt>
                <c:pt idx="17">
                  <c:v>402.65251332604885</c:v>
                </c:pt>
                <c:pt idx="18">
                  <c:v>427.40802365768451</c:v>
                </c:pt>
                <c:pt idx="19">
                  <c:v>454.06416163595441</c:v>
                </c:pt>
                <c:pt idx="20">
                  <c:v>482.7475223756</c:v>
                </c:pt>
                <c:pt idx="21">
                  <c:v>513.47960601219836</c:v>
                </c:pt>
                <c:pt idx="22">
                  <c:v>546.2777404967926</c:v>
                </c:pt>
                <c:pt idx="23">
                  <c:v>581.2849419777084</c:v>
                </c:pt>
                <c:pt idx="24">
                  <c:v>619.52296406044843</c:v>
                </c:pt>
                <c:pt idx="25">
                  <c:v>663.78264125877377</c:v>
                </c:pt>
                <c:pt idx="26">
                  <c:v>706.90796686052488</c:v>
                </c:pt>
                <c:pt idx="27">
                  <c:v>747.11678432018732</c:v>
                </c:pt>
                <c:pt idx="28">
                  <c:v>787.65081363916465</c:v>
                </c:pt>
                <c:pt idx="29">
                  <c:v>842.35978618896002</c:v>
                </c:pt>
                <c:pt idx="30">
                  <c:v>880.24121852521</c:v>
                </c:pt>
                <c:pt idx="31">
                  <c:v>921.77528095866637</c:v>
                </c:pt>
                <c:pt idx="32">
                  <c:v>958.36934032006025</c:v>
                </c:pt>
                <c:pt idx="33">
                  <c:v>993.97410024468923</c:v>
                </c:pt>
                <c:pt idx="34">
                  <c:v>1022.7941642671134</c:v>
                </c:pt>
                <c:pt idx="35">
                  <c:v>1044.5472803126638</c:v>
                </c:pt>
                <c:pt idx="36">
                  <c:v>1074.6096996139747</c:v>
                </c:pt>
                <c:pt idx="37">
                  <c:v>1104.2660881270724</c:v>
                </c:pt>
                <c:pt idx="38">
                  <c:v>1118.365351169359</c:v>
                </c:pt>
                <c:pt idx="39">
                  <c:v>1151.5102150287005</c:v>
                </c:pt>
                <c:pt idx="40">
                  <c:v>1191.3346324515066</c:v>
                </c:pt>
                <c:pt idx="41">
                  <c:v>1229.3391740195664</c:v>
                </c:pt>
                <c:pt idx="42">
                  <c:v>1256.795941807721</c:v>
                </c:pt>
                <c:pt idx="43">
                  <c:v>1275.6550420480171</c:v>
                </c:pt>
                <c:pt idx="44">
                  <c:v>1302.5022623518857</c:v>
                </c:pt>
                <c:pt idx="45">
                  <c:v>1324.838207265343</c:v>
                </c:pt>
              </c:numCache>
            </c:numRef>
          </c:val>
          <c:extLst>
            <c:ext xmlns:c16="http://schemas.microsoft.com/office/drawing/2014/chart" uri="{C3380CC4-5D6E-409C-BE32-E72D297353CC}">
              <c16:uniqueId val="{00000005-0E56-6841-9784-5DA4E327B853}"/>
            </c:ext>
          </c:extLst>
        </c:ser>
        <c:ser>
          <c:idx val="6"/>
          <c:order val="6"/>
          <c:tx>
            <c:v>Equity - Comm Intl</c:v>
          </c:tx>
          <c:spPr>
            <a:solidFill>
              <a:schemeClr val="accent1"/>
            </a:solidFill>
            <a:ln w="25400">
              <a:noFill/>
            </a:ln>
            <a:effectLst/>
          </c:spPr>
          <c:cat>
            <c:numRef>
              <c:f>'High Level Dashboard'!$B$64:$AU$64</c:f>
              <c:numCache>
                <c:formatCode>General</c:formatCode>
                <c:ptCount val="46"/>
                <c:pt idx="0">
                  <c:v>2025</c:v>
                </c:pt>
                <c:pt idx="1">
                  <c:v>2026</c:v>
                </c:pt>
                <c:pt idx="2">
                  <c:v>2027</c:v>
                </c:pt>
                <c:pt idx="3">
                  <c:v>2028</c:v>
                </c:pt>
                <c:pt idx="4">
                  <c:v>2029</c:v>
                </c:pt>
                <c:pt idx="5">
                  <c:v>2030</c:v>
                </c:pt>
                <c:pt idx="6">
                  <c:v>2031</c:v>
                </c:pt>
                <c:pt idx="7">
                  <c:v>2032</c:v>
                </c:pt>
                <c:pt idx="8">
                  <c:v>2033</c:v>
                </c:pt>
                <c:pt idx="9">
                  <c:v>2034</c:v>
                </c:pt>
                <c:pt idx="10">
                  <c:v>2035</c:v>
                </c:pt>
                <c:pt idx="11">
                  <c:v>2036</c:v>
                </c:pt>
                <c:pt idx="12">
                  <c:v>2037</c:v>
                </c:pt>
                <c:pt idx="13">
                  <c:v>2038</c:v>
                </c:pt>
                <c:pt idx="14">
                  <c:v>2039</c:v>
                </c:pt>
                <c:pt idx="15">
                  <c:v>2040</c:v>
                </c:pt>
                <c:pt idx="16">
                  <c:v>2041</c:v>
                </c:pt>
                <c:pt idx="17">
                  <c:v>2042</c:v>
                </c:pt>
                <c:pt idx="18">
                  <c:v>2043</c:v>
                </c:pt>
                <c:pt idx="19">
                  <c:v>2044</c:v>
                </c:pt>
                <c:pt idx="20">
                  <c:v>2045</c:v>
                </c:pt>
                <c:pt idx="21">
                  <c:v>2046</c:v>
                </c:pt>
                <c:pt idx="22">
                  <c:v>2047</c:v>
                </c:pt>
                <c:pt idx="23">
                  <c:v>2048</c:v>
                </c:pt>
                <c:pt idx="24">
                  <c:v>2049</c:v>
                </c:pt>
                <c:pt idx="25">
                  <c:v>2050</c:v>
                </c:pt>
                <c:pt idx="26">
                  <c:v>2051</c:v>
                </c:pt>
                <c:pt idx="27">
                  <c:v>2052</c:v>
                </c:pt>
                <c:pt idx="28">
                  <c:v>2053</c:v>
                </c:pt>
                <c:pt idx="29">
                  <c:v>2054</c:v>
                </c:pt>
                <c:pt idx="30">
                  <c:v>2055</c:v>
                </c:pt>
                <c:pt idx="31">
                  <c:v>2056</c:v>
                </c:pt>
                <c:pt idx="32">
                  <c:v>2057</c:v>
                </c:pt>
                <c:pt idx="33">
                  <c:v>2058</c:v>
                </c:pt>
                <c:pt idx="34">
                  <c:v>2059</c:v>
                </c:pt>
                <c:pt idx="35">
                  <c:v>2060</c:v>
                </c:pt>
                <c:pt idx="36">
                  <c:v>2061</c:v>
                </c:pt>
                <c:pt idx="37">
                  <c:v>2062</c:v>
                </c:pt>
                <c:pt idx="38">
                  <c:v>2063</c:v>
                </c:pt>
                <c:pt idx="39">
                  <c:v>2064</c:v>
                </c:pt>
                <c:pt idx="40">
                  <c:v>2065</c:v>
                </c:pt>
                <c:pt idx="41">
                  <c:v>2066</c:v>
                </c:pt>
                <c:pt idx="42">
                  <c:v>2067</c:v>
                </c:pt>
                <c:pt idx="43">
                  <c:v>2068</c:v>
                </c:pt>
                <c:pt idx="44">
                  <c:v>2069</c:v>
                </c:pt>
                <c:pt idx="45">
                  <c:v>2070</c:v>
                </c:pt>
              </c:numCache>
            </c:numRef>
          </c:cat>
          <c:val>
            <c:numRef>
              <c:f>'High Level Dashboard'!$B$108:$AU$108</c:f>
              <c:numCache>
                <c:formatCode>[$$-409]#,##0.00</c:formatCode>
                <c:ptCount val="46"/>
                <c:pt idx="0">
                  <c:v>7.9883354175894139</c:v>
                </c:pt>
                <c:pt idx="1">
                  <c:v>16.440975033759727</c:v>
                </c:pt>
                <c:pt idx="2">
                  <c:v>24.903173983450703</c:v>
                </c:pt>
                <c:pt idx="3">
                  <c:v>32.337092117223889</c:v>
                </c:pt>
                <c:pt idx="4">
                  <c:v>47.864192373086283</c:v>
                </c:pt>
                <c:pt idx="5">
                  <c:v>57.034122459728238</c:v>
                </c:pt>
                <c:pt idx="6">
                  <c:v>67.472569466135951</c:v>
                </c:pt>
                <c:pt idx="7">
                  <c:v>74.989069620045967</c:v>
                </c:pt>
                <c:pt idx="8">
                  <c:v>82.184553508472106</c:v>
                </c:pt>
                <c:pt idx="9">
                  <c:v>93.773843746030082</c:v>
                </c:pt>
                <c:pt idx="10">
                  <c:v>102.91415317561011</c:v>
                </c:pt>
                <c:pt idx="11">
                  <c:v>116.08075335935543</c:v>
                </c:pt>
                <c:pt idx="12">
                  <c:v>128.45632438434549</c:v>
                </c:pt>
                <c:pt idx="13">
                  <c:v>140.47612982848815</c:v>
                </c:pt>
                <c:pt idx="14">
                  <c:v>157.15940491997034</c:v>
                </c:pt>
                <c:pt idx="15">
                  <c:v>178.78374777282991</c:v>
                </c:pt>
                <c:pt idx="16">
                  <c:v>197.33963655517525</c:v>
                </c:pt>
                <c:pt idx="17">
                  <c:v>209.68099882235211</c:v>
                </c:pt>
                <c:pt idx="18">
                  <c:v>222.57241253741114</c:v>
                </c:pt>
                <c:pt idx="19">
                  <c:v>236.45357669521223</c:v>
                </c:pt>
                <c:pt idx="20">
                  <c:v>251.39041560822449</c:v>
                </c:pt>
                <c:pt idx="21">
                  <c:v>267.39412545616483</c:v>
                </c:pt>
                <c:pt idx="22">
                  <c:v>284.47372975673642</c:v>
                </c:pt>
                <c:pt idx="23">
                  <c:v>302.70370406351515</c:v>
                </c:pt>
                <c:pt idx="24">
                  <c:v>322.61612581166315</c:v>
                </c:pt>
                <c:pt idx="25">
                  <c:v>342.2665980660837</c:v>
                </c:pt>
                <c:pt idx="26">
                  <c:v>356.53825907508906</c:v>
                </c:pt>
                <c:pt idx="27">
                  <c:v>369.02026552044066</c:v>
                </c:pt>
                <c:pt idx="28">
                  <c:v>382.10349663660327</c:v>
                </c:pt>
                <c:pt idx="29">
                  <c:v>399.7169185748761</c:v>
                </c:pt>
                <c:pt idx="30">
                  <c:v>406.62047582129208</c:v>
                </c:pt>
                <c:pt idx="31">
                  <c:v>418.53983289190757</c:v>
                </c:pt>
                <c:pt idx="32">
                  <c:v>428.40052273317878</c:v>
                </c:pt>
                <c:pt idx="33">
                  <c:v>439.56171459006248</c:v>
                </c:pt>
                <c:pt idx="34">
                  <c:v>453.19281750228487</c:v>
                </c:pt>
                <c:pt idx="35">
                  <c:v>462.4082331224796</c:v>
                </c:pt>
                <c:pt idx="36">
                  <c:v>475.67222112442624</c:v>
                </c:pt>
                <c:pt idx="37">
                  <c:v>485.75827128842764</c:v>
                </c:pt>
                <c:pt idx="38">
                  <c:v>496.0984170535944</c:v>
                </c:pt>
                <c:pt idx="39">
                  <c:v>508.76465171894137</c:v>
                </c:pt>
                <c:pt idx="40">
                  <c:v>521.10896128840295</c:v>
                </c:pt>
                <c:pt idx="41">
                  <c:v>528.20715243535028</c:v>
                </c:pt>
                <c:pt idx="42">
                  <c:v>533.80019051521663</c:v>
                </c:pt>
                <c:pt idx="43">
                  <c:v>542.46950246066979</c:v>
                </c:pt>
                <c:pt idx="44">
                  <c:v>552.37034968452724</c:v>
                </c:pt>
                <c:pt idx="45">
                  <c:v>562.68651942139218</c:v>
                </c:pt>
              </c:numCache>
            </c:numRef>
          </c:val>
          <c:extLst>
            <c:ext xmlns:c16="http://schemas.microsoft.com/office/drawing/2014/chart" uri="{C3380CC4-5D6E-409C-BE32-E72D297353CC}">
              <c16:uniqueId val="{00000006-0E56-6841-9784-5DA4E327B853}"/>
            </c:ext>
          </c:extLst>
        </c:ser>
        <c:ser>
          <c:idx val="7"/>
          <c:order val="7"/>
          <c:tx>
            <c:v>Equity - Comm Dom</c:v>
          </c:tx>
          <c:spPr>
            <a:solidFill>
              <a:schemeClr val="accent1">
                <a:lumMod val="40000"/>
                <a:lumOff val="60000"/>
              </a:schemeClr>
            </a:solidFill>
            <a:ln w="25400">
              <a:noFill/>
            </a:ln>
            <a:effectLst/>
          </c:spPr>
          <c:cat>
            <c:numRef>
              <c:f>'High Level Dashboard'!$B$64:$AU$64</c:f>
              <c:numCache>
                <c:formatCode>General</c:formatCode>
                <c:ptCount val="46"/>
                <c:pt idx="0">
                  <c:v>2025</c:v>
                </c:pt>
                <c:pt idx="1">
                  <c:v>2026</c:v>
                </c:pt>
                <c:pt idx="2">
                  <c:v>2027</c:v>
                </c:pt>
                <c:pt idx="3">
                  <c:v>2028</c:v>
                </c:pt>
                <c:pt idx="4">
                  <c:v>2029</c:v>
                </c:pt>
                <c:pt idx="5">
                  <c:v>2030</c:v>
                </c:pt>
                <c:pt idx="6">
                  <c:v>2031</c:v>
                </c:pt>
                <c:pt idx="7">
                  <c:v>2032</c:v>
                </c:pt>
                <c:pt idx="8">
                  <c:v>2033</c:v>
                </c:pt>
                <c:pt idx="9">
                  <c:v>2034</c:v>
                </c:pt>
                <c:pt idx="10">
                  <c:v>2035</c:v>
                </c:pt>
                <c:pt idx="11">
                  <c:v>2036</c:v>
                </c:pt>
                <c:pt idx="12">
                  <c:v>2037</c:v>
                </c:pt>
                <c:pt idx="13">
                  <c:v>2038</c:v>
                </c:pt>
                <c:pt idx="14">
                  <c:v>2039</c:v>
                </c:pt>
                <c:pt idx="15">
                  <c:v>2040</c:v>
                </c:pt>
                <c:pt idx="16">
                  <c:v>2041</c:v>
                </c:pt>
                <c:pt idx="17">
                  <c:v>2042</c:v>
                </c:pt>
                <c:pt idx="18">
                  <c:v>2043</c:v>
                </c:pt>
                <c:pt idx="19">
                  <c:v>2044</c:v>
                </c:pt>
                <c:pt idx="20">
                  <c:v>2045</c:v>
                </c:pt>
                <c:pt idx="21">
                  <c:v>2046</c:v>
                </c:pt>
                <c:pt idx="22">
                  <c:v>2047</c:v>
                </c:pt>
                <c:pt idx="23">
                  <c:v>2048</c:v>
                </c:pt>
                <c:pt idx="24">
                  <c:v>2049</c:v>
                </c:pt>
                <c:pt idx="25">
                  <c:v>2050</c:v>
                </c:pt>
                <c:pt idx="26">
                  <c:v>2051</c:v>
                </c:pt>
                <c:pt idx="27">
                  <c:v>2052</c:v>
                </c:pt>
                <c:pt idx="28">
                  <c:v>2053</c:v>
                </c:pt>
                <c:pt idx="29">
                  <c:v>2054</c:v>
                </c:pt>
                <c:pt idx="30">
                  <c:v>2055</c:v>
                </c:pt>
                <c:pt idx="31">
                  <c:v>2056</c:v>
                </c:pt>
                <c:pt idx="32">
                  <c:v>2057</c:v>
                </c:pt>
                <c:pt idx="33">
                  <c:v>2058</c:v>
                </c:pt>
                <c:pt idx="34">
                  <c:v>2059</c:v>
                </c:pt>
                <c:pt idx="35">
                  <c:v>2060</c:v>
                </c:pt>
                <c:pt idx="36">
                  <c:v>2061</c:v>
                </c:pt>
                <c:pt idx="37">
                  <c:v>2062</c:v>
                </c:pt>
                <c:pt idx="38">
                  <c:v>2063</c:v>
                </c:pt>
                <c:pt idx="39">
                  <c:v>2064</c:v>
                </c:pt>
                <c:pt idx="40">
                  <c:v>2065</c:v>
                </c:pt>
                <c:pt idx="41">
                  <c:v>2066</c:v>
                </c:pt>
                <c:pt idx="42">
                  <c:v>2067</c:v>
                </c:pt>
                <c:pt idx="43">
                  <c:v>2068</c:v>
                </c:pt>
                <c:pt idx="44">
                  <c:v>2069</c:v>
                </c:pt>
                <c:pt idx="45">
                  <c:v>2070</c:v>
                </c:pt>
              </c:numCache>
            </c:numRef>
          </c:cat>
          <c:val>
            <c:numRef>
              <c:f>'High Level Dashboard'!$B$109:$AU$109</c:f>
              <c:numCache>
                <c:formatCode>[$$-409]#,##0.00</c:formatCode>
                <c:ptCount val="46"/>
                <c:pt idx="0">
                  <c:v>2.2330671986253723</c:v>
                </c:pt>
                <c:pt idx="1">
                  <c:v>4.5959264530214714</c:v>
                </c:pt>
                <c:pt idx="2">
                  <c:v>6.9614579329827002</c:v>
                </c:pt>
                <c:pt idx="3">
                  <c:v>9.039542774693647</c:v>
                </c:pt>
                <c:pt idx="4">
                  <c:v>13.380003766703043</c:v>
                </c:pt>
                <c:pt idx="5">
                  <c:v>15.943375110009416</c:v>
                </c:pt>
                <c:pt idx="6">
                  <c:v>18.861348930096241</c:v>
                </c:pt>
                <c:pt idx="7">
                  <c:v>20.962518831550391</c:v>
                </c:pt>
                <c:pt idx="8">
                  <c:v>22.973951528042054</c:v>
                </c:pt>
                <c:pt idx="9">
                  <c:v>26.213633205385729</c:v>
                </c:pt>
                <c:pt idx="10">
                  <c:v>28.768724360864599</c:v>
                </c:pt>
                <c:pt idx="11">
                  <c:v>32.449328823591188</c:v>
                </c:pt>
                <c:pt idx="12">
                  <c:v>35.908808211413792</c:v>
                </c:pt>
                <c:pt idx="13">
                  <c:v>39.26883653622258</c:v>
                </c:pt>
                <c:pt idx="14">
                  <c:v>43.932495787485564</c:v>
                </c:pt>
                <c:pt idx="15">
                  <c:v>49.977386017085031</c:v>
                </c:pt>
                <c:pt idx="16">
                  <c:v>55.164517555147064</c:v>
                </c:pt>
                <c:pt idx="17">
                  <c:v>58.614434192911595</c:v>
                </c:pt>
                <c:pt idx="18">
                  <c:v>62.218112757487255</c:v>
                </c:pt>
                <c:pt idx="19">
                  <c:v>66.098467141614222</c:v>
                </c:pt>
                <c:pt idx="20">
                  <c:v>70.273925892927423</c:v>
                </c:pt>
                <c:pt idx="21">
                  <c:v>74.747618802599646</c:v>
                </c:pt>
                <c:pt idx="22">
                  <c:v>79.522068313711515</c:v>
                </c:pt>
                <c:pt idx="23">
                  <c:v>84.618093396310655</c:v>
                </c:pt>
                <c:pt idx="24">
                  <c:v>90.184431503881271</c:v>
                </c:pt>
                <c:pt idx="25">
                  <c:v>96.62734655018582</c:v>
                </c:pt>
                <c:pt idx="26">
                  <c:v>102.90513316736474</c:v>
                </c:pt>
                <c:pt idx="27">
                  <c:v>108.75836146462795</c:v>
                </c:pt>
                <c:pt idx="28">
                  <c:v>114.65893110087626</c:v>
                </c:pt>
                <c:pt idx="29">
                  <c:v>122.62295805998561</c:v>
                </c:pt>
                <c:pt idx="30">
                  <c:v>126.38332321706201</c:v>
                </c:pt>
                <c:pt idx="31">
                  <c:v>130.09445018296154</c:v>
                </c:pt>
                <c:pt idx="32">
                  <c:v>133.05651710521457</c:v>
                </c:pt>
                <c:pt idx="33">
                  <c:v>136.09978574605088</c:v>
                </c:pt>
                <c:pt idx="34">
                  <c:v>138.58891745060387</c:v>
                </c:pt>
                <c:pt idx="35">
                  <c:v>141.16893961956751</c:v>
                </c:pt>
                <c:pt idx="36">
                  <c:v>145.06866985151544</c:v>
                </c:pt>
                <c:pt idx="37">
                  <c:v>149.19830830936556</c:v>
                </c:pt>
                <c:pt idx="38">
                  <c:v>153.47530048797668</c:v>
                </c:pt>
                <c:pt idx="39">
                  <c:v>157.95432443767714</c:v>
                </c:pt>
                <c:pt idx="40">
                  <c:v>163.95427166410261</c:v>
                </c:pt>
                <c:pt idx="41">
                  <c:v>168.17938550469822</c:v>
                </c:pt>
                <c:pt idx="42">
                  <c:v>170.68418968857969</c:v>
                </c:pt>
                <c:pt idx="43">
                  <c:v>173.24157373113505</c:v>
                </c:pt>
                <c:pt idx="44">
                  <c:v>175.34660060373736</c:v>
                </c:pt>
                <c:pt idx="45">
                  <c:v>176.4876558700268</c:v>
                </c:pt>
              </c:numCache>
            </c:numRef>
          </c:val>
          <c:extLst>
            <c:ext xmlns:c16="http://schemas.microsoft.com/office/drawing/2014/chart" uri="{C3380CC4-5D6E-409C-BE32-E72D297353CC}">
              <c16:uniqueId val="{00000007-0E56-6841-9784-5DA4E327B853}"/>
            </c:ext>
          </c:extLst>
        </c:ser>
        <c:dLbls>
          <c:showLegendKey val="0"/>
          <c:showVal val="0"/>
          <c:showCatName val="0"/>
          <c:showSerName val="0"/>
          <c:showPercent val="0"/>
          <c:showBubbleSize val="0"/>
        </c:dLbls>
        <c:axId val="1907516703"/>
        <c:axId val="1907659375"/>
      </c:areaChart>
      <c:dateAx>
        <c:axId val="190751670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2700000" spcFirstLastPara="1" vertOverflow="ellipsis" wrap="square" anchor="ctr" anchorCtr="1"/>
          <a:lstStyle/>
          <a:p>
            <a:pPr>
              <a:defRPr sz="1600" b="0" i="0" u="none" strike="noStrike" kern="1200" baseline="0">
                <a:solidFill>
                  <a:sysClr val="windowText" lastClr="000000"/>
                </a:solidFill>
                <a:latin typeface="+mn-lt"/>
                <a:ea typeface="+mn-ea"/>
                <a:cs typeface="+mn-cs"/>
              </a:defRPr>
            </a:pPr>
            <a:endParaRPr lang="en-US"/>
          </a:p>
        </c:txPr>
        <c:crossAx val="1907659375"/>
        <c:crosses val="autoZero"/>
        <c:auto val="0"/>
        <c:lblOffset val="100"/>
        <c:baseTimeUnit val="days"/>
        <c:majorUnit val="5"/>
        <c:majorTimeUnit val="days"/>
      </c:dateAx>
      <c:valAx>
        <c:axId val="1907659375"/>
        <c:scaling>
          <c:orientation val="minMax"/>
        </c:scaling>
        <c:delete val="0"/>
        <c:axPos val="l"/>
        <c:majorGridlines>
          <c:spPr>
            <a:ln w="9525" cap="flat" cmpd="sng" algn="ctr">
              <a:solidFill>
                <a:schemeClr val="tx1">
                  <a:lumMod val="15000"/>
                  <a:lumOff val="85000"/>
                </a:schemeClr>
              </a:solidFill>
              <a:round/>
            </a:ln>
            <a:effectLst/>
          </c:spPr>
        </c:majorGridlines>
        <c:numFmt formatCode="[$$-409]#,##0.00" sourceLinked="1"/>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1907516703"/>
        <c:crosses val="autoZero"/>
        <c:crossBetween val="midCat"/>
      </c:valAx>
      <c:spPr>
        <a:noFill/>
        <a:ln>
          <a:noFill/>
        </a:ln>
        <a:effectLst/>
      </c:spPr>
    </c:plotArea>
    <c:legend>
      <c:legendPos val="b"/>
      <c:layout>
        <c:manualLayout>
          <c:xMode val="edge"/>
          <c:yMode val="edge"/>
          <c:x val="1.6871474298693553E-2"/>
          <c:y val="0.86278065062740128"/>
          <c:w val="0.98312852570130649"/>
          <c:h val="0.11982704471420015"/>
        </c:manualLayout>
      </c:layout>
      <c:overlay val="0"/>
      <c:spPr>
        <a:noFill/>
        <a:ln>
          <a:noFill/>
        </a:ln>
        <a:effectLst/>
      </c:spPr>
      <c:txPr>
        <a:bodyPr rot="0" spcFirstLastPara="1" vertOverflow="ellipsis" vert="horz" wrap="square" anchor="ctr" anchorCtr="1"/>
        <a:lstStyle/>
        <a:p>
          <a:pPr>
            <a:defRPr sz="1600" b="0" i="0" u="none" strike="noStrike" kern="1200" baseline="0">
              <a:solidFill>
                <a:sysClr val="windowText" lastClr="000000"/>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sz="1400"/>
      </a:pPr>
      <a:endParaRPr lang="en-US"/>
    </a:p>
  </c:tx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920" b="0" i="0" u="none" strike="noStrike" kern="1200" spc="0" baseline="0">
                <a:solidFill>
                  <a:schemeClr val="tx1">
                    <a:lumMod val="65000"/>
                    <a:lumOff val="35000"/>
                  </a:schemeClr>
                </a:solidFill>
                <a:latin typeface="+mn-lt"/>
                <a:ea typeface="+mn-ea"/>
                <a:cs typeface="+mn-cs"/>
              </a:defRPr>
            </a:pPr>
            <a:r>
              <a:rPr lang="en-GB"/>
              <a:t>Historic Proportion of Contrubutions from Financier</a:t>
            </a:r>
          </a:p>
        </c:rich>
      </c:tx>
      <c:overlay val="0"/>
      <c:spPr>
        <a:noFill/>
        <a:ln>
          <a:noFill/>
        </a:ln>
        <a:effectLst/>
      </c:spPr>
      <c:txPr>
        <a:bodyPr rot="0" spcFirstLastPara="1" vertOverflow="ellipsis" vert="horz" wrap="square" anchor="ctr" anchorCtr="1"/>
        <a:lstStyle/>
        <a:p>
          <a:pPr>
            <a:defRPr sz="192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stacked"/>
        <c:varyColors val="0"/>
        <c:ser>
          <c:idx val="0"/>
          <c:order val="0"/>
          <c:tx>
            <c:strRef>
              <c:f>'Financing Baseline'!$K$22</c:f>
              <c:strCache>
                <c:ptCount val="1"/>
                <c:pt idx="0">
                  <c:v>Bilateral Agency</c:v>
                </c:pt>
              </c:strCache>
            </c:strRef>
          </c:tx>
          <c:spPr>
            <a:solidFill>
              <a:schemeClr val="accent4">
                <a:lumMod val="50000"/>
              </a:schemeClr>
            </a:solidFill>
            <a:ln>
              <a:noFill/>
            </a:ln>
            <a:effectLst/>
          </c:spPr>
          <c:invertIfNegative val="0"/>
          <c:val>
            <c:numRef>
              <c:f>'Financing Baseline'!$L$22</c:f>
              <c:numCache>
                <c:formatCode>0.00%</c:formatCode>
                <c:ptCount val="1"/>
                <c:pt idx="0">
                  <c:v>0.40590063319341357</c:v>
                </c:pt>
              </c:numCache>
            </c:numRef>
          </c:val>
          <c:extLst>
            <c:ext xmlns:c16="http://schemas.microsoft.com/office/drawing/2014/chart" uri="{C3380CC4-5D6E-409C-BE32-E72D297353CC}">
              <c16:uniqueId val="{00000000-A61E-5B45-A185-133CF96534E7}"/>
            </c:ext>
          </c:extLst>
        </c:ser>
        <c:ser>
          <c:idx val="1"/>
          <c:order val="1"/>
          <c:tx>
            <c:strRef>
              <c:f>'Financing Baseline'!$K$23</c:f>
              <c:strCache>
                <c:ptCount val="1"/>
                <c:pt idx="0">
                  <c:v>Multilateral Agency</c:v>
                </c:pt>
              </c:strCache>
            </c:strRef>
          </c:tx>
          <c:spPr>
            <a:solidFill>
              <a:schemeClr val="accent4">
                <a:lumMod val="75000"/>
              </a:schemeClr>
            </a:solidFill>
            <a:ln>
              <a:noFill/>
            </a:ln>
            <a:effectLst/>
          </c:spPr>
          <c:invertIfNegative val="0"/>
          <c:val>
            <c:numRef>
              <c:f>'Financing Baseline'!$L$23</c:f>
              <c:numCache>
                <c:formatCode>0.00%</c:formatCode>
                <c:ptCount val="1"/>
                <c:pt idx="0">
                  <c:v>0.31720668013269276</c:v>
                </c:pt>
              </c:numCache>
            </c:numRef>
          </c:val>
          <c:extLst>
            <c:ext xmlns:c16="http://schemas.microsoft.com/office/drawing/2014/chart" uri="{C3380CC4-5D6E-409C-BE32-E72D297353CC}">
              <c16:uniqueId val="{00000001-A61E-5B45-A185-133CF96534E7}"/>
            </c:ext>
          </c:extLst>
        </c:ser>
        <c:ser>
          <c:idx val="2"/>
          <c:order val="2"/>
          <c:tx>
            <c:strRef>
              <c:f>'Financing Baseline'!$K$24</c:f>
              <c:strCache>
                <c:ptCount val="1"/>
                <c:pt idx="0">
                  <c:v>Foreign Government</c:v>
                </c:pt>
              </c:strCache>
            </c:strRef>
          </c:tx>
          <c:spPr>
            <a:solidFill>
              <a:schemeClr val="accent4"/>
            </a:solidFill>
            <a:ln>
              <a:noFill/>
            </a:ln>
            <a:effectLst/>
          </c:spPr>
          <c:invertIfNegative val="0"/>
          <c:val>
            <c:numRef>
              <c:f>'Financing Baseline'!$L$24</c:f>
              <c:numCache>
                <c:formatCode>0.00%</c:formatCode>
                <c:ptCount val="1"/>
                <c:pt idx="0">
                  <c:v>1.6177471950487719E-2</c:v>
                </c:pt>
              </c:numCache>
            </c:numRef>
          </c:val>
          <c:extLst>
            <c:ext xmlns:c16="http://schemas.microsoft.com/office/drawing/2014/chart" uri="{C3380CC4-5D6E-409C-BE32-E72D297353CC}">
              <c16:uniqueId val="{00000002-A61E-5B45-A185-133CF96534E7}"/>
            </c:ext>
          </c:extLst>
        </c:ser>
        <c:ser>
          <c:idx val="3"/>
          <c:order val="3"/>
          <c:tx>
            <c:strRef>
              <c:f>'Financing Baseline'!$K$25</c:f>
              <c:strCache>
                <c:ptCount val="1"/>
                <c:pt idx="0">
                  <c:v>National Government</c:v>
                </c:pt>
              </c:strCache>
            </c:strRef>
          </c:tx>
          <c:spPr>
            <a:solidFill>
              <a:schemeClr val="accent4">
                <a:lumMod val="60000"/>
                <a:lumOff val="40000"/>
              </a:schemeClr>
            </a:solidFill>
            <a:ln>
              <a:noFill/>
            </a:ln>
            <a:effectLst/>
          </c:spPr>
          <c:invertIfNegative val="0"/>
          <c:val>
            <c:numRef>
              <c:f>'Financing Baseline'!$L$25</c:f>
              <c:numCache>
                <c:formatCode>0.00%</c:formatCode>
                <c:ptCount val="1"/>
                <c:pt idx="0">
                  <c:v>0.10071876066576493</c:v>
                </c:pt>
              </c:numCache>
            </c:numRef>
          </c:val>
          <c:extLst>
            <c:ext xmlns:c16="http://schemas.microsoft.com/office/drawing/2014/chart" uri="{C3380CC4-5D6E-409C-BE32-E72D297353CC}">
              <c16:uniqueId val="{00000003-A61E-5B45-A185-133CF96534E7}"/>
            </c:ext>
          </c:extLst>
        </c:ser>
        <c:ser>
          <c:idx val="4"/>
          <c:order val="4"/>
          <c:tx>
            <c:strRef>
              <c:f>'Financing Baseline'!$K$26</c:f>
              <c:strCache>
                <c:ptCount val="1"/>
                <c:pt idx="0">
                  <c:v>Domestic Public Sector</c:v>
                </c:pt>
              </c:strCache>
            </c:strRef>
          </c:tx>
          <c:spPr>
            <a:solidFill>
              <a:schemeClr val="accent4">
                <a:lumMod val="40000"/>
                <a:lumOff val="60000"/>
              </a:schemeClr>
            </a:solidFill>
            <a:ln>
              <a:noFill/>
            </a:ln>
            <a:effectLst/>
          </c:spPr>
          <c:invertIfNegative val="0"/>
          <c:val>
            <c:numRef>
              <c:f>'Financing Baseline'!$L$26</c:f>
              <c:numCache>
                <c:formatCode>0.00%</c:formatCode>
                <c:ptCount val="1"/>
                <c:pt idx="0">
                  <c:v>0</c:v>
                </c:pt>
              </c:numCache>
            </c:numRef>
          </c:val>
          <c:extLst>
            <c:ext xmlns:c16="http://schemas.microsoft.com/office/drawing/2014/chart" uri="{C3380CC4-5D6E-409C-BE32-E72D297353CC}">
              <c16:uniqueId val="{00000004-A61E-5B45-A185-133CF96534E7}"/>
            </c:ext>
          </c:extLst>
        </c:ser>
        <c:ser>
          <c:idx val="5"/>
          <c:order val="5"/>
          <c:tx>
            <c:strRef>
              <c:f>'Financing Baseline'!$K$27</c:f>
              <c:strCache>
                <c:ptCount val="1"/>
                <c:pt idx="0">
                  <c:v>Climate Funds</c:v>
                </c:pt>
              </c:strCache>
            </c:strRef>
          </c:tx>
          <c:spPr>
            <a:solidFill>
              <a:schemeClr val="accent4">
                <a:lumMod val="20000"/>
                <a:lumOff val="80000"/>
              </a:schemeClr>
            </a:solidFill>
            <a:ln>
              <a:noFill/>
            </a:ln>
            <a:effectLst/>
          </c:spPr>
          <c:invertIfNegative val="0"/>
          <c:val>
            <c:numRef>
              <c:f>'Financing Baseline'!$L$27</c:f>
              <c:numCache>
                <c:formatCode>0.00%</c:formatCode>
                <c:ptCount val="1"/>
                <c:pt idx="0">
                  <c:v>2.3220881746850729E-2</c:v>
                </c:pt>
              </c:numCache>
            </c:numRef>
          </c:val>
          <c:extLst>
            <c:ext xmlns:c16="http://schemas.microsoft.com/office/drawing/2014/chart" uri="{C3380CC4-5D6E-409C-BE32-E72D297353CC}">
              <c16:uniqueId val="{00000005-A61E-5B45-A185-133CF96534E7}"/>
            </c:ext>
          </c:extLst>
        </c:ser>
        <c:ser>
          <c:idx val="6"/>
          <c:order val="6"/>
          <c:tx>
            <c:strRef>
              <c:f>'Financing Baseline'!$K$28</c:f>
              <c:strCache>
                <c:ptCount val="1"/>
                <c:pt idx="0">
                  <c:v>Commercial Bank</c:v>
                </c:pt>
              </c:strCache>
            </c:strRef>
          </c:tx>
          <c:spPr>
            <a:solidFill>
              <a:schemeClr val="accent1">
                <a:lumMod val="75000"/>
              </a:schemeClr>
            </a:solidFill>
            <a:ln>
              <a:noFill/>
            </a:ln>
            <a:effectLst/>
          </c:spPr>
          <c:invertIfNegative val="0"/>
          <c:val>
            <c:numRef>
              <c:f>'Financing Baseline'!$L$28</c:f>
              <c:numCache>
                <c:formatCode>0.00%</c:formatCode>
                <c:ptCount val="1"/>
                <c:pt idx="0">
                  <c:v>3.1322455540335345E-2</c:v>
                </c:pt>
              </c:numCache>
            </c:numRef>
          </c:val>
          <c:extLst>
            <c:ext xmlns:c16="http://schemas.microsoft.com/office/drawing/2014/chart" uri="{C3380CC4-5D6E-409C-BE32-E72D297353CC}">
              <c16:uniqueId val="{00000006-A61E-5B45-A185-133CF96534E7}"/>
            </c:ext>
          </c:extLst>
        </c:ser>
        <c:ser>
          <c:idx val="7"/>
          <c:order val="7"/>
          <c:tx>
            <c:strRef>
              <c:f>'Financing Baseline'!$K$29</c:f>
              <c:strCache>
                <c:ptCount val="1"/>
                <c:pt idx="0">
                  <c:v>Private Equity Fund</c:v>
                </c:pt>
              </c:strCache>
            </c:strRef>
          </c:tx>
          <c:spPr>
            <a:solidFill>
              <a:schemeClr val="accent1"/>
            </a:solidFill>
            <a:ln>
              <a:noFill/>
            </a:ln>
            <a:effectLst/>
          </c:spPr>
          <c:invertIfNegative val="0"/>
          <c:val>
            <c:numRef>
              <c:f>'Financing Baseline'!$L$29</c:f>
              <c:numCache>
                <c:formatCode>0.00%</c:formatCode>
                <c:ptCount val="1"/>
                <c:pt idx="0">
                  <c:v>0.10545311677045466</c:v>
                </c:pt>
              </c:numCache>
            </c:numRef>
          </c:val>
          <c:extLst>
            <c:ext xmlns:c16="http://schemas.microsoft.com/office/drawing/2014/chart" uri="{C3380CC4-5D6E-409C-BE32-E72D297353CC}">
              <c16:uniqueId val="{00000007-A61E-5B45-A185-133CF96534E7}"/>
            </c:ext>
          </c:extLst>
        </c:ser>
        <c:dLbls>
          <c:showLegendKey val="0"/>
          <c:showVal val="0"/>
          <c:showCatName val="0"/>
          <c:showSerName val="0"/>
          <c:showPercent val="0"/>
          <c:showBubbleSize val="0"/>
        </c:dLbls>
        <c:gapWidth val="150"/>
        <c:overlap val="100"/>
        <c:axId val="2103353743"/>
        <c:axId val="2052202111"/>
      </c:barChart>
      <c:catAx>
        <c:axId val="2103353743"/>
        <c:scaling>
          <c:orientation val="minMax"/>
        </c:scaling>
        <c:delete val="1"/>
        <c:axPos val="l"/>
        <c:numFmt formatCode="General" sourceLinked="1"/>
        <c:majorTickMark val="none"/>
        <c:minorTickMark val="none"/>
        <c:tickLblPos val="nextTo"/>
        <c:crossAx val="2052202111"/>
        <c:crosses val="autoZero"/>
        <c:auto val="1"/>
        <c:lblAlgn val="ctr"/>
        <c:lblOffset val="100"/>
        <c:noMultiLvlLbl val="0"/>
      </c:catAx>
      <c:valAx>
        <c:axId val="2052202111"/>
        <c:scaling>
          <c:orientation val="minMax"/>
          <c:max val="1"/>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n-US"/>
          </a:p>
        </c:txPr>
        <c:crossAx val="210335374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sz="1600"/>
      </a:pPr>
      <a:endParaRPr lang="en-US"/>
    </a:p>
  </c:txPr>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3.3409671994639602E-2"/>
          <c:y val="3.3878320809024969E-2"/>
          <c:w val="0.9239460273651936"/>
          <c:h val="0.67232561630886134"/>
        </c:manualLayout>
      </c:layout>
      <c:barChart>
        <c:barDir val="bar"/>
        <c:grouping val="percentStacked"/>
        <c:varyColors val="0"/>
        <c:ser>
          <c:idx val="0"/>
          <c:order val="0"/>
          <c:tx>
            <c:strRef>
              <c:f>'Visualisation Dashboard'!$C$149</c:f>
              <c:strCache>
                <c:ptCount val="1"/>
                <c:pt idx="0">
                  <c:v>Conc IFI (Debt)</c:v>
                </c:pt>
              </c:strCache>
            </c:strRef>
          </c:tx>
          <c:spPr>
            <a:solidFill>
              <a:schemeClr val="accent4">
                <a:lumMod val="75000"/>
              </a:schemeClr>
            </a:solidFill>
            <a:ln>
              <a:noFill/>
            </a:ln>
            <a:effectLst/>
          </c:spPr>
          <c:invertIfNegative val="0"/>
          <c:cat>
            <c:strRef>
              <c:f>'Visualisation Dashboard'!$D$148</c:f>
              <c:strCache>
                <c:ptCount val="1"/>
                <c:pt idx="0">
                  <c:v>Financing Sources</c:v>
                </c:pt>
              </c:strCache>
            </c:strRef>
          </c:cat>
          <c:val>
            <c:numRef>
              <c:f>'Visualisation Dashboard'!$D$149</c:f>
              <c:numCache>
                <c:formatCode>General</c:formatCode>
                <c:ptCount val="1"/>
                <c:pt idx="0">
                  <c:v>8033.914587321874</c:v>
                </c:pt>
              </c:numCache>
            </c:numRef>
          </c:val>
          <c:extLst>
            <c:ext xmlns:c16="http://schemas.microsoft.com/office/drawing/2014/chart" uri="{C3380CC4-5D6E-409C-BE32-E72D297353CC}">
              <c16:uniqueId val="{00000000-F5CD-4AD4-9330-F3022A8540B9}"/>
            </c:ext>
          </c:extLst>
        </c:ser>
        <c:ser>
          <c:idx val="1"/>
          <c:order val="1"/>
          <c:tx>
            <c:strRef>
              <c:f>'Visualisation Dashboard'!$C$150</c:f>
              <c:strCache>
                <c:ptCount val="1"/>
                <c:pt idx="0">
                  <c:v>Conc DPS (Debt)</c:v>
                </c:pt>
              </c:strCache>
            </c:strRef>
          </c:tx>
          <c:spPr>
            <a:solidFill>
              <a:schemeClr val="accent4"/>
            </a:solidFill>
            <a:ln>
              <a:noFill/>
            </a:ln>
            <a:effectLst/>
          </c:spPr>
          <c:invertIfNegative val="0"/>
          <c:cat>
            <c:strRef>
              <c:f>'Visualisation Dashboard'!$D$148</c:f>
              <c:strCache>
                <c:ptCount val="1"/>
                <c:pt idx="0">
                  <c:v>Financing Sources</c:v>
                </c:pt>
              </c:strCache>
            </c:strRef>
          </c:cat>
          <c:val>
            <c:numRef>
              <c:f>'Visualisation Dashboard'!$D$150</c:f>
              <c:numCache>
                <c:formatCode>General</c:formatCode>
                <c:ptCount val="1"/>
                <c:pt idx="0">
                  <c:v>205.98000000000002</c:v>
                </c:pt>
              </c:numCache>
            </c:numRef>
          </c:val>
          <c:extLst>
            <c:ext xmlns:c16="http://schemas.microsoft.com/office/drawing/2014/chart" uri="{C3380CC4-5D6E-409C-BE32-E72D297353CC}">
              <c16:uniqueId val="{00000001-F5CD-4AD4-9330-F3022A8540B9}"/>
            </c:ext>
          </c:extLst>
        </c:ser>
        <c:ser>
          <c:idx val="2"/>
          <c:order val="2"/>
          <c:tx>
            <c:strRef>
              <c:f>'Visualisation Dashboard'!$C$151</c:f>
              <c:strCache>
                <c:ptCount val="1"/>
                <c:pt idx="0">
                  <c:v>Comm Intl (Debt)</c:v>
                </c:pt>
              </c:strCache>
            </c:strRef>
          </c:tx>
          <c:spPr>
            <a:solidFill>
              <a:schemeClr val="accent4">
                <a:lumMod val="60000"/>
                <a:lumOff val="40000"/>
              </a:schemeClr>
            </a:solidFill>
            <a:ln>
              <a:noFill/>
            </a:ln>
            <a:effectLst/>
          </c:spPr>
          <c:invertIfNegative val="0"/>
          <c:cat>
            <c:strRef>
              <c:f>'Visualisation Dashboard'!$D$148</c:f>
              <c:strCache>
                <c:ptCount val="1"/>
                <c:pt idx="0">
                  <c:v>Financing Sources</c:v>
                </c:pt>
              </c:strCache>
            </c:strRef>
          </c:cat>
          <c:val>
            <c:numRef>
              <c:f>'Visualisation Dashboard'!$D$151</c:f>
              <c:numCache>
                <c:formatCode>General</c:formatCode>
                <c:ptCount val="1"/>
                <c:pt idx="0">
                  <c:v>484.02</c:v>
                </c:pt>
              </c:numCache>
            </c:numRef>
          </c:val>
          <c:extLst>
            <c:ext xmlns:c16="http://schemas.microsoft.com/office/drawing/2014/chart" uri="{C3380CC4-5D6E-409C-BE32-E72D297353CC}">
              <c16:uniqueId val="{00000002-F5CD-4AD4-9330-F3022A8540B9}"/>
            </c:ext>
          </c:extLst>
        </c:ser>
        <c:ser>
          <c:idx val="3"/>
          <c:order val="3"/>
          <c:tx>
            <c:strRef>
              <c:f>'Visualisation Dashboard'!$C$152</c:f>
              <c:strCache>
                <c:ptCount val="1"/>
                <c:pt idx="0">
                  <c:v>Comm Dom (Debt)</c:v>
                </c:pt>
              </c:strCache>
            </c:strRef>
          </c:tx>
          <c:spPr>
            <a:solidFill>
              <a:schemeClr val="accent4">
                <a:lumMod val="20000"/>
                <a:lumOff val="80000"/>
              </a:schemeClr>
            </a:solidFill>
            <a:ln>
              <a:noFill/>
            </a:ln>
            <a:effectLst/>
          </c:spPr>
          <c:invertIfNegative val="0"/>
          <c:cat>
            <c:strRef>
              <c:f>'Visualisation Dashboard'!$D$148</c:f>
              <c:strCache>
                <c:ptCount val="1"/>
                <c:pt idx="0">
                  <c:v>Financing Sources</c:v>
                </c:pt>
              </c:strCache>
            </c:strRef>
          </c:cat>
          <c:val>
            <c:numRef>
              <c:f>'Visualisation Dashboard'!$D$152</c:f>
              <c:numCache>
                <c:formatCode>General</c:formatCode>
                <c:ptCount val="1"/>
                <c:pt idx="0">
                  <c:v>51.4</c:v>
                </c:pt>
              </c:numCache>
            </c:numRef>
          </c:val>
          <c:extLst>
            <c:ext xmlns:c16="http://schemas.microsoft.com/office/drawing/2014/chart" uri="{C3380CC4-5D6E-409C-BE32-E72D297353CC}">
              <c16:uniqueId val="{00000003-F5CD-4AD4-9330-F3022A8540B9}"/>
            </c:ext>
          </c:extLst>
        </c:ser>
        <c:ser>
          <c:idx val="4"/>
          <c:order val="4"/>
          <c:tx>
            <c:strRef>
              <c:f>'Visualisation Dashboard'!$C$153</c:f>
              <c:strCache>
                <c:ptCount val="1"/>
                <c:pt idx="0">
                  <c:v>Conc IFI (Equity)</c:v>
                </c:pt>
              </c:strCache>
            </c:strRef>
          </c:tx>
          <c:spPr>
            <a:solidFill>
              <a:schemeClr val="accent5">
                <a:lumMod val="50000"/>
              </a:schemeClr>
            </a:solidFill>
            <a:ln>
              <a:noFill/>
            </a:ln>
            <a:effectLst/>
          </c:spPr>
          <c:invertIfNegative val="0"/>
          <c:cat>
            <c:strRef>
              <c:f>'Visualisation Dashboard'!$D$148</c:f>
              <c:strCache>
                <c:ptCount val="1"/>
                <c:pt idx="0">
                  <c:v>Financing Sources</c:v>
                </c:pt>
              </c:strCache>
            </c:strRef>
          </c:cat>
          <c:val>
            <c:numRef>
              <c:f>'Visualisation Dashboard'!$D$153</c:f>
              <c:numCache>
                <c:formatCode>General</c:formatCode>
                <c:ptCount val="1"/>
                <c:pt idx="0">
                  <c:v>135.51833333333335</c:v>
                </c:pt>
              </c:numCache>
            </c:numRef>
          </c:val>
          <c:extLst>
            <c:ext xmlns:c16="http://schemas.microsoft.com/office/drawing/2014/chart" uri="{C3380CC4-5D6E-409C-BE32-E72D297353CC}">
              <c16:uniqueId val="{00000004-F5CD-4AD4-9330-F3022A8540B9}"/>
            </c:ext>
          </c:extLst>
        </c:ser>
        <c:ser>
          <c:idx val="5"/>
          <c:order val="5"/>
          <c:tx>
            <c:strRef>
              <c:f>'Visualisation Dashboard'!$C$154</c:f>
              <c:strCache>
                <c:ptCount val="1"/>
                <c:pt idx="0">
                  <c:v>Conc DPS (Equity)</c:v>
                </c:pt>
              </c:strCache>
            </c:strRef>
          </c:tx>
          <c:spPr>
            <a:solidFill>
              <a:schemeClr val="accent5">
                <a:lumMod val="75000"/>
              </a:schemeClr>
            </a:solidFill>
            <a:ln>
              <a:noFill/>
            </a:ln>
            <a:effectLst/>
          </c:spPr>
          <c:invertIfNegative val="0"/>
          <c:cat>
            <c:strRef>
              <c:f>'Visualisation Dashboard'!$D$148</c:f>
              <c:strCache>
                <c:ptCount val="1"/>
                <c:pt idx="0">
                  <c:v>Financing Sources</c:v>
                </c:pt>
              </c:strCache>
            </c:strRef>
          </c:cat>
          <c:val>
            <c:numRef>
              <c:f>'Visualisation Dashboard'!$D$154</c:f>
              <c:numCache>
                <c:formatCode>General</c:formatCode>
                <c:ptCount val="1"/>
                <c:pt idx="0">
                  <c:v>1014.2317399964705</c:v>
                </c:pt>
              </c:numCache>
            </c:numRef>
          </c:val>
          <c:extLst>
            <c:ext xmlns:c16="http://schemas.microsoft.com/office/drawing/2014/chart" uri="{C3380CC4-5D6E-409C-BE32-E72D297353CC}">
              <c16:uniqueId val="{00000005-F5CD-4AD4-9330-F3022A8540B9}"/>
            </c:ext>
          </c:extLst>
        </c:ser>
        <c:ser>
          <c:idx val="6"/>
          <c:order val="6"/>
          <c:tx>
            <c:strRef>
              <c:f>'Visualisation Dashboard'!$C$155</c:f>
              <c:strCache>
                <c:ptCount val="1"/>
                <c:pt idx="0">
                  <c:v>Comm Intl (Equity)</c:v>
                </c:pt>
              </c:strCache>
            </c:strRef>
          </c:tx>
          <c:spPr>
            <a:solidFill>
              <a:schemeClr val="accent5"/>
            </a:solidFill>
            <a:ln>
              <a:noFill/>
            </a:ln>
            <a:effectLst/>
          </c:spPr>
          <c:invertIfNegative val="0"/>
          <c:cat>
            <c:strRef>
              <c:f>'Visualisation Dashboard'!$D$148</c:f>
              <c:strCache>
                <c:ptCount val="1"/>
                <c:pt idx="0">
                  <c:v>Financing Sources</c:v>
                </c:pt>
              </c:strCache>
            </c:strRef>
          </c:cat>
          <c:val>
            <c:numRef>
              <c:f>'Visualisation Dashboard'!$D$155</c:f>
              <c:numCache>
                <c:formatCode>General</c:formatCode>
                <c:ptCount val="1"/>
                <c:pt idx="0">
                  <c:v>853.87200000000007</c:v>
                </c:pt>
              </c:numCache>
            </c:numRef>
          </c:val>
          <c:extLst>
            <c:ext xmlns:c16="http://schemas.microsoft.com/office/drawing/2014/chart" uri="{C3380CC4-5D6E-409C-BE32-E72D297353CC}">
              <c16:uniqueId val="{00000006-F5CD-4AD4-9330-F3022A8540B9}"/>
            </c:ext>
          </c:extLst>
        </c:ser>
        <c:ser>
          <c:idx val="7"/>
          <c:order val="7"/>
          <c:tx>
            <c:strRef>
              <c:f>'Visualisation Dashboard'!$C$156</c:f>
              <c:strCache>
                <c:ptCount val="1"/>
                <c:pt idx="0">
                  <c:v>Comm Dom (Equity)</c:v>
                </c:pt>
              </c:strCache>
            </c:strRef>
          </c:tx>
          <c:spPr>
            <a:solidFill>
              <a:schemeClr val="accent5">
                <a:lumMod val="40000"/>
                <a:lumOff val="60000"/>
              </a:schemeClr>
            </a:solidFill>
            <a:ln>
              <a:noFill/>
            </a:ln>
            <a:effectLst/>
          </c:spPr>
          <c:invertIfNegative val="0"/>
          <c:cat>
            <c:strRef>
              <c:f>'Visualisation Dashboard'!$D$148</c:f>
              <c:strCache>
                <c:ptCount val="1"/>
                <c:pt idx="0">
                  <c:v>Financing Sources</c:v>
                </c:pt>
              </c:strCache>
            </c:strRef>
          </c:cat>
          <c:val>
            <c:numRef>
              <c:f>'Visualisation Dashboard'!$D$156</c:f>
              <c:numCache>
                <c:formatCode>General</c:formatCode>
                <c:ptCount val="1"/>
                <c:pt idx="0">
                  <c:v>204.23800000000003</c:v>
                </c:pt>
              </c:numCache>
            </c:numRef>
          </c:val>
          <c:extLst>
            <c:ext xmlns:c16="http://schemas.microsoft.com/office/drawing/2014/chart" uri="{C3380CC4-5D6E-409C-BE32-E72D297353CC}">
              <c16:uniqueId val="{00000007-F5CD-4AD4-9330-F3022A8540B9}"/>
            </c:ext>
          </c:extLst>
        </c:ser>
        <c:dLbls>
          <c:showLegendKey val="0"/>
          <c:showVal val="0"/>
          <c:showCatName val="0"/>
          <c:showSerName val="0"/>
          <c:showPercent val="0"/>
          <c:showBubbleSize val="0"/>
        </c:dLbls>
        <c:gapWidth val="40"/>
        <c:overlap val="100"/>
        <c:axId val="913252175"/>
        <c:axId val="913244015"/>
      </c:barChart>
      <c:catAx>
        <c:axId val="913252175"/>
        <c:scaling>
          <c:orientation val="minMax"/>
        </c:scaling>
        <c:delete val="1"/>
        <c:axPos val="l"/>
        <c:numFmt formatCode="General" sourceLinked="1"/>
        <c:majorTickMark val="none"/>
        <c:minorTickMark val="none"/>
        <c:tickLblPos val="nextTo"/>
        <c:crossAx val="913244015"/>
        <c:crosses val="autoZero"/>
        <c:auto val="1"/>
        <c:lblAlgn val="ctr"/>
        <c:lblOffset val="100"/>
        <c:noMultiLvlLbl val="0"/>
      </c:catAx>
      <c:valAx>
        <c:axId val="913244015"/>
        <c:scaling>
          <c:orientation val="minMax"/>
          <c:max val="1"/>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600" b="0" i="0" u="none" strike="noStrike" kern="1200" baseline="0">
                <a:solidFill>
                  <a:sysClr val="windowText" lastClr="000000"/>
                </a:solidFill>
                <a:latin typeface="+mn-lt"/>
                <a:ea typeface="+mn-ea"/>
                <a:cs typeface="+mn-cs"/>
              </a:defRPr>
            </a:pPr>
            <a:endParaRPr lang="en-US"/>
          </a:p>
        </c:txPr>
        <c:crossAx val="913252175"/>
        <c:crosses val="autoZero"/>
        <c:crossBetween val="between"/>
        <c:majorUnit val="0.2"/>
      </c:valAx>
      <c:spPr>
        <a:noFill/>
        <a:ln>
          <a:noFill/>
        </a:ln>
        <a:effectLst/>
      </c:spPr>
    </c:plotArea>
    <c:legend>
      <c:legendPos val="b"/>
      <c:layout>
        <c:manualLayout>
          <c:xMode val="edge"/>
          <c:yMode val="edge"/>
          <c:x val="0"/>
          <c:y val="0.82801863348230664"/>
          <c:w val="1"/>
          <c:h val="0.15102942235874897"/>
        </c:manualLayout>
      </c:layout>
      <c:overlay val="0"/>
      <c:spPr>
        <a:noFill/>
        <a:ln>
          <a:noFill/>
        </a:ln>
        <a:effectLst/>
      </c:spPr>
      <c:txPr>
        <a:bodyPr rot="0" spcFirstLastPara="1" vertOverflow="ellipsis" vert="horz" wrap="square" anchor="ctr" anchorCtr="1"/>
        <a:lstStyle/>
        <a:p>
          <a:pPr>
            <a:defRPr sz="1400" b="0" i="0" u="none" strike="noStrike" kern="1200" baseline="0">
              <a:solidFill>
                <a:sysClr val="windowText" lastClr="000000"/>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2937827780708286"/>
          <c:y val="5.1478388606654969E-2"/>
          <c:w val="0.62910297977458696"/>
          <c:h val="0.9011256379134529"/>
        </c:manualLayout>
      </c:layout>
      <c:barChart>
        <c:barDir val="col"/>
        <c:grouping val="stacked"/>
        <c:varyColors val="0"/>
        <c:ser>
          <c:idx val="0"/>
          <c:order val="0"/>
          <c:tx>
            <c:strRef>
              <c:f>'Visualisation Dashboard'!$C$149</c:f>
              <c:strCache>
                <c:ptCount val="1"/>
                <c:pt idx="0">
                  <c:v>Conc IFI (Debt)</c:v>
                </c:pt>
              </c:strCache>
            </c:strRef>
          </c:tx>
          <c:spPr>
            <a:solidFill>
              <a:schemeClr val="accent4">
                <a:lumMod val="75000"/>
              </a:schemeClr>
            </a:solidFill>
            <a:ln>
              <a:noFill/>
            </a:ln>
            <a:effectLst/>
          </c:spPr>
          <c:invertIfNegative val="0"/>
          <c:cat>
            <c:strRef>
              <c:f>'Visualisation Dashboard'!$D$148</c:f>
              <c:strCache>
                <c:ptCount val="1"/>
                <c:pt idx="0">
                  <c:v>Financing Sources</c:v>
                </c:pt>
              </c:strCache>
            </c:strRef>
          </c:cat>
          <c:val>
            <c:numRef>
              <c:f>'Visualisation Dashboard'!$D$149</c:f>
              <c:numCache>
                <c:formatCode>General</c:formatCode>
                <c:ptCount val="1"/>
                <c:pt idx="0">
                  <c:v>8033.914587321874</c:v>
                </c:pt>
              </c:numCache>
            </c:numRef>
          </c:val>
          <c:extLst>
            <c:ext xmlns:c16="http://schemas.microsoft.com/office/drawing/2014/chart" uri="{C3380CC4-5D6E-409C-BE32-E72D297353CC}">
              <c16:uniqueId val="{00000000-EA1C-4427-B621-C83B91EF5E41}"/>
            </c:ext>
          </c:extLst>
        </c:ser>
        <c:ser>
          <c:idx val="1"/>
          <c:order val="1"/>
          <c:tx>
            <c:strRef>
              <c:f>'Visualisation Dashboard'!$C$150</c:f>
              <c:strCache>
                <c:ptCount val="1"/>
                <c:pt idx="0">
                  <c:v>Conc DPS (Debt)</c:v>
                </c:pt>
              </c:strCache>
            </c:strRef>
          </c:tx>
          <c:spPr>
            <a:solidFill>
              <a:schemeClr val="accent4"/>
            </a:solidFill>
            <a:ln>
              <a:noFill/>
            </a:ln>
            <a:effectLst/>
          </c:spPr>
          <c:invertIfNegative val="0"/>
          <c:cat>
            <c:strRef>
              <c:f>'Visualisation Dashboard'!$D$148</c:f>
              <c:strCache>
                <c:ptCount val="1"/>
                <c:pt idx="0">
                  <c:v>Financing Sources</c:v>
                </c:pt>
              </c:strCache>
            </c:strRef>
          </c:cat>
          <c:val>
            <c:numRef>
              <c:f>'Visualisation Dashboard'!$D$150</c:f>
              <c:numCache>
                <c:formatCode>General</c:formatCode>
                <c:ptCount val="1"/>
                <c:pt idx="0">
                  <c:v>205.98000000000002</c:v>
                </c:pt>
              </c:numCache>
            </c:numRef>
          </c:val>
          <c:extLst>
            <c:ext xmlns:c16="http://schemas.microsoft.com/office/drawing/2014/chart" uri="{C3380CC4-5D6E-409C-BE32-E72D297353CC}">
              <c16:uniqueId val="{00000001-EA1C-4427-B621-C83B91EF5E41}"/>
            </c:ext>
          </c:extLst>
        </c:ser>
        <c:ser>
          <c:idx val="2"/>
          <c:order val="2"/>
          <c:tx>
            <c:strRef>
              <c:f>'Visualisation Dashboard'!$C$151</c:f>
              <c:strCache>
                <c:ptCount val="1"/>
                <c:pt idx="0">
                  <c:v>Comm Intl (Debt)</c:v>
                </c:pt>
              </c:strCache>
            </c:strRef>
          </c:tx>
          <c:spPr>
            <a:solidFill>
              <a:schemeClr val="accent4">
                <a:lumMod val="60000"/>
                <a:lumOff val="40000"/>
              </a:schemeClr>
            </a:solidFill>
            <a:ln>
              <a:noFill/>
            </a:ln>
            <a:effectLst/>
          </c:spPr>
          <c:invertIfNegative val="0"/>
          <c:cat>
            <c:strRef>
              <c:f>'Visualisation Dashboard'!$D$148</c:f>
              <c:strCache>
                <c:ptCount val="1"/>
                <c:pt idx="0">
                  <c:v>Financing Sources</c:v>
                </c:pt>
              </c:strCache>
            </c:strRef>
          </c:cat>
          <c:val>
            <c:numRef>
              <c:f>'Visualisation Dashboard'!$D$151</c:f>
              <c:numCache>
                <c:formatCode>General</c:formatCode>
                <c:ptCount val="1"/>
                <c:pt idx="0">
                  <c:v>484.02</c:v>
                </c:pt>
              </c:numCache>
            </c:numRef>
          </c:val>
          <c:extLst>
            <c:ext xmlns:c16="http://schemas.microsoft.com/office/drawing/2014/chart" uri="{C3380CC4-5D6E-409C-BE32-E72D297353CC}">
              <c16:uniqueId val="{00000002-EA1C-4427-B621-C83B91EF5E41}"/>
            </c:ext>
          </c:extLst>
        </c:ser>
        <c:ser>
          <c:idx val="3"/>
          <c:order val="3"/>
          <c:tx>
            <c:strRef>
              <c:f>'Visualisation Dashboard'!$C$152</c:f>
              <c:strCache>
                <c:ptCount val="1"/>
                <c:pt idx="0">
                  <c:v>Comm Dom (Debt)</c:v>
                </c:pt>
              </c:strCache>
            </c:strRef>
          </c:tx>
          <c:spPr>
            <a:solidFill>
              <a:schemeClr val="accent4">
                <a:lumMod val="20000"/>
                <a:lumOff val="80000"/>
              </a:schemeClr>
            </a:solidFill>
            <a:ln>
              <a:noFill/>
            </a:ln>
            <a:effectLst/>
          </c:spPr>
          <c:invertIfNegative val="0"/>
          <c:cat>
            <c:strRef>
              <c:f>'Visualisation Dashboard'!$D$148</c:f>
              <c:strCache>
                <c:ptCount val="1"/>
                <c:pt idx="0">
                  <c:v>Financing Sources</c:v>
                </c:pt>
              </c:strCache>
            </c:strRef>
          </c:cat>
          <c:val>
            <c:numRef>
              <c:f>'Visualisation Dashboard'!$D$152</c:f>
              <c:numCache>
                <c:formatCode>General</c:formatCode>
                <c:ptCount val="1"/>
                <c:pt idx="0">
                  <c:v>51.4</c:v>
                </c:pt>
              </c:numCache>
            </c:numRef>
          </c:val>
          <c:extLst>
            <c:ext xmlns:c16="http://schemas.microsoft.com/office/drawing/2014/chart" uri="{C3380CC4-5D6E-409C-BE32-E72D297353CC}">
              <c16:uniqueId val="{00000003-EA1C-4427-B621-C83B91EF5E41}"/>
            </c:ext>
          </c:extLst>
        </c:ser>
        <c:ser>
          <c:idx val="4"/>
          <c:order val="4"/>
          <c:tx>
            <c:strRef>
              <c:f>'Visualisation Dashboard'!$C$153</c:f>
              <c:strCache>
                <c:ptCount val="1"/>
                <c:pt idx="0">
                  <c:v>Conc IFI (Equity)</c:v>
                </c:pt>
              </c:strCache>
            </c:strRef>
          </c:tx>
          <c:spPr>
            <a:solidFill>
              <a:schemeClr val="accent5">
                <a:lumMod val="50000"/>
              </a:schemeClr>
            </a:solidFill>
            <a:ln>
              <a:noFill/>
            </a:ln>
            <a:effectLst/>
          </c:spPr>
          <c:invertIfNegative val="0"/>
          <c:cat>
            <c:strRef>
              <c:f>'Visualisation Dashboard'!$D$148</c:f>
              <c:strCache>
                <c:ptCount val="1"/>
                <c:pt idx="0">
                  <c:v>Financing Sources</c:v>
                </c:pt>
              </c:strCache>
            </c:strRef>
          </c:cat>
          <c:val>
            <c:numRef>
              <c:f>'Visualisation Dashboard'!$D$153</c:f>
              <c:numCache>
                <c:formatCode>General</c:formatCode>
                <c:ptCount val="1"/>
                <c:pt idx="0">
                  <c:v>135.51833333333335</c:v>
                </c:pt>
              </c:numCache>
            </c:numRef>
          </c:val>
          <c:extLst>
            <c:ext xmlns:c16="http://schemas.microsoft.com/office/drawing/2014/chart" uri="{C3380CC4-5D6E-409C-BE32-E72D297353CC}">
              <c16:uniqueId val="{00000004-EA1C-4427-B621-C83B91EF5E41}"/>
            </c:ext>
          </c:extLst>
        </c:ser>
        <c:ser>
          <c:idx val="5"/>
          <c:order val="5"/>
          <c:tx>
            <c:strRef>
              <c:f>'Visualisation Dashboard'!$C$154</c:f>
              <c:strCache>
                <c:ptCount val="1"/>
                <c:pt idx="0">
                  <c:v>Conc DPS (Equity)</c:v>
                </c:pt>
              </c:strCache>
            </c:strRef>
          </c:tx>
          <c:spPr>
            <a:solidFill>
              <a:schemeClr val="accent5">
                <a:lumMod val="75000"/>
              </a:schemeClr>
            </a:solidFill>
            <a:ln>
              <a:noFill/>
            </a:ln>
            <a:effectLst/>
          </c:spPr>
          <c:invertIfNegative val="0"/>
          <c:cat>
            <c:strRef>
              <c:f>'Visualisation Dashboard'!$D$148</c:f>
              <c:strCache>
                <c:ptCount val="1"/>
                <c:pt idx="0">
                  <c:v>Financing Sources</c:v>
                </c:pt>
              </c:strCache>
            </c:strRef>
          </c:cat>
          <c:val>
            <c:numRef>
              <c:f>'Visualisation Dashboard'!$D$154</c:f>
              <c:numCache>
                <c:formatCode>General</c:formatCode>
                <c:ptCount val="1"/>
                <c:pt idx="0">
                  <c:v>1014.2317399964705</c:v>
                </c:pt>
              </c:numCache>
            </c:numRef>
          </c:val>
          <c:extLst>
            <c:ext xmlns:c16="http://schemas.microsoft.com/office/drawing/2014/chart" uri="{C3380CC4-5D6E-409C-BE32-E72D297353CC}">
              <c16:uniqueId val="{00000005-EA1C-4427-B621-C83B91EF5E41}"/>
            </c:ext>
          </c:extLst>
        </c:ser>
        <c:ser>
          <c:idx val="6"/>
          <c:order val="6"/>
          <c:tx>
            <c:strRef>
              <c:f>'Visualisation Dashboard'!$C$155</c:f>
              <c:strCache>
                <c:ptCount val="1"/>
                <c:pt idx="0">
                  <c:v>Comm Intl (Equity)</c:v>
                </c:pt>
              </c:strCache>
            </c:strRef>
          </c:tx>
          <c:spPr>
            <a:solidFill>
              <a:schemeClr val="accent5"/>
            </a:solidFill>
            <a:ln>
              <a:noFill/>
            </a:ln>
            <a:effectLst/>
          </c:spPr>
          <c:invertIfNegative val="0"/>
          <c:cat>
            <c:strRef>
              <c:f>'Visualisation Dashboard'!$D$148</c:f>
              <c:strCache>
                <c:ptCount val="1"/>
                <c:pt idx="0">
                  <c:v>Financing Sources</c:v>
                </c:pt>
              </c:strCache>
            </c:strRef>
          </c:cat>
          <c:val>
            <c:numRef>
              <c:f>'Visualisation Dashboard'!$D$155</c:f>
              <c:numCache>
                <c:formatCode>General</c:formatCode>
                <c:ptCount val="1"/>
                <c:pt idx="0">
                  <c:v>853.87200000000007</c:v>
                </c:pt>
              </c:numCache>
            </c:numRef>
          </c:val>
          <c:extLst>
            <c:ext xmlns:c16="http://schemas.microsoft.com/office/drawing/2014/chart" uri="{C3380CC4-5D6E-409C-BE32-E72D297353CC}">
              <c16:uniqueId val="{00000006-EA1C-4427-B621-C83B91EF5E41}"/>
            </c:ext>
          </c:extLst>
        </c:ser>
        <c:ser>
          <c:idx val="7"/>
          <c:order val="7"/>
          <c:tx>
            <c:strRef>
              <c:f>'Visualisation Dashboard'!$C$156</c:f>
              <c:strCache>
                <c:ptCount val="1"/>
                <c:pt idx="0">
                  <c:v>Comm Dom (Equity)</c:v>
                </c:pt>
              </c:strCache>
            </c:strRef>
          </c:tx>
          <c:spPr>
            <a:solidFill>
              <a:schemeClr val="accent5">
                <a:lumMod val="40000"/>
                <a:lumOff val="60000"/>
              </a:schemeClr>
            </a:solidFill>
            <a:ln>
              <a:noFill/>
            </a:ln>
            <a:effectLst/>
          </c:spPr>
          <c:invertIfNegative val="0"/>
          <c:cat>
            <c:strRef>
              <c:f>'Visualisation Dashboard'!$D$148</c:f>
              <c:strCache>
                <c:ptCount val="1"/>
                <c:pt idx="0">
                  <c:v>Financing Sources</c:v>
                </c:pt>
              </c:strCache>
            </c:strRef>
          </c:cat>
          <c:val>
            <c:numRef>
              <c:f>'Visualisation Dashboard'!$D$156</c:f>
              <c:numCache>
                <c:formatCode>General</c:formatCode>
                <c:ptCount val="1"/>
                <c:pt idx="0">
                  <c:v>204.23800000000003</c:v>
                </c:pt>
              </c:numCache>
            </c:numRef>
          </c:val>
          <c:extLst>
            <c:ext xmlns:c16="http://schemas.microsoft.com/office/drawing/2014/chart" uri="{C3380CC4-5D6E-409C-BE32-E72D297353CC}">
              <c16:uniqueId val="{00000007-EA1C-4427-B621-C83B91EF5E41}"/>
            </c:ext>
          </c:extLst>
        </c:ser>
        <c:dLbls>
          <c:showLegendKey val="0"/>
          <c:showVal val="0"/>
          <c:showCatName val="0"/>
          <c:showSerName val="0"/>
          <c:showPercent val="0"/>
          <c:showBubbleSize val="0"/>
        </c:dLbls>
        <c:gapWidth val="40"/>
        <c:overlap val="100"/>
        <c:axId val="913252175"/>
        <c:axId val="913244015"/>
      </c:barChart>
      <c:catAx>
        <c:axId val="913252175"/>
        <c:scaling>
          <c:orientation val="minMax"/>
        </c:scaling>
        <c:delete val="1"/>
        <c:axPos val="b"/>
        <c:numFmt formatCode="General" sourceLinked="1"/>
        <c:majorTickMark val="none"/>
        <c:minorTickMark val="none"/>
        <c:tickLblPos val="nextTo"/>
        <c:crossAx val="913244015"/>
        <c:crosses val="autoZero"/>
        <c:auto val="1"/>
        <c:lblAlgn val="ctr"/>
        <c:lblOffset val="100"/>
        <c:noMultiLvlLbl val="0"/>
      </c:catAx>
      <c:valAx>
        <c:axId val="913244015"/>
        <c:scaling>
          <c:orientation val="minMax"/>
        </c:scaling>
        <c:delete val="0"/>
        <c:axPos val="l"/>
        <c:majorGridlines>
          <c:spPr>
            <a:ln w="9525" cap="flat" cmpd="sng" algn="ctr">
              <a:solidFill>
                <a:schemeClr val="tx1">
                  <a:lumMod val="15000"/>
                  <a:lumOff val="85000"/>
                </a:schemeClr>
              </a:solidFill>
              <a:round/>
            </a:ln>
            <a:effectLst/>
          </c:spPr>
        </c:majorGridlines>
        <c:numFmt formatCode="[$$-409]#,##0" sourceLinked="0"/>
        <c:majorTickMark val="none"/>
        <c:minorTickMark val="none"/>
        <c:tickLblPos val="nextTo"/>
        <c:spPr>
          <a:noFill/>
          <a:ln>
            <a:noFill/>
          </a:ln>
          <a:effectLst/>
        </c:spPr>
        <c:txPr>
          <a:bodyPr rot="-60000000" spcFirstLastPara="1" vertOverflow="ellipsis" vert="horz" wrap="square" anchor="ctr" anchorCtr="1"/>
          <a:lstStyle/>
          <a:p>
            <a:pPr>
              <a:defRPr sz="1600" b="0" i="0" u="none" strike="noStrike" kern="1200" baseline="0">
                <a:solidFill>
                  <a:sysClr val="windowText" lastClr="000000"/>
                </a:solidFill>
                <a:latin typeface="+mn-lt"/>
                <a:ea typeface="+mn-ea"/>
                <a:cs typeface="+mn-cs"/>
              </a:defRPr>
            </a:pPr>
            <a:endParaRPr lang="en-US"/>
          </a:p>
        </c:txPr>
        <c:crossAx val="913252175"/>
        <c:crosses val="autoZero"/>
        <c:crossBetween val="between"/>
        <c:majorUnit val="2000"/>
      </c:valAx>
      <c:spPr>
        <a:noFill/>
        <a:ln>
          <a:noFill/>
        </a:ln>
        <a:effectLst/>
      </c:spPr>
    </c:plotArea>
    <c:legend>
      <c:legendPos val="r"/>
      <c:layout>
        <c:manualLayout>
          <c:xMode val="edge"/>
          <c:yMode val="edge"/>
          <c:x val="0.75247831919132546"/>
          <c:y val="4.0931783824859194E-2"/>
          <c:w val="0.24752168080867451"/>
          <c:h val="0.92400286866171866"/>
        </c:manualLayout>
      </c:layout>
      <c:overlay val="0"/>
      <c:spPr>
        <a:solidFill>
          <a:schemeClr val="bg1"/>
        </a:solidFill>
        <a:ln>
          <a:noFill/>
        </a:ln>
        <a:effectLst/>
      </c:spPr>
      <c:txPr>
        <a:bodyPr rot="0" spcFirstLastPara="1" vertOverflow="ellipsis" vert="horz" wrap="square" anchor="ctr" anchorCtr="1"/>
        <a:lstStyle/>
        <a:p>
          <a:pPr>
            <a:defRPr sz="1400" b="0" i="0" u="none" strike="noStrike" kern="1200" baseline="0">
              <a:solidFill>
                <a:sysClr val="windowText" lastClr="000000"/>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920" b="0" i="0" u="none" strike="noStrike" kern="1200" spc="0" baseline="0">
                <a:solidFill>
                  <a:schemeClr val="tx1"/>
                </a:solidFill>
                <a:latin typeface="+mn-lt"/>
                <a:ea typeface="+mn-ea"/>
                <a:cs typeface="+mn-cs"/>
              </a:defRPr>
            </a:pPr>
            <a:r>
              <a:rPr lang="en-GB"/>
              <a:t> Market Elements of Finance for Energy Investments 2010-2024 by Source</a:t>
            </a:r>
          </a:p>
        </c:rich>
      </c:tx>
      <c:layout>
        <c:manualLayout>
          <c:xMode val="edge"/>
          <c:yMode val="edge"/>
          <c:x val="0.13051666253931843"/>
          <c:y val="4.1091447074135277E-2"/>
        </c:manualLayout>
      </c:layout>
      <c:overlay val="0"/>
      <c:spPr>
        <a:noFill/>
        <a:ln>
          <a:noFill/>
        </a:ln>
        <a:effectLst/>
      </c:spPr>
      <c:txPr>
        <a:bodyPr rot="0" spcFirstLastPara="1" vertOverflow="ellipsis" vert="horz" wrap="square" anchor="ctr" anchorCtr="1"/>
        <a:lstStyle/>
        <a:p>
          <a:pPr>
            <a:defRPr sz="1920" b="0" i="0" u="none" strike="noStrike" kern="1200" spc="0" baseline="0">
              <a:solidFill>
                <a:schemeClr val="tx1"/>
              </a:solidFill>
              <a:latin typeface="+mn-lt"/>
              <a:ea typeface="+mn-ea"/>
              <a:cs typeface="+mn-cs"/>
            </a:defRPr>
          </a:pPr>
          <a:endParaRPr lang="en-US"/>
        </a:p>
      </c:txPr>
    </c:title>
    <c:autoTitleDeleted val="0"/>
    <c:plotArea>
      <c:layout/>
      <c:barChart>
        <c:barDir val="col"/>
        <c:grouping val="stacked"/>
        <c:varyColors val="0"/>
        <c:ser>
          <c:idx val="0"/>
          <c:order val="0"/>
          <c:spPr>
            <a:solidFill>
              <a:schemeClr val="accent4">
                <a:lumMod val="75000"/>
              </a:schemeClr>
            </a:solidFill>
            <a:ln>
              <a:solidFill>
                <a:schemeClr val="tx1"/>
              </a:solidFill>
            </a:ln>
            <a:effectLst/>
          </c:spPr>
          <c:invertIfNegative val="0"/>
          <c:dPt>
            <c:idx val="1"/>
            <c:invertIfNegative val="0"/>
            <c:bubble3D val="0"/>
            <c:spPr>
              <a:solidFill>
                <a:schemeClr val="accent4"/>
              </a:solidFill>
              <a:ln>
                <a:solidFill>
                  <a:schemeClr val="tx1"/>
                </a:solidFill>
              </a:ln>
              <a:effectLst/>
            </c:spPr>
            <c:extLst>
              <c:ext xmlns:c16="http://schemas.microsoft.com/office/drawing/2014/chart" uri="{C3380CC4-5D6E-409C-BE32-E72D297353CC}">
                <c16:uniqueId val="{00000003-1CAC-492A-91E9-78F4A989A321}"/>
              </c:ext>
            </c:extLst>
          </c:dPt>
          <c:dPt>
            <c:idx val="2"/>
            <c:invertIfNegative val="0"/>
            <c:bubble3D val="0"/>
            <c:spPr>
              <a:solidFill>
                <a:schemeClr val="accent1">
                  <a:lumMod val="50000"/>
                </a:schemeClr>
              </a:solidFill>
              <a:ln>
                <a:solidFill>
                  <a:schemeClr val="tx1"/>
                </a:solidFill>
              </a:ln>
              <a:effectLst/>
            </c:spPr>
            <c:extLst>
              <c:ext xmlns:c16="http://schemas.microsoft.com/office/drawing/2014/chart" uri="{C3380CC4-5D6E-409C-BE32-E72D297353CC}">
                <c16:uniqueId val="{00000005-1CAC-492A-91E9-78F4A989A321}"/>
              </c:ext>
            </c:extLst>
          </c:dPt>
          <c:dPt>
            <c:idx val="3"/>
            <c:invertIfNegative val="0"/>
            <c:bubble3D val="0"/>
            <c:spPr>
              <a:solidFill>
                <a:schemeClr val="accent1"/>
              </a:solidFill>
              <a:ln>
                <a:solidFill>
                  <a:schemeClr val="tx1"/>
                </a:solidFill>
              </a:ln>
              <a:effectLst/>
            </c:spPr>
            <c:extLst>
              <c:ext xmlns:c16="http://schemas.microsoft.com/office/drawing/2014/chart" uri="{C3380CC4-5D6E-409C-BE32-E72D297353CC}">
                <c16:uniqueId val="{00000007-1CAC-492A-91E9-78F4A989A321}"/>
              </c:ext>
            </c:extLst>
          </c:dPt>
          <c:cat>
            <c:strRef>
              <c:f>'Visualisation Dashboard'!$W$153:$W$156</c:f>
              <c:strCache>
                <c:ptCount val="4"/>
                <c:pt idx="0">
                  <c:v>Conc_IFI</c:v>
                </c:pt>
                <c:pt idx="1">
                  <c:v>Conc_DPS</c:v>
                </c:pt>
                <c:pt idx="2">
                  <c:v>Comm_Dom</c:v>
                </c:pt>
                <c:pt idx="3">
                  <c:v>Comm_Intl</c:v>
                </c:pt>
              </c:strCache>
            </c:strRef>
          </c:cat>
          <c:val>
            <c:numRef>
              <c:f>'Visualisation Dashboard'!$X$153:$X$156</c:f>
              <c:numCache>
                <c:formatCode>0.0%</c:formatCode>
                <c:ptCount val="4"/>
                <c:pt idx="0">
                  <c:v>0.24232831663165214</c:v>
                </c:pt>
                <c:pt idx="1">
                  <c:v>0.33796960101623336</c:v>
                </c:pt>
                <c:pt idx="2">
                  <c:v>0.57575690308592586</c:v>
                </c:pt>
                <c:pt idx="3">
                  <c:v>0.63366061170418142</c:v>
                </c:pt>
              </c:numCache>
            </c:numRef>
          </c:val>
          <c:extLst>
            <c:ext xmlns:c16="http://schemas.microsoft.com/office/drawing/2014/chart" uri="{C3380CC4-5D6E-409C-BE32-E72D297353CC}">
              <c16:uniqueId val="{0000000E-1CAC-492A-91E9-78F4A989A321}"/>
            </c:ext>
          </c:extLst>
        </c:ser>
        <c:dLbls>
          <c:showLegendKey val="0"/>
          <c:showVal val="0"/>
          <c:showCatName val="0"/>
          <c:showSerName val="0"/>
          <c:showPercent val="0"/>
          <c:showBubbleSize val="0"/>
        </c:dLbls>
        <c:gapWidth val="150"/>
        <c:overlap val="100"/>
        <c:axId val="1003074511"/>
        <c:axId val="1728871791"/>
      </c:barChart>
      <c:catAx>
        <c:axId val="10030745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2700000" spcFirstLastPara="1" vertOverflow="ellipsis" wrap="square" anchor="ctr" anchorCtr="1"/>
          <a:lstStyle/>
          <a:p>
            <a:pPr>
              <a:defRPr sz="1600" b="0" i="0" u="none" strike="noStrike" kern="1200" baseline="0">
                <a:solidFill>
                  <a:schemeClr val="tx1"/>
                </a:solidFill>
                <a:latin typeface="+mn-lt"/>
                <a:ea typeface="+mn-ea"/>
                <a:cs typeface="+mn-cs"/>
              </a:defRPr>
            </a:pPr>
            <a:endParaRPr lang="en-US"/>
          </a:p>
        </c:txPr>
        <c:crossAx val="1728871791"/>
        <c:crosses val="autoZero"/>
        <c:auto val="1"/>
        <c:lblAlgn val="ctr"/>
        <c:lblOffset val="100"/>
        <c:noMultiLvlLbl val="0"/>
      </c:catAx>
      <c:valAx>
        <c:axId val="1728871791"/>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1600" b="0" i="0" u="none" strike="noStrike" kern="1200" baseline="0">
                <a:solidFill>
                  <a:schemeClr val="tx1"/>
                </a:solidFill>
                <a:latin typeface="+mn-lt"/>
                <a:ea typeface="+mn-ea"/>
                <a:cs typeface="+mn-cs"/>
              </a:defRPr>
            </a:pPr>
            <a:endParaRPr lang="en-US"/>
          </a:p>
        </c:txPr>
        <c:crossAx val="1003074511"/>
        <c:crosses val="autoZero"/>
        <c:crossBetween val="between"/>
        <c:majorUnit val="0.2"/>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ysClr val="window" lastClr="FFFFFF"/>
    </a:solidFill>
    <a:ln w="9525" cap="flat" cmpd="sng" algn="ctr">
      <a:noFill/>
      <a:round/>
    </a:ln>
    <a:effectLst/>
  </c:spPr>
  <c:txPr>
    <a:bodyPr/>
    <a:lstStyle/>
    <a:p>
      <a:pPr>
        <a:defRPr sz="1600">
          <a:solidFill>
            <a:schemeClr val="tx1"/>
          </a:solidFill>
        </a:defRPr>
      </a:pPr>
      <a:endParaRPr lang="en-US"/>
    </a:p>
  </c:txPr>
  <c:printSettings>
    <c:headerFooter/>
    <c:pageMargins b="0.75" l="0.7" r="0.7" t="0.75" header="0.3" footer="0.3"/>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000" b="0" i="0" u="none" strike="noStrike" kern="1200" spc="0" baseline="0">
                <a:solidFill>
                  <a:sysClr val="windowText" lastClr="000000"/>
                </a:solidFill>
                <a:latin typeface="+mn-lt"/>
                <a:ea typeface="+mn-ea"/>
                <a:cs typeface="+mn-cs"/>
              </a:defRPr>
            </a:pPr>
            <a:r>
              <a:rPr lang="en-GB" sz="2000">
                <a:solidFill>
                  <a:sysClr val="windowText" lastClr="000000"/>
                </a:solidFill>
              </a:rPr>
              <a:t>Debt Equity</a:t>
            </a:r>
            <a:r>
              <a:rPr lang="en-GB" sz="2000" baseline="0">
                <a:solidFill>
                  <a:sysClr val="windowText" lastClr="000000"/>
                </a:solidFill>
              </a:rPr>
              <a:t> in </a:t>
            </a:r>
            <a:r>
              <a:rPr lang="en-GB" sz="2000" b="0" i="0" u="none" strike="noStrike" kern="1200" spc="0" baseline="0">
                <a:solidFill>
                  <a:sysClr val="windowText" lastClr="000000"/>
                </a:solidFill>
              </a:rPr>
              <a:t>Financing for Energy Investments 2010-2024 by Financier</a:t>
            </a:r>
            <a:endParaRPr lang="en-GB" sz="2000">
              <a:solidFill>
                <a:sysClr val="windowText" lastClr="000000"/>
              </a:solidFill>
            </a:endParaRPr>
          </a:p>
        </c:rich>
      </c:tx>
      <c:overlay val="0"/>
      <c:spPr>
        <a:noFill/>
        <a:ln>
          <a:noFill/>
        </a:ln>
        <a:effectLst/>
      </c:spPr>
      <c:txPr>
        <a:bodyPr rot="0" spcFirstLastPara="1" vertOverflow="ellipsis" vert="horz" wrap="square" anchor="ctr" anchorCtr="1"/>
        <a:lstStyle/>
        <a:p>
          <a:pPr>
            <a:defRPr sz="2000" b="0" i="0" u="none" strike="noStrike" kern="1200" spc="0" baseline="0">
              <a:solidFill>
                <a:sysClr val="windowText" lastClr="000000"/>
              </a:solidFill>
              <a:latin typeface="+mn-lt"/>
              <a:ea typeface="+mn-ea"/>
              <a:cs typeface="+mn-cs"/>
            </a:defRPr>
          </a:pPr>
          <a:endParaRPr lang="en-GB"/>
        </a:p>
      </c:txPr>
    </c:title>
    <c:autoTitleDeleted val="0"/>
    <c:plotArea>
      <c:layout>
        <c:manualLayout>
          <c:layoutTarget val="inner"/>
          <c:xMode val="edge"/>
          <c:yMode val="edge"/>
          <c:x val="0.2779204695473883"/>
          <c:y val="0.14645362625840308"/>
          <c:w val="0.68064904269391779"/>
          <c:h val="0.7467050322943446"/>
        </c:manualLayout>
      </c:layout>
      <c:barChart>
        <c:barDir val="bar"/>
        <c:grouping val="stacked"/>
        <c:varyColors val="0"/>
        <c:ser>
          <c:idx val="0"/>
          <c:order val="0"/>
          <c:tx>
            <c:strRef>
              <c:f>'Visualisation Dashboard'!$Q$174</c:f>
              <c:strCache>
                <c:ptCount val="1"/>
                <c:pt idx="0">
                  <c:v>Debt</c:v>
                </c:pt>
              </c:strCache>
            </c:strRef>
          </c:tx>
          <c:spPr>
            <a:solidFill>
              <a:schemeClr val="accent4"/>
            </a:solidFill>
            <a:ln>
              <a:solidFill>
                <a:schemeClr val="tx1"/>
              </a:solidFill>
            </a:ln>
            <a:effectLst/>
          </c:spPr>
          <c:invertIfNegative val="0"/>
          <c:cat>
            <c:strRef>
              <c:f>'Visualisation Dashboard'!$P$175:$P$181</c:f>
              <c:strCache>
                <c:ptCount val="7"/>
                <c:pt idx="0">
                  <c:v>Commercial Bank</c:v>
                </c:pt>
                <c:pt idx="1">
                  <c:v>Foreign Government</c:v>
                </c:pt>
                <c:pt idx="2">
                  <c:v>Multilateral Agency</c:v>
                </c:pt>
                <c:pt idx="3">
                  <c:v>Bilateral Agency</c:v>
                </c:pt>
                <c:pt idx="4">
                  <c:v>Climate Funds</c:v>
                </c:pt>
                <c:pt idx="5">
                  <c:v>National Government</c:v>
                </c:pt>
                <c:pt idx="6">
                  <c:v>Private Equity Fund</c:v>
                </c:pt>
              </c:strCache>
            </c:strRef>
          </c:cat>
          <c:val>
            <c:numRef>
              <c:f>'Visualisation Dashboard'!$Q$175:$Q$181</c:f>
              <c:numCache>
                <c:formatCode>0.0%</c:formatCode>
                <c:ptCount val="7"/>
                <c:pt idx="0">
                  <c:v>1</c:v>
                </c:pt>
                <c:pt idx="1">
                  <c:v>1</c:v>
                </c:pt>
                <c:pt idx="2">
                  <c:v>0.98859527583246121</c:v>
                </c:pt>
                <c:pt idx="3">
                  <c:v>0.97833371022973081</c:v>
                </c:pt>
                <c:pt idx="4">
                  <c:v>0.79122800826540252</c:v>
                </c:pt>
                <c:pt idx="5">
                  <c:v>0.12179404279367881</c:v>
                </c:pt>
                <c:pt idx="6">
                  <c:v>9.6182902927793731E-2</c:v>
                </c:pt>
              </c:numCache>
            </c:numRef>
          </c:val>
          <c:extLst>
            <c:ext xmlns:c16="http://schemas.microsoft.com/office/drawing/2014/chart" uri="{C3380CC4-5D6E-409C-BE32-E72D297353CC}">
              <c16:uniqueId val="{00000000-9220-424B-9715-E13DA6523490}"/>
            </c:ext>
          </c:extLst>
        </c:ser>
        <c:ser>
          <c:idx val="1"/>
          <c:order val="1"/>
          <c:tx>
            <c:strRef>
              <c:f>'Visualisation Dashboard'!$R$174</c:f>
              <c:strCache>
                <c:ptCount val="1"/>
                <c:pt idx="0">
                  <c:v>Equity</c:v>
                </c:pt>
              </c:strCache>
            </c:strRef>
          </c:tx>
          <c:spPr>
            <a:solidFill>
              <a:schemeClr val="accent1">
                <a:lumMod val="75000"/>
              </a:schemeClr>
            </a:solidFill>
            <a:ln>
              <a:solidFill>
                <a:schemeClr val="tx1"/>
              </a:solidFill>
            </a:ln>
            <a:effectLst/>
          </c:spPr>
          <c:invertIfNegative val="0"/>
          <c:cat>
            <c:strRef>
              <c:f>'Visualisation Dashboard'!$P$175:$P$181</c:f>
              <c:strCache>
                <c:ptCount val="7"/>
                <c:pt idx="0">
                  <c:v>Commercial Bank</c:v>
                </c:pt>
                <c:pt idx="1">
                  <c:v>Foreign Government</c:v>
                </c:pt>
                <c:pt idx="2">
                  <c:v>Multilateral Agency</c:v>
                </c:pt>
                <c:pt idx="3">
                  <c:v>Bilateral Agency</c:v>
                </c:pt>
                <c:pt idx="4">
                  <c:v>Climate Funds</c:v>
                </c:pt>
                <c:pt idx="5">
                  <c:v>National Government</c:v>
                </c:pt>
                <c:pt idx="6">
                  <c:v>Private Equity Fund</c:v>
                </c:pt>
              </c:strCache>
            </c:strRef>
          </c:cat>
          <c:val>
            <c:numRef>
              <c:f>'Visualisation Dashboard'!$R$175:$R$181</c:f>
              <c:numCache>
                <c:formatCode>0.0%</c:formatCode>
                <c:ptCount val="7"/>
                <c:pt idx="0">
                  <c:v>0</c:v>
                </c:pt>
                <c:pt idx="1">
                  <c:v>0</c:v>
                </c:pt>
                <c:pt idx="2">
                  <c:v>1.1404724167538774E-2</c:v>
                </c:pt>
                <c:pt idx="3">
                  <c:v>2.166628977026917E-2</c:v>
                </c:pt>
                <c:pt idx="4">
                  <c:v>0.20877199173459743</c:v>
                </c:pt>
                <c:pt idx="5">
                  <c:v>0.87820595720632133</c:v>
                </c:pt>
                <c:pt idx="6">
                  <c:v>0.90381709707220614</c:v>
                </c:pt>
              </c:numCache>
            </c:numRef>
          </c:val>
          <c:extLst>
            <c:ext xmlns:c16="http://schemas.microsoft.com/office/drawing/2014/chart" uri="{C3380CC4-5D6E-409C-BE32-E72D297353CC}">
              <c16:uniqueId val="{00000001-9220-424B-9715-E13DA6523490}"/>
            </c:ext>
          </c:extLst>
        </c:ser>
        <c:dLbls>
          <c:showLegendKey val="0"/>
          <c:showVal val="0"/>
          <c:showCatName val="0"/>
          <c:showSerName val="0"/>
          <c:showPercent val="0"/>
          <c:showBubbleSize val="0"/>
        </c:dLbls>
        <c:gapWidth val="150"/>
        <c:overlap val="100"/>
        <c:axId val="969783647"/>
        <c:axId val="969784127"/>
      </c:barChart>
      <c:catAx>
        <c:axId val="96978364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600" b="0" i="0" u="none" strike="noStrike" kern="1200" baseline="0">
                <a:solidFill>
                  <a:sysClr val="windowText" lastClr="000000"/>
                </a:solidFill>
                <a:latin typeface="+mn-lt"/>
                <a:ea typeface="+mn-ea"/>
                <a:cs typeface="+mn-cs"/>
              </a:defRPr>
            </a:pPr>
            <a:endParaRPr lang="en-US"/>
          </a:p>
        </c:txPr>
        <c:crossAx val="969784127"/>
        <c:crosses val="autoZero"/>
        <c:auto val="1"/>
        <c:lblAlgn val="ctr"/>
        <c:lblOffset val="100"/>
        <c:noMultiLvlLbl val="0"/>
      </c:catAx>
      <c:valAx>
        <c:axId val="969784127"/>
        <c:scaling>
          <c:orientation val="minMax"/>
          <c:max val="1"/>
        </c:scaling>
        <c:delete val="0"/>
        <c:axPos val="b"/>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600" b="0" i="0" u="none" strike="noStrike" kern="1200" baseline="0">
                <a:solidFill>
                  <a:sysClr val="windowText" lastClr="000000"/>
                </a:solidFill>
                <a:latin typeface="+mn-lt"/>
                <a:ea typeface="+mn-ea"/>
                <a:cs typeface="+mn-cs"/>
              </a:defRPr>
            </a:pPr>
            <a:endParaRPr lang="en-US"/>
          </a:p>
        </c:txPr>
        <c:crossAx val="969783647"/>
        <c:crosses val="autoZero"/>
        <c:crossBetween val="between"/>
      </c:valAx>
      <c:spPr>
        <a:noFill/>
        <a:ln>
          <a:noFill/>
        </a:ln>
        <a:effectLst/>
      </c:spPr>
    </c:plotArea>
    <c:legend>
      <c:legendPos val="b"/>
      <c:layout>
        <c:manualLayout>
          <c:xMode val="edge"/>
          <c:yMode val="edge"/>
          <c:x val="0.72556982913475643"/>
          <c:y val="8.0744880537026623E-2"/>
          <c:w val="0.27443017086524363"/>
          <c:h val="6.3396818099902982E-2"/>
        </c:manualLayout>
      </c:layout>
      <c:overlay val="0"/>
      <c:spPr>
        <a:noFill/>
        <a:ln>
          <a:noFill/>
        </a:ln>
        <a:effectLst/>
      </c:spPr>
      <c:txPr>
        <a:bodyPr rot="0" spcFirstLastPara="1" vertOverflow="ellipsis" vert="horz" wrap="square" anchor="ctr" anchorCtr="1"/>
        <a:lstStyle/>
        <a:p>
          <a:pPr>
            <a:defRPr sz="1800" b="0" i="0" u="none" strike="noStrike" kern="1200" baseline="0">
              <a:solidFill>
                <a:sysClr val="windowText" lastClr="000000"/>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000" b="0" i="0" u="none" strike="noStrike" kern="1200" spc="0" baseline="0">
                <a:solidFill>
                  <a:sysClr val="windowText" lastClr="000000"/>
                </a:solidFill>
                <a:latin typeface="+mn-lt"/>
                <a:ea typeface="+mn-ea"/>
                <a:cs typeface="+mn-cs"/>
              </a:defRPr>
            </a:pPr>
            <a:r>
              <a:rPr lang="en-GB" sz="2000">
                <a:solidFill>
                  <a:sysClr val="windowText" lastClr="000000"/>
                </a:solidFill>
              </a:rPr>
              <a:t>Debt Equity</a:t>
            </a:r>
            <a:r>
              <a:rPr lang="en-GB" sz="2000" baseline="0">
                <a:solidFill>
                  <a:sysClr val="windowText" lastClr="000000"/>
                </a:solidFill>
              </a:rPr>
              <a:t> in </a:t>
            </a:r>
            <a:r>
              <a:rPr lang="en-GB" sz="2000" b="0" i="0" u="none" strike="noStrike" kern="1200" spc="0" baseline="0">
                <a:solidFill>
                  <a:sysClr val="windowText" lastClr="000000"/>
                </a:solidFill>
              </a:rPr>
              <a:t>Financing for Energy Investments 2010-2024 by Source</a:t>
            </a:r>
            <a:endParaRPr lang="en-GB" sz="2000">
              <a:solidFill>
                <a:sysClr val="windowText" lastClr="000000"/>
              </a:solidFill>
            </a:endParaRPr>
          </a:p>
        </c:rich>
      </c:tx>
      <c:overlay val="0"/>
      <c:spPr>
        <a:noFill/>
        <a:ln>
          <a:noFill/>
        </a:ln>
        <a:effectLst/>
      </c:spPr>
      <c:txPr>
        <a:bodyPr rot="0" spcFirstLastPara="1" vertOverflow="ellipsis" vert="horz" wrap="square" anchor="ctr" anchorCtr="1"/>
        <a:lstStyle/>
        <a:p>
          <a:pPr>
            <a:defRPr sz="2000" b="0" i="0" u="none" strike="noStrike" kern="1200" spc="0" baseline="0">
              <a:solidFill>
                <a:sysClr val="windowText" lastClr="000000"/>
              </a:solidFill>
              <a:latin typeface="+mn-lt"/>
              <a:ea typeface="+mn-ea"/>
              <a:cs typeface="+mn-cs"/>
            </a:defRPr>
          </a:pPr>
          <a:endParaRPr lang="en-GB"/>
        </a:p>
      </c:txPr>
    </c:title>
    <c:autoTitleDeleted val="0"/>
    <c:plotArea>
      <c:layout>
        <c:manualLayout>
          <c:layoutTarget val="inner"/>
          <c:xMode val="edge"/>
          <c:yMode val="edge"/>
          <c:x val="0.19018603193249331"/>
          <c:y val="0.14645362625840308"/>
          <c:w val="0.7654919944300248"/>
          <c:h val="0.7467050322943446"/>
        </c:manualLayout>
      </c:layout>
      <c:barChart>
        <c:barDir val="bar"/>
        <c:grouping val="stacked"/>
        <c:varyColors val="0"/>
        <c:ser>
          <c:idx val="0"/>
          <c:order val="0"/>
          <c:tx>
            <c:strRef>
              <c:f>'Visualisation Dashboard'!$Y$174</c:f>
              <c:strCache>
                <c:ptCount val="1"/>
                <c:pt idx="0">
                  <c:v>Debt</c:v>
                </c:pt>
              </c:strCache>
            </c:strRef>
          </c:tx>
          <c:spPr>
            <a:solidFill>
              <a:schemeClr val="accent4"/>
            </a:solidFill>
            <a:ln>
              <a:solidFill>
                <a:schemeClr val="tx1"/>
              </a:solidFill>
            </a:ln>
            <a:effectLst/>
          </c:spPr>
          <c:invertIfNegative val="0"/>
          <c:cat>
            <c:strRef>
              <c:f>'Visualisation Dashboard'!$X$175:$X$178</c:f>
              <c:strCache>
                <c:ptCount val="4"/>
                <c:pt idx="0">
                  <c:v>Conc_IFI</c:v>
                </c:pt>
                <c:pt idx="1">
                  <c:v>Comm_Intl</c:v>
                </c:pt>
                <c:pt idx="2">
                  <c:v>Comm_Dom</c:v>
                </c:pt>
                <c:pt idx="3">
                  <c:v>Conc_DPS</c:v>
                </c:pt>
              </c:strCache>
            </c:strRef>
          </c:cat>
          <c:val>
            <c:numRef>
              <c:f>'Visualisation Dashboard'!$Y$175:$Y$178</c:f>
              <c:numCache>
                <c:formatCode>0.0%</c:formatCode>
                <c:ptCount val="4"/>
                <c:pt idx="0">
                  <c:v>0.9834115372940152</c:v>
                </c:pt>
                <c:pt idx="1">
                  <c:v>0.36177808074194329</c:v>
                </c:pt>
                <c:pt idx="2">
                  <c:v>0.20106556928156219</c:v>
                </c:pt>
                <c:pt idx="3">
                  <c:v>0.1688067679143915</c:v>
                </c:pt>
              </c:numCache>
            </c:numRef>
          </c:val>
          <c:extLst>
            <c:ext xmlns:c16="http://schemas.microsoft.com/office/drawing/2014/chart" uri="{C3380CC4-5D6E-409C-BE32-E72D297353CC}">
              <c16:uniqueId val="{00000000-36BF-4ABB-ADEE-07AD1F4768A9}"/>
            </c:ext>
          </c:extLst>
        </c:ser>
        <c:ser>
          <c:idx val="1"/>
          <c:order val="1"/>
          <c:tx>
            <c:strRef>
              <c:f>'Visualisation Dashboard'!$Z$174</c:f>
              <c:strCache>
                <c:ptCount val="1"/>
                <c:pt idx="0">
                  <c:v>Equity</c:v>
                </c:pt>
              </c:strCache>
            </c:strRef>
          </c:tx>
          <c:spPr>
            <a:solidFill>
              <a:schemeClr val="accent1">
                <a:lumMod val="75000"/>
              </a:schemeClr>
            </a:solidFill>
            <a:ln>
              <a:solidFill>
                <a:schemeClr val="tx1"/>
              </a:solidFill>
            </a:ln>
            <a:effectLst/>
          </c:spPr>
          <c:invertIfNegative val="0"/>
          <c:cat>
            <c:strRef>
              <c:f>'Visualisation Dashboard'!$X$175:$X$178</c:f>
              <c:strCache>
                <c:ptCount val="4"/>
                <c:pt idx="0">
                  <c:v>Conc_IFI</c:v>
                </c:pt>
                <c:pt idx="1">
                  <c:v>Comm_Intl</c:v>
                </c:pt>
                <c:pt idx="2">
                  <c:v>Comm_Dom</c:v>
                </c:pt>
                <c:pt idx="3">
                  <c:v>Conc_DPS</c:v>
                </c:pt>
              </c:strCache>
            </c:strRef>
          </c:cat>
          <c:val>
            <c:numRef>
              <c:f>'Visualisation Dashboard'!$Z$175:$Z$178</c:f>
              <c:numCache>
                <c:formatCode>0.0%</c:formatCode>
                <c:ptCount val="4"/>
                <c:pt idx="0">
                  <c:v>1.6588462705984793E-2</c:v>
                </c:pt>
                <c:pt idx="1">
                  <c:v>0.63822191925805671</c:v>
                </c:pt>
                <c:pt idx="2">
                  <c:v>0.79893443071843784</c:v>
                </c:pt>
                <c:pt idx="3">
                  <c:v>0.83119323208560858</c:v>
                </c:pt>
              </c:numCache>
            </c:numRef>
          </c:val>
          <c:extLst>
            <c:ext xmlns:c16="http://schemas.microsoft.com/office/drawing/2014/chart" uri="{C3380CC4-5D6E-409C-BE32-E72D297353CC}">
              <c16:uniqueId val="{00000001-36BF-4ABB-ADEE-07AD1F4768A9}"/>
            </c:ext>
          </c:extLst>
        </c:ser>
        <c:dLbls>
          <c:showLegendKey val="0"/>
          <c:showVal val="0"/>
          <c:showCatName val="0"/>
          <c:showSerName val="0"/>
          <c:showPercent val="0"/>
          <c:showBubbleSize val="0"/>
        </c:dLbls>
        <c:gapWidth val="150"/>
        <c:overlap val="100"/>
        <c:axId val="969783647"/>
        <c:axId val="969784127"/>
      </c:barChart>
      <c:catAx>
        <c:axId val="96978364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600" b="0" i="0" u="none" strike="noStrike" kern="1200" baseline="0">
                <a:solidFill>
                  <a:sysClr val="windowText" lastClr="000000"/>
                </a:solidFill>
                <a:latin typeface="+mn-lt"/>
                <a:ea typeface="+mn-ea"/>
                <a:cs typeface="+mn-cs"/>
              </a:defRPr>
            </a:pPr>
            <a:endParaRPr lang="en-US"/>
          </a:p>
        </c:txPr>
        <c:crossAx val="969784127"/>
        <c:crosses val="autoZero"/>
        <c:auto val="1"/>
        <c:lblAlgn val="ctr"/>
        <c:lblOffset val="100"/>
        <c:noMultiLvlLbl val="0"/>
      </c:catAx>
      <c:valAx>
        <c:axId val="969784127"/>
        <c:scaling>
          <c:orientation val="minMax"/>
          <c:max val="1"/>
        </c:scaling>
        <c:delete val="0"/>
        <c:axPos val="b"/>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800" b="0" i="0" u="none" strike="noStrike" kern="1200" baseline="0">
                <a:solidFill>
                  <a:sysClr val="windowText" lastClr="000000"/>
                </a:solidFill>
                <a:latin typeface="+mn-lt"/>
                <a:ea typeface="+mn-ea"/>
                <a:cs typeface="+mn-cs"/>
              </a:defRPr>
            </a:pPr>
            <a:endParaRPr lang="en-US"/>
          </a:p>
        </c:txPr>
        <c:crossAx val="969783647"/>
        <c:crosses val="autoZero"/>
        <c:crossBetween val="between"/>
      </c:valAx>
      <c:spPr>
        <a:noFill/>
        <a:ln>
          <a:noFill/>
        </a:ln>
        <a:effectLst/>
      </c:spPr>
    </c:plotArea>
    <c:legend>
      <c:legendPos val="b"/>
      <c:layout>
        <c:manualLayout>
          <c:xMode val="edge"/>
          <c:yMode val="edge"/>
          <c:x val="0.66241418499831783"/>
          <c:y val="0.10135731222875623"/>
          <c:w val="0.31685660623861905"/>
          <c:h val="6.2587939048852709E-2"/>
        </c:manualLayout>
      </c:layout>
      <c:overlay val="0"/>
      <c:spPr>
        <a:noFill/>
        <a:ln>
          <a:noFill/>
        </a:ln>
        <a:effectLst/>
      </c:spPr>
      <c:txPr>
        <a:bodyPr rot="0" spcFirstLastPara="1" vertOverflow="ellipsis" vert="horz" wrap="square" anchor="ctr" anchorCtr="1"/>
        <a:lstStyle/>
        <a:p>
          <a:pPr>
            <a:defRPr sz="1800" b="0" i="0" u="none" strike="noStrike" kern="1200" baseline="0">
              <a:solidFill>
                <a:sysClr val="windowText" lastClr="000000"/>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000" b="0" i="0" u="none" strike="noStrike" kern="1200" spc="0" baseline="0">
                <a:solidFill>
                  <a:sysClr val="windowText" lastClr="000000"/>
                </a:solidFill>
                <a:latin typeface="+mn-lt"/>
                <a:ea typeface="+mn-ea"/>
                <a:cs typeface="+mn-cs"/>
              </a:defRPr>
            </a:pPr>
            <a:r>
              <a:rPr lang="en-GB" sz="2000">
                <a:solidFill>
                  <a:sysClr val="windowText" lastClr="000000"/>
                </a:solidFill>
              </a:rPr>
              <a:t>Debt Equity</a:t>
            </a:r>
            <a:r>
              <a:rPr lang="en-GB" sz="2000" baseline="0">
                <a:solidFill>
                  <a:sysClr val="windowText" lastClr="000000"/>
                </a:solidFill>
              </a:rPr>
              <a:t> in </a:t>
            </a:r>
            <a:r>
              <a:rPr lang="en-GB" sz="2000" b="0" i="0" u="none" strike="noStrike" kern="1200" spc="0" baseline="0">
                <a:solidFill>
                  <a:sysClr val="windowText" lastClr="000000"/>
                </a:solidFill>
              </a:rPr>
              <a:t>Financing for Energy Investments 2010-2024 by Technology</a:t>
            </a:r>
            <a:endParaRPr lang="en-GB" sz="2000">
              <a:solidFill>
                <a:sysClr val="windowText" lastClr="000000"/>
              </a:solidFill>
            </a:endParaRPr>
          </a:p>
        </c:rich>
      </c:tx>
      <c:overlay val="0"/>
      <c:spPr>
        <a:noFill/>
        <a:ln>
          <a:noFill/>
        </a:ln>
        <a:effectLst/>
      </c:spPr>
      <c:txPr>
        <a:bodyPr rot="0" spcFirstLastPara="1" vertOverflow="ellipsis" vert="horz" wrap="square" anchor="ctr" anchorCtr="1"/>
        <a:lstStyle/>
        <a:p>
          <a:pPr>
            <a:defRPr sz="2000" b="0" i="0" u="none" strike="noStrike" kern="1200" spc="0" baseline="0">
              <a:solidFill>
                <a:sysClr val="windowText" lastClr="000000"/>
              </a:solidFill>
              <a:latin typeface="+mn-lt"/>
              <a:ea typeface="+mn-ea"/>
              <a:cs typeface="+mn-cs"/>
            </a:defRPr>
          </a:pPr>
          <a:endParaRPr lang="en-GB"/>
        </a:p>
      </c:txPr>
    </c:title>
    <c:autoTitleDeleted val="0"/>
    <c:plotArea>
      <c:layout>
        <c:manualLayout>
          <c:layoutTarget val="inner"/>
          <c:xMode val="edge"/>
          <c:yMode val="edge"/>
          <c:x val="0.19018603193249331"/>
          <c:y val="0.14645362625840308"/>
          <c:w val="0.7654919944300248"/>
          <c:h val="0.7467050322943446"/>
        </c:manualLayout>
      </c:layout>
      <c:barChart>
        <c:barDir val="bar"/>
        <c:grouping val="stacked"/>
        <c:varyColors val="0"/>
        <c:ser>
          <c:idx val="0"/>
          <c:order val="0"/>
          <c:tx>
            <c:strRef>
              <c:f>'Visualisation Dashboard'!$AK$173</c:f>
              <c:strCache>
                <c:ptCount val="1"/>
                <c:pt idx="0">
                  <c:v>Debt</c:v>
                </c:pt>
              </c:strCache>
            </c:strRef>
          </c:tx>
          <c:spPr>
            <a:solidFill>
              <a:schemeClr val="accent4"/>
            </a:solidFill>
            <a:ln>
              <a:solidFill>
                <a:schemeClr val="tx1"/>
              </a:solidFill>
            </a:ln>
            <a:effectLst/>
          </c:spPr>
          <c:invertIfNegative val="0"/>
          <c:cat>
            <c:strRef>
              <c:f>'Visualisation Dashboard'!$AJ$174:$AJ$183</c:f>
              <c:strCache>
                <c:ptCount val="10"/>
                <c:pt idx="0">
                  <c:v>Distribution</c:v>
                </c:pt>
                <c:pt idx="1">
                  <c:v>Transmission</c:v>
                </c:pt>
                <c:pt idx="2">
                  <c:v>Non-Renewable</c:v>
                </c:pt>
                <c:pt idx="3">
                  <c:v>Wind</c:v>
                </c:pt>
                <c:pt idx="4">
                  <c:v>Oil</c:v>
                </c:pt>
                <c:pt idx="5">
                  <c:v>Solar</c:v>
                </c:pt>
                <c:pt idx="6">
                  <c:v>Geothermal</c:v>
                </c:pt>
                <c:pt idx="7">
                  <c:v>Hydro</c:v>
                </c:pt>
                <c:pt idx="8">
                  <c:v>Biomass</c:v>
                </c:pt>
                <c:pt idx="9">
                  <c:v>Battery</c:v>
                </c:pt>
              </c:strCache>
            </c:strRef>
          </c:cat>
          <c:val>
            <c:numRef>
              <c:f>'Visualisation Dashboard'!$AK$174:$AK$183</c:f>
              <c:numCache>
                <c:formatCode>0.0%</c:formatCode>
                <c:ptCount val="10"/>
                <c:pt idx="0">
                  <c:v>0.97386622479377682</c:v>
                </c:pt>
                <c:pt idx="1">
                  <c:v>0.86732800619539707</c:v>
                </c:pt>
                <c:pt idx="2">
                  <c:v>0.85078791858174663</c:v>
                </c:pt>
                <c:pt idx="3">
                  <c:v>0.79958468482383405</c:v>
                </c:pt>
                <c:pt idx="4">
                  <c:v>0.75</c:v>
                </c:pt>
                <c:pt idx="5">
                  <c:v>0.74919702436065261</c:v>
                </c:pt>
                <c:pt idx="6">
                  <c:v>0.74420221596402669</c:v>
                </c:pt>
                <c:pt idx="7">
                  <c:v>0.64252336448598135</c:v>
                </c:pt>
                <c:pt idx="8">
                  <c:v>0.61572052401746724</c:v>
                </c:pt>
                <c:pt idx="9">
                  <c:v>0</c:v>
                </c:pt>
              </c:numCache>
            </c:numRef>
          </c:val>
          <c:extLst>
            <c:ext xmlns:c16="http://schemas.microsoft.com/office/drawing/2014/chart" uri="{C3380CC4-5D6E-409C-BE32-E72D297353CC}">
              <c16:uniqueId val="{00000000-6F10-4C1C-9690-4C4AF1FAEF83}"/>
            </c:ext>
          </c:extLst>
        </c:ser>
        <c:ser>
          <c:idx val="1"/>
          <c:order val="1"/>
          <c:tx>
            <c:strRef>
              <c:f>'Visualisation Dashboard'!$AL$173</c:f>
              <c:strCache>
                <c:ptCount val="1"/>
                <c:pt idx="0">
                  <c:v>Equity</c:v>
                </c:pt>
              </c:strCache>
            </c:strRef>
          </c:tx>
          <c:spPr>
            <a:solidFill>
              <a:schemeClr val="accent1">
                <a:lumMod val="75000"/>
              </a:schemeClr>
            </a:solidFill>
            <a:ln>
              <a:solidFill>
                <a:schemeClr val="tx1"/>
              </a:solidFill>
            </a:ln>
            <a:effectLst/>
          </c:spPr>
          <c:invertIfNegative val="0"/>
          <c:cat>
            <c:strRef>
              <c:f>'Visualisation Dashboard'!$AJ$174:$AJ$183</c:f>
              <c:strCache>
                <c:ptCount val="10"/>
                <c:pt idx="0">
                  <c:v>Distribution</c:v>
                </c:pt>
                <c:pt idx="1">
                  <c:v>Transmission</c:v>
                </c:pt>
                <c:pt idx="2">
                  <c:v>Non-Renewable</c:v>
                </c:pt>
                <c:pt idx="3">
                  <c:v>Wind</c:v>
                </c:pt>
                <c:pt idx="4">
                  <c:v>Oil</c:v>
                </c:pt>
                <c:pt idx="5">
                  <c:v>Solar</c:v>
                </c:pt>
                <c:pt idx="6">
                  <c:v>Geothermal</c:v>
                </c:pt>
                <c:pt idx="7">
                  <c:v>Hydro</c:v>
                </c:pt>
                <c:pt idx="8">
                  <c:v>Biomass</c:v>
                </c:pt>
                <c:pt idx="9">
                  <c:v>Battery</c:v>
                </c:pt>
              </c:strCache>
            </c:strRef>
          </c:cat>
          <c:val>
            <c:numRef>
              <c:f>'Visualisation Dashboard'!$AL$174:$AL$183</c:f>
              <c:numCache>
                <c:formatCode>0.0%</c:formatCode>
                <c:ptCount val="10"/>
                <c:pt idx="0">
                  <c:v>2.6133775206223168E-2</c:v>
                </c:pt>
                <c:pt idx="1">
                  <c:v>0.13267199380460296</c:v>
                </c:pt>
                <c:pt idx="2">
                  <c:v>0.14921208141825346</c:v>
                </c:pt>
                <c:pt idx="3">
                  <c:v>0.20041531517616565</c:v>
                </c:pt>
                <c:pt idx="4">
                  <c:v>0.25</c:v>
                </c:pt>
                <c:pt idx="5">
                  <c:v>0.25080297563934734</c:v>
                </c:pt>
                <c:pt idx="6">
                  <c:v>0.25579778403597309</c:v>
                </c:pt>
                <c:pt idx="7">
                  <c:v>0.35747663551401876</c:v>
                </c:pt>
                <c:pt idx="8">
                  <c:v>0.38427947598253276</c:v>
                </c:pt>
                <c:pt idx="9">
                  <c:v>1</c:v>
                </c:pt>
              </c:numCache>
            </c:numRef>
          </c:val>
          <c:extLst>
            <c:ext xmlns:c16="http://schemas.microsoft.com/office/drawing/2014/chart" uri="{C3380CC4-5D6E-409C-BE32-E72D297353CC}">
              <c16:uniqueId val="{00000001-6F10-4C1C-9690-4C4AF1FAEF83}"/>
            </c:ext>
          </c:extLst>
        </c:ser>
        <c:dLbls>
          <c:showLegendKey val="0"/>
          <c:showVal val="0"/>
          <c:showCatName val="0"/>
          <c:showSerName val="0"/>
          <c:showPercent val="0"/>
          <c:showBubbleSize val="0"/>
        </c:dLbls>
        <c:gapWidth val="150"/>
        <c:overlap val="100"/>
        <c:axId val="969783647"/>
        <c:axId val="969784127"/>
      </c:barChart>
      <c:catAx>
        <c:axId val="96978364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600" b="0" i="0" u="none" strike="noStrike" kern="1200" baseline="0">
                <a:solidFill>
                  <a:sysClr val="windowText" lastClr="000000"/>
                </a:solidFill>
                <a:latin typeface="+mn-lt"/>
                <a:ea typeface="+mn-ea"/>
                <a:cs typeface="+mn-cs"/>
              </a:defRPr>
            </a:pPr>
            <a:endParaRPr lang="en-US"/>
          </a:p>
        </c:txPr>
        <c:crossAx val="969784127"/>
        <c:crosses val="autoZero"/>
        <c:auto val="1"/>
        <c:lblAlgn val="ctr"/>
        <c:lblOffset val="100"/>
        <c:noMultiLvlLbl val="0"/>
      </c:catAx>
      <c:valAx>
        <c:axId val="969784127"/>
        <c:scaling>
          <c:orientation val="minMax"/>
          <c:max val="1"/>
        </c:scaling>
        <c:delete val="0"/>
        <c:axPos val="b"/>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800" b="0" i="0" u="none" strike="noStrike" kern="1200" baseline="0">
                <a:solidFill>
                  <a:sysClr val="windowText" lastClr="000000"/>
                </a:solidFill>
                <a:latin typeface="+mn-lt"/>
                <a:ea typeface="+mn-ea"/>
                <a:cs typeface="+mn-cs"/>
              </a:defRPr>
            </a:pPr>
            <a:endParaRPr lang="en-US"/>
          </a:p>
        </c:txPr>
        <c:crossAx val="969783647"/>
        <c:crosses val="autoZero"/>
        <c:crossBetween val="between"/>
      </c:valAx>
      <c:spPr>
        <a:noFill/>
        <a:ln>
          <a:noFill/>
        </a:ln>
        <a:effectLst/>
      </c:spPr>
    </c:plotArea>
    <c:legend>
      <c:legendPos val="b"/>
      <c:layout>
        <c:manualLayout>
          <c:xMode val="edge"/>
          <c:yMode val="edge"/>
          <c:x val="0.66241418499831783"/>
          <c:y val="0.10135731222875623"/>
          <c:w val="0.31685660623861905"/>
          <c:h val="6.2587939048852709E-2"/>
        </c:manualLayout>
      </c:layout>
      <c:overlay val="0"/>
      <c:spPr>
        <a:noFill/>
        <a:ln>
          <a:noFill/>
        </a:ln>
        <a:effectLst/>
      </c:spPr>
      <c:txPr>
        <a:bodyPr rot="0" spcFirstLastPara="1" vertOverflow="ellipsis" vert="horz" wrap="square" anchor="ctr" anchorCtr="1"/>
        <a:lstStyle/>
        <a:p>
          <a:pPr>
            <a:defRPr sz="1800" b="0" i="0" u="none" strike="noStrike" kern="1200" baseline="0">
              <a:solidFill>
                <a:sysClr val="windowText" lastClr="000000"/>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ja-JP" sz="1920" b="0" i="0" u="none" strike="noStrike" kern="1200" spc="0" baseline="0">
                <a:solidFill>
                  <a:schemeClr val="tx1"/>
                </a:solidFill>
                <a:latin typeface="+mn-lt"/>
                <a:ea typeface="+mn-ea"/>
                <a:cs typeface="+mn-cs"/>
              </a:defRPr>
            </a:pPr>
            <a:r>
              <a:rPr lang="en-GB"/>
              <a:t>MinFin Projections Relative to GDP</a:t>
            </a:r>
          </a:p>
        </c:rich>
      </c:tx>
      <c:overlay val="0"/>
      <c:spPr>
        <a:noFill/>
        <a:ln>
          <a:noFill/>
        </a:ln>
        <a:effectLst/>
      </c:spPr>
      <c:txPr>
        <a:bodyPr rot="0" spcFirstLastPara="1" vertOverflow="ellipsis" vert="horz" wrap="square" anchor="ctr" anchorCtr="1"/>
        <a:lstStyle/>
        <a:p>
          <a:pPr>
            <a:defRPr lang="ja-JP" sz="1920" b="0" i="0" u="none" strike="noStrike" kern="1200" spc="0" baseline="0">
              <a:solidFill>
                <a:schemeClr val="tx1"/>
              </a:solidFill>
              <a:latin typeface="+mn-lt"/>
              <a:ea typeface="+mn-ea"/>
              <a:cs typeface="+mn-cs"/>
            </a:defRPr>
          </a:pPr>
          <a:endParaRPr lang="en-US"/>
        </a:p>
      </c:txPr>
    </c:title>
    <c:autoTitleDeleted val="0"/>
    <c:plotArea>
      <c:layout/>
      <c:lineChart>
        <c:grouping val="standard"/>
        <c:varyColors val="0"/>
        <c:ser>
          <c:idx val="0"/>
          <c:order val="0"/>
          <c:tx>
            <c:v>Financing requirement</c:v>
          </c:tx>
          <c:spPr>
            <a:ln w="28575" cap="rnd">
              <a:solidFill>
                <a:srgbClr val="FF0000"/>
              </a:solidFill>
              <a:round/>
            </a:ln>
            <a:effectLst/>
          </c:spPr>
          <c:marker>
            <c:symbol val="none"/>
          </c:marker>
          <c:cat>
            <c:numRef>
              <c:f>'High Level Dashboard'!$B$64:$AU$64</c:f>
              <c:numCache>
                <c:formatCode>General</c:formatCode>
                <c:ptCount val="46"/>
                <c:pt idx="0">
                  <c:v>2025</c:v>
                </c:pt>
                <c:pt idx="1">
                  <c:v>2026</c:v>
                </c:pt>
                <c:pt idx="2">
                  <c:v>2027</c:v>
                </c:pt>
                <c:pt idx="3">
                  <c:v>2028</c:v>
                </c:pt>
                <c:pt idx="4">
                  <c:v>2029</c:v>
                </c:pt>
                <c:pt idx="5">
                  <c:v>2030</c:v>
                </c:pt>
                <c:pt idx="6">
                  <c:v>2031</c:v>
                </c:pt>
                <c:pt idx="7">
                  <c:v>2032</c:v>
                </c:pt>
                <c:pt idx="8">
                  <c:v>2033</c:v>
                </c:pt>
                <c:pt idx="9">
                  <c:v>2034</c:v>
                </c:pt>
                <c:pt idx="10">
                  <c:v>2035</c:v>
                </c:pt>
                <c:pt idx="11">
                  <c:v>2036</c:v>
                </c:pt>
                <c:pt idx="12">
                  <c:v>2037</c:v>
                </c:pt>
                <c:pt idx="13">
                  <c:v>2038</c:v>
                </c:pt>
                <c:pt idx="14">
                  <c:v>2039</c:v>
                </c:pt>
                <c:pt idx="15">
                  <c:v>2040</c:v>
                </c:pt>
                <c:pt idx="16">
                  <c:v>2041</c:v>
                </c:pt>
                <c:pt idx="17">
                  <c:v>2042</c:v>
                </c:pt>
                <c:pt idx="18">
                  <c:v>2043</c:v>
                </c:pt>
                <c:pt idx="19">
                  <c:v>2044</c:v>
                </c:pt>
                <c:pt idx="20">
                  <c:v>2045</c:v>
                </c:pt>
                <c:pt idx="21">
                  <c:v>2046</c:v>
                </c:pt>
                <c:pt idx="22">
                  <c:v>2047</c:v>
                </c:pt>
                <c:pt idx="23">
                  <c:v>2048</c:v>
                </c:pt>
                <c:pt idx="24">
                  <c:v>2049</c:v>
                </c:pt>
                <c:pt idx="25">
                  <c:v>2050</c:v>
                </c:pt>
                <c:pt idx="26">
                  <c:v>2051</c:v>
                </c:pt>
                <c:pt idx="27">
                  <c:v>2052</c:v>
                </c:pt>
                <c:pt idx="28">
                  <c:v>2053</c:v>
                </c:pt>
                <c:pt idx="29">
                  <c:v>2054</c:v>
                </c:pt>
                <c:pt idx="30">
                  <c:v>2055</c:v>
                </c:pt>
                <c:pt idx="31">
                  <c:v>2056</c:v>
                </c:pt>
                <c:pt idx="32">
                  <c:v>2057</c:v>
                </c:pt>
                <c:pt idx="33">
                  <c:v>2058</c:v>
                </c:pt>
                <c:pt idx="34">
                  <c:v>2059</c:v>
                </c:pt>
                <c:pt idx="35">
                  <c:v>2060</c:v>
                </c:pt>
                <c:pt idx="36">
                  <c:v>2061</c:v>
                </c:pt>
                <c:pt idx="37">
                  <c:v>2062</c:v>
                </c:pt>
                <c:pt idx="38">
                  <c:v>2063</c:v>
                </c:pt>
                <c:pt idx="39">
                  <c:v>2064</c:v>
                </c:pt>
                <c:pt idx="40">
                  <c:v>2065</c:v>
                </c:pt>
                <c:pt idx="41">
                  <c:v>2066</c:v>
                </c:pt>
                <c:pt idx="42">
                  <c:v>2067</c:v>
                </c:pt>
                <c:pt idx="43">
                  <c:v>2068</c:v>
                </c:pt>
                <c:pt idx="44">
                  <c:v>2069</c:v>
                </c:pt>
                <c:pt idx="45">
                  <c:v>2070</c:v>
                </c:pt>
              </c:numCache>
            </c:numRef>
          </c:cat>
          <c:val>
            <c:numRef>
              <c:f>'High Level Dashboard'!$B$133:$AU$133</c:f>
              <c:numCache>
                <c:formatCode>0.00%</c:formatCode>
                <c:ptCount val="46"/>
                <c:pt idx="0">
                  <c:v>8.5917292367772274E-3</c:v>
                </c:pt>
                <c:pt idx="1">
                  <c:v>8.6135215782058693E-3</c:v>
                </c:pt>
                <c:pt idx="2">
                  <c:v>8.4363619865743481E-3</c:v>
                </c:pt>
                <c:pt idx="3">
                  <c:v>8.2040567902135191E-3</c:v>
                </c:pt>
                <c:pt idx="4">
                  <c:v>7.9540537945599205E-3</c:v>
                </c:pt>
                <c:pt idx="5">
                  <c:v>7.8168339415684383E-3</c:v>
                </c:pt>
                <c:pt idx="6">
                  <c:v>7.9117468677579236E-3</c:v>
                </c:pt>
                <c:pt idx="7">
                  <c:v>7.7039059798352958E-3</c:v>
                </c:pt>
                <c:pt idx="8">
                  <c:v>7.3965623817371182E-3</c:v>
                </c:pt>
                <c:pt idx="9">
                  <c:v>7.3236749285696991E-3</c:v>
                </c:pt>
                <c:pt idx="10">
                  <c:v>7.3077955545482352E-3</c:v>
                </c:pt>
                <c:pt idx="11">
                  <c:v>7.2075998241753099E-3</c:v>
                </c:pt>
                <c:pt idx="12">
                  <c:v>6.6797170068860975E-3</c:v>
                </c:pt>
                <c:pt idx="13">
                  <c:v>6.3676853045953018E-3</c:v>
                </c:pt>
                <c:pt idx="14">
                  <c:v>6.4115578364993464E-3</c:v>
                </c:pt>
                <c:pt idx="15">
                  <c:v>6.4921108380100387E-3</c:v>
                </c:pt>
                <c:pt idx="16">
                  <c:v>6.5762586145427411E-3</c:v>
                </c:pt>
                <c:pt idx="17">
                  <c:v>6.6241437906638502E-3</c:v>
                </c:pt>
                <c:pt idx="18">
                  <c:v>6.4664077204297093E-3</c:v>
                </c:pt>
                <c:pt idx="19">
                  <c:v>6.2525641820223681E-3</c:v>
                </c:pt>
                <c:pt idx="20">
                  <c:v>6.2816599439645604E-3</c:v>
                </c:pt>
                <c:pt idx="21">
                  <c:v>6.3897927281852023E-3</c:v>
                </c:pt>
                <c:pt idx="22">
                  <c:v>6.3813636546565739E-3</c:v>
                </c:pt>
                <c:pt idx="23">
                  <c:v>6.3485329729690374E-3</c:v>
                </c:pt>
                <c:pt idx="24">
                  <c:v>6.3602469682617537E-3</c:v>
                </c:pt>
                <c:pt idx="25">
                  <c:v>6.4203373258576394E-3</c:v>
                </c:pt>
                <c:pt idx="26">
                  <c:v>6.3933596595899759E-3</c:v>
                </c:pt>
                <c:pt idx="27">
                  <c:v>6.3296068870295442E-3</c:v>
                </c:pt>
                <c:pt idx="28">
                  <c:v>6.2136339888111463E-3</c:v>
                </c:pt>
                <c:pt idx="29">
                  <c:v>6.2017066354719532E-3</c:v>
                </c:pt>
                <c:pt idx="30">
                  <c:v>6.0848927294101587E-3</c:v>
                </c:pt>
                <c:pt idx="31">
                  <c:v>5.9555362726063706E-3</c:v>
                </c:pt>
                <c:pt idx="32">
                  <c:v>5.8264319336619654E-3</c:v>
                </c:pt>
                <c:pt idx="33">
                  <c:v>5.696333394241593E-3</c:v>
                </c:pt>
                <c:pt idx="34">
                  <c:v>5.582691445279106E-3</c:v>
                </c:pt>
                <c:pt idx="35">
                  <c:v>5.4735152873746197E-3</c:v>
                </c:pt>
                <c:pt idx="36">
                  <c:v>5.3411363499079227E-3</c:v>
                </c:pt>
                <c:pt idx="37">
                  <c:v>5.2064272855549846E-3</c:v>
                </c:pt>
                <c:pt idx="38">
                  <c:v>5.0126458721659996E-3</c:v>
                </c:pt>
                <c:pt idx="39">
                  <c:v>4.8762579671633131E-3</c:v>
                </c:pt>
                <c:pt idx="40">
                  <c:v>4.7660765716312798E-3</c:v>
                </c:pt>
                <c:pt idx="41">
                  <c:v>4.6180501243535156E-3</c:v>
                </c:pt>
                <c:pt idx="42">
                  <c:v>4.4376972981978544E-3</c:v>
                </c:pt>
                <c:pt idx="43">
                  <c:v>4.2602865839703168E-3</c:v>
                </c:pt>
                <c:pt idx="44">
                  <c:v>4.1206319983230306E-3</c:v>
                </c:pt>
                <c:pt idx="45">
                  <c:v>3.994009409412482E-3</c:v>
                </c:pt>
              </c:numCache>
            </c:numRef>
          </c:val>
          <c:smooth val="0"/>
          <c:extLst>
            <c:ext xmlns:c16="http://schemas.microsoft.com/office/drawing/2014/chart" uri="{C3380CC4-5D6E-409C-BE32-E72D297353CC}">
              <c16:uniqueId val="{00000000-6DF7-374C-9514-6F19561F31EF}"/>
            </c:ext>
          </c:extLst>
        </c:ser>
        <c:ser>
          <c:idx val="1"/>
          <c:order val="1"/>
          <c:tx>
            <c:v>Funding availability</c:v>
          </c:tx>
          <c:spPr>
            <a:ln w="28575" cap="rnd">
              <a:solidFill>
                <a:srgbClr val="05B051"/>
              </a:solidFill>
              <a:round/>
            </a:ln>
            <a:effectLst/>
          </c:spPr>
          <c:marker>
            <c:symbol val="none"/>
          </c:marker>
          <c:cat>
            <c:numRef>
              <c:f>'High Level Dashboard'!$B$64:$AU$64</c:f>
              <c:numCache>
                <c:formatCode>General</c:formatCode>
                <c:ptCount val="46"/>
                <c:pt idx="0">
                  <c:v>2025</c:v>
                </c:pt>
                <c:pt idx="1">
                  <c:v>2026</c:v>
                </c:pt>
                <c:pt idx="2">
                  <c:v>2027</c:v>
                </c:pt>
                <c:pt idx="3">
                  <c:v>2028</c:v>
                </c:pt>
                <c:pt idx="4">
                  <c:v>2029</c:v>
                </c:pt>
                <c:pt idx="5">
                  <c:v>2030</c:v>
                </c:pt>
                <c:pt idx="6">
                  <c:v>2031</c:v>
                </c:pt>
                <c:pt idx="7">
                  <c:v>2032</c:v>
                </c:pt>
                <c:pt idx="8">
                  <c:v>2033</c:v>
                </c:pt>
                <c:pt idx="9">
                  <c:v>2034</c:v>
                </c:pt>
                <c:pt idx="10">
                  <c:v>2035</c:v>
                </c:pt>
                <c:pt idx="11">
                  <c:v>2036</c:v>
                </c:pt>
                <c:pt idx="12">
                  <c:v>2037</c:v>
                </c:pt>
                <c:pt idx="13">
                  <c:v>2038</c:v>
                </c:pt>
                <c:pt idx="14">
                  <c:v>2039</c:v>
                </c:pt>
                <c:pt idx="15">
                  <c:v>2040</c:v>
                </c:pt>
                <c:pt idx="16">
                  <c:v>2041</c:v>
                </c:pt>
                <c:pt idx="17">
                  <c:v>2042</c:v>
                </c:pt>
                <c:pt idx="18">
                  <c:v>2043</c:v>
                </c:pt>
                <c:pt idx="19">
                  <c:v>2044</c:v>
                </c:pt>
                <c:pt idx="20">
                  <c:v>2045</c:v>
                </c:pt>
                <c:pt idx="21">
                  <c:v>2046</c:v>
                </c:pt>
                <c:pt idx="22">
                  <c:v>2047</c:v>
                </c:pt>
                <c:pt idx="23">
                  <c:v>2048</c:v>
                </c:pt>
                <c:pt idx="24">
                  <c:v>2049</c:v>
                </c:pt>
                <c:pt idx="25">
                  <c:v>2050</c:v>
                </c:pt>
                <c:pt idx="26">
                  <c:v>2051</c:v>
                </c:pt>
                <c:pt idx="27">
                  <c:v>2052</c:v>
                </c:pt>
                <c:pt idx="28">
                  <c:v>2053</c:v>
                </c:pt>
                <c:pt idx="29">
                  <c:v>2054</c:v>
                </c:pt>
                <c:pt idx="30">
                  <c:v>2055</c:v>
                </c:pt>
                <c:pt idx="31">
                  <c:v>2056</c:v>
                </c:pt>
                <c:pt idx="32">
                  <c:v>2057</c:v>
                </c:pt>
                <c:pt idx="33">
                  <c:v>2058</c:v>
                </c:pt>
                <c:pt idx="34">
                  <c:v>2059</c:v>
                </c:pt>
                <c:pt idx="35">
                  <c:v>2060</c:v>
                </c:pt>
                <c:pt idx="36">
                  <c:v>2061</c:v>
                </c:pt>
                <c:pt idx="37">
                  <c:v>2062</c:v>
                </c:pt>
                <c:pt idx="38">
                  <c:v>2063</c:v>
                </c:pt>
                <c:pt idx="39">
                  <c:v>2064</c:v>
                </c:pt>
                <c:pt idx="40">
                  <c:v>2065</c:v>
                </c:pt>
                <c:pt idx="41">
                  <c:v>2066</c:v>
                </c:pt>
                <c:pt idx="42">
                  <c:v>2067</c:v>
                </c:pt>
                <c:pt idx="43">
                  <c:v>2068</c:v>
                </c:pt>
                <c:pt idx="44">
                  <c:v>2069</c:v>
                </c:pt>
                <c:pt idx="45">
                  <c:v>2070</c:v>
                </c:pt>
              </c:numCache>
            </c:numRef>
          </c:cat>
          <c:val>
            <c:numRef>
              <c:f>'High Level Dashboard'!$B$134:$AU$134</c:f>
              <c:numCache>
                <c:formatCode>0.00%</c:formatCode>
                <c:ptCount val="4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numCache>
            </c:numRef>
          </c:val>
          <c:smooth val="0"/>
          <c:extLst>
            <c:ext xmlns:c16="http://schemas.microsoft.com/office/drawing/2014/chart" uri="{C3380CC4-5D6E-409C-BE32-E72D297353CC}">
              <c16:uniqueId val="{00000001-6DF7-374C-9514-6F19561F31EF}"/>
            </c:ext>
          </c:extLst>
        </c:ser>
        <c:dLbls>
          <c:showLegendKey val="0"/>
          <c:showVal val="0"/>
          <c:showCatName val="0"/>
          <c:showSerName val="0"/>
          <c:showPercent val="0"/>
          <c:showBubbleSize val="0"/>
        </c:dLbls>
        <c:smooth val="0"/>
        <c:axId val="1201389352"/>
        <c:axId val="1201391648"/>
      </c:lineChart>
      <c:catAx>
        <c:axId val="1201389352"/>
        <c:scaling>
          <c:orientation val="minMax"/>
        </c:scaling>
        <c:delete val="0"/>
        <c:axPos val="b"/>
        <c:title>
          <c:tx>
            <c:rich>
              <a:bodyPr rot="0" spcFirstLastPara="1" vertOverflow="ellipsis" vert="horz" wrap="square" anchor="ctr" anchorCtr="1"/>
              <a:lstStyle/>
              <a:p>
                <a:pPr>
                  <a:defRPr lang="ja-JP" sz="1600" b="0" i="0" u="none" strike="noStrike" kern="1200" baseline="0">
                    <a:solidFill>
                      <a:schemeClr val="tx1"/>
                    </a:solidFill>
                    <a:latin typeface="+mn-lt"/>
                    <a:ea typeface="+mn-ea"/>
                    <a:cs typeface="+mn-cs"/>
                  </a:defRPr>
                </a:pPr>
                <a:r>
                  <a:rPr lang="en-GB"/>
                  <a:t>Year</a:t>
                </a:r>
              </a:p>
            </c:rich>
          </c:tx>
          <c:overlay val="0"/>
          <c:spPr>
            <a:noFill/>
            <a:ln>
              <a:noFill/>
            </a:ln>
            <a:effectLst/>
          </c:spPr>
          <c:txPr>
            <a:bodyPr rot="0" spcFirstLastPara="1" vertOverflow="ellipsis" vert="horz" wrap="square" anchor="ctr" anchorCtr="1"/>
            <a:lstStyle/>
            <a:p>
              <a:pPr>
                <a:defRPr lang="ja-JP" sz="1600" b="0" i="0"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ja-JP" sz="1600" b="0" i="0" u="none" strike="noStrike" kern="1200" baseline="0">
                <a:solidFill>
                  <a:schemeClr val="tx1"/>
                </a:solidFill>
                <a:latin typeface="+mn-lt"/>
                <a:ea typeface="+mn-ea"/>
                <a:cs typeface="+mn-cs"/>
              </a:defRPr>
            </a:pPr>
            <a:endParaRPr lang="en-US"/>
          </a:p>
        </c:txPr>
        <c:crossAx val="1201391648"/>
        <c:crosses val="autoZero"/>
        <c:auto val="1"/>
        <c:lblAlgn val="ctr"/>
        <c:lblOffset val="100"/>
        <c:tickLblSkip val="5"/>
        <c:noMultiLvlLbl val="0"/>
      </c:catAx>
      <c:valAx>
        <c:axId val="120139164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lang="ja-JP" sz="1600" b="0" i="0" u="none" strike="noStrike" kern="1200" baseline="0">
                    <a:solidFill>
                      <a:schemeClr val="tx1"/>
                    </a:solidFill>
                    <a:latin typeface="+mn-lt"/>
                    <a:ea typeface="+mn-ea"/>
                    <a:cs typeface="+mn-cs"/>
                  </a:defRPr>
                </a:pPr>
                <a:r>
                  <a:rPr lang="en-GB"/>
                  <a:t>% of GDP</a:t>
                </a:r>
              </a:p>
            </c:rich>
          </c:tx>
          <c:overlay val="0"/>
          <c:spPr>
            <a:noFill/>
            <a:ln>
              <a:noFill/>
            </a:ln>
            <a:effectLst/>
          </c:spPr>
          <c:txPr>
            <a:bodyPr rot="-5400000" spcFirstLastPara="1" vertOverflow="ellipsis" vert="horz" wrap="square" anchor="ctr" anchorCtr="1"/>
            <a:lstStyle/>
            <a:p>
              <a:pPr>
                <a:defRPr lang="ja-JP" sz="1600" b="0" i="0" u="none" strike="noStrike" kern="1200" baseline="0">
                  <a:solidFill>
                    <a:schemeClr val="tx1"/>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lang="ja-JP" sz="1600" b="0" i="0" u="none" strike="noStrike" kern="1200" baseline="0">
                <a:solidFill>
                  <a:schemeClr val="tx1"/>
                </a:solidFill>
                <a:latin typeface="+mn-lt"/>
                <a:ea typeface="+mn-ea"/>
                <a:cs typeface="+mn-cs"/>
              </a:defRPr>
            </a:pPr>
            <a:endParaRPr lang="en-US"/>
          </a:p>
        </c:txPr>
        <c:crossAx val="1201389352"/>
        <c:crosses val="autoZero"/>
        <c:crossBetween val="between"/>
      </c:valAx>
      <c:spPr>
        <a:noFill/>
        <a:ln>
          <a:noFill/>
        </a:ln>
        <a:effectLst/>
      </c:spPr>
    </c:plotArea>
    <c:legend>
      <c:legendPos val="b"/>
      <c:layout>
        <c:manualLayout>
          <c:xMode val="edge"/>
          <c:yMode val="edge"/>
          <c:x val="6.1906386701662292E-2"/>
          <c:y val="0.88483741615631384"/>
          <c:w val="0.75079923973366391"/>
          <c:h val="7.532806692266461E-2"/>
        </c:manualLayout>
      </c:layout>
      <c:overlay val="0"/>
      <c:spPr>
        <a:noFill/>
        <a:ln>
          <a:noFill/>
        </a:ln>
        <a:effectLst/>
      </c:spPr>
      <c:txPr>
        <a:bodyPr rot="0" spcFirstLastPara="1" vertOverflow="ellipsis" vert="horz" wrap="square" anchor="ctr" anchorCtr="1"/>
        <a:lstStyle/>
        <a:p>
          <a:pPr>
            <a:defRPr lang="ja-JP" sz="1600" b="0" i="0" u="none" strike="noStrike" kern="1200" baseline="0">
              <a:solidFill>
                <a:schemeClr val="tx1"/>
              </a:solidFill>
              <a:latin typeface="+mn-lt"/>
              <a:ea typeface="+mn-ea"/>
              <a:cs typeface="+mn-cs"/>
            </a:defRPr>
          </a:pPr>
          <a:endParaRPr lang="en-US"/>
        </a:p>
      </c:txPr>
    </c:legend>
    <c:plotVisOnly val="1"/>
    <c:dispBlanksAs val="gap"/>
    <c:showDLblsOverMax val="0"/>
  </c:chart>
  <c:spPr>
    <a:solidFill>
      <a:schemeClr val="bg1"/>
    </a:solidFill>
    <a:ln w="9525" cap="flat" cmpd="sng" algn="ctr">
      <a:noFill/>
      <a:round/>
    </a:ln>
    <a:effectLst/>
  </c:spPr>
  <c:txPr>
    <a:bodyPr/>
    <a:lstStyle/>
    <a:p>
      <a:pPr>
        <a:defRPr sz="1600">
          <a:solidFill>
            <a:schemeClr val="tx1"/>
          </a:solidFill>
        </a:defRPr>
      </a:pPr>
      <a:endParaRPr lang="en-US"/>
    </a:p>
  </c:txPr>
  <c:printSettings>
    <c:headerFooter/>
    <c:pageMargins b="0.75" l="0.7" r="0.7" t="0.75" header="0.3" footer="0.3"/>
    <c:pageSetup/>
  </c:printSettings>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ja-JP" sz="1920" b="0" i="0" u="none" strike="noStrike" kern="1200" spc="0" baseline="0">
                <a:solidFill>
                  <a:schemeClr val="tx1"/>
                </a:solidFill>
                <a:latin typeface="+mn-lt"/>
                <a:ea typeface="+mn-ea"/>
                <a:cs typeface="+mn-cs"/>
              </a:defRPr>
            </a:pPr>
            <a:r>
              <a:rPr lang="en-GB"/>
              <a:t>MinFin Projections in Absolute</a:t>
            </a:r>
            <a:r>
              <a:rPr lang="en-GB" baseline="0"/>
              <a:t> Terms</a:t>
            </a:r>
            <a:endParaRPr lang="en-GB"/>
          </a:p>
        </c:rich>
      </c:tx>
      <c:overlay val="0"/>
      <c:spPr>
        <a:noFill/>
        <a:ln>
          <a:noFill/>
        </a:ln>
        <a:effectLst/>
      </c:spPr>
      <c:txPr>
        <a:bodyPr rot="0" spcFirstLastPara="1" vertOverflow="ellipsis" vert="horz" wrap="square" anchor="ctr" anchorCtr="1"/>
        <a:lstStyle/>
        <a:p>
          <a:pPr>
            <a:defRPr lang="ja-JP" sz="1920" b="0" i="0" u="none" strike="noStrike" kern="1200" spc="0" baseline="0">
              <a:solidFill>
                <a:schemeClr val="tx1"/>
              </a:solidFill>
              <a:latin typeface="+mn-lt"/>
              <a:ea typeface="+mn-ea"/>
              <a:cs typeface="+mn-cs"/>
            </a:defRPr>
          </a:pPr>
          <a:endParaRPr lang="en-GB"/>
        </a:p>
      </c:txPr>
    </c:title>
    <c:autoTitleDeleted val="0"/>
    <c:plotArea>
      <c:layout/>
      <c:lineChart>
        <c:grouping val="standard"/>
        <c:varyColors val="0"/>
        <c:ser>
          <c:idx val="1"/>
          <c:order val="0"/>
          <c:tx>
            <c:strRef>
              <c:f>'High Level Dashboard'!$A$66</c:f>
              <c:strCache>
                <c:ptCount val="1"/>
                <c:pt idx="0">
                  <c:v>Funding availability with Interest Rate (Million USD)</c:v>
                </c:pt>
              </c:strCache>
              <c:extLst xmlns:c15="http://schemas.microsoft.com/office/drawing/2012/chart"/>
            </c:strRef>
          </c:tx>
          <c:spPr>
            <a:ln w="28575" cap="rnd">
              <a:solidFill>
                <a:srgbClr val="92D050"/>
              </a:solidFill>
              <a:round/>
            </a:ln>
            <a:effectLst/>
          </c:spPr>
          <c:marker>
            <c:symbol val="none"/>
          </c:marker>
          <c:cat>
            <c:numRef>
              <c:f>'High Level Dashboard'!$B$64:$AU$64</c:f>
              <c:numCache>
                <c:formatCode>General</c:formatCode>
                <c:ptCount val="46"/>
                <c:pt idx="0">
                  <c:v>2025</c:v>
                </c:pt>
                <c:pt idx="1">
                  <c:v>2026</c:v>
                </c:pt>
                <c:pt idx="2">
                  <c:v>2027</c:v>
                </c:pt>
                <c:pt idx="3">
                  <c:v>2028</c:v>
                </c:pt>
                <c:pt idx="4">
                  <c:v>2029</c:v>
                </c:pt>
                <c:pt idx="5">
                  <c:v>2030</c:v>
                </c:pt>
                <c:pt idx="6">
                  <c:v>2031</c:v>
                </c:pt>
                <c:pt idx="7">
                  <c:v>2032</c:v>
                </c:pt>
                <c:pt idx="8">
                  <c:v>2033</c:v>
                </c:pt>
                <c:pt idx="9">
                  <c:v>2034</c:v>
                </c:pt>
                <c:pt idx="10">
                  <c:v>2035</c:v>
                </c:pt>
                <c:pt idx="11">
                  <c:v>2036</c:v>
                </c:pt>
                <c:pt idx="12">
                  <c:v>2037</c:v>
                </c:pt>
                <c:pt idx="13">
                  <c:v>2038</c:v>
                </c:pt>
                <c:pt idx="14">
                  <c:v>2039</c:v>
                </c:pt>
                <c:pt idx="15">
                  <c:v>2040</c:v>
                </c:pt>
                <c:pt idx="16">
                  <c:v>2041</c:v>
                </c:pt>
                <c:pt idx="17">
                  <c:v>2042</c:v>
                </c:pt>
                <c:pt idx="18">
                  <c:v>2043</c:v>
                </c:pt>
                <c:pt idx="19">
                  <c:v>2044</c:v>
                </c:pt>
                <c:pt idx="20">
                  <c:v>2045</c:v>
                </c:pt>
                <c:pt idx="21">
                  <c:v>2046</c:v>
                </c:pt>
                <c:pt idx="22">
                  <c:v>2047</c:v>
                </c:pt>
                <c:pt idx="23">
                  <c:v>2048</c:v>
                </c:pt>
                <c:pt idx="24">
                  <c:v>2049</c:v>
                </c:pt>
                <c:pt idx="25">
                  <c:v>2050</c:v>
                </c:pt>
                <c:pt idx="26">
                  <c:v>2051</c:v>
                </c:pt>
                <c:pt idx="27">
                  <c:v>2052</c:v>
                </c:pt>
                <c:pt idx="28">
                  <c:v>2053</c:v>
                </c:pt>
                <c:pt idx="29">
                  <c:v>2054</c:v>
                </c:pt>
                <c:pt idx="30">
                  <c:v>2055</c:v>
                </c:pt>
                <c:pt idx="31">
                  <c:v>2056</c:v>
                </c:pt>
                <c:pt idx="32">
                  <c:v>2057</c:v>
                </c:pt>
                <c:pt idx="33">
                  <c:v>2058</c:v>
                </c:pt>
                <c:pt idx="34">
                  <c:v>2059</c:v>
                </c:pt>
                <c:pt idx="35">
                  <c:v>2060</c:v>
                </c:pt>
                <c:pt idx="36">
                  <c:v>2061</c:v>
                </c:pt>
                <c:pt idx="37">
                  <c:v>2062</c:v>
                </c:pt>
                <c:pt idx="38">
                  <c:v>2063</c:v>
                </c:pt>
                <c:pt idx="39">
                  <c:v>2064</c:v>
                </c:pt>
                <c:pt idx="40">
                  <c:v>2065</c:v>
                </c:pt>
                <c:pt idx="41">
                  <c:v>2066</c:v>
                </c:pt>
                <c:pt idx="42">
                  <c:v>2067</c:v>
                </c:pt>
                <c:pt idx="43">
                  <c:v>2068</c:v>
                </c:pt>
                <c:pt idx="44">
                  <c:v>2069</c:v>
                </c:pt>
                <c:pt idx="45">
                  <c:v>2070</c:v>
                </c:pt>
              </c:numCache>
              <c:extLst xmlns:c15="http://schemas.microsoft.com/office/drawing/2012/chart"/>
            </c:numRef>
          </c:cat>
          <c:val>
            <c:numRef>
              <c:f>'High Level Dashboard'!$B$66:$AU$66</c:f>
              <c:numCache>
                <c:formatCode>[$$-409]#,##0.00</c:formatCode>
                <c:ptCount val="46"/>
                <c:pt idx="0">
                  <c:v>502.40628356392745</c:v>
                </c:pt>
                <c:pt idx="1">
                  <c:v>504.0975125923506</c:v>
                </c:pt>
                <c:pt idx="2">
                  <c:v>514.4199437365296</c:v>
                </c:pt>
                <c:pt idx="3">
                  <c:v>525.46248738498934</c:v>
                </c:pt>
                <c:pt idx="4">
                  <c:v>537.25510932199859</c:v>
                </c:pt>
                <c:pt idx="5">
                  <c:v>552.45865936377231</c:v>
                </c:pt>
                <c:pt idx="6">
                  <c:v>565.17384020559894</c:v>
                </c:pt>
                <c:pt idx="7">
                  <c:v>579.92507953950121</c:v>
                </c:pt>
                <c:pt idx="8">
                  <c:v>602.2966055964489</c:v>
                </c:pt>
                <c:pt idx="9">
                  <c:v>612.41282627441581</c:v>
                </c:pt>
                <c:pt idx="10">
                  <c:v>631.81561202119542</c:v>
                </c:pt>
                <c:pt idx="11">
                  <c:v>647.43368264886635</c:v>
                </c:pt>
                <c:pt idx="12">
                  <c:v>667.96459826515718</c:v>
                </c:pt>
                <c:pt idx="13">
                  <c:v>688.69805451570721</c:v>
                </c:pt>
                <c:pt idx="14">
                  <c:v>712.10428234038443</c:v>
                </c:pt>
                <c:pt idx="15">
                  <c:v>732.21155245641683</c:v>
                </c:pt>
                <c:pt idx="16">
                  <c:v>757.10808479114064</c:v>
                </c:pt>
                <c:pt idx="17">
                  <c:v>784.33166309769319</c:v>
                </c:pt>
                <c:pt idx="18">
                  <c:v>809.8669549979935</c:v>
                </c:pt>
                <c:pt idx="19">
                  <c:v>837.71913770889682</c:v>
                </c:pt>
                <c:pt idx="20">
                  <c:v>867.87422971948899</c:v>
                </c:pt>
                <c:pt idx="21">
                  <c:v>898.33352870014335</c:v>
                </c:pt>
                <c:pt idx="22">
                  <c:v>929.37215593721203</c:v>
                </c:pt>
                <c:pt idx="23">
                  <c:v>969.07160760109912</c:v>
                </c:pt>
                <c:pt idx="24">
                  <c:v>1007.2738131699969</c:v>
                </c:pt>
                <c:pt idx="25">
                  <c:v>1056.0597013467818</c:v>
                </c:pt>
                <c:pt idx="26">
                  <c:v>1091.5605738225011</c:v>
                </c:pt>
                <c:pt idx="27">
                  <c:v>1134.6861872565714</c:v>
                </c:pt>
                <c:pt idx="28">
                  <c:v>1181.9728438612822</c:v>
                </c:pt>
                <c:pt idx="29">
                  <c:v>1232.5266909964989</c:v>
                </c:pt>
                <c:pt idx="30">
                  <c:v>1285.501930199624</c:v>
                </c:pt>
                <c:pt idx="31">
                  <c:v>1344.8465360959403</c:v>
                </c:pt>
                <c:pt idx="32">
                  <c:v>1407.5139856554781</c:v>
                </c:pt>
                <c:pt idx="33">
                  <c:v>1470.5805982845543</c:v>
                </c:pt>
                <c:pt idx="34">
                  <c:v>1537.4076872631756</c:v>
                </c:pt>
                <c:pt idx="35">
                  <c:v>1607.963723063634</c:v>
                </c:pt>
                <c:pt idx="36">
                  <c:v>1681.043909110894</c:v>
                </c:pt>
                <c:pt idx="37">
                  <c:v>1758.217270571836</c:v>
                </c:pt>
                <c:pt idx="38">
                  <c:v>1839.1888567881358</c:v>
                </c:pt>
                <c:pt idx="39">
                  <c:v>1922.1483579965802</c:v>
                </c:pt>
                <c:pt idx="40">
                  <c:v>2005.5093370110203</c:v>
                </c:pt>
                <c:pt idx="41">
                  <c:v>2093.2581765719751</c:v>
                </c:pt>
                <c:pt idx="42">
                  <c:v>2187.1404431032438</c:v>
                </c:pt>
                <c:pt idx="43">
                  <c:v>2284.1209676497765</c:v>
                </c:pt>
                <c:pt idx="44">
                  <c:v>2387.6226448076141</c:v>
                </c:pt>
                <c:pt idx="45">
                  <c:v>2495.7180504949638</c:v>
                </c:pt>
              </c:numCache>
              <c:extLst xmlns:c15="http://schemas.microsoft.com/office/drawing/2012/chart"/>
            </c:numRef>
          </c:val>
          <c:smooth val="0"/>
          <c:extLst xmlns:c15="http://schemas.microsoft.com/office/drawing/2012/chart">
            <c:ext xmlns:c16="http://schemas.microsoft.com/office/drawing/2014/chart" uri="{C3380CC4-5D6E-409C-BE32-E72D297353CC}">
              <c16:uniqueId val="{00000001-1289-D647-89E3-C2A7823AA309}"/>
            </c:ext>
          </c:extLst>
        </c:ser>
        <c:ser>
          <c:idx val="3"/>
          <c:order val="1"/>
          <c:tx>
            <c:strRef>
              <c:f>'High Level Dashboard'!$A$67</c:f>
              <c:strCache>
                <c:ptCount val="1"/>
                <c:pt idx="0">
                  <c:v>Financing requirement with Interest Rate (Million USD)</c:v>
                </c:pt>
              </c:strCache>
            </c:strRef>
          </c:tx>
          <c:spPr>
            <a:ln w="28575" cap="rnd">
              <a:solidFill>
                <a:srgbClr val="FF0000"/>
              </a:solidFill>
              <a:round/>
            </a:ln>
            <a:effectLst/>
          </c:spPr>
          <c:marker>
            <c:symbol val="none"/>
          </c:marker>
          <c:cat>
            <c:numRef>
              <c:f>'High Level Dashboard'!$B$64:$AU$64</c:f>
              <c:numCache>
                <c:formatCode>General</c:formatCode>
                <c:ptCount val="46"/>
                <c:pt idx="0">
                  <c:v>2025</c:v>
                </c:pt>
                <c:pt idx="1">
                  <c:v>2026</c:v>
                </c:pt>
                <c:pt idx="2">
                  <c:v>2027</c:v>
                </c:pt>
                <c:pt idx="3">
                  <c:v>2028</c:v>
                </c:pt>
                <c:pt idx="4">
                  <c:v>2029</c:v>
                </c:pt>
                <c:pt idx="5">
                  <c:v>2030</c:v>
                </c:pt>
                <c:pt idx="6">
                  <c:v>2031</c:v>
                </c:pt>
                <c:pt idx="7">
                  <c:v>2032</c:v>
                </c:pt>
                <c:pt idx="8">
                  <c:v>2033</c:v>
                </c:pt>
                <c:pt idx="9">
                  <c:v>2034</c:v>
                </c:pt>
                <c:pt idx="10">
                  <c:v>2035</c:v>
                </c:pt>
                <c:pt idx="11">
                  <c:v>2036</c:v>
                </c:pt>
                <c:pt idx="12">
                  <c:v>2037</c:v>
                </c:pt>
                <c:pt idx="13">
                  <c:v>2038</c:v>
                </c:pt>
                <c:pt idx="14">
                  <c:v>2039</c:v>
                </c:pt>
                <c:pt idx="15">
                  <c:v>2040</c:v>
                </c:pt>
                <c:pt idx="16">
                  <c:v>2041</c:v>
                </c:pt>
                <c:pt idx="17">
                  <c:v>2042</c:v>
                </c:pt>
                <c:pt idx="18">
                  <c:v>2043</c:v>
                </c:pt>
                <c:pt idx="19">
                  <c:v>2044</c:v>
                </c:pt>
                <c:pt idx="20">
                  <c:v>2045</c:v>
                </c:pt>
                <c:pt idx="21">
                  <c:v>2046</c:v>
                </c:pt>
                <c:pt idx="22">
                  <c:v>2047</c:v>
                </c:pt>
                <c:pt idx="23">
                  <c:v>2048</c:v>
                </c:pt>
                <c:pt idx="24">
                  <c:v>2049</c:v>
                </c:pt>
                <c:pt idx="25">
                  <c:v>2050</c:v>
                </c:pt>
                <c:pt idx="26">
                  <c:v>2051</c:v>
                </c:pt>
                <c:pt idx="27">
                  <c:v>2052</c:v>
                </c:pt>
                <c:pt idx="28">
                  <c:v>2053</c:v>
                </c:pt>
                <c:pt idx="29">
                  <c:v>2054</c:v>
                </c:pt>
                <c:pt idx="30">
                  <c:v>2055</c:v>
                </c:pt>
                <c:pt idx="31">
                  <c:v>2056</c:v>
                </c:pt>
                <c:pt idx="32">
                  <c:v>2057</c:v>
                </c:pt>
                <c:pt idx="33">
                  <c:v>2058</c:v>
                </c:pt>
                <c:pt idx="34">
                  <c:v>2059</c:v>
                </c:pt>
                <c:pt idx="35">
                  <c:v>2060</c:v>
                </c:pt>
                <c:pt idx="36">
                  <c:v>2061</c:v>
                </c:pt>
                <c:pt idx="37">
                  <c:v>2062</c:v>
                </c:pt>
                <c:pt idx="38">
                  <c:v>2063</c:v>
                </c:pt>
                <c:pt idx="39">
                  <c:v>2064</c:v>
                </c:pt>
                <c:pt idx="40">
                  <c:v>2065</c:v>
                </c:pt>
                <c:pt idx="41">
                  <c:v>2066</c:v>
                </c:pt>
                <c:pt idx="42">
                  <c:v>2067</c:v>
                </c:pt>
                <c:pt idx="43">
                  <c:v>2068</c:v>
                </c:pt>
                <c:pt idx="44">
                  <c:v>2069</c:v>
                </c:pt>
                <c:pt idx="45">
                  <c:v>2070</c:v>
                </c:pt>
              </c:numCache>
            </c:numRef>
          </c:cat>
          <c:val>
            <c:numRef>
              <c:f>'High Level Dashboard'!$B$67:$AU$67</c:f>
              <c:numCache>
                <c:formatCode>[$$-409]#,##0.00</c:formatCode>
                <c:ptCount val="46"/>
                <c:pt idx="0">
                  <c:v>942.04874389567578</c:v>
                </c:pt>
                <c:pt idx="1">
                  <c:v>1016.79176822089</c:v>
                </c:pt>
                <c:pt idx="2">
                  <c:v>1064.9135372032933</c:v>
                </c:pt>
                <c:pt idx="3">
                  <c:v>1111.5758585628198</c:v>
                </c:pt>
                <c:pt idx="4">
                  <c:v>1156.3444325455321</c:v>
                </c:pt>
                <c:pt idx="5">
                  <c:v>1196.1928256892675</c:v>
                </c:pt>
                <c:pt idx="6">
                  <c:v>1274.4250770232575</c:v>
                </c:pt>
                <c:pt idx="7">
                  <c:v>1306.2446241777634</c:v>
                </c:pt>
                <c:pt idx="8">
                  <c:v>1320.1250863639393</c:v>
                </c:pt>
                <c:pt idx="9">
                  <c:v>1375.8967233373121</c:v>
                </c:pt>
                <c:pt idx="10">
                  <c:v>1445.1561766458412</c:v>
                </c:pt>
                <c:pt idx="11">
                  <c:v>1500.3434201863715</c:v>
                </c:pt>
                <c:pt idx="12">
                  <c:v>1463.6245752142872</c:v>
                </c:pt>
                <c:pt idx="13">
                  <c:v>1468.6720805247353</c:v>
                </c:pt>
                <c:pt idx="14">
                  <c:v>1556.6050267003934</c:v>
                </c:pt>
                <c:pt idx="15">
                  <c:v>1659.0994050148297</c:v>
                </c:pt>
                <c:pt idx="16">
                  <c:v>1769.0372708977786</c:v>
                </c:pt>
                <c:pt idx="17">
                  <c:v>1875.6831102825679</c:v>
                </c:pt>
                <c:pt idx="18">
                  <c:v>1927.3669982599886</c:v>
                </c:pt>
                <c:pt idx="19">
                  <c:v>1961.6933053498265</c:v>
                </c:pt>
                <c:pt idx="20">
                  <c:v>2074.5265210167563</c:v>
                </c:pt>
                <c:pt idx="21">
                  <c:v>2221.2782144122716</c:v>
                </c:pt>
                <c:pt idx="22">
                  <c:v>2335.0774957036374</c:v>
                </c:pt>
                <c:pt idx="23">
                  <c:v>2445.3036769794949</c:v>
                </c:pt>
                <c:pt idx="24">
                  <c:v>2578.7249273294642</c:v>
                </c:pt>
                <c:pt idx="25">
                  <c:v>2740.0627129809482</c:v>
                </c:pt>
                <c:pt idx="26">
                  <c:v>2872.1254818112279</c:v>
                </c:pt>
                <c:pt idx="27">
                  <c:v>2993.1096644920708</c:v>
                </c:pt>
                <c:pt idx="28">
                  <c:v>3092.8807555539552</c:v>
                </c:pt>
                <c:pt idx="29">
                  <c:v>3249.3788144707364</c:v>
                </c:pt>
                <c:pt idx="30">
                  <c:v>3355.9359997432607</c:v>
                </c:pt>
                <c:pt idx="31">
                  <c:v>3457.4287179049775</c:v>
                </c:pt>
                <c:pt idx="32">
                  <c:v>3560.4644642851686</c:v>
                </c:pt>
                <c:pt idx="33">
                  <c:v>3664.1310280490347</c:v>
                </c:pt>
                <c:pt idx="34">
                  <c:v>3779.9916313863241</c:v>
                </c:pt>
                <c:pt idx="35">
                  <c:v>3901.082780416577</c:v>
                </c:pt>
                <c:pt idx="36">
                  <c:v>4007.0440158646766</c:v>
                </c:pt>
                <c:pt idx="37">
                  <c:v>4111.5149416040495</c:v>
                </c:pt>
                <c:pt idx="38">
                  <c:v>4166.7813069813928</c:v>
                </c:pt>
                <c:pt idx="39">
                  <c:v>4266.6986788481699</c:v>
                </c:pt>
                <c:pt idx="40">
                  <c:v>4389.731258524077</c:v>
                </c:pt>
                <c:pt idx="41">
                  <c:v>4477.2070381479862</c:v>
                </c:pt>
                <c:pt idx="42">
                  <c:v>4528.74458592271</c:v>
                </c:pt>
                <c:pt idx="43">
                  <c:v>4576.4696308700941</c:v>
                </c:pt>
                <c:pt idx="44">
                  <c:v>4659.3702068508264</c:v>
                </c:pt>
                <c:pt idx="45">
                  <c:v>4753.8348359691809</c:v>
                </c:pt>
              </c:numCache>
            </c:numRef>
          </c:val>
          <c:smooth val="0"/>
          <c:extLst>
            <c:ext xmlns:c16="http://schemas.microsoft.com/office/drawing/2014/chart" uri="{C3380CC4-5D6E-409C-BE32-E72D297353CC}">
              <c16:uniqueId val="{00000002-1289-D647-89E3-C2A7823AA309}"/>
            </c:ext>
          </c:extLst>
        </c:ser>
        <c:dLbls>
          <c:showLegendKey val="0"/>
          <c:showVal val="0"/>
          <c:showCatName val="0"/>
          <c:showSerName val="0"/>
          <c:showPercent val="0"/>
          <c:showBubbleSize val="0"/>
        </c:dLbls>
        <c:smooth val="0"/>
        <c:axId val="556246032"/>
        <c:axId val="556247952"/>
        <c:extLst/>
      </c:lineChart>
      <c:catAx>
        <c:axId val="556246032"/>
        <c:scaling>
          <c:orientation val="minMax"/>
        </c:scaling>
        <c:delete val="0"/>
        <c:axPos val="b"/>
        <c:title>
          <c:tx>
            <c:rich>
              <a:bodyPr rot="0" spcFirstLastPara="1" vertOverflow="ellipsis" vert="horz" wrap="square" anchor="ctr" anchorCtr="1"/>
              <a:lstStyle/>
              <a:p>
                <a:pPr>
                  <a:defRPr lang="ja-JP" sz="1600" b="0" i="0" u="none" strike="noStrike" kern="1200" baseline="0">
                    <a:solidFill>
                      <a:schemeClr val="tx1"/>
                    </a:solidFill>
                    <a:latin typeface="+mn-lt"/>
                    <a:ea typeface="+mn-ea"/>
                    <a:cs typeface="+mn-cs"/>
                  </a:defRPr>
                </a:pPr>
                <a:r>
                  <a:rPr lang="en-GB"/>
                  <a:t>Year</a:t>
                </a:r>
              </a:p>
            </c:rich>
          </c:tx>
          <c:overlay val="0"/>
          <c:spPr>
            <a:noFill/>
            <a:ln>
              <a:noFill/>
            </a:ln>
            <a:effectLst/>
          </c:spPr>
          <c:txPr>
            <a:bodyPr rot="0" spcFirstLastPara="1" vertOverflow="ellipsis" vert="horz" wrap="square" anchor="ctr" anchorCtr="1"/>
            <a:lstStyle/>
            <a:p>
              <a:pPr>
                <a:defRPr lang="ja-JP" sz="1600" b="0" i="0"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ja-JP" sz="1600" b="0" i="0" u="none" strike="noStrike" kern="1200" baseline="0">
                <a:solidFill>
                  <a:schemeClr val="tx1"/>
                </a:solidFill>
                <a:latin typeface="+mn-lt"/>
                <a:ea typeface="+mn-ea"/>
                <a:cs typeface="+mn-cs"/>
              </a:defRPr>
            </a:pPr>
            <a:endParaRPr lang="en-US"/>
          </a:p>
        </c:txPr>
        <c:crossAx val="556247952"/>
        <c:crosses val="autoZero"/>
        <c:auto val="1"/>
        <c:lblAlgn val="ctr"/>
        <c:lblOffset val="100"/>
        <c:noMultiLvlLbl val="0"/>
      </c:catAx>
      <c:valAx>
        <c:axId val="55624795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lang="ja-JP" sz="1600" b="0" i="0" u="none" strike="noStrike" kern="1200" baseline="0">
                    <a:solidFill>
                      <a:schemeClr val="tx1"/>
                    </a:solidFill>
                    <a:latin typeface="+mn-lt"/>
                    <a:ea typeface="+mn-ea"/>
                    <a:cs typeface="+mn-cs"/>
                  </a:defRPr>
                </a:pPr>
                <a:r>
                  <a:rPr lang="en-GB"/>
                  <a:t>Million US$</a:t>
                </a:r>
              </a:p>
            </c:rich>
          </c:tx>
          <c:overlay val="0"/>
          <c:spPr>
            <a:noFill/>
            <a:ln>
              <a:noFill/>
            </a:ln>
            <a:effectLst/>
          </c:spPr>
          <c:txPr>
            <a:bodyPr rot="-5400000" spcFirstLastPara="1" vertOverflow="ellipsis" vert="horz" wrap="square" anchor="ctr" anchorCtr="1"/>
            <a:lstStyle/>
            <a:p>
              <a:pPr>
                <a:defRPr lang="ja-JP" sz="1600" b="0" i="0" u="none" strike="noStrike" kern="1200" baseline="0">
                  <a:solidFill>
                    <a:schemeClr val="tx1"/>
                  </a:solidFill>
                  <a:latin typeface="+mn-lt"/>
                  <a:ea typeface="+mn-ea"/>
                  <a:cs typeface="+mn-cs"/>
                </a:defRPr>
              </a:pPr>
              <a:endParaRPr lang="en-US"/>
            </a:p>
          </c:txPr>
        </c:title>
        <c:numFmt formatCode="[$$-409]#,##0" sourceLinked="0"/>
        <c:majorTickMark val="none"/>
        <c:minorTickMark val="none"/>
        <c:tickLblPos val="nextTo"/>
        <c:spPr>
          <a:noFill/>
          <a:ln>
            <a:noFill/>
          </a:ln>
          <a:effectLst/>
        </c:spPr>
        <c:txPr>
          <a:bodyPr rot="-60000000" spcFirstLastPara="1" vertOverflow="ellipsis" vert="horz" wrap="square" anchor="ctr" anchorCtr="1"/>
          <a:lstStyle/>
          <a:p>
            <a:pPr>
              <a:defRPr lang="ja-JP" sz="1600" b="0" i="0" u="none" strike="noStrike" kern="1200" baseline="0">
                <a:solidFill>
                  <a:schemeClr val="tx1"/>
                </a:solidFill>
                <a:latin typeface="+mn-lt"/>
                <a:ea typeface="+mn-ea"/>
                <a:cs typeface="+mn-cs"/>
              </a:defRPr>
            </a:pPr>
            <a:endParaRPr lang="en-US"/>
          </a:p>
        </c:txPr>
        <c:crossAx val="55624603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lang="ja-JP" sz="1600" b="0"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sz="1600">
          <a:solidFill>
            <a:schemeClr val="tx1"/>
          </a:solidFill>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chart" Target="../charts/chart13.xml"/><Relationship Id="rId18" Type="http://schemas.openxmlformats.org/officeDocument/2006/relationships/chart" Target="../charts/chart18.xml"/><Relationship Id="rId26" Type="http://schemas.openxmlformats.org/officeDocument/2006/relationships/chart" Target="../charts/chart26.xml"/><Relationship Id="rId3" Type="http://schemas.openxmlformats.org/officeDocument/2006/relationships/chart" Target="../charts/chart3.xml"/><Relationship Id="rId21" Type="http://schemas.openxmlformats.org/officeDocument/2006/relationships/chart" Target="../charts/chart21.xml"/><Relationship Id="rId7" Type="http://schemas.openxmlformats.org/officeDocument/2006/relationships/chart" Target="../charts/chart7.xml"/><Relationship Id="rId12" Type="http://schemas.openxmlformats.org/officeDocument/2006/relationships/chart" Target="../charts/chart12.xml"/><Relationship Id="rId17" Type="http://schemas.openxmlformats.org/officeDocument/2006/relationships/chart" Target="../charts/chart17.xml"/><Relationship Id="rId25" Type="http://schemas.openxmlformats.org/officeDocument/2006/relationships/chart" Target="../charts/chart25.xml"/><Relationship Id="rId2" Type="http://schemas.openxmlformats.org/officeDocument/2006/relationships/chart" Target="../charts/chart2.xml"/><Relationship Id="rId16" Type="http://schemas.openxmlformats.org/officeDocument/2006/relationships/chart" Target="../charts/chart16.xml"/><Relationship Id="rId20" Type="http://schemas.openxmlformats.org/officeDocument/2006/relationships/chart" Target="../charts/chart20.xml"/><Relationship Id="rId29" Type="http://schemas.openxmlformats.org/officeDocument/2006/relationships/chart" Target="../charts/chart29.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24" Type="http://schemas.openxmlformats.org/officeDocument/2006/relationships/chart" Target="../charts/chart24.xml"/><Relationship Id="rId5" Type="http://schemas.openxmlformats.org/officeDocument/2006/relationships/chart" Target="../charts/chart5.xml"/><Relationship Id="rId15" Type="http://schemas.openxmlformats.org/officeDocument/2006/relationships/chart" Target="../charts/chart15.xml"/><Relationship Id="rId23" Type="http://schemas.openxmlformats.org/officeDocument/2006/relationships/chart" Target="../charts/chart23.xml"/><Relationship Id="rId28" Type="http://schemas.openxmlformats.org/officeDocument/2006/relationships/chart" Target="../charts/chart28.xml"/><Relationship Id="rId10" Type="http://schemas.openxmlformats.org/officeDocument/2006/relationships/chart" Target="../charts/chart10.xml"/><Relationship Id="rId19" Type="http://schemas.openxmlformats.org/officeDocument/2006/relationships/chart" Target="../charts/chart19.xml"/><Relationship Id="rId4" Type="http://schemas.openxmlformats.org/officeDocument/2006/relationships/chart" Target="../charts/chart4.xml"/><Relationship Id="rId9" Type="http://schemas.openxmlformats.org/officeDocument/2006/relationships/chart" Target="../charts/chart9.xml"/><Relationship Id="rId14" Type="http://schemas.openxmlformats.org/officeDocument/2006/relationships/chart" Target="../charts/chart14.xml"/><Relationship Id="rId22" Type="http://schemas.openxmlformats.org/officeDocument/2006/relationships/chart" Target="../charts/chart22.xml"/><Relationship Id="rId27" Type="http://schemas.openxmlformats.org/officeDocument/2006/relationships/chart" Target="../charts/chart27.xml"/></Relationships>
</file>

<file path=xl/drawings/_rels/drawing3.xml.rels><?xml version="1.0" encoding="UTF-8" standalone="yes"?>
<Relationships xmlns="http://schemas.openxmlformats.org/package/2006/relationships"><Relationship Id="rId2" Type="http://schemas.openxmlformats.org/officeDocument/2006/relationships/chart" Target="../charts/chart31.xml"/><Relationship Id="rId1" Type="http://schemas.openxmlformats.org/officeDocument/2006/relationships/chart" Target="../charts/chart30.xml"/></Relationships>
</file>

<file path=xl/drawings/drawing1.xml><?xml version="1.0" encoding="utf-8"?>
<xdr:wsDr xmlns:xdr="http://schemas.openxmlformats.org/drawingml/2006/spreadsheetDrawing" xmlns:a="http://schemas.openxmlformats.org/drawingml/2006/main">
  <xdr:twoCellAnchor editAs="oneCell">
    <xdr:from>
      <xdr:col>5</xdr:col>
      <xdr:colOff>76200</xdr:colOff>
      <xdr:row>0</xdr:row>
      <xdr:rowOff>127000</xdr:rowOff>
    </xdr:from>
    <xdr:to>
      <xdr:col>9</xdr:col>
      <xdr:colOff>675842</xdr:colOff>
      <xdr:row>3</xdr:row>
      <xdr:rowOff>103613</xdr:rowOff>
    </xdr:to>
    <xdr:pic>
      <xdr:nvPicPr>
        <xdr:cNvPr id="5" name="Picture 4">
          <a:extLst>
            <a:ext uri="{FF2B5EF4-FFF2-40B4-BE49-F238E27FC236}">
              <a16:creationId xmlns:a16="http://schemas.microsoft.com/office/drawing/2014/main" id="{F6AA4BE9-C2B8-FA40-BDCE-184EAAF78D2D}"/>
            </a:ext>
          </a:extLst>
        </xdr:cNvPr>
        <xdr:cNvPicPr>
          <a:picLocks noChangeAspect="1"/>
        </xdr:cNvPicPr>
      </xdr:nvPicPr>
      <xdr:blipFill rotWithShape="1">
        <a:blip xmlns:r="http://schemas.openxmlformats.org/officeDocument/2006/relationships" r:embed="rId1"/>
        <a:srcRect t="17890" b="17197"/>
        <a:stretch/>
      </xdr:blipFill>
      <xdr:spPr>
        <a:xfrm>
          <a:off x="5676900" y="127000"/>
          <a:ext cx="4301057" cy="1681588"/>
        </a:xfrm>
        <a:prstGeom prst="rect">
          <a:avLst/>
        </a:prstGeom>
      </xdr:spPr>
    </xdr:pic>
    <xdr:clientData/>
  </xdr:twoCellAnchor>
  <xdr:twoCellAnchor editAs="oneCell">
    <xdr:from>
      <xdr:col>5</xdr:col>
      <xdr:colOff>622300</xdr:colOff>
      <xdr:row>3</xdr:row>
      <xdr:rowOff>345689</xdr:rowOff>
    </xdr:from>
    <xdr:to>
      <xdr:col>9</xdr:col>
      <xdr:colOff>200704</xdr:colOff>
      <xdr:row>4</xdr:row>
      <xdr:rowOff>92232</xdr:rowOff>
    </xdr:to>
    <xdr:pic>
      <xdr:nvPicPr>
        <xdr:cNvPr id="6" name="Picture 5">
          <a:extLst>
            <a:ext uri="{FF2B5EF4-FFF2-40B4-BE49-F238E27FC236}">
              <a16:creationId xmlns:a16="http://schemas.microsoft.com/office/drawing/2014/main" id="{A659172B-A651-CE44-BFAF-CB981DEAB85C}"/>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6223000" y="2047489"/>
          <a:ext cx="3279819" cy="368843"/>
        </a:xfrm>
        <a:prstGeom prst="rect">
          <a:avLst/>
        </a:prstGeom>
      </xdr:spPr>
    </xdr:pic>
    <xdr:clientData/>
  </xdr:twoCellAnchor>
  <xdr:twoCellAnchor editAs="oneCell">
    <xdr:from>
      <xdr:col>9</xdr:col>
      <xdr:colOff>816019</xdr:colOff>
      <xdr:row>0</xdr:row>
      <xdr:rowOff>76200</xdr:rowOff>
    </xdr:from>
    <xdr:to>
      <xdr:col>11</xdr:col>
      <xdr:colOff>1569586</xdr:colOff>
      <xdr:row>5</xdr:row>
      <xdr:rowOff>161925</xdr:rowOff>
    </xdr:to>
    <xdr:pic>
      <xdr:nvPicPr>
        <xdr:cNvPr id="7" name="Picture 6">
          <a:extLst>
            <a:ext uri="{FF2B5EF4-FFF2-40B4-BE49-F238E27FC236}">
              <a16:creationId xmlns:a16="http://schemas.microsoft.com/office/drawing/2014/main" id="{EF65391F-54A8-B94F-BFF2-C0B0313F5C7A}"/>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9718719" y="76200"/>
          <a:ext cx="2591892" cy="26035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249831</xdr:colOff>
      <xdr:row>6</xdr:row>
      <xdr:rowOff>11838</xdr:rowOff>
    </xdr:from>
    <xdr:to>
      <xdr:col>10</xdr:col>
      <xdr:colOff>0</xdr:colOff>
      <xdr:row>29</xdr:row>
      <xdr:rowOff>176825</xdr:rowOff>
    </xdr:to>
    <xdr:graphicFrame macro="">
      <xdr:nvGraphicFramePr>
        <xdr:cNvPr id="23" name="Chart 1">
          <a:extLst>
            <a:ext uri="{FF2B5EF4-FFF2-40B4-BE49-F238E27FC236}">
              <a16:creationId xmlns:a16="http://schemas.microsoft.com/office/drawing/2014/main" id="{00000000-0008-0000-0000-00005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334025</xdr:colOff>
      <xdr:row>89</xdr:row>
      <xdr:rowOff>142875</xdr:rowOff>
    </xdr:from>
    <xdr:to>
      <xdr:col>10</xdr:col>
      <xdr:colOff>0</xdr:colOff>
      <xdr:row>113</xdr:row>
      <xdr:rowOff>137001</xdr:rowOff>
    </xdr:to>
    <xdr:graphicFrame macro="">
      <xdr:nvGraphicFramePr>
        <xdr:cNvPr id="2" name="Chart 13">
          <a:extLst>
            <a:ext uri="{FF2B5EF4-FFF2-40B4-BE49-F238E27FC236}">
              <a16:creationId xmlns:a16="http://schemas.microsoft.com/office/drawing/2014/main" id="{00000000-0008-0000-00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0</xdr:colOff>
      <xdr:row>89</xdr:row>
      <xdr:rowOff>122238</xdr:rowOff>
    </xdr:from>
    <xdr:to>
      <xdr:col>18</xdr:col>
      <xdr:colOff>400987</xdr:colOff>
      <xdr:row>113</xdr:row>
      <xdr:rowOff>103664</xdr:rowOff>
    </xdr:to>
    <xdr:graphicFrame macro="">
      <xdr:nvGraphicFramePr>
        <xdr:cNvPr id="228" name="Chart 14">
          <a:extLst>
            <a:ext uri="{FF2B5EF4-FFF2-40B4-BE49-F238E27FC236}">
              <a16:creationId xmlns:a16="http://schemas.microsoft.com/office/drawing/2014/main" id="{00000000-0008-0000-0000-000066000000}"/>
            </a:ext>
            <a:ext uri="{147F2762-F138-4A5C-976F-8EAC2B608ADB}">
              <a16:predDERef xmlns:a16="http://schemas.microsoft.com/office/drawing/2014/main" pred="{37F0F145-EA4A-4846-B17A-904815AD17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257590</xdr:colOff>
      <xdr:row>119</xdr:row>
      <xdr:rowOff>159026</xdr:rowOff>
    </xdr:from>
    <xdr:to>
      <xdr:col>10</xdr:col>
      <xdr:colOff>2259</xdr:colOff>
      <xdr:row>144</xdr:row>
      <xdr:rowOff>0</xdr:rowOff>
    </xdr:to>
    <xdr:graphicFrame macro="">
      <xdr:nvGraphicFramePr>
        <xdr:cNvPr id="344" name="Chart 16">
          <a:extLst>
            <a:ext uri="{FF2B5EF4-FFF2-40B4-BE49-F238E27FC236}">
              <a16:creationId xmlns:a16="http://schemas.microsoft.com/office/drawing/2014/main" id="{00000000-0008-0000-0000-00006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398722</xdr:colOff>
      <xdr:row>60</xdr:row>
      <xdr:rowOff>58781</xdr:rowOff>
    </xdr:from>
    <xdr:to>
      <xdr:col>9</xdr:col>
      <xdr:colOff>760099</xdr:colOff>
      <xdr:row>84</xdr:row>
      <xdr:rowOff>58317</xdr:rowOff>
    </xdr:to>
    <xdr:graphicFrame macro="">
      <xdr:nvGraphicFramePr>
        <xdr:cNvPr id="35" name="Chart 4">
          <a:extLst>
            <a:ext uri="{FF2B5EF4-FFF2-40B4-BE49-F238E27FC236}">
              <a16:creationId xmlns:a16="http://schemas.microsoft.com/office/drawing/2014/main" id="{00000000-0008-0000-0000-00006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18</xdr:col>
      <xdr:colOff>581820</xdr:colOff>
      <xdr:row>147</xdr:row>
      <xdr:rowOff>111697</xdr:rowOff>
    </xdr:from>
    <xdr:to>
      <xdr:col>27</xdr:col>
      <xdr:colOff>374082</xdr:colOff>
      <xdr:row>173</xdr:row>
      <xdr:rowOff>16453</xdr:rowOff>
    </xdr:to>
    <xdr:graphicFrame macro="">
      <xdr:nvGraphicFramePr>
        <xdr:cNvPr id="431" name="Chart 5">
          <a:extLst>
            <a:ext uri="{FF2B5EF4-FFF2-40B4-BE49-F238E27FC236}">
              <a16:creationId xmlns:a16="http://schemas.microsoft.com/office/drawing/2014/main" id="{00000000-0008-0000-0000-00006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10</xdr:col>
      <xdr:colOff>408638</xdr:colOff>
      <xdr:row>61</xdr:row>
      <xdr:rowOff>0</xdr:rowOff>
    </xdr:from>
    <xdr:to>
      <xdr:col>18</xdr:col>
      <xdr:colOff>47625</xdr:colOff>
      <xdr:row>84</xdr:row>
      <xdr:rowOff>181452</xdr:rowOff>
    </xdr:to>
    <xdr:graphicFrame macro="">
      <xdr:nvGraphicFramePr>
        <xdr:cNvPr id="3" name="Chart 26">
          <a:extLst>
            <a:ext uri="{FF2B5EF4-FFF2-40B4-BE49-F238E27FC236}">
              <a16:creationId xmlns:a16="http://schemas.microsoft.com/office/drawing/2014/main" id="{00000000-0008-0000-0000-00006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18</xdr:col>
      <xdr:colOff>959500</xdr:colOff>
      <xdr:row>60</xdr:row>
      <xdr:rowOff>131286</xdr:rowOff>
    </xdr:from>
    <xdr:to>
      <xdr:col>28</xdr:col>
      <xdr:colOff>0</xdr:colOff>
      <xdr:row>84</xdr:row>
      <xdr:rowOff>122238</xdr:rowOff>
    </xdr:to>
    <xdr:graphicFrame macro="">
      <xdr:nvGraphicFramePr>
        <xdr:cNvPr id="62" name="Chart 21">
          <a:extLst>
            <a:ext uri="{FF2B5EF4-FFF2-40B4-BE49-F238E27FC236}">
              <a16:creationId xmlns:a16="http://schemas.microsoft.com/office/drawing/2014/main" id="{00000000-0008-0000-00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10</xdr:col>
      <xdr:colOff>466221</xdr:colOff>
      <xdr:row>119</xdr:row>
      <xdr:rowOff>0</xdr:rowOff>
    </xdr:from>
    <xdr:to>
      <xdr:col>18</xdr:col>
      <xdr:colOff>0</xdr:colOff>
      <xdr:row>144</xdr:row>
      <xdr:rowOff>0</xdr:rowOff>
    </xdr:to>
    <xdr:graphicFrame macro="">
      <xdr:nvGraphicFramePr>
        <xdr:cNvPr id="70" name="Chart 28">
          <a:extLst>
            <a:ext uri="{FF2B5EF4-FFF2-40B4-BE49-F238E27FC236}">
              <a16:creationId xmlns:a16="http://schemas.microsoft.com/office/drawing/2014/main" id="{00000000-0008-0000-0000-000046000000}"/>
            </a:ext>
            <a:ext uri="{147F2762-F138-4A5C-976F-8EAC2B608ADB}">
              <a16:predDERef xmlns:a16="http://schemas.microsoft.com/office/drawing/2014/main" pred="{E82627F5-68FC-124B-9EB7-2E2CAA43A99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28</xdr:col>
      <xdr:colOff>228424</xdr:colOff>
      <xdr:row>146</xdr:row>
      <xdr:rowOff>75622</xdr:rowOff>
    </xdr:from>
    <xdr:to>
      <xdr:col>37</xdr:col>
      <xdr:colOff>416646</xdr:colOff>
      <xdr:row>171</xdr:row>
      <xdr:rowOff>85033</xdr:rowOff>
    </xdr:to>
    <xdr:graphicFrame macro="">
      <xdr:nvGraphicFramePr>
        <xdr:cNvPr id="356" name="Chart 29">
          <a:extLst>
            <a:ext uri="{FF2B5EF4-FFF2-40B4-BE49-F238E27FC236}">
              <a16:creationId xmlns:a16="http://schemas.microsoft.com/office/drawing/2014/main" id="{00000000-0008-0000-0000-000009000000}"/>
            </a:ext>
            <a:ext uri="{147F2762-F138-4A5C-976F-8EAC2B608ADB}">
              <a16:predDERef xmlns:a16="http://schemas.microsoft.com/office/drawing/2014/main" pred="{3592DCB6-955A-A241-B4E2-D1E91AB727A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28</xdr:col>
      <xdr:colOff>127275</xdr:colOff>
      <xdr:row>35</xdr:row>
      <xdr:rowOff>0</xdr:rowOff>
    </xdr:from>
    <xdr:to>
      <xdr:col>38</xdr:col>
      <xdr:colOff>0</xdr:colOff>
      <xdr:row>58</xdr:row>
      <xdr:rowOff>179700</xdr:rowOff>
    </xdr:to>
    <xdr:graphicFrame macro="">
      <xdr:nvGraphicFramePr>
        <xdr:cNvPr id="38" name="Chart 25">
          <a:extLst>
            <a:ext uri="{FF2B5EF4-FFF2-40B4-BE49-F238E27FC236}">
              <a16:creationId xmlns:a16="http://schemas.microsoft.com/office/drawing/2014/main" id="{00000000-0008-0000-0000-00000B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0</xdr:col>
      <xdr:colOff>180202</xdr:colOff>
      <xdr:row>6</xdr:row>
      <xdr:rowOff>11838</xdr:rowOff>
    </xdr:from>
    <xdr:to>
      <xdr:col>9</xdr:col>
      <xdr:colOff>605002</xdr:colOff>
      <xdr:row>30</xdr:row>
      <xdr:rowOff>2790</xdr:rowOff>
    </xdr:to>
    <xdr:graphicFrame macro="">
      <xdr:nvGraphicFramePr>
        <xdr:cNvPr id="7" name="Chart 1">
          <a:extLst>
            <a:ext uri="{FF2B5EF4-FFF2-40B4-BE49-F238E27FC236}">
              <a16:creationId xmlns:a16="http://schemas.microsoft.com/office/drawing/2014/main" id="{112C1DCD-AC1F-35C4-E8BA-EE1EC6032E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10</xdr:col>
      <xdr:colOff>452438</xdr:colOff>
      <xdr:row>7</xdr:row>
      <xdr:rowOff>25513</xdr:rowOff>
    </xdr:from>
    <xdr:to>
      <xdr:col>18</xdr:col>
      <xdr:colOff>88250</xdr:colOff>
      <xdr:row>31</xdr:row>
      <xdr:rowOff>0</xdr:rowOff>
    </xdr:to>
    <xdr:graphicFrame macro="">
      <xdr:nvGraphicFramePr>
        <xdr:cNvPr id="12" name="Chart 2">
          <a:extLst>
            <a:ext uri="{FF2B5EF4-FFF2-40B4-BE49-F238E27FC236}">
              <a16:creationId xmlns:a16="http://schemas.microsoft.com/office/drawing/2014/main" id="{053D93F4-D3DF-8685-4A1B-66CF2212F3BC}"/>
            </a:ext>
            <a:ext uri="{147F2762-F138-4A5C-976F-8EAC2B608ADB}">
              <a16:predDERef xmlns:a16="http://schemas.microsoft.com/office/drawing/2014/main" pred="{6C95E310-94B0-D641-873F-C5F95A05103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28</xdr:col>
      <xdr:colOff>391176</xdr:colOff>
      <xdr:row>6</xdr:row>
      <xdr:rowOff>42386</xdr:rowOff>
    </xdr:from>
    <xdr:to>
      <xdr:col>37</xdr:col>
      <xdr:colOff>809626</xdr:colOff>
      <xdr:row>30</xdr:row>
      <xdr:rowOff>23813</xdr:rowOff>
    </xdr:to>
    <xdr:graphicFrame macro="">
      <xdr:nvGraphicFramePr>
        <xdr:cNvPr id="40" name="Chart 9">
          <a:extLst>
            <a:ext uri="{FF2B5EF4-FFF2-40B4-BE49-F238E27FC236}">
              <a16:creationId xmlns:a16="http://schemas.microsoft.com/office/drawing/2014/main" id="{D9770762-3866-5019-D405-931D8151DD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18</xdr:col>
      <xdr:colOff>953150</xdr:colOff>
      <xdr:row>6</xdr:row>
      <xdr:rowOff>80486</xdr:rowOff>
    </xdr:from>
    <xdr:to>
      <xdr:col>28</xdr:col>
      <xdr:colOff>0</xdr:colOff>
      <xdr:row>30</xdr:row>
      <xdr:rowOff>71438</xdr:rowOff>
    </xdr:to>
    <xdr:graphicFrame macro="">
      <xdr:nvGraphicFramePr>
        <xdr:cNvPr id="13" name="Chart 12">
          <a:extLst>
            <a:ext uri="{FF2B5EF4-FFF2-40B4-BE49-F238E27FC236}">
              <a16:creationId xmlns:a16="http://schemas.microsoft.com/office/drawing/2014/main" id="{503B2339-757D-F832-3D2F-1DEEE82D9EEA}"/>
            </a:ext>
            <a:ext uri="{147F2762-F138-4A5C-976F-8EAC2B608ADB}">
              <a16:predDERef xmlns:a16="http://schemas.microsoft.com/office/drawing/2014/main" pred="{2E3BB76C-D45E-F94A-B5AC-7478019CAC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18</xdr:col>
      <xdr:colOff>791424</xdr:colOff>
      <xdr:row>34</xdr:row>
      <xdr:rowOff>60133</xdr:rowOff>
    </xdr:from>
    <xdr:to>
      <xdr:col>27</xdr:col>
      <xdr:colOff>661681</xdr:colOff>
      <xdr:row>58</xdr:row>
      <xdr:rowOff>46201</xdr:rowOff>
    </xdr:to>
    <xdr:graphicFrame macro="">
      <xdr:nvGraphicFramePr>
        <xdr:cNvPr id="48" name="Chart 22">
          <a:extLst>
            <a:ext uri="{FF2B5EF4-FFF2-40B4-BE49-F238E27FC236}">
              <a16:creationId xmlns:a16="http://schemas.microsoft.com/office/drawing/2014/main" id="{36B5A317-9FD1-1FD6-2219-D30489B10C5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10</xdr:col>
      <xdr:colOff>425451</xdr:colOff>
      <xdr:row>34</xdr:row>
      <xdr:rowOff>122238</xdr:rowOff>
    </xdr:from>
    <xdr:to>
      <xdr:col>18</xdr:col>
      <xdr:colOff>64438</xdr:colOff>
      <xdr:row>58</xdr:row>
      <xdr:rowOff>106840</xdr:rowOff>
    </xdr:to>
    <xdr:graphicFrame macro="">
      <xdr:nvGraphicFramePr>
        <xdr:cNvPr id="226" name="Chart 35">
          <a:extLst>
            <a:ext uri="{FF2B5EF4-FFF2-40B4-BE49-F238E27FC236}">
              <a16:creationId xmlns:a16="http://schemas.microsoft.com/office/drawing/2014/main" id="{0597A8C2-CA10-14EB-A8F2-E1921ABA6B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0</xdr:col>
      <xdr:colOff>408638</xdr:colOff>
      <xdr:row>35</xdr:row>
      <xdr:rowOff>29686</xdr:rowOff>
    </xdr:from>
    <xdr:to>
      <xdr:col>10</xdr:col>
      <xdr:colOff>71438</xdr:colOff>
      <xdr:row>59</xdr:row>
      <xdr:rowOff>23813</xdr:rowOff>
    </xdr:to>
    <xdr:graphicFrame macro="">
      <xdr:nvGraphicFramePr>
        <xdr:cNvPr id="54" name="Chart 32">
          <a:extLst>
            <a:ext uri="{FF2B5EF4-FFF2-40B4-BE49-F238E27FC236}">
              <a16:creationId xmlns:a16="http://schemas.microsoft.com/office/drawing/2014/main" id="{7A831A62-EC6B-89A0-9D69-D7BDD66668A7}"/>
            </a:ext>
            <a:ext uri="{147F2762-F138-4A5C-976F-8EAC2B608ADB}">
              <a16:predDERef xmlns:a16="http://schemas.microsoft.com/office/drawing/2014/main" pred="{43FB3A85-C38B-D74D-9AFB-5F4C125113C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28</xdr:col>
      <xdr:colOff>261938</xdr:colOff>
      <xdr:row>60</xdr:row>
      <xdr:rowOff>0</xdr:rowOff>
    </xdr:from>
    <xdr:to>
      <xdr:col>38</xdr:col>
      <xdr:colOff>137838</xdr:colOff>
      <xdr:row>83</xdr:row>
      <xdr:rowOff>183300</xdr:rowOff>
    </xdr:to>
    <xdr:graphicFrame macro="">
      <xdr:nvGraphicFramePr>
        <xdr:cNvPr id="225" name="Chart 160">
          <a:extLst>
            <a:ext uri="{FF2B5EF4-FFF2-40B4-BE49-F238E27FC236}">
              <a16:creationId xmlns:a16="http://schemas.microsoft.com/office/drawing/2014/main" id="{BEC56214-EECA-D94A-AED7-03A6ABAA75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17</xdr:col>
      <xdr:colOff>313146</xdr:colOff>
      <xdr:row>186</xdr:row>
      <xdr:rowOff>120795</xdr:rowOff>
    </xdr:from>
    <xdr:to>
      <xdr:col>25</xdr:col>
      <xdr:colOff>47506</xdr:colOff>
      <xdr:row>213</xdr:row>
      <xdr:rowOff>103909</xdr:rowOff>
    </xdr:to>
    <xdr:graphicFrame macro="">
      <xdr:nvGraphicFramePr>
        <xdr:cNvPr id="420" name="Chart 3">
          <a:extLst>
            <a:ext uri="{FF2B5EF4-FFF2-40B4-BE49-F238E27FC236}">
              <a16:creationId xmlns:a16="http://schemas.microsoft.com/office/drawing/2014/main" id="{1B11F648-2BCE-234E-BB4A-B49CB35A7F73}"/>
            </a:ext>
            <a:ext uri="{147F2762-F138-4A5C-976F-8EAC2B608ADB}">
              <a16:predDERef xmlns:a16="http://schemas.microsoft.com/office/drawing/2014/main" pred="{16286A9E-A40E-0F4F-9075-FDAAE2D32DA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9</xdr:col>
      <xdr:colOff>408516</xdr:colOff>
      <xdr:row>187</xdr:row>
      <xdr:rowOff>16933</xdr:rowOff>
    </xdr:from>
    <xdr:to>
      <xdr:col>17</xdr:col>
      <xdr:colOff>2492</xdr:colOff>
      <xdr:row>213</xdr:row>
      <xdr:rowOff>121227</xdr:rowOff>
    </xdr:to>
    <xdr:graphicFrame macro="">
      <xdr:nvGraphicFramePr>
        <xdr:cNvPr id="33" name="Chart 3">
          <a:extLst>
            <a:ext uri="{FF2B5EF4-FFF2-40B4-BE49-F238E27FC236}">
              <a16:creationId xmlns:a16="http://schemas.microsoft.com/office/drawing/2014/main" id="{93F42F3E-51F2-0C4B-A18C-DD9E019AC7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twoCellAnchor>
    <xdr:from>
      <xdr:col>0</xdr:col>
      <xdr:colOff>177936</xdr:colOff>
      <xdr:row>186</xdr:row>
      <xdr:rowOff>103909</xdr:rowOff>
    </xdr:from>
    <xdr:to>
      <xdr:col>9</xdr:col>
      <xdr:colOff>7792</xdr:colOff>
      <xdr:row>211</xdr:row>
      <xdr:rowOff>39688</xdr:rowOff>
    </xdr:to>
    <xdr:graphicFrame macro="">
      <xdr:nvGraphicFramePr>
        <xdr:cNvPr id="20" name="Chart 4">
          <a:extLst>
            <a:ext uri="{FF2B5EF4-FFF2-40B4-BE49-F238E27FC236}">
              <a16:creationId xmlns:a16="http://schemas.microsoft.com/office/drawing/2014/main" id="{BD0CEA86-DC86-F844-B461-61BAF769098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2"/>
        </a:graphicData>
      </a:graphic>
    </xdr:graphicFrame>
    <xdr:clientData/>
  </xdr:twoCellAnchor>
  <xdr:twoCellAnchor>
    <xdr:from>
      <xdr:col>18</xdr:col>
      <xdr:colOff>811357</xdr:colOff>
      <xdr:row>120</xdr:row>
      <xdr:rowOff>0</xdr:rowOff>
    </xdr:from>
    <xdr:to>
      <xdr:col>27</xdr:col>
      <xdr:colOff>464993</xdr:colOff>
      <xdr:row>146</xdr:row>
      <xdr:rowOff>95249</xdr:rowOff>
    </xdr:to>
    <xdr:graphicFrame macro="">
      <xdr:nvGraphicFramePr>
        <xdr:cNvPr id="6" name="Chart 5">
          <a:extLst>
            <a:ext uri="{FF2B5EF4-FFF2-40B4-BE49-F238E27FC236}">
              <a16:creationId xmlns:a16="http://schemas.microsoft.com/office/drawing/2014/main" id="{38E4F053-3162-F743-B26F-B540282F00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3"/>
        </a:graphicData>
      </a:graphic>
    </xdr:graphicFrame>
    <xdr:clientData/>
  </xdr:twoCellAnchor>
  <xdr:twoCellAnchor>
    <xdr:from>
      <xdr:col>0</xdr:col>
      <xdr:colOff>238125</xdr:colOff>
      <xdr:row>147</xdr:row>
      <xdr:rowOff>68263</xdr:rowOff>
    </xdr:from>
    <xdr:to>
      <xdr:col>10</xdr:col>
      <xdr:colOff>0</xdr:colOff>
      <xdr:row>170</xdr:row>
      <xdr:rowOff>180907</xdr:rowOff>
    </xdr:to>
    <xdr:graphicFrame macro="">
      <xdr:nvGraphicFramePr>
        <xdr:cNvPr id="4" name="Chart 3">
          <a:extLst>
            <a:ext uri="{FF2B5EF4-FFF2-40B4-BE49-F238E27FC236}">
              <a16:creationId xmlns:a16="http://schemas.microsoft.com/office/drawing/2014/main" id="{E7C3AC9F-FBC4-0DD0-E85E-76DDBA0E8BD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4"/>
        </a:graphicData>
      </a:graphic>
    </xdr:graphicFrame>
    <xdr:clientData/>
  </xdr:twoCellAnchor>
  <xdr:twoCellAnchor>
    <xdr:from>
      <xdr:col>28</xdr:col>
      <xdr:colOff>0</xdr:colOff>
      <xdr:row>120</xdr:row>
      <xdr:rowOff>0</xdr:rowOff>
    </xdr:from>
    <xdr:to>
      <xdr:col>37</xdr:col>
      <xdr:colOff>266700</xdr:colOff>
      <xdr:row>144</xdr:row>
      <xdr:rowOff>0</xdr:rowOff>
    </xdr:to>
    <xdr:graphicFrame macro="">
      <xdr:nvGraphicFramePr>
        <xdr:cNvPr id="5" name="Chart 4">
          <a:extLst>
            <a:ext uri="{FF2B5EF4-FFF2-40B4-BE49-F238E27FC236}">
              <a16:creationId xmlns:a16="http://schemas.microsoft.com/office/drawing/2014/main" id="{95AFBBD5-2522-4240-9434-9522252B2B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5"/>
        </a:graphicData>
      </a:graphic>
    </xdr:graphicFrame>
    <xdr:clientData/>
  </xdr:twoCellAnchor>
  <xdr:twoCellAnchor>
    <xdr:from>
      <xdr:col>10</xdr:col>
      <xdr:colOff>501073</xdr:colOff>
      <xdr:row>146</xdr:row>
      <xdr:rowOff>123673</xdr:rowOff>
    </xdr:from>
    <xdr:to>
      <xdr:col>18</xdr:col>
      <xdr:colOff>128524</xdr:colOff>
      <xdr:row>172</xdr:row>
      <xdr:rowOff>40985</xdr:rowOff>
    </xdr:to>
    <xdr:graphicFrame macro="">
      <xdr:nvGraphicFramePr>
        <xdr:cNvPr id="8" name="Chart 5">
          <a:extLst>
            <a:ext uri="{FF2B5EF4-FFF2-40B4-BE49-F238E27FC236}">
              <a16:creationId xmlns:a16="http://schemas.microsoft.com/office/drawing/2014/main" id="{14B0932A-1BCF-43B9-8BBA-C66BED0C29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6"/>
        </a:graphicData>
      </a:graphic>
    </xdr:graphicFrame>
    <xdr:clientData/>
  </xdr:twoCellAnchor>
  <xdr:twoCellAnchor>
    <xdr:from>
      <xdr:col>10</xdr:col>
      <xdr:colOff>139806</xdr:colOff>
      <xdr:row>173</xdr:row>
      <xdr:rowOff>136088</xdr:rowOff>
    </xdr:from>
    <xdr:to>
      <xdr:col>18</xdr:col>
      <xdr:colOff>22438</xdr:colOff>
      <xdr:row>183</xdr:row>
      <xdr:rowOff>79977</xdr:rowOff>
    </xdr:to>
    <xdr:graphicFrame macro="">
      <xdr:nvGraphicFramePr>
        <xdr:cNvPr id="9" name="Chart 8">
          <a:extLst>
            <a:ext uri="{FF2B5EF4-FFF2-40B4-BE49-F238E27FC236}">
              <a16:creationId xmlns:a16="http://schemas.microsoft.com/office/drawing/2014/main" id="{05F89902-BB76-3F11-F82B-1B193A18D30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7"/>
        </a:graphicData>
      </a:graphic>
    </xdr:graphicFrame>
    <xdr:clientData/>
  </xdr:twoCellAnchor>
  <xdr:twoCellAnchor>
    <xdr:from>
      <xdr:col>18</xdr:col>
      <xdr:colOff>343190</xdr:colOff>
      <xdr:row>173</xdr:row>
      <xdr:rowOff>138543</xdr:rowOff>
    </xdr:from>
    <xdr:to>
      <xdr:col>27</xdr:col>
      <xdr:colOff>440534</xdr:colOff>
      <xdr:row>183</xdr:row>
      <xdr:rowOff>103908</xdr:rowOff>
    </xdr:to>
    <xdr:graphicFrame macro="">
      <xdr:nvGraphicFramePr>
        <xdr:cNvPr id="10" name="Chart 9">
          <a:extLst>
            <a:ext uri="{FF2B5EF4-FFF2-40B4-BE49-F238E27FC236}">
              <a16:creationId xmlns:a16="http://schemas.microsoft.com/office/drawing/2014/main" id="{927A9DA0-0E9B-4AC3-A974-16F385E8456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8"/>
        </a:graphicData>
      </a:graphic>
    </xdr:graphicFrame>
    <xdr:clientData/>
  </xdr:twoCellAnchor>
  <xdr:twoCellAnchor>
    <xdr:from>
      <xdr:col>28</xdr:col>
      <xdr:colOff>292100</xdr:colOff>
      <xdr:row>171</xdr:row>
      <xdr:rowOff>215612</xdr:rowOff>
    </xdr:from>
    <xdr:to>
      <xdr:col>38</xdr:col>
      <xdr:colOff>137464</xdr:colOff>
      <xdr:row>183</xdr:row>
      <xdr:rowOff>103910</xdr:rowOff>
    </xdr:to>
    <xdr:graphicFrame macro="">
      <xdr:nvGraphicFramePr>
        <xdr:cNvPr id="11" name="Chart 10">
          <a:extLst>
            <a:ext uri="{FF2B5EF4-FFF2-40B4-BE49-F238E27FC236}">
              <a16:creationId xmlns:a16="http://schemas.microsoft.com/office/drawing/2014/main" id="{D5970D49-050F-46C1-A625-83011A47577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9"/>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8</xdr:col>
      <xdr:colOff>341647</xdr:colOff>
      <xdr:row>31</xdr:row>
      <xdr:rowOff>2172</xdr:rowOff>
    </xdr:from>
    <xdr:to>
      <xdr:col>18</xdr:col>
      <xdr:colOff>527856</xdr:colOff>
      <xdr:row>56</xdr:row>
      <xdr:rowOff>73508</xdr:rowOff>
    </xdr:to>
    <xdr:graphicFrame macro="">
      <xdr:nvGraphicFramePr>
        <xdr:cNvPr id="2" name="Chart 2">
          <a:extLst>
            <a:ext uri="{FF2B5EF4-FFF2-40B4-BE49-F238E27FC236}">
              <a16:creationId xmlns:a16="http://schemas.microsoft.com/office/drawing/2014/main" id="{197679BE-4A1D-2F49-906F-F283A6AE1459}"/>
            </a:ext>
            <a:ext uri="{147F2762-F138-4A5C-976F-8EAC2B608ADB}">
              <a16:predDERef xmlns:a16="http://schemas.microsoft.com/office/drawing/2014/main" pred="{6C95E310-94B0-D641-873F-C5F95A05103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325964</xdr:colOff>
      <xdr:row>4</xdr:row>
      <xdr:rowOff>9047</xdr:rowOff>
    </xdr:from>
    <xdr:to>
      <xdr:col>18</xdr:col>
      <xdr:colOff>0</xdr:colOff>
      <xdr:row>29</xdr:row>
      <xdr:rowOff>152400</xdr:rowOff>
    </xdr:to>
    <xdr:graphicFrame macro="">
      <xdr:nvGraphicFramePr>
        <xdr:cNvPr id="3" name="Chart 1">
          <a:extLst>
            <a:ext uri="{FF2B5EF4-FFF2-40B4-BE49-F238E27FC236}">
              <a16:creationId xmlns:a16="http://schemas.microsoft.com/office/drawing/2014/main" id="{F03DBA5D-3837-3941-9F40-CD0A941198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unioxfordnexus-my.sharepoint.com/personal/spet5907_ox_ac_uk/Documents/CCG/Work/MinFin/MinFin%20Development/Team%20Folder/NCQG/COP/COP%20Dash.xlsx" TargetMode="External"/><Relationship Id="rId1" Type="http://schemas.openxmlformats.org/officeDocument/2006/relationships/externalLinkPath" Target="https://unioxfordnexus-my.sharepoint.com/personal/spet5907_ox_ac_uk/Documents/CCG/Work/MinFin/MinFin%20Development/Team%20Folder/NCQG/COP/COP%20Dash.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Financing Baseline"/>
      <sheetName val="NCQG"/>
    </sheetNames>
    <sheetDataSet>
      <sheetData sheetId="0"/>
      <sheetData sheetId="1"/>
    </sheetDataSet>
  </externalBook>
</externalLink>
</file>

<file path=xl/persons/person.xml><?xml version="1.0" encoding="utf-8"?>
<personList xmlns="http://schemas.microsoft.com/office/spreadsheetml/2018/threadedcomments" xmlns:x="http://schemas.openxmlformats.org/spreadsheetml/2006/main">
  <person displayName="Vivien Foster" id="{3C8BD331-EDC9-4C96-BC1B-E8AB3CF85BD8}" userId="aa32ee92e428ae7c" providerId="Windows Live"/>
  <person displayName="will.collier22@imperial.ac.uk" id="{2FE83714-CFDC-44C0-AD15-D3DD5B44FB09}" userId="S::urn:spo:guest#will.collier22@imperial.ac.uk::" providerId="AD"/>
  <person displayName="Luscombe, Hannah M" id="{718026A0-F262-4378-9719-0916FC4494C6}" userId="S::hl921@ic.ac.uk::973dae33-91e7-424d-b5e3-ff0030a07859" providerId="AD"/>
  <person displayName="Hannah Luscombe" id="{DE3E8B1A-35FC-4CF1-9A26-393D66D9D527}" userId="S::spet5907@ox.ac.uk::60627a01-634c-46bf-8b21-b5c32e071cb8" providerId="AD"/>
  <person displayName="William Collier" id="{EB2487BF-E2D6-4B5A-9B09-40E2F5A94DF1}" userId="S::waic01@lunet.lboro.ac.uk::1bc510e1-6bf8-4d2b-a9c9-c541158c639c" providerId="AD"/>
  <person displayName=" " id="{41181F03-CA57-824B-97F2-03A58DAE2D5E}" userId="S::hannah.luscombe21@imperial.ac.uk::d35edef0-9233-47ab-942d-06daaf3ad7c9" providerId="AD"/>
</personList>
</file>

<file path=xl/theme/theme1.xml><?xml version="1.0" encoding="utf-8"?>
<a:theme xmlns:a="http://schemas.openxmlformats.org/drawingml/2006/main" name="Office 2013 - 2022 主题">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D125" dT="2023-10-10T10:06:58.33" personId="{718026A0-F262-4378-9719-0916FC4494C6}" id="{470F9C1F-B458-5A42-929E-5CBF6C60A5DE}">
    <text>Share of Public Finance</text>
  </threadedComment>
  <threadedComment ref="E125" dT="2023-10-10T10:07:49.55" personId="{718026A0-F262-4378-9719-0916FC4494C6}" id="{D6B095B4-8C37-4C42-A050-CF67F491CC76}">
    <text>Share of Debt Finance</text>
  </threadedComment>
  <threadedComment ref="F125" dT="2023-10-10T10:08:23.26" personId="{718026A0-F262-4378-9719-0916FC4494C6}" id="{57C00A29-06F4-D641-A86D-91EB6854784A}">
    <text>Share of Domestic Finance</text>
  </threadedComment>
  <threadedComment ref="G125" dT="2023-10-10T10:10:41.58" personId="{718026A0-F262-4378-9719-0916FC4494C6}" id="{05D6193E-712F-684D-A528-6565CB36048E}">
    <text>Share of MDB Finance</text>
  </threadedComment>
  <threadedComment ref="D126" dT="2023-10-10T10:07:05.97" personId="{718026A0-F262-4378-9719-0916FC4494C6}" id="{46DDD187-A27C-C947-9AFD-6F5626B0F153}">
    <text>Share of Private Finance</text>
  </threadedComment>
  <threadedComment ref="E126" dT="2023-10-10T10:07:59.94" personId="{718026A0-F262-4378-9719-0916FC4494C6}" id="{ED017825-6E97-3641-B2EE-D62008EDD3DA}">
    <text>Share of Equity Finance</text>
  </threadedComment>
  <threadedComment ref="F126" dT="2023-10-10T10:08:37.52" personId="{718026A0-F262-4378-9719-0916FC4494C6}" id="{33AE5E91-4B8E-2448-93C1-FCA0241A1F09}">
    <text>Share of International Finance</text>
  </threadedComment>
  <threadedComment ref="G126" dT="2023-10-10T10:10:49.38" personId="{718026A0-F262-4378-9719-0916FC4494C6}" id="{2E932E48-864C-434C-98D3-BD95C668CCAB}">
    <text>Share of NDB Finance</text>
  </threadedComment>
  <threadedComment ref="G127" dT="2023-10-10T10:11:19.78" personId="{718026A0-F262-4378-9719-0916FC4494C6}" id="{BC9493D9-894E-1343-9D2C-65FDBF0CA803}">
    <text>Share of Commercial International Finance</text>
  </threadedComment>
  <threadedComment ref="G128" dT="2023-10-10T10:11:28.73" personId="{718026A0-F262-4378-9719-0916FC4494C6}" id="{86944683-3352-DE4E-AD70-145F373A7C77}">
    <text>Share of Commercial Domestic Finance</text>
  </threadedComment>
</ThreadedComments>
</file>

<file path=xl/threadedComments/threadedComment2.xml><?xml version="1.0" encoding="utf-8"?>
<ThreadedComments xmlns="http://schemas.microsoft.com/office/spreadsheetml/2018/threadedcomments" xmlns:x="http://schemas.openxmlformats.org/spreadsheetml/2006/main">
  <threadedComment ref="B41" dT="2025-01-07T11:04:40.50" personId="{DE3E8B1A-35FC-4CF1-9A26-393D66D9D527}" id="{35ACD4F3-4CCB-9A4D-8865-430A930F3FA6}">
    <text>If the Donor MIRR falls below the Donor Opportunity Cost in cell B3, the investment is a poor proposition from their perspective</text>
  </threadedComment>
</ThreadedComments>
</file>

<file path=xl/threadedComments/threadedComment3.xml><?xml version="1.0" encoding="utf-8"?>
<ThreadedComments xmlns="http://schemas.microsoft.com/office/spreadsheetml/2018/threadedcomments" xmlns:x="http://schemas.openxmlformats.org/spreadsheetml/2006/main">
  <threadedComment ref="A37" dT="2024-10-17T11:21:34.39" personId="{EB2487BF-E2D6-4B5A-9B09-40E2F5A94DF1}" id="{2AEAE1FB-9B0A-4AD6-8E21-94EE3A19F72D}">
    <text>Ratio of currency (LCU) to USD</text>
  </threadedComment>
  <threadedComment ref="A48" dT="2023-05-11T09:37:32.44" personId="{3C8BD331-EDC9-4C96-BC1B-E8AB3CF85BD8}" id="{86A0B177-E9F8-4B6C-8C4C-4466CF195D49}">
    <text>Give a unique name to each project. There are likely to be multiple rows repeating each project, reflecting the fact that there will be multiple financiers for each project.</text>
  </threadedComment>
  <threadedComment ref="B48" dT="2023-05-11T09:38:04.09" personId="{3C8BD331-EDC9-4C96-BC1B-E8AB3CF85BD8}" id="{9555FA75-2E3D-4E76-AC3A-334108121AB9}">
    <text>List each financier in a separate row.</text>
  </threadedComment>
  <threadedComment ref="E48" dT="2024-10-17T14:19:51.06" personId="{DE3E8B1A-35FC-4CF1-9A26-393D66D9D527}" id="{5073AE5E-BAF8-394E-83B4-7A485F59AD58}">
    <text>This is loan year 0</text>
  </threadedComment>
  <threadedComment ref="G48" dT="2023-05-11T09:43:35.14" personId="{3C8BD331-EDC9-4C96-BC1B-E8AB3CF85BD8}" id="{942412FB-6404-4EE1-9E12-3A090093D58B}">
    <text>Use drop down menu to indicate whether this source of finance is a Loan, a Grant or some form of Equity.</text>
  </threadedComment>
  <threadedComment ref="H48" dT="2023-05-11T10:19:06.73" personId="{3C8BD331-EDC9-4C96-BC1B-E8AB3CF85BD8}" id="{E3DAF25F-C813-47F5-8264-6009724D4413}">
    <text>Use drop down menu to indicate whether the financing comes from a Public sector or Private sector source</text>
  </threadedComment>
  <threadedComment ref="I48" dT="2023-05-11T09:54:12.64" personId="{3C8BD331-EDC9-4C96-BC1B-E8AB3CF85BD8}" id="{2A19A216-5403-45F4-BD12-42145ED1EEE8}">
    <text xml:space="preserve">Use the drop down menu to indicate the type of institution providing the finance.  </text>
  </threadedComment>
  <threadedComment ref="J48" dT="2023-05-11T10:25:09.54" personId="{3C8BD331-EDC9-4C96-BC1B-E8AB3CF85BD8}" id="{E3C3E0B2-42CF-47DC-93FD-A858B6340962}">
    <text>Use the drop down menu to indicate the geographic origen of the finance.</text>
  </threadedComment>
  <threadedComment ref="K48" dT="2023-05-11T09:44:23.52" personId="{3C8BD331-EDC9-4C96-BC1B-E8AB3CF85BD8}" id="{0C11403F-5231-4C6D-80E3-1C3236268D1E}">
    <text>Insert here the value of the finance provided. In the case of a loan, this would be the Principal.</text>
  </threadedComment>
  <threadedComment ref="L48" dT="2024-10-17T14:20:05.75" personId="{EB2487BF-E2D6-4B5A-9B09-40E2F5A94DF1}" id="{C30E2A75-3619-418E-823E-FFDE1EA869FA}">
    <text>Currency selection limited to data input in table C33-C39</text>
  </threadedComment>
  <threadedComment ref="M48" dT="2024-09-19T12:23:03.25" personId="{EB2487BF-E2D6-4B5A-9B09-40E2F5A94DF1}" id="{AEE7F442-D0E2-4643-801B-2A344AABE1B6}">
    <text>These are based on the exchange rates defined in rows 22-28 (For Local Currency)</text>
  </threadedComment>
  <threadedComment ref="N48" dT="2024-09-19T12:23:20.45" personId="{EB2487BF-E2D6-4B5A-9B09-40E2F5A94DF1}" id="{BD627663-C314-452A-ADF6-FF170DFBD1EB}">
    <text>These are based on the exchange rates defined in rows 22-28 (For Foreign Currency)</text>
  </threadedComment>
  <threadedComment ref="P48" dT="2023-08-21T15:33:19.89" personId="{718026A0-F262-4378-9719-0916FC4494C6}" id="{0EBC05A4-90BE-2146-9D91-B65F98305CCC}">
    <text>For a (1) loan enter the interest rate If interest rate is a mark-up over a central bank benchmark rate, you will need to look-up the benchmark rate for the corresponding year in which the loan was issued. For (2) equity enter the rate of return</text>
  </threadedComment>
  <threadedComment ref="Q48" dT="2023-08-21T15:32:40.10" personId="{718026A0-F262-4378-9719-0916FC4494C6}" id="{2D6C534E-6666-4F49-9772-02010DF106D4}">
    <text xml:space="preserve"> For a (1) loan enter the term of Loan, for (2) equity enter the lifetime of the project</text>
  </threadedComment>
  <threadedComment ref="R48" dT="2023-06-27T12:55:31.80" personId="{718026A0-F262-4378-9719-0916FC4494C6}" id="{E9779A19-FCA3-4721-98F0-8EEA88712E29}">
    <text>The amount of years left of the loan term</text>
  </threadedComment>
  <threadedComment ref="S48" dT="2023-05-11T09:48:16.89" personId="{3C8BD331-EDC9-4C96-BC1B-E8AB3CF85BD8}" id="{5506784F-7D55-426C-8935-2390C8507269}">
    <text>The Grace Period is only relevant for highly concessional lending where the borrower is allowed to defer repayment of the loan for several years. In most cases, this will take a value of zero.</text>
  </threadedComment>
  <threadedComment ref="T48" dT="2023-06-20T08:36:30.67" personId="{718026A0-F262-4378-9719-0916FC4494C6}" id="{7CE13147-901D-4520-B9D5-FA35BC334875}">
    <text>Refer to- https://one.oecd.org/document/DEV/DOC/WKP(2017)5/En/pdf</text>
  </threadedComment>
  <threadedComment ref="Z48" dT="2023-05-11T10:56:33.43" personId="{3C8BD331-EDC9-4C96-BC1B-E8AB3CF85BD8}" id="{9B999879-F5B4-40B1-A90D-9F439B047F77}">
    <text>Please provide here any comments or relevant source materials, particularly for data that does not come from our international databases.</text>
  </threadedComment>
  <threadedComment ref="K49" dT="2023-10-24T09:14:38.13" personId="{2FE83714-CFDC-44C0-AD15-D3DD5B44FB09}" id="{A4DF6DFE-1943-47A7-A886-5F6AE23C5784}">
    <text xml:space="preserve">Equity based on Percentage shares reported in 
https://www.centum.co.ke/images/docs/Statement_by_Centum_Investment_on_Akiira_Geothermal_Ltd.pdf 
Also states Grant of $2.3 million from OPIC, GFRM and Seed Capital Assistance
BII (CDC) also claims to have made an investment of $4.2 Million between April 2016 and Dec 2020, but not shown in any other investor statements
https://www.bii.co.uk/en/our-impact/investment/akiira-geothermal/ </text>
    <extLst>
      <x:ext xmlns:xltc2="http://schemas.microsoft.com/office/spreadsheetml/2020/threadedcomments2" uri="{F7C98A9C-CBB3-438F-8F68-D28B6AF4A901}">
        <xltc2:checksum>2738595209</xltc2:checksum>
        <xltc2:hyperlink startIndex="48" length="96" url="https://www.centum.co.ke/images/docs/Statement_by_Centum_Investment_on_Akiira_Geothermal_Ltd.pdf"/>
        <xltc2:hyperlink startIndex="372" length="65" url="https://www.bii.co.uk/en/our-impact/investment/akiira-geothermal/"/>
      </x:ext>
    </extLst>
  </threadedComment>
  <threadedComment ref="P49" dT="2023-10-25T11:22:53.59" personId="{41181F03-CA57-824B-97F2-03A58DAE2D5E}" id="{2E1A744D-FFFD-47AE-B326-1A1B90D0BAC8}">
    <text>16. 8% RR on Kenya Geothermal 
https://opendocs.ids.ac.uk/opendocs/bitstream/handle/20.500.12413/11297/ER190_CostandReturnsofRenewableEnergyinSubSaharanAfricaAComparisonofKenyaandGhana.pdf?sequence=1</text>
  </threadedComment>
  <threadedComment ref="Q49" dT="2023-10-25T11:28:14.56" personId="{41181F03-CA57-824B-97F2-03A58DAE2D5E}" id="{ADA9B7B4-8FB6-415E-8810-DDFDE63F2ECC}">
    <text>Term of equity projects assumed to be the same as project lifetime, which is derived from OSeMOSYS inputs.
https://www.sciencedirect.com/science/article/pii/S2352340922002323?fr=RR-9&amp;ref=pdf_download&amp;rr=81ba1e5b38a9dd88</text>
  </threadedComment>
  <threadedComment ref="I50" dT="2023-10-25T11:37:48.33" personId="{41181F03-CA57-824B-97F2-03A58DAE2D5E}" id="{727221D9-B180-47E2-A023-4DEC6F3B9D59}">
    <text>Centum Investment Company Plc, commonly known as Centum is a public East African investment company. It operates as an affiliate of the Kenyan government-owned Industrial and Commercial Development Corporation</text>
  </threadedComment>
  <threadedComment ref="K50" dT="2023-10-25T11:10:40.62" personId="{41181F03-CA57-824B-97F2-03A58DAE2D5E}" id="{940BBA02-5562-4F39-B042-44D75AD4B8BE}">
    <text>Of the 380$: debt (70%) and equity (30%)
Equity: 37.5% Centum, 37.5% Frontier, 10% ram energy and 15% marine power. 
Debt: EIB $192, 71.25 centum
https://ewsdata.rightsindevelopment.org/projects/20140645-akiira-i-geothermal-power-plant/
https://www.centum.co.ke/images/docs/Statement_by_Centum_Investment_on_Akiira_Geothermal_Ltd.pdf</text>
  </threadedComment>
  <threadedComment ref="P50" dT="2023-10-25T11:45:28.47" personId="{41181F03-CA57-824B-97F2-03A58DAE2D5E}" id="{E167DDF2-463D-48A9-A486-179B12632622}">
    <text>16.8% RR on Kenya Geothermal 
https://opendocs.ids.ac.uk/opendocs/bitstream/handle/20.500.12413/11297/ER190_CostandReturnsofRenewableEnergyinSubSaharanAfricaAComparisonofKenyaandGhana.pdf?sequence=1</text>
  </threadedComment>
  <threadedComment ref="Q50" dT="2023-10-25T11:28:26.87" personId="{41181F03-CA57-824B-97F2-03A58DAE2D5E}" id="{7F871619-F1ED-418C-B5D3-6944FE8A4DF7}">
    <text>Term of equity projects assumed to be the same as project lifetime, which is derived from OSeMOSYS inputs.
https://www.sciencedirect.com/science/article/pii/S2352340922002323?fr=RR-9&amp;ref=pdf_download&amp;rr=81ba1e5b38a9dd88</text>
  </threadedComment>
  <threadedComment ref="K51" dT="2023-10-25T11:05:59.64" personId="{2FE83714-CFDC-44C0-AD15-D3DD5B44FB09}" id="{C948F75A-F265-4504-A937-B1B24E812BB6}">
    <text>Centum contribute a total of 30% financing including equity
https://ewsdata.rightsindevelopment.org/projects/20140645-akiira-i-geothermal-power-plant/</text>
  </threadedComment>
  <threadedComment ref="P51" dT="2023-11-03T16:17:30.33" personId="{2FE83714-CFDC-44C0-AD15-D3DD5B44FB09}" id="{B31A60A2-01D5-4FE1-A759-C6867D204034}">
    <text>Weighted Average Terms for Climate Fund loans based on values from this dataset
Term:        Interest     Term      Grace
Value:        4.96%      14.11       1.00
%Known:   6.19%     29.29%    5.75%</text>
  </threadedComment>
  <threadedComment ref="Q51" dT="2023-10-25T11:55:24.09" personId="{41181F03-CA57-824B-97F2-03A58DAE2D5E}" id="{8D2FE849-2FE5-448F-BBC2-22833A59CCA8}">
    <text>“the average interest rate and grace period on new external loans contracted in financial year 2014/15 was 2.5 per cent and 6.4 years respectively. This profile, together with the long maturity of 21 years yield”
https://www.cabri-sbo.org/en/documents/annual-public-debt-management-report-2014-2015</text>
  </threadedComment>
  <threadedComment ref="S51" dT="2023-10-25T11:55:39.81" personId="{41181F03-CA57-824B-97F2-03A58DAE2D5E}" id="{AB241B28-904B-40B1-B147-E6406B13E69A}">
    <text>“the average interest rate and grace period on new external loans contracted in financial year 2014/15 was 2.5 per cent and 6.4 years respectively. This profile, together with the long maturity of 21 years yield”
https://www.cabri-sbo.org/en/documents/annual-public-debt-management-report-2014-2015</text>
  </threadedComment>
  <threadedComment ref="P52" dT="2023-10-25T11:45:38.53" personId="{41181F03-CA57-824B-97F2-03A58DAE2D5E}" id="{75139492-5418-4AFE-A8EA-605DCE5763AE}">
    <text>16.8% RR on Kenya Geothermal 
https://opendocs.ids.ac.uk/opendocs/bitstream/handle/20.500.12413/11297/ER190_CostandReturnsofRenewableEnergyinSubSaharanAfricaAComparisonofKenyaandGhana.pdf?sequence=1</text>
  </threadedComment>
  <threadedComment ref="Q52" dT="2023-10-25T11:28:33.88" personId="{41181F03-CA57-824B-97F2-03A58DAE2D5E}" id="{370D307B-5CDD-4D95-BF07-94254A5C4C6F}">
    <text>Term of equity projects assumed to be the same as project lifetime, which is derived from OSeMOSYS inputs.
https://www.sciencedirect.com/science/article/pii/S2352340922002323?fr=RR-9&amp;ref=pdf_download&amp;rr=81ba1e5b38a9dd88</text>
  </threadedComment>
  <threadedComment ref="P53" dT="2023-10-25T11:45:42.38" personId="{41181F03-CA57-824B-97F2-03A58DAE2D5E}" id="{038FFFBC-6FF1-4E8E-810A-B21D84977F08}">
    <text>16.8% RR on Kenya Geothermal 
https://opendocs.ids.ac.uk/opendocs/bitstream/handle/20.500.12413/11297/ER190_CostandReturnsofRenewableEnergyinSubSaharanAfricaAComparisonofKenyaandGhana.pdf?sequence=1</text>
  </threadedComment>
  <threadedComment ref="Q53" dT="2023-10-25T11:30:53.30" personId="{41181F03-CA57-824B-97F2-03A58DAE2D5E}" id="{302A78DE-2244-49E9-986A-12BCED68ECFE}">
    <text>Term of equity projects assumed to be the same as project lifetime, which is derived from OSeMOSYS inputs.
https://www.sciencedirect.com/science/article/pii/S2352340922002323?fr=RR-9&amp;ref=pdf_download&amp;rr=81ba1e5b38a9dd88</text>
  </threadedComment>
  <threadedComment ref="K54" dT="2023-10-24T09:41:11.43" personId="{2FE83714-CFDC-44C0-AD15-D3DD5B44FB09}" id="{9F23A7EE-44DA-4CC3-9D54-B0E27D639456}">
    <text>Gained EIB investment of $155 Million. However this was withdrawn following an investigation into forced evictions:
https://accountabilityproject.org/wp-content/uploads/2019/10/Akiira-1-Geothermal-Power-Plant-Project-Community-Led-Research-and-Outreach-Report.pdf
Recent Reports state debt financing for 75% of the project: 
https://www.africa-energy.com/news-centre/article/kenya-centum-lines-debt-akiira-geothermal-project</text>
  </threadedComment>
  <threadedComment ref="P54" dT="2023-11-03T14:41:18.28" personId="{2FE83714-CFDC-44C0-AD15-D3DD5B44FB09}" id="{836555D9-E81B-4911-BDCA-DF692CFE5C84}">
    <text>Weighted Average Terms for Multilateral Agency loans based on values from this dataset
Term:        Interest     Term      Grace
Value:        2.39%      33.67       6.96
%Known:  46.21%    52.38%   44.87%</text>
  </threadedComment>
  <threadedComment ref="Q54" dT="2023-11-06T15:46:29.89" personId="{2FE83714-CFDC-44C0-AD15-D3DD5B44FB09}" id="{18377ED2-7386-4CAB-B00D-FB2B2620D620}">
    <text>Weighted Average Terms for Multilateral Agency loans based on values from this dataset
Term:        Interest     Term      Grace
Value:        2.39%      33.67       6.96
%Known:  46.21%    52.38%   44.87%</text>
  </threadedComment>
  <threadedComment ref="S54" dT="2023-11-06T15:46:37.46" personId="{2FE83714-CFDC-44C0-AD15-D3DD5B44FB09}" id="{56A5EABA-C5F6-4126-9C88-8BEC76B38202}">
    <text>Weighted Average Terms for Multilateral Agency loans based on values from this dataset
Term:        Interest     Term      Grace
Value:        2.39%      33.67       6.96
%Known:  46.21%    52.38%   44.87%</text>
  </threadedComment>
  <threadedComment ref="F55" dT="2023-10-25T12:17:29.28" personId="{41181F03-CA57-824B-97F2-03A58DAE2D5E}" id="{3013E9AD-3558-446F-BF94-0A462ABA02D4}">
    <text>multi-donor fund in Sub-Saharan Africa</text>
  </threadedComment>
  <threadedComment ref="H55" dT="2023-10-25T12:08:47.96" personId="{41181F03-CA57-824B-97F2-03A58DAE2D5E}" id="{2F1D953E-4746-4136-B330-982DF1554000}">
    <text>Blended Finance</text>
  </threadedComment>
  <threadedComment ref="K55" dT="2023-10-24T10:09:44.21" personId="{2FE83714-CFDC-44C0-AD15-D3DD5B44FB09}" id="{5A1C066E-9A4C-4D0A-9513-5EA7E38C8CBE}">
    <text>EAIF (Emerging Africa Infrastructure Fund) provide $35 Million over 15 years
https://www.eaif.com/eaif-backs-40mw-kesses-solar-project-in-kenya-with-us35-million-loan/</text>
  </threadedComment>
  <threadedComment ref="P55" dT="2023-11-03T16:17:30.33" personId="{2FE83714-CFDC-44C0-AD15-D3DD5B44FB09}" id="{66CF8BD0-73C6-410D-9941-051F72B3F8C2}">
    <text>Weighted Average Terms for Climate Fund loans based on values from this dataset
Term:        Interest     Term      Grace
Value:        4.96%      14.11       1.00
%Known:   6.19%     29.29%    5.75%</text>
  </threadedComment>
  <threadedComment ref="Q55" dT="2023-10-25T12:13:38.52" personId="{41181F03-CA57-824B-97F2-03A58DAE2D5E}" id="{D77B95F7-EF0F-4321-9C0F-AFC70CEF55FF}">
    <text>https://www.eaif.com/eaif-backs-40mw-kesses-solar-project-in-kenya-with-us35-million-loan/</text>
  </threadedComment>
  <threadedComment ref="S55" dT="2023-11-06T15:43:15.09" personId="{2FE83714-CFDC-44C0-AD15-D3DD5B44FB09}" id="{17FBF656-9F71-48A5-B861-FB216DCD36A2}">
    <text>Weighted Average Terms for Climate Fund loans based on values from this dataset
Term:        Interest     Term      Grace
Value:        4.96%      14.11       1.00
%Known:   6.19%     29.29%    5.75%</text>
  </threadedComment>
  <threadedComment ref="K56" dT="2023-10-24T10:12:40.14" personId="{2FE83714-CFDC-44C0-AD15-D3DD5B44FB09}" id="{4B3F0AC8-D1CD-4D60-A5BA-D99DE404B48D}">
    <text>Standard Bank, acting through CIB and Stanbic Bank Kenya LTD. loaning $41 Million and action as Lending Arranger EAIF backs 40MW Kesses solar project in Kenya with US$35 million loan - Emerging Africa Infrastructure Fund</text>
    <extLst>
      <x:ext xmlns:xltc2="http://schemas.microsoft.com/office/spreadsheetml/2020/threadedcomments2" uri="{F7C98A9C-CBB3-438F-8F68-D28B6AF4A901}">
        <xltc2:checksum>1633543199</xltc2:checksum>
        <xltc2:hyperlink startIndex="113" length="107" url="https://www.eaif.com/eaif-backs-40mw-kesses-solar-project-in-kenya-with-us35-million-loan/"/>
      </x:ext>
    </extLst>
  </threadedComment>
  <threadedComment ref="P56" dT="2023-10-30T14:42:53.19" personId="{2FE83714-CFDC-44C0-AD15-D3DD5B44FB09}" id="{F9A7A7E7-6A95-4CF7-B50B-D31519632953}">
    <text xml:space="preserve">Weighted Average Terms for Commercial Bank loans based on values from this dataset
Term:        Interest     Term      Grace
Value:        8.03%      15.00       1.50
%Known:  27.11%    27.11%   27.11%
 </text>
  </threadedComment>
  <threadedComment ref="Q56" dT="2023-11-06T16:02:06.85" personId="{2FE83714-CFDC-44C0-AD15-D3DD5B44FB09}" id="{633048F9-2B0E-4583-83DA-DA1B49ABDB10}">
    <text>Weighted Average Terms for Commercial Bank loans based on values from this dataset
Term:        Interest     Term      Grace
Value:        8.03%      15.00       1.50
%Known:  27.11%    27.11%   27.11%</text>
  </threadedComment>
  <threadedComment ref="S56" dT="2023-11-06T16:02:11.12" personId="{2FE83714-CFDC-44C0-AD15-D3DD5B44FB09}" id="{2BB98A7C-A6BC-4E77-8A76-9C9506C56E7D}">
    <text>Weighted Average Terms for Commercial Bank loans based on values from this dataset
Term:        Interest     Term      Grace
Value:        8.03%      15.00       1.50
%Known:  27.11%    27.11%   27.11%</text>
  </threadedComment>
  <threadedComment ref="K57" dT="2023-11-02T15:37:51.12" personId="{2FE83714-CFDC-44C0-AD15-D3DD5B44FB09}" id="{FC07E8EB-E216-4B89-9039-C9528083EEA7}">
    <text>Remaining financing of total project costs ($87M) assumed to be Equity financed by Spanish Project Developer Alten Energías Renovables 
https://www.eaif.com/eaif-backs-40mw-kesses-solar-project-in-kenya-with-us35-million-loan/#:~:text=The%20project%20will%20cost%20a,Group%2C%20in%20late%20December%202021.</text>
  </threadedComment>
  <threadedComment ref="P57" dT="2023-10-31T14:20:41.90" personId="{2FE83714-CFDC-44C0-AD15-D3DD5B44FB09}" id="{144EA4BE-96EA-4F3E-9155-F3C36F55A658}">
    <text>Interest Rates based on Equity Rate of Return for Solar Projects from 
Page 38 (PDF Page 40)
https://core.ac.uk/download/pdf/43542198.pdf</text>
  </threadedComment>
  <threadedComment ref="Q57" dT="2023-10-27T11:52:31.41" personId="{2FE83714-CFDC-44C0-AD15-D3DD5B44FB09}" id="{8BAD5085-AE93-4CA3-B349-3CEA39862F24}">
    <text>Based on Operational Life of Solar PV in Africa reported in:
https://www.sciencedirect.com/science/article/pii/S2352340922002323
Lucy Allington, Carla Cannone, Ioannis Pappis, Karla Cervantes Barron, Will Usher, Steve Pye, Edward Brown, Mark Howells, Miriam Zachau Walker, Aniq Ahsan, Flora Charbonnier, Claire Halloran, Stephanie Hirmer, Jennifer Cronin, Constantinos Taliotis, Caroline Sundin, Vignesh Sridharan, Eunice Ramos, Maarten Brinkerink, Paul Deane, Andrii Gritsevskyi, Gustavo Moura, Arnaud Rouget, David Wogan, Edito Barcelona, Taco Niet, Holger Rogner, Franziska Bock, Jairo Quirós-Tortós, Jam Angulo-Paniagua, Satheesh Krishnamurthy, John Harrison, Long Seng To,
Selected ‘Starter kit’ energy system modelling data for selected countries in Africa, East Asia, and South America (#CCG, 2021),
Data in Brief,
Volume 42,
2022,
108021,
ISSN 2352-3409,
https://doi.org/10.1016/j.dib.2022.108021.</text>
    <extLst>
      <x:ext xmlns:xltc2="http://schemas.microsoft.com/office/spreadsheetml/2020/threadedcomments2" uri="{F7C98A9C-CBB3-438F-8F68-D28B6AF4A901}">
        <xltc2:checksum>3020030219</xltc2:checksum>
        <xltc2:hyperlink startIndex="62" length="67" url="https://www.sciencedirect.com/science/article/pii/S2352340922002323"/>
      </x:ext>
    </extLst>
  </threadedComment>
  <threadedComment ref="K58" dT="2023-10-24T10:41:19.76" personId="{2FE83714-CFDC-44C0-AD15-D3DD5B44FB09}" id="{83B56362-F3CE-49D7-BBD4-192A1B2FC96F}">
    <text>Estimated Cost ~$30 Million
$21 Million (70% Debt financing) from Equity Bank
$1 Million Grant from AECF
$8 Million (remainder) from Cummins Equity
https://www.businessdailyafrica.com/corporate/Cummins-to-supply-2MW-from-Mathenge/539550-2622192-b1hxuhz/index.html</text>
  </threadedComment>
  <threadedComment ref="P58" dT="2023-10-30T14:42:53.19" personId="{2FE83714-CFDC-44C0-AD15-D3DD5B44FB09}" id="{2862D644-89A7-4F19-98C6-86E06C9AC504}">
    <text xml:space="preserve">Weighted Average Terms for Commercial Bank loans based on values from this dataset
Term:        Interest     Term      Grace
Value:        8.03%      15.00       1.50
%Known:  27.11%    27.11%   27.11%
 </text>
  </threadedComment>
  <threadedComment ref="Q58" dT="2023-11-06T16:02:06.85" personId="{2FE83714-CFDC-44C0-AD15-D3DD5B44FB09}" id="{80A61520-3EBE-43F6-9773-A4CA81C709D8}">
    <text>Weighted Average Terms for Commercial Bank loans based on values from this dataset
Term:        Interest     Term      Grace
Value:        8.03%      15.00       1.50
%Known:  27.11%    27.11%   27.11%</text>
  </threadedComment>
  <threadedComment ref="S58" dT="2023-11-06T16:02:11.12" personId="{2FE83714-CFDC-44C0-AD15-D3DD5B44FB09}" id="{C19B550E-EEC4-4BFE-A964-18292DFB7E38}">
    <text>Weighted Average Terms for Commercial Bank loans based on values from this dataset
Term:        Interest     Term      Grace
Value:        8.03%      15.00       1.50
%Known:  27.11%    27.11%   27.11%</text>
  </threadedComment>
  <threadedComment ref="Q59" dT="2023-10-25T13:56:16.82" personId="{41181F03-CA57-824B-97F2-03A58DAE2D5E}" id="{CC930C14-DE97-432B-AB26-0612FC03B582}">
    <text>Term of equity projects assumed to be the same as project lifetime, which is derived from OSeMOSYS inputs.
https://www.sciencedirect.com/science/article/pii/S2352340922002323?fr=RR-9&amp;ref=pdf_download&amp;rr=81ba1e5b38a9dd88</text>
  </threadedComment>
  <threadedComment ref="K60" dT="2023-10-24T10:42:38.44" personId="{2FE83714-CFDC-44C0-AD15-D3DD5B44FB09}" id="{C5875CE9-499F-4210-969B-D015EA52FB1A}">
    <text>Klagge, B. and Nweke-Eze, C., 2020. Financing large-scale renewable-energy projects in Kenya: investor types, international connections, and financialization. Geografiska Annaler: Series B, Human Geography, 102(1), pp.61-83.</text>
  </threadedComment>
  <threadedComment ref="Q60" dT="2023-10-25T13:56:20.89" personId="{41181F03-CA57-824B-97F2-03A58DAE2D5E}" id="{75ED6D61-4595-4F4C-94A6-0008515509A0}">
    <text>Term of equity projects assumed to be the same as project lifetime, which is derived from OSeMOSYS inputs.
https://www.sciencedirect.com/science/article/pii/S2352340922002323?fr=RR-9&amp;ref=pdf_download&amp;rr=81ba1e5b38a9dd88</text>
  </threadedComment>
  <threadedComment ref="P61" dT="2023-11-03T15:34:21.17" personId="{2FE83714-CFDC-44C0-AD15-D3DD5B44FB09}" id="{4A4F0EB7-1FCD-4BE7-8A24-826EB58485FE}">
    <text>Weighted Average Terms for Foreign Gov. loans based on values from this dataset
Term:        Interest     Term      Grace
Value:        2.41%      23.58       6.54
%Known:  51.96%    66.91%   50.41%</text>
  </threadedComment>
  <threadedComment ref="Q61" dT="2023-11-07T12:12:36.39" personId="{2FE83714-CFDC-44C0-AD15-D3DD5B44FB09}" id="{4CAB76F9-819C-4DF1-B8A1-BD43FD75C232}">
    <text>Weighted Average Terms for Foreign Gov. loans based on values from this dataset
Term:        Interest     Term      Grace
Value:        2.41%      23.58       6.54
%Known:  51.96%    66.91%   50.41%</text>
  </threadedComment>
  <threadedComment ref="S61" dT="2023-11-07T12:12:52.06" personId="{2FE83714-CFDC-44C0-AD15-D3DD5B44FB09}" id="{A1103560-6173-43C8-95C9-2AB274E448B3}">
    <text>Weighted Average Terms for Foreign Gov. loans based on values from this dataset
Term:        Interest     Term      Grace
Value:        2.41%      23.58       6.54
%Known:  51.96%    66.91%   50.41%</text>
  </threadedComment>
  <threadedComment ref="K62" dT="2023-10-24T10:43:26.94" personId="{2FE83714-CFDC-44C0-AD15-D3DD5B44FB09}" id="{F1D3C7CF-5272-49BC-8E29-9B5D9AF6FD13}">
    <text xml:space="preserve"> https://guarantco.com/our-portfolio/bboxx/
$15 Million Loan from SBM Bank Kenya, and $11.25 Million (75%) guarantee on the loan instruments
</text>
    <extLst>
      <x:ext xmlns:xltc2="http://schemas.microsoft.com/office/spreadsheetml/2020/threadedcomments2" uri="{F7C98A9C-CBB3-438F-8F68-D28B6AF4A901}">
        <xltc2:checksum>839900150</xltc2:checksum>
        <xltc2:hyperlink startIndex="1" length="42" url="https://guarantco.com/our-portfolio/bboxx/"/>
      </x:ext>
    </extLst>
  </threadedComment>
  <threadedComment ref="P62" dT="2023-10-30T14:42:53.19" personId="{2FE83714-CFDC-44C0-AD15-D3DD5B44FB09}" id="{F1961460-F330-4827-A34B-D60BC362CC88}">
    <text xml:space="preserve">Weighted Average Terms for Commercial Bank loans based on values from this dataset
Term:        Interest     Term      Grace
Value:        8.03%      15.00       1.50
%Known:  27.11%    27.11%   27.11%
 </text>
  </threadedComment>
  <threadedComment ref="Q62" dT="2023-11-06T16:02:06.85" personId="{2FE83714-CFDC-44C0-AD15-D3DD5B44FB09}" id="{EA02FA3D-4903-453F-AF75-EF7E94CAED77}">
    <text>Weighted Average Terms for Commercial Bank loans based on values from this dataset
Term:        Interest     Term      Grace
Value:        8.03%      15.00       1.50
%Known:  27.11%    27.11%   27.11%</text>
  </threadedComment>
  <threadedComment ref="S62" dT="2023-11-06T16:02:11.12" personId="{2FE83714-CFDC-44C0-AD15-D3DD5B44FB09}" id="{AA3FD464-9B40-462A-84A4-D9C9BE5E8954}">
    <text>Weighted Average Terms for Commercial Bank loans based on values from this dataset
Term:        Interest     Term      Grace
Value:        8.03%      15.00       1.50
%Known:  27.11%    27.11%   27.11%</text>
  </threadedComment>
  <threadedComment ref="K63" dT="2023-10-24T10:51:41.83" personId="{2FE83714-CFDC-44C0-AD15-D3DD5B44FB09}" id="{DD66B86E-8159-4ADF-A85B-3D36C1484745}">
    <text>Ethiopia-Kenya - Electricity Highway - Appraisal Report (afdb.org)
Gives breakdowns of Kenyan portion of Financing for Project as well as IRR on equity. 
*Note. Portion of Funds allocated to separate Nairobi Ring Project</text>
    <extLst>
      <x:ext xmlns:xltc2="http://schemas.microsoft.com/office/spreadsheetml/2020/threadedcomments2" uri="{F7C98A9C-CBB3-438F-8F68-D28B6AF4A901}">
        <xltc2:checksum>1712458885</xltc2:checksum>
        <xltc2:hyperlink startIndex="0" length="66" url="https://www.afdb.org/fileadmin/uploads/afdb/Documents/Project-and-Operations/Ethiopia-Kenya_-_Ethiopia-Kenya_Electricity_Highway_-Project_Appraisal_Report_.pdf"/>
      </x:ext>
    </extLst>
  </threadedComment>
  <threadedComment ref="P63" dT="2023-11-02T10:13:56.74" personId="{2FE83714-CFDC-44C0-AD15-D3DD5B44FB09}" id="{A16B20E7-A3D6-4FAA-8F4E-718EE98E5FD3}">
    <text>1.6% interest loan to GoK reported in:
https://www.treasury.go.ke/wp-content/uploads/2021/09/External-Public-Debt-Register-as-at-End-June-2019.pdf</text>
  </threadedComment>
  <threadedComment ref="Q63" dT="2023-11-02T10:17:10.57" personId="{2FE83714-CFDC-44C0-AD15-D3DD5B44FB09}" id="{A5956E0E-E020-4641-B21C-725F0A406E42}">
    <text>Part of Ethiopia Energy Highway Project: Repayments start 2021, end 2033
9 year grace
21 year maturity
https://www.treasury.go.ke/wp-content/uploads/2021/09/External-Public-Debt-Register-as-at-End-June-2019.pdf</text>
  </threadedComment>
  <threadedComment ref="S63" dT="2023-11-02T10:17:46.22" personId="{2FE83714-CFDC-44C0-AD15-D3DD5B44FB09}" id="{2469C3B9-994C-4BA4-8E1A-D8740D2E6620}">
    <text>Part of Ethiopia Energy Highway Project: Repayments start 2021, end 2033
9 year grace
21 year maturity
https://www.treasury.go.ke/wp-content/uploads/2021/09/External-Public-Debt-Register-as-at-End-June-2019.pdf</text>
  </threadedComment>
  <threadedComment ref="K64" dT="2023-10-27T13:44:28.15" personId="{41181F03-CA57-824B-97F2-03A58DAE2D5E}" id="{5749E0BF-CFCB-47EF-B02E-1554D88CCB4D}">
    <text>Page 5, Table 2.5
https://www.afdb.org/fileadmin/uploads/afdb/Documents/Project-and-Operations/Ethiopia-Kenya_-_Ethiopia-Kenya_Electricity_Highway_-Project_Appraisal_Report_.pdf</text>
  </threadedComment>
  <threadedComment ref="P64" dT="2023-10-27T14:01:09.54" personId="{41181F03-CA57-824B-97F2-03A58DAE2D5E}" id="{ADBB24D7-6877-49D9-9B55-E660F7F61C16}">
    <text>IRR Page iii
https://www.afdb.org/fileadmin/uploads/afdb/Documents/Project-and-Operations/Ethiopia-Kenya_-_Ethiopia-Kenya_Electricity_Highway_-Project_Appraisal_Report_.pdf</text>
  </threadedComment>
  <threadedComment ref="Q64" dT="2023-10-27T14:01:49.94" personId="{41181F03-CA57-824B-97F2-03A58DAE2D5E}" id="{68077F8F-FD1A-4071-8A26-89C1A2E64218}">
    <text>Equity assumed to be equal to the project life from OSeMOSYS</text>
  </threadedComment>
  <threadedComment ref="K65" dT="2023-10-27T13:44:39.48" personId="{41181F03-CA57-824B-97F2-03A58DAE2D5E}" id="{4F4A8D48-F52B-4674-8253-ED9B06C2CF13}">
    <text>Page 5, Table 2.5
https://www.afdb.org/fileadmin/uploads/afdb/Documents/Project-and-Operations/Ethiopia-Kenya_-_Ethiopia-Kenya_Electricity_Highway_-Project_Appraisal_Report_.pdf</text>
  </threadedComment>
  <threadedComment ref="P65" dT="2023-11-02T10:22:27.68" personId="{2FE83714-CFDC-44C0-AD15-D3DD5B44FB09}" id="{33D6135F-FFE9-4E3A-89A8-FD6E718775BB}">
    <text xml:space="preserve">Lending Rate to GoK reported in External Debt Registry
https://www.treasury.go.ke/wp-content/uploads/2021/09/External-Public-Debt-Register-as-at-End-June-2019.pdf  </text>
    <extLst>
      <x:ext xmlns:xltc2="http://schemas.microsoft.com/office/spreadsheetml/2020/threadedcomments2" uri="{F7C98A9C-CBB3-438F-8F68-D28B6AF4A901}">
        <xltc2:checksum>1851715789</xltc2:checksum>
        <xltc2:hyperlink startIndex="56" length="107" url="https://www.treasury.go.ke/wp-content/uploads/2021/09/External-Public-Debt-Register-as-at-End-June-2019.pdf"/>
      </x:ext>
    </extLst>
  </threadedComment>
  <threadedComment ref="Q65" dT="2023-11-02T10:20:41.50" personId="{2FE83714-CFDC-44C0-AD15-D3DD5B44FB09}" id="{25C65F5B-7759-4EFE-B3BA-F945445735B5}">
    <text>Reported AfDB Loan terms 
https://www.afdb.org/fileadmin/uploads/afdb/Documents/Project-and-Operations/Ethiopia-Kenya_-_Ethiopia-Kenya_Electricity_Highway_-Project_Appraisal_Report_.pdf
Agrees with GoK external debt registry: 
2022 First Repayments
2061 Reaches Maturity
https://www.treasury.go.ke/wp-content/uploads/2021/09/External-Public-Debt-Register-as-at-End-June-2019.pdf</text>
    <extLst>
      <x:ext xmlns:xltc2="http://schemas.microsoft.com/office/spreadsheetml/2020/threadedcomments2" uri="{F7C98A9C-CBB3-438F-8F68-D28B6AF4A901}">
        <xltc2:checksum>2332940588</xltc2:checksum>
        <xltc2:hyperlink startIndex="27" length="159" url="https://www.afdb.org/fileadmin/uploads/afdb/Documents/Project-and-Operations/Ethiopia-Kenya_-_Ethiopia-Kenya_Electricity_Highway_-Project_Appraisal_Report_.pdf"/>
      </x:ext>
    </extLst>
  </threadedComment>
  <threadedComment ref="S65" dT="2023-11-02T10:20:41.50" personId="{2FE83714-CFDC-44C0-AD15-D3DD5B44FB09}" id="{26260654-0A5A-4EB5-9E4B-E661D73A2108}">
    <text>Reported AfDB Loan terms 
https://www.afdb.org/fileadmin/uploads/afdb/Documents/Project-and-Operations/Ethiopia-Kenya_-_Ethiopia-Kenya_Electricity_Highway_-Project_Appraisal_Report_.pdf
Agrees with GoK external debt registry: 
2022 First Repayments
2061 Reaches Maturity
https://www.treasury.go.ke/wp-content/uploads/2021/09/External-Public-Debt-Register-as-at-End-June-2019.pdf</text>
    <extLst>
      <x:ext xmlns:xltc2="http://schemas.microsoft.com/office/spreadsheetml/2020/threadedcomments2" uri="{F7C98A9C-CBB3-438F-8F68-D28B6AF4A901}">
        <xltc2:checksum>2332940588</xltc2:checksum>
        <xltc2:hyperlink startIndex="27" length="159" url="https://www.afdb.org/fileadmin/uploads/afdb/Documents/Project-and-Operations/Ethiopia-Kenya_-_Ethiopia-Kenya_Electricity_Highway_-Project_Appraisal_Report_.pdf"/>
      </x:ext>
    </extLst>
  </threadedComment>
  <threadedComment ref="K66" dT="2023-10-27T13:44:44.09" personId="{41181F03-CA57-824B-97F2-03A58DAE2D5E}" id="{07BC831D-1F92-4FD7-8324-AB4312C6ECED}">
    <text>Page 5, Table 2.5
https://www.afdb.org/fileadmin/uploads/afdb/Documents/Project-and-Operations/Ethiopia-Kenya_-_Ethiopia-Kenya_Electricity_Highway_-Project_Appraisal_Report_.pdf</text>
  </threadedComment>
  <threadedComment ref="P66" dT="2023-11-03T14:41:18.28" personId="{2FE83714-CFDC-44C0-AD15-D3DD5B44FB09}" id="{01B77FA4-29A5-4EED-91BB-D44B6FC76CD7}">
    <text>Weighted Average Terms for World Bank loans based on values from this dataset
Term:        Interest     Term      Grace
Value:        2.80%      30.80       6.52
%Known:  44.81%    49.09%   48.25%</text>
  </threadedComment>
  <threadedComment ref="Q66" dT="2023-11-06T16:19:21.50" personId="{2FE83714-CFDC-44C0-AD15-D3DD5B44FB09}" id="{3F60BCF0-1091-4382-BAF9-7518A20A5A84}">
    <text>Weighted Average Terms for World Bank loans based on values from this dataset
Term:        Interest     Term      Grace
Value:        2.80%      30.80       6.52
%Known:  44.81%    49.09%   48.25%</text>
  </threadedComment>
  <threadedComment ref="S66" dT="2023-11-06T16:19:48.65" personId="{2FE83714-CFDC-44C0-AD15-D3DD5B44FB09}" id="{087D2280-8171-4A85-8AB5-BFE7E4F88979}">
    <text>Weighted Average Terms for World Bank loans based on values from this dataset
Term:        Interest     Term      Grace
Value:        2.80%      30.80       6.52
%Known:  44.81%    49.09%   48.25%</text>
  </threadedComment>
  <threadedComment ref="K67" dT="2023-10-27T14:11:13.15" personId="{2FE83714-CFDC-44C0-AD15-D3DD5B44FB09}" id="{5A8A5FFA-AB68-4D0B-80A4-2DFD854A8842}">
    <text xml:space="preserve">Converted from UA 21.73M with exchange rate into USD at 1:1.40657
EUR 26.51M
Page 7 (PDF Page 13)
https://www.afdb.org/sites/all/libraries/pdf.js/web/viewer.html?file=https%3A%2F%2Fwww.afdb.org%2Fsites%2Fdefault%2Ffiles%2Fdocuments%2Fenvironmental-and-social-assessments%2Fmultinational_supplementary_financing_for_ethiopia_-_kenya_electricity_highway_project_-_memorandum_and_recommendation_for_supplementary_financi_compressed.pdf#page=1&amp;zoom=auto,-13,842 </text>
  </threadedComment>
  <threadedComment ref="P67" dT="2023-10-30T16:47:35.47" personId="{2FE83714-CFDC-44C0-AD15-D3DD5B44FB09}" id="{02576EF7-D4E6-44D1-883D-CCD8AF261D47}">
    <text xml:space="preserve">Based on Lending Rates for FFL outlined in with an additional 0.2% for the loan term premium: 
 https://www.afdb.org/en/documents/taux-preteurs-de-la-bad-applicables-pour-les-prets-avec-la-garantie-souveraine-du-1er-fevrier-au-31-juillet-2019
https://www.afdb.org/en/documents/multinational-supplementary-financing-ethiopia-kenya-electricity-highway-project-country
</text>
    <extLst>
      <x:ext xmlns:xltc2="http://schemas.microsoft.com/office/spreadsheetml/2020/threadedcomments2" uri="{F7C98A9C-CBB3-438F-8F68-D28B6AF4A901}">
        <xltc2:checksum>2876671893</xltc2:checksum>
        <xltc2:hyperlink startIndex="96" length="146" url="https://www.afdb.org/en/documents/taux-preteurs-de-la-bad-applicables-pour-les-prets-avec-la-garantie-souveraine-du-1er-fevrier-au-31-juillet-2019"/>
        <xltc2:hyperlink startIndex="244" length="122" url="https://www.afdb.org/en/documents/multinational-supplementary-financing-ethiopia-kenya-electricity-highway-project-country"/>
      </x:ext>
    </extLst>
  </threadedComment>
  <threadedComment ref="Q67" dT="2023-10-30T16:22:47.65" personId="{2FE83714-CFDC-44C0-AD15-D3DD5B44FB09}" id="{6FD266F1-2A63-4B8B-B83F-D277D0FFD28D}">
    <text>Based on reported loan duration 2019-2043
https://www.afdb.org/en/documents/multinational-supplementary-financing-ethiopia-kenya-electricity-highway-project-country</text>
  </threadedComment>
  <threadedComment ref="S67" dT="2023-10-27T13:28:38.06" personId="{2FE83714-CFDC-44C0-AD15-D3DD5B44FB09}" id="{5A5AC0D0-B4B5-4E12-9DB5-C9A1A67E6B81}">
    <text>Based on AfDB FFL terms
https://www.afdb.org/en/documents/multinational-supplementary-financing-ethiopia-kenya-electricity-highway-project-country</text>
  </threadedComment>
  <threadedComment ref="K68" dT="2023-10-24T10:57:15.11" personId="{2FE83714-CFDC-44C0-AD15-D3DD5B44FB09}" id="{801EDC88-4ED0-432E-92D1-6E943232049C}">
    <text>$4.3 Million to Relocate Muhoroni or Embakasi GT to near Nairobi to replace Aggreko Emergency Power Generators 
 Aggreko’s lucrative Muhoroni diesel-power deal ends - Business Daily (businessdailyafrica.com)
KenGen to pull the plug on Aggreko emergency power deal - ESI-Africa.com</text>
    <extLst>
      <x:ext xmlns:xltc2="http://schemas.microsoft.com/office/spreadsheetml/2020/threadedcomments2" uri="{F7C98A9C-CBB3-438F-8F68-D28B6AF4A901}">
        <xltc2:checksum>2291785556</xltc2:checksum>
        <xltc2:hyperlink startIndex="113" length="94" url="https://www.businessdailyafrica.com/bd/corporate/companies/aggreko-s-lucrative-muhoroni-diesel-power-deal-ends-2103282"/>
        <xltc2:hyperlink startIndex="209" length="72" url="https://www.esi-africa.com/industry-sectors/generation/kengen-pull-plug-aggreko-emergency-power-deal/#:~:text=KenGen%2C%20which%20is%20spending%20%244.3,heavy%20rains%20for%20the%20delay."/>
      </x:ext>
    </extLst>
  </threadedComment>
  <threadedComment ref="K69" dT="2023-10-27T14:19:22.66" personId="{41181F03-CA57-824B-97F2-03A58DAE2D5E}" id="{4CC06EF7-5C35-4806-8FDE-A9B458E8B2C9}">
    <text>http://www.parliament.go.ke/sites/default/files/2023-04/Report%20of%20the%20Auditor%20General%20on%20Kenya%20Development%20of%20Solar%20Power%20Plant%20Garissa%20Project%20%28GCL%20No.%202015%2810%29%20for%20the%20year%20ended%2030%20June%2C%202022%20Rural%20Electrificatin%20and%20Renewable%20Energy%20corporation_compressed.pdf</text>
  </threadedComment>
  <threadedComment ref="P69" dT="2023-11-03T14:56:53.93" personId="{2FE83714-CFDC-44C0-AD15-D3DD5B44FB09}" id="{1066FC0A-253C-40D5-A396-44AC9FC0888E}">
    <text>Weighted Average Terms for Chinese Loans based on values from this dataset
Term:        Interest     Term      Grace
Value:        2.69%      19.16       6.13
%Known:  52.05%    70.17%   55.78%</text>
  </threadedComment>
  <threadedComment ref="Q69" dT="2023-11-03T14:59:09.25" personId="{2FE83714-CFDC-44C0-AD15-D3DD5B44FB09}" id="{F13F4D60-AD50-4872-8720-4177F3C48F0B}">
    <text>Weighted Average Terms for Chinese Loans based on values from this dataset
Term:        Interest     Term      Grace
Value:        2.69%      19.16       6.13
%Known:  52.05%    70.17%   55.78%</text>
  </threadedComment>
  <threadedComment ref="S69" dT="2023-11-03T14:59:09.25" personId="{2FE83714-CFDC-44C0-AD15-D3DD5B44FB09}" id="{D55FE901-F2AB-4B55-BC5A-C7238E930F9C}">
    <text>Weighted Average Terms for Chinese Loans based on values from this dataset
Term:        Interest     Term      Grace
Value:        2.69%      19.16       6.13
%Known:  52.05%    70.17%   55.78%</text>
  </threadedComment>
  <threadedComment ref="K70" dT="2023-10-24T11:00:34.97" personId="{2FE83714-CFDC-44C0-AD15-D3DD5B44FB09}" id="{04253FB7-99E6-4202-89AF-ABB67542B7CD}">
    <text>https://china.aiddata.org/projects/31089/</text>
  </threadedComment>
  <threadedComment ref="P70" dT="2023-11-03T14:56:53.93" personId="{2FE83714-CFDC-44C0-AD15-D3DD5B44FB09}" id="{7B2A4C45-E0F5-40DF-B24C-017304A85D0C}">
    <text>Weighted Average Terms for Chinese Loans based on values from this dataset
Term:        Interest     Term      Grace
Value:        2.69%      19.16       6.13
%Known:  52.05%    70.17%   55.78%</text>
  </threadedComment>
  <threadedComment ref="Q70" dT="2023-11-03T14:59:09.25" personId="{2FE83714-CFDC-44C0-AD15-D3DD5B44FB09}" id="{8D21AE0F-52F9-420D-947E-D09A13CC5C3A}">
    <text>Weighted Average Terms for Chinese Loans based on values from this dataset
Term:        Interest     Term      Grace
Value:        2.69%      19.16       6.13
%Known:  52.05%    70.17%   55.78%</text>
  </threadedComment>
  <threadedComment ref="S70" dT="2023-11-03T14:59:09.25" personId="{2FE83714-CFDC-44C0-AD15-D3DD5B44FB09}" id="{3C85DDAC-7DEA-426C-8B83-8D551351A24B}">
    <text>Weighted Average Terms for Chinese Loans based on values from this dataset
Term:        Interest     Term      Grace
Value:        2.69%      19.16       6.13
%Known:  52.05%    70.17%   55.78%</text>
  </threadedComment>
  <threadedComment ref="K71" dT="2023-10-24T11:03:29.64" personId="{2FE83714-CFDC-44C0-AD15-D3DD5B44FB09}" id="{B19C054C-2576-45B1-9932-D7A12E89DF84}">
    <text>https://china.aiddata.org/projects/31087/</text>
  </threadedComment>
  <threadedComment ref="P71" dT="2023-11-03T14:56:53.93" personId="{2FE83714-CFDC-44C0-AD15-D3DD5B44FB09}" id="{E583ECB5-AB37-4E9A-9174-50EC0C019F6C}">
    <text>Weighted Average Terms for Chinese Loans based on values from this dataset
Term:        Interest     Term      Grace
Value:        2.69%      19.16       6.13
%Known:  52.05%    70.17%   55.78%</text>
  </threadedComment>
  <threadedComment ref="Q71" dT="2023-11-03T14:59:09.25" personId="{2FE83714-CFDC-44C0-AD15-D3DD5B44FB09}" id="{0A7777BE-1AE6-4833-8FDD-067DE4ABA5DD}">
    <text>Weighted Average Terms for Chinese Loans based on values from this dataset
Term:        Interest     Term      Grace
Value:        2.69%      19.16       6.13
%Known:  52.05%    70.17%   55.78%</text>
  </threadedComment>
  <threadedComment ref="S71" dT="2023-11-03T14:59:09.25" personId="{2FE83714-CFDC-44C0-AD15-D3DD5B44FB09}" id="{6A3605D6-8223-4ECA-BA1A-0C845EC4DAFF}">
    <text>Weighted Average Terms for Chinese Loans based on values from this dataset
Term:        Interest     Term      Grace
Value:        2.69%      19.16       6.13
%Known:  52.05%    70.17%   55.78%</text>
  </threadedComment>
  <threadedComment ref="K72" dT="2023-10-27T11:30:34.81" personId="{2FE83714-CFDC-44C0-AD15-D3DD5B44FB09}" id="{DA0F1E63-410C-4FD0-A5F9-8D3FCC1BE901}">
    <text>Standard Bank IFC B Loan at 25% of the project cost
Total cost: $108M (According to WB)
Financing Structure:
Page 107 (PDF Page 117)
https://documents1.worldbank.org/curated/en/549231468041382588/pdf/663630PAD0P1220Official0Use0Only090.pdf 
https://ppi.worldbank.org/en/snapshots/project/Athi-River-II-Medium-Speed-Diesel-MSD-Power-Plant-8237</text>
    <extLst>
      <x:ext xmlns:xltc2="http://schemas.microsoft.com/office/spreadsheetml/2020/threadedcomments2" uri="{F7C98A9C-CBB3-438F-8F68-D28B6AF4A901}">
        <xltc2:checksum>2925218255</xltc2:checksum>
        <xltc2:hyperlink startIndex="135" length="106" url="https://documents1.worldbank.org/curated/en/549231468041382588/pdf/663630PAD0P1220Official0Use0Only090.pdf"/>
      </x:ext>
    </extLst>
  </threadedComment>
  <threadedComment ref="P72" dT="2023-10-27T16:00:09.99" personId="{2FE83714-CFDC-44C0-AD15-D3DD5B44FB09}" id="{B9B62126-31A9-49F0-BD38-ED8AD32B1503}">
    <text>Euribor (3.49%) + 475bp
Page 108 (PDF Page 118)
https://documents1.worldbank.org/curated/en/549231468041382588/pdf/663630PAD0P1220Official0Use0Only090.pdf</text>
  </threadedComment>
  <threadedComment ref="Q72" dT="2023-10-27T11:47:11.68" personId="{2FE83714-CFDC-44C0-AD15-D3DD5B44FB09}" id="{CD72A55E-748D-47AF-9B68-D709A6F10690}">
    <text xml:space="preserve">Loan Terms Reported by World Bank
Page 108 (PDF Page 118)
https://documents1.worldbank.org/curated/en/549231468041382588/pdf/663630PAD0P1220Official0Use0Only090.pdf </text>
    <extLst>
      <x:ext xmlns:xltc2="http://schemas.microsoft.com/office/spreadsheetml/2020/threadedcomments2" uri="{F7C98A9C-CBB3-438F-8F68-D28B6AF4A901}">
        <xltc2:checksum>2898008385</xltc2:checksum>
        <xltc2:hyperlink startIndex="59" length="106" url="https://documents1.worldbank.org/curated/en/549231468041382588/pdf/663630PAD0P1220Official0Use0Only090.pdf"/>
      </x:ext>
    </extLst>
  </threadedComment>
  <threadedComment ref="S72" dT="2023-10-27T11:47:11.68" personId="{2FE83714-CFDC-44C0-AD15-D3DD5B44FB09}" id="{25164CF1-DD39-4E6D-9258-241F8B913FB4}">
    <text xml:space="preserve">Loan Terms Reported by World Bank
Page 108 (PDF Page 118)
https://documents1.worldbank.org/curated/en/549231468041382588/pdf/663630PAD0P1220Official0Use0Only090.pdf </text>
    <extLst>
      <x:ext xmlns:xltc2="http://schemas.microsoft.com/office/spreadsheetml/2020/threadedcomments2" uri="{F7C98A9C-CBB3-438F-8F68-D28B6AF4A901}">
        <xltc2:checksum>2898008385</xltc2:checksum>
        <xltc2:hyperlink startIndex="59" length="106" url="https://documents1.worldbank.org/curated/en/549231468041382588/pdf/663630PAD0P1220Official0Use0Only090.pdf"/>
      </x:ext>
    </extLst>
  </threadedComment>
  <threadedComment ref="K73" dT="2023-10-27T11:30:34.81" personId="{2FE83714-CFDC-44C0-AD15-D3DD5B44FB09}" id="{54BE28ED-BF1D-4C56-AC4F-8D7720A4CE23}">
    <text>Standard Bank Parallel-Loan at 25% of the project cost through OPEC
Total cost: $108M (According to WB)
Financing Structure:
Page 107 (PDF Page 117)
https://documents1.worldbank.org/curated/en/549231468041382588/pdf/663630PAD0P1220Official0Use0Only090.pdf 
https://ppi.worldbank.org/en/snapshots/project/Athi-River-II-Medium-Speed-Diesel-MSD-Power-Plant-8237</text>
    <extLst>
      <x:ext xmlns:xltc2="http://schemas.microsoft.com/office/spreadsheetml/2020/threadedcomments2" uri="{F7C98A9C-CBB3-438F-8F68-D28B6AF4A901}">
        <xltc2:checksum>94744647</xltc2:checksum>
        <xltc2:hyperlink startIndex="151" length="106" url="https://documents1.worldbank.org/curated/en/549231468041382588/pdf/663630PAD0P1220Official0Use0Only090.pdf"/>
      </x:ext>
    </extLst>
  </threadedComment>
  <threadedComment ref="P73" dT="2023-10-27T16:00:09.99" personId="{2FE83714-CFDC-44C0-AD15-D3DD5B44FB09}" id="{E8F0F868-4FC3-40D6-8DD8-CB07480F15B7}">
    <text>Euribor (3.49%) + 475bp
Page 108 (PDF Page 118)
https://documents1.worldbank.org/curated/en/549231468041382588/pdf/663630PAD0P1220Official0Use0Only090.pdf</text>
  </threadedComment>
  <threadedComment ref="Q73" dT="2023-10-27T11:47:11.68" personId="{2FE83714-CFDC-44C0-AD15-D3DD5B44FB09}" id="{CC4E43CA-E66E-4E78-ABCC-82EF8C86722C}">
    <text xml:space="preserve">Loan Terms Reported by World Bank
Page 108 (PDF Page 118)
https://documents1.worldbank.org/curated/en/549231468041382588/pdf/663630PAD0P1220Official0Use0Only090.pdf </text>
    <extLst>
      <x:ext xmlns:xltc2="http://schemas.microsoft.com/office/spreadsheetml/2020/threadedcomments2" uri="{F7C98A9C-CBB3-438F-8F68-D28B6AF4A901}">
        <xltc2:checksum>2898008385</xltc2:checksum>
        <xltc2:hyperlink startIndex="59" length="106" url="https://documents1.worldbank.org/curated/en/549231468041382588/pdf/663630PAD0P1220Official0Use0Only090.pdf"/>
      </x:ext>
    </extLst>
  </threadedComment>
  <threadedComment ref="S73" dT="2023-10-27T11:47:11.68" personId="{2FE83714-CFDC-44C0-AD15-D3DD5B44FB09}" id="{A7466E57-3EEF-4001-80B9-70A5478783C9}">
    <text xml:space="preserve">Loan Terms Reported by World Bank
Page 108 (PDF Page 118)
https://documents1.worldbank.org/curated/en/549231468041382588/pdf/663630PAD0P1220Official0Use0Only090.pdf </text>
    <extLst>
      <x:ext xmlns:xltc2="http://schemas.microsoft.com/office/spreadsheetml/2020/threadedcomments2" uri="{F7C98A9C-CBB3-438F-8F68-D28B6AF4A901}">
        <xltc2:checksum>2898008385</xltc2:checksum>
        <xltc2:hyperlink startIndex="59" length="106" url="https://documents1.worldbank.org/curated/en/549231468041382588/pdf/663630PAD0P1220Official0Use0Only090.pdf"/>
      </x:ext>
    </extLst>
  </threadedComment>
  <threadedComment ref="K74" dT="2023-10-27T11:37:44.84" personId="{2FE83714-CFDC-44C0-AD15-D3DD5B44FB09}" id="{82BF9AFE-2D27-45CB-A06A-F475328E9FA1}">
    <text>IFC Loan A at 20% of the project cost 
Total cost: $108M (According to WB)
Financing Structure:
Page 107 (PDF Page 117)
https://documents1.worldbank.org/curated/en/549231468041382588/pdf/663630PAD0P1220Official0Use0Only090.pdf 
https://ppi.worldbank.org/en/snapshots/project/Athi-River-II-Medium-Speed-Diesel-MSD-Power-Plant-8237</text>
    <extLst>
      <x:ext xmlns:xltc2="http://schemas.microsoft.com/office/spreadsheetml/2020/threadedcomments2" uri="{F7C98A9C-CBB3-438F-8F68-D28B6AF4A901}">
        <xltc2:checksum>1546701414</xltc2:checksum>
        <xltc2:hyperlink startIndex="122" length="106" url="https://documents1.worldbank.org/curated/en/549231468041382588/pdf/663630PAD0P1220Official0Use0Only090.pdf"/>
      </x:ext>
    </extLst>
  </threadedComment>
  <threadedComment ref="P74" dT="2023-10-27T16:00:09.99" personId="{2FE83714-CFDC-44C0-AD15-D3DD5B44FB09}" id="{767933C5-B3C3-4574-B1BF-E19613F5E554}">
    <text>Euribor (3.49%) + 475bp
Page 108 (PDF Page 118)
https://documents1.worldbank.org/curated/en/549231468041382588/pdf/663630PAD0P1220Official0Use0Only090.pdf</text>
  </threadedComment>
  <threadedComment ref="Q74" dT="2023-10-27T11:47:11.68" personId="{2FE83714-CFDC-44C0-AD15-D3DD5B44FB09}" id="{D5C52348-7ADD-4466-B3D1-6B9370AC672C}">
    <text xml:space="preserve">Loan Terms Reported by World Bank
Page 108 (PDF Page 118)
https://documents1.worldbank.org/curated/en/549231468041382588/pdf/663630PAD0P1220Official0Use0Only090.pdf </text>
    <extLst>
      <x:ext xmlns:xltc2="http://schemas.microsoft.com/office/spreadsheetml/2020/threadedcomments2" uri="{F7C98A9C-CBB3-438F-8F68-D28B6AF4A901}">
        <xltc2:checksum>2898008385</xltc2:checksum>
        <xltc2:hyperlink startIndex="59" length="106" url="https://documents1.worldbank.org/curated/en/549231468041382588/pdf/663630PAD0P1220Official0Use0Only090.pdf"/>
      </x:ext>
    </extLst>
  </threadedComment>
  <threadedComment ref="S74" dT="2023-10-27T11:47:11.68" personId="{2FE83714-CFDC-44C0-AD15-D3DD5B44FB09}" id="{39166CB8-129A-4E01-A6B8-B4CD5BBE2B8F}">
    <text xml:space="preserve">Loan Terms Reported by World Bank
Page 108 (PDF Page 118)
https://documents1.worldbank.org/curated/en/549231468041382588/pdf/663630PAD0P1220Official0Use0Only090.pdf </text>
    <extLst>
      <x:ext xmlns:xltc2="http://schemas.microsoft.com/office/spreadsheetml/2020/threadedcomments2" uri="{F7C98A9C-CBB3-438F-8F68-D28B6AF4A901}">
        <xltc2:checksum>2898008385</xltc2:checksum>
        <xltc2:hyperlink startIndex="59" length="106" url="https://documents1.worldbank.org/curated/en/549231468041382588/pdf/663630PAD0P1220Official0Use0Only090.pdf"/>
      </x:ext>
    </extLst>
  </threadedComment>
  <threadedComment ref="K75" dT="2023-10-24T11:13:07.23" personId="{2FE83714-CFDC-44C0-AD15-D3DD5B44FB09}" id="{9EE4F44E-05DB-4593-B56C-44DA59698AD8}">
    <text>IFC Sub-Debt Loan at 5% of the project 
Total cost: $108M (According to WB)
Financing Structure:
Page 107 (PDF Page 117)
https://documents1.worldbank.org/curated/en/549231468041382588/pdf/663630PAD0P1220Official0Use0Only090.pdf 
https://ppi.worldbank.org/en/snapshots/project/Athi-River-II-Medium-Speed-Diesel-MSD-Power-Plant-8237</text>
    <extLst>
      <x:ext xmlns:xltc2="http://schemas.microsoft.com/office/spreadsheetml/2020/threadedcomments2" uri="{F7C98A9C-CBB3-438F-8F68-D28B6AF4A901}">
        <xltc2:checksum>2645788512</xltc2:checksum>
        <xltc2:hyperlink startIndex="123" length="106" url="https://documents1.worldbank.org/curated/en/549231468041382588/pdf/663630PAD0P1220Official0Use0Only090.pdf"/>
      </x:ext>
    </extLst>
  </threadedComment>
  <threadedComment ref="Q75" dT="2023-10-27T11:47:11.68" personId="{2FE83714-CFDC-44C0-AD15-D3DD5B44FB09}" id="{71EFE561-A82D-4D1E-96A2-CB57B51E395D}">
    <text xml:space="preserve">Loan Terms Reported by World Bank
Page 108 (PDF Page 118)
https://documents1.worldbank.org/curated/en/549231468041382588/pdf/663630PAD0P1220Official0Use0Only090.pdf </text>
    <extLst>
      <x:ext xmlns:xltc2="http://schemas.microsoft.com/office/spreadsheetml/2020/threadedcomments2" uri="{F7C98A9C-CBB3-438F-8F68-D28B6AF4A901}">
        <xltc2:checksum>2898008385</xltc2:checksum>
        <xltc2:hyperlink startIndex="59" length="106" url="https://documents1.worldbank.org/curated/en/549231468041382588/pdf/663630PAD0P1220Official0Use0Only090.pdf"/>
      </x:ext>
    </extLst>
  </threadedComment>
  <threadedComment ref="S75" dT="2023-10-27T11:48:00.12" personId="{2FE83714-CFDC-44C0-AD15-D3DD5B44FB09}" id="{566D705E-A760-4E67-BA1A-35F7B4B6E869}">
    <text xml:space="preserve">Loan Terms Reported by World Bank
Page 108 (PDF Page 118)
https://documents1.worldbank.org/curated/en/549231468041382588/pdf/663630PAD0P1220Official0Use0Only090.pdf </text>
    <extLst>
      <x:ext xmlns:xltc2="http://schemas.microsoft.com/office/spreadsheetml/2020/threadedcomments2" uri="{F7C98A9C-CBB3-438F-8F68-D28B6AF4A901}">
        <xltc2:checksum>2898008385</xltc2:checksum>
        <xltc2:hyperlink startIndex="59" length="106" url="https://documents1.worldbank.org/curated/en/549231468041382588/pdf/663630PAD0P1220Official0Use0Only090.pdf"/>
      </x:ext>
    </extLst>
  </threadedComment>
  <threadedComment ref="F76" dT="2023-11-06T13:04:29.60" personId="{2FE83714-CFDC-44C0-AD15-D3DD5B44FB09}" id="{92FBA530-2EE0-4036-986F-2F4C2C3CE458}">
    <text>https://disclosures.ifc.org/project-detail/SPI/9058/aef-multi-hauliers-ea-limited</text>
  </threadedComment>
  <threadedComment ref="K76" dT="2023-10-27T11:41:12.57" personId="{2FE83714-CFDC-44C0-AD15-D3DD5B44FB09}" id="{82190D53-5DED-4775-9946-800DD8D1EBE9}">
    <text>Equity at 25% of the project cost
Split between Multiple Hauliers and Gulf Power LTD. ($27M/2) : $13.5M
Total cost: $108M (According to WB)
Financing Structure:
Page 107 (PDF Page 117)
https://documents1.worldbank.org/curated/en/549231468041382588/pdf/663630PAD0P1220Official0Use0Only090.pdf 
https://ppi.worldbank.org/en/snapshots/project/Athi-River-II-Medium-Speed-Diesel-MSD-Power-Plant-8237</text>
    <extLst>
      <x:ext xmlns:xltc2="http://schemas.microsoft.com/office/spreadsheetml/2020/threadedcomments2" uri="{F7C98A9C-CBB3-438F-8F68-D28B6AF4A901}">
        <xltc2:checksum>3433881399</xltc2:checksum>
        <xltc2:hyperlink startIndex="187" length="106" url="https://documents1.worldbank.org/curated/en/549231468041382588/pdf/663630PAD0P1220Official0Use0Only090.pdf"/>
      </x:ext>
    </extLst>
  </threadedComment>
  <threadedComment ref="P76" dT="2023-10-27T13:19:47.42" personId="{2FE83714-CFDC-44C0-AD15-D3DD5B44FB09}" id="{51B116E5-76DB-4984-B396-EDEF7F5DDAED}">
    <text xml:space="preserve">Based on Equity Rate of Return
Page 43
https://documents1.worldbank.org/curated/en/549231468041382588/pdf/663630PAD0P1220Official0Use0Only090.pdf </text>
    <extLst>
      <x:ext xmlns:xltc2="http://schemas.microsoft.com/office/spreadsheetml/2020/threadedcomments2" uri="{F7C98A9C-CBB3-438F-8F68-D28B6AF4A901}">
        <xltc2:checksum>3047187886</xltc2:checksum>
        <xltc2:hyperlink startIndex="40" length="106" url="https://documents1.worldbank.org/curated/en/549231468041382588/pdf/663630PAD0P1220Official0Use0Only090.pdf"/>
      </x:ext>
    </extLst>
  </threadedComment>
  <threadedComment ref="Q76" dT="2023-10-27T11:52:31.41" personId="{2FE83714-CFDC-44C0-AD15-D3DD5B44FB09}" id="{90A4988B-8F8A-426B-BB7D-820481B37322}">
    <text>Based on Operational Life of LFO/MSD Power Plants reported in:
https://www.sciencedirect.com/science/article/pii/S2352340922002323
Lucy Allington, Carla Cannone, Ioannis Pappis, Karla Cervantes Barron, Will Usher, Steve Pye, Edward Brown, Mark Howells, Miriam Zachau Walker, Aniq Ahsan, Flora Charbonnier, Claire Halloran, Stephanie Hirmer, Jennifer Cronin, Constantinos Taliotis, Caroline Sundin, Vignesh Sridharan, Eunice Ramos, Maarten Brinkerink, Paul Deane, Andrii Gritsevskyi, Gustavo Moura, Arnaud Rouget, David Wogan, Edito Barcelona, Taco Niet, Holger Rogner, Franziska Bock, Jairo Quirós-Tortós, Jam Angulo-Paniagua, Satheesh Krishnamurthy, John Harrison, Long Seng To,
Selected ‘Starter kit’ energy system modelling data for selected countries in Africa, East Asia, and South America (#CCG, 2021),
Data in Brief,
Volume 42,
2022,
108021,
ISSN 2352-3409,
https://doi.org/10.1016/j.dib.2022.108021.</text>
    <extLst>
      <x:ext xmlns:xltc2="http://schemas.microsoft.com/office/spreadsheetml/2020/threadedcomments2" uri="{F7C98A9C-CBB3-438F-8F68-D28B6AF4A901}">
        <xltc2:checksum>4069484688</xltc2:checksum>
        <xltc2:hyperlink startIndex="64" length="67" url="https://www.sciencedirect.com/science/article/pii/S2352340922002323"/>
      </x:ext>
    </extLst>
  </threadedComment>
  <threadedComment ref="K77" dT="2023-10-27T11:41:12.57" personId="{2FE83714-CFDC-44C0-AD15-D3DD5B44FB09}" id="{DF63D2C8-0E92-4B41-B3BA-5B5F81439B7C}">
    <text>Equity at 25% of the project cost
Split between Multiple Hauliers and Gulf Power LTD. ($27M/2) : $13.5M
Total cost: $108M (According to WB)
Financing Structure:
Page 107 (PDF Page 117)
https://documents1.worldbank.org/curated/en/549231468041382588/pdf/663630PAD0P1220Official0Use0Only090.pdf 
https://ppi.worldbank.org/en/snapshots/project/Athi-River-II-Medium-Speed-Diesel-MSD-Power-Plant-8237</text>
    <extLst>
      <x:ext xmlns:xltc2="http://schemas.microsoft.com/office/spreadsheetml/2020/threadedcomments2" uri="{F7C98A9C-CBB3-438F-8F68-D28B6AF4A901}">
        <xltc2:checksum>3433881399</xltc2:checksum>
        <xltc2:hyperlink startIndex="187" length="106" url="https://documents1.worldbank.org/curated/en/549231468041382588/pdf/663630PAD0P1220Official0Use0Only090.pdf"/>
      </x:ext>
    </extLst>
  </threadedComment>
  <threadedComment ref="P77" dT="2023-10-27T13:19:47.42" personId="{2FE83714-CFDC-44C0-AD15-D3DD5B44FB09}" id="{BE8D1E7E-1CF9-48AC-B9E7-3EC78AA7E438}">
    <text xml:space="preserve">Based on Equity Rate of Return
Page 43
https://documents1.worldbank.org/curated/en/549231468041382588/pdf/663630PAD0P1220Official0Use0Only090.pdf </text>
    <extLst>
      <x:ext xmlns:xltc2="http://schemas.microsoft.com/office/spreadsheetml/2020/threadedcomments2" uri="{F7C98A9C-CBB3-438F-8F68-D28B6AF4A901}">
        <xltc2:checksum>3047187886</xltc2:checksum>
        <xltc2:hyperlink startIndex="40" length="106" url="https://documents1.worldbank.org/curated/en/549231468041382588/pdf/663630PAD0P1220Official0Use0Only090.pdf"/>
      </x:ext>
    </extLst>
  </threadedComment>
  <threadedComment ref="Q77" dT="2023-10-27T11:52:31.41" personId="{2FE83714-CFDC-44C0-AD15-D3DD5B44FB09}" id="{9F219B6B-3AE3-4829-8A51-FF3C686ABBBF}">
    <text>Based on Operational Life of LFO/MSD Power Plants reported in:
https://www.sciencedirect.com/science/article/pii/S2352340922002323
Lucy Allington, Carla Cannone, Ioannis Pappis, Karla Cervantes Barron, Will Usher, Steve Pye, Edward Brown, Mark Howells, Miriam Zachau Walker, Aniq Ahsan, Flora Charbonnier, Claire Halloran, Stephanie Hirmer, Jennifer Cronin, Constantinos Taliotis, Caroline Sundin, Vignesh Sridharan, Eunice Ramos, Maarten Brinkerink, Paul Deane, Andrii Gritsevskyi, Gustavo Moura, Arnaud Rouget, David Wogan, Edito Barcelona, Taco Niet, Holger Rogner, Franziska Bock, Jairo Quirós-Tortós, Jam Angulo-Paniagua, Satheesh Krishnamurthy, John Harrison, Long Seng To,
Selected ‘Starter kit’ energy system modelling data for selected countries in Africa, East Asia, and South America (#CCG, 2021),
Data in Brief,
Volume 42,
2022,
108021,
ISSN 2352-3409,
https://doi.org/10.1016/j.dib.2022.108021.</text>
    <extLst>
      <x:ext xmlns:xltc2="http://schemas.microsoft.com/office/spreadsheetml/2020/threadedcomments2" uri="{F7C98A9C-CBB3-438F-8F68-D28B6AF4A901}">
        <xltc2:checksum>4069484688</xltc2:checksum>
        <xltc2:hyperlink startIndex="64" length="67" url="https://www.sciencedirect.com/science/article/pii/S2352340922002323"/>
      </x:ext>
    </extLst>
  </threadedComment>
  <threadedComment ref="K78" dT="2023-10-24T11:26:19.53" personId="{2FE83714-CFDC-44C0-AD15-D3DD5B44FB09}" id="{282AC230-333A-4E21-BE7F-ABF7591A7404}">
    <text>Project {} | china.aiddata.org
Kenya: CAMC to build Garissa-Isiolo line | African Energy (africa-energy.com)</text>
    <extLst>
      <x:ext xmlns:xltc2="http://schemas.microsoft.com/office/spreadsheetml/2020/threadedcomments2" uri="{F7C98A9C-CBB3-438F-8F68-D28B6AF4A901}">
        <xltc2:checksum>1018818192</xltc2:checksum>
        <xltc2:hyperlink startIndex="0" length="30" url="https://china.aiddata.org/projects/58387/"/>
        <xltc2:hyperlink startIndex="32" length="77" url="https://www.africa-energy.com/news-centre/article/kenya-camc-build-garissa-isiolo-line#full"/>
      </x:ext>
    </extLst>
  </threadedComment>
  <threadedComment ref="K78" dT="2023-10-30T09:57:41.20" personId="{2FE83714-CFDC-44C0-AD15-D3DD5B44FB09}" id="{40EBD68C-1185-497B-9A60-FF3AE14DBB97}" parentId="{282AC230-333A-4E21-BE7F-ABF7591A7404}">
    <text>https://www.dropbox.com/s/cenvge5j3sfdfab/IJGlobal%20-%20Garissa-Isiolo%20Transmission%20Line%20%28285KM%29%20-%20Kenya.pdf?dl=0|http://invest.afrindex.com/dynamic/detail_158/</text>
  </threadedComment>
  <threadedComment ref="P78" dT="2023-11-03T14:56:53.93" personId="{2FE83714-CFDC-44C0-AD15-D3DD5B44FB09}" id="{CD4A35F6-1775-4A8D-B533-CDAC5A80189D}">
    <text>Weighted Average Terms for Chinese Loans based on values from this dataset
Term:        Interest     Term      Grace
Value:        2.69%      19.16       6.13
%Known:  52.05%    70.17%   55.78%</text>
  </threadedComment>
  <threadedComment ref="Q78" dT="2023-11-03T14:59:09.25" personId="{2FE83714-CFDC-44C0-AD15-D3DD5B44FB09}" id="{1CD0A5DA-3781-46CA-B7B4-B99E533581A4}">
    <text>Weighted Average Terms for Chinese Loans based on values from this dataset
Term:        Interest     Term      Grace
Value:        2.69%      19.16       6.13
%Known:  52.05%    70.17%   55.78%</text>
  </threadedComment>
  <threadedComment ref="S78" dT="2023-11-03T14:59:09.25" personId="{2FE83714-CFDC-44C0-AD15-D3DD5B44FB09}" id="{57BD138A-5026-43CA-BE58-6DE01E527497}">
    <text>Weighted Average Terms for Chinese Loans based on values from this dataset
Term:        Interest     Term      Grace
Value:        2.69%      19.16       6.13
%Known:  52.05%    70.17%   55.78%</text>
  </threadedComment>
  <threadedComment ref="K79" dT="2023-10-24T12:25:43.22" personId="{2FE83714-CFDC-44C0-AD15-D3DD5B44FB09}" id="{9456C464-B387-45CE-A536-CBD39B8A143F}">
    <text>$4.5 Million from Borrower (GoK)
documents1.worldbank.org/curated/en/517661468253781559/text/Kenya-Electricity-Modernization-Project.txt</text>
    <extLst>
      <x:ext xmlns:xltc2="http://schemas.microsoft.com/office/spreadsheetml/2020/threadedcomments2" uri="{F7C98A9C-CBB3-438F-8F68-D28B6AF4A901}">
        <xltc2:checksum>2342541089</xltc2:checksum>
        <xltc2:hyperlink startIndex="33" length="103" url="https://documents1.worldbank.org/curated/en/517661468253781559/text/Kenya-Electricity-Modernization-Project.txt"/>
      </x:ext>
    </extLst>
  </threadedComment>
  <threadedComment ref="P79" dT="2023-10-31T09:21:21.60" personId="{2FE83714-CFDC-44C0-AD15-D3DD5B44FB09}" id="{F9336E44-53DE-4723-9BCE-520E9BBDA733}">
    <text>Based on Government of Kenya's External Public Debt Terms for 2015</text>
  </threadedComment>
  <threadedComment ref="Q79" dT="2023-10-31T09:24:27.54" personId="{2FE83714-CFDC-44C0-AD15-D3DD5B44FB09}" id="{87D7F05D-258D-4009-BE54-DE4C9EA91842}">
    <text>Based on Government of Kenya's External Public Debt Terms for 2015</text>
  </threadedComment>
  <threadedComment ref="S79" dT="2023-10-31T09:24:38.07" personId="{2FE83714-CFDC-44C0-AD15-D3DD5B44FB09}" id="{0E6B5B71-FA21-40C0-A3A5-AB88D202597A}">
    <text>Based on Government of Kenya's External Public Debt Terms for 2015</text>
  </threadedComment>
  <threadedComment ref="K80" dT="2023-10-24T12:30:07.06" personId="{2FE83714-CFDC-44C0-AD15-D3DD5B44FB09}" id="{0928B0B1-71C8-4096-8D5F-EB6BD6B99375}">
    <text xml:space="preserve">Confirmed $250 IDA Loan from the World Bank 
$7.5 Million SREP Grant
(https://documents1.worldbank.org/curated/en/099940012082235475/pdf/P1200140a34a6a0760af780f7b998a7288b.pdf)
$200 Million Guarantee expected to leverage $500 Million in new debt (https://documents1.worldbank.org/curated/en/629391468254954165/pdf/954490BS0IDA0S0Official0Use0Only090.pdf) </text>
    <extLst>
      <x:ext xmlns:xltc2="http://schemas.microsoft.com/office/spreadsheetml/2020/threadedcomments2" uri="{F7C98A9C-CBB3-438F-8F68-D28B6AF4A901}">
        <xltc2:checksum>3820361043</xltc2:checksum>
        <xltc2:hyperlink startIndex="70" length="106" url="https://documents1.worldbank.org/curated/en/099940012082235475/pdf/P1200140a34a6a0760af780f7b998a7288b.pdf"/>
        <xltc2:hyperlink startIndex="248" length="106" url="https://documents1.worldbank.org/curated/en/629391468254954165/pdf/954490BS0IDA0S0Official0Use0Only090.pdf"/>
      </x:ext>
    </extLst>
  </threadedComment>
  <threadedComment ref="P80" dT="2023-11-02T10:12:09.69" personId="{2FE83714-CFDC-44C0-AD15-D3DD5B44FB09}" id="{08F0F890-3346-437A-B741-F390A43EA663}">
    <text>0.75% interest to GoK
https://www.treasury.go.ke/wp-content/uploads/2021/09/External-Public-Debt-Register-as-at-End-June-2019.pdf</text>
  </threadedComment>
  <threadedComment ref="Q80" dT="2023-11-02T10:11:47.72" personId="{2FE83714-CFDC-44C0-AD15-D3DD5B44FB09}" id="{CD640E43-6AEC-409A-954F-39DA1BB79DBA}">
    <text>Repaid semi-annually starting in 2021 and ending in 2052
6 year grace
37 year maturity
GoK External Debt Registry 
https://www.treasury.go.ke/wp-content/uploads/2021/09/External-Public-Debt-Register-as-at-End-June-2019.pdf</text>
  </threadedComment>
  <threadedComment ref="S80" dT="2023-11-02T10:11:30.56" personId="{2FE83714-CFDC-44C0-AD15-D3DD5B44FB09}" id="{1E89469E-7E12-47A9-AA8A-C1185B1FFF6D}">
    <text>Repaid semi-annually starting in 2021 and ending in 2052
6 year grace
37 year maturity
GoK External Debt Registry 
https://www.treasury.go.ke/wp-content/uploads/2021/09/External-Public-Debt-Register-as-at-End-June-2019.pdf</text>
  </threadedComment>
  <threadedComment ref="K81" dT="2023-10-24T13:12:56.04" personId="{2FE83714-CFDC-44C0-AD15-D3DD5B44FB09}" id="{5F5B42C7-BCCE-4056-99AF-AD3E58489E64}">
    <text>EIB Multinational Project:
EUR 16 Million - $19.88 Million
OFF-GRID SOLAR ACCELERATION (eib.org)</text>
    <extLst>
      <x:ext xmlns:xltc2="http://schemas.microsoft.com/office/spreadsheetml/2020/threadedcomments2" uri="{F7C98A9C-CBB3-438F-8F68-D28B6AF4A901}">
        <xltc2:checksum>1107504613</xltc2:checksum>
        <xltc2:hyperlink startIndex="59" length="37" url="https://www.eib.org/en/projects/loans/all/20161001"/>
      </x:ext>
    </extLst>
  </threadedComment>
  <threadedComment ref="P81" dT="2023-11-03T14:41:18.28" personId="{2FE83714-CFDC-44C0-AD15-D3DD5B44FB09}" id="{967CDEB5-62A5-48C0-A80E-85A4CA9FE7FB}">
    <text>Weighted Average Terms for Multilateral Agency loans based on values from this dataset
Term:        Interest     Term      Grace
Value:        2.39%      33.67       6.96
%Known:  46.21%    52.38%   44.87%</text>
  </threadedComment>
  <threadedComment ref="Q81" dT="2023-11-06T15:46:29.89" personId="{2FE83714-CFDC-44C0-AD15-D3DD5B44FB09}" id="{9244E8C4-4AD5-4E96-87EE-959D180F5F8E}">
    <text>Weighted Average Terms for Multilateral Agency loans based on values from this dataset
Term:        Interest     Term      Grace
Value:        2.39%      33.67       6.96
%Known:  46.21%    52.38%   44.87%</text>
  </threadedComment>
  <threadedComment ref="S81" dT="2023-11-06T15:46:37.46" personId="{2FE83714-CFDC-44C0-AD15-D3DD5B44FB09}" id="{BE818017-ADBC-45DB-B688-CC847F43E6C2}">
    <text>Weighted Average Terms for Multilateral Agency loans based on values from this dataset
Term:        Interest     Term      Grace
Value:        2.39%      33.67       6.96
%Known:  46.21%    52.38%   44.87%</text>
  </threadedComment>
  <threadedComment ref="K82" dT="2023-10-24T13:14:04.00" personId="{2FE83714-CFDC-44C0-AD15-D3DD5B44FB09}" id="{BE86E572-A2E5-4D8D-A3B8-F34DB7FBE380}">
    <text>IDA Loan WB
Development Projects : Kenya: Off-grid Solar Access Project for Underserved Counties - P160009 (worldbank.org)</text>
    <extLst>
      <x:ext xmlns:xltc2="http://schemas.microsoft.com/office/spreadsheetml/2020/threadedcomments2" uri="{F7C98A9C-CBB3-438F-8F68-D28B6AF4A901}">
        <xltc2:checksum>793430131</xltc2:checksum>
        <xltc2:hyperlink startIndex="12" length="110" url="https://projects.worldbank.org/en/projects-operations/project-detail/P160009"/>
      </x:ext>
    </extLst>
  </threadedComment>
  <threadedComment ref="P82" dT="2023-11-03T14:41:18.28" personId="{2FE83714-CFDC-44C0-AD15-D3DD5B44FB09}" id="{DFDF4FD3-4662-4D7E-9AA2-1B21AAFBB9A6}">
    <text>Weighted Average Terms for World Bank loans based on values from this dataset
Term:        Interest     Term      Grace
Value:        2.80%      30.80       6.52
%Known:  44.81%    49.09%   48.25%</text>
  </threadedComment>
  <threadedComment ref="Q82" dT="2023-11-06T16:19:21.50" personId="{2FE83714-CFDC-44C0-AD15-D3DD5B44FB09}" id="{C340EF61-7416-4EE7-B161-87EF7E8C4CAD}">
    <text>Weighted Average Terms for World Bank loans based on values from this dataset
Term:        Interest     Term      Grace
Value:        2.80%      30.80       6.52
%Known:  44.81%    49.09%   48.25%</text>
  </threadedComment>
  <threadedComment ref="S82" dT="2023-11-06T16:19:48.65" personId="{2FE83714-CFDC-44C0-AD15-D3DD5B44FB09}" id="{48ABBD3C-AEA4-4762-A731-2154510A70CE}">
    <text>Weighted Average Terms for World Bank loans based on values from this dataset
Term:        Interest     Term      Grace
Value:        2.80%      30.80       6.52
%Known:  44.81%    49.09%   48.25%</text>
  </threadedComment>
  <threadedComment ref="K83" dT="2023-10-24T14:47:42.73" personId="{2FE83714-CFDC-44C0-AD15-D3DD5B44FB09}" id="{226B05A4-D37E-41EB-A703-4C7A2C8724FB}">
    <text>Financed by African Development Fund (UA 46.7 Million) 
Government of Kenya (UA 14.07 Million)
1UA = $1.50891 USD
Kenya - Power Transmission System Improvement Project - Appraisal Report (afdb.org)
Available at:
Kenya - Power Transmission System Improvement Project (afdb.org)</text>
    <extLst>
      <x:ext xmlns:xltc2="http://schemas.microsoft.com/office/spreadsheetml/2020/threadedcomments2" uri="{F7C98A9C-CBB3-438F-8F68-D28B6AF4A901}">
        <xltc2:checksum>1116544482</xltc2:checksum>
        <xltc2:hyperlink startIndex="115" length="83" url="https://www.afdb.org/fileadmin/uploads/afdb/Documents/Project-and-Operations/KENYA%20-Power%20Transmission%20System%20Improvement%20Project.pdf"/>
        <xltc2:hyperlink startIndex="213" length="64" url="https://projectsportal.afdb.org/dataportal/VProject/show/P-KE-FA0-004"/>
      </x:ext>
    </extLst>
  </threadedComment>
  <threadedComment ref="P83" dT="2023-11-03T14:41:18.28" personId="{2FE83714-CFDC-44C0-AD15-D3DD5B44FB09}" id="{67ACF060-8EA6-4510-A736-C1D3D216E2E8}">
    <text>Weighted Average Terms for AfDB loans based on values from this dataset
Term:        Interest     Term      Grace
Value:        0.82%      38.30       7.92
%Known:  61.98%    77.38%   77.38%</text>
  </threadedComment>
  <threadedComment ref="Q83" dT="2023-10-31T10:12:59.88" personId="{2FE83714-CFDC-44C0-AD15-D3DD5B44FB09}" id="{35ED9A67-5DB7-4F65-A940-612203E3BA0B}">
    <text>Based on Report from AfDB
Page III (PDF Page 5)
https://www.afdb.org/fileadmin/uploads/afdb/Documents/Project-and-Operations/KENYA%20-Power%20Transmission%20System%20Improvement%20Project.pdf</text>
  </threadedComment>
  <threadedComment ref="S83" dT="2023-10-31T10:13:04.76" personId="{2FE83714-CFDC-44C0-AD15-D3DD5B44FB09}" id="{8A33FCC6-ACBD-4BAE-B111-39CC29506AA4}">
    <text>Based on Report from AfDB
Page III (PDF Page 5)
https://www.afdb.org/fileadmin/uploads/afdb/Documents/Project-and-Operations/KENYA%20-Power%20Transmission%20System%20Improvement%20Project.pdf</text>
  </threadedComment>
  <threadedComment ref="K84" dT="2023-10-24T14:47:27.75" personId="{2FE83714-CFDC-44C0-AD15-D3DD5B44FB09}" id="{C5C051F5-8F30-4DF0-8400-15EABD1BDBB9}">
    <text>Financed by African Development Fund (UA 46.7 Million) 
Government of Kenya (UA 14.07 Million)
1UA = $1.50891 USD
Kenya - Power Transmission System Improvement Project - Appraisal Report (afdb.org)
Available at:
Kenya - Power Transmission System Improvement Project (afdb.org)</text>
    <extLst>
      <x:ext xmlns:xltc2="http://schemas.microsoft.com/office/spreadsheetml/2020/threadedcomments2" uri="{F7C98A9C-CBB3-438F-8F68-D28B6AF4A901}">
        <xltc2:checksum>1116544482</xltc2:checksum>
        <xltc2:hyperlink startIndex="115" length="83" url="https://www.afdb.org/fileadmin/uploads/afdb/Documents/Project-and-Operations/KENYA%20-Power%20Transmission%20System%20Improvement%20Project.pdf"/>
        <xltc2:hyperlink startIndex="213" length="64" url="https://projectsportal.afdb.org/dataportal/VProject/show/P-KE-FA0-004"/>
      </x:ext>
    </extLst>
  </threadedComment>
  <threadedComment ref="P84" dT="2023-10-31T10:16:11.39" personId="{41181F03-CA57-824B-97F2-03A58DAE2D5E}" id="{C18DF82B-5F50-4284-8E62-86E5044FC05D}">
    <text>FIRR 19.9% 
https://www.afdb.org/fileadmin/uploads/afdb/Documents/Project-and-Operations/KENYA%20-Power%20Transmission%20System%20Improvement%20Project.pdf</text>
  </threadedComment>
  <threadedComment ref="K85" dT="2023-10-25T10:26:20.20" personId="{2FE83714-CFDC-44C0-AD15-D3DD5B44FB09}" id="{6EA40D3B-18A8-4000-BF30-CD5E3B409E2A}">
    <text>https://china.aiddata.org/projects/31086/</text>
  </threadedComment>
  <threadedComment ref="P85" dT="2023-11-03T14:56:53.93" personId="{2FE83714-CFDC-44C0-AD15-D3DD5B44FB09}" id="{2266EF0B-4C80-4F85-B980-E06018B55EBF}">
    <text>Weighted Average Terms for Chinese Loans based on values from this dataset
Term:        Interest     Term      Grace
Value:        2.69%      19.16       6.13
%Known:  52.05%    70.17%   55.78%</text>
  </threadedComment>
  <threadedComment ref="Q85" dT="2023-11-03T14:59:09.25" personId="{2FE83714-CFDC-44C0-AD15-D3DD5B44FB09}" id="{CDCDF8B3-1770-4342-AF9C-3434D6EA17B6}">
    <text>Weighted Average Terms for Chinese Loans based on values from this dataset
Term:        Interest     Term      Grace
Value:        2.69%      19.16       6.13
%Known:  52.05%    70.17%   55.78%</text>
  </threadedComment>
  <threadedComment ref="S85" dT="2023-11-03T14:59:09.25" personId="{2FE83714-CFDC-44C0-AD15-D3DD5B44FB09}" id="{8BF3FF93-31AA-4345-A8AF-D1214E6E3DBF}">
    <text>Weighted Average Terms for Chinese Loans based on values from this dataset
Term:        Interest     Term      Grace
Value:        2.69%      19.16       6.13
%Known:  52.05%    70.17%   55.78%</text>
  </threadedComment>
  <threadedComment ref="K86" dT="2023-10-24T14:49:31.30" personId="{2FE83714-CFDC-44C0-AD15-D3DD5B44FB09}" id="{1E0CF830-BE48-4EFB-A5FE-760B41204C30}">
    <text xml:space="preserve">China EXIM pay 85% of the Project Cost:
https://china.aiddata.org/projects/58510/ </text>
    <extLst>
      <x:ext xmlns:xltc2="http://schemas.microsoft.com/office/spreadsheetml/2020/threadedcomments2" uri="{F7C98A9C-CBB3-438F-8F68-D28B6AF4A901}">
        <xltc2:checksum>848041468</xltc2:checksum>
        <xltc2:hyperlink startIndex="41" length="41" url="https://china.aiddata.org/projects/58510/"/>
      </x:ext>
    </extLst>
  </threadedComment>
  <threadedComment ref="P86" dT="2023-11-03T14:56:53.93" personId="{2FE83714-CFDC-44C0-AD15-D3DD5B44FB09}" id="{B0458021-4DED-4A16-94A9-D64348D484D4}">
    <text>Weighted Average Terms for Chinese Loans based on values from this dataset
Term:        Interest     Term      Grace
Value:        2.69%      19.16       6.13
%Known:  52.05%    70.17%   55.78%</text>
  </threadedComment>
  <threadedComment ref="Q86" dT="2023-11-03T14:59:09.25" personId="{2FE83714-CFDC-44C0-AD15-D3DD5B44FB09}" id="{38D28692-727B-4AAC-A413-FF2C3778726D}">
    <text>Weighted Average Terms for Chinese Loans based on values from this dataset
Term:        Interest     Term      Grace
Value:        2.69%      19.16       6.13
%Known:  52.05%    70.17%   55.78%</text>
  </threadedComment>
  <threadedComment ref="S86" dT="2023-11-03T14:59:09.25" personId="{2FE83714-CFDC-44C0-AD15-D3DD5B44FB09}" id="{3C385107-D5C2-471E-A46D-92FC430C3BA5}">
    <text>Weighted Average Terms for Chinese Loans based on values from this dataset
Term:        Interest     Term      Grace
Value:        2.69%      19.16       6.13
%Known:  52.05%    70.17%   55.78%</text>
  </threadedComment>
  <threadedComment ref="K87" dT="2023-10-24T14:49:35.94" personId="{2FE83714-CFDC-44C0-AD15-D3DD5B44FB09}" id="{15D9230C-AB84-4D4F-AF1D-B0CFDE61465C}">
    <text xml:space="preserve">GoK reported to pay 15% of the project cost:
 https://china.aiddata.org/projects/58510/ </text>
    <extLst>
      <x:ext xmlns:xltc2="http://schemas.microsoft.com/office/spreadsheetml/2020/threadedcomments2" uri="{F7C98A9C-CBB3-438F-8F68-D28B6AF4A901}">
        <xltc2:checksum>3823673172</xltc2:checksum>
        <xltc2:hyperlink startIndex="46" length="41" url="https://china.aiddata.org/projects/58510/"/>
      </x:ext>
    </extLst>
  </threadedComment>
  <threadedComment ref="P87" dT="2023-10-31T11:09:48.80" personId="{2FE83714-CFDC-44C0-AD15-D3DD5B44FB09}" id="{447B569A-204B-4878-9426-E8E3BD2BCE5E}">
    <text>Based on average external public debt terms reported by Kenyan government for 2017</text>
  </threadedComment>
  <threadedComment ref="Q87" dT="2023-10-31T11:09:59.26" personId="{2FE83714-CFDC-44C0-AD15-D3DD5B44FB09}" id="{8EC5DF89-2881-4526-858E-14206B87BFDA}">
    <text>Based on average external public debt terms reported by Kenyan government for 2017</text>
  </threadedComment>
  <threadedComment ref="S87" dT="2023-10-31T11:10:13.65" personId="{2FE83714-CFDC-44C0-AD15-D3DD5B44FB09}" id="{5B66C448-52B6-4B5F-A74E-214AE826784A}">
    <text>Based on average external public debt terms reported by Kenyan government for 2017</text>
  </threadedComment>
  <threadedComment ref="K88" dT="2023-10-24T14:49:35.94" personId="{2FE83714-CFDC-44C0-AD15-D3DD5B44FB09}" id="{FB651240-1D69-42B7-80B5-C8D3EE9F50BB}">
    <text xml:space="preserve">GoK reported to pay 15% of the project cost:
 https://china.aiddata.org/projects/58510/ </text>
    <extLst>
      <x:ext xmlns:xltc2="http://schemas.microsoft.com/office/spreadsheetml/2020/threadedcomments2" uri="{F7C98A9C-CBB3-438F-8F68-D28B6AF4A901}">
        <xltc2:checksum>3823673172</xltc2:checksum>
        <xltc2:hyperlink startIndex="46" length="41" url="https://china.aiddata.org/projects/58510/"/>
      </x:ext>
    </extLst>
  </threadedComment>
  <threadedComment ref="P88" dT="2023-10-31T10:49:43.37" personId="{2FE83714-CFDC-44C0-AD15-D3DD5B44FB09}" id="{E26FBA1B-4929-4659-8516-664F23CCF2FC}">
    <text xml:space="preserve">Based on Base  Rate  +  Funding  Cost Margin  +  Lending  Margin  +  Maturity Premium.
Euribor Average 2010-present = 0.415787
Funding cost Margin = 0.206
Lending Margin = 80bp
maturity premium = 0.2
https://www.afdb.org/sites/all/libraries/pdf.js/web/viewer.html?file=https%3A%2F%2Fwww.afdb.org%2Fsites%2Fdefault%2Ffiles%2Fdocuments%2Fprojects-and-operations%2Fkenya_-_transmission_network_improvement_project_-_project_appraisal_report.pdf#page=1&amp;zoom=auto,-13,847
https://www.afdb.org/en/documents/adb-applicable-lending-rates-sovereign-guaranteed-loans-1-august-2021-31-january-2022
</text>
    <extLst>
      <x:ext xmlns:xltc2="http://schemas.microsoft.com/office/spreadsheetml/2020/threadedcomments2" uri="{F7C98A9C-CBB3-438F-8F68-D28B6AF4A901}">
        <xltc2:checksum>14036794</xltc2:checksum>
        <xltc2:hyperlink startIndex="202" length="266" url="https://www.afdb.org/sites/all/libraries/pdf.js/web/viewer.html?file=https%3A%2F%2Fwww.afdb.org%2Fsites%2Fdefault%2Ffiles%2Fdocuments%2Fprojects-and-operations%2Fkenya_-_transmission_network_improvement_project_-_project_appraisal_report.pdf#page=1&amp;zoom=auto,-13,847"/>
        <xltc2:hyperlink startIndex="470" length="119" url="https://www.afdb.org/en/documents/adb-applicable-lending-rates-sovereign-guaranteed-loans-1-august-2021-31-january-2022"/>
      </x:ext>
    </extLst>
  </threadedComment>
  <threadedComment ref="K89" dT="2023-10-24T14:49:35.94" personId="{2FE83714-CFDC-44C0-AD15-D3DD5B44FB09}" id="{0E4B3BE7-2372-44F4-B45F-894F70763898}">
    <text xml:space="preserve">GoK reported to pay 15% of the project cost:
 https://china.aiddata.org/projects/58510/ </text>
    <extLst>
      <x:ext xmlns:xltc2="http://schemas.microsoft.com/office/spreadsheetml/2020/threadedcomments2" uri="{F7C98A9C-CBB3-438F-8F68-D28B6AF4A901}">
        <xltc2:checksum>3823673172</xltc2:checksum>
        <xltc2:hyperlink startIndex="46" length="41" url="https://china.aiddata.org/projects/58510/"/>
      </x:ext>
    </extLst>
  </threadedComment>
  <threadedComment ref="P89" dT="2023-10-31T10:41:04.34" personId="{2FE83714-CFDC-44C0-AD15-D3DD5B44FB09}" id="{3BEA8094-5837-4BBC-A974-985385466FA7}">
    <text>0.1% administrative fee not included
Loan terms reported by AfDB report.
Page IV (PDF Page 7)
https://www.afdb.org/sites/all/libraries/pdf.js/web/viewer.html?file=https%3A%2F%2Fwww.afdb.org%2Fsites%2Fdefault%2Ffiles%2Fdocuments%2Fprojects-and-operations%2Fkenya_-_transmission_network_improvement_project_-_project_appraisal_report.pdf#page=1&amp;zoom=auto,-13,847</text>
  </threadedComment>
  <threadedComment ref="Q89" dT="2023-10-31T10:41:33.61" personId="{2FE83714-CFDC-44C0-AD15-D3DD5B44FB09}" id="{6FB3E866-1282-4102-A77F-331F338DD3EE}">
    <text>0.1% administrative fee not included
Loan terms reported by AfDB report.
Page IV (PDF Page 7)
https://www.afdb.org/sites/all/libraries/pdf.js/web/viewer.html?file=https%3A%2F%2Fwww.afdb.org%2Fsites%2Fdefault%2Ffiles%2Fdocuments%2Fprojects-and-operations%2Fkenya_-_transmission_network_improvement_project_-_project_appraisal_report.pdf#page=1&amp;zoom=auto,-13,847</text>
  </threadedComment>
  <threadedComment ref="S89" dT="2023-10-31T10:41:38.94" personId="{2FE83714-CFDC-44C0-AD15-D3DD5B44FB09}" id="{D631138E-08AE-4921-AE4F-AC14EB2037EC}">
    <text>0.1% administrative fee not included
Loan terms reported by AfDB report.
Page IV (PDF Page 7)
https://www.afdb.org/sites/all/libraries/pdf.js/web/viewer.html?file=https%3A%2F%2Fwww.afdb.org%2Fsites%2Fdefault%2Ffiles%2Fdocuments%2Fprojects-and-operations%2Fkenya_-_transmission_network_improvement_project_-_project_appraisal_report.pdf#page=1&amp;zoom=auto,-13,847</text>
  </threadedComment>
  <threadedComment ref="G90" dT="2023-10-31T10:38:48.69" personId="{41181F03-CA57-824B-97F2-03A58DAE2D5E}" id="{ACC29C29-68DC-4831-87FE-1CA9A9801E70}">
    <text>Cash
https://www.afdb.org/sites/all/libraries/pdf.js/web/viewer.html?file=https%3A%2F%2Fwww.afdb.org%2Fsites%2Fdefault%2Ffiles%2Fdocuments%2Fprojects-and-operations%2Fkenya_-_transmission_network_improvement_project_-_project_appraisal_report.pdf#page=1&amp;zoom=auto,-13,847</text>
  </threadedComment>
  <threadedComment ref="K90" dT="2023-10-24T14:49:35.94" personId="{2FE83714-CFDC-44C0-AD15-D3DD5B44FB09}" id="{08C13D9A-2416-4FA3-A535-9009B65F036D}">
    <text xml:space="preserve">GoK reported to pay 15% of the project cost:
 https://china.aiddata.org/projects/58510/ </text>
    <extLst>
      <x:ext xmlns:xltc2="http://schemas.microsoft.com/office/spreadsheetml/2020/threadedcomments2" uri="{F7C98A9C-CBB3-438F-8F68-D28B6AF4A901}">
        <xltc2:checksum>3823673172</xltc2:checksum>
        <xltc2:hyperlink startIndex="46" length="41" url="https://china.aiddata.org/projects/58510/"/>
      </x:ext>
    </extLst>
  </threadedComment>
  <threadedComment ref="P90" dT="2023-10-31T10:41:21.01" personId="{41181F03-CA57-824B-97F2-03A58DAE2D5E}" id="{E5087A1D-3583-428C-A2B4-138E2CD723D7}">
    <text>Cash Payment
https://www.afdb.org/sites/all/libraries/pdf.js/web/viewer.html?file=https%3A%2F%2Fwww.afdb.org%2Fsites%2Fdefault%2Ffiles%2Fdocuments%2Fprojects-and-operations%2Fkenya_-_transmission_network_improvement_project_-_project_appraisal_report.pdf#page=1&amp;zoom=auto,-13,847</text>
  </threadedComment>
  <threadedComment ref="Q90" dT="2023-10-31T10:40:32.50" personId="{41181F03-CA57-824B-97F2-03A58DAE2D5E}" id="{5DB6909A-49C5-41E0-AA68-006D72CDC571}">
    <text>Cash
https://www.afdb.org/sites/all/libraries/pdf.js/web/viewer.html?file=https%3A%2F%2Fwww.afdb.org%2Fsites%2Fdefault%2Ffiles%2Fdocuments%2Fprojects-and-operations%2Fkenya_-_transmission_network_improvement_project_-_project_appraisal_report.pdf#page=1&amp;zoom=auto,-13,847</text>
  </threadedComment>
  <threadedComment ref="T90" dT="2023-10-31T10:40:39.97" personId="{41181F03-CA57-824B-97F2-03A58DAE2D5E}" id="{6B1D6E76-CA06-4FB4-8BC9-6219378041D1}">
    <text>Cash
https://www.afdb.org/sites/all/libraries/pdf.js/web/viewer.html?file=https%3A%2F%2Fwww.afdb.org%2Fsites%2Fdefault%2Ffiles%2Fdocuments%2Fprojects-and-operations%2Fkenya_-_transmission_network_improvement_project_-_project_appraisal_report.pdf#page=1&amp;zoom=auto,-13,847</text>
  </threadedComment>
  <threadedComment ref="K91" dT="2023-10-24T14:53:08.53" personId="{2FE83714-CFDC-44C0-AD15-D3DD5B44FB09}" id="{FEE72F07-4391-44DB-A4F1-3D2872714B3F}">
    <text>World Bank IDA Finance
Development Projects : Kenya Private Sector Power Generation Support Project - P122671 (worldbank.org)</text>
    <extLst>
      <x:ext xmlns:xltc2="http://schemas.microsoft.com/office/spreadsheetml/2020/threadedcomments2" uri="{F7C98A9C-CBB3-438F-8F68-D28B6AF4A901}">
        <xltc2:checksum>1143492792</xltc2:checksum>
        <xltc2:hyperlink startIndex="23" length="102" url="https://projects.worldbank.org/en/projects-operations/project-detail/P122671"/>
      </x:ext>
    </extLst>
  </threadedComment>
  <threadedComment ref="P91" dT="2023-11-03T14:41:18.28" personId="{2FE83714-CFDC-44C0-AD15-D3DD5B44FB09}" id="{AF9E8196-C2A8-4C66-985D-F117480B6E3B}">
    <text>Weighted Average Terms for World Bank loans based on values from this dataset
Term:        Interest     Term      Grace
Value:        2.80%      30.80       6.52
%Known:  44.81%    49.09%   48.25%</text>
  </threadedComment>
  <threadedComment ref="Q91" dT="2023-11-06T16:19:21.50" personId="{2FE83714-CFDC-44C0-AD15-D3DD5B44FB09}" id="{6FF9EF1F-F9DE-4122-8C49-6823E82EF3CE}">
    <text>Weighted Average Terms for World Bank loans based on values from this dataset
Term:        Interest     Term      Grace
Value:        2.80%      30.80       6.52
%Known:  44.81%    49.09%   48.25%</text>
  </threadedComment>
  <threadedComment ref="S91" dT="2023-11-06T16:19:48.65" personId="{2FE83714-CFDC-44C0-AD15-D3DD5B44FB09}" id="{B5AB6536-CB76-4C75-A96F-C07E2046FC56}">
    <text>Weighted Average Terms for World Bank loans based on values from this dataset
Term:        Interest     Term      Grace
Value:        2.80%      30.80       6.52
%Known:  44.81%    49.09%   48.25%</text>
  </threadedComment>
  <threadedComment ref="A92" dT="2023-10-31T12:23:04.42" personId="{2FE83714-CFDC-44C0-AD15-D3DD5B44FB09}" id="{A3ED1B0D-3282-4366-A2E0-F4D9451D9AE7}">
    <text>Probably covers Kenya-Tanzania Power Interconnection Project (KTPIP) and Kenya-Uganda Interconnection Project (Lessos-Tororo Transmission Line)</text>
  </threadedComment>
  <threadedComment ref="K92" dT="2023-10-24T15:01:00.23" personId="{2FE83714-CFDC-44C0-AD15-D3DD5B44FB09}" id="{1CA3C5BC-90EF-4B46-BF01-6952E81451C6}">
    <text>Total Financing: 32.6 Million UA Kenya
African Development Fund: 27.5 Million UA
GoK: 5.1 Million UA
1 UA = 1.5474 USD
EIRR: 25.21%
REV-Multinational__AR__Kenya_-_Tanzania__Power__interconnection__Project.pdf (afdb.org)</text>
    <extLst>
      <x:ext xmlns:xltc2="http://schemas.microsoft.com/office/spreadsheetml/2020/threadedcomments2" uri="{F7C98A9C-CBB3-438F-8F68-D28B6AF4A901}">
        <xltc2:checksum>3496729161</xltc2:checksum>
        <xltc2:hyperlink startIndex="133" length="87" url="https://www.afdb.org/fileadmin/uploads/afdb/Documents/Boards-Documents/REV-Multinational__AR__Kenya_-_Tanzania__Power__interconnection__Project.pdf"/>
      </x:ext>
    </extLst>
  </threadedComment>
  <threadedComment ref="A93" dT="2023-10-31T12:23:04.42" personId="{2FE83714-CFDC-44C0-AD15-D3DD5B44FB09}" id="{5F67F287-5727-4389-9926-1749AD889BC1}">
    <text>Probably covers Kenya-Tanzania Power Interconnection Project (KTPIP) and Kenya-Uganda Interconnection Project (Lessos-Tororo Transmission Line)</text>
  </threadedComment>
  <threadedComment ref="K93" dT="2023-10-24T15:01:54.46" personId="{2FE83714-CFDC-44C0-AD15-D3DD5B44FB09}" id="{433DAD45-9ECE-4019-BFE5-94D0B44FB746}">
    <text xml:space="preserve">Original amount (17.73UA) approved in 2008, additional 22.04UA approved in 2010
Conversion based on Jun 2010 rates: 1 UA: 1.47433 USD
https://www.afdb.org/fileadmin/uploads/afdb/Documents/Project-and-Operations/Multinational-_Approved_-_Interconnection_of_Electric_Grids_of_Nile_Equatorial_Lakes_Countries_Project__NELSAP.pdf </text>
    <extLst>
      <x:ext xmlns:xltc2="http://schemas.microsoft.com/office/spreadsheetml/2020/threadedcomments2" uri="{F7C98A9C-CBB3-438F-8F68-D28B6AF4A901}">
        <xltc2:checksum>567490909</xltc2:checksum>
        <xltc2:hyperlink startIndex="135" length="191" url="https://www.afdb.org/fileadmin/uploads/afdb/Documents/Project-and-Operations/Multinational-_Approved_-_Interconnection_of_Electric_Grids_of_Nile_Equatorial_Lakes_Countries_Project__NELSAP.pdf"/>
      </x:ext>
    </extLst>
  </threadedComment>
  <threadedComment ref="P93" dT="2023-11-03T14:41:18.28" personId="{2FE83714-CFDC-44C0-AD15-D3DD5B44FB09}" id="{2931028F-76FD-45E6-8EC3-646201F8109B}">
    <text>Weighted Average Terms for AfDB loans based on values from this dataset
Term:        Interest     Term      Grace
Value:        0.82%      38.30       7.92
%Known:  61.98%    77.38%   77.38%</text>
  </threadedComment>
  <threadedComment ref="Q93" dT="2023-11-06T16:15:04.50" personId="{2FE83714-CFDC-44C0-AD15-D3DD5B44FB09}" id="{6D74E1E4-732C-4A34-B82F-4B0A491188B3}">
    <text>Weighted Average Terms for AfDB loans based on values from this dataset
Term:        Interest     Term      Grace
Value:        0.82%      38.30       7.92
%Known:  61.98%    77.38%   77.38%</text>
  </threadedComment>
  <threadedComment ref="S93" dT="2023-11-06T16:15:51.19" personId="{2FE83714-CFDC-44C0-AD15-D3DD5B44FB09}" id="{75F7EF10-F16B-4FFD-96D4-F007C4702983}">
    <text>Weighted Average Terms for AfDB loans based on values from this dataset
Term:        Interest     Term      Grace
Value:        0.82%      38.30       7.92
%Known:  61.98%    77.38%   77.38%</text>
  </threadedComment>
  <threadedComment ref="K94" dT="2023-10-24T15:33:01.21" personId="{2FE83714-CFDC-44C0-AD15-D3DD5B44FB09}" id="{CA416EB5-A879-4B7F-B4A6-9EDFEC6693BC}">
    <text>Debt: Overseas Private Investment Corp (OPIC) ($232.6 million/€208.8 million)
Equity: AIIF 2 (55%), Craftskills Wind (20%), IFC (20%), Local Community (5%)
https://www.sciencedirect.com/science/article/pii/S136403211830861X?ref=pdf_download&amp;fr=RR-2&amp;rr=7cff56bdf94b76b3</text>
  </threadedComment>
  <threadedComment ref="P94" dT="2023-11-03T15:34:21.17" personId="{2FE83714-CFDC-44C0-AD15-D3DD5B44FB09}" id="{370C9E12-ED8C-445D-92D7-AF5DF0EF7308}">
    <text>Weighted Average Terms for Foreign Gov. loans based on values from this dataset
Term:        Interest     Term      Grace
Value:        2.41%      23.58       6.54
%Known:  51.96%    66.91%   50.41%</text>
  </threadedComment>
  <threadedComment ref="Q94" dT="2023-11-07T12:12:36.39" personId="{2FE83714-CFDC-44C0-AD15-D3DD5B44FB09}" id="{293FB100-DAB2-4408-904E-D5597D7C8B59}">
    <text>Weighted Average Terms for Foreign Gov. loans based on values from this dataset
Term:        Interest     Term      Grace
Value:        2.41%      23.58       6.54
%Known:  51.96%    66.91%   50.41%</text>
  </threadedComment>
  <threadedComment ref="S94" dT="2023-11-07T12:12:52.06" personId="{2FE83714-CFDC-44C0-AD15-D3DD5B44FB09}" id="{A4602A02-AF38-4DF7-BB10-29AC1D1642AA}">
    <text>Weighted Average Terms for Foreign Gov. loans based on values from this dataset
Term:        Interest     Term      Grace
Value:        2.41%      23.58       6.54
%Known:  51.96%    66.91%   50.41%</text>
  </threadedComment>
  <threadedComment ref="J95" dT="2023-11-06T14:51:25.56" personId="{2FE83714-CFDC-44C0-AD15-D3DD5B44FB09}" id="{D9844F8C-3737-4850-907E-708B88EAFF1C}">
    <text>Registered to London</text>
  </threadedComment>
  <threadedComment ref="K95" dT="2023-10-24T15:36:58.40" personId="{2FE83714-CFDC-44C0-AD15-D3DD5B44FB09}" id="{F598C4B5-EFDE-469A-82D7-16FE9E57EDD3}">
    <text>Actis 88% of $67.4 Million Equity Financing 
https://ppi.worldbank.org/en/snapshots/project/kipeto-project-9635</text>
  </threadedComment>
  <threadedComment ref="P95" dT="2023-10-31T12:53:10.49" personId="{2FE83714-CFDC-44C0-AD15-D3DD5B44FB09}" id="{AFD3BED2-B284-4703-BE52-62983CBB3CB5}">
    <text xml:space="preserve">Project Specific ROE of 13% reported in: Page 38 (PDF Page 40)
https://core.ac.uk/download/pdf/43542198.pdf
</text>
  </threadedComment>
  <threadedComment ref="Q95" dT="2023-10-27T11:52:31.41" personId="{2FE83714-CFDC-44C0-AD15-D3DD5B44FB09}" id="{7F80C795-6AD2-466D-8AD5-37C69A1201BC}">
    <text>Based on Operational Life of On-Shore Wind reported in:
https://www.sciencedirect.com/science/article/pii/S2352340922002323
Lucy Allington, Carla Cannone, Ioannis Pappis, Karla Cervantes Barron, Will Usher, Steve Pye, Edward Brown, Mark Howells, Miriam Zachau Walker, Aniq Ahsan, Flora Charbonnier, Claire Halloran, Stephanie Hirmer, Jennifer Cronin, Constantinos Taliotis, Caroline Sundin, Vignesh Sridharan, Eunice Ramos, Maarten Brinkerink, Paul Deane, Andrii Gritsevskyi, Gustavo Moura, Arnaud Rouget, David Wogan, Edito Barcelona, Taco Niet, Holger Rogner, Franziska Bock, Jairo Quirós-Tortós, Jam Angulo-Paniagua, Satheesh Krishnamurthy, John Harrison, Long Seng To,
Selected ‘Starter kit’ energy system modelling data for selected countries in Africa, East Asia, and South America (#CCG, 2021),
Data in Brief,
Volume 42,
2022,
108021,
ISSN 2352-3409,
https://doi.org/10.1016/j.dib.2022.108021.</text>
    <extLst>
      <x:ext xmlns:xltc2="http://schemas.microsoft.com/office/spreadsheetml/2020/threadedcomments2" uri="{F7C98A9C-CBB3-438F-8F68-D28B6AF4A901}">
        <xltc2:checksum>4143878111</xltc2:checksum>
        <xltc2:hyperlink startIndex="57" length="67" url="https://www.sciencedirect.com/science/article/pii/S2352340922002323"/>
      </x:ext>
    </extLst>
  </threadedComment>
  <threadedComment ref="K96" dT="2023-10-31T12:48:11.79" personId="{2FE83714-CFDC-44C0-AD15-D3DD5B44FB09}" id="{60B4BDD3-7769-49B9-B4AB-E1BB0A631CE3}">
    <text>Actis 12% of $67.4 Million Equity Financing 
https://ppi.worldbank.org/en/snapshots/project/kipeto-project-9635</text>
  </threadedComment>
  <threadedComment ref="P96" dT="2023-10-31T12:53:10.49" personId="{2FE83714-CFDC-44C0-AD15-D3DD5B44FB09}" id="{8D017FCC-E141-4508-A59A-7ED6593ECC35}">
    <text xml:space="preserve">Project Specific ROE of 13% reported in: Page 38 (PDF Page 40)
https://core.ac.uk/download/pdf/43542198.pdf
</text>
  </threadedComment>
  <threadedComment ref="Q96" dT="2023-10-27T11:52:31.41" personId="{2FE83714-CFDC-44C0-AD15-D3DD5B44FB09}" id="{D3737478-6551-4631-8E87-C13A086157D3}">
    <text>Based on Operational Life of On-Shore Wind reported in:
https://www.sciencedirect.com/science/article/pii/S2352340922002323
Lucy Allington, Carla Cannone, Ioannis Pappis, Karla Cervantes Barron, Will Usher, Steve Pye, Edward Brown, Mark Howells, Miriam Zachau Walker, Aniq Ahsan, Flora Charbonnier, Claire Halloran, Stephanie Hirmer, Jennifer Cronin, Constantinos Taliotis, Caroline Sundin, Vignesh Sridharan, Eunice Ramos, Maarten Brinkerink, Paul Deane, Andrii Gritsevskyi, Gustavo Moura, Arnaud Rouget, David Wogan, Edito Barcelona, Taco Niet, Holger Rogner, Franziska Bock, Jairo Quirós-Tortós, Jam Angulo-Paniagua, Satheesh Krishnamurthy, John Harrison, Long Seng To,
Selected ‘Starter kit’ energy system modelling data for selected countries in Africa, East Asia, and South America (#CCG, 2021),
Data in Brief,
Volume 42,
2022,
108021,
ISSN 2352-3409,
https://doi.org/10.1016/j.dib.2022.108021.</text>
    <extLst>
      <x:ext xmlns:xltc2="http://schemas.microsoft.com/office/spreadsheetml/2020/threadedcomments2" uri="{F7C98A9C-CBB3-438F-8F68-D28B6AF4A901}">
        <xltc2:checksum>4143878111</xltc2:checksum>
        <xltc2:hyperlink startIndex="57" length="67" url="https://www.sciencedirect.com/science/article/pii/S2352340922002323"/>
      </x:ext>
    </extLst>
  </threadedComment>
  <threadedComment ref="K97" dT="2023-10-24T16:55:49.33" personId="{2FE83714-CFDC-44C0-AD15-D3DD5B44FB09}" id="{8E090E24-FE04-4F8F-A249-CCC78F3085B9}">
    <text>Total Project Cost: $52 Million
No evidence of Debt Financing
Note: Potential for additional BESS capacity for $10 Million
Kisumi solar plant in Kenya to be operational by 2024 (esi-africa.com)</text>
    <extLst>
      <x:ext xmlns:xltc2="http://schemas.microsoft.com/office/spreadsheetml/2020/threadedcomments2" uri="{F7C98A9C-CBB3-438F-8F68-D28B6AF4A901}">
        <xltc2:checksum>291402510</xltc2:checksum>
        <xltc2:hyperlink startIndex="124" length="70" url="https://www.esi-africa.com/east-africa/kisumi-solar-plant-in-kenya-to-be-operational-by-2024/"/>
      </x:ext>
    </extLst>
  </threadedComment>
  <threadedComment ref="P97" dT="2023-10-31T14:20:41.90" personId="{2FE83714-CFDC-44C0-AD15-D3DD5B44FB09}" id="{32F72365-156F-4F75-84AB-4F06D04EA681}">
    <text>Interest Rates based on Equity Rate of Return for Solar Projects from 
Page 38 (PDF Page 40)
https://core.ac.uk/download/pdf/43542198.pdf</text>
  </threadedComment>
  <threadedComment ref="Q97" dT="2023-10-27T11:52:31.41" personId="{2FE83714-CFDC-44C0-AD15-D3DD5B44FB09}" id="{44430203-BD1F-4222-8901-1FDF76A7BA62}">
    <text>Based on Operational Life of Solar PV in Africa reported in:
https://www.sciencedirect.com/science/article/pii/S2352340922002323
Lucy Allington, Carla Cannone, Ioannis Pappis, Karla Cervantes Barron, Will Usher, Steve Pye, Edward Brown, Mark Howells, Miriam Zachau Walker, Aniq Ahsan, Flora Charbonnier, Claire Halloran, Stephanie Hirmer, Jennifer Cronin, Constantinos Taliotis, Caroline Sundin, Vignesh Sridharan, Eunice Ramos, Maarten Brinkerink, Paul Deane, Andrii Gritsevskyi, Gustavo Moura, Arnaud Rouget, David Wogan, Edito Barcelona, Taco Niet, Holger Rogner, Franziska Bock, Jairo Quirós-Tortós, Jam Angulo-Paniagua, Satheesh Krishnamurthy, John Harrison, Long Seng To,
Selected ‘Starter kit’ energy system modelling data for selected countries in Africa, East Asia, and South America (#CCG, 2021),
Data in Brief,
Volume 42,
2022,
108021,
ISSN 2352-3409,
https://doi.org/10.1016/j.dib.2022.108021.</text>
    <extLst>
      <x:ext xmlns:xltc2="http://schemas.microsoft.com/office/spreadsheetml/2020/threadedcomments2" uri="{F7C98A9C-CBB3-438F-8F68-D28B6AF4A901}">
        <xltc2:checksum>3020030219</xltc2:checksum>
        <xltc2:hyperlink startIndex="62" length="67" url="https://www.sciencedirect.com/science/article/pii/S2352340922002323"/>
      </x:ext>
    </extLst>
  </threadedComment>
  <threadedComment ref="K98" dT="2023-10-24T17:05:52.54" personId="{2FE83714-CFDC-44C0-AD15-D3DD5B44FB09}" id="{EC720FF3-9A45-43FB-BD00-C67C6F205B86}">
    <text>AfDB loan of $18.7 Million
Project Summary Note - Kopere 40 Mw Solar Pv Ipp | African Development Bank Group - Making a Difference (afdb.org)</text>
    <extLst>
      <x:ext xmlns:xltc2="http://schemas.microsoft.com/office/spreadsheetml/2020/threadedcomments2" uri="{F7C98A9C-CBB3-438F-8F68-D28B6AF4A901}">
        <xltc2:checksum>4232311044</xltc2:checksum>
        <xltc2:hyperlink startIndex="27" length="114" url="https://www.afdb.org/en/documents/document/project-summary-note-kopere-40-mw-solar-pv-ipp-107312"/>
      </x:ext>
    </extLst>
  </threadedComment>
  <threadedComment ref="P98" dT="2023-11-03T14:41:18.28" personId="{2FE83714-CFDC-44C0-AD15-D3DD5B44FB09}" id="{CDDCA0AE-EAF1-4444-81AF-2E5DA54F265A}">
    <text>Weighted Average Terms for AfDB loans based on values from this dataset
Term:        Interest     Term      Grace
Value:        0.82%      38.30       7.92
%Known:  61.98%    77.38%   77.38%</text>
  </threadedComment>
  <threadedComment ref="Q98" dT="2023-10-31T14:30:44.90" personId="{2FE83714-CFDC-44C0-AD15-D3DD5B44FB09}" id="{E97D3C4E-5D5A-4E77-B014-E49E94FEEAE2}">
    <text>Based on 18 year tenor and 12 month grace period outlined by the AfDB for AfDB and CIF SREP Loans 
https://www.afdb.org/en/documents/document/project-summary-note-kopere-40-mw-solar-pv-ipp-107312</text>
  </threadedComment>
  <threadedComment ref="S98" dT="2023-10-31T14:31:16.62" personId="{2FE83714-CFDC-44C0-AD15-D3DD5B44FB09}" id="{A2E08A4A-71F6-436B-B2AF-A3A97CDDA379}">
    <text>Based on 18 year tenor and 12 month grace period outlined by the AfDB for AfDB and CIF SREP Loans 
https://www.afdb.org/en/documents/document/project-summary-note-kopere-40-mw-solar-pv-ipp-107312</text>
  </threadedComment>
  <threadedComment ref="K99" dT="2023-10-24T17:12:55.47" personId="{2FE83714-CFDC-44C0-AD15-D3DD5B44FB09}" id="{AC35C67B-1E98-461D-A76D-C7916FAD454B}">
    <text>EDFI split remaining debt with AfDB
Project Summary Note - Kopere 40 Mw Solar Pv Ipp | African Development Bank Group - Making a Difference (afdb.org)</text>
    <extLst>
      <x:ext xmlns:xltc2="http://schemas.microsoft.com/office/spreadsheetml/2020/threadedcomments2" uri="{F7C98A9C-CBB3-438F-8F68-D28B6AF4A901}">
        <xltc2:checksum>2370221591</xltc2:checksum>
        <xltc2:hyperlink startIndex="36" length="114" url="https://www.afdb.org/en/documents/document/project-summary-note-kopere-40-mw-solar-pv-ipp-107312"/>
      </x:ext>
    </extLst>
  </threadedComment>
  <threadedComment ref="P99" dT="2023-11-03T16:17:30.33" personId="{2FE83714-CFDC-44C0-AD15-D3DD5B44FB09}" id="{6257F23A-A150-4C7C-B4FD-0A57554FF8C2}">
    <text>Weighted Average Terms for Climate Fund loans based on values from this dataset
Term:        Interest     Term      Grace
Value:        4.96%      14.11       1.00
%Known:   6.19%     29.29%    5.75%</text>
  </threadedComment>
  <threadedComment ref="Q99" dT="2023-11-06T15:44:26.67" personId="{2FE83714-CFDC-44C0-AD15-D3DD5B44FB09}" id="{C1F24CB5-0997-4D6E-B9CF-87EA74318301}">
    <text>Weighted Average Terms for Climate Fund loans based on values from this dataset
Term:        Interest     Term      Grace
Value:        4.96%      14.11       1.00
%Known:   6.19%     29.29%    5.75%</text>
  </threadedComment>
  <threadedComment ref="S99" dT="2023-11-06T15:43:15.09" personId="{2FE83714-CFDC-44C0-AD15-D3DD5B44FB09}" id="{D16092A2-3FBC-49AF-9076-C9F7783F3C6F}">
    <text>Weighted Average Terms for Climate Fund loans based on values from this dataset
Term:        Interest     Term      Grace
Value:        4.96%      14.11       1.00
%Known:   6.19%     29.29%    5.75%</text>
  </threadedComment>
  <threadedComment ref="K100" dT="2023-10-24T17:03:17.00" personId="{2FE83714-CFDC-44C0-AD15-D3DD5B44FB09}" id="{288DE41E-2DD0-4E63-BC8A-5580F1D22E90}">
    <text xml:space="preserve">CIF Loan 
https://www.cif.org/projects/pssa-kopere-solar-park
</text>
    <extLst>
      <x:ext xmlns:xltc2="http://schemas.microsoft.com/office/spreadsheetml/2020/threadedcomments2" uri="{F7C98A9C-CBB3-438F-8F68-D28B6AF4A901}">
        <xltc2:checksum>1982226610</xltc2:checksum>
        <xltc2:hyperlink startIndex="11" length="51" url="https://www.cif.org/projects/pssa-kopere-solar-park"/>
      </x:ext>
    </extLst>
  </threadedComment>
  <threadedComment ref="P100" dT="2023-11-03T16:17:30.33" personId="{2FE83714-CFDC-44C0-AD15-D3DD5B44FB09}" id="{6BFF9EDC-500C-4558-B504-BCF9A091C431}">
    <text>Weighted Average Terms for Climate Fund loans based on values from this dataset
Term:        Interest     Term      Grace
Value:        4.96%      14.11       1.00
%Known:   6.19%     29.29%    5.75%</text>
  </threadedComment>
  <threadedComment ref="Q100" dT="2023-10-31T14:30:44.90" personId="{2FE83714-CFDC-44C0-AD15-D3DD5B44FB09}" id="{75F68B91-DEC0-470C-84FB-926AE5FE726C}">
    <text>Based on 18 year tenor and 12 month grace period outlined by the AfDB for AfDB and CIF SREP Loans 
https://www.afdb.org/en/documents/document/project-summary-note-kopere-40-mw-solar-pv-ipp-107312</text>
  </threadedComment>
  <threadedComment ref="S100" dT="2023-10-31T14:31:20.21" personId="{2FE83714-CFDC-44C0-AD15-D3DD5B44FB09}" id="{FC3AA143-BC12-457D-B4D8-DD792BBB8174}">
    <text>Based on 18 year tenor and 12 month grace period outlined by the AfDB for AfDB and CIF SREP Loans 
https://www.afdb.org/en/documents/document/project-summary-note-kopere-40-mw-solar-pv-ipp-107312</text>
  </threadedComment>
  <threadedComment ref="K101" dT="2023-10-24T17:14:50.90" personId="{2FE83714-CFDC-44C0-AD15-D3DD5B44FB09}" id="{7B58AA46-13A2-4081-92E5-F0AC10376489}">
    <text>75:25 Debt:Equity Split of total project cost ($63.9 Million)
Project Summary Note - Kopere 40 Mw Solar Pv Ipp | African Development Bank Group - Making a Difference (afdb.org)</text>
    <extLst>
      <x:ext xmlns:xltc2="http://schemas.microsoft.com/office/spreadsheetml/2020/threadedcomments2" uri="{F7C98A9C-CBB3-438F-8F68-D28B6AF4A901}">
        <xltc2:checksum>941391723</xltc2:checksum>
        <xltc2:hyperlink startIndex="63" length="114" url="https://www.afdb.org/en/documents/document/project-summary-note-kopere-40-mw-solar-pv-ipp-107312"/>
      </x:ext>
    </extLst>
  </threadedComment>
  <threadedComment ref="P101" dT="2023-10-31T14:32:57.87" personId="{2FE83714-CFDC-44C0-AD15-D3DD5B44FB09}" id="{D5E4EEC0-1298-44CC-AFE6-1F15CFB80EB5}">
    <text>Based on technology-specific Equity Return on Investments outlined in:
Page 38 (PDF Page 40)
https://core.ac.uk/download/pdf/43542198.pdf</text>
  </threadedComment>
  <threadedComment ref="Q101" dT="2023-10-27T11:52:31.41" personId="{2FE83714-CFDC-44C0-AD15-D3DD5B44FB09}" id="{2051D897-1CF1-4E43-8970-562E7E6C4C6F}">
    <text>Based on Operational Life of Solar PV in Africa reported in:
https://www.sciencedirect.com/science/article/pii/S2352340922002323
Lucy Allington, Carla Cannone, Ioannis Pappis, Karla Cervantes Barron, Will Usher, Steve Pye, Edward Brown, Mark Howells, Miriam Zachau Walker, Aniq Ahsan, Flora Charbonnier, Claire Halloran, Stephanie Hirmer, Jennifer Cronin, Constantinos Taliotis, Caroline Sundin, Vignesh Sridharan, Eunice Ramos, Maarten Brinkerink, Paul Deane, Andrii Gritsevskyi, Gustavo Moura, Arnaud Rouget, David Wogan, Edito Barcelona, Taco Niet, Holger Rogner, Franziska Bock, Jairo Quirós-Tortós, Jam Angulo-Paniagua, Satheesh Krishnamurthy, John Harrison, Long Seng To,
Selected ‘Starter kit’ energy system modelling data for selected countries in Africa, East Asia, and South America (#CCG, 2021),
Data in Brief,
Volume 42,
2022,
108021,
ISSN 2352-3409,
https://doi.org/10.1016/j.dib.2022.108021.</text>
    <extLst>
      <x:ext xmlns:xltc2="http://schemas.microsoft.com/office/spreadsheetml/2020/threadedcomments2" uri="{F7C98A9C-CBB3-438F-8F68-D28B6AF4A901}">
        <xltc2:checksum>3020030219</xltc2:checksum>
        <xltc2:hyperlink startIndex="62" length="67" url="https://www.sciencedirect.com/science/article/pii/S2352340922002323"/>
      </x:ext>
    </extLst>
  </threadedComment>
  <threadedComment ref="K102" dT="2023-10-24T17:17:36.10" personId="{2FE83714-CFDC-44C0-AD15-D3DD5B44FB09}" id="{03421C07-F9E6-4964-B84D-F02C3CA6A8B9}">
    <text>From Financial Disclosures
Annual-report.pdf (ktdateas.com)
https://ktdateas.com/wp-content/uploads/2021/02/Annual-report.pdf</text>
    <extLst>
      <x:ext xmlns:xltc2="http://schemas.microsoft.com/office/spreadsheetml/2020/threadedcomments2" uri="{F7C98A9C-CBB3-438F-8F68-D28B6AF4A901}">
        <xltc2:checksum>1216127365</xltc2:checksum>
        <xltc2:hyperlink startIndex="27" length="32" url="https://ktdateas.com/wp-content/uploads/2021/02/Annual-report.pdf"/>
      </x:ext>
    </extLst>
  </threadedComment>
  <threadedComment ref="P102" dT="2023-10-30T10:32:06.19" personId="{2FE83714-CFDC-44C0-AD15-D3DD5B44FB09}" id="{A1ABF34A-9E28-4598-B317-ACB31600749F}">
    <text>Based on Terms outlined for PROPARCO / AFD Loan of 3.5% + 6-month Libor
Page 81
https://ktdateas.com/wp-content/uploads/2021/02/Annual-report.pdf</text>
  </threadedComment>
  <threadedComment ref="Q102" dT="2023-10-27T16:55:59.53" personId="{2FE83714-CFDC-44C0-AD15-D3DD5B44FB09}" id="{A342CCD8-12C2-414C-A0F1-C9582F25AB47}">
    <text>Loan term outlined in:
https://ktdateas.com/wp-content/uploads/2021/02/Annual-report.pdf</text>
  </threadedComment>
  <threadedComment ref="S102" dT="2023-11-06T16:47:35.40" personId="{2FE83714-CFDC-44C0-AD15-D3DD5B44FB09}" id="{9B1D7F8C-DEEC-4E80-87AF-2CB4A9666E72}">
    <text>Weighted Average Terms for Bilateral Agency loans based on values from this dataset
Term:        Interest     Term      Grace
Value:        2.53%      18.85       6.39
%Known:  44.13%    55.73%   44.84%</text>
  </threadedComment>
  <threadedComment ref="K103" dT="2023-10-27T16:26:23.25" personId="{2FE83714-CFDC-44C0-AD15-D3DD5B44FB09}" id="{8A18453B-C946-4600-AEDB-56204F6ECDF5}">
    <text>Total IFC Funding including GAFSP
$25M 
$12.5M GAFSP
$12.5M IFC
https://disclosures.ifc.org/project-detail/SII/36402/ktda-small-hydro</text>
  </threadedComment>
  <threadedComment ref="P103" dT="2023-10-30T10:33:09.22" personId="{2FE83714-CFDC-44C0-AD15-D3DD5B44FB09}" id="{E07B64F3-ADB1-4C74-9FDA-7B59913B209B}">
    <text>Based on Terms outlined for IFC (including GAFSP) Loan of 3.5% + 6-month Libor
Page 81
https://ktdateas.com/wp-content/uploads/2021/02/Annual-report.pdf</text>
  </threadedComment>
  <threadedComment ref="Q103" dT="2023-10-27T16:55:59.53" personId="{2FE83714-CFDC-44C0-AD15-D3DD5B44FB09}" id="{39D0D2FA-80CF-4706-899B-801B4B9A5B2B}">
    <text>Loan term outlined in:
https://ktdateas.com/wp-content/uploads/2021/02/Annual-report.pdf</text>
  </threadedComment>
  <threadedComment ref="S103" dT="2023-11-06T15:43:15.09" personId="{2FE83714-CFDC-44C0-AD15-D3DD5B44FB09}" id="{FB7559B1-EB1F-4BC9-8CA0-E4C8695D1B7E}">
    <text>Weighted Average Terms for Climate Fund loans based on values from this dataset
Term:        Interest     Term      Grace
Value:        4.96%      14.11       1.00
%Known:   6.19%     29.29%    5.75%</text>
  </threadedComment>
  <threadedComment ref="E104" dT="2023-10-30T10:43:45.28" personId="{2FE83714-CFDC-44C0-AD15-D3DD5B44FB09}" id="{60E95916-A140-427F-9685-6FD2A9D24C76}">
    <text xml:space="preserve">Committed in 2015, Renewed in 2018
https://www.fmo.nl/project-detail/45122
Page 81
https://ktdateas.com/wp-content/uploads/2021/02/Annual-report.pdf </text>
    <extLst>
      <x:ext xmlns:xltc2="http://schemas.microsoft.com/office/spreadsheetml/2020/threadedcomments2" uri="{F7C98A9C-CBB3-438F-8F68-D28B6AF4A901}">
        <xltc2:checksum>1168812957</xltc2:checksum>
        <xltc2:hyperlink startIndex="36" length="39" url="https://www.fmo.nl/project-detail/45122"/>
        <xltc2:hyperlink startIndex="85" length="65" url="https://ktdateas.com/wp-content/uploads/2021/02/Annual-report.pdf"/>
      </x:ext>
    </extLst>
  </threadedComment>
  <threadedComment ref="K104" dT="2023-10-27T16:30:01.29" personId="{2FE83714-CFDC-44C0-AD15-D3DD5B44FB09}" id="{4A6FEB22-F6A5-442D-AD5A-50E9016E313E}">
    <text xml:space="preserve">$15M divided into 2 tranches 
https://www.fmo.nl/project-detail/45122
Tranches reported in:
Page 81
https://ktdateas.com/wp-content/uploads/2021/02/Annual-report.pdf </text>
    <extLst>
      <x:ext xmlns:xltc2="http://schemas.microsoft.com/office/spreadsheetml/2020/threadedcomments2" uri="{F7C98A9C-CBB3-438F-8F68-D28B6AF4A901}">
        <xltc2:checksum>1198083416</xltc2:checksum>
        <xltc2:hyperlink startIndex="31" length="39" url="https://www.fmo.nl/project-detail/45122"/>
        <xltc2:hyperlink startIndex="103" length="65" url="https://ktdateas.com/wp-content/uploads/2021/02/Annual-report.pdf"/>
      </x:ext>
    </extLst>
  </threadedComment>
  <threadedComment ref="P104" dT="2023-10-30T10:38:31.46" personId="{2FE83714-CFDC-44C0-AD15-D3DD5B44FB09}" id="{154BFF2A-8CC1-4C94-834C-D0C6CD82659F}">
    <text xml:space="preserve">New FMO Trench with no corporate guarantee has interest rate of 4.55% + 6 month Libor
Page 81
https://ktdateas.com/wp-content/uploads/2021/02/Annual-report.pdf </text>
    <extLst>
      <x:ext xmlns:xltc2="http://schemas.microsoft.com/office/spreadsheetml/2020/threadedcomments2" uri="{F7C98A9C-CBB3-438F-8F68-D28B6AF4A901}">
        <xltc2:checksum>1188177188</xltc2:checksum>
        <xltc2:hyperlink startIndex="95" length="65" url="https://ktdateas.com/wp-content/uploads/2021/02/Annual-report.pdf"/>
      </x:ext>
    </extLst>
  </threadedComment>
  <threadedComment ref="Q104" dT="2023-10-27T16:56:14.75" personId="{2FE83714-CFDC-44C0-AD15-D3DD5B44FB09}" id="{0038436D-B93D-4D09-BE3A-FDBAE92B2C84}">
    <text>Loan term outlined in:
https://ktdateas.com/wp-content/uploads/2021/02/Annual-report.pdf</text>
  </threadedComment>
  <threadedComment ref="S104" dT="2023-11-06T16:47:35.40" personId="{2FE83714-CFDC-44C0-AD15-D3DD5B44FB09}" id="{8856FFAF-1542-4035-BAC7-E870CF8B31A6}">
    <text>Weighted Average Terms for Bilateral Agency loans based on values from this dataset
Term:        Interest     Term      Grace
Value:        2.53%      18.85       6.39
%Known:  44.13%    55.73%   44.84%</text>
  </threadedComment>
  <threadedComment ref="K105" dT="2023-10-27T16:30:01.29" personId="{2FE83714-CFDC-44C0-AD15-D3DD5B44FB09}" id="{D016D12A-F354-41D8-A379-ED94A063924F}">
    <text xml:space="preserve">$15M divided into 2 tranches 
https://www.fmo.nl/project-detail/45122
Tranches reported in:
Page 81
https://ktdateas.com/wp-content/uploads/2021/02/Annual-report.pdf </text>
    <extLst>
      <x:ext xmlns:xltc2="http://schemas.microsoft.com/office/spreadsheetml/2020/threadedcomments2" uri="{F7C98A9C-CBB3-438F-8F68-D28B6AF4A901}">
        <xltc2:checksum>1198083416</xltc2:checksum>
        <xltc2:hyperlink startIndex="31" length="39" url="https://www.fmo.nl/project-detail/45122"/>
        <xltc2:hyperlink startIndex="103" length="65" url="https://ktdateas.com/wp-content/uploads/2021/02/Annual-report.pdf"/>
      </x:ext>
    </extLst>
  </threadedComment>
  <threadedComment ref="P105" dT="2023-10-30T10:36:07.51" personId="{2FE83714-CFDC-44C0-AD15-D3DD5B44FB09}" id="{8CD4874C-B19D-455D-BBB9-6ECF27A8AF3D}">
    <text> FMO Massif trench has reported interest rates of 3.75% + 6  month Libor
Page 81
https://ktdateas.com/wp-content/uploads/2021/02/Annual-report.pdf</text>
  </threadedComment>
  <threadedComment ref="Q105" dT="2023-10-27T16:56:14.75" personId="{2FE83714-CFDC-44C0-AD15-D3DD5B44FB09}" id="{E399DA10-19CE-44AD-B619-FFA3999346B6}">
    <text>Loan term outlined in:
https://ktdateas.com/wp-content/uploads/2021/02/Annual-report.pdf</text>
  </threadedComment>
  <threadedComment ref="S105" dT="2023-11-06T16:47:35.40" personId="{2FE83714-CFDC-44C0-AD15-D3DD5B44FB09}" id="{D4C27857-2BFA-4616-9674-296539364385}">
    <text>Weighted Average Terms for Bilateral Agency loans based on values from this dataset
Term:        Interest     Term      Grace
Value:        2.53%      18.85       6.39
%Known:  44.13%    55.73%   44.84%</text>
  </threadedComment>
  <threadedComment ref="K106" dT="2023-10-27T16:28:54.64" personId="{2FE83714-CFDC-44C0-AD15-D3DD5B44FB09}" id="{C19C4CA6-43F3-46A4-A8D9-A23349DC192F}">
    <text>Based on Total Project Cost and percentage Equity reported by FMO 
https://www.fmo.nl/project-detail/45122</text>
  </threadedComment>
  <threadedComment ref="P106" dT="2023-10-31T09:42:46.33" personId="{2FE83714-CFDC-44C0-AD15-D3DD5B44FB09}" id="{44F5D0A3-0B0F-4304-B462-609780E218B7}">
    <text>Private Equity Rate of Return from
https://core.ac.uk/download/pdf/43542198.pdf</text>
  </threadedComment>
  <threadedComment ref="Q106" dT="2023-10-27T16:38:48.61" personId="{2FE83714-CFDC-44C0-AD15-D3DD5B44FB09}" id="{C75A58D1-0F5B-4DAC-8BC0-8362EA4FFF9A}">
    <text xml:space="preserve">Based on Life-span of small-hydro 
50 years according to:
https://www.sciencedirect.com/science/article/pii/S2352340922002323
Lucy Allington, Carla Cannone, Ioannis Pappis, Karla Cervantes Barron, Will Usher, Steve Pye, Edward Brown, Mark Howells, Miriam Zachau Walker, Aniq Ahsan, Flora Charbonnier, Claire Halloran, Stephanie Hirmer, Jennifer Cronin, Constantinos Taliotis, Caroline Sundin, Vignesh Sridharan, Eunice Ramos, Maarten Brinkerink, Paul Deane, Andrii Gritsevskyi, Gustavo Moura, Arnaud Rouget, David Wogan, Edito Barcelona, Taco Niet, Holger Rogner, Franziska Bock, Jairo Quirós-Tortós, Jam Angulo-Paniagua, Satheesh Krishnamurthy, John Harrison, Long Seng To,
Selected ‘Starter kit’ energy system modelling data for selected countries in Africa, East Asia, and South America (#CCG, 2021),
Data in Brief,
Volume 42,
2022,
108021,
ISSN 2352-3409,
https://doi.org/10.1016/j.dib.2022.108021.
 </text>
    <extLst>
      <x:ext xmlns:xltc2="http://schemas.microsoft.com/office/spreadsheetml/2020/threadedcomments2" uri="{F7C98A9C-CBB3-438F-8F68-D28B6AF4A901}">
        <xltc2:checksum>1840595</xltc2:checksum>
        <xltc2:hyperlink startIndex="59" length="67" url="https://www.sciencedirect.com/science/article/pii/S2352340922002323"/>
      </x:ext>
    </extLst>
  </threadedComment>
  <threadedComment ref="K107" dT="2023-10-27T16:22:01.34" personId="{2FE83714-CFDC-44C0-AD15-D3DD5B44FB09}" id="{557866DA-84CB-488C-8013-6E114C5E709E}">
    <text>IFC investment of $12.5M
https://disclosures.ifc.org/project-detail/SII/36402/ktda-small-hydro</text>
  </threadedComment>
  <threadedComment ref="P107" dT="2023-10-31T09:42:11.03" personId="{41181F03-CA57-824B-97F2-03A58DAE2D5E}" id="{96E04147-0635-4C2E-9A07-4B33E45ED22C}">
    <text>Based on Terms outlined for IFC (including GAFSP) Loan of 3.5% + 6-month Libor
Page 81
https://ktdateas.com/wp-content/uploads/2021/02/Annual-report.pdf</text>
  </threadedComment>
  <threadedComment ref="Q107" dT="2023-10-27T16:55:59.53" personId="{2FE83714-CFDC-44C0-AD15-D3DD5B44FB09}" id="{8FC617C2-A4B3-44C6-876C-C4CE2397CC45}">
    <text>Loan term outlined in:
https://ktdateas.com/wp-content/uploads/2021/02/Annual-report.pdf</text>
  </threadedComment>
  <threadedComment ref="S107" dT="2023-11-06T16:19:48.65" personId="{2FE83714-CFDC-44C0-AD15-D3DD5B44FB09}" id="{73A4CD48-626F-4586-A8C5-20ADE6B518E4}">
    <text>Weighted Average Terms for World Bank loans based on values from this dataset
Term:        Interest     Term      Grace
Value:        2.80%      30.80       6.52
%Known:  44.81%    49.09%   48.25%</text>
  </threadedComment>
  <threadedComment ref="K108" dT="2023-10-24T17:20:41.20" personId="{2FE83714-CFDC-44C0-AD15-D3DD5B44FB09}" id="{A9F856EB-D60C-49B0-A418-BFF705472606}">
    <text>Standard Bank - Commercial Loan
Kwale Sugar plantation Snapshots - Private Participation in Infrastructure (PPI) - World Bank Group</text>
    <extLst>
      <x:ext xmlns:xltc2="http://schemas.microsoft.com/office/spreadsheetml/2020/threadedcomments2" uri="{F7C98A9C-CBB3-438F-8F68-D28B6AF4A901}">
        <xltc2:checksum>3565814328</xltc2:checksum>
        <xltc2:hyperlink startIndex="32" length="99" url="https://ppi.worldbank.org/en/snapshots/project/kwale-sugar-plantation-7955"/>
      </x:ext>
    </extLst>
  </threadedComment>
  <threadedComment ref="P108" dT="2023-10-30T14:42:53.19" personId="{2FE83714-CFDC-44C0-AD15-D3DD5B44FB09}" id="{0E7F4119-BA3D-49E4-B6E1-D6B05BEAEA36}">
    <text xml:space="preserve">Weighted Average Terms for Commercial Bank loans based on values from this dataset
Term:        Interest     Term      Grace
Value:        8.03%      15.00       1.50
%Known:  27.11%    27.11%   27.11%
 </text>
  </threadedComment>
  <threadedComment ref="Q108" dT="2023-11-06T16:02:06.85" personId="{2FE83714-CFDC-44C0-AD15-D3DD5B44FB09}" id="{D6740F0F-A172-4ECB-92FA-6E7257FD7DAD}">
    <text>Weighted Average Terms for Commercial Bank loans based on values from this dataset
Term:        Interest     Term      Grace
Value:        8.03%      15.00       1.50
%Known:  27.11%    27.11%   27.11%</text>
  </threadedComment>
  <threadedComment ref="S108" dT="2023-11-06T16:02:11.12" personId="{2FE83714-CFDC-44C0-AD15-D3DD5B44FB09}" id="{673BAE04-1D75-4691-8567-8B50BD9236E2}">
    <text>Weighted Average Terms for Commercial Bank loans based on values from this dataset
Term:        Interest     Term      Grace
Value:        8.03%      15.00       1.50
%Known:  27.11%    27.11%   27.11%</text>
  </threadedComment>
  <threadedComment ref="K109" dT="2023-10-24T17:21:03.00" personId="{2FE83714-CFDC-44C0-AD15-D3DD5B44FB09}" id="{19C5B3E6-53C1-4BA8-B9C4-669E09B2AE78}">
    <text>PTA Bank - Commercial Loan
Kwale Sugar plantation Snapshots - Private Participation in Infrastructure (PPI) - World Bank Group</text>
    <extLst>
      <x:ext xmlns:xltc2="http://schemas.microsoft.com/office/spreadsheetml/2020/threadedcomments2" uri="{F7C98A9C-CBB3-438F-8F68-D28B6AF4A901}">
        <xltc2:checksum>2150466824</xltc2:checksum>
        <xltc2:hyperlink startIndex="27" length="99" url="https://ppi.worldbank.org/en/snapshots/project/kwale-sugar-plantation-7955"/>
      </x:ext>
    </extLst>
  </threadedComment>
  <threadedComment ref="P109" dT="2023-11-03T14:41:18.28" personId="{2FE83714-CFDC-44C0-AD15-D3DD5B44FB09}" id="{AF3E20CD-2DA2-45CB-8320-82C97DFCAAC0}">
    <text>Weighted Average Terms for Multilateral Agency loans based on values from this dataset
Term:        Interest     Term      Grace
Value:        2.39%      33.67       6.96
%Known:  46.21%    52.38%   44.87%</text>
  </threadedComment>
  <threadedComment ref="Q109" dT="2023-11-06T15:46:29.89" personId="{2FE83714-CFDC-44C0-AD15-D3DD5B44FB09}" id="{646845DC-B604-4D50-8692-06544D37E8A9}">
    <text>Weighted Average Terms for Multilateral Agency loans based on values from this dataset
Term:        Interest     Term      Grace
Value:        2.39%      33.67       6.96
%Known:  46.21%    52.38%   44.87%</text>
  </threadedComment>
  <threadedComment ref="S109" dT="2023-11-06T15:46:37.46" personId="{2FE83714-CFDC-44C0-AD15-D3DD5B44FB09}" id="{EE5FB917-395F-406E-AC79-93E5ABC0BF2F}">
    <text>Weighted Average Terms for Multilateral Agency loans based on values from this dataset
Term:        Interest     Term      Grace
Value:        2.39%      33.67       6.96
%Known:  46.21%    52.38%   44.87%</text>
  </threadedComment>
  <threadedComment ref="K110" dT="2023-10-24T17:22:42.76" personId="{2FE83714-CFDC-44C0-AD15-D3DD5B44FB09}" id="{C60F57A1-604A-41C1-863A-B2DE458424C3}">
    <text>Pabari Family Investment Trusts - 75% of Equity Financing (Total $80 Million)
Kwale Sugar plantation Snapshots - Private Participation in Infrastructure (PPI) - World Bank Group</text>
    <extLst>
      <x:ext xmlns:xltc2="http://schemas.microsoft.com/office/spreadsheetml/2020/threadedcomments2" uri="{F7C98A9C-CBB3-438F-8F68-D28B6AF4A901}">
        <xltc2:checksum>2841025151</xltc2:checksum>
        <xltc2:hyperlink startIndex="78" length="99" url="https://ppi.worldbank.org/en/snapshots/project/kwale-sugar-plantation-7955"/>
      </x:ext>
    </extLst>
  </threadedComment>
  <threadedComment ref="Q110" dT="2023-10-30T13:12:16.49" personId="{2FE83714-CFDC-44C0-AD15-D3DD5B44FB09}" id="{00D4B803-15F5-40F5-92A1-BE3C58BE5090}">
    <text>Based on Life-span of Biomass Power Plants in Africa 
30 years according to:
https://www.sciencedirect.com/science/article/pii/S2352340922002323
Lucy Allington, Carla Cannone, Ioannis Pappis, Karla Cervantes Barron, Will Usher, Steve Pye, Edward Brown, Mark Howells, Miriam Zachau Walker, Aniq Ahsan, Flora Charbonnier, Claire Halloran, Stephanie Hirmer, Jennifer Cronin, Constantinos Taliotis, Caroline Sundin, Vignesh Sridharan, Eunice Ramos, Maarten Brinkerink, Paul Deane, Andrii Gritsevskyi, Gustavo Moura, Arnaud Rouget, David Wogan, Edito Barcelona, Taco Niet, Holger Rogner, Franziska Bock, Jairo Quirós-Tortós, Jam Angulo-Paniagua, Satheesh Krishnamurthy, John Harrison, Long Seng To,
Selected ‘Starter kit’ energy system modelling data for selected countries in Africa, East Asia, and South America (#CCG, 2021),
Data in Brief,
Volume 42,
2022,
108021,
ISSN 2352-3409,
https://doi.org/10.1016/j.dib.2022.108021.</text>
    <extLst>
      <x:ext xmlns:xltc2="http://schemas.microsoft.com/office/spreadsheetml/2020/threadedcomments2" uri="{F7C98A9C-CBB3-438F-8F68-D28B6AF4A901}">
        <xltc2:checksum>3739397939</xltc2:checksum>
        <xltc2:hyperlink startIndex="78" length="67" url="https://www.sciencedirect.com/science/article/pii/S2352340922002323"/>
      </x:ext>
    </extLst>
  </threadedComment>
  <threadedComment ref="K111" dT="2023-10-27T16:25:31.50" personId="{41181F03-CA57-824B-97F2-03A58DAE2D5E}" id="{2FC10AA5-3E69-42F8-A9C8-DB0820267353}">
    <text>Omnicane Holdings 25% of Equity Financing (Total $80 Million)
https://www.reuters.com/article/mauritius-omnicane-kenya-idUKL5E8NJ11A20121219</text>
  </threadedComment>
  <threadedComment ref="Q111" dT="2023-10-30T13:12:16.49" personId="{2FE83714-CFDC-44C0-AD15-D3DD5B44FB09}" id="{C1BDC85B-D913-4F6E-B87D-65A34EE3A0E3}">
    <text>Based on Life-span of Biomass Power Plants in Africa 
30 years according to:
https://www.sciencedirect.com/science/article/pii/S2352340922002323
Lucy Allington, Carla Cannone, Ioannis Pappis, Karla Cervantes Barron, Will Usher, Steve Pye, Edward Brown, Mark Howells, Miriam Zachau Walker, Aniq Ahsan, Flora Charbonnier, Claire Halloran, Stephanie Hirmer, Jennifer Cronin, Constantinos Taliotis, Caroline Sundin, Vignesh Sridharan, Eunice Ramos, Maarten Brinkerink, Paul Deane, Andrii Gritsevskyi, Gustavo Moura, Arnaud Rouget, David Wogan, Edito Barcelona, Taco Niet, Holger Rogner, Franziska Bock, Jairo Quirós-Tortós, Jam Angulo-Paniagua, Satheesh Krishnamurthy, John Harrison, Long Seng To,
Selected ‘Starter kit’ energy system modelling data for selected countries in Africa, East Asia, and South America (#CCG, 2021),
Data in Brief,
Volume 42,
2022,
108021,
ISSN 2352-3409,
https://doi.org/10.1016/j.dib.2022.108021.</text>
    <extLst>
      <x:ext xmlns:xltc2="http://schemas.microsoft.com/office/spreadsheetml/2020/threadedcomments2" uri="{F7C98A9C-CBB3-438F-8F68-D28B6AF4A901}">
        <xltc2:checksum>3739397939</xltc2:checksum>
        <xltc2:hyperlink startIndex="78" length="67" url="https://www.sciencedirect.com/science/article/pii/S2352340922002323"/>
      </x:ext>
    </extLst>
  </threadedComment>
  <threadedComment ref="B112" dT="2023-10-30T10:59:32.66" personId="{2FE83714-CFDC-44C0-AD15-D3DD5B44FB09}" id="{829B2AAD-5026-4A70-B058-35061C7A4BF8}">
    <text>Possibly Deutsche Bank According to:
Page 21 (PDF Page 25) 
http://www.parliament.go.ke/sites/default/files/2021-08/Special%20Audit%20Report%20of%20the%20Auditor%20General%20on%20Lake%20Turkana%20Wind%20Power%20Project.pdf</text>
  </threadedComment>
  <threadedComment ref="B112" dT="2023-10-30T11:00:41.88" personId="{2FE83714-CFDC-44C0-AD15-D3DD5B44FB09}" id="{D28EEBB7-E830-457A-93DE-33AD842ACED9}" parentId="{829B2AAD-5026-4A70-B058-35061C7A4BF8}">
    <text>But reported as Spanish Government Credit by US Dep. Commerce Report:
Page 43 (PDF Page 44)
https://cldp.doc.gov/sites/default/files/2021-10/Understanding_Transmission_Financing.pdf</text>
  </threadedComment>
  <threadedComment ref="E112" dT="2023-10-30T11:05:19.79" personId="{2FE83714-CFDC-44C0-AD15-D3DD5B44FB09}" id="{31379B17-EF1C-4027-8ABD-C48DBA66DA7C}">
    <text>2013 for Deutsche Bank according to 
Page 21 (PDF Page 25)
http://www.parliament.go.ke/sites/default/files/2021-08/Special%20Audit%20Report%20of%20the%20Auditor%20General%20on%20Lake%20Turkana%20Wind%20Power%20Project.pdf</text>
  </threadedComment>
  <threadedComment ref="K112" dT="2023-10-24T17:32:13.86" personId="{2FE83714-CFDC-44C0-AD15-D3DD5B44FB09}" id="{0DB3EA94-94C3-4963-9B36-DDE481712F9F}">
    <text xml:space="preserve">EUR 55 Million Commercial Credit from Spanish ECA (Using average 2012 Exchange Rate)
Page 43 (PDF Page 44)
https://cldp.doc.gov/sites/default/files/2021-10/Understanding_Transmission_Financing.pdf </text>
    <extLst>
      <x:ext xmlns:xltc2="http://schemas.microsoft.com/office/spreadsheetml/2020/threadedcomments2" uri="{F7C98A9C-CBB3-438F-8F68-D28B6AF4A901}">
        <xltc2:checksum>3776338700</xltc2:checksum>
        <xltc2:hyperlink startIndex="108" length="89" url="https://cldp.doc.gov/sites/default/files/2021-10/Understanding_Transmission_Financing.pdf"/>
      </x:ext>
    </extLst>
  </threadedComment>
  <threadedComment ref="P112" dT="2023-11-03T15:34:21.17" personId="{2FE83714-CFDC-44C0-AD15-D3DD5B44FB09}" id="{58AD57AB-8874-4B42-925C-F18599E66F55}">
    <text>Weighted Average Terms for Foreign Gov. loans based on values from this dataset
Term:        Interest     Term      Grace
Value:        0.47%      27.43       11.48
%Known:  60.19%    60.19%   60.19%</text>
  </threadedComment>
  <threadedComment ref="Q112" dT="2023-11-07T12:29:43.79" personId="{2FE83714-CFDC-44C0-AD15-D3DD5B44FB09}" id="{556DC596-FCF1-42EC-943B-2DBE0EA09474}">
    <text>Weighted Average Terms for Foreign Gov. loans based on values from this dataset
Term:        Interest     Term      Grace
Value:        0.47%      27.43       11.48
%Known:  60.19%    60.19%   60.19%</text>
  </threadedComment>
  <threadedComment ref="S112" dT="2023-11-07T12:31:04.47" personId="{2FE83714-CFDC-44C0-AD15-D3DD5B44FB09}" id="{7E138641-E037-4E68-BC15-D89B5120AC31}">
    <text>Weighted Average Terms for Foreign Gov. loans based on values from this dataset
Term:        Interest     Term      Grace
Value:        0.47%      27.43       11.48
%Known:  60.19%    60.19%   60.19%</text>
  </threadedComment>
  <threadedComment ref="K113" dT="2023-10-24T17:32:18.67" personId="{2FE83714-CFDC-44C0-AD15-D3DD5B44FB09}" id="{FBEF525E-03DE-43D2-A08D-F1DE9855394B}">
    <text>EUR 55 Million concessional loan from Spanish Government for 30 years (Using average 2013 Exchange Rate)
Page 43 (PDF Page 44)
https://cldp.doc.gov/sites/default/files/2021-10/Understanding_Transmission_Financing.pdf</text>
  </threadedComment>
  <threadedComment ref="K114" dT="2023-10-24T17:39:45.61" personId="{2FE83714-CFDC-44C0-AD15-D3DD5B44FB09}" id="{F150310F-0901-4B41-A620-D5FC86562307}">
    <text>GoK Contribution of EUR 32.038M
Calculated using average USD:EUR Exchange rate for 2012) 
Page 71 (PDF Page 75)
http://www.parliament.go.ke/sites/default/files/2021-08/Special%20Audit%20Report%20of%20the%20Auditor%20General%20on%20Lake%20Turkana%20Wind%20Power%20Project.pdf</text>
  </threadedComment>
  <threadedComment ref="P114" dT="2023-10-26T13:51:44.75" personId="{2FE83714-CFDC-44C0-AD15-D3DD5B44FB09}" id="{5DC2D406-82F1-4D8B-A45D-22BABF0B9272}">
    <text>Based on average ROE for KPLC between 2004-2009 as reported in 
Page 143 (PDF Page 155)
https://documents1.worldbank.org/curated/en/155911468273019836/pdf/541470PAD0P1031ly10IDA1R20101013511.pdf</text>
  </threadedComment>
  <threadedComment ref="K115" dT="2023-10-24T17:36:50.32" personId="{2FE83714-CFDC-44C0-AD15-D3DD5B44FB09}" id="{26B3385B-099C-40B9-B5AD-3FB09CA6B038}">
    <text xml:space="preserve">Additional Financing from GoK budget following bankruptcy of Spanish EPC contractor
https://cldp.doc.gov/sites/default/files/2021-10/Understanding_Transmission_Financing.pdf </text>
    <extLst>
      <x:ext xmlns:xltc2="http://schemas.microsoft.com/office/spreadsheetml/2020/threadedcomments2" uri="{F7C98A9C-CBB3-438F-8F68-D28B6AF4A901}">
        <xltc2:checksum>3070038694</xltc2:checksum>
        <xltc2:hyperlink startIndex="85" length="89" url="https://cldp.doc.gov/sites/default/files/2021-10/Understanding_Transmission_Financing.pdf"/>
      </x:ext>
    </extLst>
  </threadedComment>
  <threadedComment ref="P115" dT="2023-10-26T13:51:44.75" personId="{2FE83714-CFDC-44C0-AD15-D3DD5B44FB09}" id="{3E2182DD-89ED-46A2-97E0-8D50A19FE81E}">
    <text>Based on average ROE for KPLC between 2004-2009 as reported in 
Page 143 (PDF Page 155)
https://documents1.worldbank.org/curated/en/155911468273019836/pdf/541470PAD0P1031ly10IDA1R20101013511.pdf</text>
  </threadedComment>
  <threadedComment ref="K116" dT="2023-10-24T13:17:20.22" personId="{2FE83714-CFDC-44C0-AD15-D3DD5B44FB09}" id="{4573F2B1-5BA3-469C-A4F7-DB3C9233EBE0}">
    <text xml:space="preserve">Breakdown of LTWP Financing:
Page 27 (PDF Page 37):
https://ppp.worldbank.org/public-private-partnership/sites/ppp.worldbank.org/files/2022-02/DFID_-_Mobilising_Finance_for_Infrastructure_-_Kenya_Case_Study_%282015%29.pdf 
</text>
    <extLst>
      <x:ext xmlns:xltc2="http://schemas.microsoft.com/office/spreadsheetml/2020/threadedcomments2" uri="{F7C98A9C-CBB3-438F-8F68-D28B6AF4A901}">
        <xltc2:checksum>3416119689</xltc2:checksum>
        <xltc2:hyperlink startIndex="53" length="169" url="https://ppp.worldbank.org/public-private-partnership/sites/ppp.worldbank.org/files/2022-02/DFID_-_Mobilising_Finance_for_Infrastructure_-_Kenya_Case_Study_%282015%29.pdf"/>
      </x:ext>
    </extLst>
  </threadedComment>
  <threadedComment ref="P116" dT="2023-11-03T15:34:21.17" personId="{2FE83714-CFDC-44C0-AD15-D3DD5B44FB09}" id="{C504600B-257F-4120-A61A-4621A7B5C474}">
    <text>Weighted Average Terms for Bilateral Agency loans based on values from this dataset
Term:        Interest     Term      Grace
Value:        2.53%      18.85       6.39
%Known:  44.13%    55.73%   44.84%</text>
  </threadedComment>
  <threadedComment ref="Q116" dT="2023-11-06T16:47:29.39" personId="{2FE83714-CFDC-44C0-AD15-D3DD5B44FB09}" id="{FCBAAD1A-B600-40ED-ACEB-741E2655E8F7}">
    <text>Weighted Average Terms for Bilateral Agency loans based on values from this dataset
Term:        Interest     Term      Grace
Value:        2.53%      18.85       6.39
%Known:  44.13%    55.73%   44.84%</text>
  </threadedComment>
  <threadedComment ref="S116" dT="2023-11-06T16:47:35.40" personId="{2FE83714-CFDC-44C0-AD15-D3DD5B44FB09}" id="{2455E496-A84D-4AAC-B57B-B5D01ED9C4AA}">
    <text>Weighted Average Terms for Bilateral Agency loans based on values from this dataset
Term:        Interest     Term      Grace
Value:        2.53%      18.85       6.39
%Known:  44.13%    55.73%   44.84%</text>
  </threadedComment>
  <threadedComment ref="P117" dT="2023-11-03T14:41:18.28" personId="{2FE83714-CFDC-44C0-AD15-D3DD5B44FB09}" id="{AC3657B9-624C-4C15-AC8D-5D350C20DD49}">
    <text>Weighted Average Terms for AfDB loans based on values from this dataset
Term:        Interest     Term      Grace
Value:        0.82%      38.30       7.92
%Known:  61.98%    77.38%   77.38%</text>
  </threadedComment>
  <threadedComment ref="Q117" dT="2023-11-06T16:15:04.50" personId="{2FE83714-CFDC-44C0-AD15-D3DD5B44FB09}" id="{E6ED83ED-1189-4E79-A74F-15EE90011C4D}">
    <text>Weighted Average Terms for AfDB loans based on values from this dataset
Term:        Interest     Term      Grace
Value:        0.82%      38.30       7.92
%Known:  61.98%    77.38%   77.38%</text>
  </threadedComment>
  <threadedComment ref="S117" dT="2023-11-06T16:15:51.19" personId="{2FE83714-CFDC-44C0-AD15-D3DD5B44FB09}" id="{944F60E5-8C40-47A5-A195-D6127FA1AF9C}">
    <text>Weighted Average Terms for AfDB loans based on values from this dataset
Term:        Interest     Term      Grace
Value:        0.82%      38.30       7.92
%Known:  61.98%    77.38%   77.38%</text>
  </threadedComment>
  <threadedComment ref="P118" dT="2023-10-25T15:22:02.37" personId="{2FE83714-CFDC-44C0-AD15-D3DD5B44FB09}" id="{34491371-71A4-4C16-B06A-2B3CDD3026DA}">
    <text>Project specific Equity Rate of Return for Lake Turkana outlined in 
https://core.ac.uk/download/pdf/43542198.pdf
Page 38 (PDF Page 40)</text>
    <extLst>
      <x:ext xmlns:xltc2="http://schemas.microsoft.com/office/spreadsheetml/2020/threadedcomments2" uri="{F7C98A9C-CBB3-438F-8F68-D28B6AF4A901}">
        <xltc2:checksum>2302380842</xltc2:checksum>
        <xltc2:hyperlink startIndex="70" length="44" url="https://core.ac.uk/download/pdf/43542198.pdf"/>
      </x:ext>
    </extLst>
  </threadedComment>
  <threadedComment ref="Q118" dT="2023-10-27T11:52:31.41" personId="{2FE83714-CFDC-44C0-AD15-D3DD5B44FB09}" id="{FFF84FA5-D9DB-465A-BE5C-5FB64A0D911A}">
    <text>Based on Operational Life of On-Shore Wind reported in:
https://www.sciencedirect.com/science/article/pii/S2352340922002323
Lucy Allington, Carla Cannone, Ioannis Pappis, Karla Cervantes Barron, Will Usher, Steve Pye, Edward Brown, Mark Howells, Miriam Zachau Walker, Aniq Ahsan, Flora Charbonnier, Claire Halloran, Stephanie Hirmer, Jennifer Cronin, Constantinos Taliotis, Caroline Sundin, Vignesh Sridharan, Eunice Ramos, Maarten Brinkerink, Paul Deane, Andrii Gritsevskyi, Gustavo Moura, Arnaud Rouget, David Wogan, Edito Barcelona, Taco Niet, Holger Rogner, Franziska Bock, Jairo Quirós-Tortós, Jam Angulo-Paniagua, Satheesh Krishnamurthy, John Harrison, Long Seng To,
Selected ‘Starter kit’ energy system modelling data for selected countries in Africa, East Asia, and South America (#CCG, 2021),
Data in Brief,
Volume 42,
2022,
108021,
ISSN 2352-3409,
https://doi.org/10.1016/j.dib.2022.108021.</text>
    <extLst>
      <x:ext xmlns:xltc2="http://schemas.microsoft.com/office/spreadsheetml/2020/threadedcomments2" uri="{F7C98A9C-CBB3-438F-8F68-D28B6AF4A901}">
        <xltc2:checksum>4143878111</xltc2:checksum>
        <xltc2:hyperlink startIndex="57" length="67" url="https://www.sciencedirect.com/science/article/pii/S2352340922002323"/>
      </x:ext>
    </extLst>
  </threadedComment>
  <threadedComment ref="P119" dT="2023-11-03T16:17:30.33" personId="{2FE83714-CFDC-44C0-AD15-D3DD5B44FB09}" id="{FBC8743B-5000-49F5-8716-BCFDCB2D4ACF}">
    <text>Weighted Average Terms for Climate Fund loans based on values from this dataset
Term:        Interest     Term      Grace
Value:        4.96%      14.11       1.00
%Known:   6.19%     29.29%    5.75%</text>
  </threadedComment>
  <threadedComment ref="Q119" dT="2023-11-06T15:44:26.67" personId="{2FE83714-CFDC-44C0-AD15-D3DD5B44FB09}" id="{5D393B9F-28F8-4C01-8C33-B92E390E3AFC}">
    <text>Weighted Average Terms for Climate Fund loans based on values from this dataset
Term:        Interest     Term      Grace
Value:        4.96%      14.11       1.00
%Known:   6.19%     29.29%    5.75%</text>
  </threadedComment>
  <threadedComment ref="S119" dT="2023-11-06T15:43:15.09" personId="{2FE83714-CFDC-44C0-AD15-D3DD5B44FB09}" id="{7215CF86-76ED-4EED-964A-2E917D9645F2}">
    <text>Weighted Average Terms for Climate Fund loans based on values from this dataset
Term:        Interest     Term      Grace
Value:        4.96%      14.11       1.00
%Known:   6.19%     29.29%    5.75%</text>
  </threadedComment>
  <threadedComment ref="P120" dT="2023-10-30T14:42:53.19" personId="{2FE83714-CFDC-44C0-AD15-D3DD5B44FB09}" id="{9FC5DFE3-7284-4DC3-806E-CB694924E4F8}">
    <text xml:space="preserve">Weighted Average Terms for Commercial Bank loans based on values from this dataset
Term:        Interest     Term      Grace
Value:        8.03%      15.00       1.50
%Known:  27.11%    27.11%   27.11%
 </text>
  </threadedComment>
  <threadedComment ref="Q120" dT="2023-11-06T16:02:06.85" personId="{2FE83714-CFDC-44C0-AD15-D3DD5B44FB09}" id="{9C24C6D8-8066-4ADA-A79D-34CC93434C5F}">
    <text>Weighted Average Terms for Commercial Bank loans based on values from this dataset
Term:        Interest     Term      Grace
Value:        8.03%      15.00       1.50
%Known:  27.11%    27.11%   27.11%</text>
  </threadedComment>
  <threadedComment ref="S120" dT="2023-11-06T16:02:11.12" personId="{2FE83714-CFDC-44C0-AD15-D3DD5B44FB09}" id="{9A76B132-0A08-4935-B15E-20A6F6AF54DD}">
    <text>Weighted Average Terms for Commercial Bank loans based on values from this dataset
Term:        Interest     Term      Grace
Value:        8.03%      15.00       1.50
%Known:  27.11%    27.11%   27.11%</text>
  </threadedComment>
  <threadedComment ref="P121" dT="2023-10-30T14:42:53.19" personId="{2FE83714-CFDC-44C0-AD15-D3DD5B44FB09}" id="{FAB08857-E835-4F01-9825-C7598FD7C8E2}">
    <text xml:space="preserve">Weighted Average Terms for Commercial Bank loans based on values from this dataset
Term:        Interest     Term      Grace
Value:        8.03%      15.00       1.50
%Known:  27.11%    27.11%   27.11%
 </text>
  </threadedComment>
  <threadedComment ref="Q121" dT="2023-11-06T16:02:06.85" personId="{2FE83714-CFDC-44C0-AD15-D3DD5B44FB09}" id="{E188FD9E-4E81-4130-9D30-243B1D252589}">
    <text>Weighted Average Terms for Commercial Bank loans based on values from this dataset
Term:        Interest     Term      Grace
Value:        8.03%      15.00       1.50
%Known:  27.11%    27.11%   27.11%</text>
  </threadedComment>
  <threadedComment ref="S121" dT="2023-11-06T16:02:11.12" personId="{2FE83714-CFDC-44C0-AD15-D3DD5B44FB09}" id="{F80A9DE3-12BC-4165-8FF1-8CC88839B5A3}">
    <text>Weighted Average Terms for Commercial Bank loans based on values from this dataset
Term:        Interest     Term      Grace
Value:        8.03%      15.00       1.50
%Known:  27.11%    27.11%   27.11%</text>
  </threadedComment>
  <threadedComment ref="P122" dT="2023-10-30T14:42:53.19" personId="{2FE83714-CFDC-44C0-AD15-D3DD5B44FB09}" id="{5B0DDE70-A660-494E-9158-37A735851458}">
    <text xml:space="preserve">Weighted Average Terms for Commercial Bank loans based on values from this dataset
Term:        Interest     Term      Grace
Value:        8.03%      15.00       1.50
%Known:  27.11%    27.11%   27.11%
 </text>
  </threadedComment>
  <threadedComment ref="Q122" dT="2023-11-06T16:02:06.85" personId="{2FE83714-CFDC-44C0-AD15-D3DD5B44FB09}" id="{926D6FAA-C4CA-47F2-8823-F0C74613D6DD}">
    <text>Weighted Average Terms for Commercial Bank loans based on values from this dataset
Term:        Interest     Term      Grace
Value:        8.03%      15.00       1.50
%Known:  27.11%    27.11%   27.11%</text>
  </threadedComment>
  <threadedComment ref="S122" dT="2023-11-06T16:02:11.12" personId="{2FE83714-CFDC-44C0-AD15-D3DD5B44FB09}" id="{4622E3B0-87A2-457E-9F8C-67F101CE219E}">
    <text>Weighted Average Terms for Commercial Bank loans based on values from this dataset
Term:        Interest     Term      Grace
Value:        8.03%      15.00       1.50
%Known:  27.11%    27.11%   27.11%</text>
  </threadedComment>
  <threadedComment ref="P123" dT="2023-11-03T14:41:18.28" personId="{2FE83714-CFDC-44C0-AD15-D3DD5B44FB09}" id="{04FA840A-EBB9-4EF6-A92E-AF5AB2C11AA5}">
    <text>Weighted Average Terms for Multilateral Agency loans based on values from this dataset
Term:        Interest     Term      Grace
Value:        2.39%      33.67       6.96
%Known:  46.21%    52.38%   44.87%</text>
  </threadedComment>
  <threadedComment ref="Q123" dT="2023-11-06T15:46:29.89" personId="{2FE83714-CFDC-44C0-AD15-D3DD5B44FB09}" id="{DD70111C-C283-4D0F-B264-16406EC5E342}">
    <text>Weighted Average Terms for Multilateral Agency loans based on values from this dataset
Term:        Interest     Term      Grace
Value:        2.39%      33.67       6.96
%Known:  46.21%    52.38%   44.87%</text>
  </threadedComment>
  <threadedComment ref="S123" dT="2023-11-06T15:46:37.46" personId="{2FE83714-CFDC-44C0-AD15-D3DD5B44FB09}" id="{5F4BD733-B111-425D-A231-5DCF131B0359}">
    <text>Weighted Average Terms for Multilateral Agency loans based on values from this dataset
Term:        Interest     Term      Grace
Value:        2.39%      33.67       6.96
%Known:  46.21%    52.38%   44.87%</text>
  </threadedComment>
  <threadedComment ref="P124" dT="2023-11-03T15:34:21.17" personId="{2FE83714-CFDC-44C0-AD15-D3DD5B44FB09}" id="{2AA924D4-9F6D-4595-9828-2A06229B4326}">
    <text>Weighted Average Terms for Foreign Gov. loans based on values from this dataset
Term:        Interest     Term      Grace
Value:        2.41%      23.58       6.54
%Known:  51.96%    66.91%   50.41%</text>
  </threadedComment>
  <threadedComment ref="Q124" dT="2023-11-07T12:12:36.39" personId="{2FE83714-CFDC-44C0-AD15-D3DD5B44FB09}" id="{3C858F80-6D19-461B-8CFC-22E15E7C5C87}">
    <text>Weighted Average Terms for Foreign Gov. loans based on values from this dataset
Term:        Interest     Term      Grace
Value:        2.41%      23.58       6.54
%Known:  51.96%    66.91%   50.41%</text>
  </threadedComment>
  <threadedComment ref="S124" dT="2023-11-07T12:12:52.06" personId="{2FE83714-CFDC-44C0-AD15-D3DD5B44FB09}" id="{F5A29E1E-FD46-47BF-A8C7-34726BF7B2CF}">
    <text>Weighted Average Terms for Foreign Gov. loans based on values from this dataset
Term:        Interest     Term      Grace
Value:        2.41%      23.58       6.54
%Known:  51.96%    66.91%   50.41%</text>
  </threadedComment>
  <threadedComment ref="P125" dT="2023-10-25T15:21:52.27" personId="{2FE83714-CFDC-44C0-AD15-D3DD5B44FB09}" id="{161AB9F6-D4F0-48BE-80E3-FF856510FB76}">
    <text>Project specific Equity Rate of Return for Lake Turkana outlined in 
https://core.ac.uk/download/pdf/43542198.pdf
Page 38 (PDF Page 40)</text>
    <extLst>
      <x:ext xmlns:xltc2="http://schemas.microsoft.com/office/spreadsheetml/2020/threadedcomments2" uri="{F7C98A9C-CBB3-438F-8F68-D28B6AF4A901}">
        <xltc2:checksum>2302380842</xltc2:checksum>
        <xltc2:hyperlink startIndex="70" length="44" url="https://core.ac.uk/download/pdf/43542198.pdf"/>
      </x:ext>
    </extLst>
  </threadedComment>
  <threadedComment ref="Q125" dT="2023-10-30T16:56:46.52" personId="{2FE83714-CFDC-44C0-AD15-D3DD5B44FB09}" id="{ABA1FB0E-73FF-4766-BBA7-016946F2C99A}">
    <text>Based on reported project life-span</text>
  </threadedComment>
  <threadedComment ref="P126" dT="2023-10-25T15:21:56.61" personId="{2FE83714-CFDC-44C0-AD15-D3DD5B44FB09}" id="{7C86D285-5A4D-49C3-860E-441740806365}">
    <text>Project specific Equity Rate of Return for Lake Turkana outlined in 
https://core.ac.uk/download/pdf/43542198.pdf
Page 38 (PDF Page 40)</text>
    <extLst>
      <x:ext xmlns:xltc2="http://schemas.microsoft.com/office/spreadsheetml/2020/threadedcomments2" uri="{F7C98A9C-CBB3-438F-8F68-D28B6AF4A901}">
        <xltc2:checksum>2302380842</xltc2:checksum>
        <xltc2:hyperlink startIndex="70" length="44" url="https://core.ac.uk/download/pdf/43542198.pdf"/>
      </x:ext>
    </extLst>
  </threadedComment>
  <threadedComment ref="Q126" dT="2023-10-30T16:56:50.58" personId="{2FE83714-CFDC-44C0-AD15-D3DD5B44FB09}" id="{D8D9D96A-0677-4AB1-9B9D-831E44ACE998}">
    <text>Based on reported project life-span</text>
  </threadedComment>
  <threadedComment ref="G127" dT="2023-10-25T15:24:17.07" personId="{2FE83714-CFDC-44C0-AD15-D3DD5B44FB09}" id="{B5821DB7-6965-48C6-9666-EB48EF96869A}">
    <text>Mezzanine Loan</text>
  </threadedComment>
  <threadedComment ref="P127" dT="2023-11-03T15:34:21.17" personId="{2FE83714-CFDC-44C0-AD15-D3DD5B44FB09}" id="{0D5D4E87-90BF-42A0-AF89-CBCCE89D4477}">
    <text>Weighted Average Terms for Foreign Gov. loans based on values from this dataset
Term:        Interest     Term      Grace
Value:        2.41%      23.58       6.54
%Known:  51.96%    66.91%   50.41%</text>
  </threadedComment>
  <threadedComment ref="Q127" dT="2023-11-07T12:12:36.39" personId="{2FE83714-CFDC-44C0-AD15-D3DD5B44FB09}" id="{22216A3E-10B1-48B3-9E1C-D44BE2EC779F}">
    <text>Weighted Average Terms for Foreign Gov. loans based on values from this dataset
Term:        Interest     Term      Grace
Value:        2.41%      23.58       6.54
%Known:  51.96%    66.91%   50.41%</text>
  </threadedComment>
  <threadedComment ref="S127" dT="2023-11-07T12:12:52.06" personId="{2FE83714-CFDC-44C0-AD15-D3DD5B44FB09}" id="{9F5AECB4-474E-49F1-855B-427A4CC6E3DB}">
    <text>Weighted Average Terms for Foreign Gov. loans based on values from this dataset
Term:        Interest     Term      Grace
Value:        2.41%      23.58       6.54
%Known:  51.96%    66.91%   50.41%</text>
  </threadedComment>
  <threadedComment ref="G128" dT="2023-10-25T15:24:17.07" personId="{2FE83714-CFDC-44C0-AD15-D3DD5B44FB09}" id="{8945827E-5D8B-412D-88D7-72093AAEAFDA}">
    <text>Mezzanine Loan</text>
  </threadedComment>
  <threadedComment ref="P128" dT="2023-11-03T14:41:18.28" personId="{2FE83714-CFDC-44C0-AD15-D3DD5B44FB09}" id="{814F7D2E-E8D7-45F4-BC67-FB60DC178F42}">
    <text>Weighted Average Terms for Multilateral Agency loans based on values from this dataset
Term:        Interest     Term      Grace
Value:        2.39%      33.67       6.96
%Known:  46.21%    52.38%   44.87%</text>
  </threadedComment>
  <threadedComment ref="Q128" dT="2023-11-06T15:46:29.89" personId="{2FE83714-CFDC-44C0-AD15-D3DD5B44FB09}" id="{BA28CF57-CF0E-4AFC-B85E-9B5B217F231B}">
    <text>Weighted Average Terms for Multilateral Agency loans based on values from this dataset
Term:        Interest     Term      Grace
Value:        2.39%      33.67       6.96
%Known:  46.21%    52.38%   44.87%</text>
  </threadedComment>
  <threadedComment ref="S128" dT="2023-11-06T15:46:37.46" personId="{2FE83714-CFDC-44C0-AD15-D3DD5B44FB09}" id="{1F283495-E4CC-4DFC-8A69-93B6859FA970}">
    <text>Weighted Average Terms for Multilateral Agency loans based on values from this dataset
Term:        Interest     Term      Grace
Value:        2.39%      33.67       6.96
%Known:  46.21%    52.38%   44.87%</text>
  </threadedComment>
  <threadedComment ref="I129" dT="2023-11-06T14:42:53.76" personId="{2FE83714-CFDC-44C0-AD15-D3DD5B44FB09}" id="{81B89A17-6262-4B66-A698-5820BE27DC1A}">
    <text>Owned by South African Private Equity Firm Harith Global Partners Pty Ltd.</text>
  </threadedComment>
  <threadedComment ref="P129" dT="2023-10-25T15:21:04.04" personId="{2FE83714-CFDC-44C0-AD15-D3DD5B44FB09}" id="{1F0C13E3-6987-4E10-8884-8DDCE700D66C}">
    <text>Project specific Equity Rate of Return for Lake Turkana outlined in 
https://core.ac.uk/download/pdf/43542198.pdf
Page 38 (PDF Page 40)</text>
    <extLst>
      <x:ext xmlns:xltc2="http://schemas.microsoft.com/office/spreadsheetml/2020/threadedcomments2" uri="{F7C98A9C-CBB3-438F-8F68-D28B6AF4A901}">
        <xltc2:checksum>2302380842</xltc2:checksum>
        <xltc2:hyperlink startIndex="70" length="44" url="https://core.ac.uk/download/pdf/43542198.pdf"/>
      </x:ext>
    </extLst>
  </threadedComment>
  <threadedComment ref="Q129" dT="2023-10-30T16:56:46.52" personId="{2FE83714-CFDC-44C0-AD15-D3DD5B44FB09}" id="{76E88628-AEEF-478D-9426-E1D1EC05C884}">
    <text>Based on reported project life-span</text>
  </threadedComment>
  <threadedComment ref="J130" dT="2023-11-06T14:46:35.25" personId="{2FE83714-CFDC-44C0-AD15-D3DD5B44FB09}" id="{B3C441F0-9E58-4E2F-A5D0-0BDBB10B3EC8}">
    <text>Registered to the Netherlands
https://www.dnb.com/business-directory/company-profiles.kpp_africa_bv.9ca1f72eeb8eba73dd4a17c0549ff931.html</text>
  </threadedComment>
  <threadedComment ref="P130" dT="2023-10-25T15:21:09.33" personId="{2FE83714-CFDC-44C0-AD15-D3DD5B44FB09}" id="{D528502F-C34B-4B52-860F-121A0E337182}">
    <text>Project specific Equity Rate of Return for Lake Turkana outlined in 
https://core.ac.uk/download/pdf/43542198.pdf
Page 38 (PDF Page 40)</text>
    <extLst>
      <x:ext xmlns:xltc2="http://schemas.microsoft.com/office/spreadsheetml/2020/threadedcomments2" uri="{F7C98A9C-CBB3-438F-8F68-D28B6AF4A901}">
        <xltc2:checksum>2302380842</xltc2:checksum>
        <xltc2:hyperlink startIndex="70" length="44" url="https://core.ac.uk/download/pdf/43542198.pdf"/>
      </x:ext>
    </extLst>
  </threadedComment>
  <threadedComment ref="Q130" dT="2023-10-30T16:56:50.58" personId="{2FE83714-CFDC-44C0-AD15-D3DD5B44FB09}" id="{1FD53406-44D3-4DB0-AF59-F24B12CF9474}">
    <text>Based on reported project life-span</text>
  </threadedComment>
  <threadedComment ref="J131" dT="2023-11-06T14:48:47.87" personId="{2FE83714-CFDC-44C0-AD15-D3DD5B44FB09}" id="{0C830841-986C-4301-A844-FF741036DEE1}">
    <text>Registered in Denmark
https://www.legalentityidentifier.in/leicert/549300DYMC8BGZZC8844/</text>
  </threadedComment>
  <threadedComment ref="P131" dT="2023-10-25T15:21:23.22" personId="{2FE83714-CFDC-44C0-AD15-D3DD5B44FB09}" id="{606FA274-2F89-4070-B30D-68A9BB3C06D9}">
    <text>Project specific Equity Rate of Return for Lake Turkana outlined in 
https://core.ac.uk/download/pdf/43542198.pdf
Page 38 (PDF Page 40)</text>
    <extLst>
      <x:ext xmlns:xltc2="http://schemas.microsoft.com/office/spreadsheetml/2020/threadedcomments2" uri="{F7C98A9C-CBB3-438F-8F68-D28B6AF4A901}">
        <xltc2:checksum>2302380842</xltc2:checksum>
        <xltc2:hyperlink startIndex="70" length="44" url="https://core.ac.uk/download/pdf/43542198.pdf"/>
      </x:ext>
    </extLst>
  </threadedComment>
  <threadedComment ref="Q131" dT="2023-10-30T16:56:58.44" personId="{2FE83714-CFDC-44C0-AD15-D3DD5B44FB09}" id="{41130BC4-6887-4FFE-AA34-F4C710B84078}">
    <text>Based on reported project life-span</text>
  </threadedComment>
  <threadedComment ref="P132" dT="2023-10-25T15:21:28.47" personId="{2FE83714-CFDC-44C0-AD15-D3DD5B44FB09}" id="{947FD24D-FFE5-4C47-9A19-C7F283C9D203}">
    <text>Project specific Equity Rate of Return for Lake Turkana outlined in 
https://core.ac.uk/download/pdf/43542198.pdf
Page 38 (PDF Page 40)</text>
    <extLst>
      <x:ext xmlns:xltc2="http://schemas.microsoft.com/office/spreadsheetml/2020/threadedcomments2" uri="{F7C98A9C-CBB3-438F-8F68-D28B6AF4A901}">
        <xltc2:checksum>2302380842</xltc2:checksum>
        <xltc2:hyperlink startIndex="70" length="44" url="https://core.ac.uk/download/pdf/43542198.pdf"/>
      </x:ext>
    </extLst>
  </threadedComment>
  <threadedComment ref="Q132" dT="2023-10-30T16:56:53.52" personId="{2FE83714-CFDC-44C0-AD15-D3DD5B44FB09}" id="{6C97B54B-8375-45BB-B8D8-46A5184BCFF4}">
    <text>Based on reported project life-span</text>
  </threadedComment>
  <threadedComment ref="P133" dT="2023-11-03T14:41:18.28" personId="{2FE83714-CFDC-44C0-AD15-D3DD5B44FB09}" id="{F23A1767-46EB-456E-9E06-D1784AA2CB28}">
    <text>Weighted Average Terms for Multilateral Agency loans based on values from this dataset
Term:        Interest     Term      Grace
Value:        2.39%      33.67       6.96
%Known:  46.21%    52.38%   44.87%</text>
  </threadedComment>
  <threadedComment ref="Q133" dT="2023-11-06T15:46:29.89" personId="{2FE83714-CFDC-44C0-AD15-D3DD5B44FB09}" id="{126E00DB-F87B-447A-95A0-85FA3ED21ACE}">
    <text>Weighted Average Terms for Multilateral Agency loans based on values from this dataset
Term:        Interest     Term      Grace
Value:        2.39%      33.67       6.96
%Known:  46.21%    52.38%   44.87%</text>
  </threadedComment>
  <threadedComment ref="S133" dT="2023-11-06T15:46:37.46" personId="{2FE83714-CFDC-44C0-AD15-D3DD5B44FB09}" id="{AF93D821-7EFC-4C99-A995-A361606A734A}">
    <text>Weighted Average Terms for Multilateral Agency loans based on values from this dataset
Term:        Interest     Term      Grace
Value:        2.39%      33.67       6.96
%Known:  46.21%    52.38%   44.87%</text>
  </threadedComment>
  <threadedComment ref="G134" dT="2023-10-25T15:24:17.07" personId="{2FE83714-CFDC-44C0-AD15-D3DD5B44FB09}" id="{6B201991-B29B-4852-8940-09232B87A2C7}">
    <text>Mezzanine Loan</text>
  </threadedComment>
  <threadedComment ref="P134" dT="2023-11-03T14:41:18.28" personId="{2FE83714-CFDC-44C0-AD15-D3DD5B44FB09}" id="{842CB8F0-8753-4AE8-B40D-F94D9C0FE78B}">
    <text>Weighted Average Terms for Multilateral Agency loans based on values from this dataset
Term:        Interest     Term      Grace
Value:        2.39%      33.67       6.96
%Known:  46.21%    52.38%   44.87%</text>
  </threadedComment>
  <threadedComment ref="Q134" dT="2023-11-06T15:46:29.89" personId="{2FE83714-CFDC-44C0-AD15-D3DD5B44FB09}" id="{495CF109-B752-45E3-8994-7E1252B1F7B0}">
    <text>Weighted Average Terms for Multilateral Agency loans based on values from this dataset
Term:        Interest     Term      Grace
Value:        2.39%      33.67       6.96
%Known:  46.21%    52.38%   44.87%</text>
  </threadedComment>
  <threadedComment ref="S134" dT="2023-11-06T15:46:37.46" personId="{2FE83714-CFDC-44C0-AD15-D3DD5B44FB09}" id="{D43CA826-5A86-40D8-8D07-56E7C5273CBF}">
    <text>Weighted Average Terms for Multilateral Agency loans based on values from this dataset
Term:        Interest     Term      Grace
Value:        2.39%      33.67       6.96
%Known:  46.21%    52.38%   44.87%</text>
  </threadedComment>
  <threadedComment ref="G135" dT="2023-10-25T15:24:17.07" personId="{2FE83714-CFDC-44C0-AD15-D3DD5B44FB09}" id="{D585CC85-F873-40DC-BD54-84AB44DDB4F9}">
    <text>Mezzanine Loan</text>
  </threadedComment>
  <threadedComment ref="P135" dT="2023-11-03T14:41:18.28" personId="{2FE83714-CFDC-44C0-AD15-D3DD5B44FB09}" id="{8B51FA67-C005-4EC9-8E55-D947774C820C}">
    <text>Weighted Average Terms for AfDB loans based on values from this dataset
Term:        Interest     Term      Grace
Value:        0.82%      38.30       7.92
%Known:  61.98%    77.38%   77.38%</text>
  </threadedComment>
  <threadedComment ref="Q135" dT="2023-11-06T16:11:52.32" personId="{2FE83714-CFDC-44C0-AD15-D3DD5B44FB09}" id="{C8871AF6-C813-43B1-84AB-7966E9E59E0F}">
    <text>Weighted Average Terms for AfDB loans based on values from this dataset
Term:        Interest     Term      Grace
Value:        0.82%      38.30       7.92
%Known:  61.98%    77.38%   77.38%</text>
  </threadedComment>
  <threadedComment ref="S135" dT="2023-11-06T16:15:51.19" personId="{2FE83714-CFDC-44C0-AD15-D3DD5B44FB09}" id="{09050688-6208-438F-A417-CC4823A5D436}">
    <text>Weighted Average Terms for AfDB loans based on values from this dataset
Term:        Interest     Term      Grace
Value:        0.82%      38.30       7.92
%Known:  61.98%    77.38%   77.38%</text>
  </threadedComment>
  <threadedComment ref="K136" dT="2023-10-24T13:24:20.59" personId="{2FE83714-CFDC-44C0-AD15-D3DD5B44FB09}" id="{841C59D0-5FF9-4424-8760-B2A17A64D38F}">
    <text>90M UA at a 1UA: 1.5474USD
https://www.afdb.org/sites/all/libraries/pdf.js/web/viewer.html?file=https%3A%2F%2Fwww.afdb.org%2Fsites%2Fdefault%2Ffiles%2Fdocuments%2Fprojects-and-operations%2Fkenya_last_mile_connectivity_project_-_project_appraisal_report.pdf#page=1&amp;zoom=auto,-14,849</text>
  </threadedComment>
  <threadedComment ref="P136" dT="2023-10-31T14:51:26.00" personId="{2FE83714-CFDC-44C0-AD15-D3DD5B44FB09}" id="{DEC9BADB-457E-45FD-A031-818862AED0A9}">
    <text xml:space="preserve">Reported in Kenyan External Debt Registry 2017-18
https://www.treasury.go.ke/wp-content/uploads/2021/09/External-Public-Debt-Register-as-at-End-June-2019.pdf
</text>
  </threadedComment>
  <threadedComment ref="Q136" dT="2023-10-31T14:51:48.79" personId="{2FE83714-CFDC-44C0-AD15-D3DD5B44FB09}" id="{03F824E7-A545-4F30-B70E-F01B2A976DD4}">
    <text xml:space="preserve">from 2014 to 2054, with repayments starting in 2024
10 year grace
40 year maturity
GoK External Debt Registry 
https://www.treasury.go.ke/wp-content/uploads/2021/09/External-Public-Debt-Register-as-at-End-June-2019.pdf
</text>
  </threadedComment>
  <threadedComment ref="S136" dT="2023-11-02T10:08:17.43" personId="{2FE83714-CFDC-44C0-AD15-D3DD5B44FB09}" id="{2D25BA8E-36C7-4F6C-AC9A-4507248D6AA8}">
    <text>from 2014 to 2054, with repayments starting in 2024
10 year grace
40 year maturity
GoK External Debt Registry 
https://www.treasury.go.ke/wp-content/uploads/2021/09/External-Public-Debt-Register-as-at-End-June-2019.pdf</text>
  </threadedComment>
  <threadedComment ref="K137" dT="2023-10-31T14:50:59.32" personId="{2FE83714-CFDC-44C0-AD15-D3DD5B44FB09}" id="{E6D517E4-59DB-4B8F-B9D3-855A9AA3010B}">
    <text>9.2M UA at a 1UA: 1.5474USD
GoK Equity
https://www.afdb.org/sites/all/libraries/pdf.js/web/viewer.html?file=https%3A%2F%2Fwww.afdb.org%2Fsites%2Fdefault%2Ffiles%2Fdocuments%2Fprojects-and-operations%2Fkenya_last_mile_connectivity_project_-_project_appraisal_report.pdf#page=1&amp;zoom=auto,-14,849</text>
  </threadedComment>
  <threadedComment ref="P137" dT="2023-10-31T14:50:09.43" personId="{41181F03-CA57-824B-97F2-03A58DAE2D5E}" id="{2BD56882-4270-4AC3-81A6-08D49120EFF6}">
    <text>FIRR
https://www.afdb.org/sites/default/files/documents/projects-and-operations/kenya_last_mile_connectivity_project_-_project_appraisal_report.pdf</text>
  </threadedComment>
  <threadedComment ref="Q137" dT="2023-10-31T14:53:55.81" personId="{2FE83714-CFDC-44C0-AD15-D3DD5B44FB09}" id="{E1A0435C-59B3-4493-96B4-32C764424ED7}">
    <text>Based on lifespan of Transmission based on OSeMOSYS</text>
  </threadedComment>
  <threadedComment ref="K138" dT="2023-10-31T15:10:09.94" personId="{2FE83714-CFDC-44C0-AD15-D3DD5B44FB09}" id="{799ADE1E-C44A-46B1-A24B-E2F661F73216}">
    <text xml:space="preserve">Value of $162.22M based on AfDB Completion report - initial commitment was $134.64M
Completion Report
https://www.afdb.org/sites/all/libraries/pdf.js/web/viewer.html?file=https%3A%2F%2Fwww.afdb.org%2Fsites%2Fdefault%2Ffiles%2Fdocuments%2Fprojects-and-operations%2Fkenya_-_last_mile_connectivity_project_2_project_completion_report.pdf#page=2&amp;zoom=auto,-13,834
Initial Commitment
https://www.afdb.org/fileadmin/uploads/afdb/Documents/Project-and-Operations/Kenya__AR-_Last_Mile_Connectivity_Project_II.PDF </text>
    <extLst>
      <x:ext xmlns:xltc2="http://schemas.microsoft.com/office/spreadsheetml/2020/threadedcomments2" uri="{F7C98A9C-CBB3-438F-8F68-D28B6AF4A901}">
        <xltc2:checksum>897140776</xltc2:checksum>
        <xltc2:hyperlink startIndex="104" length="257" url="https://www.afdb.org/sites/all/libraries/pdf.js/web/viewer.html?file=https%3A%2F%2Fwww.afdb.org%2Fsites%2Fdefault%2Ffiles%2Fdocuments%2Fprojects-and-operations%2Fkenya_-_last_mile_connectivity_project_2_project_completion_report.pdf#page=2&amp;zoom=auto,-13,834"/>
        <xltc2:hyperlink startIndex="383" length="125" url="https://www.afdb.org/fileadmin/uploads/afdb/Documents/Project-and-Operations/Kenya__AR-_Last_Mile_Connectivity_Project_II.PDF"/>
      </x:ext>
    </extLst>
  </threadedComment>
  <threadedComment ref="P138" dT="2023-10-30T17:00:14.15" personId="{2FE83714-CFDC-44C0-AD15-D3DD5B44FB09}" id="{62EF56C8-7A48-4143-A24A-65E4398A0219}">
    <text>Based on GoK External Debt Registry
https://www.treasury.go.ke/wp-content/uploads/2021/09/External-Public-Debt-Register-as-at-End-June-2019.pdf</text>
  </threadedComment>
  <threadedComment ref="Q138" dT="2023-11-02T10:02:48.75" personId="{2FE83714-CFDC-44C0-AD15-D3DD5B44FB09}" id="{181BAC2D-983D-4ECB-8550-AD21837CF20C}">
    <text xml:space="preserve">Paid Semi annually in 30 instalments (15 years) with 5 year grace period
Kenya External Debt Registry 2017-18
https://treasury.go.ke/wp-content/uploads/2021/02/External-Public-Debt-Register-as-at-End-June-2018.pdf
</text>
  </threadedComment>
  <threadedComment ref="S138" dT="2023-11-02T10:02:48.75" personId="{2FE83714-CFDC-44C0-AD15-D3DD5B44FB09}" id="{D8B4D7A7-4930-49F0-841C-FAFE4F29674F}">
    <text xml:space="preserve">Paid Semi annually in 30 instalments (15 years) with 5 year grace period
Kenya External Debt Registry 2017-18
https://treasury.go.ke/wp-content/uploads/2021/02/External-Public-Debt-Register-as-at-End-June-2018.pdf
</text>
  </threadedComment>
  <threadedComment ref="K139" dT="2023-10-31T15:08:55.96" personId="{41181F03-CA57-824B-97F2-03A58DAE2D5E}" id="{0DA75122-F64A-47D9-B053-FD41A0282362}">
    <text>Gok 19.2 Counterpart fund
https://www.afdb.org/fileadmin/uploads/afdb/Documents/Project-and-Operations/Kenya__AR-_Last_Mile_Connectivity_Project_II.PDF</text>
  </threadedComment>
  <threadedComment ref="P139" dT="2023-10-30T17:00:14.15" personId="{2FE83714-CFDC-44C0-AD15-D3DD5B44FB09}" id="{5F34BD1F-1DDC-4146-95CD-C939B023275A}">
    <text>Based on Average GoK Externa Debt Terms for 2016
https://treasury.go.ke/wp-content/uploads/2021/02/Annual-Public-Debt-Report-2016-2017.pdf</text>
  </threadedComment>
  <threadedComment ref="Q139" dT="2023-10-31T14:51:48.79" personId="{2FE83714-CFDC-44C0-AD15-D3DD5B44FB09}" id="{451813E3-2690-4823-9EFA-B631FE5FCAD5}">
    <text>Based on Average GoK Externa Debt Terms for 2016
https://treasury.go.ke/wp-content/uploads/2021/02/Annual-Public-Debt-Report-2016-2017.pdf</text>
  </threadedComment>
  <threadedComment ref="S139" dT="2023-10-31T14:51:52.86" personId="{2FE83714-CFDC-44C0-AD15-D3DD5B44FB09}" id="{E9800D5B-CCEB-4343-B231-118C558223DB}">
    <text>Based on Average GoK Externa Debt Terms for 2016
https://treasury.go.ke/wp-content/uploads/2021/02/Annual-Public-Debt-Report-2016-2017.pdf</text>
  </threadedComment>
  <threadedComment ref="K140" dT="2023-10-31T15:29:08.35" personId="{2FE83714-CFDC-44C0-AD15-D3DD5B44FB09}" id="{D2A92C2F-92B0-4D17-A447-580222E27D8D}">
    <text>AFD commitment reported by InclusiveInfra and EU Africa Infrastructure Grant. Total Phase Cost: EUR 180M:
    EUR 30M Grant from EU
    EUR 60M Loan from EIB
 rest assumed to be from AFD
https://inclusiveinfra.gihub.org/case-studies/last-mile-connectivity-program-kenya/ 
https://www.eib.org/en/projects/pipelines/all/20150640
https://www.eu-africa-infrastructure-tf.net/activities/grants/rural-electrification-keny---last-mile-connectivity.htm</text>
    <extLst>
      <x:ext xmlns:xltc2="http://schemas.microsoft.com/office/spreadsheetml/2020/threadedcomments2" uri="{F7C98A9C-CBB3-438F-8F68-D28B6AF4A901}">
        <xltc2:checksum>2391734405</xltc2:checksum>
        <xltc2:hyperlink startIndex="188" length="83" url="https://inclusiveinfra.gihub.org/case-studies/last-mile-connectivity-program-kenya/"/>
        <xltc2:hyperlink startIndex="274" length="54" url="https://www.eib.org/en/projects/pipelines/all/20150640"/>
      </x:ext>
    </extLst>
  </threadedComment>
  <threadedComment ref="P140" dT="2023-11-03T15:34:21.17" personId="{2FE83714-CFDC-44C0-AD15-D3DD5B44FB09}" id="{162C9333-2613-420F-B819-A4376237053C}">
    <text>Weighted Average Terms for Foreign Gov. loans based on values from this dataset
Term:        Interest     Term      Grace
Value:        2.41%      23.58       6.54
%Known:  51.96%    66.91%   50.41%</text>
  </threadedComment>
  <threadedComment ref="Q140" dT="2023-11-07T12:12:36.39" personId="{2FE83714-CFDC-44C0-AD15-D3DD5B44FB09}" id="{17C3355D-FF1E-4153-A109-349EBC0CBFF8}">
    <text>Weighted Average Terms for Foreign Gov. loans based on values from this dataset
Term:        Interest     Term      Grace
Value:        2.41%      23.58       6.54
%Known:  51.96%    66.91%   50.41%</text>
  </threadedComment>
  <threadedComment ref="S140" dT="2023-11-07T12:12:52.06" personId="{2FE83714-CFDC-44C0-AD15-D3DD5B44FB09}" id="{C31F313C-2D4B-4B4F-B4BD-1F7272FC8F4A}">
    <text>Weighted Average Terms for Foreign Gov. loans based on values from this dataset
Term:        Interest     Term      Grace
Value:        2.41%      23.58       6.54
%Known:  51.96%    66.91%   50.41%</text>
  </threadedComment>
  <threadedComment ref="K141" dT="2023-10-31T14:56:40.98" personId="{2FE83714-CFDC-44C0-AD15-D3DD5B44FB09}" id="{1F47DB98-2672-4480-8873-3320813797F3}">
    <text>EUR 60M committed by the EIB
out of a total of EUR 180M
https://www.eib.org/en/projects/pipelines/all/20150640</text>
  </threadedComment>
  <threadedComment ref="P141" dT="2023-11-03T14:41:18.28" personId="{2FE83714-CFDC-44C0-AD15-D3DD5B44FB09}" id="{89FE2B52-45E9-4DA6-B91C-5F5035C06697}">
    <text>Weighted Average Terms for Multilateral Agency loans based on values from this dataset
Term:        Interest     Term      Grace
Value:        2.39%      33.67       6.96
%Known:  46.21%    52.38%   44.87%</text>
  </threadedComment>
  <threadedComment ref="Q141" dT="2023-11-06T15:46:29.89" personId="{2FE83714-CFDC-44C0-AD15-D3DD5B44FB09}" id="{F77BA83D-3AA8-4058-97C2-1722BCB3D5FD}">
    <text>Weighted Average Terms for Multilateral Agency loans based on values from this dataset
Term:        Interest     Term      Grace
Value:        2.39%      33.67       6.96
%Known:  46.21%    52.38%   44.87%</text>
  </threadedComment>
  <threadedComment ref="S141" dT="2023-11-06T15:46:37.46" personId="{2FE83714-CFDC-44C0-AD15-D3DD5B44FB09}" id="{979957B7-B5DC-41C8-A7CC-C31801FB2BE1}">
    <text>Weighted Average Terms for Multilateral Agency loans based on values from this dataset
Term:        Interest     Term      Grace
Value:        2.39%      33.67       6.96
%Known:  46.21%    52.38%   44.87%</text>
  </threadedComment>
  <threadedComment ref="F142" dT="2023-11-06T15:36:19.85" personId="{2FE83714-CFDC-44C0-AD15-D3DD5B44FB09}" id="{6669ADC9-EF37-4385-8B8E-DB108973B3CE}">
    <text>Financed through Equity - AGIL is a Kenyan-based Company
Africa Geothermal International Limited to drill first well in Longonot for five years | Business Chief UK &amp; Europe</text>
    <extLst>
      <x:ext xmlns:xltc2="http://schemas.microsoft.com/office/spreadsheetml/2020/threadedcomments2" uri="{F7C98A9C-CBB3-438F-8F68-D28B6AF4A901}">
        <xltc2:checksum>2668991468</xltc2:checksum>
        <xltc2:hyperlink startIndex="58" length="115" url="https://businesschief.eu/leadership-and-strategy/africa-geothermal-international-limited-drill-first-well-longonot-five-years"/>
      </x:ext>
    </extLst>
  </threadedComment>
  <threadedComment ref="K142" dT="2023-10-25T08:40:55.77" personId="{2FE83714-CFDC-44C0-AD15-D3DD5B44FB09}" id="{7BDC34CC-CBA4-466F-B1FA-557553980D7C}">
    <text>Reported $10 million in equity to start exploratory drilling
https://www.businessdailyafrica.com/bd/economy/agil-to-drill-first-exploration-well-in-longonot-2187750 
Additional Grant from the AUC totaling either
$6Million 
https://au.int/sites/default/files/newsevents/pressreleases/29726-pr-pr_231-grmf_nairobi.pdf 
Or $8.4 million according to most other news reports</text>
    <extLst>
      <x:ext xmlns:xltc2="http://schemas.microsoft.com/office/spreadsheetml/2020/threadedcomments2" uri="{F7C98A9C-CBB3-438F-8F68-D28B6AF4A901}">
        <xltc2:checksum>4213661605</xltc2:checksum>
        <xltc2:hyperlink startIndex="62" length="103" url="https://www.businessdailyafrica.com/bd/economy/agil-to-drill-first-exploration-well-in-longonot-2187750"/>
        <xltc2:hyperlink startIndex="226" length="92" url="https://au.int/sites/default/files/newsevents/pressreleases/29726-pr-pr_231-grmf_nairobi.pdf"/>
      </x:ext>
    </extLst>
  </threadedComment>
  <threadedComment ref="K142" dT="2023-10-25T08:42:27.91" personId="{2FE83714-CFDC-44C0-AD15-D3DD5B44FB09}" id="{1FF76B9C-D179-4123-A239-CCC947033F3F}" parentId="{7BDC34CC-CBA4-466F-B1FA-557553980D7C}">
    <text xml:space="preserve">Pertamina Geothermal Energy (PGE) from Indonesian also recently signed a Moratorium of Understanding for potential financing of the AGIL Longonot Development 
https://www.reuters.com/business/indonesias-pertamina-geothermal-explores-partnership-with-kenyan-firms-2023-08-22/ 
https://www.pertamina.com/en/news-room/news-release/pertamina-geothermal-energy-explores-collaboration-with-agil-to-develop-longonot-concession-in-kenya </text>
    <extLst>
      <x:ext xmlns:xltc2="http://schemas.microsoft.com/office/spreadsheetml/2020/threadedcomments2" uri="{F7C98A9C-CBB3-438F-8F68-D28B6AF4A901}">
        <xltc2:checksum>979048307</xltc2:checksum>
        <xltc2:hyperlink startIndex="160" length="115" url="https://www.reuters.com/business/indonesias-pertamina-geothermal-explores-partnership-with-kenyan-firms-2023-08-22/"/>
        <xltc2:hyperlink startIndex="278" length="152" url="https://www.pertamina.com/en/news-room/news-release/pertamina-geothermal-energy-explores-collaboration-with-agil-to-develop-longonot-concession-in-kenya"/>
      </x:ext>
    </extLst>
  </threadedComment>
  <threadedComment ref="P142" dT="2023-11-03T11:19:11.44" personId="{2FE83714-CFDC-44C0-AD15-D3DD5B44FB09}" id="{DF922434-2652-4B0E-B377-6FD9C8BB8C78}">
    <text>Assumed to be similar to the Private Equity IRR requirements for Olkaria III geothermal exploration. 
Based on estimated required IRR for Private investors in Olkaria III exploration from CIP report.
https://www.climatepolicyinitiative.org/wp-content/uploads/2015/06/150601_Final_Olkaria_ForWeb.pdf</text>
  </threadedComment>
  <threadedComment ref="Q142" dT="2023-10-30T12:57:31.39" personId="{2FE83714-CFDC-44C0-AD15-D3DD5B44FB09}" id="{E5D38EA5-D2D6-4C6D-92BD-E1254BEBF557}">
    <text xml:space="preserve">Based on Life-span of African Geothermal Plants 
25 years according to:
https://www.sciencedirect.com/science/article/pii/S2352340922002323
Lucy Allington, Carla Cannone, Ioannis Pappis, Karla Cervantes Barron, Will Usher, Steve Pye, Edward Brown, Mark Howells, Miriam Zachau Walker, Aniq Ahsan, Flora Charbonnier, Claire Halloran, Stephanie Hirmer, Jennifer Cronin, Constantinos Taliotis, Caroline Sundin, Vignesh Sridharan, Eunice Ramos, Maarten Brinkerink, Paul Deane, Andrii Gritsevskyi, Gustavo Moura, Arnaud Rouget, David Wogan, Edito Barcelona, Taco Niet, Holger Rogner, Franziska Bock, Jairo Quirós-Tortós, Jam Angulo-Paniagua, Satheesh Krishnamurthy, John Harrison, Long Seng To,
Selected ‘Starter kit’ energy system modelling data for selected countries in Africa, East Asia, and South America (#CCG, 2021),
Data in Brief,
Volume 42,
2022,
108021,
ISSN 2352-3409,
https://doi.org/10.1016/j.dib.2022.108021.
</text>
    <extLst>
      <x:ext xmlns:xltc2="http://schemas.microsoft.com/office/spreadsheetml/2020/threadedcomments2" uri="{F7C98A9C-CBB3-438F-8F68-D28B6AF4A901}">
        <xltc2:checksum>853682045</xltc2:checksum>
        <xltc2:hyperlink startIndex="73" length="67" url="https://www.sciencedirect.com/science/article/pii/S2352340922002323"/>
      </x:ext>
    </extLst>
  </threadedComment>
  <threadedComment ref="K143" dT="2023-10-25T08:44:38.09" personId="{2FE83714-CFDC-44C0-AD15-D3DD5B44FB09}" id="{5EC7E672-FF56-4606-B23C-F165300601CB}">
    <text>UK CDC Debt Arranger - Total $52 Million Debt - $32 from DFI
https://www.globeleq.com/blog/globeleqs-malindi-solar-plant-is-generating-clean-energy-to-the-national-grid/</text>
  </threadedComment>
  <threadedComment ref="P143" dT="2023-11-03T15:34:21.17" personId="{2FE83714-CFDC-44C0-AD15-D3DD5B44FB09}" id="{16268AE1-A7B9-4E75-BE0A-4D6B2919449D}">
    <text>Weighted Average Terms for Foreign Gov. loans based on values from this dataset
Term:        Interest     Term      Grace
Value:        2.41%      23.58       6.54
%Known:  51.96%    66.91%   50.41%</text>
  </threadedComment>
  <threadedComment ref="Q143" dT="2023-10-31T15:58:57.65" personId="{2FE83714-CFDC-44C0-AD15-D3DD5B44FB09}" id="{6057AA7E-BFAC-4334-9726-D321661364F5}">
    <text>Reported 16 year maturity
https://www.globeleq.com/blog/globeleq-and-cdc-to-develop-kenyan-solar-plant/</text>
  </threadedComment>
  <threadedComment ref="S143" dT="2023-11-06T16:39:24.05" personId="{2FE83714-CFDC-44C0-AD15-D3DD5B44FB09}" id="{1FE77C9C-542D-4C12-8557-D6808A3B0AF6}">
    <text>Weighted Average Terms for Foreign Gov. loans based on values from this dataset
Term:        Interest     Term      Grace
Value:        2.17%      27.23       7.08
%Known:  60.46%    77.60%   56.76%</text>
  </threadedComment>
  <threadedComment ref="K144" dT="2023-10-25T08:45:20.14" personId="{2FE83714-CFDC-44C0-AD15-D3DD5B44FB09}" id="{CC07B776-BEDB-4611-8E43-02DB0566F870}">
    <text>$20 million in debt financing from German DEG 
Globeleq’s Malindi Solar Plant is Generating Clean Energy to the National Grid | Globeleq | Powering Africa's Growth</text>
    <extLst>
      <x:ext xmlns:xltc2="http://schemas.microsoft.com/office/spreadsheetml/2020/threadedcomments2" uri="{F7C98A9C-CBB3-438F-8F68-D28B6AF4A901}">
        <xltc2:checksum>234479302</xltc2:checksum>
        <xltc2:hyperlink startIndex="47" length="116" url="https://www.globeleq.com/blog/globeleqs-malindi-solar-plant-is-generating-clean-energy-to-the-national-grid/"/>
      </x:ext>
    </extLst>
  </threadedComment>
  <threadedComment ref="P144" dT="2023-11-03T15:34:21.17" personId="{2FE83714-CFDC-44C0-AD15-D3DD5B44FB09}" id="{E0A09C10-0FA2-4254-A9A9-92D351826B15}">
    <text>Weighted Average Terms for Foreign Gov. loans based on values from this dataset
Term:        Interest     Term      Grace
Value:        2.41%      23.58       6.54
%Known:  51.96%    66.91%   50.41%</text>
  </threadedComment>
  <threadedComment ref="Q144" dT="2023-10-31T15:58:57.65" personId="{2FE83714-CFDC-44C0-AD15-D3DD5B44FB09}" id="{B9D46568-5BE6-4E62-9547-5FAD472802F3}">
    <text>Reported 16 year maturity
https://www.globeleq.com/blog/globeleq-and-cdc-to-develop-kenyan-solar-plant/</text>
  </threadedComment>
  <threadedComment ref="S144" dT="2023-11-06T16:39:24.05" personId="{2FE83714-CFDC-44C0-AD15-D3DD5B44FB09}" id="{669C1CF8-1588-4CE8-986E-2E4283B0FD6F}">
    <text>Weighted Average Terms for Foreign Gov. loans based on values from this dataset
Term:        Interest     Term      Grace
Value:        2.17%      27.23       7.08
%Known:  60.46%    77.60%   56.76%</text>
  </threadedComment>
  <threadedComment ref="B145" dT="2023-10-31T15:50:21.36" personId="{41181F03-CA57-824B-97F2-03A58DAE2D5E}" id="{293A3F32-7E82-4163-9D13-AE054C3BCA3E}">
    <text>AEDC’s partner Investment and Development of East Africa Power Group (Idea Power) sold its stake at financial close.
https://www.africa-energy.com/live-data/article/kenya-malindi-solar-project-reaches-financial-close</text>
  </threadedComment>
  <threadedComment ref="J145" dT="2023-11-06T15:20:48.62" personId="{2FE83714-CFDC-44C0-AD15-D3DD5B44FB09}" id="{25BBC7C0-7AA4-449D-9D25-D00C64226BC6}">
    <text>Registered in Canada
https://www.africaenergy.ca/#aboutus</text>
  </threadedComment>
  <threadedComment ref="K145" dT="2023-10-25T09:08:19.79" personId="{2FE83714-CFDC-44C0-AD15-D3DD5B44FB09}" id="{9398C16F-8568-4A4D-8B0B-23E452171A12}">
    <text>Africa Energy Development Corporation (AEDC) - original project developers retain 10% stake (Sold at financial close) 
https://www.globeleq.com/blog/globeleq-reaches-financial-close-on-kenyas-first-utility-scale-ipp-solar-project/</text>
  </threadedComment>
  <threadedComment ref="P145" dT="2023-10-31T14:20:41.90" personId="{2FE83714-CFDC-44C0-AD15-D3DD5B44FB09}" id="{D25D8620-28E8-4216-B687-D54000EFA61B}">
    <text>Interest Rates based on Equity Rate of Return for Solar Projects from 
Page 38 (PDF Page 40)
https://core.ac.uk/download/pdf/43542198.pdf</text>
  </threadedComment>
  <threadedComment ref="Q145" dT="2023-10-27T11:52:31.41" personId="{2FE83714-CFDC-44C0-AD15-D3DD5B44FB09}" id="{11202AA7-8DD0-42FA-97F3-D95187DF8D05}">
    <text>Based on Operational Life of Solar PV in Africa reported in:
https://www.sciencedirect.com/science/article/pii/S2352340922002323
Lucy Allington, Carla Cannone, Ioannis Pappis, Karla Cervantes Barron, Will Usher, Steve Pye, Edward Brown, Mark Howells, Miriam Zachau Walker, Aniq Ahsan, Flora Charbonnier, Claire Halloran, Stephanie Hirmer, Jennifer Cronin, Constantinos Taliotis, Caroline Sundin, Vignesh Sridharan, Eunice Ramos, Maarten Brinkerink, Paul Deane, Andrii Gritsevskyi, Gustavo Moura, Arnaud Rouget, David Wogan, Edito Barcelona, Taco Niet, Holger Rogner, Franziska Bock, Jairo Quirós-Tortós, Jam Angulo-Paniagua, Satheesh Krishnamurthy, John Harrison, Long Seng To,
Selected ‘Starter kit’ energy system modelling data for selected countries in Africa, East Asia, and South America (#CCG, 2021),
Data in Brief,
Volume 42,
2022,
108021,
ISSN 2352-3409,
https://doi.org/10.1016/j.dib.2022.108021.</text>
    <extLst>
      <x:ext xmlns:xltc2="http://schemas.microsoft.com/office/spreadsheetml/2020/threadedcomments2" uri="{F7C98A9C-CBB3-438F-8F68-D28B6AF4A901}">
        <xltc2:checksum>3020030219</xltc2:checksum>
        <xltc2:hyperlink startIndex="62" length="67" url="https://www.sciencedirect.com/science/article/pii/S2352340922002323"/>
      </x:ext>
    </extLst>
  </threadedComment>
  <threadedComment ref="H146" dT="2023-11-06T15:15:04.98" personId="{2FE83714-CFDC-44C0-AD15-D3DD5B44FB09}" id="{C2283264-2496-4281-A22E-567FEE85B2D8}">
    <text>Owned by CDC (BII) 70% and Norfund 30%</text>
  </threadedComment>
  <threadedComment ref="K146" dT="2023-10-25T09:07:10.21" personId="{2FE83714-CFDC-44C0-AD15-D3DD5B44FB09}" id="{9549E98E-A044-4765-80B9-D42D1CB6927C}">
    <text xml:space="preserve">Globeleq 60% remaining stake in project 
https://www.norfund.no/annualreport-2021/investments-areas/clean-energy-2/ </text>
    <extLst>
      <x:ext xmlns:xltc2="http://schemas.microsoft.com/office/spreadsheetml/2020/threadedcomments2" uri="{F7C98A9C-CBB3-438F-8F68-D28B6AF4A901}">
        <xltc2:checksum>2242896826</xltc2:checksum>
        <xltc2:hyperlink startIndex="42" length="74" url="https://www.norfund.no/annualreport-2021/investments-areas/clean-energy-2/"/>
      </x:ext>
    </extLst>
  </threadedComment>
  <threadedComment ref="P146" dT="2023-10-31T14:20:41.90" personId="{2FE83714-CFDC-44C0-AD15-D3DD5B44FB09}" id="{1C74D10E-3756-4022-A333-896F5ACB883B}">
    <text>Interest Rates based on Equity Rate of Return for Solar Projects from 
Page 38 (PDF Page 40)
https://core.ac.uk/download/pdf/43542198.pdf</text>
  </threadedComment>
  <threadedComment ref="Q146" dT="2023-10-27T11:52:31.41" personId="{2FE83714-CFDC-44C0-AD15-D3DD5B44FB09}" id="{C243AC73-CAA2-419F-A4B2-B7F4A8C136BE}">
    <text>Based on Operational Life of Solar PV in Africa reported in:
https://www.sciencedirect.com/science/article/pii/S2352340922002323
Lucy Allington, Carla Cannone, Ioannis Pappis, Karla Cervantes Barron, Will Usher, Steve Pye, Edward Brown, Mark Howells, Miriam Zachau Walker, Aniq Ahsan, Flora Charbonnier, Claire Halloran, Stephanie Hirmer, Jennifer Cronin, Constantinos Taliotis, Caroline Sundin, Vignesh Sridharan, Eunice Ramos, Maarten Brinkerink, Paul Deane, Andrii Gritsevskyi, Gustavo Moura, Arnaud Rouget, David Wogan, Edito Barcelona, Taco Niet, Holger Rogner, Franziska Bock, Jairo Quirós-Tortós, Jam Angulo-Paniagua, Satheesh Krishnamurthy, John Harrison, Long Seng To,
Selected ‘Starter kit’ energy system modelling data for selected countries in Africa, East Asia, and South America (#CCG, 2021),
Data in Brief,
Volume 42,
2022,
108021,
ISSN 2352-3409,
https://doi.org/10.1016/j.dib.2022.108021.</text>
    <extLst>
      <x:ext xmlns:xltc2="http://schemas.microsoft.com/office/spreadsheetml/2020/threadedcomments2" uri="{F7C98A9C-CBB3-438F-8F68-D28B6AF4A901}">
        <xltc2:checksum>3020030219</xltc2:checksum>
        <xltc2:hyperlink startIndex="62" length="67" url="https://www.sciencedirect.com/science/article/pii/S2352340922002323"/>
      </x:ext>
    </extLst>
  </threadedComment>
  <threadedComment ref="A147" dT="2023-11-03T13:53:54.62" personId="{2FE83714-CFDC-44C0-AD15-D3DD5B44FB09}" id="{AE1E9B50-EC66-4516-AD94-A8871B74D75E}">
    <text xml:space="preserve">3 different Financial structures outlined for this project:
GoK 2020:
http://www.parliament.go.ke/sites/default/files/2021-02/AG%20-%20Menegai%20Geothermal%20Project%20-%20Geothemal%20Development%20Comapny%20Limited%2030th%20June%2C%202020_0.pdf 
World Bank 2011:
https://pubdocs.worldbank.org/en/615591531555223611/1887-XSREKE012A-Kenya-Project-Document.pdf 
Klagge and Nweke-Eze 2020
https://www.tandfonline.com/doi/full/10.1080/04353684.2020.1729662 
</text>
    <extLst>
      <x:ext xmlns:xltc2="http://schemas.microsoft.com/office/spreadsheetml/2020/threadedcomments2" uri="{F7C98A9C-CBB3-438F-8F68-D28B6AF4A901}">
        <xltc2:checksum>3502865170</xltc2:checksum>
        <xltc2:hyperlink startIndex="71" length="175" url="http://www.parliament.go.ke/sites/default/files/2021-02/AG%20-%20Menegai%20Geothermal%20Project%20-%20Geothemal%20Development%20Comapny%20Limited%2030th%20June%2C%202020_0.pdf"/>
        <xltc2:hyperlink startIndex="266" length="94" url="https://pubdocs.worldbank.org/en/615591531555223611/1887-XSREKE012A-Kenya-Project-Document.pdf"/>
        <xltc2:hyperlink startIndex="389" length="66" url="https://www.tandfonline.com/doi/full/10.1080/04353684.2020.1729662"/>
      </x:ext>
    </extLst>
  </threadedComment>
  <threadedComment ref="K147" dT="2023-10-25T09:20:36.66" personId="{2FE83714-CFDC-44C0-AD15-D3DD5B44FB09}" id="{1DFCF40E-463C-4135-BA31-E5301C909887}">
    <text>Klagge, B. and Nweke-Eze, C., 2020. Financing large-scale renewable-energy projects in Kenya: investor types, international connections, and financialization. Geografiska Annaler: Series B, Human Geography, 102(1), pp.61-83.
Microsoft Word - PAR Menengai Geothermal vSREP Final.doc (worldbank.org)
Page 4</text>
    <extLst>
      <x:ext xmlns:xltc2="http://schemas.microsoft.com/office/spreadsheetml/2020/threadedcomments2" uri="{F7C98A9C-CBB3-438F-8F68-D28B6AF4A901}">
        <xltc2:checksum>2881743232</xltc2:checksum>
        <xltc2:hyperlink startIndex="226" length="72" url="https://pubdocs.worldbank.org/en/615591531555223611/1887-XSREKE012A-Kenya-Project-Document.pdf"/>
      </x:ext>
    </extLst>
  </threadedComment>
  <threadedComment ref="P147" dT="2023-11-03T15:34:21.17" personId="{2FE83714-CFDC-44C0-AD15-D3DD5B44FB09}" id="{907B5A34-2C4E-4335-A121-A2A1A19DEB3E}">
    <text>Weighted Average Terms for Foreign Gov. loans based on values from this dataset
Term:        Interest     Term      Grace
Value:        2.41%      23.58       6.54
%Known:  51.96%    66.91%   50.41%</text>
  </threadedComment>
  <threadedComment ref="Q147" dT="2023-11-07T12:12:36.39" personId="{2FE83714-CFDC-44C0-AD15-D3DD5B44FB09}" id="{298BFA10-A5F3-43F2-93C4-3DA232EE962F}">
    <text>Weighted Average Terms for Foreign Gov. loans based on values from this dataset
Term:        Interest     Term      Grace
Value:        2.41%      23.58       6.54
%Known:  51.96%    66.91%   50.41%</text>
  </threadedComment>
  <threadedComment ref="S147" dT="2023-11-07T12:12:52.06" personId="{2FE83714-CFDC-44C0-AD15-D3DD5B44FB09}" id="{83BDF1AA-EAD7-479E-85EB-054F29AC4A3F}">
    <text>Weighted Average Terms for Foreign Gov. loans based on values from this dataset
Term:        Interest     Term      Grace
Value:        2.41%      23.58       6.54
%Known:  51.96%    66.91%   50.41%</text>
  </threadedComment>
  <threadedComment ref="P148" dT="2023-11-03T12:53:38.78" personId="{2FE83714-CFDC-44C0-AD15-D3DD5B44FB09}" id="{6F9AE03C-8B04-47EC-BC45-1103BC87AA99}">
    <text>0.1% interest on SREP loans reported by the World Bank
PDF Page 4.
https://pubdocs.worldbank.org/en/615591531555223611/1887-XSREKE012A-Kenya-Project-Document.pdf</text>
  </threadedComment>
  <threadedComment ref="Q148" dT="2023-10-25T14:54:02.90" personId="{2FE83714-CFDC-44C0-AD15-D3DD5B44FB09}" id="{ADEF8DE6-BEE4-4950-8E3A-178A13FA4B4F}">
    <text>World Bank reports - 40 year Tenor on SREP Loans
Microsoft Word - PAR Menengai Geothermal vSREP Final.doc (worldbank.org)</text>
    <extLst>
      <x:ext xmlns:xltc2="http://schemas.microsoft.com/office/spreadsheetml/2020/threadedcomments2" uri="{F7C98A9C-CBB3-438F-8F68-D28B6AF4A901}">
        <xltc2:checksum>829408388</xltc2:checksum>
        <xltc2:hyperlink startIndex="49" length="72" url="https://pubdocs.worldbank.org/en/615591531555223611/1887-XSREKE012A-Kenya-Project-Document.pdf"/>
      </x:ext>
    </extLst>
  </threadedComment>
  <threadedComment ref="S148" dT="2023-10-25T14:54:38.92" personId="{2FE83714-CFDC-44C0-AD15-D3DD5B44FB09}" id="{9623CD17-00F9-4DA4-860D-342171EE696F}">
    <text>World Bank reports - 10 year Grace Period on SREP Loans
Microsoft Word - PAR Menengai Geothermal vSREP Final.doc (worldbank.org)</text>
    <extLst>
      <x:ext xmlns:xltc2="http://schemas.microsoft.com/office/spreadsheetml/2020/threadedcomments2" uri="{F7C98A9C-CBB3-438F-8F68-D28B6AF4A901}">
        <xltc2:checksum>2503285653</xltc2:checksum>
        <xltc2:hyperlink startIndex="56" length="72" url="https://pubdocs.worldbank.org/en/615591531555223611/1887-XSREKE012A-Kenya-Project-Document.pdf"/>
      </x:ext>
    </extLst>
  </threadedComment>
  <threadedComment ref="P149" dT="2023-11-03T11:04:19.68" personId="{2FE83714-CFDC-44C0-AD15-D3DD5B44FB09}" id="{74AAB74B-7EE0-42AB-A298-060DB313E4A5}">
    <text>0.75% interest rate reported on Page 25 of the GoK external debt registry
https://treasury.go.ke/wp-content/uploads/2021/02/External-Public-Debt-Register-as-at-End-June-2017.pdf</text>
  </threadedComment>
  <threadedComment ref="Q149" dT="2023-10-25T14:54:21.88" personId="{2FE83714-CFDC-44C0-AD15-D3DD5B44FB09}" id="{806DB305-AEE2-4D49-A7AD-42BBC87727F2}">
    <text xml:space="preserve">World Bank reports - 50 year Tenor on ADF Loan
Microsoft Word - PAR Menengai Geothermal vSREP Final.doc (worldbank.org)
</text>
    <extLst>
      <x:ext xmlns:xltc2="http://schemas.microsoft.com/office/spreadsheetml/2020/threadedcomments2" uri="{F7C98A9C-CBB3-438F-8F68-D28B6AF4A901}">
        <xltc2:checksum>895948908</xltc2:checksum>
        <xltc2:hyperlink startIndex="47" length="72" url="https://pubdocs.worldbank.org/en/615591531555223611/1887-XSREKE012A-Kenya-Project-Document.pdf"/>
      </x:ext>
    </extLst>
  </threadedComment>
  <threadedComment ref="S149" dT="2023-10-25T14:54:49.60" personId="{2FE83714-CFDC-44C0-AD15-D3DD5B44FB09}" id="{8F189859-2B3C-44FE-896A-34535AD6C1FE}">
    <text xml:space="preserve">World Bank reports - 10 year Grace Period on ADF Loan
Microsoft Word - PAR Menengai Geothermal vSREP Final.doc (worldbank.org)
</text>
    <extLst>
      <x:ext xmlns:xltc2="http://schemas.microsoft.com/office/spreadsheetml/2020/threadedcomments2" uri="{F7C98A9C-CBB3-438F-8F68-D28B6AF4A901}">
        <xltc2:checksum>1994739812</xltc2:checksum>
        <xltc2:hyperlink startIndex="54" length="72" url="https://pubdocs.worldbank.org/en/615591531555223611/1887-XSREKE012A-Kenya-Project-Document.pdf"/>
      </x:ext>
    </extLst>
  </threadedComment>
  <threadedComment ref="P150" dT="2023-11-03T16:17:30.33" personId="{2FE83714-CFDC-44C0-AD15-D3DD5B44FB09}" id="{E3AC1C50-45F5-46D7-B648-0FEEF1555EEA}">
    <text>Weighted Average Terms for Climate Fund loans based on values from this dataset
Term:        Interest     Term      Grace
Value:        4.96%      14.11       1.00
%Known:   6.19%     29.29%    5.75%</text>
  </threadedComment>
  <threadedComment ref="Q150" dT="2023-11-06T15:44:26.67" personId="{2FE83714-CFDC-44C0-AD15-D3DD5B44FB09}" id="{C20DEC85-BCE5-4648-8D3B-FC1F4364EA11}">
    <text>Weighted Average Terms for Climate Fund loans based on values from this dataset
Term:        Interest     Term      Grace
Value:        4.96%      14.11       1.00
%Known:   6.19%     29.29%    5.75%</text>
  </threadedComment>
  <threadedComment ref="S150" dT="2023-11-06T15:43:15.09" personId="{2FE83714-CFDC-44C0-AD15-D3DD5B44FB09}" id="{A67D19D5-B9F3-4AE9-8910-0F1BC8AD2415}">
    <text>Weighted Average Terms for Climate Fund loans based on values from this dataset
Term:        Interest     Term      Grace
Value:        4.96%      14.11       1.00
%Known:   6.19%     29.29%    5.75%</text>
  </threadedComment>
  <threadedComment ref="P151" dT="2023-11-03T14:41:18.28" personId="{2FE83714-CFDC-44C0-AD15-D3DD5B44FB09}" id="{A8D2B28F-7FAC-4235-8864-416CBC315FAE}">
    <text>Weighted Average Terms for Multilateral Agency loans based on values from this dataset
Term:        Interest     Term      Grace
Value:        2.39%      33.67       6.96
%Known:  46.21%    52.38%   44.87%</text>
  </threadedComment>
  <threadedComment ref="Q151" dT="2023-11-06T15:46:29.89" personId="{2FE83714-CFDC-44C0-AD15-D3DD5B44FB09}" id="{B3D0F32F-A144-431D-9EB1-97FDBF88B8C1}">
    <text>Weighted Average Terms for Multilateral Agency loans based on values from this dataset
Term:        Interest     Term      Grace
Value:        2.39%      33.67       6.96
%Known:  46.21%    52.38%   44.87%</text>
  </threadedComment>
  <threadedComment ref="S151" dT="2023-11-06T15:46:37.46" personId="{2FE83714-CFDC-44C0-AD15-D3DD5B44FB09}" id="{8113EB38-152E-476B-A0FD-0D4C6EEE2B39}">
    <text>Weighted Average Terms for Multilateral Agency loans based on values from this dataset
Term:        Interest     Term      Grace
Value:        2.39%      33.67       6.96
%Known:  46.21%    52.38%   44.87%</text>
  </threadedComment>
  <threadedComment ref="P152" dT="2023-11-03T15:34:21.17" personId="{2FE83714-CFDC-44C0-AD15-D3DD5B44FB09}" id="{E9A3A131-58A1-4195-AF10-962642A306DE}">
    <text>Weighted Average Terms for Foreign Gov. loans based on values from this dataset
Term:        Interest     Term      Grace
Value:        2.41%      23.58       6.54
%Known:  51.96%    66.91%   50.41%</text>
  </threadedComment>
  <threadedComment ref="Q152" dT="2023-11-07T12:12:36.39" personId="{2FE83714-CFDC-44C0-AD15-D3DD5B44FB09}" id="{03B28F2B-D172-45D6-9397-7B158A9E5DA3}">
    <text>Weighted Average Terms for Foreign Gov. loans based on values from this dataset
Term:        Interest     Term      Grace
Value:        2.41%      23.58       6.54
%Known:  51.96%    66.91%   50.41%</text>
  </threadedComment>
  <threadedComment ref="S152" dT="2023-11-07T12:12:52.06" personId="{2FE83714-CFDC-44C0-AD15-D3DD5B44FB09}" id="{D56E0CC9-56B3-4C80-A4B9-C288525E248B}">
    <text>Weighted Average Terms for Foreign Gov. loans based on values from this dataset
Term:        Interest     Term      Grace
Value:        2.41%      23.58       6.54
%Known:  51.96%    66.91%   50.41%</text>
  </threadedComment>
  <threadedComment ref="P153" dT="2023-11-03T15:34:21.17" personId="{2FE83714-CFDC-44C0-AD15-D3DD5B44FB09}" id="{415A89D0-74EB-48EB-BDE2-BC89AC018A14}">
    <text>Weighted Average Terms for Foreign Gov. loans based on values from this dataset
Term:        Interest     Term      Grace
Value:        2.41%      23.58       6.54
%Known:  51.96%    66.91%   50.41%</text>
  </threadedComment>
  <threadedComment ref="Q153" dT="2023-11-07T12:12:36.39" personId="{2FE83714-CFDC-44C0-AD15-D3DD5B44FB09}" id="{40933918-BBB8-4755-BE72-5CD58DE17A9C}">
    <text>Weighted Average Terms for Foreign Gov. loans based on values from this dataset
Term:        Interest     Term      Grace
Value:        2.41%      23.58       6.54
%Known:  51.96%    66.91%   50.41%</text>
  </threadedComment>
  <threadedComment ref="S153" dT="2023-11-07T12:12:52.06" personId="{2FE83714-CFDC-44C0-AD15-D3DD5B44FB09}" id="{1330209D-E160-4FE6-99D6-A16AF62A2355}">
    <text>Weighted Average Terms for Foreign Gov. loans based on values from this dataset
Term:        Interest     Term      Grace
Value:        2.41%      23.58       6.54
%Known:  51.96%    66.91%   50.41%</text>
  </threadedComment>
  <threadedComment ref="K154" dT="2023-10-25T14:27:54.60" personId="{2FE83714-CFDC-44C0-AD15-D3DD5B44FB09}" id="{DDF4EB23-2E02-46DC-97BA-DD158B46C045}">
    <text>Total GDC Equity of $284 Million
$195 million in Domestic Currency
$89 million in USD
Microsoft Word - PAR Menengai Geothermal vSREP Final.doc (worldbank.org)</text>
    <extLst>
      <x:ext xmlns:xltc2="http://schemas.microsoft.com/office/spreadsheetml/2020/threadedcomments2" uri="{F7C98A9C-CBB3-438F-8F68-D28B6AF4A901}">
        <xltc2:checksum>59920552</xltc2:checksum>
        <xltc2:hyperlink startIndex="87" length="72" url="https://pubdocs.worldbank.org/en/615591531555223611/1887-XSREKE012A-Kenya-Project-Document.pdf"/>
      </x:ext>
    </extLst>
  </threadedComment>
  <threadedComment ref="P154" dT="2023-10-25T14:43:34.37" personId="{41181F03-CA57-824B-97F2-03A58DAE2D5E}" id="{4381BC1E-53DE-4275-9E8E-4BC98DAF8DB5}">
    <text>29.7% IRR on Kenya Geothermal KenGen
https://opendocs.ids.ac.uk/opendocs/bitstream/handle/20.500.12413/11297/ER190_CostandReturnsofRenewableEnergyinSubSaharanAfricaAComparisonofKenyaandGhana.pdf?sequence=1</text>
  </threadedComment>
  <threadedComment ref="P154" dT="2023-10-27T09:26:30.08" personId="{2FE83714-CFDC-44C0-AD15-D3DD5B44FB09}" id="{E14C14DE-2C6F-463D-B490-93C3324082A5}" parentId="{4381BC1E-53DE-4275-9E8E-4BC98DAF8DB5}">
    <text xml:space="preserve">close to values reported by the world bank:
Page 112 (PDF Page 112)
https://documents1.worldbank.org/curated/en/549231468041382588/pdf/663630PAD0P1220Official0Use0Only090.pdf </text>
    <extLst>
      <x:ext xmlns:xltc2="http://schemas.microsoft.com/office/spreadsheetml/2020/threadedcomments2" uri="{F7C98A9C-CBB3-438F-8F68-D28B6AF4A901}">
        <xltc2:checksum>2674181971</xltc2:checksum>
        <xltc2:hyperlink startIndex="68" length="106" url="https://documents1.worldbank.org/curated/en/549231468041382588/pdf/663630PAD0P1220Official0Use0Only090.pdf"/>
      </x:ext>
    </extLst>
  </threadedComment>
  <threadedComment ref="Q154" dT="2023-10-25T15:49:51.54" personId="{41181F03-CA57-824B-97F2-03A58DAE2D5E}" id="{B188D497-2174-4EE8-A004-49D8E3564906}">
    <text>Operational life from OSeMOSYS</text>
  </threadedComment>
  <threadedComment ref="K155" dT="2023-10-25T14:27:58.35" personId="{2FE83714-CFDC-44C0-AD15-D3DD5B44FB09}" id="{2525474A-F8B7-49E0-9F24-2913B03DE830}">
    <text>Total GDC Equity of $284 Million
$195 million in Domestic Currency
$89 million in USD
Microsoft Word - PAR Menengai Geothermal vSREP Final.doc (worldbank.org)</text>
    <extLst>
      <x:ext xmlns:xltc2="http://schemas.microsoft.com/office/spreadsheetml/2020/threadedcomments2" uri="{F7C98A9C-CBB3-438F-8F68-D28B6AF4A901}">
        <xltc2:checksum>59920552</xltc2:checksum>
        <xltc2:hyperlink startIndex="87" length="72" url="https://pubdocs.worldbank.org/en/615591531555223611/1887-XSREKE012A-Kenya-Project-Document.pdf"/>
      </x:ext>
    </extLst>
  </threadedComment>
  <threadedComment ref="P155" dT="2023-10-25T14:43:34.37" personId="{41181F03-CA57-824B-97F2-03A58DAE2D5E}" id="{AE1561C3-D65F-42DB-BD61-C5EBDA9951BF}">
    <text>29.7% IRR on Kenya Geothermal KenGen
https://opendocs.ids.ac.uk/opendocs/bitstream/handle/20.500.12413/11297/ER190_CostandReturnsofRenewableEnergyinSubSaharanAfricaAComparisonofKenyaandGhana.pdf?sequence=1</text>
  </threadedComment>
  <threadedComment ref="P155" dT="2023-10-27T09:26:30.08" personId="{2FE83714-CFDC-44C0-AD15-D3DD5B44FB09}" id="{0AC44096-C805-485F-B6E1-48956DB650BB}" parentId="{AE1561C3-D65F-42DB-BD61-C5EBDA9951BF}">
    <text xml:space="preserve">close to values reported by the world bank:
Page 112 (PDF Page 112)
https://documents1.worldbank.org/curated/en/549231468041382588/pdf/663630PAD0P1220Official0Use0Only090.pdf </text>
    <extLst>
      <x:ext xmlns:xltc2="http://schemas.microsoft.com/office/spreadsheetml/2020/threadedcomments2" uri="{F7C98A9C-CBB3-438F-8F68-D28B6AF4A901}">
        <xltc2:checksum>2674181971</xltc2:checksum>
        <xltc2:hyperlink startIndex="68" length="106" url="https://documents1.worldbank.org/curated/en/549231468041382588/pdf/663630PAD0P1220Official0Use0Only090.pdf"/>
      </x:ext>
    </extLst>
  </threadedComment>
  <threadedComment ref="Q155" dT="2023-10-25T15:49:51.54" personId="{41181F03-CA57-824B-97F2-03A58DAE2D5E}" id="{6AB98DFB-3BBF-48E4-8A7C-63321690C42C}">
    <text>Operational life from OSeMOSYS</text>
  </threadedComment>
  <threadedComment ref="P156" dT="2023-11-03T12:53:38.78" personId="{2FE83714-CFDC-44C0-AD15-D3DD5B44FB09}" id="{2172EA52-5113-479D-A0F2-BB104A7F4484}">
    <text>0.1% interest on SREP loans reported by the World Bank
PDF Page 4.
https://pubdocs.worldbank.org/en/615591531555223611/1887-XSREKE012A-Kenya-Project-Document.pdf</text>
  </threadedComment>
  <threadedComment ref="Q156" dT="2023-10-25T14:54:02.90" personId="{2FE83714-CFDC-44C0-AD15-D3DD5B44FB09}" id="{A52BD46C-C2E1-420C-B7E3-39C1AE5E5571}">
    <text>World Bank reports - 40 year Tenor on SREP Loans
Microsoft Word - PAR Menengai Geothermal vSREP Final.doc (worldbank.org)</text>
    <extLst>
      <x:ext xmlns:xltc2="http://schemas.microsoft.com/office/spreadsheetml/2020/threadedcomments2" uri="{F7C98A9C-CBB3-438F-8F68-D28B6AF4A901}">
        <xltc2:checksum>829408388</xltc2:checksum>
        <xltc2:hyperlink startIndex="49" length="72" url="https://pubdocs.worldbank.org/en/615591531555223611/1887-XSREKE012A-Kenya-Project-Document.pdf"/>
      </x:ext>
    </extLst>
  </threadedComment>
  <threadedComment ref="S156" dT="2023-10-25T14:54:38.92" personId="{2FE83714-CFDC-44C0-AD15-D3DD5B44FB09}" id="{1458A1A7-D123-4673-86BA-1AC020910304}">
    <text>World Bank reports - 10 year Grace Period on SREP Loans
Microsoft Word - PAR Menengai Geothermal vSREP Final.doc (worldbank.org)</text>
    <extLst>
      <x:ext xmlns:xltc2="http://schemas.microsoft.com/office/spreadsheetml/2020/threadedcomments2" uri="{F7C98A9C-CBB3-438F-8F68-D28B6AF4A901}">
        <xltc2:checksum>2503285653</xltc2:checksum>
        <xltc2:hyperlink startIndex="56" length="72" url="https://pubdocs.worldbank.org/en/615591531555223611/1887-XSREKE012A-Kenya-Project-Document.pdf"/>
      </x:ext>
    </extLst>
  </threadedComment>
  <threadedComment ref="K157" dT="2023-11-06T11:04:34.32" personId="{2FE83714-CFDC-44C0-AD15-D3DD5B44FB09}" id="{187B645B-F32E-43A6-950D-586BF98901B4}">
    <text>Kaishan Group (100% Chinese State-owned) buys out OrPower 22 owned by Ormat Technologies Inc, Symbion Power LLC and Civicon Ltd for $11.3 Million
https://www.ijglobal.com/articles/174687/symbion-agrees-orpower-22-sale-to-kaishan</text>
  </threadedComment>
  <threadedComment ref="P157" dT="2023-11-06T11:04:45.27" personId="{2FE83714-CFDC-44C0-AD15-D3DD5B44FB09}" id="{659FBFF3-EDDD-4808-B8AA-5D8DDC415C2B}">
    <text>Kaishan Group (100% Chinese State-owned) buys out OrPower 22 owned by Ormat Technologies Inc, Symbion Power LLC and Civicon Ltd for $11.3 Million
https://www.ijglobal.com/articles/174687/symbion-agrees-orpower-22-sale-to-kaishan</text>
  </threadedComment>
  <threadedComment ref="Q157" dT="2023-11-06T11:04:48.62" personId="{2FE83714-CFDC-44C0-AD15-D3DD5B44FB09}" id="{763DF83F-E55C-409F-B8E0-EDD78BE26555}">
    <text>Kaishan Group (100% Chinese State-owned) buys out OrPower 22 owned by Ormat Technologies Inc, Symbion Power LLC and Civicon Ltd for $11.3 Million
https://www.ijglobal.com/articles/174687/symbion-agrees-orpower-22-sale-to-kaishan</text>
  </threadedComment>
  <threadedComment ref="S157" dT="2023-11-06T11:04:51.76" personId="{2FE83714-CFDC-44C0-AD15-D3DD5B44FB09}" id="{BA7736C7-7342-4BC4-9FE6-70684185CA65}">
    <text>Kaishan Group (100% Chinese State-owned) buys out OrPower 22 owned by Ormat Technologies Inc, Symbion Power LLC and Civicon Ltd for $11.3 Million
https://www.ijglobal.com/articles/174687/symbion-agrees-orpower-22-sale-to-kaishan</text>
  </threadedComment>
  <threadedComment ref="K158" dT="2023-11-01T10:21:54.49" personId="{2FE83714-CFDC-44C0-AD15-D3DD5B44FB09}" id="{8FDD3D6E-21FD-4BAC-A681-D151FF61359E}">
    <text>AfDB backed debt up to USD 29.5 Million Senior Debt
https://www.afdb.org/sites/default/files/documents/projects-and-operations/psn_quantum_power_menengai_geothermal_power_project.pdf</text>
  </threadedComment>
  <threadedComment ref="P158" dT="2023-11-03T14:41:18.28" personId="{2FE83714-CFDC-44C0-AD15-D3DD5B44FB09}" id="{2D7EDF04-F6AB-482A-9A1B-20665C189BD9}">
    <text>Weighted Average Terms for AfDB loans based on values from this dataset
Term:        Interest     Term      Grace
Value:        0.82%      38.30       7.92
%Known:  61.98%    77.38%   77.38%</text>
  </threadedComment>
  <threadedComment ref="Q158" dT="2023-11-01T10:20:43.53" personId="{2FE83714-CFDC-44C0-AD15-D3DD5B44FB09}" id="{0B02984C-86CC-4A6F-AACA-A40B13CBD320}">
    <text>Based on 16 year maturity and 2 year Grace reported in:
https://www.afdb.org/sites/default/files/documents/projects-and-operations/psn_quantum_power_menengai_geothermal_power_project.pdf</text>
  </threadedComment>
  <threadedComment ref="S158" dT="2023-11-01T10:20:43.53" personId="{2FE83714-CFDC-44C0-AD15-D3DD5B44FB09}" id="{47E6CF48-A7A8-4E1F-B4FA-82057E5C0A18}">
    <text>Based on 16 year maturity and 2 year Grace reported in:
https://www.afdb.org/sites/default/files/documents/projects-and-operations/psn_quantum_power_menengai_geothermal_power_project.pdf</text>
  </threadedComment>
  <threadedComment ref="K159" dT="2023-11-01T10:59:22.45" personId="{2FE83714-CFDC-44C0-AD15-D3DD5B44FB09}" id="{DAFF17A9-0E67-40F0-9AF4-89A8D245AA51}">
    <text>$20M from CTF 
https://www.afdb.org/sites/default/files/documents/projects-and-operations/psn_quantum_power_menengai_geothermal_power_project.pdf</text>
  </threadedComment>
  <threadedComment ref="P159" dT="2023-11-03T16:17:30.33" personId="{2FE83714-CFDC-44C0-AD15-D3DD5B44FB09}" id="{6081B7D9-B101-4B99-8002-06BF816599EF}">
    <text>Weighted Average Terms for Climate Fund loans based on values from this dataset
Term:        Interest     Term      Grace
Value:        4.96%      14.11       1.00
%Known:   6.19%     29.29%    5.75%</text>
  </threadedComment>
  <threadedComment ref="Q159" dT="2023-11-06T15:44:26.67" personId="{2FE83714-CFDC-44C0-AD15-D3DD5B44FB09}" id="{F66E32C2-F67E-4D19-8F80-41951B8D57A5}">
    <text>Weighted Average Terms for Climate Fund loans based on values from this dataset
Term:        Interest     Term      Grace
Value:        4.96%      14.11       1.00
%Known:   6.19%     29.29%    5.75%</text>
  </threadedComment>
  <threadedComment ref="S159" dT="2023-11-06T15:43:15.09" personId="{2FE83714-CFDC-44C0-AD15-D3DD5B44FB09}" id="{52D21021-22D6-4CF5-90F9-2A724B060A09}">
    <text>Weighted Average Terms for Climate Fund loans based on values from this dataset
Term:        Interest     Term      Grace
Value:        4.96%      14.11       1.00
%Known:   6.19%     29.29%    5.75%</text>
  </threadedComment>
  <threadedComment ref="K160" dT="2023-11-01T10:59:38.08" personId="{2FE83714-CFDC-44C0-AD15-D3DD5B44FB09}" id="{94104B42-CA03-4CFD-9A07-43F69DD95F5F}">
    <text>$5.8M from Finnfund
https://www.afdb.org/sites/default/files/documents/projects-and-operations/psn_quantum_power_menengai_geothermal_power_project.pdf</text>
  </threadedComment>
  <threadedComment ref="P160" dT="2023-11-03T15:34:21.17" personId="{2FE83714-CFDC-44C0-AD15-D3DD5B44FB09}" id="{96A3B419-A881-42A0-A475-D1C9A1F9DCF2}">
    <text>Weighted Average Terms for Foreign Gov. loans based on values from this dataset
Term:        Interest     Term      Grace
Value:        2.41%      23.58       6.54
%Known:  51.96%    66.91%   50.41%</text>
  </threadedComment>
  <threadedComment ref="Q160" dT="2023-11-07T12:12:36.39" personId="{2FE83714-CFDC-44C0-AD15-D3DD5B44FB09}" id="{6BDF8ADA-AA7D-4C7B-B04E-22BABE61B69C}">
    <text>Weighted Average Terms for Foreign Gov. loans based on values from this dataset
Term:        Interest     Term      Grace
Value:        2.41%      23.58       6.54
%Known:  51.96%    66.91%   50.41%</text>
  </threadedComment>
  <threadedComment ref="S160" dT="2023-11-07T12:12:52.06" personId="{2FE83714-CFDC-44C0-AD15-D3DD5B44FB09}" id="{856DACDD-6985-480B-838B-0156F7EFF2ED}">
    <text>Weighted Average Terms for Foreign Gov. loans based on values from this dataset
Term:        Interest     Term      Grace
Value:        2.41%      23.58       6.54
%Known:  51.96%    66.91%   50.41%</text>
  </threadedComment>
  <threadedComment ref="K161" dT="2023-11-01T11:00:02.06" personId="{2FE83714-CFDC-44C0-AD15-D3DD5B44FB09}" id="{B3CDD698-9519-4B41-896D-BDFD43FC2F03}">
    <text>$18M from TBD (Formerly PTA)
https://www.afdb.org/sites/default/files/documents/projects-and-operations/psn_quantum_power_menengai_geothermal_power_project.pdf</text>
  </threadedComment>
  <threadedComment ref="P161" dT="2023-11-03T14:41:18.28" personId="{2FE83714-CFDC-44C0-AD15-D3DD5B44FB09}" id="{4AC7CF3E-7298-40B1-ADAE-F49D5FF44E5D}">
    <text>Weighted Average Terms for Multilateral Agency loans based on values from this dataset
Term:        Interest     Term      Grace
Value:        2.39%      33.67       6.96
%Known:  46.21%    52.38%   44.87%</text>
  </threadedComment>
  <threadedComment ref="Q161" dT="2023-11-06T15:46:29.89" personId="{2FE83714-CFDC-44C0-AD15-D3DD5B44FB09}" id="{C413BD37-A730-4F2D-A867-6B047214B729}">
    <text>Weighted Average Terms for Multilateral Agency loans based on values from this dataset
Term:        Interest     Term      Grace
Value:        2.39%      33.67       6.96
%Known:  46.21%    52.38%   44.87%</text>
  </threadedComment>
  <threadedComment ref="S161" dT="2023-11-06T15:46:37.46" personId="{2FE83714-CFDC-44C0-AD15-D3DD5B44FB09}" id="{6E8B5C9C-7B11-4FA5-849E-4802F70D763D}">
    <text>Weighted Average Terms for Multilateral Agency loans based on values from this dataset
Term:        Interest     Term      Grace
Value:        2.39%      33.67       6.96
%Known:  46.21%    52.38%   44.87%</text>
  </threadedComment>
  <threadedComment ref="K162" dT="2023-11-01T10:25:11.06" personId="{2FE83714-CFDC-44C0-AD15-D3DD5B44FB09}" id="{BCA0EFE7-5105-4492-AF54-CB40FFFFE975}">
    <text xml:space="preserve">Reported 75:25 Debt to Equity Ratio
Quantum Power East Africa Reported as Sole Shareholder through SPV QPEA GT Menengai Ltd.
Debt to Equity Ratio:
https://www.afdb.org/sites/default/files/documents/projects-and-operations/psn_quantum_power_menengai_geothermal_power_project.pdf
Shareholder:
https://www.gdc.co.ke/tenders/Kenya_-_Quantum_Power_-_Menengai_Geothermal_Power_Development-_1x_35mw_Project_in_Nakuru_County_Kenya_-_ESIA_Summary.pdf </text>
    <extLst>
      <x:ext xmlns:xltc2="http://schemas.microsoft.com/office/spreadsheetml/2020/threadedcomments2" uri="{F7C98A9C-CBB3-438F-8F68-D28B6AF4A901}">
        <xltc2:checksum>208099727</xltc2:checksum>
        <xltc2:hyperlink startIndex="149" length="130" url="https://www.afdb.org/sites/default/files/documents/projects-and-operations/psn_quantum_power_menengai_geothermal_power_project.pdf"/>
        <xltc2:hyperlink startIndex="295" length="150" url="https://www.gdc.co.ke/tenders/Kenya_-_Quantum_Power_-_Menengai_Geothermal_Power_Development-_1x_35mw_Project_in_Nakuru_County_Kenya_-_ESIA_Summary.pdf"/>
      </x:ext>
    </extLst>
  </threadedComment>
  <threadedComment ref="K162" dT="2023-11-01T10:50:35.37" personId="{2FE83714-CFDC-44C0-AD15-D3DD5B44FB09}" id="{9C029FF2-561E-40D3-86C7-096A2CF0ED19}" parentId="{BCA0EFE7-5105-4492-AF54-CB40FFFFE975}">
    <text xml:space="preserve">Later bought out by Globeleq (70% BII and 30% Norfund Owned) 
https://www.thinkgeoenergy.com/uk-investment-firm-acquires-controlling-stake-in-one-of-the-menengai-geothermal-ipp-projects/ 
https://www.globeleq.com/blog/globeleq-signs-financing-agreement-on-us108-million-menengai-geothermal-project-in-kenya/ </text>
    <extLst>
      <x:ext xmlns:xltc2="http://schemas.microsoft.com/office/spreadsheetml/2020/threadedcomments2" uri="{F7C98A9C-CBB3-438F-8F68-D28B6AF4A901}">
        <xltc2:checksum>3692949545</xltc2:checksum>
        <xltc2:hyperlink startIndex="63" length="124" url="https://www.thinkgeoenergy.com/uk-investment-firm-acquires-controlling-stake-in-one-of-the-menengai-geothermal-ipp-projects/"/>
        <xltc2:hyperlink startIndex="190" length="119" url="https://www.globeleq.com/blog/globeleq-signs-financing-agreement-on-us108-million-menengai-geothermal-project-in-kenya/"/>
      </x:ext>
    </extLst>
  </threadedComment>
  <threadedComment ref="P162" dT="2023-11-03T09:53:54.23" personId="{2FE83714-CFDC-44C0-AD15-D3DD5B44FB09}" id="{FA47BD2B-EBD2-4ABE-B833-FD279D07E48B}">
    <text xml:space="preserve">16.5% FIRR based on AfDB Risk Assessment Report 
Page 7.
https://www.afdb.org/fileadmin/uploads/afdb/Documents/Project-and-Operations/Kenya__AR-GDC_Menengai_105MW__IPP_Partial_Risk_Guarantee.pdf
could be up to 31% according to 
https://www.researchgate.net/publication/330845831_FINANCIAL_ASSESSMENT_OF_COMMERCIAL_EXTRACTION_OF_SULPHUR_AND_CARBON_DIOXIDE_FROM_GEOTHERMAL_GASES_IN_MENENGAI_KENYA </text>
    <extLst>
      <x:ext xmlns:xltc2="http://schemas.microsoft.com/office/spreadsheetml/2020/threadedcomments2" uri="{F7C98A9C-CBB3-438F-8F68-D28B6AF4A901}">
        <xltc2:checksum>2726653408</xltc2:checksum>
        <xltc2:hyperlink startIndex="58" length="137" url="https://www.afdb.org/fileadmin/uploads/afdb/Documents/Project-and-Operations/Kenya__AR-GDC_Menengai_105MW__IPP_Partial_Risk_Guarantee.pdf"/>
        <xltc2:hyperlink startIndex="231" length="166" url="https://www.researchgate.net/publication/330845831_FINANCIAL_ASSESSMENT_OF_COMMERCIAL_EXTRACTION_OF_SULPHUR_AND_CARBON_DIOXIDE_FROM_GEOTHERMAL_GASES_IN_MENENGAI_KENYA"/>
      </x:ext>
    </extLst>
  </threadedComment>
  <threadedComment ref="Q162" dT="2023-10-30T12:57:31.39" personId="{2FE83714-CFDC-44C0-AD15-D3DD5B44FB09}" id="{574BC055-B16C-4DF3-A231-A1401428D556}">
    <text xml:space="preserve">Based on Life-span of African Geothermal Plants 
25 years according to:
https://www.sciencedirect.com/science/article/pii/S2352340922002323
Lucy Allington, Carla Cannone, Ioannis Pappis, Karla Cervantes Barron, Will Usher, Steve Pye, Edward Brown, Mark Howells, Miriam Zachau Walker, Aniq Ahsan, Flora Charbonnier, Claire Halloran, Stephanie Hirmer, Jennifer Cronin, Constantinos Taliotis, Caroline Sundin, Vignesh Sridharan, Eunice Ramos, Maarten Brinkerink, Paul Deane, Andrii Gritsevskyi, Gustavo Moura, Arnaud Rouget, David Wogan, Edito Barcelona, Taco Niet, Holger Rogner, Franziska Bock, Jairo Quirós-Tortós, Jam Angulo-Paniagua, Satheesh Krishnamurthy, John Harrison, Long Seng To,
Selected ‘Starter kit’ energy system modelling data for selected countries in Africa, East Asia, and South America (#CCG, 2021),
Data in Brief,
Volume 42,
2022,
108021,
ISSN 2352-3409,
https://doi.org/10.1016/j.dib.2022.108021.
</text>
    <extLst>
      <x:ext xmlns:xltc2="http://schemas.microsoft.com/office/spreadsheetml/2020/threadedcomments2" uri="{F7C98A9C-CBB3-438F-8F68-D28B6AF4A901}">
        <xltc2:checksum>853682045</xltc2:checksum>
        <xltc2:hyperlink startIndex="73" length="67" url="https://www.sciencedirect.com/science/article/pii/S2352340922002323"/>
      </x:ext>
    </extLst>
  </threadedComment>
  <threadedComment ref="S162" dT="2023-11-01T11:08:18.62" personId="{2FE83714-CFDC-44C0-AD15-D3DD5B44FB09}" id="{D2E958BF-3450-4D92-AF97-518B227A1C66}">
    <text>Based on average loan terms from values from this dataset</text>
  </threadedComment>
  <threadedComment ref="K163" dT="2023-10-25T09:44:24.00" personId="{2FE83714-CFDC-44C0-AD15-D3DD5B44FB09}" id="{B7970FC6-BA01-44F6-B59A-A9A92E79FED4}">
    <text>Soisan Power has reached fianncial close and operation despite AfDB withdrawing financing
Daniel Arap Moi-linked Sosian Energy starts supplying power to national grid - Business Daily (businessdailyafrica.com)</text>
    <extLst>
      <x:ext xmlns:xltc2="http://schemas.microsoft.com/office/spreadsheetml/2020/threadedcomments2" uri="{F7C98A9C-CBB3-438F-8F68-D28B6AF4A901}">
        <xltc2:checksum>2772137734</xltc2:checksum>
        <xltc2:hyperlink startIndex="91" length="119" url="https://www.businessdailyafrica.com/bd/corporate/companies/daniel-arap-moi-linked-sosian-energy-starts-supplying-power--4271636"/>
      </x:ext>
    </extLst>
  </threadedComment>
  <threadedComment ref="P163" dT="2023-11-03T09:47:36.38" personId="{2FE83714-CFDC-44C0-AD15-D3DD5B44FB09}" id="{FF7125FC-D5F2-4099-8A2F-D36883FEE252}">
    <text>Shareholder Return of 17.1% based on World Bank Report Page 12 (PDF Page 20) 
https://documents1.worldbank.org/curated/zh/945011468273658996/pdf/839230PAD0IDA0010Box382166B00OUO090.pdf</text>
  </threadedComment>
  <threadedComment ref="B164" dT="2023-11-01T14:34:17.67" personId="{41181F03-CA57-824B-97F2-03A58DAE2D5E}" id="{7437AD7A-A013-444F-8D72-E35B2637E16A}">
    <text xml:space="preserve">Hybrid plant, containing solar, wind and battery. 
IRR?
Don’t know debt vs equity ratio. </text>
  </threadedComment>
  <threadedComment ref="C164" dT="2023-11-01T09:58:48.92" personId="{2FE83714-CFDC-44C0-AD15-D3DD5B44FB09}" id="{26273EE4-0BF2-4828-A1A1-469E5EBB6E5F}">
    <text>Solar, Wind and BESS Hybrid Plant</text>
  </threadedComment>
  <threadedComment ref="E164" dT="2023-11-01T10:00:59.52" personId="{2FE83714-CFDC-44C0-AD15-D3DD5B44FB09}" id="{0E1AB6DD-20A3-4777-A823-F7AFFC83B4B1}">
    <text>Agreement Signed 2019
https://www.invest.go.ke/meru-host-africas-first-sh15b-hybrid-power-plant/</text>
  </threadedComment>
  <threadedComment ref="K164" dT="2023-10-25T10:18:36.17" personId="{2FE83714-CFDC-44C0-AD15-D3DD5B44FB09}" id="{BFFAD589-4BFD-4742-B585-59D267346FD5}">
    <text>Equity Divide:
5% Local Council (MCIDC)
23.75% Eurus Energy (25% of 95%)
71.25% WindLabs (75% of 95%)
Page 47 (PDF Page 51)
https://announcements.asx.com.au/asxpdf/20200430/pdf/44hfh3wmcy9tk3.pdf</text>
    <extLst>
      <x:ext xmlns:xltc2="http://schemas.microsoft.com/office/spreadsheetml/2020/threadedcomments2" uri="{F7C98A9C-CBB3-438F-8F68-D28B6AF4A901}">
        <xltc2:checksum>4041127002</xltc2:checksum>
        <xltc2:hyperlink startIndex="125" length="71" url="https://announcements.asx.com.au/asxpdf/20200430/pdf/44hfh3wmcy9tk3.pdf"/>
      </x:ext>
    </extLst>
  </threadedComment>
  <threadedComment ref="P164" dT="2023-11-01T10:08:36.44" personId="{2FE83714-CFDC-44C0-AD15-D3DD5B44FB09}" id="{93C09AA5-8889-409D-AF2B-E47F86775BF1}">
    <text>Based on Government-arranged ROE for Solar based on:
Page 38 (PDF Page 40)
https://core.ac.uk/download/pdf/43542198.pdf</text>
  </threadedComment>
  <threadedComment ref="P164" dT="2023-11-01T10:09:36.41" personId="{2FE83714-CFDC-44C0-AD15-D3DD5B44FB09}" id="{5EB3A4E9-8660-4B02-952F-D99BF56B220C}" parentId="{93C09AA5-8889-409D-AF2B-E47F86775BF1}">
    <text>Not BESS - and also does not account for Wind and Solar Hybrid Mix</text>
  </threadedComment>
  <threadedComment ref="Q164" dT="2023-11-01T10:05:48.24" personId="{2FE83714-CFDC-44C0-AD15-D3DD5B44FB09}" id="{87E8AF4A-8DB0-4D64-8E5A-3448BED2EC3A}">
    <text>Based on Solar with BESS Storage and Distribution from:
https://www.sciencedirect.com/science/article/pii/S2352340922002323</text>
  </threadedComment>
  <threadedComment ref="C165" dT="2023-11-01T09:58:48.92" personId="{2FE83714-CFDC-44C0-AD15-D3DD5B44FB09}" id="{7B0098F4-2335-43C4-AACA-F7A46D22CB62}">
    <text>Solar, Wind and BESS Hybrid Plant</text>
  </threadedComment>
  <threadedComment ref="E165" dT="2023-11-01T10:00:59.52" personId="{2FE83714-CFDC-44C0-AD15-D3DD5B44FB09}" id="{412E18B6-7D78-4A4F-B788-9E9368D5AE67}">
    <text>Agreement Signed 2019
https://www.invest.go.ke/meru-host-africas-first-sh15b-hybrid-power-plant/</text>
  </threadedComment>
  <threadedComment ref="K165" dT="2023-11-01T10:03:51.48" personId="{2FE83714-CFDC-44C0-AD15-D3DD5B44FB09}" id="{8A83706B-F72A-4F0F-BA00-32FA2421F87C}">
    <text>Equity Divide:
5% Local Council (MCIDC)
23.75% Eurus Energy (25% of 95%)
71.25% WindLabs (75% of 95%)
Page 47 (PDF Page 51)
https://announcements.asx.com.au/asxpdf/20200430/pdf/44hfh3wmcy9tk3.pdf</text>
    <extLst>
      <x:ext xmlns:xltc2="http://schemas.microsoft.com/office/spreadsheetml/2020/threadedcomments2" uri="{F7C98A9C-CBB3-438F-8F68-D28B6AF4A901}">
        <xltc2:checksum>4041127002</xltc2:checksum>
        <xltc2:hyperlink startIndex="125" length="71" url="https://announcements.asx.com.au/asxpdf/20200430/pdf/44hfh3wmcy9tk3.pdf"/>
      </x:ext>
    </extLst>
  </threadedComment>
  <threadedComment ref="P165" dT="2023-11-01T10:08:58.49" personId="{2FE83714-CFDC-44C0-AD15-D3DD5B44FB09}" id="{ACED1265-BBAF-4BDF-9DB6-E2A08B34D235}">
    <text>Based on IPP ROE for Solar based on:
Page 38 (PDF Page 40)
https://core.ac.uk/download/pdf/43542198.pdf</text>
  </threadedComment>
  <threadedComment ref="P165" dT="2023-11-01T10:09:46.55" personId="{2FE83714-CFDC-44C0-AD15-D3DD5B44FB09}" id="{1360DAB3-ADD0-4A04-847F-8898E883F265}" parentId="{ACED1265-BBAF-4BDF-9DB6-E2A08B34D235}">
    <text>Not BESS - and also does not account for Wind and Solar Hybrid Mix</text>
  </threadedComment>
  <threadedComment ref="Q165" dT="2023-11-01T10:05:48.24" personId="{2FE83714-CFDC-44C0-AD15-D3DD5B44FB09}" id="{16EA4476-946B-4130-8F10-736E3F781B58}">
    <text>Based on Solar with BESS Storage and Distribution from:
https://www.sciencedirect.com/science/article/pii/S2352340922002323</text>
  </threadedComment>
  <threadedComment ref="C166" dT="2023-11-01T09:58:48.92" personId="{2FE83714-CFDC-44C0-AD15-D3DD5B44FB09}" id="{1DC6883B-4685-4C9B-B911-66CF53477100}">
    <text>Solar, Wind and BESS Hybrid Plant</text>
  </threadedComment>
  <threadedComment ref="E166" dT="2023-11-01T10:00:59.52" personId="{2FE83714-CFDC-44C0-AD15-D3DD5B44FB09}" id="{3F8707DE-0881-4956-A7E0-895366BE36B5}">
    <text>Agreement Signed 2019
https://www.invest.go.ke/meru-host-africas-first-sh15b-hybrid-power-plant/</text>
  </threadedComment>
  <threadedComment ref="K166" dT="2023-11-01T10:03:57.01" personId="{2FE83714-CFDC-44C0-AD15-D3DD5B44FB09}" id="{A92EC60A-05D9-4342-A88C-BE7D837AE11F}">
    <text>Equity Divide:
5% Local Council (MCIDC)
23.75% Eurus Energy (25% of 95%)
71.25% WindLabs (75% of 95%)
Page 47 (PDF Page 51)
https://announcements.asx.com.au/asxpdf/20200430/pdf/44hfh3wmcy9tk3.pdf</text>
    <extLst>
      <x:ext xmlns:xltc2="http://schemas.microsoft.com/office/spreadsheetml/2020/threadedcomments2" uri="{F7C98A9C-CBB3-438F-8F68-D28B6AF4A901}">
        <xltc2:checksum>4041127002</xltc2:checksum>
        <xltc2:hyperlink startIndex="125" length="71" url="https://announcements.asx.com.au/asxpdf/20200430/pdf/44hfh3wmcy9tk3.pdf"/>
      </x:ext>
    </extLst>
  </threadedComment>
  <threadedComment ref="P166" dT="2023-11-01T10:08:58.49" personId="{2FE83714-CFDC-44C0-AD15-D3DD5B44FB09}" id="{83E99D50-3393-4ABD-A039-64FBFE6432DA}">
    <text>Based on IPP ROE for Solar based on:
Page 38 (PDF Page 40)
https://core.ac.uk/download/pdf/43542198.pdf</text>
  </threadedComment>
  <threadedComment ref="P166" dT="2023-11-01T10:09:46.55" personId="{2FE83714-CFDC-44C0-AD15-D3DD5B44FB09}" id="{2E6B79FC-B059-432C-9ECA-F0ECB2A6D7CE}" parentId="{83E99D50-3393-4ABD-A039-64FBFE6432DA}">
    <text>Not BESS - and also does not account for Wind and Solar Hybrid Mix</text>
  </threadedComment>
  <threadedComment ref="Q166" dT="2023-11-01T10:05:48.24" personId="{2FE83714-CFDC-44C0-AD15-D3DD5B44FB09}" id="{1EDE6652-3E84-491E-9420-46AAA141696D}">
    <text>Based on Solar with BESS Storage and Distribution from:
https://www.sciencedirect.com/science/article/pii/S2352340922002323</text>
  </threadedComment>
  <threadedComment ref="C167" dT="2023-10-27T13:51:04.20" personId="{2FE83714-CFDC-44C0-AD15-D3DD5B44FB09}" id="{FE03CF85-6322-47E7-92E2-011D80431457}">
    <text>Distribution and Transmission</text>
  </threadedComment>
  <threadedComment ref="K167" dT="2023-10-25T10:25:10.34" personId="{2FE83714-CFDC-44C0-AD15-D3DD5B44FB09}" id="{AE92EB0A-5583-4A9C-934E-BF652A1E9C5F}">
    <text>EUR 36.44M reported by World Bank / KETRACO
Page 6 (PDF Page 19)
https://documents1.worldbank.org/curated/en/099605001202331933/pdf/P12657908a8a4d0020b9b50813863dbc90a.pdf</text>
  </threadedComment>
  <threadedComment ref="P167" dT="2023-11-02T10:13:56.74" personId="{2FE83714-CFDC-44C0-AD15-D3DD5B44FB09}" id="{1C9D3337-9A6F-4F5C-9E08-D0BB34AD584D}">
    <text>1.6% interest loan to GoK reported in:
https://www.treasury.go.ke/wp-content/uploads/2021/09/External-Public-Debt-Register-as-at-End-June-2019.pdf</text>
  </threadedComment>
  <threadedComment ref="Q167" dT="2023-11-02T10:17:10.57" personId="{2FE83714-CFDC-44C0-AD15-D3DD5B44FB09}" id="{D1D6DF45-3C45-436A-B226-ECF26EB7232A}">
    <text>Part of Ethiopia Energy Highway Project: Repayments start 2021, end 2033
9 year grace
21 year maturity
https://www.treasury.go.ke/wp-content/uploads/2021/09/External-Public-Debt-Register-as-at-End-June-2019.pdf</text>
  </threadedComment>
  <threadedComment ref="S167" dT="2023-11-02T10:17:46.22" personId="{2FE83714-CFDC-44C0-AD15-D3DD5B44FB09}" id="{5BCB804B-783B-4B79-8A8F-0AFE4AB2E1D2}">
    <text>Part of Ethiopia Energy Highway Project: Repayments start 2021, end 2033
9 year grace
21 year maturity
https://www.treasury.go.ke/wp-content/uploads/2021/09/External-Public-Debt-Register-as-at-End-June-2019.pdf</text>
  </threadedComment>
  <threadedComment ref="J168" dT="2023-11-01T15:31:53.04" personId="{2FE83714-CFDC-44C0-AD15-D3DD5B44FB09}" id="{D6360567-530A-4CD5-8914-73DF9D870BC5}">
    <text>CNY 833,000,000 Committed in Nov 2013
Converted to USD based on average exchange rates for Nov 2013
https://www.treasury.go.ke/wp-content/uploads/2023/05/External-Public-Debt-Register-as-at-End-June-2022.pdf</text>
  </threadedComment>
  <threadedComment ref="K168" dT="2023-10-25T10:25:10.34" personId="{2FE83714-CFDC-44C0-AD15-D3DD5B44FB09}" id="{353DF548-7E29-4C5B-B446-67A50677E955}">
    <text>https://china.aiddata.org/projects/36048/</text>
  </threadedComment>
  <threadedComment ref="P168" dT="2023-11-01T15:30:23.51" personId="{2FE83714-CFDC-44C0-AD15-D3DD5B44FB09}" id="{5661C50C-CB00-460E-B8F7-15A9C39AF2BA}">
    <text xml:space="preserve">2% interest rate committed 2013, repayable between 2020 and 2032
2% Interest
7 Year Grace
20 Year Maturity
https://www.treasury.go.ke/wp-content/uploads/2021/09/External-Public-Debt-Register-as-at-End-June-2019.pdf
https://www.treasury.go.ke/wp-content/uploads/2023/05/External-Public-Debt-Register-as-at-End-June-2022.pdf 
</text>
    <extLst>
      <x:ext xmlns:xltc2="http://schemas.microsoft.com/office/spreadsheetml/2020/threadedcomments2" uri="{F7C98A9C-CBB3-438F-8F68-D28B6AF4A901}">
        <xltc2:checksum>831781496</xltc2:checksum>
        <xltc2:hyperlink startIndex="108" length="107" url="https://www.treasury.go.ke/wp-content/uploads/2021/09/External-Public-Debt-Register-as-at-End-June-2019.pdf"/>
        <xltc2:hyperlink startIndex="217" length="107" url="https://www.treasury.go.ke/wp-content/uploads/2023/05/External-Public-Debt-Register-as-at-End-June-2022.pdf"/>
      </x:ext>
    </extLst>
  </threadedComment>
  <threadedComment ref="Q168" dT="2023-11-01T15:30:35.45" personId="{2FE83714-CFDC-44C0-AD15-D3DD5B44FB09}" id="{2A257F62-D41E-417D-8C76-8270451FE136}">
    <text>2% interest rate committed 2013, repayable between 2020 and 2032
2% Interest
7 Year Grace
19 Year Maturity
https://www.treasury.go.ke/wp-content/uploads/2021/09/External-Public-Debt-Register-as-at-End-June-2019.pdf
https://www.treasury.go.ke/wp-content/uploads/2023/05/External-Public-Debt-Register-as-at-End-June-2022.pdf</text>
    <extLst>
      <x:ext xmlns:xltc2="http://schemas.microsoft.com/office/spreadsheetml/2020/threadedcomments2" uri="{F7C98A9C-CBB3-438F-8F68-D28B6AF4A901}">
        <xltc2:checksum>1255131544</xltc2:checksum>
        <xltc2:hyperlink startIndex="108" length="107" url="https://www.treasury.go.ke/wp-content/uploads/2021/09/External-Public-Debt-Register-as-at-End-June-2019.pdf"/>
        <xltc2:hyperlink startIndex="217" length="107" url="https://www.treasury.go.ke/wp-content/uploads/2023/05/External-Public-Debt-Register-as-at-End-June-2022.pdf"/>
      </x:ext>
    </extLst>
  </threadedComment>
  <threadedComment ref="S168" dT="2023-11-01T15:30:40.03" personId="{2FE83714-CFDC-44C0-AD15-D3DD5B44FB09}" id="{869905F5-BE65-4065-99CD-67C63EE27350}">
    <text>2% interest rate committed 2013, repayable between 2020 and 2032
2% Interest
7 Year Grace
19 Year Maturity
https://www.treasury.go.ke/wp-content/uploads/2021/09/External-Public-Debt-Register-as-at-End-June-2019.pdf
https://www.treasury.go.ke/wp-content/uploads/2023/05/External-Public-Debt-Register-as-at-End-June-2022.pdf</text>
    <extLst>
      <x:ext xmlns:xltc2="http://schemas.microsoft.com/office/spreadsheetml/2020/threadedcomments2" uri="{F7C98A9C-CBB3-438F-8F68-D28B6AF4A901}">
        <xltc2:checksum>1255131544</xltc2:checksum>
        <xltc2:hyperlink startIndex="108" length="107" url="https://www.treasury.go.ke/wp-content/uploads/2021/09/External-Public-Debt-Register-as-at-End-June-2019.pdf"/>
        <xltc2:hyperlink startIndex="217" length="107" url="https://www.treasury.go.ke/wp-content/uploads/2023/05/External-Public-Debt-Register-as-at-End-June-2022.pdf"/>
      </x:ext>
    </extLst>
  </threadedComment>
  <threadedComment ref="K169" dT="2023-11-01T15:38:21.03" personId="{2FE83714-CFDC-44C0-AD15-D3DD5B44FB09}" id="{8FB18B8B-58F8-4812-8721-CA0BFA656B92}">
    <text>CNY 660,000,000 Committed in May 2014
Converted to USD based on average exchange rates for May 2014
https://www.treasury.go.ke/wp-content/uploads/2023/05/External-Public-Debt-Register-as-at-End-June-2022.pdf</text>
  </threadedComment>
  <threadedComment ref="P169" dT="2023-11-01T15:30:23.51" personId="{2FE83714-CFDC-44C0-AD15-D3DD5B44FB09}" id="{816D2BBA-4BCB-487F-A21F-0830803A49EC}">
    <text xml:space="preserve">2% interest rate committed 2014, repayable between 2021 and 2034
2% Interest
7 Year Grace
20 Year Maturity
https://www.treasury.go.ke/wp-content/uploads/2021/09/External-Public-Debt-Register-as-at-End-June-2019.pdf
https://www.treasury.go.ke/wp-content/uploads/2023/05/External-Public-Debt-Register-as-at-End-June-2022.pdf 
</text>
    <extLst>
      <x:ext xmlns:xltc2="http://schemas.microsoft.com/office/spreadsheetml/2020/threadedcomments2" uri="{F7C98A9C-CBB3-438F-8F68-D28B6AF4A901}">
        <xltc2:checksum>490040772</xltc2:checksum>
        <xltc2:hyperlink startIndex="108" length="107" url="https://www.treasury.go.ke/wp-content/uploads/2021/09/External-Public-Debt-Register-as-at-End-June-2019.pdf"/>
        <xltc2:hyperlink startIndex="217" length="107" url="https://www.treasury.go.ke/wp-content/uploads/2023/05/External-Public-Debt-Register-as-at-End-June-2022.pdf"/>
      </x:ext>
    </extLst>
  </threadedComment>
  <threadedComment ref="Q169" dT="2023-11-01T15:40:20.47" personId="{2FE83714-CFDC-44C0-AD15-D3DD5B44FB09}" id="{A54DBE84-AB1F-471E-959C-DB6895A8EFA8}">
    <text xml:space="preserve">2% interest rate committed 2014, repayable between 2021 and 2034
2% Interest
7 Year Grace
20 Year Maturity
https://www.treasury.go.ke/wp-content/uploads/2021/09/External-Public-Debt-Register-as-at-End-June-2019.pdf
https://www.treasury.go.ke/wp-content/uploads/2023/05/External-Public-Debt-Register-as-at-End-June-2022.pdf </text>
    <extLst>
      <x:ext xmlns:xltc2="http://schemas.microsoft.com/office/spreadsheetml/2020/threadedcomments2" uri="{F7C98A9C-CBB3-438F-8F68-D28B6AF4A901}">
        <xltc2:checksum>336338233</xltc2:checksum>
        <xltc2:hyperlink startIndex="108" length="107" url="https://www.treasury.go.ke/wp-content/uploads/2021/09/External-Public-Debt-Register-as-at-End-June-2019.pdf"/>
        <xltc2:hyperlink startIndex="217" length="107" url="https://www.treasury.go.ke/wp-content/uploads/2023/05/External-Public-Debt-Register-as-at-End-June-2022.pdf"/>
      </x:ext>
    </extLst>
  </threadedComment>
  <threadedComment ref="S169" dT="2023-11-01T15:40:24.16" personId="{2FE83714-CFDC-44C0-AD15-D3DD5B44FB09}" id="{58230B5C-963E-4E75-81B2-457C3005C562}">
    <text xml:space="preserve">2% interest rate committed 2014, repayable between 2021 and 2034
2% Interest
7 Year Grace
20 Year Maturity
https://www.treasury.go.ke/wp-content/uploads/2021/09/External-Public-Debt-Register-as-at-End-June-2019.pdf
https://www.treasury.go.ke/wp-content/uploads/2023/05/External-Public-Debt-Register-as-at-End-June-2022.pdf </text>
    <extLst>
      <x:ext xmlns:xltc2="http://schemas.microsoft.com/office/spreadsheetml/2020/threadedcomments2" uri="{F7C98A9C-CBB3-438F-8F68-D28B6AF4A901}">
        <xltc2:checksum>336338233</xltc2:checksum>
        <xltc2:hyperlink startIndex="108" length="107" url="https://www.treasury.go.ke/wp-content/uploads/2021/09/External-Public-Debt-Register-as-at-End-June-2019.pdf"/>
        <xltc2:hyperlink startIndex="217" length="107" url="https://www.treasury.go.ke/wp-content/uploads/2023/05/External-Public-Debt-Register-as-at-End-June-2022.pdf"/>
      </x:ext>
    </extLst>
  </threadedComment>
  <threadedComment ref="K170" dT="2023-11-01T15:46:41.61" personId="{2FE83714-CFDC-44C0-AD15-D3DD5B44FB09}" id="{4BE96646-7857-45CF-B37B-C02E003F9246}">
    <text>CNY 660,000,000 Committed in May 2017
Converted to USD based on average exchange rates for May 2017
https://www.treasury.go.ke/wp-content/uploads/2023/05/External-Public-Debt-Register-as-at-End-June-2022.pdf</text>
  </threadedComment>
  <threadedComment ref="P170" dT="2023-11-03T14:56:53.93" personId="{2FE83714-CFDC-44C0-AD15-D3DD5B44FB09}" id="{781424F4-FF70-4ECD-B21F-BB1DA774D689}">
    <text>Weighted Average Terms for Chinese Loans based on values from this dataset
Term:        Interest     Term      Grace
Value:        2.69%      19.16       6.13
%Known:  52.05%    70.17%   55.78%</text>
  </threadedComment>
  <threadedComment ref="Q170" dT="2023-11-01T15:49:34.35" personId="{2FE83714-CFDC-44C0-AD15-D3DD5B44FB09}" id="{54B53DB4-AC2B-4496-A9F3-FE4864CE56EA}">
    <text xml:space="preserve">interest rate committed 2017, repayable between ___ and 2036
_% Interest
__ Year Grace
19 Year Maturity
https://www.treasury.go.ke/wp-content/uploads/2023/05/External-Public-Debt-Register-as-at-End-June-2022.pdf </text>
    <extLst>
      <x:ext xmlns:xltc2="http://schemas.microsoft.com/office/spreadsheetml/2020/threadedcomments2" uri="{F7C98A9C-CBB3-438F-8F68-D28B6AF4A901}">
        <xltc2:checksum>512782050</xltc2:checksum>
        <xltc2:hyperlink startIndex="105" length="107" url="https://www.treasury.go.ke/wp-content/uploads/2023/05/External-Public-Debt-Register-as-at-End-June-2022.pdf"/>
      </x:ext>
    </extLst>
  </threadedComment>
  <threadedComment ref="S170" dT="2023-11-03T14:59:09.25" personId="{2FE83714-CFDC-44C0-AD15-D3DD5B44FB09}" id="{544A0A5C-92C3-4A02-828A-785E554256E2}">
    <text>Weighted Average Terms for Chinese Loans based on values from this dataset
Term:        Interest     Term      Grace
Value:        2.69%      19.16       6.13
%Known:  52.05%    70.17%   55.78%</text>
  </threadedComment>
  <threadedComment ref="K171" dT="2023-11-01T15:46:41.61" personId="{2FE83714-CFDC-44C0-AD15-D3DD5B44FB09}" id="{D67A4C00-3D64-4CF3-BE53-9B44F869ADBB}">
    <text>CNY 660,000,000 Committed in May 2017
Converted to USD based on average exchange rates for May 2017
https://www.treasury.go.ke/wp-content/uploads/2023/05/External-Public-Debt-Register-as-at-End-June-2022.pdf</text>
  </threadedComment>
  <threadedComment ref="P171" dT="2023-11-03T14:56:53.93" personId="{2FE83714-CFDC-44C0-AD15-D3DD5B44FB09}" id="{C0D15767-3ACD-4618-8EA7-CEAE73A6701C}">
    <text>Weighted Average Terms for Chinese Loans based on values from this dataset
Term:        Interest     Term      Grace
Value:        2.69%      19.16       6.13
%Known:  52.05%    70.17%   55.78%</text>
  </threadedComment>
  <threadedComment ref="Q171" dT="2023-11-01T15:49:34.35" personId="{2FE83714-CFDC-44C0-AD15-D3DD5B44FB09}" id="{427D7A49-BF12-46C3-8176-0A86B3E79E72}">
    <text xml:space="preserve">interest rate committed 2017, repayable between ___ and 2036
_% Interest
__ Year Grace
19 Year Maturity
https://www.treasury.go.ke/wp-content/uploads/2023/05/External-Public-Debt-Register-as-at-End-June-2022.pdf </text>
    <extLst>
      <x:ext xmlns:xltc2="http://schemas.microsoft.com/office/spreadsheetml/2020/threadedcomments2" uri="{F7C98A9C-CBB3-438F-8F68-D28B6AF4A901}">
        <xltc2:checksum>512782050</xltc2:checksum>
        <xltc2:hyperlink startIndex="105" length="107" url="https://www.treasury.go.ke/wp-content/uploads/2023/05/External-Public-Debt-Register-as-at-End-June-2022.pdf"/>
      </x:ext>
    </extLst>
  </threadedComment>
  <threadedComment ref="S171" dT="2023-11-03T14:59:09.25" personId="{2FE83714-CFDC-44C0-AD15-D3DD5B44FB09}" id="{ED27D216-6C09-43C4-8D40-C7DE92C5C80C}">
    <text>Weighted Average Terms for Chinese Loans based on values from this dataset
Term:        Interest     Term      Grace
Value:        2.69%      19.16       6.13
%Known:  52.05%    70.17%   55.78%</text>
  </threadedComment>
  <threadedComment ref="K172" dT="2023-11-01T16:28:41.42" personId="{41181F03-CA57-824B-97F2-03A58DAE2D5E}" id="{77F27F4A-1F4B-4629-8214-5075DB0EFF10}">
    <text>Page 26 of 33, Project 2012025
https://www.treasury.go.ke/wp-content/uploads/2021/09/External-Public-Debt-Register-as-at-End-June-2019.pdf</text>
  </threadedComment>
  <threadedComment ref="P172" dT="2023-11-01T12:36:02.24" personId="{2FE83714-CFDC-44C0-AD15-D3DD5B44FB09}" id="{8458E316-A408-4074-92D1-AF5EBD846000}">
    <text xml:space="preserve">Interest Rate and Maturity reported in KenGen annual statement 2014
https://africanfinancials.com/document/ke-kegn-2014-ar-00/ </text>
    <extLst>
      <x:ext xmlns:xltc2="http://schemas.microsoft.com/office/spreadsheetml/2020/threadedcomments2" uri="{F7C98A9C-CBB3-438F-8F68-D28B6AF4A901}">
        <xltc2:checksum>4036767546</xltc2:checksum>
        <xltc2:hyperlink startIndex="69" length="58" url="https://africanfinancials.com/document/ke-kegn-2014-ar-00/"/>
      </x:ext>
    </extLst>
  </threadedComment>
  <threadedComment ref="P172" dT="2023-11-01T13:43:05.29" personId="{2FE83714-CFDC-44C0-AD15-D3DD5B44FB09}" id="{DA8C8330-2309-40DC-B824-7EA5C0F57D3E}" parentId="{8458E316-A408-4074-92D1-AF5EBD846000}">
    <text>initially lent to GoK at 0% interest
Initially leant to the GoK at 1.1% interest rate
https://www.treasury.go.ke/wp-content/uploads/2021/09/External-Public-Debt-Register-as-at-End-June-2019.pdf</text>
  </threadedComment>
  <threadedComment ref="Q172" dT="2023-11-01T12:36:23.02" personId="{2FE83714-CFDC-44C0-AD15-D3DD5B44FB09}" id="{5AF5C56C-AE8B-43DD-8A2B-B115F9AB61FD}">
    <text xml:space="preserve">Interest Rate and Maturity reported in KenGen annual statement 2014
https://africanfinancials.com/document/ke-kegn-2014-ar-00/ </text>
    <extLst>
      <x:ext xmlns:xltc2="http://schemas.microsoft.com/office/spreadsheetml/2020/threadedcomments2" uri="{F7C98A9C-CBB3-438F-8F68-D28B6AF4A901}">
        <xltc2:checksum>4036767546</xltc2:checksum>
        <xltc2:hyperlink startIndex="69" length="58" url="https://africanfinancials.com/document/ke-kegn-2014-ar-00/"/>
      </x:ext>
    </extLst>
  </threadedComment>
  <threadedComment ref="S172" dT="2023-11-01T16:31:34.50" personId="{2FE83714-CFDC-44C0-AD15-D3DD5B44FB09}" id="{B083358C-AF7D-47A7-BF6F-08598F5BE594}">
    <text>Based on 2012 commitment and repayments starting in 2015
https://www.treasury.go.ke/wp-content/uploads/2021/09/External-Public-Debt-Register-as-at-End-June-2019.pdf</text>
  </threadedComment>
  <threadedComment ref="K173" dT="2023-11-01T16:31:20.00" personId="{41181F03-CA57-824B-97F2-03A58DAE2D5E}" id="{9E8E62CA-72AF-437F-90F8-E71FB8DEAC8A}">
    <text>Page 265 of 33, Project 2012013
https://www.treasury.go.ke/wp-content/uploads/2021/09/External-Public-Debt-Register-as-at-End-June-2019.pdf</text>
  </threadedComment>
  <threadedComment ref="P173" dT="2023-11-01T13:12:02.92" personId="{2FE83714-CFDC-44C0-AD15-D3DD5B44FB09}" id="{784DDE9E-FB81-4594-A441-F8ACA7A6049C}">
    <text xml:space="preserve">Interest Rate and Maturity reported in KenGen annual statement 2014
https://africanfinancials.com/document/ke-kegn-2014-ar-00/ </text>
    <extLst>
      <x:ext xmlns:xltc2="http://schemas.microsoft.com/office/spreadsheetml/2020/threadedcomments2" uri="{F7C98A9C-CBB3-438F-8F68-D28B6AF4A901}">
        <xltc2:checksum>4036767546</xltc2:checksum>
        <xltc2:hyperlink startIndex="69" length="58" url="https://africanfinancials.com/document/ke-kegn-2014-ar-00/"/>
      </x:ext>
    </extLst>
  </threadedComment>
  <threadedComment ref="P173" dT="2023-11-01T13:41:44.19" personId="{2FE83714-CFDC-44C0-AD15-D3DD5B44FB09}" id="{FC5FE8DE-EE2B-4A96-B570-D7E6352488AA}" parentId="{784DDE9E-FB81-4594-A441-F8ACA7A6049C}">
    <text>Initially leant to the GoK at 1.1% interest rate
https://www.treasury.go.ke/wp-content/uploads/2021/09/External-Public-Debt-Register-as-at-End-June-2019.pdf</text>
  </threadedComment>
  <threadedComment ref="Q173" dT="2023-11-01T13:11:54.86" personId="{2FE83714-CFDC-44C0-AD15-D3DD5B44FB09}" id="{5FEAD6CF-D074-4E28-A051-E13B4F7853D9}">
    <text xml:space="preserve">Interest Rate and Maturity reported in KenGen annual statement 2014
https://africanfinancials.com/document/ke-kegn-2014-ar-00/ </text>
    <extLst>
      <x:ext xmlns:xltc2="http://schemas.microsoft.com/office/spreadsheetml/2020/threadedcomments2" uri="{F7C98A9C-CBB3-438F-8F68-D28B6AF4A901}">
        <xltc2:checksum>4036767546</xltc2:checksum>
        <xltc2:hyperlink startIndex="69" length="58" url="https://africanfinancials.com/document/ke-kegn-2014-ar-00/"/>
      </x:ext>
    </extLst>
  </threadedComment>
  <threadedComment ref="S173" dT="2023-11-01T16:32:30.88" personId="{2FE83714-CFDC-44C0-AD15-D3DD5B44FB09}" id="{778DD5C3-E160-4AB2-83A0-38946ABC61F5}">
    <text>Based on commitment year of 2012 and repayments starting in 2019
https://www.treasury.go.ke/wp-content/uploads/2021/09/External-Public-Debt-Register-as-at-End-June-2019.pdf</text>
  </threadedComment>
  <threadedComment ref="K176" dT="2023-11-02T14:40:29.22" personId="{2FE83714-CFDC-44C0-AD15-D3DD5B44FB09}" id="{2CE72DBB-75CA-4E07-9E31-BEC4D34D8114}">
    <text>72 Million Euros out of total project cost of 311 Million Euros 
Exchange Rate Average for Jan 2016: 1.0866
https://www.eib.org/en/projects/pipelines/all/20150459</text>
  </threadedComment>
  <threadedComment ref="P176" dT="2023-11-03T10:29:45.67" personId="{2FE83714-CFDC-44C0-AD15-D3DD5B44FB09}" id="{7FDC06F7-8218-41C5-BE98-CFF3ECA5F8F0}">
    <text>KenGen Financial Statements 2022 
Page 190 
EIB loan for Olkaria 1 unit 6 carrying 3.5% interest and maturing in 2042
https://africanfinancials.com/document/ke-kegn-2022-ar-00/</text>
  </threadedComment>
  <threadedComment ref="Q176" dT="2023-11-03T10:30:02.57" personId="{2FE83714-CFDC-44C0-AD15-D3DD5B44FB09}" id="{3ADDFD81-A5D0-47DF-92B3-4E34BD54F0A5}">
    <text>KenGen Financial Statements 2022 
Page 190 
EIB loan for Olkaria 1 unit 6 carrying 3.5% interest and maturing in 2042
https://africanfinancials.com/document/ke-kegn-2022-ar-00/</text>
  </threadedComment>
  <threadedComment ref="S176" dT="2023-11-06T15:46:37.46" personId="{2FE83714-CFDC-44C0-AD15-D3DD5B44FB09}" id="{B1AF06A8-C812-4F26-8069-D85C4FFB0AA4}">
    <text>Weighted Average Terms for Multilateral Agency loans based on values from this dataset
Term:        Interest     Term      Grace
Value:        2.39%      33.67       6.96
%Known:  46.21%    52.38%   44.87%</text>
  </threadedComment>
  <threadedComment ref="K177" dT="2023-11-02T14:40:29.22" personId="{2FE83714-CFDC-44C0-AD15-D3DD5B44FB09}" id="{E16ED042-276C-4A69-B171-8F7178D6044A}">
    <text xml:space="preserve">Claims that EIB and JICA each loaned KSh 9 Billion towards to construction of Olkaria I Unit 6
https://www.ke.emb-japan.go.jp/itpr_en/11_000001_00724.html
Tender:
 https://ted.europa.eu/udl?uri=TED:NOTICE:92678-2016:TEXT:EN:HTML&amp;src=0 </text>
    <extLst>
      <x:ext xmlns:xltc2="http://schemas.microsoft.com/office/spreadsheetml/2020/threadedcomments2" uri="{F7C98A9C-CBB3-438F-8F68-D28B6AF4A901}">
        <xltc2:checksum>2485776759</xltc2:checksum>
        <xltc2:hyperlink startIndex="96" length="59" url="https://www.ke.emb-japan.go.jp/itpr_en/11_000001_00724.html"/>
        <xltc2:hyperlink startIndex="166" length="70" url="https://ted.europa.eu/udl?uri=TED:NOTICE:92678-2016:TEXT:EN:HTML&amp;src=0"/>
      </x:ext>
    </extLst>
  </threadedComment>
  <threadedComment ref="P177" dT="2023-11-03T15:16:45.48" personId="{2FE83714-CFDC-44C0-AD15-D3DD5B44FB09}" id="{579B4C63-1CD1-4EAD-B143-BB27DA6BF5E2}">
    <text>Weighted Average Terms for JICA Loans based on values from this dataset
Term:        Interest     Term      Grace
Value:        0.28%      32.54      10.00
%Known:  65.23%    93.44%   65.23%</text>
  </threadedComment>
  <threadedComment ref="Q177" dT="2023-11-03T18:12:09.05" personId="{2FE83714-CFDC-44C0-AD15-D3DD5B44FB09}" id="{784B4A4A-A288-4AFA-A677-EA67480EF1F5}">
    <text>Weighted Average Terms for JICA Loans based on values from this dataset
Term:        Interest     Term      Grace
Value:        0.28%      32.54      10.00
%Known:  65.23%    93.44%   65.23%</text>
  </threadedComment>
  <threadedComment ref="S177" dT="2023-11-03T18:12:16.30" personId="{2FE83714-CFDC-44C0-AD15-D3DD5B44FB09}" id="{7FBACF4D-914D-4BBD-95D3-A53BB89756CE}">
    <text>Weighted Average Terms for JICA Loans based on values from this dataset
Term:        Interest     Term      Grace
Value:        0.28%      32.54      10.00
%Known:  65.23%    93.44%   65.23%</text>
  </threadedComment>
  <threadedComment ref="K178" dT="2023-10-26T15:09:03.45" personId="{2FE83714-CFDC-44C0-AD15-D3DD5B44FB09}" id="{1030D4EC-31D5-4823-867E-8E18FCF19119}">
    <text xml:space="preserve">DFC Tranche 1 - $85M at 6.34% interest reaching maturity in 2030
Used to prepay DEG Loan
Page 95 (PDF Page 103)
https://s1.q4cdn.com/231465352/files/doc_financials/2022/ar/ORA004_Ormat_2022-Annual-Report_Web.pdf </text>
    <extLst>
      <x:ext xmlns:xltc2="http://schemas.microsoft.com/office/spreadsheetml/2020/threadedcomments2" uri="{F7C98A9C-CBB3-438F-8F68-D28B6AF4A901}">
        <xltc2:checksum>2938732870</xltc2:checksum>
        <xltc2:hyperlink startIndex="113" length="99" url="https://s1.q4cdn.com/231465352/files/doc_financials/2022/ar/ORA004_Ormat_2022-Annual-Report_Web.pdf"/>
      </x:ext>
    </extLst>
  </threadedComment>
  <threadedComment ref="P178" dT="2023-10-30T13:02:09.31" personId="{2FE83714-CFDC-44C0-AD15-D3DD5B44FB09}" id="{76A9D50F-3114-45B4-B38E-EEC080ABCB89}">
    <text>Interest Rate reported in Tranche 1
6.34%
Page 96 (PDF Page 103)
https://s1.q4cdn.com/231465352/files/doc_financials/2022/ar/ORA004_Ormat_2022-Annual-Report_Web.pdf</text>
  </threadedComment>
  <threadedComment ref="Q178" dT="2023-10-26T15:15:09.30" personId="{2FE83714-CFDC-44C0-AD15-D3DD5B44FB09}" id="{4141D774-4A68-419E-A6E5-0FBF61A74A76}">
    <text xml:space="preserve">19 Year Term on all 3 tranches as reported by the UN:
Page 2.
https://www.un.org/esa/ffd/ffdforum/wp-content/uploads/sites/3/2018/04/Background-Paper_Ormat-Olkaria-III-Geothermal-Power-Plant.pdf </text>
    <extLst>
      <x:ext xmlns:xltc2="http://schemas.microsoft.com/office/spreadsheetml/2020/threadedcomments2" uri="{F7C98A9C-CBB3-438F-8F68-D28B6AF4A901}">
        <xltc2:checksum>2626469503</xltc2:checksum>
        <xltc2:hyperlink startIndex="63" length="132" url="https://www.un.org/esa/ffd/ffdforum/wp-content/uploads/sites/3/2018/04/Background-Paper_Ormat-Olkaria-III-Geothermal-Power-Plant.pdf"/>
      </x:ext>
    </extLst>
  </threadedComment>
  <threadedComment ref="S178" dT="2023-10-26T15:22:35.80" personId="{2FE83714-CFDC-44C0-AD15-D3DD5B44FB09}" id="{B2F9DB8D-532D-4568-9C11-85110B8504B4}">
    <text>Payments start immediately from Tranche Disbursement:
Page 121 (PDF Page 125)
"Interest, whether floating or fixed, will be payable quarterly in arrears on each March 15, June 15, September 15 and December 15, commencing with the first such date following the respective disbursement of a Tranche." 
https://s1.q4cdn.com/231465352/files/doc_financials/2012/ar/2012-Annual.pdf</text>
  </threadedComment>
  <threadedComment ref="P179" dT="2023-11-02T15:16:06.65" personId="{2FE83714-CFDC-44C0-AD15-D3DD5B44FB09}" id="{0F6C3E80-52B1-4668-AA93-CD6297A06C52}">
    <text xml:space="preserve">DEG 3 Loan
Loan terms according to Ormat 2022 Report:
agreement 2019
Interest Rate 6.04%
First Repayment 2019 (0 years Grace)
Maturity 2028
https://s1.q4cdn.com/231465352/files/doc_financials/2022/ar/ORA004_Ormat_2022-Annual-Report_Web.pdf
</text>
  </threadedComment>
  <threadedComment ref="Q179" dT="2023-11-02T15:16:16.64" personId="{2FE83714-CFDC-44C0-AD15-D3DD5B44FB09}" id="{E50D0630-3EF7-4831-9DFA-346313B14376}">
    <text xml:space="preserve">DEG 3 Loan
Loan terms according to Ormat 2022 Report:
agreement 2019
Interest Rate 6.04%
First Repayment 2019 (0 years Grace)
Maturity 2028
https://s1.q4cdn.com/231465352/files/doc_financials/2022/ar/ORA004_Ormat_2022-Annual-Report_Web.pdf
</text>
  </threadedComment>
  <threadedComment ref="S179" dT="2023-11-02T15:16:21.34" personId="{2FE83714-CFDC-44C0-AD15-D3DD5B44FB09}" id="{959A361F-7618-4BAD-A489-F88F4CEC5B91}">
    <text xml:space="preserve">DEG 3 Loan
Loan terms according to Ormat 2022 Report:
agreement 2019
Interest Rate 6.04%
First Repayment 2019 (0 years Grace)
Maturity 2028
https://s1.q4cdn.com/231465352/files/doc_financials/2022/ar/ORA004_Ormat_2022-Annual-Report_Web.pdf
</text>
  </threadedComment>
  <threadedComment ref="K180" dT="2023-10-26T15:08:12.48" personId="{2FE83714-CFDC-44C0-AD15-D3DD5B44FB09}" id="{7D132B8C-ADAB-40D6-AC5D-2A53C662DCCA}">
    <text xml:space="preserve">DFC Tranche 2 - $180M at 6.29% interest reaching maturity in 2030
Used to fund Olkaria III unit 2
Page 95 (PDF Page 103)
https://s1.q4cdn.com/231465352/files/doc_financials/2022/ar/ORA004_Ormat_2022-Annual-Report_Web.pdf </text>
    <extLst>
      <x:ext xmlns:xltc2="http://schemas.microsoft.com/office/spreadsheetml/2020/threadedcomments2" uri="{F7C98A9C-CBB3-438F-8F68-D28B6AF4A901}">
        <xltc2:checksum>1430183350</xltc2:checksum>
        <xltc2:hyperlink startIndex="122" length="99" url="https://s1.q4cdn.com/231465352/files/doc_financials/2022/ar/ORA004_Ormat_2022-Annual-Report_Web.pdf"/>
      </x:ext>
    </extLst>
  </threadedComment>
  <threadedComment ref="P180" dT="2023-10-30T13:01:40.51" personId="{2FE83714-CFDC-44C0-AD15-D3DD5B44FB09}" id="{0AC13D72-8A21-42C6-9E4B-11A2F63AF6A5}">
    <text>Interest Rate reported in Tranche 2
6.29%
Page 96 (PDF Page 103)
https://s1.q4cdn.com/231465352/files/doc_financials/2022/ar/ORA004_Ormat_2022-Annual-Report_Web.pdf</text>
  </threadedComment>
  <threadedComment ref="Q180" dT="2023-10-26T15:14:39.58" personId="{2FE83714-CFDC-44C0-AD15-D3DD5B44FB09}" id="{790DBA61-7EDE-43D2-898F-03DE2ACFD84C}">
    <text xml:space="preserve">19 Year Term on all 3 tranches as reported by the UN:
Page 2.
https://www.un.org/esa/ffd/ffdforum/wp-content/uploads/sites/3/2018/04/Background-Paper_Ormat-Olkaria-III-Geothermal-Power-Plant.pdf </text>
    <extLst>
      <x:ext xmlns:xltc2="http://schemas.microsoft.com/office/spreadsheetml/2020/threadedcomments2" uri="{F7C98A9C-CBB3-438F-8F68-D28B6AF4A901}">
        <xltc2:checksum>2626469503</xltc2:checksum>
        <xltc2:hyperlink startIndex="63" length="132" url="https://www.un.org/esa/ffd/ffdforum/wp-content/uploads/sites/3/2018/04/Background-Paper_Ormat-Olkaria-III-Geothermal-Power-Plant.pdf"/>
      </x:ext>
    </extLst>
  </threadedComment>
  <threadedComment ref="S180" dT="2023-10-26T15:22:19.30" personId="{2FE83714-CFDC-44C0-AD15-D3DD5B44FB09}" id="{45EB4CD6-9EFD-4390-86FB-33345E9859ED}">
    <text>Payments start immediately from Tranche Disbursement:
Page 121 (PDF Page 125)
"Interest, whether floating or fixed, will be payable quarterly in arrears on each March 15, June 15, September 15 and December 15, commencing with the first such date following the respective disbursement of a Tranche." 
https://s1.q4cdn.com/231465352/files/doc_financials/2012/ar/2012-Annual.pdf</text>
  </threadedComment>
  <threadedComment ref="K181" dT="2023-10-26T15:10:17.90" personId="{2FE83714-CFDC-44C0-AD15-D3DD5B44FB09}" id="{40A3F980-9B3A-4632-A955-B70218380AC4}">
    <text xml:space="preserve">DFC Tranche 3 - $45M at 6.12% interest reaching maturity in 2030
Construction of Olkaria III Plant 3
Page 95 (PDF Page 103)
https://s1.q4cdn.com/231465352/files/doc_financials/2022/ar/ORA004_Ormat_2022-Annual-Report_Web.pdf </text>
    <extLst>
      <x:ext xmlns:xltc2="http://schemas.microsoft.com/office/spreadsheetml/2020/threadedcomments2" uri="{F7C98A9C-CBB3-438F-8F68-D28B6AF4A901}">
        <xltc2:checksum>3473551366</xltc2:checksum>
        <xltc2:hyperlink startIndex="125" length="99" url="https://s1.q4cdn.com/231465352/files/doc_financials/2022/ar/ORA004_Ormat_2022-Annual-Report_Web.pdf"/>
      </x:ext>
    </extLst>
  </threadedComment>
  <threadedComment ref="P181" dT="2023-10-30T13:02:34.13" personId="{2FE83714-CFDC-44C0-AD15-D3DD5B44FB09}" id="{80AC54D8-34A4-4BB7-BC14-FED80F84696F}">
    <text>Interest Rate reported in Tranche 3
6.12%
Page 96 (PDF Page 103)
https://s1.q4cdn.com/231465352/files/doc_financials/2022/ar/ORA004_Ormat_2022-Annual-Report_Web.pdf</text>
  </threadedComment>
  <threadedComment ref="Q181" dT="2023-10-26T15:15:14.13" personId="{2FE83714-CFDC-44C0-AD15-D3DD5B44FB09}" id="{3224B7C9-E62B-438C-BCB5-2579B82ADEB0}">
    <text xml:space="preserve">19 Year Term on all 3 tranches as reported by the UN:
Page 2.
https://www.un.org/esa/ffd/ffdforum/wp-content/uploads/sites/3/2018/04/Background-Paper_Ormat-Olkaria-III-Geothermal-Power-Plant.pdf </text>
    <extLst>
      <x:ext xmlns:xltc2="http://schemas.microsoft.com/office/spreadsheetml/2020/threadedcomments2" uri="{F7C98A9C-CBB3-438F-8F68-D28B6AF4A901}">
        <xltc2:checksum>2626469503</xltc2:checksum>
        <xltc2:hyperlink startIndex="63" length="132" url="https://www.un.org/esa/ffd/ffdforum/wp-content/uploads/sites/3/2018/04/Background-Paper_Ormat-Olkaria-III-Geothermal-Power-Plant.pdf"/>
      </x:ext>
    </extLst>
  </threadedComment>
  <threadedComment ref="S181" dT="2023-10-26T15:22:39.32" personId="{2FE83714-CFDC-44C0-AD15-D3DD5B44FB09}" id="{29A0185E-884C-4F3C-845A-6B07F5D2A77C}">
    <text>Payments start immediately from Tranche Disbursement:
Page 121 (PDF Page 125)
"Interest, whether floating or fixed, will be payable quarterly in arrears on each March 15, June 15, September 15 and December 15, commencing with the first such date following the respective disbursement of a Tranche." 
https://s1.q4cdn.com/231465352/files/doc_financials/2012/ar/2012-Annual.pdf</text>
  </threadedComment>
  <threadedComment ref="K182" dT="2023-11-02T15:44:39.43" personId="{41181F03-CA57-824B-97F2-03A58DAE2D5E}" id="{AA187DFF-6928-4BEF-BAAD-A453F6146CD8}">
    <text xml:space="preserve">https://documents1.worldbank.org/curated/zh/945011468273658996/pdf/839230PAD0IDA0010Box382166B00OUO090.pdf
</text>
  </threadedComment>
  <threadedComment ref="K182" dT="2023-11-03T12:28:42.08" personId="{2FE83714-CFDC-44C0-AD15-D3DD5B44FB09}" id="{16F9A711-6CAF-4B61-914B-96D4002C1762}" parentId="{AA187DFF-6928-4BEF-BAAD-A453F6146CD8}">
    <text>Plant 3 - Tranche 3 of Ormat with OPIC from Page 111 (PDF Page 119)
https://s1.q4cdn.com/231465352/files/doc_financials/2014/ar/2014-Annual.pdf</text>
  </threadedComment>
  <threadedComment ref="P182" dT="2023-11-02T15:44:49.65" personId="{2FE83714-CFDC-44C0-AD15-D3DD5B44FB09}" id="{30AB6341-47CC-4FDE-BAD6-49AED7B2260C}">
    <text xml:space="preserve">Based on project Equity IRR based on World Bank Document Page 12 (PDF Page 20)
https://documents1.worldbank.org/curated/zh/945011468273658996/pdf/839230PAD0IDA0010Box382166B00OUO090.pdf </text>
  </threadedComment>
  <threadedComment ref="Q182" dT="2023-10-30T12:57:31.39" personId="{2FE83714-CFDC-44C0-AD15-D3DD5B44FB09}" id="{39BECA2F-9BBD-4B81-8DDB-7297F392DBEE}">
    <text xml:space="preserve">Based on Life-span of African Geothermal Plants 
25 years according to:
https://www.sciencedirect.com/science/article/pii/S2352340922002323
Lucy Allington, Carla Cannone, Ioannis Pappis, Karla Cervantes Barron, Will Usher, Steve Pye, Edward Brown, Mark Howells, Miriam Zachau Walker, Aniq Ahsan, Flora Charbonnier, Claire Halloran, Stephanie Hirmer, Jennifer Cronin, Constantinos Taliotis, Caroline Sundin, Vignesh Sridharan, Eunice Ramos, Maarten Brinkerink, Paul Deane, Andrii Gritsevskyi, Gustavo Moura, Arnaud Rouget, David Wogan, Edito Barcelona, Taco Niet, Holger Rogner, Franziska Bock, Jairo Quirós-Tortós, Jam Angulo-Paniagua, Satheesh Krishnamurthy, John Harrison, Long Seng To,
Selected ‘Starter kit’ energy system modelling data for selected countries in Africa, East Asia, and South America (#CCG, 2021),
Data in Brief,
Volume 42,
2022,
108021,
ISSN 2352-3409,
https://doi.org/10.1016/j.dib.2022.108021.
</text>
    <extLst>
      <x:ext xmlns:xltc2="http://schemas.microsoft.com/office/spreadsheetml/2020/threadedcomments2" uri="{F7C98A9C-CBB3-438F-8F68-D28B6AF4A901}">
        <xltc2:checksum>853682045</xltc2:checksum>
        <xltc2:hyperlink startIndex="73" length="67" url="https://www.sciencedirect.com/science/article/pii/S2352340922002323"/>
      </x:ext>
    </extLst>
  </threadedComment>
  <threadedComment ref="P183" dT="2023-11-02T15:17:59.39" personId="{2FE83714-CFDC-44C0-AD15-D3DD5B44FB09}" id="{78AE3B9B-B502-4B66-B840-52C287C184C8}">
    <text>DEG 2 Loan for $50 Million
Entered 2016
Interest Rate of 6.28%
Repayments start 2018 - 2 years Grace
Final Repayment 2028 - 12 years Maturity
Page 147 (PFD Page 155)
https://s1.q4cdn.com/231465352/files/doc_financials/2022/ar/ORA004_Ormat_2022-Annual-Report_Web.pdf</text>
  </threadedComment>
  <threadedComment ref="Q183" dT="2023-11-02T15:18:42.69" personId="{2FE83714-CFDC-44C0-AD15-D3DD5B44FB09}" id="{95CB986E-CE3D-43FD-BFFB-CCE6D7AF4475}">
    <text>DEG 2 Loan for $50 Million
Entered 2016
Interest Rate of 6.28%
Repayments start 2018 - 2 years Grace
Final Repayment 2028 - 12 years Maturity
Page 147 (PFD Page 155)
https://s1.q4cdn.com/231465352/files/doc_financials/2022/ar/ORA004_Ormat_2022-Annual-Report_Web.pdf</text>
  </threadedComment>
  <threadedComment ref="S183" dT="2023-11-02T15:18:45.47" personId="{2FE83714-CFDC-44C0-AD15-D3DD5B44FB09}" id="{BC12D923-6456-43F5-9EBC-F4C15A125932}">
    <text>DEG 2 Loan for $50 Million
Entered 2016
Interest Rate of 6.28%
Repayments start 2018 - 2 years Grace
Final Repayment 2028 - 12 years Maturity
Page 147 (PFD Page 155)
https://s1.q4cdn.com/231465352/files/doc_financials/2022/ar/ORA004_Ormat_2022-Annual-Report_Web.pdf</text>
  </threadedComment>
  <threadedComment ref="K184" dT="2023-10-27T08:55:09.22" personId="{2FE83714-CFDC-44C0-AD15-D3DD5B44FB09}" id="{4BAAE1CC-4E14-4114-998A-50DA8CAA5FF3}">
    <text xml:space="preserve">Based on the Phase 2 and 3 Equity financing from Ormat based on CPI report:
Page 9 (PDF Page 18)
 http://climatepolicyinitiative.org/wp-content/uploads/2015/06/150601_Final_Olkaria_ForWeb.pdf </text>
    <extLst>
      <x:ext xmlns:xltc2="http://schemas.microsoft.com/office/spreadsheetml/2020/threadedcomments2" uri="{F7C98A9C-CBB3-438F-8F68-D28B6AF4A901}">
        <xltc2:checksum>567758357</xltc2:checksum>
        <xltc2:hyperlink startIndex="99" length="93" url="http://climatepolicyinitiative.org/wp-content/uploads/2015/06/150601_Final_Olkaria_ForWeb.pdf"/>
      </x:ext>
    </extLst>
  </threadedComment>
  <threadedComment ref="P184" dT="2023-10-26T15:59:23.20" personId="{2FE83714-CFDC-44C0-AD15-D3DD5B44FB09}" id="{D56607A1-8674-472B-99EF-85C4BFF0558F}">
    <text xml:space="preserve">Based on Equity rate of Return predicted by CPI
Page 5 
Lessons for Policymakers: Section 1
Micale, V., Trabacchi, C. and Boni, L., 2015. Using Public Finance to Attract Private Investment in Geothermal: Olkaria III Case Study, Kenya. Climate Policy Initiative, Venice, Italy. Available at:  http://climatepolicyinitiative.org/wp-content/uploads/2015/06/150601_Final_Olkaria_ForWeb.pdf </text>
    <extLst>
      <x:ext xmlns:xltc2="http://schemas.microsoft.com/office/spreadsheetml/2020/threadedcomments2" uri="{F7C98A9C-CBB3-438F-8F68-D28B6AF4A901}">
        <xltc2:checksum>2070984600</xltc2:checksum>
        <xltc2:hyperlink startIndex="294" length="93" url="http://climatepolicyinitiative.org/wp-content/uploads/2015/06/150601_Final_Olkaria_ForWeb.pdf"/>
      </x:ext>
    </extLst>
  </threadedComment>
  <threadedComment ref="Q184" dT="2023-10-30T12:57:31.39" personId="{2FE83714-CFDC-44C0-AD15-D3DD5B44FB09}" id="{F72CBD89-EAA4-4DC5-9C51-34FF8D8BEB5D}">
    <text xml:space="preserve">Based on Life-span of African Geothermal Plants 
25 years according to:
https://www.sciencedirect.com/science/article/pii/S2352340922002323
Lucy Allington, Carla Cannone, Ioannis Pappis, Karla Cervantes Barron, Will Usher, Steve Pye, Edward Brown, Mark Howells, Miriam Zachau Walker, Aniq Ahsan, Flora Charbonnier, Claire Halloran, Stephanie Hirmer, Jennifer Cronin, Constantinos Taliotis, Caroline Sundin, Vignesh Sridharan, Eunice Ramos, Maarten Brinkerink, Paul Deane, Andrii Gritsevskyi, Gustavo Moura, Arnaud Rouget, David Wogan, Edito Barcelona, Taco Niet, Holger Rogner, Franziska Bock, Jairo Quirós-Tortós, Jam Angulo-Paniagua, Satheesh Krishnamurthy, John Harrison, Long Seng To,
Selected ‘Starter kit’ energy system modelling data for selected countries in Africa, East Asia, and South America (#CCG, 2021),
Data in Brief,
Volume 42,
2022,
108021,
ISSN 2352-3409,
https://doi.org/10.1016/j.dib.2022.108021.
</text>
    <extLst>
      <x:ext xmlns:xltc2="http://schemas.microsoft.com/office/spreadsheetml/2020/threadedcomments2" uri="{F7C98A9C-CBB3-438F-8F68-D28B6AF4A901}">
        <xltc2:checksum>853682045</xltc2:checksum>
        <xltc2:hyperlink startIndex="73" length="67" url="https://www.sciencedirect.com/science/article/pii/S2352340922002323"/>
      </x:ext>
    </extLst>
  </threadedComment>
  <threadedComment ref="K185" dT="2023-10-27T08:55:09.22" personId="{2FE83714-CFDC-44C0-AD15-D3DD5B44FB09}" id="{EF637D40-E05B-437B-BD04-4469B0F0B09B}">
    <text xml:space="preserve">Based on the Phase 2 and 3 Equity financing from Ormat based on CPI report:
Page 9 (PDF Page 18)
 http://climatepolicyinitiative.org/wp-content/uploads/2015/06/150601_Final_Olkaria_ForWeb.pdf </text>
    <extLst>
      <x:ext xmlns:xltc2="http://schemas.microsoft.com/office/spreadsheetml/2020/threadedcomments2" uri="{F7C98A9C-CBB3-438F-8F68-D28B6AF4A901}">
        <xltc2:checksum>567758357</xltc2:checksum>
        <xltc2:hyperlink startIndex="99" length="93" url="http://climatepolicyinitiative.org/wp-content/uploads/2015/06/150601_Final_Olkaria_ForWeb.pdf"/>
      </x:ext>
    </extLst>
  </threadedComment>
  <threadedComment ref="P185" dT="2023-10-26T15:59:23.20" personId="{2FE83714-CFDC-44C0-AD15-D3DD5B44FB09}" id="{C65B5313-B2A8-48EA-8103-BB148BBED35F}">
    <text xml:space="preserve">Based on Equity rate of Return predicted by CPI
Page 5 
Lessons for Policymakers: Section 1
Micale, V., Trabacchi, C. and Boni, L., 2015. Using Public Finance to Attract Private Investment in Geothermal: Olkaria III Case Study, Kenya. Climate Policy Initiative, Venice, Italy. Available at:  http://climatepolicyinitiative.org/wp-content/uploads/2015/06/150601_Final_Olkaria_ForWeb.pdf </text>
    <extLst>
      <x:ext xmlns:xltc2="http://schemas.microsoft.com/office/spreadsheetml/2020/threadedcomments2" uri="{F7C98A9C-CBB3-438F-8F68-D28B6AF4A901}">
        <xltc2:checksum>2070984600</xltc2:checksum>
        <xltc2:hyperlink startIndex="294" length="93" url="http://climatepolicyinitiative.org/wp-content/uploads/2015/06/150601_Final_Olkaria_ForWeb.pdf"/>
      </x:ext>
    </extLst>
  </threadedComment>
  <threadedComment ref="Q185" dT="2023-10-30T12:57:31.39" personId="{2FE83714-CFDC-44C0-AD15-D3DD5B44FB09}" id="{CE4584AE-4246-47F0-881D-B997BE358171}">
    <text xml:space="preserve">Based on Life-span of African Geothermal Plants 
25 years according to:
https://www.sciencedirect.com/science/article/pii/S2352340922002323
Lucy Allington, Carla Cannone, Ioannis Pappis, Karla Cervantes Barron, Will Usher, Steve Pye, Edward Brown, Mark Howells, Miriam Zachau Walker, Aniq Ahsan, Flora Charbonnier, Claire Halloran, Stephanie Hirmer, Jennifer Cronin, Constantinos Taliotis, Caroline Sundin, Vignesh Sridharan, Eunice Ramos, Maarten Brinkerink, Paul Deane, Andrii Gritsevskyi, Gustavo Moura, Arnaud Rouget, David Wogan, Edito Barcelona, Taco Niet, Holger Rogner, Franziska Bock, Jairo Quirós-Tortós, Jam Angulo-Paniagua, Satheesh Krishnamurthy, John Harrison, Long Seng To,
Selected ‘Starter kit’ energy system modelling data for selected countries in Africa, East Asia, and South America (#CCG, 2021),
Data in Brief,
Volume 42,
2022,
108021,
ISSN 2352-3409,
https://doi.org/10.1016/j.dib.2022.108021.
</text>
    <extLst>
      <x:ext xmlns:xltc2="http://schemas.microsoft.com/office/spreadsheetml/2020/threadedcomments2" uri="{F7C98A9C-CBB3-438F-8F68-D28B6AF4A901}">
        <xltc2:checksum>853682045</xltc2:checksum>
        <xltc2:hyperlink startIndex="73" length="67" url="https://www.sciencedirect.com/science/article/pii/S2352340922002323"/>
      </x:ext>
    </extLst>
  </threadedComment>
  <threadedComment ref="K186" dT="2023-11-01T19:31:01.81" personId="{2FE83714-CFDC-44C0-AD15-D3DD5B44FB09}" id="{CABBB8A3-EE61-47E3-8447-F1BD0544B591}">
    <text>CNY 670M agreed Apr 2010
Converted to USD based on average monthly exchange rate: $98.08M
https://www.treasury.go.ke/wp-content/uploads/2022/06/External-Public-Debt-Register-as-at-End-June-2021.pdf</text>
  </threadedComment>
  <threadedComment ref="P186" dT="2023-11-01T19:36:24.59" personId="{2FE83714-CFDC-44C0-AD15-D3DD5B44FB09}" id="{EE96982A-C7E8-4364-B9BD-87253F44790F}">
    <text>Interest Rate of 2% reported by:
https://www.treasury.go.ke/wp-content/uploads/2021/09/External-Public-Debt-Register-as-at-End-June-2019.pdf</text>
  </threadedComment>
  <threadedComment ref="Q186" dT="2023-11-01T19:35:01.01" personId="{2FE83714-CFDC-44C0-AD15-D3DD5B44FB09}" id="{E13B3DD9-8D11-4901-AD9C-E7F7432F8ABC}">
    <text>Repayments start in 2010, loan reaches maturity in 2029
https://www.treasury.go.ke/wp-content/uploads/2021/09/External-Public-Debt-Register-as-at-End-June-2019.pdf</text>
  </threadedComment>
  <threadedComment ref="S186" dT="2023-11-01T19:34:29.73" personId="{2FE83714-CFDC-44C0-AD15-D3DD5B44FB09}" id="{324C6B95-19C0-4D55-BC56-95AED07EAA20}">
    <text>Agreement in April 2010, First Repayments in September 2010
https://www.treasury.go.ke/wp-content/uploads/2021/09/External-Public-Debt-Register-as-at-End-June-2019.pdf</text>
  </threadedComment>
  <threadedComment ref="K187" dT="2023-11-01T19:17:05.29" personId="{2FE83714-CFDC-44C0-AD15-D3DD5B44FB09}" id="{97241BD3-8DE8-4AEF-A6E0-DA23F600DFB0}">
    <text>$383.5M from China Exim Bank
Reported in GoK External Debt Registry:
https://www.treasury.go.ke/wp-content/uploads/2022/06/External-Public-Debt-Register-as-at-End-June-2021.pdf</text>
  </threadedComment>
  <threadedComment ref="P187" dT="2023-11-01T20:04:27.97" personId="{2FE83714-CFDC-44C0-AD15-D3DD5B44FB09}" id="{B4B516B3-F98B-4A0D-BC2E-35F41FFAB3A2}">
    <text>Labeled as "Provision for Drilling Materials - 2012005" GoK External Debt Registry
https://www.treasury.go.ke/wp-content/uploads/2021/09/External-Public-Debt-Register-as-at-End-June-2019.pdf</text>
  </threadedComment>
  <threadedComment ref="Q187" dT="2023-11-01T20:00:09.40" personId="{2FE83714-CFDC-44C0-AD15-D3DD5B44FB09}" id="{1B6A0198-2FD5-48AA-9941-2758A470B6CB}">
    <text xml:space="preserve">Agreement Date 2012, Maturity date 2032
Maturity = 20 years
https://www.treasury.go.ke/wp-content/uploads/2022/06/External-Public-Debt-Register-as-at-End-June-2021.pdf </text>
    <extLst>
      <x:ext xmlns:xltc2="http://schemas.microsoft.com/office/spreadsheetml/2020/threadedcomments2" uri="{F7C98A9C-CBB3-438F-8F68-D28B6AF4A901}">
        <xltc2:checksum>3116055249</xltc2:checksum>
        <xltc2:hyperlink startIndex="61" length="107" url="https://www.treasury.go.ke/wp-content/uploads/2022/06/External-Public-Debt-Register-as-at-End-June-2021.pdf"/>
      </x:ext>
    </extLst>
  </threadedComment>
  <threadedComment ref="S187" dT="2023-11-01T20:10:23.67" personId="{2FE83714-CFDC-44C0-AD15-D3DD5B44FB09}" id="{7AF67426-1CDF-4D06-992A-0BC4C871E710}">
    <text>Repayments start in 2020
https://www.treasury.go.ke/wp-content/uploads/2021/09/External-Public-Debt-Register-as-at-End-June-2019.pdf</text>
  </threadedComment>
  <threadedComment ref="K188" dT="2023-11-02T12:37:49.67" personId="{2FE83714-CFDC-44C0-AD15-D3DD5B44FB09}" id="{7C427516-DD62-4438-ACE5-DE3A540FF08F}">
    <text>China Exim Bank covered 85% of drilling costs for Olkaria V. GoK pay 15% reported by JICA
https://www2.jica.go.jp/en/evaluation/pdf/2015_KE-P31_1_f.pdf</text>
  </threadedComment>
  <threadedComment ref="P188" dT="2023-11-03T11:19:11.44" personId="{2FE83714-CFDC-44C0-AD15-D3DD5B44FB09}" id="{075E7B6E-33D4-45D2-9B53-18772278464A}">
    <text>Based on estimated required IRR for Private investors in Olkaria III exploration from CIP report
https://www.climatepolicyinitiative.org/wp-content/uploads/2015/06/150601_Final_Olkaria_ForWeb.pdf</text>
  </threadedComment>
  <threadedComment ref="Q188" dT="2023-10-30T12:57:31.39" personId="{2FE83714-CFDC-44C0-AD15-D3DD5B44FB09}" id="{64BD30C8-BFB9-41E7-A558-712FA53A6FCA}">
    <text xml:space="preserve">Based on Life-span of African Geothermal Plants 
25 years according to:
https://www.sciencedirect.com/science/article/pii/S2352340922002323
Lucy Allington, Carla Cannone, Ioannis Pappis, Karla Cervantes Barron, Will Usher, Steve Pye, Edward Brown, Mark Howells, Miriam Zachau Walker, Aniq Ahsan, Flora Charbonnier, Claire Halloran, Stephanie Hirmer, Jennifer Cronin, Constantinos Taliotis, Caroline Sundin, Vignesh Sridharan, Eunice Ramos, Maarten Brinkerink, Paul Deane, Andrii Gritsevskyi, Gustavo Moura, Arnaud Rouget, David Wogan, Edito Barcelona, Taco Niet, Holger Rogner, Franziska Bock, Jairo Quirós-Tortós, Jam Angulo-Paniagua, Satheesh Krishnamurthy, John Harrison, Long Seng To,
Selected ‘Starter kit’ energy system modelling data for selected countries in Africa, East Asia, and South America (#CCG, 2021),
Data in Brief,
Volume 42,
2022,
108021,
ISSN 2352-3409,
https://doi.org/10.1016/j.dib.2022.108021.
</text>
    <extLst>
      <x:ext xmlns:xltc2="http://schemas.microsoft.com/office/spreadsheetml/2020/threadedcomments2" uri="{F7C98A9C-CBB3-438F-8F68-D28B6AF4A901}">
        <xltc2:checksum>853682045</xltc2:checksum>
        <xltc2:hyperlink startIndex="73" length="67" url="https://www.sciencedirect.com/science/article/pii/S2352340922002323"/>
      </x:ext>
    </extLst>
  </threadedComment>
  <threadedComment ref="K189" dT="2023-11-02T10:37:45.72" personId="{2FE83714-CFDC-44C0-AD15-D3DD5B44FB09}" id="{B4D5C2BD-5B1D-4063-8FCD-39A616B9D8BD}">
    <text xml:space="preserve">JPY 45,690 Million 
https://www2.jica.go.jp/en/evaluation/pdf/2015_KE-P31_1_f.pdf
https://www.treasury.go.ke/wp-content/uploads/2021/09/External-Public-Debt-Register-as-at-End-June-2019.pdf 
</text>
    <extLst>
      <x:ext xmlns:xltc2="http://schemas.microsoft.com/office/spreadsheetml/2020/threadedcomments2" uri="{F7C98A9C-CBB3-438F-8F68-D28B6AF4A901}">
        <xltc2:checksum>3731093602</xltc2:checksum>
        <xltc2:hyperlink startIndex="21" length="61" url="https://www2.jica.go.jp/en/evaluation/pdf/2015_KE-P31_1_f.pdf"/>
        <xltc2:hyperlink startIndex="84" length="107" url="https://www.treasury.go.ke/wp-content/uploads/2021/09/External-Public-Debt-Register-as-at-End-June-2019.pdf"/>
      </x:ext>
    </extLst>
  </threadedComment>
  <threadedComment ref="P189" dT="2023-11-02T10:28:18.78" personId="{2FE83714-CFDC-44C0-AD15-D3DD5B44FB09}" id="{6D009F2D-C4CD-4372-98BF-0AB7A1B677CA}">
    <text>JICA loan to GoK for JPY 45,690 Mil. repayable from 2026 to 2046
0.2% interest rate
10 year Grace Period
30 year Maturity
https://www.treasury.go.ke/wp-content/uploads/2021/09/External-Public-Debt-Register-as-at-End-June-2019.pdf</text>
  </threadedComment>
  <threadedComment ref="Q189" dT="2023-11-02T10:28:38.34" personId="{2FE83714-CFDC-44C0-AD15-D3DD5B44FB09}" id="{DDE36C98-641F-4CBD-8B62-C3A0AF808F31}">
    <text>JICA loan to GoK for JPY 45,690 Mil. repayable from 2026 to 2046
0.2% interest rate
10 year Grace Period
30 year Maturity
https://www.treasury.go.ke/wp-content/uploads/2021/09/External-Public-Debt-Register-as-at-End-June-2019.pdf</text>
  </threadedComment>
  <threadedComment ref="S189" dT="2023-11-02T10:28:43.34" personId="{2FE83714-CFDC-44C0-AD15-D3DD5B44FB09}" id="{C4229F7B-3DDD-4C1D-8323-45E5107473EC}">
    <text>JICA loan to GoK for JPY 45,690 Mil. repayable from 2026 to 2046
0.2% interest rate
10 year Grace Period
30 year Maturity
https://www.treasury.go.ke/wp-content/uploads/2021/09/External-Public-Debt-Register-as-at-End-June-2019.pdf</text>
  </threadedComment>
  <threadedComment ref="P190" dT="2023-11-03T14:41:18.28" personId="{2FE83714-CFDC-44C0-AD15-D3DD5B44FB09}" id="{BB403B3D-A0AE-42C8-A8B1-5C5EC0BCA969}">
    <text>Weighted Average Terms for Multilateral Agency loans based on values from this dataset
Term:        Interest     Term      Grace
Value:        2.39%      33.67       6.96
%Known:  46.21%    52.38%   44.87%</text>
  </threadedComment>
  <threadedComment ref="Q190" dT="2023-11-06T15:46:29.89" personId="{2FE83714-CFDC-44C0-AD15-D3DD5B44FB09}" id="{828260C2-53D4-4A0D-AE1C-DFAE0D5895F0}">
    <text>Weighted Average Terms for Multilateral Agency loans based on values from this dataset
Term:        Interest     Term      Grace
Value:        2.39%      33.67       6.96
%Known:  46.21%    52.38%   44.87%</text>
  </threadedComment>
  <threadedComment ref="S190" dT="2023-11-06T15:46:37.46" personId="{2FE83714-CFDC-44C0-AD15-D3DD5B44FB09}" id="{24D5A080-AD5C-46CA-8B95-E5032278025A}">
    <text>Weighted Average Terms for Multilateral Agency loans based on values from this dataset
Term:        Interest     Term      Grace
Value:        2.39%      33.67       6.96
%Known:  46.21%    52.38%   44.87%</text>
  </threadedComment>
  <threadedComment ref="K191" dT="2023-11-02T12:56:27.56" personId="{41181F03-CA57-824B-97F2-03A58DAE2D5E}" id="{F4ADA7D5-BB18-4E50-AB67-51423418ECEF}">
    <text xml:space="preserve">Page 17 of 20
https://www.treasury.go.ke/wp-content/uploads/2023/05/External-Public-Debt-Register-as-at-End-June-2022.pdf
Incorrect decimals on treasury page
Volumes are inconsistent across sources </text>
  </threadedComment>
  <threadedComment ref="K192" dT="2023-11-02T11:30:42.45" personId="{2FE83714-CFDC-44C0-AD15-D3DD5B44FB09}" id="{CEC5F451-58DA-409A-8CF8-CCAC2CEDA0D3}">
    <text>JPY 12,410 Million to USD based on 2010 Average Exchange Rates
https://www.treasury.go.ke/wp-content/uploads/2023/05/External-Public-Debt-Register-as-at-End-June-2022.pdf</text>
  </threadedComment>
  <threadedComment ref="P192" dT="2023-11-02T11:29:33.67" personId="{2FE83714-CFDC-44C0-AD15-D3DD5B44FB09}" id="{A7EC9E4A-6B5F-4FDB-8A33-1EBBA571D2B4}">
    <text>JPY 12,410 Million total between the two at 0.25% and 0.1% interest rate
Loan agreement in 2010, repayments start in 2020 and reached maturity in 2050 
https://treasury.go.ke/wp-content/uploads/2021/02/External-Public-Debt-Register-as-at-End-June-2017.pdf</text>
  </threadedComment>
  <threadedComment ref="Q192" dT="2023-11-02T11:29:24.74" personId="{2FE83714-CFDC-44C0-AD15-D3DD5B44FB09}" id="{7576925C-CDF1-4DB2-8B56-658B93D8C0F4}">
    <text>JPY 12,410 Million total between the two at 0.25% and 0.1% interest rate
Loan agreement in 2010, repayments start in 2020 and reached maturity in 2050 
https://treasury.go.ke/wp-content/uploads/2021/02/External-Public-Debt-Register-as-at-End-June-2017.pdf</text>
  </threadedComment>
  <threadedComment ref="S192" dT="2023-11-02T11:24:47.53" personId="{2FE83714-CFDC-44C0-AD15-D3DD5B44FB09}" id="{2F674FA7-341E-4D27-B1E1-56747264CAA2}">
    <text>JPY 12,410 Million total between the two at 0.25% and 0.1% interest rate
Loan agreement in 2010, repayments start in 2020 and reached maturity in 2050 
https://treasury.go.ke/wp-content/uploads/2021/02/External-Public-Debt-Register-as-at-End-June-2017.pdf</text>
  </threadedComment>
  <threadedComment ref="K193" dT="2023-11-02T11:30:42.45" personId="{2FE83714-CFDC-44C0-AD15-D3DD5B44FB09}" id="{4F49EE05-2AF7-42B8-9D54-5B81BAA8ECB0}">
    <text>JPY 12,410 Million to USD based on 2010 Average Exchange Rates
https://www.treasury.go.ke/wp-content/uploads/2023/05/External-Public-Debt-Register-as-at-End-June-2022.pdf</text>
  </threadedComment>
  <threadedComment ref="P193" dT="2023-11-02T11:29:38.03" personId="{2FE83714-CFDC-44C0-AD15-D3DD5B44FB09}" id="{3172125B-EA0C-4D4B-8E89-D2C4086D116F}">
    <text>JPY 12,410 Million total between the two at 0.25% and 0.1% interest rate
Loan agreement in 2010, repayments start in 2020 and reached maturity in 2050 
https://treasury.go.ke/wp-content/uploads/2021/02/External-Public-Debt-Register-as-at-End-June-2017.pdf</text>
  </threadedComment>
  <threadedComment ref="Q193" dT="2023-11-02T11:29:29.26" personId="{2FE83714-CFDC-44C0-AD15-D3DD5B44FB09}" id="{5DCF882C-61CD-4181-B12C-D8DEA7C0175E}">
    <text>JPY 12,410 Million total between the two at 0.25% and 0.1% interest rate
Loan agreement in 2010, repayments start in 2020 and reached maturity in 2050 
https://treasury.go.ke/wp-content/uploads/2021/02/External-Public-Debt-Register-as-at-End-June-2017.pdf</text>
  </threadedComment>
  <threadedComment ref="S193" dT="2023-11-02T11:25:43.33" personId="{2FE83714-CFDC-44C0-AD15-D3DD5B44FB09}" id="{8F7B5AAD-60FD-4D04-9858-3BABE32D230C}">
    <text>JPY 12,410 Million total between the two at 0.25% and 0.1% interest rate
Loan agreement in 2010, repayments start in 2020 and reached maturity in 2050 
https://treasury.go.ke/wp-content/uploads/2021/02/External-Public-Debt-Register-as-at-End-June-2017.pdf</text>
  </threadedComment>
  <threadedComment ref="K194" dT="2023-11-02T13:20:47.47" personId="{41181F03-CA57-824B-97F2-03A58DAE2D5E}" id="{6E5198E1-E15A-40DA-BC00-33571282C813}">
    <text>Volumes are inconsistent across sources 
Page 10 of 20
https://www.treasury.go.ke/wp-content/uploads/2023/05/External-Public-Debt-Register-as-at-End-June-2022.pdf</text>
  </threadedComment>
  <threadedComment ref="K194" dT="2023-11-02T14:14:52.01" personId="{2FE83714-CFDC-44C0-AD15-D3DD5B44FB09}" id="{204200C5-2DAC-4A52-B9F9-ADC7306431B1}" parentId="{6E5198E1-E15A-40DA-BC00-33571282C813}">
    <text>https://www2.jica.go.jp/en/evaluation/pdf/2009_KE-P26_1_f.pdf
Loan amount for JPY 29,516 Million outlined by JICA Ex-ante Evaluation</text>
    <extLst>
      <x:ext xmlns:xltc2="http://schemas.microsoft.com/office/spreadsheetml/2020/threadedcomments2" uri="{F7C98A9C-CBB3-438F-8F68-D28B6AF4A901}">
        <xltc2:checksum>2272999072</xltc2:checksum>
        <xltc2:hyperlink startIndex="0" length="61" url="https://www2.jica.go.jp/en/evaluation/pdf/2009_KE-P26_1_f.pdf"/>
      </x:ext>
    </extLst>
  </threadedComment>
  <threadedComment ref="P194" dT="2023-11-03T15:16:45.48" personId="{2FE83714-CFDC-44C0-AD15-D3DD5B44FB09}" id="{EF9A00D5-CF72-43BF-A594-917DB5DB6D10}">
    <text>Weighted Average Terms for JICA Loans based on values from this dataset
Term:        Interest     Term      Grace
Value:        0.28%      32.54      10.00
%Known:  65.23%    93.44%   65.23%</text>
  </threadedComment>
  <threadedComment ref="Q194" dT="2023-11-02T13:17:08.88" personId="{2FE83714-CFDC-44C0-AD15-D3DD5B44FB09}" id="{416CDE3D-BEAB-4997-8289-D3C21EEA2E90}">
    <text>Based on start year of 2010 and maturity in 2040
Page 10 
https://www.treasury.go.ke/wp-content/uploads/2023/05/External-Public-Debt-Register-as-at-End-June-2022.pdf</text>
  </threadedComment>
  <threadedComment ref="S194" dT="2023-11-03T18:12:16.30" personId="{2FE83714-CFDC-44C0-AD15-D3DD5B44FB09}" id="{F2C0822A-4B67-46D4-A620-70BC7519BD5F}">
    <text>Weighted Average Terms for JICA Loans based on values from this dataset
Term:        Interest     Term      Grace
Value:        0.28%      32.54      10.00
%Known:  65.23%    93.44%   65.23%</text>
  </threadedComment>
  <threadedComment ref="K195" dT="2023-10-26T10:30:57.52" personId="{2FE83714-CFDC-44C0-AD15-D3DD5B44FB09}" id="{5773B17D-062E-4CC2-803D-54F2D8C6C78B}">
    <text>AFD $210M for Geothermal
Total Geothermal: $1,035 million
Page 4 of 120 (PDF Page 14)
https://documents1.worldbank.org/curated/en/328821531497639930/pdf/ICR00004496-07102018.pdf</text>
  </threadedComment>
  <threadedComment ref="P195" dT="2023-11-03T15:34:21.17" personId="{2FE83714-CFDC-44C0-AD15-D3DD5B44FB09}" id="{3A327047-2B83-4A27-9F3B-6CB49566DCE0}">
    <text>Weighted Average Terms for Foreign Gov. loans based on values from this dataset
Term:        Interest     Term      Grace
Value:        2.41%      23.58       6.54
%Known:  51.96%    66.91%   50.41%</text>
  </threadedComment>
  <threadedComment ref="Q195" dT="2023-11-07T12:12:36.39" personId="{2FE83714-CFDC-44C0-AD15-D3DD5B44FB09}" id="{9C0CDA71-0FA6-4B05-B6CF-EA2EFA19BCB8}">
    <text>Weighted Average Terms for Foreign Gov. loans based on values from this dataset
Term:        Interest     Term      Grace
Value:        2.41%      23.58       6.54
%Known:  51.96%    66.91%   50.41%</text>
  </threadedComment>
  <threadedComment ref="S195" dT="2023-11-07T12:12:52.06" personId="{2FE83714-CFDC-44C0-AD15-D3DD5B44FB09}" id="{AA469ED5-2499-4A75-B9BD-7BD867567922}">
    <text>Weighted Average Terms for Foreign Gov. loans based on values from this dataset
Term:        Interest     Term      Grace
Value:        2.41%      23.58       6.54
%Known:  51.96%    66.91%   50.41%</text>
  </threadedComment>
  <threadedComment ref="K196" dT="2023-10-26T10:31:26.02" personId="{2FE83714-CFDC-44C0-AD15-D3DD5B44FB09}" id="{6442AB3C-769D-45E6-BEC4-25D8ABCF8405}">
    <text>EIB $168M for Geothermal
Total Geothermal: $1,035 million
Page 4 of 120 (PDF Page 14)
https://documents1.worldbank.org/curated/en/328821531497639930/pdf/ICR00004496-07102018.pdf</text>
  </threadedComment>
  <threadedComment ref="P196" dT="2023-11-01T13:06:38.09" personId="{2FE83714-CFDC-44C0-AD15-D3DD5B44FB09}" id="{98BD8BD4-53AC-4D1F-8815-0FFC66CB2E13}">
    <text>Based on KenGen financial statements for 2015 - interest rate of 3.884, maturity in 2037
https://africanfinancials.com/document/ke-kegn-2015-ar-00/</text>
  </threadedComment>
  <threadedComment ref="Q196" dT="2023-11-01T13:06:50.79" personId="{2FE83714-CFDC-44C0-AD15-D3DD5B44FB09}" id="{EEC1F046-09C0-4F5D-910F-67B584AF9986}">
    <text>Based on KenGen financial statements for 2015 - interest rate of 3.884, maturity in 2037
https://africanfinancials.com/document/ke-kegn-2015-ar-00/</text>
  </threadedComment>
  <threadedComment ref="S196" dT="2023-11-06T15:46:37.46" personId="{2FE83714-CFDC-44C0-AD15-D3DD5B44FB09}" id="{0893BB9D-0C51-4667-91B0-88D61B2FBC0E}">
    <text>Weighted Average Terms for Multilateral Agency loans based on values from this dataset
Term:        Interest     Term      Grace
Value:        2.39%      33.67       6.96
%Known:  46.21%    52.38%   44.87%</text>
  </threadedComment>
  <threadedComment ref="K197" dT="2023-10-26T10:33:37.96" personId="{2FE83714-CFDC-44C0-AD15-D3DD5B44FB09}" id="{B63FA741-1A8B-4197-BA79-1A7E5AEC2202}">
    <text>KenGen $130M for Geothermal
Total Geothermal: $1,035 million
Page 4 of 120 (PDF Page 14)
https://documents1.worldbank.org/curated/en/328821531497639930/pdf/ICR00004496-07102018.pdf</text>
  </threadedComment>
  <threadedComment ref="P197" dT="2023-10-26T13:51:04.98" personId="{2FE83714-CFDC-44C0-AD15-D3DD5B44FB09}" id="{E89F463A-9417-424C-8D91-0BCD4AF68BC0}">
    <text>Based on average ROE for KenGen between 2004-2009 as reported in 
Page 146 (PDF Page 158)
https://documents1.worldbank.org/curated/en/155911468273019836/pdf/541470PAD0P1031ly10IDA1R20101013511.pdf</text>
  </threadedComment>
  <threadedComment ref="Q197" dT="2023-10-26T14:22:21.31" personId="{2FE83714-CFDC-44C0-AD15-D3DD5B44FB09}" id="{6210632A-04AE-4932-9FC9-5406405A1E14}">
    <text>Based on Technology Lifespan reported in:
https://www.sciencedirect.com/science/article/pii/S2352340922002323 
Lucy Allington, Carla Cannone, Ioannis Pappis, Karla Cervantes Barron, Will Usher, Steve Pye, Edward Brown, Mark Howells, Miriam Zachau Walker, Aniq Ahsan, Flora Charbonnier, Claire Halloran, Stephanie Hirmer, Jennifer Cronin, Constantinos Taliotis, Caroline Sundin, Vignesh Sridharan, Eunice Ramos, Maarten Brinkerink, Paul Deane, Andrii Gritsevskyi, Gustavo Moura, Arnaud Rouget, David Wogan, Edito Barcelona, Taco Niet, Holger Rogner, Franziska Bock, Jairo Quirós-Tortós, Jam Angulo-Paniagua, Satheesh Krishnamurthy, John Harrison, Long Seng To,
Selected ‘Starter kit’ energy system modelling data for selected countries in Africa, East Asia, and South America (#CCG, 2021),
Data in Brief,
Volume 42,
2022,
108021,
ISSN 2352-3409,
https://doi.org/10.1016/j.dib.2022.108021.</text>
    <extLst>
      <x:ext xmlns:xltc2="http://schemas.microsoft.com/office/spreadsheetml/2020/threadedcomments2" uri="{F7C98A9C-CBB3-438F-8F68-D28B6AF4A901}">
        <xltc2:checksum>3998858392</xltc2:checksum>
        <xltc2:hyperlink startIndex="43" length="67" url="https://www.sciencedirect.com/science/article/pii/S2352340922002323"/>
      </x:ext>
    </extLst>
  </threadedComment>
  <threadedComment ref="K198" dT="2023-10-26T10:40:12.46" personId="{2FE83714-CFDC-44C0-AD15-D3DD5B44FB09}" id="{E14B3738-BDC5-4EE1-9259-BBA26F68D8C3}">
    <text>KfW $84M for Geothermal
Total Geothermal: $1,035 million
Page 4 of 120 (PDF Page 14)
https://documents1.worldbank.org/curated/en/328821531497639930/pdf/ICR00004496-07102018.pdf</text>
  </threadedComment>
  <threadedComment ref="P198" dT="2023-11-01T12:43:15.39" personId="{2FE83714-CFDC-44C0-AD15-D3DD5B44FB09}" id="{8AA9747C-13C4-4EF8-B460-FB469A6CC34C}">
    <text>Based on Loan Terms outlined in KenGen 2013 Annual report
https://africanfinancials.com/document/ke-kegn-2013-ar-00/</text>
  </threadedComment>
  <threadedComment ref="Q198" dT="2023-11-01T12:48:15.97" personId="{2FE83714-CFDC-44C0-AD15-D3DD5B44FB09}" id="{6C693227-BA18-4E7E-B950-B05578631B52}">
    <text xml:space="preserve">Based on Terms outlined in KenGen Financial Reports 2013
Based on Loan Terms outlined in KenGen 2013 Annual report
https://africanfinancials.com/document/ke-kegn-2013-ar-00/ </text>
    <extLst>
      <x:ext xmlns:xltc2="http://schemas.microsoft.com/office/spreadsheetml/2020/threadedcomments2" uri="{F7C98A9C-CBB3-438F-8F68-D28B6AF4A901}">
        <xltc2:checksum>1994218720</xltc2:checksum>
        <xltc2:hyperlink startIndex="117" length="58" url="https://africanfinancials.com/document/ke-kegn-2013-ar-00/"/>
      </x:ext>
    </extLst>
  </threadedComment>
  <threadedComment ref="Q198" dT="2023-11-01T12:48:49.68" personId="{2FE83714-CFDC-44C0-AD15-D3DD5B44FB09}" id="{9A15F22E-D795-4277-9B2C-7DA2C6A11EC0}" parentId="{6C693227-BA18-4E7E-B950-B05578631B52}">
    <text>Renegotiated to 2.2% interest and maturity in 2026 (14 years) according to later financial statements</text>
  </threadedComment>
  <threadedComment ref="S198" dT="2023-11-06T16:39:24.05" personId="{2FE83714-CFDC-44C0-AD15-D3DD5B44FB09}" id="{8F48FAC3-EBD5-44D6-BD88-09EB626D7B0F}">
    <text>Weighted Average Terms for Foreign Gov. loans based on values from this dataset
Term:        Interest     Term      Grace
Value:        2.17%      27.23       7.08
%Known:  60.46%    77.60%   56.76%</text>
  </threadedComment>
  <threadedComment ref="K199" dT="2023-10-26T10:40:47.26" personId="{2FE83714-CFDC-44C0-AD15-D3DD5B44FB09}" id="{665340AB-F480-4A60-9100-7E2F3942B95F}">
    <text>World Bank IDA $120M for Geothermal
Total Geothermal: $1,035 million
Page 4 of 120 (PDF Page 14)
https://documents1.worldbank.org/curated/en/328821531497639930/pdf/ICR00004496-07102018.pdf</text>
  </threadedComment>
  <threadedComment ref="P199" dT="2023-10-26T12:14:38.08" personId="{2FE83714-CFDC-44C0-AD15-D3DD5B44FB09}" id="{0A7FF53E-83C8-4D09-8FE9-5A876E0580F8}">
    <text>Based on on-lending Interest Rates for KenGen and KPLC
Page 40 (PDF Page 52)
https://documents1.worldbank.org/curated/en/155911468273019836/pdf/541470PAD0P1031ly10IDA1R20101013511.pdf</text>
  </threadedComment>
  <threadedComment ref="P199" dT="2023-11-01T12:29:46.28" personId="{2FE83714-CFDC-44C0-AD15-D3DD5B44FB09}" id="{1E20CD65-D994-463F-9CD1-92890B8A122C}" parentId="{0A7FF53E-83C8-4D09-8FE9-5A876E0580F8}">
    <text>Government External Debt on this was 0.75%
https://www.treasury.go.ke/wp-content/uploads/2021/09/External-Public-Debt-Register-as-at-End-June-2019.pdf</text>
  </threadedComment>
  <threadedComment ref="Q199" dT="2023-10-26T11:28:55.76" personId="{2FE83714-CFDC-44C0-AD15-D3DD5B44FB09}" id="{F6BC5979-F909-4393-BE79-C1B98258AF8B}">
    <text>World Bank IDA loan of $330M
40 years Maturity, 10 years Grace
On-Leant to KenGen
$215M to be re-lent:
$115M to KenGen at 25Yr M, 7Y G and 3.5% Interest
$100M to KPLC at 25Yr M, 7Y G and 3.5% Interest
$34M to be given as Grant to REA
$81M will cover Transmission and Institutional development
Page 40 (PDF Page 52)
https://documents1.worldbank.org/curated/en/155911468273019836/pdf/541470PAD0P1031ly10IDA1R20101013511.pdf</text>
  </threadedComment>
  <threadedComment ref="S199" dT="2023-10-26T11:29:09.55" personId="{2FE83714-CFDC-44C0-AD15-D3DD5B44FB09}" id="{CB0ABEA5-0E5B-469F-B8D6-BADB5A69FE2D}">
    <text>World Bank IDA loan of $330M
40 years Maturity, 10 years Grace
$215M to be re-lent:
$115M to KenGen at 25Yr M, 7Y G and 3.5% Interest
$100M to KPLC at 25Yr M, 7Y G and 3.5% Interest
$34M to be given as Grant to REA
$81M will cover Transmission and Institutional development
Page 40 (PDF Page 52)
https://documents1.worldbank.org/curated/en/155911468273019836/pdf/541470PAD0P1031ly10IDA1R20101013511.pdf</text>
  </threadedComment>
  <threadedComment ref="G200" dT="2023-10-26T09:41:42.02" personId="{2FE83714-CFDC-44C0-AD15-D3DD5B44FB09}" id="{AE102664-F375-4812-83F8-4B70A1C21376}">
    <text>"Revolving Fund Only"</text>
  </threadedComment>
  <threadedComment ref="K200" dT="2023-10-26T10:44:16.68" personId="{2FE83714-CFDC-44C0-AD15-D3DD5B44FB09}" id="{0BE92536-FDD3-4D3D-9515-A05140EAAAD8}">
    <text>AFD $10M for Distribution
Total Distribution: $272 million
Page 4 of 120 (PDF Page 14)
https://documents1.worldbank.org/curated/en/328821531497639930/pdf/ICR00004496-07102018.pdf</text>
  </threadedComment>
  <threadedComment ref="P200" dT="2023-10-26T10:56:18.68" personId="{2FE83714-CFDC-44C0-AD15-D3DD5B44FB09}" id="{E28EA55A-D9DF-48AA-B897-6A3CF985DB3F}">
    <text xml:space="preserve">24 installments over 25 months after connection at 5% interest rate
Page 91 (PDF page 103)
https://documents1.worldbank.org/curated/en/155911468273019836/pdf/541470PAD0P1031ly10IDA1R20101013511.pdf
</text>
    <extLst>
      <x:ext xmlns:xltc2="http://schemas.microsoft.com/office/spreadsheetml/2020/threadedcomments2" uri="{F7C98A9C-CBB3-438F-8F68-D28B6AF4A901}">
        <xltc2:checksum>1983637281</xltc2:checksum>
        <xltc2:hyperlink startIndex="92" length="106" url="https://documents1.worldbank.org/curated/en/155911468273019836/pdf/541470PAD0P1031ly10IDA1R20101013511.pdf"/>
      </x:ext>
    </extLst>
  </threadedComment>
  <threadedComment ref="Q200" dT="2023-10-26T11:34:36.98" personId="{2FE83714-CFDC-44C0-AD15-D3DD5B44FB09}" id="{2056F986-3693-4A7F-8905-B87C6349EC5F}">
    <text>Based on 20-30% repayment (average 25%) by consumers upfront and remainder (average 75%) back over 25 months following connection</text>
  </threadedComment>
  <threadedComment ref="S200" dT="2023-10-26T11:34:28.70" personId="{2FE83714-CFDC-44C0-AD15-D3DD5B44FB09}" id="{33BB6858-80C8-4B01-88F2-F8741BF696BE}">
    <text>Based on aimed increases in connections between 2011 and 2016: average connection year would be 2013.5
Page 16 (PDF Page 28)
https://documents1.worldbank.org/curated/en/155911468273019836/pdf/541470PAD0P1031ly10IDA1R20101013511.pdf</text>
  </threadedComment>
  <threadedComment ref="H201" dT="2023-10-26T10:43:10.17" personId="{2FE83714-CFDC-44C0-AD15-D3DD5B44FB09}" id="{70B5DAEA-B0CD-4113-8572-643E29B44A7A}">
    <text>World Bank GPOBA/GPRBA</text>
  </threadedComment>
  <threadedComment ref="K201" dT="2023-10-26T10:44:50.62" personId="{2FE83714-CFDC-44C0-AD15-D3DD5B44FB09}" id="{28579EDD-2005-4A71-9A8E-0F19C5442E1E}">
    <text>GPOBA (now GPRBA) $5M for Distribution
Total Distribution: $272 million
Page 4 of 120 (PDF Page 14)
https://documents1.worldbank.org/curated/en/328821531497639930/pdf/ICR00004496-07102018.pdf</text>
  </threadedComment>
  <threadedComment ref="P201" dT="2023-10-26T12:12:46.40" personId="{2FE83714-CFDC-44C0-AD15-D3DD5B44FB09}" id="{C9D73CC3-7120-4A83-A496-C56EA180F9CE}">
    <text>Based on on-lending Interest Rates for KenGen and KPLC
Page 40 (PDF Page 52)
https://documents1.worldbank.org/curated/en/155911468273019836/pdf/541470PAD0P1031ly10IDA1R20101013511.pdf</text>
  </threadedComment>
  <threadedComment ref="Q201" dT="2023-10-26T11:11:26.54" personId="{2FE83714-CFDC-44C0-AD15-D3DD5B44FB09}" id="{E4085B68-4E08-474D-BA6E-78088D9DEBCF}">
    <text xml:space="preserve">World Bank IDA loan of $330M
40 years Maturity, 10 years Grace
$215M to be re-lent:
$115M to KenGen at 25Yr M, 7Y G and 3.5% Interest
$100M to KPLC at 25Yr M, 7Y G and 3.5% Interest
$34M to be given as Grant to REA
$81M will cover Transmission and Institutional development
Page 40 (PDF Page 52)
https://documents1.worldbank.org/curated/en/155911468273019836/pdf/541470PAD0P1031ly10IDA1R20101013511.pdf
 </text>
  </threadedComment>
  <threadedComment ref="S201" dT="2023-10-26T11:28:45.61" personId="{2FE83714-CFDC-44C0-AD15-D3DD5B44FB09}" id="{AD3CF90D-83B9-4CC7-B9DC-98FB1AADD1B1}">
    <text>World Bank IDA loan of $330M
40 years Maturity, 10 years Grace
$215M to be re-lent:
$115M to KenGen at 25Yr M, 7Y G and 3.5% Interest
$100M to KPLC at 25Yr M, 7Y G and 3.5% Interest
$34M to be given as Grant to REA
$81M will cover Transmission and Institutional development
Page 40 (PDF Page 52)
https://documents1.worldbank.org/curated/en/155911468273019836/pdf/541470PAD0P1031ly10IDA1R20101013511.pdf</text>
  </threadedComment>
  <threadedComment ref="P202" dT="2023-10-26T13:51:44.75" personId="{2FE83714-CFDC-44C0-AD15-D3DD5B44FB09}" id="{6E68ADE4-4319-444D-B8CE-ABE0CFAC9AF9}">
    <text>Based on average ROE for KPLC between 2004-2009 as reported in 
Page 143 (PDF Page 155)
https://documents1.worldbank.org/curated/en/155911468273019836/pdf/541470PAD0P1031ly10IDA1R20101013511.pdf</text>
  </threadedComment>
  <threadedComment ref="Q202" dT="2023-10-26T14:11:47.35" personId="{2FE83714-CFDC-44C0-AD15-D3DD5B44FB09}" id="{CE618C28-2D91-4C91-80D9-4F756B158859}">
    <text xml:space="preserve">Based on Distribution Life outlined in OSeMOSYS
</text>
  </threadedComment>
  <threadedComment ref="T202" dT="2023-10-26T11:29:00.54" personId="{2FE83714-CFDC-44C0-AD15-D3DD5B44FB09}" id="{EFBB5DD1-434A-48B5-BA0E-B1591B7E4053}">
    <text>World Bank IDA loan of $330M
40 years Maturity, 10 years Grace
$215M to be re-lent:
$115M to KenGen at 25Yr M, 7Y G and 3.5% Interest
$100M to KPLC at 25Yr M, 7Y G and 3.5% Interest
$34M to be given as Grant to REA
$81M will cover Transmission and Institutional development
Page 40 (PDF Page 52)
https://documents1.worldbank.org/curated/en/155911468273019836/pdf/541470PAD0P1031ly10IDA1R20101013511.pdf</text>
  </threadedComment>
  <threadedComment ref="K203" dT="2023-10-26T10:01:48.37" personId="{2FE83714-CFDC-44C0-AD15-D3DD5B44FB09}" id="{8E481AA6-C5B0-4081-BCA8-2712ECC4AA5D}">
    <text>KPLC $30M for Distribution
Total Distribution: $272 million
Page 4 of 120 (PDF Page 14)
https://documents1.worldbank.org/curated/en/328821531497639930/pdf/ICR00004496-07102018.pdf</text>
  </threadedComment>
  <threadedComment ref="P203" dT="2023-10-26T13:51:44.75" personId="{2FE83714-CFDC-44C0-AD15-D3DD5B44FB09}" id="{5065854B-527F-481C-A0B7-47590037383C}">
    <text>Based on average ROE for KPLC between 2004-2009 as reported in 
Page 143 (PDF Page 155)
https://documents1.worldbank.org/curated/en/155911468273019836/pdf/541470PAD0P1031ly10IDA1R20101013511.pdf</text>
  </threadedComment>
  <threadedComment ref="Q203" dT="2023-10-26T14:11:47.35" personId="{2FE83714-CFDC-44C0-AD15-D3DD5B44FB09}" id="{750E8A9C-F7D3-48A4-B004-9DD984E7A0D7}">
    <text xml:space="preserve">Based on Distribution Life outlined in OSeMOSYS
</text>
  </threadedComment>
  <threadedComment ref="I204" dT="2023-10-26T09:38:05.15" personId="{2FE83714-CFDC-44C0-AD15-D3DD5B44FB09}" id="{827F31B9-56FD-4E8D-BE1E-B1F17F098A63}">
    <text>Energy Sector Users</text>
  </threadedComment>
  <threadedComment ref="K204" dT="2023-10-26T09:37:21.88" personId="{2FE83714-CFDC-44C0-AD15-D3DD5B44FB09}" id="{8CEBF734-C371-4351-9045-57C1FFF02D23}">
    <text>Energy Sector Users $91M for Distribution
Total Distribution: $272 million
Page 4 of 120 (PDF Page 14)
https://documents1.worldbank.org/curated/en/328821531497639930/pdf/ICR00004496-07102018.pdf</text>
  </threadedComment>
  <threadedComment ref="P204" dT="2023-10-26T14:27:15.67" personId="{2FE83714-CFDC-44C0-AD15-D3DD5B44FB09}" id="{8D7E413D-DEEE-462B-91E2-C3F165B78980}">
    <text>Based on annual average public debt interest rates:
https://www.cabri-sbo.org/uploads/bia/kenya_2010_other_external_budget_data_ministry_of_finance_comesa_eac_igad_english_1.pdf</text>
  </threadedComment>
  <threadedComment ref="P204" dT="2023-11-01T12:23:02.93" personId="{2FE83714-CFDC-44C0-AD15-D3DD5B44FB09}" id="{96BD9084-E3B5-485B-B7F8-BA0E729AB4E1}" parentId="{8D7E413D-DEEE-462B-91E2-C3F165B78980}">
    <text>May be 12.5% based on other public infrastructure bonds
See KenGen Financial Statements 2012</text>
  </threadedComment>
  <threadedComment ref="Q204" dT="2023-10-26T14:28:00.94" personId="{2FE83714-CFDC-44C0-AD15-D3DD5B44FB09}" id="{4FA6D8B5-05F7-43E2-8FDB-3B2FDE102696}">
    <text>Based on annual average public debt Loan Term:
https://www.cabri-sbo.org/uploads/bia/kenya_2010_other_external_budget_data_ministry_of_finance_comesa_eac_igad_english_1.pdf</text>
  </threadedComment>
  <threadedComment ref="S204" dT="2023-10-26T14:28:10.99" personId="{2FE83714-CFDC-44C0-AD15-D3DD5B44FB09}" id="{C5FDBE9A-4326-4760-8A85-7981D6601352}">
    <text>Based on annual average public debt Grace Periods:
https://www.cabri-sbo.org/uploads/bia/kenya_2010_other_external_budget_data_ministry_of_finance_comesa_eac_igad_english_1.pdf</text>
  </threadedComment>
  <threadedComment ref="K205" dT="2023-10-26T09:36:02.55" personId="{2FE83714-CFDC-44C0-AD15-D3DD5B44FB09}" id="{DEC08850-45BD-4B17-A149-1E1BDEF5BED3}">
    <text>WB IDA $134M for Distribution
Total Distribution: $272 million
$100M On-lent to KPLC
$34M Grant to REA
Page 4 of 120 (PDF Page 14)
https://documents1.worldbank.org/curated/en/328821531497639930/pdf/ICR00004496-07102018.pdf</text>
  </threadedComment>
  <threadedComment ref="P205" dT="2023-10-26T12:14:33.73" personId="{2FE83714-CFDC-44C0-AD15-D3DD5B44FB09}" id="{A78B0659-B94C-4BCD-9062-332F21145A03}">
    <text>Based on on-lending Interest Rates for KenGen and KPLC
Page 40 (PDF Page 52)
https://documents1.worldbank.org/curated/en/155911468273019836/pdf/541470PAD0P1031ly10IDA1R20101013511.pdf</text>
  </threadedComment>
  <threadedComment ref="Q205" dT="2023-10-26T11:28:40.70" personId="{2FE83714-CFDC-44C0-AD15-D3DD5B44FB09}" id="{BDEBCB22-5473-4F49-81D4-53628CEF2FA2}">
    <text>World Bank IDA loan of $330M
40 years Maturity, 10 years Grace
$215M to be re-lent:
$115M to KenGen at 25Yr M, 7Y G and 3.5% Interest
$100M to KPLC at 25Yr M, 7Y G and 3.5% Interest
$34M to be given as Grant to REA
$81M will cover Transmission and Institutional development
Page 40 (PDF Page 52)
https://documents1.worldbank.org/curated/en/155911468273019836/pdf/541470PAD0P1031ly10IDA1R20101013511.pdf</text>
  </threadedComment>
  <threadedComment ref="S205" dT="2023-10-26T11:28:51.29" personId="{2FE83714-CFDC-44C0-AD15-D3DD5B44FB09}" id="{587922C9-1AD9-440A-B821-A9A89523815A}">
    <text>World Bank IDA loan of $330M
40 years Maturity, 10 years Grace
$215M to be re-lent:
$115M to KenGen at 25Yr M, 7Y G and 3.5% Interest
$100M to KPLC at 25Yr M, 7Y G and 3.5% Interest
$34M to be given as Grant to REA
$81M will cover Transmission and Institutional development
Page 40 (PDF Page 52)
https://documents1.worldbank.org/curated/en/155911468273019836/pdf/541470PAD0P1031ly10IDA1R20101013511.pdf</text>
  </threadedComment>
  <threadedComment ref="K206" dT="2023-10-26T10:26:01.94" personId="{2FE83714-CFDC-44C0-AD15-D3DD5B44FB09}" id="{6D0887E1-C47B-4E5F-83A7-9403BD36C44D}">
    <text>KETRACO $8M for Transmission
Total Transmission: $72.5 million
Page 4 of 120 (PDF Page 14)
https://documents1.worldbank.org/curated/en/328821531497639930/pdf/ICR00004496-07102018.pdf</text>
  </threadedComment>
  <threadedComment ref="P206" dT="2023-10-26T13:51:44.75" personId="{2FE83714-CFDC-44C0-AD15-D3DD5B44FB09}" id="{D6C27F38-C011-4414-BB83-176A58A95C7B}">
    <text>Assumed to be similar to the ROE of KPLC: Based on average ROE for KPLC between 2004-2009 as reported in 
Page 143 (PDF Page 155)
https://documents1.worldbank.org/curated/en/155911468273019836/pdf/541470PAD0P1031ly10IDA1R20101013511.pdf</text>
  </threadedComment>
  <threadedComment ref="Q206" dT="2023-10-26T14:11:47.35" personId="{2FE83714-CFDC-44C0-AD15-D3DD5B44FB09}" id="{4727AB7C-D1F8-4C6F-9D8E-C6153DCCF532}">
    <text xml:space="preserve">Based on Grid Life outlined in OSeMOSYS
</text>
  </threadedComment>
  <threadedComment ref="K207" dT="2023-10-26T10:25:37.41" personId="{2FE83714-CFDC-44C0-AD15-D3DD5B44FB09}" id="{92829098-3C4A-4979-9B3D-DBF4DD773C0A}">
    <text>WB IDA $64.5M for Transmission
Total Transmission: $72.5 million
Page 4 of 120 (PDF Page 14)
https://documents1.worldbank.org/curated/en/328821531497639930/pdf/ICR00004496-07102018.pdf</text>
  </threadedComment>
  <threadedComment ref="P207" dT="2023-10-26T12:14:46.08" personId="{2FE83714-CFDC-44C0-AD15-D3DD5B44FB09}" id="{92413824-F44D-4729-8246-950B9D442042}">
    <text>Based on on-lending Interest Rates for KenGen and KPLC
Page 40 (PDF Page 52)
https://documents1.worldbank.org/curated/en/155911468273019836/pdf/541470PAD0P1031ly10IDA1R20101013511.pdf</text>
  </threadedComment>
  <threadedComment ref="Q207" dT="2023-10-26T11:29:19.62" personId="{2FE83714-CFDC-44C0-AD15-D3DD5B44FB09}" id="{F5938376-8F3F-4D00-A3CA-24C589E239A8}">
    <text>World Bank IDA loan of $330M
40 years Maturity, 10 years Grace
$215M to be re-lent:
$115M to KenGen at 25Yr M, 7Y G and 3.5% Interest
$100M to KPLC at 25Yr M, 7Y G and 3.5% Interest
$34M to be given as Grant to REA
$81M will cover Transmission and Institutional development
Page 40 (PDF Page 52)
https://documents1.worldbank.org/curated/en/155911468273019836/pdf/541470PAD0P1031ly10IDA1R20101013511.pdf</text>
  </threadedComment>
  <threadedComment ref="S207" dT="2023-10-26T11:29:24.33" personId="{2FE83714-CFDC-44C0-AD15-D3DD5B44FB09}" id="{9A990E0C-9A32-4D8A-8546-7AA16D4B9A49}">
    <text>World Bank IDA loan of $330M
40 years Maturity, 10 years Grace
$215M to be re-lent:
$115M to KenGen at 25Yr M, 7Y G and 3.5% Interest
$100M to KPLC at 25Yr M, 7Y G and 3.5% Interest
$34M to be given as Grant to REA
$81M will cover Transmission and Institutional development
Page 40 (PDF Page 52)
https://documents1.worldbank.org/curated/en/155911468273019836/pdf/541470PAD0P1031ly10IDA1R20101013511.pdf</text>
  </threadedComment>
  <threadedComment ref="K208" dT="2023-10-24T11:43:05.34" personId="{2FE83714-CFDC-44C0-AD15-D3DD5B44FB09}" id="{304DE9AF-AD24-4B2D-87B0-AC0309528C2B}">
    <text>Kenya Electricity Expansion Project - OPEC Fund for International Development</text>
    <extLst>
      <x:ext xmlns:xltc2="http://schemas.microsoft.com/office/spreadsheetml/2020/threadedcomments2" uri="{F7C98A9C-CBB3-438F-8F68-D28B6AF4A901}">
        <xltc2:checksum>3182226616</xltc2:checksum>
        <xltc2:hyperlink startIndex="0" length="77" url="https://opecfund.org/operations/list/kenya-electricity-expansion-project"/>
      </x:ext>
    </extLst>
  </threadedComment>
  <threadedComment ref="K208" dT="2023-10-27T10:21:23.48" personId="{41181F03-CA57-824B-97F2-03A58DAE2D5E}" id="{351724D0-0684-4F94-B1EE-AED372DE2C78}" parentId="{304DE9AF-AD24-4B2D-87B0-AC0309528C2B}">
    <text>http://www.parliament.go.ke/sites/default/files/2023-04/Report%20of%20the%20Auditor%20General%20on%20Kenya%20Eletricity%20Expansion%20Project%20%28Ofid%20CR%20No.%201487%29%20%20For%20the%20Year%20ended%2030%20June%2C%202022%20Rural%20Electrifiation%20and%20Renewable%20Energy%20Corporation_compressed.pdf</text>
  </threadedComment>
  <threadedComment ref="P208" dT="2023-11-02T10:42:52.88" personId="{2FE83714-CFDC-44C0-AD15-D3DD5B44FB09}" id="{08BD3055-4A22-4618-85BD-4FD24501BDCA}">
    <text xml:space="preserve">1% interest rate on loan to GoK based on repayment from 2018 to 2032
1% interest rate
4 years grace
18 year maturity
https://treasury.go.ke/wp-content/uploads/2021/02/External-Public-Debt-Register-as-at-End-June-2018.pdf
</text>
  </threadedComment>
  <threadedComment ref="Q208" dT="2023-10-27T10:24:15.56" personId="{2FE83714-CFDC-44C0-AD15-D3DD5B44FB09}" id="{77A23626-5CBA-4C76-AE9E-C7D5BC38B52A}">
    <text>1% interest rate on loan to GoK based on repayment from 2018 to 2032
1% interest rate
4 years grace
18 year maturity
https://treasury.go.ke/wp-content/uploads/2021/02/External-Public-Debt-Register-as-at-End-June-2018.pdf</text>
  </threadedComment>
  <threadedComment ref="S208" dT="2023-10-27T10:24:29.48" personId="{2FE83714-CFDC-44C0-AD15-D3DD5B44FB09}" id="{8F5C544D-950F-464D-B423-A35B14A5CC8E}">
    <text>1% interest rate on loan to GoK based on repayment from 2018 to 2032
1% interest rate
4 years grace
18 year maturity
https://treasury.go.ke/wp-content/uploads/2021/02/External-Public-Debt-Register-as-at-End-June-2018.pdf</text>
  </threadedComment>
  <threadedComment ref="K209" dT="2023-10-24T11:42:09.72" personId="{2FE83714-CFDC-44C0-AD15-D3DD5B44FB09}" id="{B378A65E-082A-4647-8732-0DF4C669DD10}">
    <text>Kenya - Electricity Expansion Project - Additional Financing (worldbank.org)
$68 Million Additional Financing with a 38 year Maturity and 6 year grace period
-$4.3 Million as this amount was used for Capacity and Institutional Development</text>
    <extLst>
      <x:ext xmlns:xltc2="http://schemas.microsoft.com/office/spreadsheetml/2020/threadedcomments2" uri="{F7C98A9C-CBB3-438F-8F68-D28B6AF4A901}">
        <xltc2:checksum>2770066776</xltc2:checksum>
        <xltc2:hyperlink startIndex="0" length="76" url="https://www.worldbank.org/en/news/loans-credits/2016/06/15/kenya-electricity-expansion-project-additional-financing"/>
      </x:ext>
    </extLst>
  </threadedComment>
  <threadedComment ref="P209" dT="2023-11-03T14:41:18.28" personId="{2FE83714-CFDC-44C0-AD15-D3DD5B44FB09}" id="{3C8D6FE5-DC39-4B0B-8AD2-4A666ADE771A}">
    <text>Weighted Average Terms for World Bank loans based on values from this dataset
Term:        Interest     Term      Grace
Value:        2.80%      30.80       6.52
%Known:  44.81%    49.09%   48.25%</text>
  </threadedComment>
  <threadedComment ref="Q209" dT="2023-10-27T10:07:09.96" personId="{2FE83714-CFDC-44C0-AD15-D3DD5B44FB09}" id="{84A303C5-DB63-4686-83F7-35D07C7390BD}">
    <text>Reported by the World Bank:
https://www.worldbank.org/en/news/loans-credits/2016/06/15/kenya-electricity-expansion-project-additional-financing</text>
  </threadedComment>
  <threadedComment ref="S209" dT="2023-10-27T10:07:09.96" personId="{2FE83714-CFDC-44C0-AD15-D3DD5B44FB09}" id="{A7AA445F-7464-4860-9150-E6BBEBE29081}">
    <text>Reported by the World Bank:
https://www.worldbank.org/en/news/loans-credits/2016/06/15/kenya-electricity-expansion-project-additional-financing</text>
  </threadedComment>
  <threadedComment ref="K210" dT="2023-10-24T11:42:09.72" personId="{2FE83714-CFDC-44C0-AD15-D3DD5B44FB09}" id="{8FE48F60-2F83-4E3E-A4E0-2F734BE2E02B}">
    <text>Kenya - Electricity Expansion Project - Additional Financing (worldbank.org)
$68 Million Additional Financing with a 38 year Maturity and 6 year grace period
-$4.3 Million as this amount was used for Capacity and Institutional Development</text>
    <extLst>
      <x:ext xmlns:xltc2="http://schemas.microsoft.com/office/spreadsheetml/2020/threadedcomments2" uri="{F7C98A9C-CBB3-438F-8F68-D28B6AF4A901}">
        <xltc2:checksum>2770066776</xltc2:checksum>
        <xltc2:hyperlink startIndex="0" length="76" url="https://www.worldbank.org/en/news/loans-credits/2016/06/15/kenya-electricity-expansion-project-additional-financing"/>
      </x:ext>
    </extLst>
  </threadedComment>
  <threadedComment ref="P210" dT="2023-11-03T14:41:18.28" personId="{2FE83714-CFDC-44C0-AD15-D3DD5B44FB09}" id="{31B9E182-4067-428E-BA16-FBF4D926164A}">
    <text>Weighted Average Terms for World Bank loans based on values from this dataset
Term:        Interest     Term      Grace
Value:        2.80%      30.80       6.52
%Known:  44.81%    49.09%   48.25%</text>
  </threadedComment>
  <threadedComment ref="Q210" dT="2023-10-27T10:07:09.96" personId="{2FE83714-CFDC-44C0-AD15-D3DD5B44FB09}" id="{C3C97E07-E5B9-4F83-A81D-847C21266594}">
    <text>Reported by the World Bank:
https://www.worldbank.org/en/news/loans-credits/2016/06/15/kenya-electricity-expansion-project-additional-financing</text>
  </threadedComment>
  <threadedComment ref="S210" dT="2023-10-27T10:07:09.96" personId="{2FE83714-CFDC-44C0-AD15-D3DD5B44FB09}" id="{372E97AA-A472-4B81-B83F-33E89F66EE8C}">
    <text>Reported by the World Bank:
https://www.worldbank.org/en/news/loans-credits/2016/06/15/kenya-electricity-expansion-project-additional-financing</text>
  </threadedComment>
  <threadedComment ref="K211" dT="2023-10-31T16:44:55.73" personId="{2FE83714-CFDC-44C0-AD15-D3DD5B44FB09}" id="{AA0FA074-7930-4026-9387-9E5B5DAA9F1F}">
    <text xml:space="preserve">$53M (EUR48M) out of $148M (EUR134M)
Reported by EIB
https://www.eib.org/en/projects/pipelines/all/20150682 </text>
  </threadedComment>
  <threadedComment ref="P211" dT="2023-11-03T14:41:18.28" personId="{2FE83714-CFDC-44C0-AD15-D3DD5B44FB09}" id="{F8B2CCBA-EADE-4870-BE36-94440A886C28}">
    <text>Weighted Average Terms for Multilateral Agency loans based on values from this dataset
Term:        Interest     Term      Grace
Value:        2.39%      33.67       6.96
%Known:  46.21%    52.38%   44.87%</text>
  </threadedComment>
  <threadedComment ref="Q211" dT="2023-11-06T15:46:29.89" personId="{2FE83714-CFDC-44C0-AD15-D3DD5B44FB09}" id="{4F9A7145-115A-4114-AADE-E55E8A939E4C}">
    <text>Weighted Average Terms for Multilateral Agency loans based on values from this dataset
Term:        Interest     Term      Grace
Value:        2.39%      33.67       6.96
%Known:  46.21%    52.38%   44.87%</text>
  </threadedComment>
  <threadedComment ref="S211" dT="2023-11-06T15:46:37.46" personId="{2FE83714-CFDC-44C0-AD15-D3DD5B44FB09}" id="{B14DA5F9-7C4B-4C9D-8537-39AC713A45C0}">
    <text>Weighted Average Terms for Multilateral Agency loans based on values from this dataset
Term:        Interest     Term      Grace
Value:        2.39%      33.67       6.96
%Known:  46.21%    52.38%   44.87%</text>
  </threadedComment>
  <threadedComment ref="E212" dT="2023-10-31T16:53:04.86" personId="{2FE83714-CFDC-44C0-AD15-D3DD5B44FB09}" id="{78BC7B60-2B21-4D3A-BA5B-1F9EC3D6461A}">
    <text>Reached Financial Close in 2019
https://www.fmo.nl/news-detail/7abfb28b-1bcd-4bfb-9575-3ad05608fd6b/thousands-of-kenyans-to-get-clean-energy-from-usd-147-million-solar-projects</text>
  </threadedComment>
  <threadedComment ref="K212" dT="2023-10-31T16:46:30.36" personId="{2FE83714-CFDC-44C0-AD15-D3DD5B44FB09}" id="{74F9376A-0F9B-4966-939F-459EBCC8B5FC}">
    <text>FMO reported $53M loan financing
https://www.fmo.nl/news-detail/7abfb28b-1bcd-4bfb-9575-3ad05608fd6b/thousands-of-kenyans-to-get-clean-energy-from-usd-147-million-solar-projects</text>
  </threadedComment>
  <threadedComment ref="P212" dT="2023-11-03T15:34:21.17" personId="{2FE83714-CFDC-44C0-AD15-D3DD5B44FB09}" id="{562C68D2-9D80-4A5A-AE48-4BCB6A51DECE}">
    <text>Weighted Average Terms for Foreign Gov. loans based on values from this dataset
Term:        Interest     Term      Grace
Value:        2.41%      23.58       6.54
%Known:  51.96%    66.91%   50.41%</text>
  </threadedComment>
  <threadedComment ref="Q212" dT="2023-11-07T12:12:36.39" personId="{2FE83714-CFDC-44C0-AD15-D3DD5B44FB09}" id="{A9C104AD-0239-41EE-82B0-6AF3A1D75AC2}">
    <text>Weighted Average Terms for Foreign Gov. loans based on values from this dataset
Term:        Interest     Term      Grace
Value:        2.41%      23.58       6.54
%Known:  51.96%    66.91%   50.41%</text>
  </threadedComment>
  <threadedComment ref="S212" dT="2023-11-07T12:12:52.06" personId="{2FE83714-CFDC-44C0-AD15-D3DD5B44FB09}" id="{67375317-4F52-4CB4-AA4D-B3903765AAA5}">
    <text>Weighted Average Terms for Foreign Gov. loans based on values from this dataset
Term:        Interest     Term      Grace
Value:        2.41%      23.58       6.54
%Known:  51.96%    66.91%   50.41%</text>
  </threadedComment>
  <threadedComment ref="B213" dT="2023-10-31T16:48:54.27" personId="{2FE83714-CFDC-44C0-AD15-D3DD5B44FB09}" id="{8E31439A-4819-473E-AB06-D06415286765}">
    <text>David Langat, Chairman of the DL Group of Companies
and
Ayaz Merali, Managing Director of Paramount Bank</text>
  </threadedComment>
  <threadedComment ref="J213" dT="2023-11-06T13:50:56.75" personId="{2FE83714-CFDC-44C0-AD15-D3DD5B44FB09}" id="{108FB157-0CF3-4F27-B8FB-49F726B406A9}">
    <text>Registered and Founded in Denmark, but opperating across Africa
https://www.linkedin.com/company/frontier-energy-africa/about/</text>
  </threadedComment>
  <threadedComment ref="K213" dT="2023-10-31T16:58:38.72" personId="{2FE83714-CFDC-44C0-AD15-D3DD5B44FB09}" id="{9B413A6F-63CE-4FB1-B265-729879EFD41D}">
    <text>Remainder of $147M project financed by Frontier Energy and Local Partners
https://www.fmo.nl/news-detail/7abfb28b-1bcd-4bfb-9575-3ad05608fd6b/thousands-of-kenyans-to-get-clean-energy-from-usd-147-million-solar-projects</text>
  </threadedComment>
  <threadedComment ref="P213" dT="2023-10-30T13:06:44.64" personId="{2FE83714-CFDC-44C0-AD15-D3DD5B44FB09}" id="{B3438604-B50E-4BE8-A67A-90748206822A}">
    <text>Based on Equity ROE for Private solar investments:
Page 38 (PDF Page 40)
https://core.ac.uk/download/pdf/43542198.pdf</text>
  </threadedComment>
  <threadedComment ref="Q213" dT="2023-10-30T12:59:44.68" personId="{2FE83714-CFDC-44C0-AD15-D3DD5B44FB09}" id="{6ABEA16E-3E5C-41E0-8615-296FAD1A5A5C}">
    <text>Based on Life-span of African Solar PV
24 years according to:
https://www.sciencedirect.com/science/article/pii/S2352340922002323
Lucy Allington, Carla Cannone, Ioannis Pappis, Karla Cervantes Barron, Will Usher, Steve Pye, Edward Brown, Mark Howells, Miriam Zachau Walker, Aniq Ahsan, Flora Charbonnier, Claire Halloran, Stephanie Hirmer, Jennifer Cronin, Constantinos Taliotis, Caroline Sundin, Vignesh Sridharan, Eunice Ramos, Maarten Brinkerink, Paul Deane, Andrii Gritsevskyi, Gustavo Moura, Arnaud Rouget, David Wogan, Edito Barcelona, Taco Niet, Holger Rogner, Franziska Bock, Jairo Quirós-Tortós, Jam Angulo-Paniagua, Satheesh Krishnamurthy, John Harrison, Long Seng To,
Selected ‘Starter kit’ energy system modelling data for selected countries in Africa, East Asia, and South America (#CCG, 2021),
Data in Brief,
Volume 42,
2022,
108021,
ISSN 2352-3409,
https://doi.org/10.1016/j.dib.2022.108021.</text>
    <extLst>
      <x:ext xmlns:xltc2="http://schemas.microsoft.com/office/spreadsheetml/2020/threadedcomments2" uri="{F7C98A9C-CBB3-438F-8F68-D28B6AF4A901}">
        <xltc2:checksum>2806404858</xltc2:checksum>
        <xltc2:hyperlink startIndex="63" length="67" url="https://www.sciencedirect.com/science/article/pii/S2352340922002323"/>
      </x:ext>
    </extLst>
  </threadedComment>
  <threadedComment ref="H214" dT="2023-11-06T11:43:12.77" personId="{2FE83714-CFDC-44C0-AD15-D3DD5B44FB09}" id="{81D9EFB6-37A4-4146-8006-ABB41520848E}">
    <text>Publicly funded by OECD Gov. but managed as a Private Company
https://infracoafrica.com/</text>
  </threadedComment>
  <threadedComment ref="P214" dT="2023-11-03T14:41:18.28" personId="{2FE83714-CFDC-44C0-AD15-D3DD5B44FB09}" id="{777E1859-BB82-488C-AF9C-472F123A340E}">
    <text>Weighted Average Terms for Multilateral Agency loans based on values from this dataset
Term:        Interest     Term      Grace
Value:        2.39%      33.67       6.96
%Known:  46.21%    52.38%   44.87%</text>
  </threadedComment>
  <threadedComment ref="Q214" dT="2023-11-06T15:46:29.89" personId="{2FE83714-CFDC-44C0-AD15-D3DD5B44FB09}" id="{16F5262F-3257-4722-AED6-4E737405028E}">
    <text>Weighted Average Terms for Multilateral Agency loans based on values from this dataset
Term:        Interest     Term      Grace
Value:        2.39%      33.67       6.96
%Known:  46.21%    52.38%   44.87%</text>
  </threadedComment>
  <threadedComment ref="S214" dT="2023-11-06T15:46:37.46" personId="{2FE83714-CFDC-44C0-AD15-D3DD5B44FB09}" id="{A1C12328-D933-4C79-B659-48B03E35223B}">
    <text>Weighted Average Terms for Multilateral Agency loans based on values from this dataset
Term:        Interest     Term      Grace
Value:        2.39%      33.67       6.96
%Known:  46.21%    52.38%   44.87%</text>
  </threadedComment>
  <threadedComment ref="K215" dT="2023-10-30T12:54:32.60" personId="{2FE83714-CFDC-44C0-AD15-D3DD5B44FB09}" id="{C0E0EC85-7AD8-4AC9-90EF-C79163B91CF9}">
    <text>Based on total Project cost divided by equity share between stakeholders (25% of $59 million)</text>
  </threadedComment>
  <threadedComment ref="P215" dT="2023-10-30T13:06:44.64" personId="{2FE83714-CFDC-44C0-AD15-D3DD5B44FB09}" id="{737C6D05-8824-4784-BFD6-AEA20F5562DD}">
    <text>Based on Equity ROE for Private solar investments:
Page 38 (PDF Page 40)
https://core.ac.uk/download/pdf/43542198.pdf</text>
  </threadedComment>
  <threadedComment ref="Q215" dT="2023-10-30T12:59:44.68" personId="{2FE83714-CFDC-44C0-AD15-D3DD5B44FB09}" id="{CCA3F9E9-7374-4272-8E07-01D42EA17D1B}">
    <text>Based on Life-span of African Solar PV
24 years according to:
https://www.sciencedirect.com/science/article/pii/S2352340922002323
Lucy Allington, Carla Cannone, Ioannis Pappis, Karla Cervantes Barron, Will Usher, Steve Pye, Edward Brown, Mark Howells, Miriam Zachau Walker, Aniq Ahsan, Flora Charbonnier, Claire Halloran, Stephanie Hirmer, Jennifer Cronin, Constantinos Taliotis, Caroline Sundin, Vignesh Sridharan, Eunice Ramos, Maarten Brinkerink, Paul Deane, Andrii Gritsevskyi, Gustavo Moura, Arnaud Rouget, David Wogan, Edito Barcelona, Taco Niet, Holger Rogner, Franziska Bock, Jairo Quirós-Tortós, Jam Angulo-Paniagua, Satheesh Krishnamurthy, John Harrison, Long Seng To,
Selected ‘Starter kit’ energy system modelling data for selected countries in Africa, East Asia, and South America (#CCG, 2021),
Data in Brief,
Volume 42,
2022,
108021,
ISSN 2352-3409,
https://doi.org/10.1016/j.dib.2022.108021.</text>
    <extLst>
      <x:ext xmlns:xltc2="http://schemas.microsoft.com/office/spreadsheetml/2020/threadedcomments2" uri="{F7C98A9C-CBB3-438F-8F68-D28B6AF4A901}">
        <xltc2:checksum>2806404858</xltc2:checksum>
        <xltc2:hyperlink startIndex="63" length="67" url="https://www.sciencedirect.com/science/article/pii/S2352340922002323"/>
      </x:ext>
    </extLst>
  </threadedComment>
  <threadedComment ref="K216" dT="2023-10-30T12:54:32.60" personId="{2FE83714-CFDC-44C0-AD15-D3DD5B44FB09}" id="{3983AF24-CA6D-483F-A59C-E953545522CC}">
    <text>Based on total Project cost divided by equity share between stakeholders (25% of $59 million)</text>
  </threadedComment>
  <threadedComment ref="P216" dT="2023-10-30T13:06:44.64" personId="{2FE83714-CFDC-44C0-AD15-D3DD5B44FB09}" id="{6EAE7DCA-BADD-4769-8A74-9A6B3EB7F70B}">
    <text>Based on Equity ROE for Private solar investments:
Page 38 (PDF Page 40)
https://core.ac.uk/download/pdf/43542198.pdf</text>
  </threadedComment>
  <threadedComment ref="Q216" dT="2023-10-30T12:59:44.68" personId="{2FE83714-CFDC-44C0-AD15-D3DD5B44FB09}" id="{8E9DEF29-9442-40B9-A7C4-3F6431A16EB7}">
    <text>Based on Life-span of African Solar PV
24 years according to:
https://www.sciencedirect.com/science/article/pii/S2352340922002323
Lucy Allington, Carla Cannone, Ioannis Pappis, Karla Cervantes Barron, Will Usher, Steve Pye, Edward Brown, Mark Howells, Miriam Zachau Walker, Aniq Ahsan, Flora Charbonnier, Claire Halloran, Stephanie Hirmer, Jennifer Cronin, Constantinos Taliotis, Caroline Sundin, Vignesh Sridharan, Eunice Ramos, Maarten Brinkerink, Paul Deane, Andrii Gritsevskyi, Gustavo Moura, Arnaud Rouget, David Wogan, Edito Barcelona, Taco Niet, Holger Rogner, Franziska Bock, Jairo Quirós-Tortós, Jam Angulo-Paniagua, Satheesh Krishnamurthy, John Harrison, Long Seng To,
Selected ‘Starter kit’ energy system modelling data for selected countries in Africa, East Asia, and South America (#CCG, 2021),
Data in Brief,
Volume 42,
2022,
108021,
ISSN 2352-3409,
https://doi.org/10.1016/j.dib.2022.108021.</text>
    <extLst>
      <x:ext xmlns:xltc2="http://schemas.microsoft.com/office/spreadsheetml/2020/threadedcomments2" uri="{F7C98A9C-CBB3-438F-8F68-D28B6AF4A901}">
        <xltc2:checksum>2806404858</xltc2:checksum>
        <xltc2:hyperlink startIndex="63" length="67" url="https://www.sciencedirect.com/science/article/pii/S2352340922002323"/>
      </x:ext>
    </extLst>
  </threadedComment>
  <threadedComment ref="J217" dT="2023-11-06T11:57:33.76" personId="{2FE83714-CFDC-44C0-AD15-D3DD5B44FB09}" id="{F305BAC2-2907-46A8-9D7E-9CA3C5FA75B6}">
    <text>Swiss
https://www.responsability.com/en/press-releases/successful-exit-responsability-renewable-energy-holding-becomes-independent-8-years-after-inception</text>
  </threadedComment>
  <threadedComment ref="K217" dT="2023-10-30T12:54:32.60" personId="{2FE83714-CFDC-44C0-AD15-D3DD5B44FB09}" id="{1E7957C9-E538-4D9E-AC84-D829070EA481}">
    <text>Based on total Project cost divided by equity share between stakeholders (25% of $59 million)</text>
  </threadedComment>
  <threadedComment ref="P217" dT="2023-10-30T13:06:44.64" personId="{2FE83714-CFDC-44C0-AD15-D3DD5B44FB09}" id="{41609636-8E3E-41D5-BD6D-6704D2E96EFB}">
    <text>Based on Equity ROE for Private solar investments:
Page 38 (PDF Page 40)
https://core.ac.uk/download/pdf/43542198.pdf</text>
  </threadedComment>
  <threadedComment ref="Q217" dT="2023-10-30T12:59:44.68" personId="{2FE83714-CFDC-44C0-AD15-D3DD5B44FB09}" id="{E2733E07-760B-47A2-9037-C14D29B5A926}">
    <text>Based on Life-span of African Solar PV
24 years according to:
https://www.sciencedirect.com/science/article/pii/S2352340922002323
Lucy Allington, Carla Cannone, Ioannis Pappis, Karla Cervantes Barron, Will Usher, Steve Pye, Edward Brown, Mark Howells, Miriam Zachau Walker, Aniq Ahsan, Flora Charbonnier, Claire Halloran, Stephanie Hirmer, Jennifer Cronin, Constantinos Taliotis, Caroline Sundin, Vignesh Sridharan, Eunice Ramos, Maarten Brinkerink, Paul Deane, Andrii Gritsevskyi, Gustavo Moura, Arnaud Rouget, David Wogan, Edito Barcelona, Taco Niet, Holger Rogner, Franziska Bock, Jairo Quirós-Tortós, Jam Angulo-Paniagua, Satheesh Krishnamurthy, John Harrison, Long Seng To,
Selected ‘Starter kit’ energy system modelling data for selected countries in Africa, East Asia, and South America (#CCG, 2021),
Data in Brief,
Volume 42,
2022,
108021,
ISSN 2352-3409,
https://doi.org/10.1016/j.dib.2022.108021.</text>
    <extLst>
      <x:ext xmlns:xltc2="http://schemas.microsoft.com/office/spreadsheetml/2020/threadedcomments2" uri="{F7C98A9C-CBB3-438F-8F68-D28B6AF4A901}">
        <xltc2:checksum>2806404858</xltc2:checksum>
        <xltc2:hyperlink startIndex="63" length="67" url="https://www.sciencedirect.com/science/article/pii/S2352340922002323"/>
      </x:ext>
    </extLst>
  </threadedComment>
  <threadedComment ref="K218" dT="2023-10-30T12:54:32.60" personId="{2FE83714-CFDC-44C0-AD15-D3DD5B44FB09}" id="{9C70614E-DB33-4D12-87C4-88F53E0D3FD1}">
    <text>Based on total Project cost divided by equity share between stakeholders (25% of $59 million)</text>
  </threadedComment>
  <threadedComment ref="P218" dT="2023-10-30T13:06:44.64" personId="{2FE83714-CFDC-44C0-AD15-D3DD5B44FB09}" id="{6FDC9CC1-5399-4D12-952B-9AB2D282B3FB}">
    <text>Based on Equity ROE for Private solar investments:
Page 38 (PDF Page 40)
https://core.ac.uk/download/pdf/43542198.pdf</text>
  </threadedComment>
  <threadedComment ref="Q218" dT="2023-10-30T12:59:44.68" personId="{2FE83714-CFDC-44C0-AD15-D3DD5B44FB09}" id="{5C34E7B5-EA0D-438E-8155-C956A2CA0A77}">
    <text>Based on Life-span of African Solar PV
24 years according to:
https://www.sciencedirect.com/science/article/pii/S2352340922002323
Lucy Allington, Carla Cannone, Ioannis Pappis, Karla Cervantes Barron, Will Usher, Steve Pye, Edward Brown, Mark Howells, Miriam Zachau Walker, Aniq Ahsan, Flora Charbonnier, Claire Halloran, Stephanie Hirmer, Jennifer Cronin, Constantinos Taliotis, Caroline Sundin, Vignesh Sridharan, Eunice Ramos, Maarten Brinkerink, Paul Deane, Andrii Gritsevskyi, Gustavo Moura, Arnaud Rouget, David Wogan, Edito Barcelona, Taco Niet, Holger Rogner, Franziska Bock, Jairo Quirós-Tortós, Jam Angulo-Paniagua, Satheesh Krishnamurthy, John Harrison, Long Seng To,
Selected ‘Starter kit’ energy system modelling data for selected countries in Africa, East Asia, and South America (#CCG, 2021),
Data in Brief,
Volume 42,
2022,
108021,
ISSN 2352-3409,
https://doi.org/10.1016/j.dib.2022.108021.</text>
    <extLst>
      <x:ext xmlns:xltc2="http://schemas.microsoft.com/office/spreadsheetml/2020/threadedcomments2" uri="{F7C98A9C-CBB3-438F-8F68-D28B6AF4A901}">
        <xltc2:checksum>2806404858</xltc2:checksum>
        <xltc2:hyperlink startIndex="63" length="67" url="https://www.sciencedirect.com/science/article/pii/S2352340922002323"/>
      </x:ext>
    </extLst>
  </threadedComment>
  <threadedComment ref="G219" dT="2023-10-31T10:01:15.17" personId="{41181F03-CA57-824B-97F2-03A58DAE2D5E}" id="{F37390EF-DB1A-4B16-9D36-F5BDB3F2793B}">
    <text>The first phase of the project will be funded through internal sources, a mix of equity and debt, while long-term debt will be secured for execution of the other phases of the project.</text>
  </threadedComment>
  <threadedComment ref="K219" dT="2023-10-31T10:03:55.99" personId="{2FE83714-CFDC-44C0-AD15-D3DD5B44FB09}" id="{20F7D9F6-95AF-4FF9-B78C-C7A9C34CB3B8}">
    <text>Based on GDC taking on 50% of project cost (totaling $300M)
https://www.africainvestor.com/kenya-to-receive-us-300m-for-suswa-geothermal-project/</text>
  </threadedComment>
  <threadedComment ref="Q219" dT="2023-10-31T10:03:07.06" personId="{2FE83714-CFDC-44C0-AD15-D3DD5B44FB09}" id="{E859DDBC-4951-497F-B295-B9A0F777AFE2}">
    <text>Based on Life-span of Geothermal Plants in Africa 
30 years according to:
https://www.sciencedirect.com/science/article/pii/S2352340922002323
Lucy Allington, Carla Cannone, Ioannis Pappis, Karla Cervantes Barron, Will Usher, Steve Pye, Edward Brown, Mark Howells, Miriam Zachau Walker, Aniq Ahsan, Flora Charbonnier, Claire Halloran, Stephanie Hirmer, Jennifer Cronin, Constantinos Taliotis, Caroline Sundin, Vignesh Sridharan, Eunice Ramos, Maarten Brinkerink, Paul Deane, Andrii Gritsevskyi, Gustavo Moura, Arnaud Rouget, David Wogan, Edito Barcelona, Taco Niet, Holger Rogner, Franziska Bock, Jairo Quirós-Tortós, Jam Angulo-Paniagua, Satheesh Krishnamurthy, John Harrison, Long Seng To,
Selected ‘Starter kit’ energy system modelling data for selected countries in Africa, East Asia, and South America (#CCG, 2021),
Data in Brief,
Volume 42,
2022,
108021,
ISSN 2352-3409,
https://doi.org/10.1016/j.dib.2022.108021.</text>
    <extLst>
      <x:ext xmlns:xltc2="http://schemas.microsoft.com/office/spreadsheetml/2020/threadedcomments2" uri="{F7C98A9C-CBB3-438F-8F68-D28B6AF4A901}">
        <xltc2:checksum>3771095656</xltc2:checksum>
        <xltc2:hyperlink startIndex="75" length="67" url="https://www.sciencedirect.com/science/article/pii/S2352340922002323"/>
      </x:ext>
    </extLst>
  </threadedComment>
  <threadedComment ref="G220" dT="2023-10-31T10:01:20.25" personId="{41181F03-CA57-824B-97F2-03A58DAE2D5E}" id="{9D249160-0E90-49FC-95F0-153EF6B786B5}">
    <text>The first phase of the project will be funded through internal sources, a mix of equity and debt, while long-term debt will be secured for execution of the other phases of the project.</text>
  </threadedComment>
  <threadedComment ref="K220" dT="2023-10-31T10:05:05.93" personId="{2FE83714-CFDC-44C0-AD15-D3DD5B44FB09}" id="{EAFA0A03-3932-470E-98AB-3E27EF0E8891}">
    <text>Based on CRYQ financing half of total project cost ($300M) = $150M
through 50% Equity ($75M)
and 50% Internal Debt ($75M)
https://www.africainvestor.com/kenya-to-receive-us-300m-for-suswa-geothermal-project/</text>
  </threadedComment>
  <threadedComment ref="Q220" dT="2023-10-31T10:03:07.06" personId="{2FE83714-CFDC-44C0-AD15-D3DD5B44FB09}" id="{C37D9B23-697D-4E5E-974C-64F38927B787}">
    <text>Based on Life-span of Geothermal Plants in Africa 
30 years according to:
https://www.sciencedirect.com/science/article/pii/S2352340922002323
Lucy Allington, Carla Cannone, Ioannis Pappis, Karla Cervantes Barron, Will Usher, Steve Pye, Edward Brown, Mark Howells, Miriam Zachau Walker, Aniq Ahsan, Flora Charbonnier, Claire Halloran, Stephanie Hirmer, Jennifer Cronin, Constantinos Taliotis, Caroline Sundin, Vignesh Sridharan, Eunice Ramos, Maarten Brinkerink, Paul Deane, Andrii Gritsevskyi, Gustavo Moura, Arnaud Rouget, David Wogan, Edito Barcelona, Taco Niet, Holger Rogner, Franziska Bock, Jairo Quirós-Tortós, Jam Angulo-Paniagua, Satheesh Krishnamurthy, John Harrison, Long Seng To,
Selected ‘Starter kit’ energy system modelling data for selected countries in Africa, East Asia, and South America (#CCG, 2021),
Data in Brief,
Volume 42,
2022,
108021,
ISSN 2352-3409,
https://doi.org/10.1016/j.dib.2022.108021.</text>
    <extLst>
      <x:ext xmlns:xltc2="http://schemas.microsoft.com/office/spreadsheetml/2020/threadedcomments2" uri="{F7C98A9C-CBB3-438F-8F68-D28B6AF4A901}">
        <xltc2:checksum>3771095656</xltc2:checksum>
        <xltc2:hyperlink startIndex="75" length="67" url="https://www.sciencedirect.com/science/article/pii/S2352340922002323"/>
      </x:ext>
    </extLst>
  </threadedComment>
  <threadedComment ref="G221" dT="2023-10-31T10:01:23.91" personId="{41181F03-CA57-824B-97F2-03A58DAE2D5E}" id="{0ACABAB0-5070-4E28-8827-B99EBFEA565B}">
    <text>The first phase of the project will be funded through internal sources, a mix of equity and debt, while long-term debt will be secured for execution of the other phases of the project.</text>
  </threadedComment>
  <threadedComment ref="K221" dT="2023-10-31T10:05:13.61" personId="{2FE83714-CFDC-44C0-AD15-D3DD5B44FB09}" id="{0FA2BF1D-AEAD-44D7-BFE0-30D3DF7F88DD}">
    <text>Based on CRYQ financing half of total project cost ($300M) = $150M
through 50% Equity ($75M)
and 50% Internal Debt ($75M)
https://www.africainvestor.com/kenya-to-receive-us-300m-for-suswa-geothermal-project/</text>
  </threadedComment>
  <threadedComment ref="P221" dT="2023-11-03T15:59:43.68" personId="{2FE83714-CFDC-44C0-AD15-D3DD5B44FB09}" id="{CE9F7E9C-D744-430D-9F8E-3880A3638527}">
    <text>Weighted Average Terms for Private Equity Fund Loans based on values from this dataset
Term:        Interest     Term      Grace
Value:        18.00%      20.00    10.00
%Known:   32.68%     32.68%  32.68%</text>
  </threadedComment>
  <threadedComment ref="Q221" dT="2023-11-06T16:55:00.92" personId="{2FE83714-CFDC-44C0-AD15-D3DD5B44FB09}" id="{56F97636-6B5A-4863-9AE6-7CDF734937AA}">
    <text>Weighted Average Terms for Private Equity Fund Loans based on values from this dataset
Term:        Interest     Term      Grace
Value:        18.00%      20.00    10.00
%Known:   32.68%     32.68%  32.68%</text>
  </threadedComment>
  <threadedComment ref="S221" dT="2023-11-06T16:55:05.23" personId="{2FE83714-CFDC-44C0-AD15-D3DD5B44FB09}" id="{B2F9E898-C48F-4C52-B169-92DBCE0F68C0}">
    <text>Weighted Average Terms for Private Equity Fund Loans based on values from this dataset
Term:        Interest     Term      Grace
Value:        18.00%      20.00    10.00
%Known:   32.68%     32.68%  32.68%</text>
  </threadedComment>
  <threadedComment ref="K222" dT="2023-10-27T14:48:36.40" personId="{2FE83714-CFDC-44C0-AD15-D3DD5B44FB09}" id="{D2E53C07-8B9F-4DB1-8C03-97699E10F81F}">
    <text xml:space="preserve">25% AfDB
25% ABSA
25% Equity
25% IFC
Page 96 (PDF Page 106)
https://documents1.worldbank.org/curated/en/549231468041382588/pdf/663630PAD0P1220Official0Use0Only090.pdf
Total Project Cost: $153M
and agrees with
https://documents1.worldbank.org/curated/en/366091468183563753/pdf/96906-P3Briefs-IFC-00029801-KenyaThikaPower-Box391454B-PULBIC-Colltitle-PPP-BRIEF.pdf 
</text>
    <extLst>
      <x:ext xmlns:xltc2="http://schemas.microsoft.com/office/spreadsheetml/2020/threadedcomments2" uri="{F7C98A9C-CBB3-438F-8F68-D28B6AF4A901}">
        <xltc2:checksum>3967747404</xltc2:checksum>
        <xltc2:hyperlink startIndex="61" length="106" url="https://documents1.worldbank.org/curated/en/549231468041382588/pdf/663630PAD0P1220Official0Use0Only090.pdf"/>
        <xltc2:hyperlink startIndex="211" length="152" url="https://documents1.worldbank.org/curated/en/366091468183563753/pdf/96906-P3Briefs-IFC-00029801-KenyaThikaPower-Box391454B-PULBIC-Colltitle-PPP-BRIEF.pdf"/>
      </x:ext>
    </extLst>
  </threadedComment>
  <threadedComment ref="P222" dT="2023-10-27T14:51:23.95" personId="{2FE83714-CFDC-44C0-AD15-D3DD5B44FB09}" id="{08363D5A-016E-43BA-93A7-8F2E618BF2F2}">
    <text>Euribor (2.34%) + up to 500bp
Page 96 (PDF Page 106)
https://documents1.worldbank.org/curated/en/549231468041382588/pdf/663630PAD0P1220Official0Use0Only090.pdf</text>
  </threadedComment>
  <threadedComment ref="Q222" dT="2023-10-27T09:01:29.45" personId="{2FE83714-CFDC-44C0-AD15-D3DD5B44FB09}" id="{5384EFC7-4714-4989-A54E-2E861166CF0C}">
    <text xml:space="preserve">Term reported in:
Page 96 (PDF Page 106)
https://documents1.worldbank.org/curated/en/549231468041382588/pdf/663630PAD0P1220Official0Use0Only090.pdf </text>
    <extLst>
      <x:ext xmlns:xltc2="http://schemas.microsoft.com/office/spreadsheetml/2020/threadedcomments2" uri="{F7C98A9C-CBB3-438F-8F68-D28B6AF4A901}">
        <xltc2:checksum>4227132586</xltc2:checksum>
        <xltc2:hyperlink startIndex="43" length="106" url="https://documents1.worldbank.org/curated/en/549231468041382588/pdf/663630PAD0P1220Official0Use0Only090.pdf"/>
      </x:ext>
    </extLst>
  </threadedComment>
  <threadedComment ref="S222" dT="2023-10-27T09:02:02.15" personId="{2FE83714-CFDC-44C0-AD15-D3DD5B44FB09}" id="{D32B055E-DAFB-45F6-8013-9AD49C221896}">
    <text xml:space="preserve">Grace Period reported in:
Page 96 (PDF Page 106)
https://documents1.worldbank.org/curated/en/549231468041382588/pdf/663630PAD0P1220Official0Use0Only090.pdf </text>
    <extLst>
      <x:ext xmlns:xltc2="http://schemas.microsoft.com/office/spreadsheetml/2020/threadedcomments2" uri="{F7C98A9C-CBB3-438F-8F68-D28B6AF4A901}">
        <xltc2:checksum>1531946752</xltc2:checksum>
        <xltc2:hyperlink startIndex="51" length="106" url="https://documents1.worldbank.org/curated/en/549231468041382588/pdf/663630PAD0P1220Official0Use0Only090.pdf"/>
      </x:ext>
    </extLst>
  </threadedComment>
  <threadedComment ref="K223" dT="2023-10-27T14:48:36.40" personId="{2FE83714-CFDC-44C0-AD15-D3DD5B44FB09}" id="{4E006130-8F64-438A-8FCD-3AD6882D6AE4}">
    <text xml:space="preserve">25% AfDB
25% ABSA
25% Equity
25% IFC
Page 96 (PDF Page 106)
https://documents1.worldbank.org/curated/en/549231468041382588/pdf/663630PAD0P1220Official0Use0Only090.pdf
Total Project Cost: $153M
and agrees with
https://documents1.worldbank.org/curated/en/366091468183563753/pdf/96906-P3Briefs-IFC-00029801-KenyaThikaPower-Box391454B-PULBIC-Colltitle-PPP-BRIEF.pdf 
</text>
    <extLst>
      <x:ext xmlns:xltc2="http://schemas.microsoft.com/office/spreadsheetml/2020/threadedcomments2" uri="{F7C98A9C-CBB3-438F-8F68-D28B6AF4A901}">
        <xltc2:checksum>3967747404</xltc2:checksum>
        <xltc2:hyperlink startIndex="61" length="106" url="https://documents1.worldbank.org/curated/en/549231468041382588/pdf/663630PAD0P1220Official0Use0Only090.pdf"/>
        <xltc2:hyperlink startIndex="211" length="152" url="https://documents1.worldbank.org/curated/en/366091468183563753/pdf/96906-P3Briefs-IFC-00029801-KenyaThikaPower-Box391454B-PULBIC-Colltitle-PPP-BRIEF.pdf"/>
      </x:ext>
    </extLst>
  </threadedComment>
  <threadedComment ref="P223" dT="2023-10-27T14:51:23.95" personId="{2FE83714-CFDC-44C0-AD15-D3DD5B44FB09}" id="{A0A4CAD6-D9FB-4396-B672-D8F6658EF298}">
    <text>Euribor (2.34%) + up to 500bp
Page 96 (PDF Page 106)
https://documents1.worldbank.org/curated/en/549231468041382588/pdf/663630PAD0P1220Official0Use0Only090.pdf</text>
  </threadedComment>
  <threadedComment ref="Q223" dT="2023-10-27T09:01:29.45" personId="{2FE83714-CFDC-44C0-AD15-D3DD5B44FB09}" id="{30680443-30A1-4A92-ADBE-E05EFB4846DD}">
    <text xml:space="preserve">Term reported in:
Page 96 (PDF Page 106)
https://documents1.worldbank.org/curated/en/549231468041382588/pdf/663630PAD0P1220Official0Use0Only090.pdf </text>
    <extLst>
      <x:ext xmlns:xltc2="http://schemas.microsoft.com/office/spreadsheetml/2020/threadedcomments2" uri="{F7C98A9C-CBB3-438F-8F68-D28B6AF4A901}">
        <xltc2:checksum>4227132586</xltc2:checksum>
        <xltc2:hyperlink startIndex="43" length="106" url="https://documents1.worldbank.org/curated/en/549231468041382588/pdf/663630PAD0P1220Official0Use0Only090.pdf"/>
      </x:ext>
    </extLst>
  </threadedComment>
  <threadedComment ref="S223" dT="2023-10-27T09:02:02.15" personId="{2FE83714-CFDC-44C0-AD15-D3DD5B44FB09}" id="{C1FD7C2E-C046-4381-90A3-19E214B6B415}">
    <text xml:space="preserve">Grace Period reported in:
Page 96 (PDF Page 106)
https://documents1.worldbank.org/curated/en/549231468041382588/pdf/663630PAD0P1220Official0Use0Only090.pdf </text>
    <extLst>
      <x:ext xmlns:xltc2="http://schemas.microsoft.com/office/spreadsheetml/2020/threadedcomments2" uri="{F7C98A9C-CBB3-438F-8F68-D28B6AF4A901}">
        <xltc2:checksum>1531946752</xltc2:checksum>
        <xltc2:hyperlink startIndex="51" length="106" url="https://documents1.worldbank.org/curated/en/549231468041382588/pdf/663630PAD0P1220Official0Use0Only090.pdf"/>
      </x:ext>
    </extLst>
  </threadedComment>
  <threadedComment ref="J224" dT="2023-11-06T15:31:13.22" personId="{2FE83714-CFDC-44C0-AD15-D3DD5B44FB09}" id="{5D1C789F-9462-44E0-B7A6-446056633EE8}">
    <text xml:space="preserve">Affiliate of Lebanese Company Matelec Group </text>
  </threadedComment>
  <threadedComment ref="K224" dT="2023-10-27T14:48:36.40" personId="{2FE83714-CFDC-44C0-AD15-D3DD5B44FB09}" id="{7C821EEB-BE16-4533-867E-61C6311C401A}">
    <text xml:space="preserve">25% AfDB
25% ABSA
25% Equity
25% IFC
Page 96 (PDF Page 106)
https://documents1.worldbank.org/curated/en/549231468041382588/pdf/663630PAD0P1220Official0Use0Only090.pdf
Total Project Cost: $153M
and agrees with
https://documents1.worldbank.org/curated/en/366091468183563753/pdf/96906-P3Briefs-IFC-00029801-KenyaThikaPower-Box391454B-PULBIC-Colltitle-PPP-BRIEF.pdf 
</text>
    <extLst>
      <x:ext xmlns:xltc2="http://schemas.microsoft.com/office/spreadsheetml/2020/threadedcomments2" uri="{F7C98A9C-CBB3-438F-8F68-D28B6AF4A901}">
        <xltc2:checksum>3967747404</xltc2:checksum>
        <xltc2:hyperlink startIndex="61" length="106" url="https://documents1.worldbank.org/curated/en/549231468041382588/pdf/663630PAD0P1220Official0Use0Only090.pdf"/>
        <xltc2:hyperlink startIndex="211" length="152" url="https://documents1.worldbank.org/curated/en/366091468183563753/pdf/96906-P3Briefs-IFC-00029801-KenyaThikaPower-Box391454B-PULBIC-Colltitle-PPP-BRIEF.pdf"/>
      </x:ext>
    </extLst>
  </threadedComment>
  <threadedComment ref="P224" dT="2023-10-27T13:16:31.16" personId="{41181F03-CA57-824B-97F2-03A58DAE2D5E}" id="{0FDA0AA4-CA07-425C-9BFD-F51105F5F173}">
    <text>IRR Page 34 
https://documents1.worldbank.org/curated/en/549231468041382588/pdf/663630PAD0P1220Official0Use0Only090.pdf</text>
  </threadedComment>
  <threadedComment ref="Q224" dT="2023-10-27T15:08:45.65" personId="{2FE83714-CFDC-44C0-AD15-D3DD5B44FB09}" id="{8BE8038C-8FBA-445B-A275-047B479BA5E5}">
    <text>Based on Technology Life-span reported in:
https://www.sciencedirect.com/science/article/pii/S2352340922002323 
Lucy Allington, Carla Cannone, Ioannis Pappis, Karla Cervantes Barron, Will Usher, Steve Pye, Edward Brown, Mark Howells, Miriam Zachau Walker, Aniq Ahsan, Flora Charbonnier, Claire Halloran, Stephanie Hirmer, Jennifer Cronin, Constantinos Taliotis, Caroline Sundin, Vignesh Sridharan, Eunice Ramos, Maarten Brinkerink, Paul Deane, Andrii Gritsevskyi, Gustavo Moura, Arnaud Rouget, David Wogan, Edito Barcelona, Taco Niet, Holger Rogner, Franziska Bock, Jairo Quirós-Tortós, Jam Angulo-Paniagua, Satheesh Krishnamurthy, John Harrison, Long Seng To,
Selected ‘Starter kit’ energy system modelling data for selected countries in Africa, East Asia, and South America (#CCG, 2021),
Data in Brief,
Volume 42,
2022,
108021,
ISSN 2352-3409,
https://doi.org/10.1016/j.dib.2022.108021.</text>
    <extLst>
      <x:ext xmlns:xltc2="http://schemas.microsoft.com/office/spreadsheetml/2020/threadedcomments2" uri="{F7C98A9C-CBB3-438F-8F68-D28B6AF4A901}">
        <xltc2:checksum>4223420963</xltc2:checksum>
        <xltc2:hyperlink startIndex="44" length="67" url="https://www.sciencedirect.com/science/article/pii/S2352340922002323"/>
      </x:ext>
    </extLst>
  </threadedComment>
  <threadedComment ref="B225" dT="2023-10-27T09:28:01.13" personId="{2FE83714-CFDC-44C0-AD15-D3DD5B44FB09}" id="{89506E8B-39E7-4657-96B7-3EB63E9035A0}">
    <text>World Bank Private Sector (?)</text>
  </threadedComment>
  <threadedComment ref="K225" dT="2023-10-27T14:48:36.40" personId="{2FE83714-CFDC-44C0-AD15-D3DD5B44FB09}" id="{8A2DA43C-5C16-468E-B8B2-952CCC2999CA}">
    <text xml:space="preserve">25% AfDB
25% ABSA
25% Equity
25% IFC
Page 96 (PDF Page 106)
https://documents1.worldbank.org/curated/en/549231468041382588/pdf/663630PAD0P1220Official0Use0Only090.pdf
Total Project Cost: $153M
and agrees with
https://documents1.worldbank.org/curated/en/366091468183563753/pdf/96906-P3Briefs-IFC-00029801-KenyaThikaPower-Box391454B-PULBIC-Colltitle-PPP-BRIEF.pdf 
</text>
    <extLst>
      <x:ext xmlns:xltc2="http://schemas.microsoft.com/office/spreadsheetml/2020/threadedcomments2" uri="{F7C98A9C-CBB3-438F-8F68-D28B6AF4A901}">
        <xltc2:checksum>3967747404</xltc2:checksum>
        <xltc2:hyperlink startIndex="61" length="106" url="https://documents1.worldbank.org/curated/en/549231468041382588/pdf/663630PAD0P1220Official0Use0Only090.pdf"/>
        <xltc2:hyperlink startIndex="211" length="152" url="https://documents1.worldbank.org/curated/en/366091468183563753/pdf/96906-P3Briefs-IFC-00029801-KenyaThikaPower-Box391454B-PULBIC-Colltitle-PPP-BRIEF.pdf"/>
      </x:ext>
    </extLst>
  </threadedComment>
  <threadedComment ref="P225" dT="2023-10-27T14:51:23.95" personId="{2FE83714-CFDC-44C0-AD15-D3DD5B44FB09}" id="{132CC8EF-BD21-419E-BD9C-30EF40E476F3}">
    <text>Euribor (2.34%) + up to 500bp
Page 96 (PDF Page 106)
https://documents1.worldbank.org/curated/en/549231468041382588/pdf/663630PAD0P1220Official0Use0Only090.pdf</text>
  </threadedComment>
  <threadedComment ref="Q225" dT="2023-10-27T09:01:29.45" personId="{2FE83714-CFDC-44C0-AD15-D3DD5B44FB09}" id="{B9DCA605-BC36-4836-B466-08EBF672D522}">
    <text xml:space="preserve">Term reported in:
Page 96 (PDF Page 106)
https://documents1.worldbank.org/curated/en/549231468041382588/pdf/663630PAD0P1220Official0Use0Only090.pdf </text>
    <extLst>
      <x:ext xmlns:xltc2="http://schemas.microsoft.com/office/spreadsheetml/2020/threadedcomments2" uri="{F7C98A9C-CBB3-438F-8F68-D28B6AF4A901}">
        <xltc2:checksum>4227132586</xltc2:checksum>
        <xltc2:hyperlink startIndex="43" length="106" url="https://documents1.worldbank.org/curated/en/549231468041382588/pdf/663630PAD0P1220Official0Use0Only090.pdf"/>
      </x:ext>
    </extLst>
  </threadedComment>
  <threadedComment ref="S225" dT="2023-10-27T09:02:02.15" personId="{2FE83714-CFDC-44C0-AD15-D3DD5B44FB09}" id="{FFC56891-69C1-4FC3-9200-D553107C6F3B}">
    <text xml:space="preserve">Grace Period reported in:
Page 96 (PDF Page 106)
https://documents1.worldbank.org/curated/en/549231468041382588/pdf/663630PAD0P1220Official0Use0Only090.pdf </text>
    <extLst>
      <x:ext xmlns:xltc2="http://schemas.microsoft.com/office/spreadsheetml/2020/threadedcomments2" uri="{F7C98A9C-CBB3-438F-8F68-D28B6AF4A901}">
        <xltc2:checksum>1531946752</xltc2:checksum>
        <xltc2:hyperlink startIndex="51" length="106" url="https://documents1.worldbank.org/curated/en/549231468041382588/pdf/663630PAD0P1220Official0Use0Only090.pdf"/>
      </x:ext>
    </extLst>
  </threadedComment>
  <threadedComment ref="H226" dT="2023-11-06T11:43:12.77" personId="{2FE83714-CFDC-44C0-AD15-D3DD5B44FB09}" id="{C6A43BE7-ECFD-40F0-A48D-8B8CE7482AC4}">
    <text>Publicly funded by OECD Gov. but managed as a Private Company
https://infracoafrica.com/</text>
  </threadedComment>
  <threadedComment ref="K226" dT="2023-10-27T15:14:40.58" personId="{2FE83714-CFDC-44C0-AD15-D3DD5B44FB09}" id="{84686DCA-91CD-4645-BB56-87FEADA808EA}">
    <text xml:space="preserve">Financed by PIDG
http://data.pidg.org/projects/view.htm?id=1542 </text>
    <extLst>
      <x:ext xmlns:xltc2="http://schemas.microsoft.com/office/spreadsheetml/2020/threadedcomments2" uri="{F7C98A9C-CBB3-438F-8F68-D28B6AF4A901}">
        <xltc2:checksum>96630993</xltc2:checksum>
        <xltc2:hyperlink startIndex="18" length="46" url="http://data.pidg.org/projects/view.htm?id=1542"/>
      </x:ext>
    </extLst>
  </threadedComment>
  <threadedComment ref="P226" dT="2023-11-03T14:41:18.28" personId="{2FE83714-CFDC-44C0-AD15-D3DD5B44FB09}" id="{22EEC325-D2B6-4566-9CE5-11EBC1003F87}">
    <text>Weighted Average Terms for Multilateral Agency loans based on values from this dataset
Term:        Interest     Term      Grace
Value:        2.39%      33.67       6.96
%Known:  46.21%    52.38%   44.87%</text>
  </threadedComment>
  <threadedComment ref="Q226" dT="2023-11-06T15:46:29.89" personId="{2FE83714-CFDC-44C0-AD15-D3DD5B44FB09}" id="{71DF0881-D795-4606-9AFC-0F5325F11EB4}">
    <text>Weighted Average Terms for Multilateral Agency loans based on values from this dataset
Term:        Interest     Term      Grace
Value:        2.39%      33.67       6.96
%Known:  46.21%    52.38%   44.87%</text>
  </threadedComment>
  <threadedComment ref="S226" dT="2023-11-06T15:46:37.46" personId="{2FE83714-CFDC-44C0-AD15-D3DD5B44FB09}" id="{77D57070-F5FB-4459-B34E-FDED2FF1525B}">
    <text>Weighted Average Terms for Multilateral Agency loans based on values from this dataset
Term:        Interest     Term      Grace
Value:        2.39%      33.67       6.96
%Known:  46.21%    52.38%   44.87%</text>
  </threadedComment>
  <threadedComment ref="K227" dT="2023-10-27T12:14:59.14" personId="{2FE83714-CFDC-44C0-AD15-D3DD5B44FB09}" id="{324CD5BC-9AF0-4D0F-9795-3614648F011F}">
    <text>$80 Million from ICBC of $108M syndicated loan between ICBC and Standard Bank (CfC Stanbic) 
Reported by the CHINA.AIDDATA
https://china.aiddata.org/projects/58740/</text>
  </threadedComment>
  <threadedComment ref="P227" dT="2023-10-27T13:08:58.15" personId="{2FE83714-CFDC-44C0-AD15-D3DD5B44FB09}" id="{BD716DA9-2D80-4DC8-9AD5-CAF6E86F7F7A}">
    <text xml:space="preserve">Standard Bank Underwritten Loan (totaling $118M) interest rate reported by the World Bank of 8.78%
Page 101 (PDF Page 111)
Reported as 6 month LIBOR (0.361%) plus 803 BP by China.Data
https://documents1.worldbank.org/curated/en/549231468041382588/pdf/663630PAD0P1220Official0Use0Only090.pdf
https://www.sciencedirect.com/science/article/pii/S136403211830861X?ref=pdf_download&amp;fr=RR-2&amp;rr=7cff56bdf94b76b3 </text>
    <extLst>
      <x:ext xmlns:xltc2="http://schemas.microsoft.com/office/spreadsheetml/2020/threadedcomments2" uri="{F7C98A9C-CBB3-438F-8F68-D28B6AF4A901}">
        <xltc2:checksum>4176842712</xltc2:checksum>
        <xltc2:hyperlink startIndex="185" length="106" url="https://documents1.worldbank.org/curated/en/549231468041382588/pdf/663630PAD0P1220Official0Use0Only090.pdf"/>
        <xltc2:hyperlink startIndex="293" length="112" url="https://www.sciencedirect.com/science/article/pii/S136403211830861X?ref=pdf_download&amp;fr=RR-2&amp;rr=7cff56bdf94b76b3"/>
      </x:ext>
    </extLst>
  </threadedComment>
  <threadedComment ref="K228" dT="2023-10-27T12:14:59.14" personId="{2FE83714-CFDC-44C0-AD15-D3DD5B44FB09}" id="{7F01435F-63A8-4BB2-9973-9F258850725F}">
    <text>$28 Million from CfC Stanbic of $108M syndicated loan between ICBC and Standard Bank (CfC Stanbic) 
Reported by the CHINA.AIDDATA
https://china.aiddata.org/projects/58740/</text>
  </threadedComment>
  <threadedComment ref="P228" dT="2023-10-27T13:08:58.15" personId="{2FE83714-CFDC-44C0-AD15-D3DD5B44FB09}" id="{30B56932-30C0-4037-B0CD-DB40056DC5DF}">
    <text xml:space="preserve">Standard Bank Underwritten Loan (totaling $118M) interest rate reported by the World Bank of 8.78%
Page 101 (PDF Page 111)
Reported as 6 month LIBOR (0.361%) plus 803 BP by China.Data
https://documents1.worldbank.org/curated/en/549231468041382588/pdf/663630PAD0P1220Official0Use0Only090.pdf
https://china.aiddata.org/projects/58740/
</text>
    <extLst>
      <x:ext xmlns:xltc2="http://schemas.microsoft.com/office/spreadsheetml/2020/threadedcomments2" uri="{F7C98A9C-CBB3-438F-8F68-D28B6AF4A901}">
        <xltc2:checksum>1538988056</xltc2:checksum>
        <xltc2:hyperlink startIndex="185" length="106" url="https://documents1.worldbank.org/curated/en/549231468041382588/pdf/663630PAD0P1220Official0Use0Only090.pdf"/>
      </x:ext>
    </extLst>
  </threadedComment>
  <threadedComment ref="P228" dT="2023-11-02T19:46:53.96" personId="{2FE83714-CFDC-44C0-AD15-D3DD5B44FB09}" id="{3CE0E4C2-14A6-4E88-95E7-9DBE17B91E76}" parentId="{30B56932-30C0-4037-B0CD-DB40056DC5DF}">
    <text>6-month LIBOR of 0.75% and a spread of 803 bps</text>
  </threadedComment>
  <threadedComment ref="G229" dT="2023-10-27T15:54:00.87" personId="{41181F03-CA57-824B-97F2-03A58DAE2D5E}" id="{D736D16D-EF50-4A56-8990-6EC28F9E2453}">
    <text>subordinated debt facility</text>
  </threadedComment>
  <threadedComment ref="K229" dT="2023-10-27T15:30:37.48" personId="{2FE83714-CFDC-44C0-AD15-D3DD5B44FB09}" id="{55693927-85DA-4190-AB1A-2A65A4BD291A}">
    <text>Equity equals 25% of the project
of which 
1.9% is equity
23.1% is Shareholder Loans
Page 101 (PDF Page 111)
https://documents1.worldbank.org/curated/en/549231468041382588/pdf/663630PAD0P1220Official0Use0Only090.pdf</text>
  </threadedComment>
  <threadedComment ref="P229" dT="2023-10-27T13:12:56.86" personId="{2FE83714-CFDC-44C0-AD15-D3DD5B44FB09}" id="{8DDE39BC-A8C9-49BE-A114-7216165A570B}">
    <text>Reported as Shareholder Loan Interest Rate of 18% by World Bank
Page 101 (PDF Page 111)
https://documents1.worldbank.org/curated/en/549231468041382588/pdf/663630PAD0P1220Official0Use0Only090.pdf</text>
  </threadedComment>
  <threadedComment ref="Q229" dT="2023-10-27T15:52:06.13" personId="{2FE83714-CFDC-44C0-AD15-D3DD5B44FB09}" id="{E5874FDC-FC86-4E1F-960F-FD36891D0848}">
    <text xml:space="preserve">20 year door-to-door maturity
Page 101 (PDF Page 111)
https://documents1.worldbank.org/curated/en/549231468041382588/pdf/663630PAD0P1220Official0Use0Only090.pdf </text>
    <extLst>
      <x:ext xmlns:xltc2="http://schemas.microsoft.com/office/spreadsheetml/2020/threadedcomments2" uri="{F7C98A9C-CBB3-438F-8F68-D28B6AF4A901}">
        <xltc2:checksum>1015831124</xltc2:checksum>
        <xltc2:hyperlink startIndex="55" length="106" url="https://documents1.worldbank.org/curated/en/549231468041382588/pdf/663630PAD0P1220Official0Use0Only090.pdf"/>
      </x:ext>
    </extLst>
  </threadedComment>
  <threadedComment ref="S229" dT="2023-10-27T15:52:35.76" personId="{2FE83714-CFDC-44C0-AD15-D3DD5B44FB09}" id="{F58C2836-807E-4C83-9308-43D8A034BCC4}">
    <text xml:space="preserve">10 year grace period
Page 101 (PDF Page 111)
https://documents1.worldbank.org/curated/en/549231468041382588/pdf/663630PAD0P1220Official0Use0Only090.pdf </text>
    <extLst>
      <x:ext xmlns:xltc2="http://schemas.microsoft.com/office/spreadsheetml/2020/threadedcomments2" uri="{F7C98A9C-CBB3-438F-8F68-D28B6AF4A901}">
        <xltc2:checksum>3389048114</xltc2:checksum>
        <xltc2:hyperlink startIndex="46" length="106" url="https://documents1.worldbank.org/curated/en/549231468041382588/pdf/663630PAD0P1220Official0Use0Only090.pdf"/>
      </x:ext>
    </extLst>
  </threadedComment>
  <threadedComment ref="K230" dT="2023-10-27T15:30:37.48" personId="{2FE83714-CFDC-44C0-AD15-D3DD5B44FB09}" id="{533ADC8D-1976-49EF-9842-8D631BFE7541}">
    <text>Equity equals 25% of the project
of which 
1.9% is equity
23.1% is Shareholder Loans
Page 101 (PDF Page 111)
https://documents1.worldbank.org/curated/en/549231468041382588/pdf/663630PAD0P1220Official0Use0Only090.pdf</text>
  </threadedComment>
  <threadedComment ref="P230" dT="2023-10-27T13:17:28.62" personId="{41181F03-CA57-824B-97F2-03A58DAE2D5E}" id="{754D716C-35EE-4A5E-9EA3-1233601E2A75}">
    <text>IRR Page 34 
https://documents1.worldbank.org/curated/en/549231468041382588/pdf/663630PAD0P1220Official0Use0Only090.pdf</text>
  </threadedComment>
  <threadedComment ref="Q230" dT="2023-10-27T11:52:31.41" personId="{2FE83714-CFDC-44C0-AD15-D3DD5B44FB09}" id="{8151D216-B6D9-4DC1-BA6A-60DB9311FC3F}">
    <text>Based on Operational Life of LFO/MSD Power Plants reported in:
https://www.sciencedirect.com/science/article/pii/S2352340922002323
Lucy Allington, Carla Cannone, Ioannis Pappis, Karla Cervantes Barron, Will Usher, Steve Pye, Edward Brown, Mark Howells, Miriam Zachau Walker, Aniq Ahsan, Flora Charbonnier, Claire Halloran, Stephanie Hirmer, Jennifer Cronin, Constantinos Taliotis, Caroline Sundin, Vignesh Sridharan, Eunice Ramos, Maarten Brinkerink, Paul Deane, Andrii Gritsevskyi, Gustavo Moura, Arnaud Rouget, David Wogan, Edito Barcelona, Taco Niet, Holger Rogner, Franziska Bock, Jairo Quirós-Tortós, Jam Angulo-Paniagua, Satheesh Krishnamurthy, John Harrison, Long Seng To,
Selected ‘Starter kit’ energy system modelling data for selected countries in Africa, East Asia, and South America (#CCG, 2021),
Data in Brief,
Volume 42,
2022,
108021,
ISSN 2352-3409,
https://doi.org/10.1016/j.dib.2022.108021.</text>
    <extLst>
      <x:ext xmlns:xltc2="http://schemas.microsoft.com/office/spreadsheetml/2020/threadedcomments2" uri="{F7C98A9C-CBB3-438F-8F68-D28B6AF4A901}">
        <xltc2:checksum>4069484688</xltc2:checksum>
        <xltc2:hyperlink startIndex="64" length="67" url="https://www.sciencedirect.com/science/article/pii/S2352340922002323"/>
      </x:ext>
    </extLst>
  </threadedComment>
</ThreadedComments>
</file>

<file path=xl/threadedComments/threadedComment4.xml><?xml version="1.0" encoding="utf-8"?>
<ThreadedComments xmlns="http://schemas.microsoft.com/office/spreadsheetml/2018/threadedcomments" xmlns:x="http://schemas.openxmlformats.org/spreadsheetml/2006/main">
  <threadedComment ref="A7" dT="2024-11-20T15:38:42.93" personId="{DE3E8B1A-35FC-4CF1-9A26-393D66D9D527}" id="{34C03367-D8D1-8A43-8BBC-D7B9EB4364D1}">
    <text>The cash flow generation of State-Owned Enterprises (SOEs) should include annual figures from all utilities operating in the country. The appropriate indicator on the cash flow statements is 'net cash from operating activities.' This metric represents the cash available for the corporation to either invest directly as their equity or to fulfill debts related to investment financing.</text>
  </threadedComment>
</ThreadedComments>
</file>

<file path=xl/threadedComments/threadedComment5.xml><?xml version="1.0" encoding="utf-8"?>
<ThreadedComments xmlns="http://schemas.microsoft.com/office/spreadsheetml/2018/threadedcomments" xmlns:x="http://schemas.openxmlformats.org/spreadsheetml/2006/main">
  <threadedComment ref="A117" dT="2023-06-22T11:02:39.22" personId="{718026A0-F262-4378-9719-0916FC4494C6}" id="{FACB7869-3589-43DB-95C5-21EC12843EEC}">
    <text>Extra cost of technologies in the net zero Scenario compared to the base scenario</text>
  </threadedComment>
</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2.xml"/><Relationship Id="rId4" Type="http://schemas.microsoft.com/office/2017/10/relationships/threadedComment" Target="../threadedComments/threadedComment1.xml"/></Relationships>
</file>

<file path=xl/worksheets/_rels/sheet3.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2.bin"/><Relationship Id="rId4" Type="http://schemas.microsoft.com/office/2017/10/relationships/threadedComment" Target="../threadedComments/threadedComment3.xml"/></Relationships>
</file>

<file path=xl/worksheets/_rels/sheet6.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3.bin"/><Relationship Id="rId4" Type="http://schemas.microsoft.com/office/2017/10/relationships/threadedComment" Target="../threadedComments/threadedComment4.xml"/></Relationships>
</file>

<file path=xl/worksheets/_rels/sheet7.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4.bin"/><Relationship Id="rId4" Type="http://schemas.microsoft.com/office/2017/10/relationships/threadedComment" Target="../threadedComments/threadedComment5.x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91242E-E11A-9642-8BAB-ACCF964E0BB9}">
  <dimension ref="B1:S84"/>
  <sheetViews>
    <sheetView tabSelected="1" topLeftCell="F18" zoomScale="125" zoomScaleNormal="100" workbookViewId="0">
      <selection activeCell="M41" sqref="M41"/>
    </sheetView>
  </sheetViews>
  <sheetFormatPr defaultColWidth="10.796875" defaultRowHeight="15.75"/>
  <cols>
    <col min="1" max="1" width="5.53125" style="486" customWidth="1"/>
    <col min="2" max="2" width="24.796875" style="486" customWidth="1"/>
    <col min="3" max="3" width="17.46484375" style="486" bestFit="1" customWidth="1"/>
    <col min="4" max="4" width="10.796875" style="486"/>
    <col min="5" max="5" width="17.46484375" style="486" bestFit="1" customWidth="1"/>
    <col min="6" max="7" width="10.796875" style="486"/>
    <col min="8" max="8" width="16" style="486" bestFit="1" customWidth="1"/>
    <col min="9" max="10" width="10.796875" style="486"/>
    <col min="11" max="11" width="13.46484375" style="486" bestFit="1" customWidth="1"/>
    <col min="12" max="12" width="36.46484375" style="486" bestFit="1" customWidth="1"/>
    <col min="13" max="13" width="13.796875" style="486" bestFit="1" customWidth="1"/>
    <col min="14" max="14" width="13.46484375" style="486" bestFit="1" customWidth="1"/>
    <col min="15" max="15" width="31.796875" style="486" bestFit="1" customWidth="1"/>
    <col min="16" max="16384" width="10.796875" style="486"/>
  </cols>
  <sheetData>
    <row r="1" spans="2:13" s="481" customFormat="1" ht="14.25"/>
    <row r="2" spans="2:13" s="481" customFormat="1" ht="26.25" customHeight="1">
      <c r="B2" s="483"/>
    </row>
    <row r="3" spans="2:13" s="481" customFormat="1" ht="93.75">
      <c r="B3" s="484" t="s">
        <v>0</v>
      </c>
    </row>
    <row r="4" spans="2:13" s="481" customFormat="1" ht="49.05" customHeight="1">
      <c r="B4" s="485" t="s">
        <v>1</v>
      </c>
    </row>
    <row r="5" spans="2:13" s="481" customFormat="1" ht="14.25"/>
    <row r="6" spans="2:13" ht="16.149999999999999" thickBot="1"/>
    <row r="7" spans="2:13" ht="31.9">
      <c r="B7" s="525" t="s">
        <v>2</v>
      </c>
      <c r="C7" s="526"/>
      <c r="E7" s="596" t="s">
        <v>3</v>
      </c>
      <c r="F7" s="597"/>
      <c r="G7" s="597"/>
      <c r="H7" s="597"/>
      <c r="I7" s="597"/>
      <c r="J7" s="597"/>
      <c r="K7" s="597"/>
      <c r="L7" s="597"/>
      <c r="M7" s="598"/>
    </row>
    <row r="8" spans="2:13">
      <c r="E8" s="599"/>
      <c r="F8" s="600"/>
      <c r="G8" s="600"/>
      <c r="H8" s="600"/>
      <c r="I8" s="600"/>
      <c r="J8" s="600"/>
      <c r="K8" s="600"/>
      <c r="L8" s="600"/>
      <c r="M8" s="601"/>
    </row>
    <row r="9" spans="2:13" ht="29.25">
      <c r="B9" s="527" t="s">
        <v>4</v>
      </c>
      <c r="C9" s="526"/>
      <c r="E9" s="599"/>
      <c r="F9" s="600"/>
      <c r="G9" s="600"/>
      <c r="H9" s="600"/>
      <c r="I9" s="600"/>
      <c r="J9" s="600"/>
      <c r="K9" s="600"/>
      <c r="L9" s="600"/>
      <c r="M9" s="601"/>
    </row>
    <row r="10" spans="2:13" ht="21" customHeight="1">
      <c r="B10" s="487"/>
      <c r="E10" s="599"/>
      <c r="F10" s="600"/>
      <c r="G10" s="600"/>
      <c r="H10" s="600"/>
      <c r="I10" s="600"/>
      <c r="J10" s="600"/>
      <c r="K10" s="600"/>
      <c r="L10" s="600"/>
      <c r="M10" s="601"/>
    </row>
    <row r="11" spans="2:13" ht="21" customHeight="1">
      <c r="B11" s="528" t="s">
        <v>5</v>
      </c>
      <c r="C11" s="526"/>
      <c r="E11" s="599"/>
      <c r="F11" s="600"/>
      <c r="G11" s="600"/>
      <c r="H11" s="600"/>
      <c r="I11" s="600"/>
      <c r="J11" s="600"/>
      <c r="K11" s="600"/>
      <c r="L11" s="600"/>
      <c r="M11" s="601"/>
    </row>
    <row r="12" spans="2:13" ht="21" customHeight="1">
      <c r="B12" s="528" t="s">
        <v>6</v>
      </c>
      <c r="C12" s="526"/>
      <c r="E12" s="599"/>
      <c r="F12" s="600"/>
      <c r="G12" s="600"/>
      <c r="H12" s="600"/>
      <c r="I12" s="600"/>
      <c r="J12" s="600"/>
      <c r="K12" s="600"/>
      <c r="L12" s="600"/>
      <c r="M12" s="601"/>
    </row>
    <row r="13" spans="2:13" ht="21" customHeight="1" thickBot="1">
      <c r="B13" s="528" t="s">
        <v>7</v>
      </c>
      <c r="C13" s="526"/>
      <c r="E13" s="602"/>
      <c r="F13" s="603"/>
      <c r="G13" s="603"/>
      <c r="H13" s="603"/>
      <c r="I13" s="603"/>
      <c r="J13" s="603"/>
      <c r="K13" s="603"/>
      <c r="L13" s="603"/>
      <c r="M13" s="604"/>
    </row>
    <row r="14" spans="2:13" ht="21" customHeight="1" thickBot="1">
      <c r="B14" s="488"/>
    </row>
    <row r="15" spans="2:13" ht="21" customHeight="1">
      <c r="B15" s="593" t="s">
        <v>5</v>
      </c>
      <c r="C15" s="595"/>
      <c r="E15" s="593" t="s">
        <v>6</v>
      </c>
      <c r="F15" s="595"/>
      <c r="H15" s="593" t="s">
        <v>7</v>
      </c>
      <c r="I15" s="595"/>
      <c r="K15" s="593" t="s">
        <v>8</v>
      </c>
      <c r="L15" s="594"/>
      <c r="M15" s="595"/>
    </row>
    <row r="16" spans="2:13">
      <c r="B16" s="535" t="s">
        <v>9</v>
      </c>
      <c r="C16" s="536" t="s">
        <v>10</v>
      </c>
      <c r="E16" s="535" t="s">
        <v>9</v>
      </c>
      <c r="F16" s="536" t="s">
        <v>10</v>
      </c>
      <c r="H16" s="535" t="s">
        <v>9</v>
      </c>
      <c r="I16" s="536" t="s">
        <v>10</v>
      </c>
      <c r="K16" s="535" t="s">
        <v>9</v>
      </c>
      <c r="L16" s="532" t="s">
        <v>10</v>
      </c>
      <c r="M16" s="552" t="s">
        <v>11</v>
      </c>
    </row>
    <row r="17" spans="2:19">
      <c r="B17" s="538" t="s">
        <v>12</v>
      </c>
      <c r="C17" s="534"/>
      <c r="D17" s="490" t="s">
        <v>13</v>
      </c>
      <c r="E17" s="537" t="s">
        <v>14</v>
      </c>
      <c r="F17" s="534"/>
      <c r="G17" s="490" t="s">
        <v>13</v>
      </c>
      <c r="H17" s="537" t="s">
        <v>9</v>
      </c>
      <c r="I17" s="534"/>
      <c r="J17" s="490" t="s">
        <v>13</v>
      </c>
      <c r="K17" s="538" t="s">
        <v>15</v>
      </c>
      <c r="L17" s="549" t="s">
        <v>16</v>
      </c>
      <c r="M17" s="534" t="s">
        <v>17</v>
      </c>
    </row>
    <row r="18" spans="2:19">
      <c r="B18" s="538" t="s">
        <v>18</v>
      </c>
      <c r="C18" s="534" t="s">
        <v>19</v>
      </c>
      <c r="D18" s="490" t="s">
        <v>13</v>
      </c>
      <c r="E18" s="537" t="s">
        <v>20</v>
      </c>
      <c r="F18" s="534"/>
      <c r="G18" s="490" t="s">
        <v>13</v>
      </c>
      <c r="H18" s="537" t="s">
        <v>20</v>
      </c>
      <c r="I18" s="534"/>
      <c r="J18" s="490" t="s">
        <v>13</v>
      </c>
      <c r="K18" s="538" t="s">
        <v>21</v>
      </c>
      <c r="L18" s="549" t="s">
        <v>22</v>
      </c>
      <c r="M18" s="534" t="s">
        <v>23</v>
      </c>
    </row>
    <row r="19" spans="2:19">
      <c r="B19" s="538" t="s">
        <v>24</v>
      </c>
      <c r="C19" s="534"/>
      <c r="D19" s="490" t="s">
        <v>13</v>
      </c>
      <c r="E19" s="537" t="s">
        <v>25</v>
      </c>
      <c r="F19" s="534"/>
      <c r="G19" s="490" t="s">
        <v>13</v>
      </c>
      <c r="H19" s="537" t="s">
        <v>25</v>
      </c>
      <c r="I19" s="534" t="s">
        <v>26</v>
      </c>
      <c r="J19" s="490" t="s">
        <v>13</v>
      </c>
      <c r="K19" s="538" t="s">
        <v>27</v>
      </c>
      <c r="L19" s="549" t="s">
        <v>28</v>
      </c>
      <c r="M19" s="534" t="s">
        <v>29</v>
      </c>
      <c r="R19" s="492"/>
      <c r="S19" s="492"/>
    </row>
    <row r="20" spans="2:19">
      <c r="B20" s="538" t="s">
        <v>30</v>
      </c>
      <c r="C20" s="534"/>
      <c r="D20" s="490" t="s">
        <v>13</v>
      </c>
      <c r="E20" s="537" t="s">
        <v>31</v>
      </c>
      <c r="F20" s="534"/>
      <c r="G20" s="490" t="s">
        <v>13</v>
      </c>
      <c r="H20" s="537" t="s">
        <v>31</v>
      </c>
      <c r="I20" s="534"/>
      <c r="J20" s="490" t="s">
        <v>13</v>
      </c>
      <c r="K20" s="538" t="s">
        <v>32</v>
      </c>
      <c r="L20" s="549" t="s">
        <v>33</v>
      </c>
      <c r="M20" s="534" t="s">
        <v>34</v>
      </c>
      <c r="R20" s="492"/>
      <c r="S20" s="492"/>
    </row>
    <row r="21" spans="2:19">
      <c r="B21" s="538" t="s">
        <v>35</v>
      </c>
      <c r="C21" s="534"/>
      <c r="D21" s="490" t="s">
        <v>13</v>
      </c>
      <c r="E21" s="538" t="s">
        <v>36</v>
      </c>
      <c r="F21" s="534"/>
      <c r="G21" s="490" t="s">
        <v>13</v>
      </c>
      <c r="H21" s="538" t="s">
        <v>37</v>
      </c>
      <c r="I21" s="534" t="s">
        <v>38</v>
      </c>
      <c r="J21" s="490" t="s">
        <v>13</v>
      </c>
      <c r="K21" s="538" t="s">
        <v>39</v>
      </c>
      <c r="L21" s="549" t="s">
        <v>40</v>
      </c>
      <c r="M21" s="534" t="s">
        <v>34</v>
      </c>
      <c r="R21" s="492"/>
      <c r="S21" s="492"/>
    </row>
    <row r="22" spans="2:19">
      <c r="B22" s="538" t="s">
        <v>41</v>
      </c>
      <c r="C22" s="534" t="s">
        <v>42</v>
      </c>
      <c r="D22" s="490" t="s">
        <v>13</v>
      </c>
      <c r="E22" s="538" t="s">
        <v>43</v>
      </c>
      <c r="F22" s="534"/>
      <c r="G22" s="490" t="s">
        <v>13</v>
      </c>
      <c r="H22" s="538" t="s">
        <v>44</v>
      </c>
      <c r="I22" s="534"/>
      <c r="J22" s="490" t="s">
        <v>13</v>
      </c>
      <c r="K22" s="538" t="s">
        <v>45</v>
      </c>
      <c r="L22" s="549" t="s">
        <v>46</v>
      </c>
      <c r="M22" s="534" t="s">
        <v>47</v>
      </c>
      <c r="R22" s="492"/>
      <c r="S22" s="492"/>
    </row>
    <row r="23" spans="2:19">
      <c r="B23" s="538" t="s">
        <v>48</v>
      </c>
      <c r="C23" s="534"/>
      <c r="D23" s="490" t="s">
        <v>13</v>
      </c>
      <c r="E23" s="538" t="s">
        <v>49</v>
      </c>
      <c r="F23" s="534"/>
      <c r="G23" s="490" t="s">
        <v>13</v>
      </c>
      <c r="H23" s="538" t="s">
        <v>50</v>
      </c>
      <c r="I23" s="534"/>
      <c r="J23" s="490" t="s">
        <v>13</v>
      </c>
      <c r="K23" s="538" t="s">
        <v>51</v>
      </c>
      <c r="L23" s="549" t="s">
        <v>52</v>
      </c>
      <c r="M23" s="534" t="s">
        <v>47</v>
      </c>
      <c r="R23" s="492"/>
      <c r="S23" s="492"/>
    </row>
    <row r="24" spans="2:19" ht="16.149999999999999" thickBot="1">
      <c r="B24" s="538" t="s">
        <v>53</v>
      </c>
      <c r="C24" s="534" t="s">
        <v>54</v>
      </c>
      <c r="D24" s="490" t="s">
        <v>13</v>
      </c>
      <c r="E24" s="538" t="s">
        <v>55</v>
      </c>
      <c r="F24" s="534"/>
      <c r="G24" s="490" t="s">
        <v>13</v>
      </c>
      <c r="H24" s="539" t="s">
        <v>56</v>
      </c>
      <c r="I24" s="540"/>
      <c r="J24" s="490" t="s">
        <v>13</v>
      </c>
      <c r="K24" s="538" t="s">
        <v>57</v>
      </c>
      <c r="L24" s="549" t="s">
        <v>58</v>
      </c>
      <c r="M24" s="534" t="s">
        <v>59</v>
      </c>
      <c r="R24" s="492"/>
      <c r="S24" s="492"/>
    </row>
    <row r="25" spans="2:19">
      <c r="B25" s="538" t="s">
        <v>60</v>
      </c>
      <c r="C25" s="534" t="s">
        <v>61</v>
      </c>
      <c r="D25" s="490" t="s">
        <v>13</v>
      </c>
      <c r="E25" s="538" t="s">
        <v>62</v>
      </c>
      <c r="F25" s="534"/>
      <c r="G25" s="490" t="s">
        <v>13</v>
      </c>
      <c r="J25" s="490" t="s">
        <v>13</v>
      </c>
      <c r="K25" s="538" t="s">
        <v>63</v>
      </c>
      <c r="L25" s="549" t="s">
        <v>64</v>
      </c>
      <c r="M25" s="534" t="s">
        <v>65</v>
      </c>
      <c r="R25" s="492"/>
      <c r="S25" s="492"/>
    </row>
    <row r="26" spans="2:19">
      <c r="B26" s="538" t="s">
        <v>66</v>
      </c>
      <c r="C26" s="534" t="s">
        <v>67</v>
      </c>
      <c r="D26" s="490" t="s">
        <v>13</v>
      </c>
      <c r="E26" s="538" t="s">
        <v>37</v>
      </c>
      <c r="F26" s="534"/>
      <c r="G26" s="490" t="s">
        <v>13</v>
      </c>
      <c r="J26" s="490" t="s">
        <v>13</v>
      </c>
      <c r="K26" s="538" t="s">
        <v>68</v>
      </c>
      <c r="L26" s="549" t="s">
        <v>69</v>
      </c>
      <c r="M26" s="534" t="s">
        <v>65</v>
      </c>
      <c r="R26" s="492"/>
      <c r="S26" s="492"/>
    </row>
    <row r="27" spans="2:19">
      <c r="B27" s="538" t="s">
        <v>70</v>
      </c>
      <c r="C27" s="534" t="s">
        <v>71</v>
      </c>
      <c r="D27" s="490" t="s">
        <v>13</v>
      </c>
      <c r="E27" s="538" t="s">
        <v>72</v>
      </c>
      <c r="F27" s="534"/>
      <c r="G27" s="490" t="s">
        <v>13</v>
      </c>
      <c r="J27" s="490" t="s">
        <v>13</v>
      </c>
      <c r="K27" s="538" t="s">
        <v>73</v>
      </c>
      <c r="L27" s="549" t="s">
        <v>74</v>
      </c>
      <c r="M27" s="534" t="s">
        <v>75</v>
      </c>
      <c r="R27" s="492"/>
    </row>
    <row r="28" spans="2:19">
      <c r="B28" s="538" t="s">
        <v>76</v>
      </c>
      <c r="C28" s="534" t="s">
        <v>77</v>
      </c>
      <c r="D28" s="490" t="s">
        <v>13</v>
      </c>
      <c r="E28" s="538" t="s">
        <v>76</v>
      </c>
      <c r="F28" s="534" t="s">
        <v>77</v>
      </c>
      <c r="G28" s="490" t="s">
        <v>13</v>
      </c>
      <c r="J28" s="490" t="s">
        <v>13</v>
      </c>
      <c r="K28" s="538" t="s">
        <v>78</v>
      </c>
      <c r="L28" s="549" t="s">
        <v>79</v>
      </c>
      <c r="M28" s="534" t="s">
        <v>75</v>
      </c>
      <c r="R28" s="492"/>
      <c r="S28" s="492"/>
    </row>
    <row r="29" spans="2:19">
      <c r="B29" s="546" t="s">
        <v>80</v>
      </c>
      <c r="C29" s="534" t="s">
        <v>81</v>
      </c>
      <c r="D29" s="490" t="s">
        <v>13</v>
      </c>
      <c r="E29" s="538" t="s">
        <v>82</v>
      </c>
      <c r="F29" s="534" t="s">
        <v>71</v>
      </c>
      <c r="G29" s="490" t="s">
        <v>13</v>
      </c>
      <c r="J29" s="490" t="s">
        <v>13</v>
      </c>
      <c r="K29" s="538" t="s">
        <v>83</v>
      </c>
      <c r="L29" s="549" t="s">
        <v>84</v>
      </c>
      <c r="M29" s="534" t="s">
        <v>75</v>
      </c>
      <c r="R29" s="492"/>
      <c r="S29" s="492"/>
    </row>
    <row r="30" spans="2:19">
      <c r="B30" s="546" t="s">
        <v>85</v>
      </c>
      <c r="C30" s="534"/>
      <c r="D30" s="490" t="s">
        <v>13</v>
      </c>
      <c r="E30" s="538" t="s">
        <v>86</v>
      </c>
      <c r="F30" s="534"/>
      <c r="G30" s="490" t="s">
        <v>13</v>
      </c>
      <c r="J30" s="490" t="s">
        <v>13</v>
      </c>
      <c r="K30" s="538" t="s">
        <v>87</v>
      </c>
      <c r="L30" s="549" t="s">
        <v>88</v>
      </c>
      <c r="M30" s="534" t="s">
        <v>89</v>
      </c>
      <c r="R30" s="492"/>
      <c r="S30" s="492"/>
    </row>
    <row r="31" spans="2:19" ht="16.149999999999999" thickBot="1">
      <c r="B31" s="541" t="s">
        <v>90</v>
      </c>
      <c r="C31" s="540" t="s">
        <v>91</v>
      </c>
      <c r="D31" s="490" t="s">
        <v>13</v>
      </c>
      <c r="E31" s="538" t="s">
        <v>92</v>
      </c>
      <c r="F31" s="534" t="s">
        <v>93</v>
      </c>
      <c r="G31" s="490" t="s">
        <v>13</v>
      </c>
      <c r="J31" s="490" t="s">
        <v>13</v>
      </c>
      <c r="K31" s="538" t="s">
        <v>94</v>
      </c>
      <c r="L31" s="549" t="s">
        <v>95</v>
      </c>
      <c r="M31" s="534" t="s">
        <v>96</v>
      </c>
      <c r="R31" s="492"/>
      <c r="S31" s="492"/>
    </row>
    <row r="32" spans="2:19" ht="16.149999999999999" thickBot="1">
      <c r="D32" s="490" t="s">
        <v>13</v>
      </c>
      <c r="E32" s="538" t="s">
        <v>97</v>
      </c>
      <c r="F32" s="534" t="s">
        <v>98</v>
      </c>
      <c r="G32" s="490" t="s">
        <v>13</v>
      </c>
      <c r="J32" s="490" t="s">
        <v>13</v>
      </c>
      <c r="K32" s="538" t="s">
        <v>99</v>
      </c>
      <c r="L32" s="549" t="s">
        <v>100</v>
      </c>
      <c r="M32" s="534" t="s">
        <v>101</v>
      </c>
      <c r="R32" s="492"/>
      <c r="S32" s="492"/>
    </row>
    <row r="33" spans="2:19" ht="19.899999999999999" thickBot="1">
      <c r="B33" s="605" t="s">
        <v>102</v>
      </c>
      <c r="C33" s="606"/>
      <c r="D33" s="490"/>
      <c r="E33" s="539" t="s">
        <v>56</v>
      </c>
      <c r="F33" s="540"/>
      <c r="G33" s="490" t="s">
        <v>13</v>
      </c>
      <c r="J33" s="490"/>
      <c r="K33" s="538" t="s">
        <v>103</v>
      </c>
      <c r="L33" s="549" t="s">
        <v>104</v>
      </c>
      <c r="M33" s="534" t="s">
        <v>105</v>
      </c>
      <c r="R33" s="492"/>
      <c r="S33" s="492"/>
    </row>
    <row r="34" spans="2:19">
      <c r="B34" s="545" t="s">
        <v>106</v>
      </c>
      <c r="C34" s="543" t="s">
        <v>56</v>
      </c>
      <c r="G34" s="490" t="s">
        <v>13</v>
      </c>
      <c r="K34" s="538" t="s">
        <v>107</v>
      </c>
      <c r="L34" s="549" t="s">
        <v>108</v>
      </c>
      <c r="M34" s="534" t="s">
        <v>109</v>
      </c>
      <c r="R34" s="492"/>
      <c r="S34" s="492"/>
    </row>
    <row r="35" spans="2:19" ht="16.149999999999999" thickBot="1">
      <c r="B35" s="538" t="s">
        <v>110</v>
      </c>
      <c r="C35" s="534" t="s">
        <v>111</v>
      </c>
      <c r="G35" s="490" t="s">
        <v>13</v>
      </c>
      <c r="K35" s="538" t="s">
        <v>112</v>
      </c>
      <c r="L35" s="549" t="s">
        <v>113</v>
      </c>
      <c r="M35" s="534" t="s">
        <v>34</v>
      </c>
      <c r="R35" s="492"/>
      <c r="S35" s="492"/>
    </row>
    <row r="36" spans="2:19" ht="19.5">
      <c r="B36" s="538" t="s">
        <v>114</v>
      </c>
      <c r="C36" s="534" t="s">
        <v>115</v>
      </c>
      <c r="E36" s="605" t="s">
        <v>116</v>
      </c>
      <c r="F36" s="606"/>
      <c r="G36" s="490" t="s">
        <v>13</v>
      </c>
      <c r="K36" s="538" t="s">
        <v>117</v>
      </c>
      <c r="L36" s="549" t="s">
        <v>118</v>
      </c>
      <c r="M36" s="534" t="s">
        <v>59</v>
      </c>
      <c r="R36" s="492"/>
      <c r="S36" s="492"/>
    </row>
    <row r="37" spans="2:19">
      <c r="B37" s="538" t="s">
        <v>119</v>
      </c>
      <c r="C37" s="534" t="s">
        <v>120</v>
      </c>
      <c r="E37" s="542" t="s">
        <v>9</v>
      </c>
      <c r="F37" s="543" t="s">
        <v>10</v>
      </c>
      <c r="G37" s="490" t="s">
        <v>13</v>
      </c>
      <c r="K37" s="538" t="s">
        <v>121</v>
      </c>
      <c r="L37" s="549" t="s">
        <v>122</v>
      </c>
      <c r="M37" s="534" t="s">
        <v>75</v>
      </c>
      <c r="R37" s="492"/>
      <c r="S37" s="492"/>
    </row>
    <row r="38" spans="2:19">
      <c r="B38" s="538" t="s">
        <v>123</v>
      </c>
      <c r="C38" s="534" t="s">
        <v>124</v>
      </c>
      <c r="E38" s="533" t="s">
        <v>125</v>
      </c>
      <c r="F38" s="534" t="s">
        <v>126</v>
      </c>
      <c r="G38" s="490" t="s">
        <v>13</v>
      </c>
      <c r="K38" s="538" t="s">
        <v>127</v>
      </c>
      <c r="L38" s="549" t="s">
        <v>128</v>
      </c>
      <c r="M38" s="534" t="s">
        <v>59</v>
      </c>
      <c r="R38" s="492"/>
      <c r="S38" s="492"/>
    </row>
    <row r="39" spans="2:19" ht="16.149999999999999" thickBot="1">
      <c r="B39" s="538" t="s">
        <v>129</v>
      </c>
      <c r="C39" s="534" t="s">
        <v>130</v>
      </c>
      <c r="E39" s="544" t="s">
        <v>131</v>
      </c>
      <c r="F39" s="540" t="s">
        <v>132</v>
      </c>
      <c r="G39" s="490" t="s">
        <v>13</v>
      </c>
      <c r="K39" s="538" t="s">
        <v>133</v>
      </c>
      <c r="L39" s="549" t="s">
        <v>134</v>
      </c>
      <c r="M39" s="534" t="s">
        <v>89</v>
      </c>
      <c r="R39" s="492"/>
      <c r="S39" s="492"/>
    </row>
    <row r="40" spans="2:19" ht="16.149999999999999" thickBot="1">
      <c r="B40" s="541" t="s">
        <v>135</v>
      </c>
      <c r="C40" s="540" t="s">
        <v>136</v>
      </c>
      <c r="G40" s="490" t="s">
        <v>13</v>
      </c>
      <c r="K40" s="538" t="s">
        <v>137</v>
      </c>
      <c r="L40" s="550" t="s">
        <v>138</v>
      </c>
      <c r="M40" s="534" t="s">
        <v>667</v>
      </c>
      <c r="R40" s="492"/>
      <c r="S40" s="492"/>
    </row>
    <row r="41" spans="2:19">
      <c r="B41" s="489"/>
      <c r="G41" s="490" t="s">
        <v>13</v>
      </c>
      <c r="K41" s="538"/>
      <c r="L41" s="550"/>
      <c r="M41" s="534"/>
      <c r="R41" s="492"/>
      <c r="S41" s="492"/>
    </row>
    <row r="42" spans="2:19">
      <c r="B42" s="489"/>
      <c r="G42" s="490" t="s">
        <v>13</v>
      </c>
      <c r="K42" s="538"/>
      <c r="L42" s="550"/>
      <c r="M42" s="534"/>
    </row>
    <row r="43" spans="2:19">
      <c r="B43" s="489"/>
      <c r="G43" s="490" t="s">
        <v>13</v>
      </c>
      <c r="K43" s="538"/>
      <c r="L43" s="550"/>
      <c r="M43" s="534"/>
    </row>
    <row r="44" spans="2:19">
      <c r="B44" s="489"/>
      <c r="G44" s="490" t="s">
        <v>13</v>
      </c>
      <c r="K44" s="538"/>
      <c r="L44" s="550"/>
      <c r="M44" s="534"/>
    </row>
    <row r="45" spans="2:19">
      <c r="B45" s="489"/>
      <c r="G45" s="490" t="s">
        <v>13</v>
      </c>
      <c r="K45" s="538"/>
      <c r="L45" s="550"/>
      <c r="M45" s="534"/>
    </row>
    <row r="46" spans="2:19">
      <c r="B46" s="489"/>
      <c r="K46" s="538"/>
      <c r="L46" s="550"/>
      <c r="M46" s="534"/>
    </row>
    <row r="47" spans="2:19">
      <c r="B47" s="489"/>
      <c r="K47" s="538"/>
      <c r="L47" s="550"/>
      <c r="M47" s="534"/>
    </row>
    <row r="48" spans="2:19">
      <c r="B48" s="493"/>
      <c r="C48" s="491"/>
      <c r="K48" s="538"/>
      <c r="L48" s="494"/>
      <c r="M48" s="534"/>
    </row>
    <row r="49" spans="2:13" ht="16.149999999999999" thickBot="1">
      <c r="B49" s="493"/>
      <c r="C49" s="491"/>
      <c r="K49" s="541"/>
      <c r="L49" s="551"/>
      <c r="M49" s="540"/>
    </row>
    <row r="50" spans="2:13">
      <c r="K50" s="489"/>
      <c r="L50" s="494"/>
    </row>
    <row r="51" spans="2:13">
      <c r="K51" s="489"/>
      <c r="L51" s="494"/>
    </row>
    <row r="52" spans="2:13">
      <c r="K52" s="489"/>
      <c r="L52" s="494"/>
    </row>
    <row r="53" spans="2:13">
      <c r="B53" s="495"/>
      <c r="C53" s="491"/>
      <c r="K53" s="489"/>
      <c r="L53" s="494"/>
    </row>
    <row r="54" spans="2:13">
      <c r="K54" s="489"/>
      <c r="L54" s="494"/>
    </row>
    <row r="55" spans="2:13">
      <c r="K55" s="489"/>
      <c r="L55" s="494"/>
    </row>
    <row r="56" spans="2:13">
      <c r="B56" s="607"/>
      <c r="C56" s="607"/>
      <c r="K56" s="489"/>
      <c r="L56" s="494"/>
    </row>
    <row r="57" spans="2:13">
      <c r="B57" s="496"/>
      <c r="C57" s="496"/>
      <c r="K57" s="489"/>
      <c r="L57" s="494"/>
    </row>
    <row r="58" spans="2:13">
      <c r="C58" s="491"/>
      <c r="K58" s="489"/>
      <c r="L58" s="494"/>
    </row>
    <row r="59" spans="2:13">
      <c r="C59" s="491"/>
      <c r="K59" s="489"/>
      <c r="L59" s="494"/>
    </row>
    <row r="60" spans="2:13">
      <c r="C60" s="491"/>
      <c r="K60" s="489"/>
      <c r="L60" s="494"/>
    </row>
    <row r="61" spans="2:13">
      <c r="C61" s="491"/>
      <c r="K61" s="489"/>
      <c r="L61" s="494"/>
    </row>
    <row r="62" spans="2:13">
      <c r="C62" s="491"/>
      <c r="K62" s="489"/>
      <c r="L62" s="494"/>
    </row>
    <row r="63" spans="2:13">
      <c r="C63" s="491"/>
      <c r="K63" s="489"/>
      <c r="L63" s="494"/>
    </row>
    <row r="64" spans="2:13">
      <c r="C64" s="491"/>
      <c r="K64" s="489"/>
      <c r="L64" s="494"/>
    </row>
    <row r="65" spans="3:12">
      <c r="C65" s="491"/>
      <c r="K65" s="489"/>
      <c r="L65" s="494"/>
    </row>
    <row r="66" spans="3:12">
      <c r="C66" s="491"/>
      <c r="K66" s="489"/>
      <c r="L66" s="494"/>
    </row>
    <row r="67" spans="3:12">
      <c r="C67" s="491"/>
      <c r="K67" s="489"/>
      <c r="L67" s="494"/>
    </row>
    <row r="68" spans="3:12">
      <c r="C68" s="491"/>
      <c r="K68" s="489"/>
      <c r="L68" s="494"/>
    </row>
    <row r="69" spans="3:12">
      <c r="C69" s="491"/>
      <c r="K69" s="489"/>
      <c r="L69" s="494"/>
    </row>
    <row r="70" spans="3:12">
      <c r="C70" s="491"/>
      <c r="K70" s="489"/>
      <c r="L70" s="494"/>
    </row>
    <row r="71" spans="3:12">
      <c r="C71" s="491"/>
      <c r="K71" s="489"/>
      <c r="L71" s="494"/>
    </row>
    <row r="72" spans="3:12">
      <c r="C72" s="491"/>
      <c r="K72" s="489"/>
      <c r="L72" s="494"/>
    </row>
    <row r="73" spans="3:12">
      <c r="C73" s="491"/>
      <c r="K73" s="489"/>
      <c r="L73" s="494"/>
    </row>
    <row r="74" spans="3:12">
      <c r="K74" s="489"/>
      <c r="L74" s="494"/>
    </row>
    <row r="75" spans="3:12">
      <c r="K75" s="489"/>
      <c r="L75" s="494"/>
    </row>
    <row r="76" spans="3:12">
      <c r="K76" s="489"/>
      <c r="L76" s="494"/>
    </row>
    <row r="77" spans="3:12">
      <c r="K77" s="489"/>
      <c r="L77" s="494"/>
    </row>
    <row r="78" spans="3:12">
      <c r="K78" s="489"/>
      <c r="L78" s="494"/>
    </row>
    <row r="79" spans="3:12">
      <c r="K79" s="489"/>
      <c r="L79" s="494"/>
    </row>
    <row r="80" spans="3:12">
      <c r="K80" s="489"/>
      <c r="L80" s="494"/>
    </row>
    <row r="81" spans="11:12">
      <c r="K81" s="489"/>
      <c r="L81" s="494"/>
    </row>
    <row r="82" spans="11:12">
      <c r="K82" s="489"/>
      <c r="L82" s="494"/>
    </row>
    <row r="83" spans="11:12">
      <c r="K83" s="489"/>
      <c r="L83" s="494"/>
    </row>
    <row r="84" spans="11:12">
      <c r="K84" s="489"/>
      <c r="L84" s="494"/>
    </row>
  </sheetData>
  <mergeCells count="8">
    <mergeCell ref="K15:M15"/>
    <mergeCell ref="E7:M13"/>
    <mergeCell ref="E36:F36"/>
    <mergeCell ref="B56:C56"/>
    <mergeCell ref="B15:C15"/>
    <mergeCell ref="E15:F15"/>
    <mergeCell ref="H15:I15"/>
    <mergeCell ref="B33:C33"/>
  </mergeCells>
  <dataValidations count="1">
    <dataValidation type="list" allowBlank="1" showInputMessage="1" showErrorMessage="1" sqref="M17:M49" xr:uid="{CB004C7C-F090-544E-8CBE-D12F2A522BF1}">
      <formula1>"Biomass, Geothermal, Solar PV, CSP, Hydropower, Onshore Wind, Offshore Wind, Nuclear, Coal, Gas, Oil, Transmission, Distribution, Battery, Other	"</formula1>
    </dataValidation>
  </dataValidations>
  <hyperlinks>
    <hyperlink ref="B13" location="'Funding Baseline'!A1" display="Funding Baseline" xr:uid="{9CF49D67-284D-694E-BD7C-7B472C5ED772}"/>
    <hyperlink ref="B12" location="'Financing Baseline'!A1" display="Financing Baseline" xr:uid="{432834B2-AEC3-0345-9C1F-EA64750C5C8B}"/>
    <hyperlink ref="B11" location="'Parameter Constraints'!A1" display="Parameter Constraints" xr:uid="{7CC51298-3893-2943-8441-44273227D8FD}"/>
  </hyperlink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BD8DFD-6633-C14F-B058-78DFA0AD7119}">
  <sheetPr codeName="Sheet1">
    <tabColor rgb="FF00B0F0"/>
  </sheetPr>
  <dimension ref="A1:BB246"/>
  <sheetViews>
    <sheetView showGridLines="0" topLeftCell="A67" zoomScale="40" zoomScaleNormal="40" zoomScalePageLayoutView="50" workbookViewId="0">
      <selection activeCell="U105" sqref="U105"/>
    </sheetView>
  </sheetViews>
  <sheetFormatPr defaultColWidth="10.796875" defaultRowHeight="14.25" outlineLevelRow="1"/>
  <cols>
    <col min="1" max="2" width="10.796875" style="33"/>
    <col min="3" max="3" width="13.46484375" style="33" customWidth="1"/>
    <col min="4" max="4" width="14.33203125" style="33" customWidth="1"/>
    <col min="5" max="5" width="13.46484375" style="33" bestFit="1" customWidth="1"/>
    <col min="6" max="6" width="12.33203125" style="33" customWidth="1"/>
    <col min="7" max="7" width="13.796875" style="33" customWidth="1"/>
    <col min="8" max="8" width="15" style="33" bestFit="1" customWidth="1"/>
    <col min="9" max="13" width="10.796875" style="33"/>
    <col min="14" max="20" width="15.46484375" style="33" customWidth="1"/>
    <col min="21" max="33" width="10.796875" style="33"/>
    <col min="34" max="37" width="10.796875" style="33" customWidth="1"/>
    <col min="38" max="38" width="13.19921875" style="33" bestFit="1" customWidth="1"/>
    <col min="39" max="42" width="10.796875" style="33" customWidth="1"/>
    <col min="43" max="16384" width="10.796875" style="33"/>
  </cols>
  <sheetData>
    <row r="1" spans="1:54" customFormat="1" ht="46.9">
      <c r="A1" s="498" t="s">
        <v>0</v>
      </c>
      <c r="B1" s="497"/>
      <c r="C1" s="497"/>
      <c r="D1" s="497"/>
      <c r="E1" s="497"/>
      <c r="F1" s="481"/>
      <c r="G1" s="481"/>
      <c r="H1" s="481"/>
      <c r="I1" s="481"/>
      <c r="J1" s="481"/>
      <c r="K1" s="481"/>
      <c r="L1" s="481"/>
      <c r="M1" s="481"/>
      <c r="N1" s="481"/>
      <c r="O1" s="481"/>
      <c r="P1" s="481"/>
      <c r="Q1" s="481"/>
      <c r="R1" s="481"/>
      <c r="S1" s="481"/>
      <c r="T1" s="481"/>
      <c r="U1" s="481"/>
      <c r="V1" s="481"/>
      <c r="W1" s="481"/>
      <c r="X1" s="481"/>
      <c r="Y1" s="481"/>
      <c r="Z1" s="481"/>
      <c r="AA1" s="481"/>
      <c r="AB1" s="481"/>
      <c r="AC1" s="481"/>
      <c r="AD1" s="481"/>
      <c r="AE1" s="481"/>
      <c r="AF1" s="481"/>
      <c r="AG1" s="481"/>
      <c r="AH1" s="481"/>
      <c r="AI1" s="481"/>
      <c r="AJ1" s="481"/>
      <c r="AK1" s="481"/>
      <c r="AL1" s="481"/>
      <c r="AM1" s="481"/>
      <c r="AN1" s="481"/>
      <c r="AO1" s="481"/>
      <c r="AP1" s="481"/>
      <c r="AQ1" s="481"/>
      <c r="AR1" s="481"/>
      <c r="AS1" s="481"/>
      <c r="AT1" s="481"/>
      <c r="AU1" s="481"/>
      <c r="AV1" s="481"/>
    </row>
    <row r="2" spans="1:54" customFormat="1" ht="25.5">
      <c r="A2" s="499" t="s">
        <v>139</v>
      </c>
      <c r="B2" s="497"/>
      <c r="C2" s="497"/>
      <c r="D2" s="497"/>
      <c r="E2" s="497"/>
      <c r="F2" s="481"/>
      <c r="G2" s="481"/>
      <c r="H2" s="481"/>
      <c r="I2" s="481"/>
      <c r="J2" s="481"/>
      <c r="K2" s="481"/>
      <c r="L2" s="481"/>
      <c r="M2" s="481"/>
      <c r="N2" s="481"/>
      <c r="O2" s="481"/>
      <c r="P2" s="481"/>
      <c r="Q2" s="481"/>
      <c r="R2" s="481"/>
      <c r="S2" s="481"/>
      <c r="T2" s="481"/>
      <c r="U2" s="481"/>
      <c r="V2" s="481"/>
      <c r="W2" s="481"/>
      <c r="X2" s="481"/>
      <c r="Y2" s="481"/>
      <c r="Z2" s="481"/>
      <c r="AA2" s="481"/>
      <c r="AB2" s="481"/>
      <c r="AC2" s="481"/>
      <c r="AD2" s="481"/>
      <c r="AE2" s="481"/>
      <c r="AF2" s="481"/>
      <c r="AG2" s="481"/>
      <c r="AH2" s="481"/>
      <c r="AI2" s="481"/>
      <c r="AJ2" s="481"/>
      <c r="AK2" s="481"/>
      <c r="AL2" s="481"/>
      <c r="AM2" s="481"/>
      <c r="AN2" s="481"/>
      <c r="AO2" s="481"/>
      <c r="AP2" s="481"/>
      <c r="AQ2" s="481"/>
      <c r="AR2" s="481"/>
      <c r="AS2" s="481"/>
      <c r="AT2" s="481"/>
      <c r="AU2" s="481"/>
      <c r="AV2" s="481"/>
    </row>
    <row r="4" spans="1:54" ht="15" customHeight="1">
      <c r="A4" s="608" t="s">
        <v>140</v>
      </c>
      <c r="B4" s="608"/>
      <c r="C4" s="608"/>
      <c r="D4" s="608"/>
      <c r="E4" s="608"/>
      <c r="F4" s="608"/>
      <c r="G4" s="608"/>
      <c r="H4" s="608"/>
      <c r="I4" s="608"/>
      <c r="J4" s="608"/>
      <c r="K4" s="608"/>
      <c r="L4" s="608"/>
      <c r="M4" s="608"/>
      <c r="N4" s="608"/>
      <c r="O4" s="608"/>
      <c r="P4" s="608"/>
      <c r="Q4" s="608"/>
      <c r="R4" s="608"/>
      <c r="S4" s="608"/>
      <c r="T4" s="608"/>
      <c r="U4" s="608"/>
      <c r="V4" s="608"/>
      <c r="W4" s="608"/>
      <c r="X4" s="608"/>
      <c r="Y4" s="608"/>
      <c r="Z4" s="608"/>
      <c r="AA4" s="608"/>
      <c r="AB4" s="608"/>
      <c r="AC4" s="608"/>
      <c r="AD4" s="608"/>
      <c r="AE4" s="608"/>
      <c r="AF4" s="608"/>
      <c r="AG4" s="608"/>
      <c r="AH4" s="608"/>
      <c r="AI4" s="608"/>
      <c r="AJ4" s="608"/>
      <c r="AK4" s="608"/>
      <c r="AL4" s="608"/>
      <c r="AM4" s="608"/>
      <c r="AN4" s="608"/>
      <c r="AO4" s="608"/>
      <c r="AP4" s="608"/>
      <c r="AQ4" s="608"/>
      <c r="AR4" s="608"/>
      <c r="AS4" s="38"/>
      <c r="AT4" s="38"/>
      <c r="AU4" s="38"/>
      <c r="AV4" s="38"/>
      <c r="AW4" s="38"/>
      <c r="AX4" s="38"/>
      <c r="AY4" s="38"/>
      <c r="AZ4" s="38"/>
      <c r="BA4" s="38"/>
      <c r="BB4" s="38"/>
    </row>
    <row r="5" spans="1:54" ht="16.05" customHeight="1" thickBot="1">
      <c r="A5" s="609"/>
      <c r="B5" s="609"/>
      <c r="C5" s="609"/>
      <c r="D5" s="609"/>
      <c r="E5" s="609"/>
      <c r="F5" s="609"/>
      <c r="G5" s="609"/>
      <c r="H5" s="609"/>
      <c r="I5" s="609"/>
      <c r="J5" s="609"/>
      <c r="K5" s="609"/>
      <c r="L5" s="609"/>
      <c r="M5" s="609"/>
      <c r="N5" s="609"/>
      <c r="O5" s="609"/>
      <c r="P5" s="609"/>
      <c r="Q5" s="609"/>
      <c r="R5" s="609"/>
      <c r="S5" s="609"/>
      <c r="T5" s="609"/>
      <c r="U5" s="609"/>
      <c r="V5" s="609"/>
      <c r="W5" s="609"/>
      <c r="X5" s="609"/>
      <c r="Y5" s="609"/>
      <c r="Z5" s="609"/>
      <c r="AA5" s="609"/>
      <c r="AB5" s="609"/>
      <c r="AC5" s="609"/>
      <c r="AD5" s="609"/>
      <c r="AE5" s="609"/>
      <c r="AF5" s="609"/>
      <c r="AG5" s="609"/>
      <c r="AH5" s="609"/>
      <c r="AI5" s="609"/>
      <c r="AJ5" s="609"/>
      <c r="AK5" s="609"/>
      <c r="AL5" s="609"/>
      <c r="AM5" s="609"/>
      <c r="AN5" s="609"/>
      <c r="AO5" s="609"/>
      <c r="AP5" s="609"/>
      <c r="AQ5" s="609"/>
      <c r="AR5" s="609"/>
      <c r="AS5" s="38"/>
      <c r="AT5" s="38"/>
      <c r="AU5" s="38"/>
      <c r="AV5" s="38"/>
      <c r="AW5" s="38"/>
      <c r="AX5" s="38"/>
      <c r="AY5" s="38"/>
      <c r="AZ5" s="38"/>
      <c r="BA5" s="38"/>
      <c r="BB5" s="38"/>
    </row>
    <row r="6" spans="1:54" outlineLevel="1"/>
    <row r="7" spans="1:54" outlineLevel="1"/>
    <row r="8" spans="1:54" outlineLevel="1"/>
    <row r="9" spans="1:54" outlineLevel="1"/>
    <row r="10" spans="1:54" outlineLevel="1"/>
    <row r="11" spans="1:54" outlineLevel="1"/>
    <row r="12" spans="1:54" outlineLevel="1"/>
    <row r="13" spans="1:54" outlineLevel="1"/>
    <row r="14" spans="1:54" outlineLevel="1"/>
    <row r="15" spans="1:54" outlineLevel="1"/>
    <row r="16" spans="1:54" outlineLevel="1"/>
    <row r="17" outlineLevel="1"/>
    <row r="18" outlineLevel="1"/>
    <row r="19" outlineLevel="1"/>
    <row r="20" outlineLevel="1"/>
    <row r="21" outlineLevel="1"/>
    <row r="22" outlineLevel="1"/>
    <row r="23" outlineLevel="1"/>
    <row r="24" outlineLevel="1"/>
    <row r="25" outlineLevel="1"/>
    <row r="26" outlineLevel="1"/>
    <row r="27" outlineLevel="1"/>
    <row r="28" outlineLevel="1"/>
    <row r="29" outlineLevel="1"/>
    <row r="30" outlineLevel="1"/>
    <row r="33" spans="1:54" ht="15" customHeight="1">
      <c r="A33" s="610" t="s">
        <v>141</v>
      </c>
      <c r="B33" s="610"/>
      <c r="C33" s="610"/>
      <c r="D33" s="610"/>
      <c r="E33" s="610"/>
      <c r="F33" s="610"/>
      <c r="G33" s="610"/>
      <c r="H33" s="610"/>
      <c r="I33" s="610"/>
      <c r="J33" s="610"/>
      <c r="K33" s="610"/>
      <c r="L33" s="610"/>
      <c r="M33" s="610"/>
      <c r="N33" s="610"/>
      <c r="O33" s="610"/>
      <c r="P33" s="610"/>
      <c r="Q33" s="610"/>
      <c r="R33" s="610"/>
      <c r="S33" s="610"/>
      <c r="T33" s="610"/>
      <c r="U33" s="610"/>
      <c r="V33" s="610"/>
      <c r="W33" s="610"/>
      <c r="X33" s="610"/>
      <c r="Y33" s="610"/>
      <c r="Z33" s="610"/>
      <c r="AA33" s="610"/>
      <c r="AB33" s="610"/>
      <c r="AC33" s="610"/>
      <c r="AD33" s="610"/>
      <c r="AE33" s="610"/>
      <c r="AF33" s="610"/>
      <c r="AG33" s="610"/>
      <c r="AH33" s="610"/>
      <c r="AI33" s="610"/>
      <c r="AJ33" s="610"/>
      <c r="AK33" s="610"/>
      <c r="AL33" s="610"/>
      <c r="AM33" s="610"/>
      <c r="AN33" s="610"/>
      <c r="AO33" s="610"/>
      <c r="AP33" s="610"/>
      <c r="AQ33" s="610"/>
      <c r="AR33" s="610"/>
      <c r="AS33" s="38"/>
      <c r="AT33" s="38"/>
      <c r="AU33" s="38"/>
      <c r="AV33" s="38"/>
      <c r="AW33" s="38"/>
      <c r="AX33" s="38"/>
      <c r="AY33" s="38"/>
      <c r="AZ33" s="38"/>
      <c r="BA33" s="38"/>
      <c r="BB33" s="38"/>
    </row>
    <row r="34" spans="1:54" ht="16.05" customHeight="1" thickBot="1">
      <c r="A34" s="611"/>
      <c r="B34" s="611"/>
      <c r="C34" s="611"/>
      <c r="D34" s="611"/>
      <c r="E34" s="611"/>
      <c r="F34" s="611"/>
      <c r="G34" s="611"/>
      <c r="H34" s="611"/>
      <c r="I34" s="611"/>
      <c r="J34" s="611"/>
      <c r="K34" s="611"/>
      <c r="L34" s="611"/>
      <c r="M34" s="611"/>
      <c r="N34" s="611"/>
      <c r="O34" s="611"/>
      <c r="P34" s="611"/>
      <c r="Q34" s="611"/>
      <c r="R34" s="611"/>
      <c r="S34" s="611"/>
      <c r="T34" s="611"/>
      <c r="U34" s="611"/>
      <c r="V34" s="611"/>
      <c r="W34" s="611"/>
      <c r="X34" s="611"/>
      <c r="Y34" s="611"/>
      <c r="Z34" s="611"/>
      <c r="AA34" s="611"/>
      <c r="AB34" s="611"/>
      <c r="AC34" s="611"/>
      <c r="AD34" s="611"/>
      <c r="AE34" s="611"/>
      <c r="AF34" s="611"/>
      <c r="AG34" s="611"/>
      <c r="AH34" s="611"/>
      <c r="AI34" s="611"/>
      <c r="AJ34" s="611"/>
      <c r="AK34" s="611"/>
      <c r="AL34" s="611"/>
      <c r="AM34" s="611"/>
      <c r="AN34" s="611"/>
      <c r="AO34" s="611"/>
      <c r="AP34" s="611"/>
      <c r="AQ34" s="611"/>
      <c r="AR34" s="611"/>
      <c r="AS34" s="38"/>
      <c r="AT34" s="38"/>
      <c r="AU34" s="38"/>
      <c r="AV34" s="38"/>
      <c r="AW34" s="38"/>
      <c r="AX34" s="38"/>
      <c r="AY34" s="38"/>
      <c r="AZ34" s="38"/>
      <c r="BA34" s="38"/>
      <c r="BB34" s="38"/>
    </row>
    <row r="35" spans="1:54" outlineLevel="1"/>
    <row r="36" spans="1:54" outlineLevel="1"/>
    <row r="37" spans="1:54" outlineLevel="1">
      <c r="AD37" s="33" t="s">
        <v>142</v>
      </c>
    </row>
    <row r="38" spans="1:54" outlineLevel="1">
      <c r="K38"/>
      <c r="AD38" s="33" t="s">
        <v>50</v>
      </c>
      <c r="AE38" s="33">
        <v>2025</v>
      </c>
      <c r="AF38" s="33">
        <v>2030</v>
      </c>
      <c r="AG38" s="33">
        <v>2035</v>
      </c>
      <c r="AH38" s="33">
        <v>2040</v>
      </c>
      <c r="AI38" s="33">
        <v>2045</v>
      </c>
      <c r="AJ38" s="33">
        <v>2050</v>
      </c>
      <c r="AK38" s="33">
        <v>2055</v>
      </c>
      <c r="AL38" s="33">
        <v>2060</v>
      </c>
      <c r="AM38" s="58">
        <v>2065</v>
      </c>
      <c r="AN38" s="58"/>
    </row>
    <row r="39" spans="1:54" outlineLevel="1">
      <c r="AD39" s="33" t="s">
        <v>143</v>
      </c>
      <c r="AE39" s="81" cm="1">
        <f t="array" ref="AE39:AM39">TRANSPOSE('OSeMOSYS (Input)'!$AG$143:$AG$151)+TRANSPOSE('OSeMOSYS (Input)'!$AC$143:$AC$151)+TRANSPOSE('OSeMOSYS (Input)'!$Z$143:$Z$151)+TRANSPOSE('OSeMOSYS (Input)'!$AF$143:$AF$151)</f>
        <v>-9.1619022097296998</v>
      </c>
      <c r="AF39" s="81">
        <v>20.411885643873653</v>
      </c>
      <c r="AG39" s="81">
        <v>57.943075262099811</v>
      </c>
      <c r="AH39" s="81">
        <v>7.0658642561425822</v>
      </c>
      <c r="AI39" s="81">
        <v>-16.93126728573354</v>
      </c>
      <c r="AJ39" s="81">
        <v>66.697633633365641</v>
      </c>
      <c r="AK39" s="81">
        <v>170.87620083744829</v>
      </c>
      <c r="AL39" s="81">
        <v>215.1789705889222</v>
      </c>
      <c r="AM39" s="300">
        <v>300.19715953449645</v>
      </c>
      <c r="AN39" s="58"/>
    </row>
    <row r="40" spans="1:54" outlineLevel="1">
      <c r="AD40" s="33" t="s">
        <v>144</v>
      </c>
      <c r="AE40" s="81" cm="1">
        <f t="array" ref="AE40:AM40">TRANSPOSE('OSeMOSYS (Input)'!$AG$143:$AG$151)+TRANSPOSE('OSeMOSYS (Input)'!$AC$143:$AC$151)+TRANSPOSE('OSeMOSYS (Input)'!$Z$143:$Z$151)+TRANSPOSE('OSeMOSYS (Input)'!$AF$143:$AF$151)</f>
        <v>-9.1619022097296998</v>
      </c>
      <c r="AF40" s="81">
        <v>20.411885643873653</v>
      </c>
      <c r="AG40" s="81">
        <v>57.943075262099811</v>
      </c>
      <c r="AH40" s="81">
        <v>7.0658642561425822</v>
      </c>
      <c r="AI40" s="81">
        <v>-16.93126728573354</v>
      </c>
      <c r="AJ40" s="81">
        <v>66.697633633365641</v>
      </c>
      <c r="AK40" s="81">
        <v>170.87620083744829</v>
      </c>
      <c r="AL40" s="81">
        <v>215.1789705889222</v>
      </c>
      <c r="AM40" s="300">
        <v>300.19715953449645</v>
      </c>
      <c r="AN40" s="58"/>
    </row>
    <row r="41" spans="1:54" outlineLevel="1">
      <c r="AD41" s="33" t="s">
        <v>145</v>
      </c>
      <c r="AE41" s="33">
        <v>1</v>
      </c>
      <c r="AF41" s="33">
        <f t="shared" ref="AF41:AM41" si="0">AE42+1</f>
        <v>5</v>
      </c>
      <c r="AG41" s="33">
        <f t="shared" si="0"/>
        <v>9</v>
      </c>
      <c r="AH41" s="33">
        <f t="shared" si="0"/>
        <v>13</v>
      </c>
      <c r="AI41" s="33">
        <f t="shared" si="0"/>
        <v>17</v>
      </c>
      <c r="AJ41" s="33">
        <f t="shared" si="0"/>
        <v>21</v>
      </c>
      <c r="AK41" s="33">
        <f t="shared" si="0"/>
        <v>25</v>
      </c>
      <c r="AL41" s="33">
        <f t="shared" si="0"/>
        <v>29</v>
      </c>
      <c r="AM41" s="58">
        <f t="shared" si="0"/>
        <v>33</v>
      </c>
      <c r="AN41" s="58"/>
    </row>
    <row r="42" spans="1:54" outlineLevel="1">
      <c r="AD42" s="33" t="s">
        <v>146</v>
      </c>
      <c r="AE42" s="33">
        <f t="shared" ref="AE42:AM42" si="1">AE41+$AE$43</f>
        <v>4</v>
      </c>
      <c r="AF42" s="33">
        <f t="shared" si="1"/>
        <v>8</v>
      </c>
      <c r="AG42" s="33">
        <f t="shared" si="1"/>
        <v>12</v>
      </c>
      <c r="AH42" s="33">
        <f t="shared" si="1"/>
        <v>16</v>
      </c>
      <c r="AI42" s="33">
        <f t="shared" si="1"/>
        <v>20</v>
      </c>
      <c r="AJ42" s="33">
        <f t="shared" si="1"/>
        <v>24</v>
      </c>
      <c r="AK42" s="33">
        <f t="shared" si="1"/>
        <v>28</v>
      </c>
      <c r="AL42" s="33">
        <f t="shared" si="1"/>
        <v>32</v>
      </c>
      <c r="AM42" s="58">
        <f t="shared" si="1"/>
        <v>36</v>
      </c>
      <c r="AN42" s="58"/>
    </row>
    <row r="43" spans="1:54" outlineLevel="1">
      <c r="AD43" s="33" t="s">
        <v>147</v>
      </c>
      <c r="AE43" s="68">
        <v>3</v>
      </c>
    </row>
    <row r="44" spans="1:54" outlineLevel="1"/>
    <row r="45" spans="1:54" outlineLevel="1"/>
    <row r="46" spans="1:54" outlineLevel="1">
      <c r="AE46" s="64"/>
      <c r="AF46" s="64"/>
      <c r="AG46" s="64"/>
      <c r="AH46" s="64"/>
      <c r="AI46" s="64"/>
      <c r="AJ46" s="64"/>
      <c r="AK46" s="64"/>
      <c r="AL46" s="64"/>
    </row>
    <row r="47" spans="1:54" outlineLevel="1">
      <c r="AI47" s="63"/>
      <c r="AJ47" s="62"/>
      <c r="AM47" s="63"/>
    </row>
    <row r="48" spans="1:54" outlineLevel="1">
      <c r="AK48" s="63"/>
      <c r="AL48" s="62"/>
      <c r="AO48" s="63"/>
    </row>
    <row r="49" spans="37:41" outlineLevel="1">
      <c r="AL49" s="62"/>
      <c r="AM49" s="63"/>
    </row>
    <row r="50" spans="37:41" outlineLevel="1">
      <c r="AK50" s="63"/>
      <c r="AL50" s="62"/>
      <c r="AO50" s="63"/>
    </row>
    <row r="51" spans="37:41" outlineLevel="1">
      <c r="AL51" s="62"/>
      <c r="AM51" s="63"/>
    </row>
    <row r="52" spans="37:41" outlineLevel="1">
      <c r="AK52" s="63"/>
      <c r="AO52" s="63"/>
    </row>
    <row r="53" spans="37:41" outlineLevel="1">
      <c r="AL53" s="62"/>
      <c r="AM53" s="63"/>
    </row>
    <row r="54" spans="37:41" outlineLevel="1">
      <c r="AK54" s="63"/>
      <c r="AL54" s="62"/>
      <c r="AO54" s="63"/>
    </row>
    <row r="55" spans="37:41" outlineLevel="1">
      <c r="AL55" s="62"/>
      <c r="AM55" s="63"/>
    </row>
    <row r="56" spans="37:41" outlineLevel="1">
      <c r="AK56" s="63"/>
      <c r="AO56" s="63"/>
    </row>
    <row r="57" spans="37:41" outlineLevel="1">
      <c r="AM57" s="63"/>
    </row>
    <row r="58" spans="37:41" outlineLevel="1">
      <c r="AK58" s="63"/>
      <c r="AL58" s="62"/>
      <c r="AO58" s="63"/>
    </row>
    <row r="59" spans="37:41" outlineLevel="1">
      <c r="AL59" s="62"/>
      <c r="AM59" s="63"/>
    </row>
    <row r="60" spans="37:41" outlineLevel="1">
      <c r="AK60" s="63"/>
      <c r="AL60" s="62"/>
      <c r="AO60" s="63"/>
    </row>
    <row r="61" spans="37:41" outlineLevel="1">
      <c r="AM61" s="63"/>
    </row>
    <row r="62" spans="37:41" outlineLevel="1"/>
    <row r="63" spans="37:41" outlineLevel="1"/>
    <row r="64" spans="37:41" outlineLevel="1"/>
    <row r="65" spans="5:35" outlineLevel="1">
      <c r="AI65" s="39"/>
    </row>
    <row r="66" spans="5:35" outlineLevel="1">
      <c r="E66" s="33" t="s">
        <v>148</v>
      </c>
      <c r="F66" s="33" t="s">
        <v>149</v>
      </c>
      <c r="AI66" s="39"/>
    </row>
    <row r="67" spans="5:35" outlineLevel="1">
      <c r="E67" s="33" t="s">
        <v>23</v>
      </c>
      <c r="F67" s="33">
        <f>SUM('Investment Needs'!C172:AV172)</f>
        <v>0</v>
      </c>
      <c r="AI67" s="39"/>
    </row>
    <row r="68" spans="5:35" outlineLevel="1">
      <c r="E68" s="33" t="s">
        <v>47</v>
      </c>
      <c r="F68" s="33">
        <f>SUM('Investment Needs'!C175:AV175)</f>
        <v>0</v>
      </c>
      <c r="AI68" s="39"/>
    </row>
    <row r="69" spans="5:35" outlineLevel="1">
      <c r="E69" s="33" t="s">
        <v>34</v>
      </c>
      <c r="F69" s="33">
        <f>SUM('Investment Needs'!C178:AV178)</f>
        <v>0</v>
      </c>
      <c r="AI69" s="39"/>
    </row>
    <row r="70" spans="5:35" outlineLevel="1">
      <c r="AI70" s="39"/>
    </row>
    <row r="71" spans="5:35" outlineLevel="1">
      <c r="AI71" s="39"/>
    </row>
    <row r="72" spans="5:35" outlineLevel="1">
      <c r="AI72" s="39"/>
    </row>
    <row r="73" spans="5:35" outlineLevel="1">
      <c r="AI73" s="39"/>
    </row>
    <row r="74" spans="5:35" outlineLevel="1">
      <c r="AI74" s="39"/>
    </row>
    <row r="75" spans="5:35" outlineLevel="1">
      <c r="AI75" s="39"/>
    </row>
    <row r="76" spans="5:35" outlineLevel="1"/>
    <row r="77" spans="5:35" outlineLevel="1"/>
    <row r="78" spans="5:35" outlineLevel="1"/>
    <row r="79" spans="5:35" outlineLevel="1"/>
    <row r="80" spans="5:35" outlineLevel="1"/>
    <row r="81" spans="1:54" outlineLevel="1"/>
    <row r="82" spans="1:54" outlineLevel="1"/>
    <row r="83" spans="1:54" outlineLevel="1"/>
    <row r="84" spans="1:54" outlineLevel="1"/>
    <row r="87" spans="1:54" ht="15" customHeight="1">
      <c r="A87" s="612" t="s">
        <v>150</v>
      </c>
      <c r="B87" s="612"/>
      <c r="C87" s="612"/>
      <c r="D87" s="612"/>
      <c r="E87" s="612"/>
      <c r="F87" s="612"/>
      <c r="G87" s="612"/>
      <c r="H87" s="612"/>
      <c r="I87" s="612"/>
      <c r="J87" s="612"/>
      <c r="K87" s="612"/>
      <c r="L87" s="612"/>
      <c r="M87" s="612"/>
      <c r="N87" s="612"/>
      <c r="O87" s="612"/>
      <c r="P87" s="612"/>
      <c r="Q87" s="612"/>
      <c r="R87" s="612"/>
      <c r="S87" s="612"/>
      <c r="T87" s="612"/>
      <c r="U87" s="612"/>
      <c r="V87" s="612"/>
      <c r="W87" s="612"/>
      <c r="X87" s="612"/>
      <c r="Y87" s="612"/>
      <c r="Z87" s="612"/>
      <c r="AA87" s="612"/>
      <c r="AB87" s="612"/>
      <c r="AC87" s="612"/>
      <c r="AD87" s="612"/>
      <c r="AE87" s="612"/>
      <c r="AF87" s="612"/>
      <c r="AG87" s="612"/>
      <c r="AH87" s="612"/>
      <c r="AI87" s="612"/>
      <c r="AJ87" s="612"/>
      <c r="AK87" s="612"/>
      <c r="AL87" s="612"/>
      <c r="AM87" s="612"/>
      <c r="AN87" s="612"/>
      <c r="AO87" s="612"/>
      <c r="AP87" s="612"/>
      <c r="AQ87" s="612"/>
      <c r="AR87" s="612"/>
      <c r="AS87" s="38"/>
      <c r="AT87" s="38"/>
      <c r="AU87" s="38"/>
      <c r="AV87" s="38"/>
      <c r="AW87" s="38"/>
      <c r="AX87" s="38"/>
      <c r="AY87" s="38"/>
      <c r="AZ87" s="38"/>
      <c r="BA87" s="38"/>
      <c r="BB87" s="38"/>
    </row>
    <row r="88" spans="1:54" ht="16.05" customHeight="1" thickBot="1">
      <c r="A88" s="613"/>
      <c r="B88" s="613"/>
      <c r="C88" s="613"/>
      <c r="D88" s="613"/>
      <c r="E88" s="613"/>
      <c r="F88" s="613"/>
      <c r="G88" s="613"/>
      <c r="H88" s="613"/>
      <c r="I88" s="613"/>
      <c r="J88" s="613"/>
      <c r="K88" s="613"/>
      <c r="L88" s="613"/>
      <c r="M88" s="613"/>
      <c r="N88" s="613"/>
      <c r="O88" s="613"/>
      <c r="P88" s="613"/>
      <c r="Q88" s="613"/>
      <c r="R88" s="613"/>
      <c r="S88" s="613"/>
      <c r="T88" s="613"/>
      <c r="U88" s="613"/>
      <c r="V88" s="613"/>
      <c r="W88" s="613"/>
      <c r="X88" s="613"/>
      <c r="Y88" s="613"/>
      <c r="Z88" s="613"/>
      <c r="AA88" s="613"/>
      <c r="AB88" s="613"/>
      <c r="AC88" s="613"/>
      <c r="AD88" s="613"/>
      <c r="AE88" s="613"/>
      <c r="AF88" s="613"/>
      <c r="AG88" s="613"/>
      <c r="AH88" s="613"/>
      <c r="AI88" s="613"/>
      <c r="AJ88" s="613"/>
      <c r="AK88" s="613"/>
      <c r="AL88" s="613"/>
      <c r="AM88" s="613"/>
      <c r="AN88" s="613"/>
      <c r="AO88" s="613"/>
      <c r="AP88" s="613"/>
      <c r="AQ88" s="613"/>
      <c r="AR88" s="613"/>
      <c r="AS88" s="38"/>
      <c r="AT88" s="38"/>
      <c r="AU88" s="38"/>
      <c r="AV88" s="38"/>
      <c r="AW88" s="38"/>
      <c r="AX88" s="38"/>
      <c r="AY88" s="38"/>
      <c r="AZ88" s="38"/>
      <c r="BA88" s="38"/>
      <c r="BB88" s="38"/>
    </row>
    <row r="89" spans="1:54" outlineLevel="1"/>
    <row r="90" spans="1:54" outlineLevel="1"/>
    <row r="91" spans="1:54" outlineLevel="1"/>
    <row r="92" spans="1:54" outlineLevel="1"/>
    <row r="93" spans="1:54" outlineLevel="1"/>
    <row r="94" spans="1:54" outlineLevel="1"/>
    <row r="95" spans="1:54" outlineLevel="1"/>
    <row r="96" spans="1:54" outlineLevel="1"/>
    <row r="97" outlineLevel="1"/>
    <row r="98" outlineLevel="1"/>
    <row r="99" outlineLevel="1"/>
    <row r="100" outlineLevel="1"/>
    <row r="101" outlineLevel="1"/>
    <row r="102" outlineLevel="1"/>
    <row r="103" outlineLevel="1"/>
    <row r="104" outlineLevel="1"/>
    <row r="105" outlineLevel="1"/>
    <row r="106" outlineLevel="1"/>
    <row r="107" outlineLevel="1"/>
    <row r="108" outlineLevel="1"/>
    <row r="109" outlineLevel="1"/>
    <row r="110" outlineLevel="1"/>
    <row r="111" outlineLevel="1"/>
    <row r="112" outlineLevel="1"/>
    <row r="113" spans="1:54" outlineLevel="1"/>
    <row r="114" spans="1:54" outlineLevel="1"/>
    <row r="117" spans="1:54" ht="15" customHeight="1">
      <c r="A117" s="614" t="s">
        <v>151</v>
      </c>
      <c r="B117" s="614"/>
      <c r="C117" s="614"/>
      <c r="D117" s="614"/>
      <c r="E117" s="614"/>
      <c r="F117" s="614"/>
      <c r="G117" s="614"/>
      <c r="H117" s="614"/>
      <c r="I117" s="614"/>
      <c r="J117" s="614"/>
      <c r="K117" s="614"/>
      <c r="L117" s="614"/>
      <c r="M117" s="614"/>
      <c r="N117" s="614"/>
      <c r="O117" s="614"/>
      <c r="P117" s="614"/>
      <c r="Q117" s="614"/>
      <c r="R117" s="614"/>
      <c r="S117" s="614"/>
      <c r="T117" s="614"/>
      <c r="U117" s="614"/>
      <c r="V117" s="614"/>
      <c r="W117" s="614"/>
      <c r="X117" s="614"/>
      <c r="Y117" s="614"/>
      <c r="Z117" s="614"/>
      <c r="AA117" s="614"/>
      <c r="AB117" s="614"/>
      <c r="AC117" s="614"/>
      <c r="AD117" s="614"/>
      <c r="AE117" s="614"/>
      <c r="AF117" s="614"/>
      <c r="AG117" s="614"/>
      <c r="AH117" s="614"/>
      <c r="AI117" s="614"/>
      <c r="AJ117" s="614"/>
      <c r="AK117" s="614"/>
      <c r="AL117" s="614"/>
      <c r="AM117" s="614"/>
      <c r="AN117" s="614"/>
      <c r="AO117" s="614"/>
      <c r="AP117" s="614"/>
      <c r="AQ117" s="614"/>
      <c r="AR117" s="614"/>
      <c r="AS117" s="38"/>
      <c r="AT117" s="38"/>
      <c r="AU117" s="38"/>
      <c r="AV117" s="38"/>
      <c r="AW117" s="38"/>
      <c r="AX117" s="38"/>
      <c r="AY117" s="38"/>
      <c r="AZ117" s="38"/>
      <c r="BA117" s="38"/>
      <c r="BB117" s="38"/>
    </row>
    <row r="118" spans="1:54" ht="16.05" customHeight="1" thickBot="1">
      <c r="A118" s="615"/>
      <c r="B118" s="615"/>
      <c r="C118" s="615"/>
      <c r="D118" s="615"/>
      <c r="E118" s="615"/>
      <c r="F118" s="615"/>
      <c r="G118" s="615"/>
      <c r="H118" s="615"/>
      <c r="I118" s="615"/>
      <c r="J118" s="615"/>
      <c r="K118" s="615"/>
      <c r="L118" s="615"/>
      <c r="M118" s="615"/>
      <c r="N118" s="615"/>
      <c r="O118" s="615"/>
      <c r="P118" s="615"/>
      <c r="Q118" s="615"/>
      <c r="R118" s="615"/>
      <c r="S118" s="615"/>
      <c r="T118" s="615"/>
      <c r="U118" s="615"/>
      <c r="V118" s="615"/>
      <c r="W118" s="615"/>
      <c r="X118" s="615"/>
      <c r="Y118" s="615"/>
      <c r="Z118" s="615"/>
      <c r="AA118" s="615"/>
      <c r="AB118" s="615"/>
      <c r="AC118" s="615"/>
      <c r="AD118" s="615"/>
      <c r="AE118" s="615"/>
      <c r="AF118" s="615"/>
      <c r="AG118" s="615"/>
      <c r="AH118" s="615"/>
      <c r="AI118" s="615"/>
      <c r="AJ118" s="615"/>
      <c r="AK118" s="615"/>
      <c r="AL118" s="615"/>
      <c r="AM118" s="615"/>
      <c r="AN118" s="615"/>
      <c r="AO118" s="615"/>
      <c r="AP118" s="615"/>
      <c r="AQ118" s="615"/>
      <c r="AR118" s="615"/>
      <c r="AS118" s="38"/>
      <c r="AT118" s="38"/>
      <c r="AU118" s="38"/>
      <c r="AV118" s="38"/>
      <c r="AW118" s="38"/>
      <c r="AX118" s="38"/>
      <c r="AY118" s="38"/>
      <c r="AZ118" s="38"/>
      <c r="BA118" s="38"/>
      <c r="BB118" s="38"/>
    </row>
    <row r="119" spans="1:54" outlineLevel="1"/>
    <row r="120" spans="1:54" outlineLevel="1">
      <c r="L120" s="48" t="s">
        <v>152</v>
      </c>
      <c r="M120" s="48" t="s">
        <v>153</v>
      </c>
      <c r="N120" s="48" t="s">
        <v>154</v>
      </c>
      <c r="O120" s="48" t="s">
        <v>155</v>
      </c>
      <c r="P120" s="48" t="s">
        <v>156</v>
      </c>
      <c r="Q120" s="48" t="s">
        <v>152</v>
      </c>
      <c r="R120" s="48"/>
    </row>
    <row r="121" spans="1:54" outlineLevel="1">
      <c r="L121" s="48" t="s">
        <v>152</v>
      </c>
      <c r="M121" s="48">
        <f>5-RANK(P121,$P$121:$P$124)</f>
        <v>2</v>
      </c>
      <c r="N121" s="48" t="s">
        <v>157</v>
      </c>
      <c r="O121" s="48">
        <f>SUMIFS('Financing Baseline'!K49:K516,'Financing Baseline'!F49:F516,"Conc_DPS",'Financing Baseline'!G49:G516,"Loan")</f>
        <v>205.98000000000002</v>
      </c>
      <c r="P121" s="48" cm="1">
        <f t="array" ref="P121">IFERROR(SUMPRODUCT(IF('Financing Baseline'!F49:F516="Conc_DPS",1,0),IF('Financing Baseline'!G49:G516="Loan",1,0),'Financing Baseline'!K49:K516,'Financing Baseline'!X49:X516)/'Visualisation Dashboard'!O121,0)</f>
        <v>0.22868714221826006</v>
      </c>
      <c r="Q121" s="48"/>
      <c r="R121" s="48"/>
    </row>
    <row r="122" spans="1:54" outlineLevel="1">
      <c r="L122" s="48" t="s">
        <v>152</v>
      </c>
      <c r="M122" s="48">
        <f>5-RANK(P122,$P$121:$P$124)</f>
        <v>1</v>
      </c>
      <c r="N122" s="48" t="s">
        <v>158</v>
      </c>
      <c r="O122" s="48">
        <f>SUMIFS('Financing Baseline'!K49:K516,'Financing Baseline'!F49:F516,"Conc_IFI",'Financing Baseline'!G49:G516,"Loan")</f>
        <v>8033.914587321874</v>
      </c>
      <c r="P122" s="48" cm="1">
        <f t="array" ref="P122">IFERROR(
SUMPRODUCT(IF('Financing Baseline'!F49:F516="Conc_IFI",1,0),IF('Financing Baseline'!G49:G516="Loan",1,0),'Financing Baseline'!K49:K516,'Financing Baseline'!X49:X516)/
'Visualisation Dashboard'!O122,
0)</f>
        <v>0.19386327212276647</v>
      </c>
      <c r="Q122" s="48"/>
      <c r="R122" s="48"/>
    </row>
    <row r="123" spans="1:54" outlineLevel="1">
      <c r="L123" s="48" t="s">
        <v>152</v>
      </c>
      <c r="M123" s="48">
        <f>5-RANK(P123,$P$121:$P$124)</f>
        <v>4</v>
      </c>
      <c r="N123" s="48" t="s">
        <v>159</v>
      </c>
      <c r="O123" s="48">
        <f>SUMIFS('Financing Baseline'!K49:K516,'Financing Baseline'!G49:G516,"Loan",'Financing Baseline'!F49:F516,"Comm_Dom")</f>
        <v>51.4</v>
      </c>
      <c r="P123" s="48" cm="1">
        <f t="array" ref="P123">IFERROR(SUMPRODUCT(IF('Financing Baseline'!F49:F516="Comm_Dom",1,0),IF('Financing Baseline'!G49:G516="Loan",1,0),'Financing Baseline'!K49:K516,'Financing Baseline'!X49:X516)/'Visualisation Dashboard'!O123,0)</f>
        <v>0.75238729752096856</v>
      </c>
      <c r="Q123" s="48"/>
      <c r="R123" s="48" t="s">
        <v>152</v>
      </c>
    </row>
    <row r="124" spans="1:54" outlineLevel="1">
      <c r="D124" s="33" t="s">
        <v>160</v>
      </c>
      <c r="E124" s="33" t="s">
        <v>161</v>
      </c>
      <c r="F124" s="33" t="s">
        <v>162</v>
      </c>
      <c r="G124" s="33" t="s">
        <v>31</v>
      </c>
      <c r="L124" s="48" t="s">
        <v>152</v>
      </c>
      <c r="M124" s="48">
        <f>5-RANK(P124,$P$121:$P$124)</f>
        <v>3</v>
      </c>
      <c r="N124" s="48" t="s">
        <v>163</v>
      </c>
      <c r="O124" s="48">
        <f>SUMIFS('Financing Baseline'!K49:K516,'Financing Baseline'!G49:G516,"Loan",'Financing Baseline'!F49:F516,"Comm_Intl")</f>
        <v>484.02</v>
      </c>
      <c r="P124" s="48" cm="1">
        <f t="array" ref="P124">IFERROR(SUMPRODUCT(IF('Financing Baseline'!F49:F516="Comm_Intl",1,0),IF('Financing Baseline'!G49:G516="Loan",1,0),'Financing Baseline'!K49:K516,'Financing Baseline'!X49:X516)/'Visualisation Dashboard'!O124,0)</f>
        <v>0.66103184640162871</v>
      </c>
      <c r="Q124" s="48"/>
      <c r="R124" s="48" t="s">
        <v>152</v>
      </c>
    </row>
    <row r="125" spans="1:54" outlineLevel="1">
      <c r="C125" s="33">
        <v>1</v>
      </c>
      <c r="D125" s="35">
        <f>'Financing Baseline'!L31</f>
        <v>0.86302412130531136</v>
      </c>
      <c r="E125" s="35">
        <f>'Financing Baseline'!K16</f>
        <v>0.79897796934435694</v>
      </c>
      <c r="F125" s="35">
        <f>'Financing Baseline'!L33</f>
        <v>0.13437369299824117</v>
      </c>
      <c r="G125" s="35">
        <f>'High Level Dashboard'!F53</f>
        <v>0.74381343947146883</v>
      </c>
      <c r="L125" s="48" t="s">
        <v>152</v>
      </c>
      <c r="M125" s="48" t="str">
        <f>IFERROR(VLOOKUP(1,$M$121:$N$124,2,FALSE),"")</f>
        <v>Conc Intl</v>
      </c>
      <c r="N125" s="48" t="str">
        <f>IFERROR(VLOOKUP(2,$M$121:$N$124,2,FALSE),"")</f>
        <v>Conc Dom</v>
      </c>
      <c r="O125" s="48" t="str">
        <f>IFERROR(VLOOKUP(3,$M$121:$N$124,2,FALSE),"")</f>
        <v>Com Intl</v>
      </c>
      <c r="P125" s="48" t="str">
        <f>IFERROR(VLOOKUP(4,$M$121:$N$124,2,FALSE),"")</f>
        <v>Com Dom</v>
      </c>
      <c r="Q125" s="48"/>
      <c r="R125" s="48" t="s">
        <v>152</v>
      </c>
    </row>
    <row r="126" spans="1:54" outlineLevel="1">
      <c r="C126" s="33">
        <v>2</v>
      </c>
      <c r="D126" s="35">
        <f>'Financing Baseline'!L32</f>
        <v>0.13697587869468839</v>
      </c>
      <c r="E126" s="35">
        <f>'Financing Baseline'!L16</f>
        <v>0.20102203065564306</v>
      </c>
      <c r="F126" s="35">
        <f>'Financing Baseline'!L34</f>
        <v>0.8656263070017588</v>
      </c>
      <c r="G126" s="35">
        <f>'High Level Dashboard'!F54</f>
        <v>0.11109827328595628</v>
      </c>
      <c r="L126" s="48" t="s">
        <v>152</v>
      </c>
      <c r="M126" s="48">
        <f>IFERROR(VLOOKUP(M125,$N$121:$O$124,2,FALSE),0)</f>
        <v>8033.914587321874</v>
      </c>
      <c r="N126" s="48">
        <f>IFERROR(VLOOKUP(N125,$N$121:$O$124,2,FALSE),0)</f>
        <v>205.98000000000002</v>
      </c>
      <c r="O126" s="48">
        <f>IFERROR(VLOOKUP(O125,$N$121:$O$124,2,FALSE),0)</f>
        <v>484.02</v>
      </c>
      <c r="P126" s="48">
        <f>IFERROR(VLOOKUP(P125,$N$121:$O$124,2,FALSE),0)</f>
        <v>51.4</v>
      </c>
      <c r="Q126" s="48"/>
      <c r="R126" s="48" t="s">
        <v>152</v>
      </c>
    </row>
    <row r="127" spans="1:54" outlineLevel="1">
      <c r="C127" s="33">
        <v>3</v>
      </c>
      <c r="D127" s="36">
        <v>0</v>
      </c>
      <c r="E127" s="36">
        <v>0</v>
      </c>
      <c r="F127" s="36">
        <v>0</v>
      </c>
      <c r="G127" s="35">
        <f>'High Level Dashboard'!F55</f>
        <v>0.12181286753028993</v>
      </c>
      <c r="L127" s="48">
        <v>0</v>
      </c>
      <c r="M127" s="48">
        <f>IFERROR(VLOOKUP(1,$M$121:$P$124,4,FALSE),"")</f>
        <v>0.19386327212276647</v>
      </c>
      <c r="N127" s="48"/>
      <c r="O127" s="48"/>
      <c r="P127" s="48"/>
      <c r="Q127" s="48" t="s">
        <v>152</v>
      </c>
      <c r="R127" s="48" t="s">
        <v>152</v>
      </c>
    </row>
    <row r="128" spans="1:54" outlineLevel="1">
      <c r="C128" s="33">
        <v>4</v>
      </c>
      <c r="D128" s="36">
        <v>0</v>
      </c>
      <c r="E128" s="36">
        <v>0</v>
      </c>
      <c r="F128" s="36">
        <v>0</v>
      </c>
      <c r="G128" s="35">
        <f>'High Level Dashboard'!F56</f>
        <v>2.3275419712284889E-2</v>
      </c>
      <c r="L128" s="49">
        <f>IFERROR(VLOOKUP(1,$M$121:$O$124,3,FALSE),0)</f>
        <v>8033.914587321874</v>
      </c>
      <c r="M128" s="48">
        <f>IFERROR(VLOOKUP(1,$M$121:$P$124,4,FALSE),"")</f>
        <v>0.19386327212276647</v>
      </c>
      <c r="N128" s="48"/>
      <c r="O128" s="48"/>
      <c r="P128" s="48"/>
      <c r="Q128" s="48" t="s">
        <v>152</v>
      </c>
      <c r="R128" s="48" t="s">
        <v>152</v>
      </c>
    </row>
    <row r="129" spans="12:18" outlineLevel="1">
      <c r="L129" s="49">
        <f>IFERROR(VLOOKUP(1,$M$121:$O$124,3,FALSE),0)</f>
        <v>8033.914587321874</v>
      </c>
      <c r="M129" s="48" t="s">
        <v>152</v>
      </c>
      <c r="N129" s="48" t="s">
        <v>152</v>
      </c>
      <c r="O129" s="48" t="s">
        <v>152</v>
      </c>
      <c r="P129" s="48" t="s">
        <v>152</v>
      </c>
      <c r="Q129" s="48" t="s">
        <v>152</v>
      </c>
      <c r="R129" s="48"/>
    </row>
    <row r="130" spans="12:18" outlineLevel="1">
      <c r="L130" s="49">
        <f>IFERROR(VLOOKUP(1,$M$121:$O$124,3,FALSE),0)</f>
        <v>8033.914587321874</v>
      </c>
      <c r="M130" s="48" t="s">
        <v>152</v>
      </c>
      <c r="N130" s="48">
        <f>IFERROR(VLOOKUP(2,$M$121:$P$124,4,FALSE),"")</f>
        <v>0.22868714221826006</v>
      </c>
      <c r="O130" s="48"/>
      <c r="P130" s="48"/>
      <c r="Q130" s="48"/>
      <c r="R130" s="48"/>
    </row>
    <row r="131" spans="12:18" outlineLevel="1">
      <c r="L131" s="48">
        <f>IFERROR(VLOOKUP(2,$M$121:$O$124,3,FALSE)+$L$128,0)</f>
        <v>8239.8945873218745</v>
      </c>
      <c r="M131" s="48"/>
      <c r="N131" s="48">
        <f>IFERROR(VLOOKUP(2,$M$121:$P$124,4,FALSE),"")</f>
        <v>0.22868714221826006</v>
      </c>
      <c r="O131" s="48"/>
      <c r="P131" s="48"/>
      <c r="Q131" s="48"/>
      <c r="R131" s="48" t="s">
        <v>152</v>
      </c>
    </row>
    <row r="132" spans="12:18" outlineLevel="1">
      <c r="L132" s="48">
        <f>IFERROR(VLOOKUP(2,$M$121:$O$124,3,FALSE)+$L$128,0)</f>
        <v>8239.8945873218745</v>
      </c>
      <c r="M132" s="48"/>
      <c r="N132" s="48"/>
      <c r="O132" s="48"/>
      <c r="P132" s="48"/>
      <c r="Q132" s="48" t="s">
        <v>152</v>
      </c>
      <c r="R132" s="48"/>
    </row>
    <row r="133" spans="12:18" outlineLevel="1">
      <c r="L133" s="48">
        <f>IFERROR(VLOOKUP(2,$M$121:$O$124,3,FALSE)+$L$128,0)</f>
        <v>8239.8945873218745</v>
      </c>
      <c r="M133" s="48"/>
      <c r="N133" s="48"/>
      <c r="O133" s="48">
        <f>IFERROR(VLOOKUP(3,$M$121:$P$124,4,FALSE),"")</f>
        <v>0.66103184640162871</v>
      </c>
      <c r="P133" s="48"/>
      <c r="Q133" s="48"/>
      <c r="R133" s="48"/>
    </row>
    <row r="134" spans="12:18" outlineLevel="1">
      <c r="L134" s="48">
        <f>IFERROR(VLOOKUP(3,$M$121:$O$124,3,FALSE)+$L$131,0)</f>
        <v>8723.9145873218749</v>
      </c>
      <c r="M134" s="48"/>
      <c r="N134" s="48"/>
      <c r="O134" s="48">
        <f>IFERROR(VLOOKUP(3,$M$121:$P$124,4,FALSE),"")</f>
        <v>0.66103184640162871</v>
      </c>
      <c r="P134" s="48"/>
      <c r="Q134" s="48"/>
      <c r="R134" s="48" t="s">
        <v>152</v>
      </c>
    </row>
    <row r="135" spans="12:18" outlineLevel="1">
      <c r="L135" s="48">
        <f>IFERROR(VLOOKUP(3,$M$121:$O$124,3,FALSE)+$L$131,0)</f>
        <v>8723.9145873218749</v>
      </c>
      <c r="M135" s="48"/>
      <c r="N135" s="48"/>
      <c r="O135" s="48"/>
      <c r="P135" s="48"/>
      <c r="Q135" s="48" t="s">
        <v>152</v>
      </c>
      <c r="R135" s="48" t="s">
        <v>152</v>
      </c>
    </row>
    <row r="136" spans="12:18" outlineLevel="1">
      <c r="L136" s="48">
        <f>IFERROR(VLOOKUP(3,$M$121:$O$124,3,FALSE)+$L$131,0)</f>
        <v>8723.9145873218749</v>
      </c>
      <c r="M136" s="48"/>
      <c r="N136" s="48"/>
      <c r="O136" s="48"/>
      <c r="P136" s="48">
        <f>IFERROR(VLOOKUP(4,$M$121:$P$124,4,FALSE),"")</f>
        <v>0.75238729752096856</v>
      </c>
      <c r="Q136" s="48"/>
    </row>
    <row r="137" spans="12:18" outlineLevel="1">
      <c r="L137" s="48">
        <f>IFERROR(VLOOKUP(4,$M$121:$O$124,3,FALSE)+$L$134,0)</f>
        <v>8775.3145873218746</v>
      </c>
      <c r="M137" s="48"/>
      <c r="N137" s="48"/>
      <c r="O137" s="48"/>
      <c r="P137" s="48">
        <f>IFERROR(VLOOKUP(4,$M$121:$P$124,4,FALSE),"")</f>
        <v>0.75238729752096856</v>
      </c>
      <c r="Q137" s="48"/>
    </row>
    <row r="138" spans="12:18" outlineLevel="1">
      <c r="L138" s="48" t="s">
        <v>152</v>
      </c>
      <c r="M138" s="48" t="s">
        <v>152</v>
      </c>
      <c r="N138" s="48" t="s">
        <v>152</v>
      </c>
      <c r="O138" s="48" t="s">
        <v>152</v>
      </c>
      <c r="P138" s="48" t="s">
        <v>152</v>
      </c>
      <c r="Q138" s="48" t="s">
        <v>152</v>
      </c>
    </row>
    <row r="139" spans="12:18" outlineLevel="1"/>
    <row r="140" spans="12:18" outlineLevel="1"/>
    <row r="141" spans="12:18" outlineLevel="1"/>
    <row r="142" spans="12:18" outlineLevel="1"/>
    <row r="143" spans="12:18" outlineLevel="1"/>
    <row r="144" spans="12:18" outlineLevel="1"/>
    <row r="145" spans="3:39" outlineLevel="1">
      <c r="AC145" s="384"/>
    </row>
    <row r="146" spans="3:39" outlineLevel="1"/>
    <row r="147" spans="3:39">
      <c r="G147" s="48" t="s">
        <v>152</v>
      </c>
      <c r="H147" s="48" t="s">
        <v>152</v>
      </c>
      <c r="I147" s="48" t="s">
        <v>152</v>
      </c>
      <c r="AB147" s="79"/>
      <c r="AC147" s="58"/>
      <c r="AD147" s="79"/>
      <c r="AE147" s="79"/>
      <c r="AF147" s="79"/>
      <c r="AG147" s="79"/>
      <c r="AH147" s="79"/>
      <c r="AI147" s="79"/>
      <c r="AJ147" s="79"/>
      <c r="AK147" s="79"/>
      <c r="AM147" s="58"/>
    </row>
    <row r="148" spans="3:39">
      <c r="D148" s="33" t="s">
        <v>164</v>
      </c>
      <c r="G148" s="48"/>
      <c r="H148" s="48"/>
      <c r="I148" s="48"/>
      <c r="AB148" s="79"/>
      <c r="AC148" s="58"/>
      <c r="AD148" s="79"/>
      <c r="AE148" s="79"/>
      <c r="AF148" s="616" t="s">
        <v>165</v>
      </c>
      <c r="AG148" s="616"/>
      <c r="AH148" s="616"/>
      <c r="AI148" s="616"/>
      <c r="AJ148" s="616"/>
      <c r="AK148" s="616"/>
      <c r="AM148" s="58"/>
    </row>
    <row r="149" spans="3:39">
      <c r="C149" s="33" t="s">
        <v>166</v>
      </c>
      <c r="D149" s="33">
        <f>'Financing Baseline'!B32</f>
        <v>8033.914587321874</v>
      </c>
      <c r="G149" s="48"/>
      <c r="H149" s="48"/>
      <c r="I149" s="48"/>
      <c r="AB149" s="79"/>
      <c r="AC149" s="58"/>
      <c r="AD149" s="80" t="s">
        <v>167</v>
      </c>
      <c r="AE149" s="79" t="s">
        <v>25</v>
      </c>
      <c r="AF149" s="79" t="s">
        <v>168</v>
      </c>
      <c r="AG149" s="79" t="s">
        <v>169</v>
      </c>
      <c r="AH149" s="79" t="s">
        <v>170</v>
      </c>
      <c r="AI149" s="79" t="s">
        <v>171</v>
      </c>
      <c r="AJ149" s="79" t="s">
        <v>37</v>
      </c>
      <c r="AK149" s="301" t="s">
        <v>66</v>
      </c>
      <c r="AM149" s="58"/>
    </row>
    <row r="150" spans="3:39">
      <c r="C150" s="33" t="s">
        <v>172</v>
      </c>
      <c r="D150" s="33">
        <f>'Financing Baseline'!B33</f>
        <v>205.98000000000002</v>
      </c>
      <c r="G150" s="48"/>
      <c r="AB150" s="79"/>
      <c r="AC150" s="58"/>
      <c r="AD150" s="302">
        <f>IFERROR(RANK($AK150,$AK$150:$AK$159,1)+COUNTIF(AK150:$AK$159,AK150)-1,"")</f>
        <v>7</v>
      </c>
      <c r="AE150" s="80" t="str" cm="1">
        <f t="array" ref="AE150:AE160">IF(_xlfn.UNIQUE('Financing Baseline'!$C$49:$C$516)=0,"",_xlfn.UNIQUE('Financing Baseline'!$C$49:$C$516))</f>
        <v>Geothermal</v>
      </c>
      <c r="AF150" s="303">
        <f>IFERROR(AVERAGEIFS('Financing Baseline'!$P$49:$P$516, 'Financing Baseline'!$C$49:$C$516, AE150, 'Financing Baseline'!$G$49:$G$516, "Equity"),0)</f>
        <v>0.18721296296277778</v>
      </c>
      <c r="AG150" s="303">
        <f>IFERROR((SUMIFS('Financing Baseline'!$N$49:$N$516, 'Financing Baseline'!$C$49:$C$516, $AE150, 'Financing Baseline'!$G$49:$G$516, "Equity"))/$AJ150,0)</f>
        <v>0.25579778403597309</v>
      </c>
      <c r="AH150" s="303">
        <f>IFERROR(AVERAGEIFS('Financing Baseline'!$P$46:$P$513, 'Financing Baseline'!$C$46:$C$513, AE150, 'Financing Baseline'!$G$46:$G$513, "Loan"),0)</f>
        <v>3.2753269069841821E-2</v>
      </c>
      <c r="AI150" s="303">
        <f>IFERROR(SUMIFS('Financing Baseline'!$N$49:$N$516, 'Financing Baseline'!$C$49:$C$516, AE150, 'Financing Baseline'!$G$49:$G$516, "Loan")/$AJ150,0)</f>
        <v>0.74420221596402669</v>
      </c>
      <c r="AJ150" s="79">
        <f>SUMIF('Financing Baseline'!$C$49:$C$516, AE150, 'Financing Baseline'!$N$49:$N$516)</f>
        <v>4410.8409210109985</v>
      </c>
      <c r="AK150" s="304">
        <f>IFERROR(
(AF150*(AG150/(AG150+AI150)))+
(AH150*(AI150/(AG150+AI150))),
"")</f>
        <v>7.2263716490529567E-2</v>
      </c>
      <c r="AM150" s="58"/>
    </row>
    <row r="151" spans="3:39">
      <c r="C151" s="33" t="s">
        <v>173</v>
      </c>
      <c r="D151" s="33">
        <f>'Financing Baseline'!B34</f>
        <v>484.02</v>
      </c>
      <c r="G151" s="48"/>
      <c r="H151" s="48"/>
      <c r="I151" s="48"/>
      <c r="AB151" s="79"/>
      <c r="AC151" s="58"/>
      <c r="AD151" s="302">
        <f>IFERROR(RANK($AK151,$AK$150:$AK$159,1)+COUNTIF(AK151:$AK$159,AK151)-1,"")</f>
        <v>3</v>
      </c>
      <c r="AE151" s="80" t="str">
        <v>Solar</v>
      </c>
      <c r="AF151" s="303">
        <f>IFERROR(AVERAGEIFS('Financing Baseline'!$P$49:$P$516, 'Financing Baseline'!$C$49:$C$516, AE151, 'Financing Baseline'!$G$49:$G$516, "Equity"),0)</f>
        <v>5.3000000000000005E-2</v>
      </c>
      <c r="AG151" s="303">
        <f>IFERROR((SUMIFS('Financing Baseline'!$N$49:$N$516, 'Financing Baseline'!$C$49:$C$516, $AE151, 'Financing Baseline'!$G$49:$G$516, "Equity"))/$AJ151,0)</f>
        <v>0.25080297563934734</v>
      </c>
      <c r="AH151" s="303">
        <f>IFERROR(AVERAGEIFS('Financing Baseline'!$P$46:$P$513, 'Financing Baseline'!$C$46:$C$513, AE151, 'Financing Baseline'!$G$46:$G$513, "Loan"),0)</f>
        <v>3.6277943645164103E-2</v>
      </c>
      <c r="AI151" s="303">
        <f>IFERROR(SUMIFS('Financing Baseline'!$N$49:$N$516, 'Financing Baseline'!$C$49:$C$516, AE151, 'Financing Baseline'!$G$49:$G$516, "Loan")/$AJ151,0)</f>
        <v>0.74919702436065261</v>
      </c>
      <c r="AJ151" s="79">
        <f>SUMIF('Financing Baseline'!$C$49:$C$516, AE151, 'Financing Baseline'!$N$49:$N$516)</f>
        <v>783.02500000000009</v>
      </c>
      <c r="AK151" s="304">
        <f t="shared" ref="AK151:AK159" si="2">IFERROR(
(AF151*(AG151/(AG151+AI151)))+
(AH151*(AI151/(AG151+AI151))),
"")</f>
        <v>4.0471885137765805E-2</v>
      </c>
      <c r="AM151" s="58"/>
    </row>
    <row r="152" spans="3:39">
      <c r="C152" s="33" t="s">
        <v>174</v>
      </c>
      <c r="D152" s="33">
        <f>'Financing Baseline'!B35</f>
        <v>51.4</v>
      </c>
      <c r="G152" s="48"/>
      <c r="H152" s="48"/>
      <c r="I152" s="48" t="s">
        <v>152</v>
      </c>
      <c r="M152" s="33" t="s">
        <v>666</v>
      </c>
      <c r="T152" s="33" t="s">
        <v>666</v>
      </c>
      <c r="AB152" s="79"/>
      <c r="AC152" s="58"/>
      <c r="AD152" s="302">
        <f>IFERROR(RANK($AK152,$AK$150:$AK$159,1)+COUNTIF(AK152:$AK$159,AK152)-1,"")</f>
        <v>8</v>
      </c>
      <c r="AE152" s="80" t="str">
        <v>Biomass</v>
      </c>
      <c r="AF152" s="303">
        <f>IFERROR(AVERAGEIFS('Financing Baseline'!$P$49:$P$516, 'Financing Baseline'!$C$49:$C$516, AE152, 'Financing Baseline'!$G$49:$G$516, "Equity"),0)</f>
        <v>0.12</v>
      </c>
      <c r="AG152" s="303">
        <f>IFERROR((SUMIFS('Financing Baseline'!$N$49:$N$516, 'Financing Baseline'!$C$49:$C$516, $AE152, 'Financing Baseline'!$G$49:$G$516, "Equity"))/$AJ152,0)</f>
        <v>0.38427947598253276</v>
      </c>
      <c r="AH152" s="303">
        <f>IFERROR(AVERAGEIFS('Financing Baseline'!$P$46:$P$513, 'Financing Baseline'!$C$46:$C$513, AE152, 'Financing Baseline'!$G$46:$G$513, "Loan"),0)</f>
        <v>6.1521050244123444E-2</v>
      </c>
      <c r="AI152" s="303">
        <f>IFERROR(SUMIFS('Financing Baseline'!$N$49:$N$516, 'Financing Baseline'!$C$49:$C$516, AE152, 'Financing Baseline'!$G$49:$G$516, "Loan")/$AJ152,0)</f>
        <v>0.61572052401746724</v>
      </c>
      <c r="AJ152" s="79">
        <f>SUMIF('Financing Baseline'!$C$49:$C$516, AE152, 'Financing Baseline'!$N$49:$N$516)</f>
        <v>229</v>
      </c>
      <c r="AK152" s="304">
        <f t="shared" si="2"/>
        <v>8.3993310412320554E-2</v>
      </c>
      <c r="AM152" s="58"/>
    </row>
    <row r="153" spans="3:39">
      <c r="C153" s="33" t="s">
        <v>175</v>
      </c>
      <c r="D153" s="33">
        <f>'Financing Baseline'!B24</f>
        <v>135.51833333333335</v>
      </c>
      <c r="G153" s="48"/>
      <c r="H153" s="48"/>
      <c r="I153" s="48" t="s">
        <v>152</v>
      </c>
      <c r="M153" s="33" t="str" cm="1">
        <f t="array" ref="M153:M159">_xlfn._xlws.FILTER(_xlfn._xlws.SORT(_xlfn.UNIQUE('Financing Baseline'!$I$49:$I$516)),_xlfn._xlws.SORT(_xlfn.UNIQUE('Financing Baseline'!$I$49:$I$516))&lt;&gt;0)</f>
        <v>Bilateral Agency</v>
      </c>
      <c r="N153" s="37">
        <f>IFERROR(AVERAGEIFS('Financing Baseline'!$X$49:$X$516,'Financing Baseline'!$I$49:$I$516,M153,'Financing Baseline'!$G$49:$G$516,"&lt;&gt;"&amp;"Equity"), 0)</f>
        <v>0.25680086971596155</v>
      </c>
      <c r="O153" s="40">
        <f>_xlfn.RANK.EQ(N153, N$153:N$159) + COUNTIF(N$153:N153, N153) - 1</f>
        <v>5</v>
      </c>
      <c r="P153" s="33" t="str">
        <f>IF(_xlfn.XLOOKUP(R153,$O$153:$O$159,$M$153:$M$159,"")=0,"",_xlfn.XLOOKUP(R153,$O$153:$O$159,$M$153:$M$159,""))</f>
        <v>Private Equity Fund</v>
      </c>
      <c r="Q153" s="581">
        <f>_xlfn.XLOOKUP(R153,$O$153:$O$159,$N$153:$N$159)</f>
        <v>1.0000000000000002</v>
      </c>
      <c r="R153" s="33">
        <v>1</v>
      </c>
      <c r="T153" s="33" t="str" cm="1">
        <f t="array" ref="T153:T156">_xlfn._xlws.FILTER(_xlfn._xlws.SORT(_xlfn.UNIQUE('Financing Baseline'!$F$49:$F$516)),_xlfn._xlws.SORT(_xlfn.UNIQUE('Financing Baseline'!$F$49:$F$516))&lt;&gt;0)</f>
        <v>Comm_Dom</v>
      </c>
      <c r="U153" s="37">
        <f>IFERROR(AVERAGEIFS('Financing Baseline'!$X$49:$X$516,'Financing Baseline'!$F$49:$F$516,T153,'Financing Baseline'!$G$49:$G$516,"&lt;&gt;"&amp;"Equity"), 0)</f>
        <v>0.57575690308592586</v>
      </c>
      <c r="V153" s="33">
        <f>RANK(U153,$U$153:$U$156,1)</f>
        <v>3</v>
      </c>
      <c r="W153" s="33" t="str">
        <f>IF(_xlfn.XLOOKUP(Y153,$V$153:$V$156,$T$153:$T$156,"")=0,"",_xlfn.XLOOKUP(Y153,$V$153:$V$156,$T$153:$T$156,""))</f>
        <v>Conc_IFI</v>
      </c>
      <c r="X153" s="581">
        <f>_xlfn.XLOOKUP(Y153,$V$153:$V$156,$U$153:$U$156)</f>
        <v>0.24232831663165214</v>
      </c>
      <c r="Y153" s="33">
        <v>1</v>
      </c>
      <c r="AB153" s="79"/>
      <c r="AC153" s="58"/>
      <c r="AD153" s="302">
        <f>IFERROR(RANK($AK153,$AK$150:$AK$159,1)+COUNTIF(AK153:$AK$159,AK153)-1,"")</f>
        <v>2</v>
      </c>
      <c r="AE153" s="80" t="str">
        <v>Transmission</v>
      </c>
      <c r="AF153" s="303">
        <f>IFERROR(AVERAGEIFS('Financing Baseline'!$P$49:$P$516, 'Financing Baseline'!$C$49:$C$516, AE153, 'Financing Baseline'!$G$49:$G$516, "Equity"),0)</f>
        <v>0.14368333335000003</v>
      </c>
      <c r="AG153" s="303">
        <f>IFERROR((SUMIFS('Financing Baseline'!$N$49:$N$516, 'Financing Baseline'!$C$49:$C$516, $AE153, 'Financing Baseline'!$G$49:$G$516, "Equity"))/$AJ153,0)</f>
        <v>0.13267199380460296</v>
      </c>
      <c r="AH153" s="303">
        <f>IFERROR(AVERAGEIFS('Financing Baseline'!$P$46:$P$513, 'Financing Baseline'!$C$46:$C$513, AE153, 'Financing Baseline'!$G$46:$G$513, "Loan"),0)</f>
        <v>1.529629089830091E-2</v>
      </c>
      <c r="AI153" s="303">
        <f>IFERROR(SUMIFS('Financing Baseline'!$N$49:$N$516, 'Financing Baseline'!$C$49:$C$516, AE153, 'Financing Baseline'!$G$49:$G$516, "Loan")/$AJ153,0)</f>
        <v>0.86732800619539707</v>
      </c>
      <c r="AJ153" s="79">
        <f>SUMIF('Financing Baseline'!$C$49:$C$516, AE153, 'Financing Baseline'!$N$49:$N$516)</f>
        <v>1977.3709015511777</v>
      </c>
      <c r="AK153" s="304">
        <f t="shared" si="2"/>
        <v>3.2329655799044031E-2</v>
      </c>
      <c r="AM153" s="58"/>
    </row>
    <row r="154" spans="3:39">
      <c r="C154" s="33" t="s">
        <v>177</v>
      </c>
      <c r="D154" s="33">
        <f>'Financing Baseline'!B25</f>
        <v>1014.2317399964705</v>
      </c>
      <c r="G154" s="48"/>
      <c r="H154" s="48" t="s">
        <v>152</v>
      </c>
      <c r="I154" s="48" t="s">
        <v>152</v>
      </c>
      <c r="M154" s="33" t="str">
        <v>Climate Funds</v>
      </c>
      <c r="N154" s="37">
        <f>IFERROR(AVERAGEIFS('Financing Baseline'!$X$49:$X$516,'Financing Baseline'!$I$49:$I$516,M154,'Financing Baseline'!$G$49:$G$516,"&lt;&gt;"&amp;"Equity" ), 0)</f>
        <v>0.48022815714677664</v>
      </c>
      <c r="O154" s="40">
        <f>_xlfn.RANK.EQ(N154, N$153:N$159) + COUNTIF(N$153:N154, N154) - 1</f>
        <v>3</v>
      </c>
      <c r="P154" s="33" t="str">
        <f t="shared" ref="P154:P159" si="3">IF(_xlfn.XLOOKUP(R154,$O$153:$O$159,$M$153:$M$159,"")=0,"",_xlfn.XLOOKUP(R154,$O$153:$O$159,$M$153:$M$159,""))</f>
        <v>Commercial Bank</v>
      </c>
      <c r="Q154" s="581">
        <f t="shared" ref="Q154:Q159" si="4">_xlfn.XLOOKUP(R154,$O$153:$O$159,$N$153:$N$159)</f>
        <v>0.54983600310029723</v>
      </c>
      <c r="R154" s="33">
        <v>2</v>
      </c>
      <c r="T154" s="33" t="str">
        <v>Comm_Intl</v>
      </c>
      <c r="U154" s="37">
        <f>IFERROR(AVERAGEIFS('Financing Baseline'!$X$49:$X$516,'Financing Baseline'!$F$49:$F$516,T154,'Financing Baseline'!$G$49:$G$516,"&lt;&gt;"&amp;"Equity"), 0)</f>
        <v>0.63366061170418142</v>
      </c>
      <c r="V154" s="33">
        <f t="shared" ref="V154:V156" si="5">RANK(U154,$U$153:$U$156,1)</f>
        <v>4</v>
      </c>
      <c r="W154" s="33" t="str">
        <f t="shared" ref="W154:W156" si="6">IF(_xlfn.XLOOKUP(Y154,$V$153:$V$156,$T$153:$T$156,"")=0,"",_xlfn.XLOOKUP(Y154,$V$153:$V$156,$T$153:$T$156,""))</f>
        <v>Conc_DPS</v>
      </c>
      <c r="X154" s="581">
        <f t="shared" ref="X154:X156" si="7">_xlfn.XLOOKUP(Y154,$V$153:$V$156,$U$153:$U$156)</f>
        <v>0.33796960101623336</v>
      </c>
      <c r="Y154" s="33">
        <v>2</v>
      </c>
      <c r="AB154" s="79"/>
      <c r="AC154" s="58"/>
      <c r="AD154" s="302">
        <f>IFERROR(RANK($AK154,$AK$150:$AK$159,1)+COUNTIF(AK154:$AK$159,AK154)-1,"")</f>
        <v>9</v>
      </c>
      <c r="AE154" s="80" t="str">
        <v>Non-Renewable</v>
      </c>
      <c r="AF154" s="303">
        <f>IFERROR(AVERAGEIFS('Financing Baseline'!$P$49:$P$516, 'Financing Baseline'!$C$49:$C$516, AE154, 'Financing Baseline'!$G$49:$G$516, "Equity"),0)</f>
        <v>9.9333333333333329E-2</v>
      </c>
      <c r="AG154" s="303">
        <f>IFERROR((SUMIFS('Financing Baseline'!$N$49:$N$516, 'Financing Baseline'!$C$49:$C$516, $AE154, 'Financing Baseline'!$G$49:$G$516, "Equity"))/$AJ154,0)</f>
        <v>0.14921208141825346</v>
      </c>
      <c r="AH154" s="303">
        <f>IFERROR(AVERAGEIFS('Financing Baseline'!$P$46:$P$513, 'Financing Baseline'!$C$46:$C$513, AE154, 'Financing Baseline'!$G$46:$G$513, "Loan"),0)</f>
        <v>9.5966666666666658E-2</v>
      </c>
      <c r="AI154" s="303">
        <f>IFERROR(SUMIFS('Financing Baseline'!$N$49:$N$516, 'Financing Baseline'!$C$49:$C$516, AE154, 'Financing Baseline'!$G$49:$G$516, "Loan")/$AJ154,0)</f>
        <v>0.85078791858174663</v>
      </c>
      <c r="AJ154" s="79">
        <f>SUMIF('Financing Baseline'!$C$49:$C$516, AE154, 'Financing Baseline'!$N$49:$N$516)</f>
        <v>304.59999999999997</v>
      </c>
      <c r="AK154" s="304">
        <f t="shared" si="2"/>
        <v>9.6469014007441456E-2</v>
      </c>
      <c r="AM154" s="58"/>
    </row>
    <row r="155" spans="3:39">
      <c r="C155" s="33" t="s">
        <v>179</v>
      </c>
      <c r="D155" s="33">
        <f>'Financing Baseline'!B26</f>
        <v>853.87200000000007</v>
      </c>
      <c r="G155" s="48"/>
      <c r="H155" s="48" t="s">
        <v>152</v>
      </c>
      <c r="I155" s="48" t="s">
        <v>152</v>
      </c>
      <c r="M155" s="33" t="str">
        <v>Commercial Bank</v>
      </c>
      <c r="N155" s="37">
        <f>IFERROR(AVERAGEIFS('Financing Baseline'!$X$49:$X$516,'Financing Baseline'!$I$49:$I$516,M155,'Financing Baseline'!$G$49:$G$516,"&lt;&gt;"&amp;"Equity" ), 0)</f>
        <v>0.54983600310029723</v>
      </c>
      <c r="O155" s="40">
        <f>_xlfn.RANK.EQ(N155, N$153:N$159) + COUNTIF(N$153:N155, N155) - 1</f>
        <v>2</v>
      </c>
      <c r="P155" s="33" t="str">
        <f t="shared" si="3"/>
        <v>Climate Funds</v>
      </c>
      <c r="Q155" s="581">
        <f>_xlfn.XLOOKUP(R155,$O$153:$O$159,$N$153:$N$159)</f>
        <v>0.48022815714677664</v>
      </c>
      <c r="R155" s="33">
        <v>3</v>
      </c>
      <c r="T155" s="33" t="str">
        <v>Conc_DPS</v>
      </c>
      <c r="U155" s="37">
        <f>IFERROR(AVERAGEIFS('Financing Baseline'!$X$49:$X$516,'Financing Baseline'!$F$49:$F$516,T155,'Financing Baseline'!$G$49:$G$516,"&lt;&gt;"&amp;"Equity"), 0)</f>
        <v>0.33796960101623336</v>
      </c>
      <c r="V155" s="33">
        <f t="shared" si="5"/>
        <v>2</v>
      </c>
      <c r="W155" s="33" t="str">
        <f t="shared" si="6"/>
        <v>Comm_Dom</v>
      </c>
      <c r="X155" s="581">
        <f t="shared" si="7"/>
        <v>0.57575690308592586</v>
      </c>
      <c r="Y155" s="33">
        <v>3</v>
      </c>
      <c r="AB155" s="79"/>
      <c r="AC155" s="58"/>
      <c r="AD155" s="302">
        <f>IFERROR(RANK($AK155,$AK$150:$AK$159,1)+COUNTIF(AK155:$AK$159,AK155)-1,"")</f>
        <v>10</v>
      </c>
      <c r="AE155" s="80" t="str">
        <v>Oil</v>
      </c>
      <c r="AF155" s="303">
        <f>IFERROR(AVERAGEIFS('Financing Baseline'!$P$49:$P$516, 'Financing Baseline'!$C$49:$C$516, AE155, 'Financing Baseline'!$G$49:$G$516, "Equity"),0)</f>
        <v>0.185</v>
      </c>
      <c r="AG155" s="303">
        <f>IFERROR((SUMIFS('Financing Baseline'!$N$49:$N$516, 'Financing Baseline'!$C$49:$C$516, $AE155, 'Financing Baseline'!$G$49:$G$516, "Equity"))/$AJ155,0)</f>
        <v>0.25</v>
      </c>
      <c r="AH155" s="303">
        <f>IFERROR(AVERAGEIFS('Financing Baseline'!$P$46:$P$513, 'Financing Baseline'!$C$46:$C$513, AE155, 'Financing Baseline'!$G$46:$G$513, "Loan"),0)</f>
        <v>7.3025000000000007E-2</v>
      </c>
      <c r="AI155" s="303">
        <f>IFERROR(SUMIFS('Financing Baseline'!$N$49:$N$516, 'Financing Baseline'!$C$49:$C$516, AE155, 'Financing Baseline'!$G$49:$G$516, "Loan")/$AJ155,0)</f>
        <v>0.75</v>
      </c>
      <c r="AJ155" s="79">
        <f>SUMIF('Financing Baseline'!$C$49:$C$516, AE155, 'Financing Baseline'!$N$49:$N$516)</f>
        <v>108</v>
      </c>
      <c r="AK155" s="304">
        <f t="shared" si="2"/>
        <v>0.10101875</v>
      </c>
      <c r="AM155" s="58"/>
    </row>
    <row r="156" spans="3:39">
      <c r="C156" s="33" t="s">
        <v>181</v>
      </c>
      <c r="D156" s="33">
        <f>'Financing Baseline'!B27</f>
        <v>204.23800000000003</v>
      </c>
      <c r="G156" s="48"/>
      <c r="H156" s="48" t="s">
        <v>152</v>
      </c>
      <c r="I156" s="48" t="s">
        <v>152</v>
      </c>
      <c r="M156" s="33" t="str">
        <v>Foreign Government</v>
      </c>
      <c r="N156" s="37">
        <f>IFERROR(AVERAGEIFS('Financing Baseline'!$X$49:$X$516,'Financing Baseline'!$I$49:$I$516,M156,'Financing Baseline'!$G$49:$G$516,"&lt;&gt;"&amp;"Equity" ), 0)</f>
        <v>9.3944253605170086E-2</v>
      </c>
      <c r="O156" s="40">
        <f>_xlfn.RANK.EQ(N156, N$153:N$159) + COUNTIF(N$153:N156, N156) - 1</f>
        <v>7</v>
      </c>
      <c r="P156" s="33" t="str">
        <f t="shared" si="3"/>
        <v>National Government</v>
      </c>
      <c r="Q156" s="581">
        <f t="shared" si="4"/>
        <v>0.33762496733096431</v>
      </c>
      <c r="R156" s="33">
        <v>4</v>
      </c>
      <c r="T156" s="33" t="str">
        <v>Conc_IFI</v>
      </c>
      <c r="U156" s="37">
        <f>IFERROR(AVERAGEIFS('Financing Baseline'!$X$49:$X$516,'Financing Baseline'!$F$49:$F$516,T156,'Financing Baseline'!$G$49:$G$516,"&lt;&gt;"&amp;"Equity"), 0)</f>
        <v>0.24232831663165214</v>
      </c>
      <c r="V156" s="33">
        <f t="shared" si="5"/>
        <v>1</v>
      </c>
      <c r="W156" s="33" t="str">
        <f t="shared" si="6"/>
        <v>Comm_Intl</v>
      </c>
      <c r="X156" s="581">
        <f t="shared" si="7"/>
        <v>0.63366061170418142</v>
      </c>
      <c r="Y156" s="33">
        <v>4</v>
      </c>
      <c r="AB156" s="79"/>
      <c r="AC156" s="58"/>
      <c r="AD156" s="302">
        <f>IFERROR(RANK($AK156,$AK$150:$AK$159,1)+COUNTIF(AK156:$AK$159,AK156)-1,"")</f>
        <v>1</v>
      </c>
      <c r="AE156" s="80" t="str">
        <v>Distribution</v>
      </c>
      <c r="AF156" s="303">
        <f>IFERROR(AVERAGEIFS('Financing Baseline'!$P$49:$P$516, 'Financing Baseline'!$C$49:$C$516, AE156, 'Financing Baseline'!$G$49:$G$516, "Equity"),0)</f>
        <v>9.2177777799999985E-2</v>
      </c>
      <c r="AG156" s="303">
        <f>IFERROR((SUMIFS('Financing Baseline'!$N$49:$N$516, 'Financing Baseline'!$C$49:$C$516, $AE156, 'Financing Baseline'!$G$49:$G$516, "Equity"))/$AJ156,0)</f>
        <v>2.6133775206223168E-2</v>
      </c>
      <c r="AH156" s="303">
        <f>IFERROR(AVERAGEIFS('Financing Baseline'!$P$46:$P$513, 'Financing Baseline'!$C$46:$C$513, AE156, 'Financing Baseline'!$G$46:$G$513, "Loan"),0)</f>
        <v>2.3167424070115746E-2</v>
      </c>
      <c r="AI156" s="303">
        <f>IFERROR(SUMIFS('Financing Baseline'!$N$49:$N$516, 'Financing Baseline'!$C$49:$C$516, AE156, 'Financing Baseline'!$G$49:$G$516, "Loan")/$AJ156,0)</f>
        <v>0.97386622479377682</v>
      </c>
      <c r="AJ156" s="79">
        <f>SUMIF('Financing Baseline'!$C$49:$C$516, AE156, 'Financing Baseline'!$N$49:$N$516)</f>
        <v>1769.3578380895001</v>
      </c>
      <c r="AK156" s="304">
        <f t="shared" si="2"/>
        <v>2.4970925141394484E-2</v>
      </c>
      <c r="AM156" s="58"/>
    </row>
    <row r="157" spans="3:39">
      <c r="H157" s="48" t="s">
        <v>152</v>
      </c>
      <c r="I157" s="48" t="s">
        <v>152</v>
      </c>
      <c r="M157" s="33" t="str">
        <v>Multilateral Agency</v>
      </c>
      <c r="N157" s="37">
        <f>IFERROR(AVERAGEIFS('Financing Baseline'!$X$49:$X$516,'Financing Baseline'!$I$49:$I$516,M157,'Financing Baseline'!$G$49:$G$516,"&lt;&gt;"&amp;"Equity" ), 0)</f>
        <v>0.20947145082983773</v>
      </c>
      <c r="O157" s="40">
        <f>_xlfn.RANK.EQ(N157, N$153:N$159) + COUNTIF(N$153:N157, N157) - 1</f>
        <v>6</v>
      </c>
      <c r="P157" s="33" t="str">
        <f t="shared" si="3"/>
        <v>Bilateral Agency</v>
      </c>
      <c r="Q157" s="581">
        <f t="shared" si="4"/>
        <v>0.25680086971596155</v>
      </c>
      <c r="R157" s="33">
        <v>5</v>
      </c>
      <c r="U157" s="37"/>
      <c r="X157" s="581"/>
      <c r="AB157" s="79"/>
      <c r="AC157" s="58"/>
      <c r="AD157" s="302">
        <f>IFERROR(RANK($AK157,$AK$150:$AK$159,1)+COUNTIF(AK157:$AK$159,AK157)-1,"")</f>
        <v>5</v>
      </c>
      <c r="AE157" s="80" t="str">
        <v>Wind</v>
      </c>
      <c r="AF157" s="303">
        <f>IFERROR(AVERAGEIFS('Financing Baseline'!$P$49:$P$516, 'Financing Baseline'!$C$49:$C$516, AE157, 'Financing Baseline'!$G$49:$G$516, "Equity"),0)</f>
        <v>0.15333333333333332</v>
      </c>
      <c r="AG157" s="303">
        <f>IFERROR((SUMIFS('Financing Baseline'!$N$49:$N$516, 'Financing Baseline'!$C$49:$C$516, $AE157, 'Financing Baseline'!$G$49:$G$516, "Equity"))/$AJ157,0)</f>
        <v>0.20041531517616565</v>
      </c>
      <c r="AH157" s="303">
        <f>IFERROR(AVERAGEIFS('Financing Baseline'!$P$46:$P$513, 'Financing Baseline'!$C$46:$C$513, AE157, 'Financing Baseline'!$G$46:$G$513, "Loan"),0)</f>
        <v>3.2505911267665263E-2</v>
      </c>
      <c r="AI157" s="303">
        <f>IFERROR(SUMIFS('Financing Baseline'!$N$49:$N$516, 'Financing Baseline'!$C$49:$C$516, AE157, 'Financing Baseline'!$G$49:$G$516, "Loan")/$AJ157,0)</f>
        <v>0.79958468482383405</v>
      </c>
      <c r="AJ157" s="79">
        <f>SUMIF('Financing Baseline'!$C$49:$C$516, AE157, 'Financing Baseline'!$N$49:$N$516)</f>
        <v>1165.3800000000003</v>
      </c>
      <c r="AK157" s="304">
        <f t="shared" si="2"/>
        <v>5.6721577142879724E-2</v>
      </c>
      <c r="AM157" s="58"/>
    </row>
    <row r="158" spans="3:39">
      <c r="H158" s="48" t="s">
        <v>152</v>
      </c>
      <c r="I158" s="48" t="s">
        <v>152</v>
      </c>
      <c r="M158" s="33" t="str">
        <v>National Government</v>
      </c>
      <c r="N158" s="37">
        <f>IFERROR(AVERAGEIFS('Financing Baseline'!$X$49:$X$516,'Financing Baseline'!$I$49:$I$516,M158,'Financing Baseline'!$G$49:$G$516,"&lt;&gt;"&amp;"Equity" ), 0)</f>
        <v>0.33762496733096431</v>
      </c>
      <c r="O158" s="40">
        <f>_xlfn.RANK.EQ(N158, N$153:N$159) + COUNTIF(N$153:N158, N158) - 1</f>
        <v>4</v>
      </c>
      <c r="P158" s="33" t="str">
        <f t="shared" si="3"/>
        <v>Multilateral Agency</v>
      </c>
      <c r="Q158" s="581">
        <f t="shared" si="4"/>
        <v>0.20947145082983773</v>
      </c>
      <c r="R158" s="33">
        <v>6</v>
      </c>
      <c r="U158" s="37"/>
      <c r="X158" s="581"/>
      <c r="AB158" s="79"/>
      <c r="AC158" s="58"/>
      <c r="AD158" s="302">
        <f>IFERROR(RANK($AK158,$AK$150:$AK$159,1)+COUNTIF(AK158:$AK$159,AK158)-1,"")</f>
        <v>4</v>
      </c>
      <c r="AE158" s="80" t="str">
        <v>Hydro</v>
      </c>
      <c r="AF158" s="303">
        <f>IFERROR(AVERAGEIFS('Financing Baseline'!$P$49:$P$516, 'Financing Baseline'!$C$49:$C$516, AE158, 'Financing Baseline'!$G$49:$G$516, "Equity"),0)</f>
        <v>5.2999999999999999E-2</v>
      </c>
      <c r="AG158" s="303">
        <f>IFERROR((SUMIFS('Financing Baseline'!$N$49:$N$516, 'Financing Baseline'!$C$49:$C$516, $AE158, 'Financing Baseline'!$G$49:$G$516, "Equity"))/$AJ158,0)</f>
        <v>0.35747663551401876</v>
      </c>
      <c r="AH158" s="303">
        <f>IFERROR(AVERAGEIFS('Financing Baseline'!$P$46:$P$513, 'Financing Baseline'!$C$46:$C$513, AE158, 'Financing Baseline'!$G$46:$G$513, "Loan"),0)</f>
        <v>5.2249999999999998E-2</v>
      </c>
      <c r="AI158" s="303">
        <f>IFERROR(SUMIFS('Financing Baseline'!$N$49:$N$516, 'Financing Baseline'!$C$49:$C$516, AE158, 'Financing Baseline'!$G$49:$G$516, "Loan")/$AJ158,0)</f>
        <v>0.64252336448598135</v>
      </c>
      <c r="AJ158" s="79">
        <f>SUMIF('Financing Baseline'!$C$49:$C$516, AE158, 'Financing Baseline'!$N$49:$N$516)</f>
        <v>85.6</v>
      </c>
      <c r="AK158" s="304">
        <f t="shared" si="2"/>
        <v>5.2518107476635517E-2</v>
      </c>
      <c r="AM158" s="58"/>
    </row>
    <row r="159" spans="3:39">
      <c r="H159" s="48" t="s">
        <v>152</v>
      </c>
      <c r="I159" s="48" t="s">
        <v>152</v>
      </c>
      <c r="M159" s="33" t="str">
        <v>Private Equity Fund</v>
      </c>
      <c r="N159" s="37">
        <f>IFERROR(AVERAGEIFS('Financing Baseline'!$X$49:$X$516,'Financing Baseline'!$I$49:$I$516,M159,'Financing Baseline'!$G$49:$G$516,"&lt;&gt;"&amp;"Equity" ), 0)</f>
        <v>1.0000000000000002</v>
      </c>
      <c r="O159" s="40">
        <f>_xlfn.RANK.EQ(N159, N$153:N$159) + COUNTIF(N$153:N159, N159) - 1</f>
        <v>1</v>
      </c>
      <c r="P159" s="33" t="str">
        <f t="shared" si="3"/>
        <v>Foreign Government</v>
      </c>
      <c r="Q159" s="581">
        <f t="shared" si="4"/>
        <v>9.3944253605170086E-2</v>
      </c>
      <c r="R159" s="33">
        <v>7</v>
      </c>
      <c r="U159" s="37"/>
      <c r="X159" s="581"/>
      <c r="AB159" s="79"/>
      <c r="AC159" s="58"/>
      <c r="AD159" s="302">
        <f>IFERROR(RANK($AK159,$AK$150:$AK$159,1)+COUNTIF(AK159:$AK$159,AK159)-1,"")</f>
        <v>6</v>
      </c>
      <c r="AE159" s="80" t="str">
        <v>Battery</v>
      </c>
      <c r="AF159" s="303">
        <f>IFERROR(AVERAGEIFS('Financing Baseline'!$P$49:$P$516, 'Financing Baseline'!$C$49:$C$516, AE159, 'Financing Baseline'!$G$49:$G$516, "Equity"),0)</f>
        <v>6.7333333333333328E-2</v>
      </c>
      <c r="AG159" s="303">
        <f>IFERROR((SUMIFS('Financing Baseline'!$N$49:$N$516, 'Financing Baseline'!$C$49:$C$516, $AE159, 'Financing Baseline'!$G$49:$G$516, "Equity"))/$AJ159,0)</f>
        <v>1</v>
      </c>
      <c r="AH159" s="303">
        <f>IFERROR(AVERAGEIFS('Financing Baseline'!$P$46:$P$513, 'Financing Baseline'!$C$46:$C$513, AE159, 'Financing Baseline'!$G$46:$G$513, "Loan"),0)</f>
        <v>0</v>
      </c>
      <c r="AI159" s="303">
        <f>IFERROR(SUMIFS('Financing Baseline'!$N$49:$N$516, 'Financing Baseline'!$C$49:$C$516, AE159, 'Financing Baseline'!$G$49:$G$516, "Loan")/$AJ159,0)</f>
        <v>0</v>
      </c>
      <c r="AJ159" s="79">
        <f>SUMIF('Financing Baseline'!$C$49:$C$516, AE159, 'Financing Baseline'!$N$49:$N$516)</f>
        <v>150</v>
      </c>
      <c r="AK159" s="304">
        <f t="shared" si="2"/>
        <v>6.7333333333333328E-2</v>
      </c>
      <c r="AM159" s="58"/>
    </row>
    <row r="160" spans="3:39">
      <c r="H160" s="48" t="s">
        <v>152</v>
      </c>
      <c r="I160" s="48" t="s">
        <v>152</v>
      </c>
      <c r="N160" s="37"/>
      <c r="AB160" s="79"/>
      <c r="AC160" s="58"/>
      <c r="AD160" s="79"/>
      <c r="AE160" s="79" t="str">
        <v/>
      </c>
      <c r="AF160" s="580" t="s">
        <v>185</v>
      </c>
      <c r="AG160" s="580"/>
      <c r="AH160" s="580"/>
      <c r="AI160" s="580"/>
      <c r="AJ160" s="580"/>
      <c r="AK160" s="580"/>
      <c r="AM160" s="58"/>
    </row>
    <row r="161" spans="1:50">
      <c r="H161" s="48" t="s">
        <v>152</v>
      </c>
      <c r="I161" s="48" t="s">
        <v>152</v>
      </c>
      <c r="AB161" s="79"/>
      <c r="AC161" s="58"/>
      <c r="AD161" s="80"/>
      <c r="AE161" s="22" t="s">
        <v>25</v>
      </c>
      <c r="AF161" s="305" t="s">
        <v>168</v>
      </c>
      <c r="AG161" s="305" t="s">
        <v>169</v>
      </c>
      <c r="AH161" s="305" t="s">
        <v>170</v>
      </c>
      <c r="AI161" s="305" t="s">
        <v>171</v>
      </c>
      <c r="AJ161" s="305" t="s">
        <v>37</v>
      </c>
      <c r="AK161" s="306" t="s">
        <v>66</v>
      </c>
      <c r="AM161" s="58"/>
    </row>
    <row r="162" spans="1:50">
      <c r="H162" s="48" t="s">
        <v>152</v>
      </c>
      <c r="I162" s="48" t="s">
        <v>152</v>
      </c>
      <c r="AB162" s="79"/>
      <c r="AC162" s="58"/>
      <c r="AD162" s="80">
        <v>1</v>
      </c>
      <c r="AE162" s="80" t="str">
        <f t="shared" ref="AE162:AE171" si="8">IFERROR(VLOOKUP($AD162,$AD$150:$AK$159,2,FALSE),"")</f>
        <v>Distribution</v>
      </c>
      <c r="AF162" s="307">
        <f t="shared" ref="AF162:AF171" si="9">IFERROR(VLOOKUP($AD162,$AD$150:$AK$159,3,FALSE),"-")</f>
        <v>9.2177777799999985E-2</v>
      </c>
      <c r="AG162" s="307">
        <f t="shared" ref="AG162:AG171" si="10">IFERROR(VLOOKUP($AD162,$AD$150:$AK$159,4,FALSE),"-")</f>
        <v>2.6133775206223168E-2</v>
      </c>
      <c r="AH162" s="307">
        <f t="shared" ref="AH162:AH171" si="11">IFERROR(VLOOKUP($AD162,$AD$150:$AK$159,5,FALSE),"-")</f>
        <v>2.3167424070115746E-2</v>
      </c>
      <c r="AI162" s="307">
        <f t="shared" ref="AI162:AI171" si="12">IFERROR(VLOOKUP($AD162,$AD$150:$AK$159,6,FALSE),"-")</f>
        <v>0.97386622479377682</v>
      </c>
      <c r="AJ162" s="80">
        <f t="shared" ref="AJ162:AJ171" si="13">IFERROR(VLOOKUP($AD162,$AD$150:$AK$159,7,FALSE),"-")</f>
        <v>1769.3578380895001</v>
      </c>
      <c r="AK162" s="307">
        <f>IFERROR(VLOOKUP($AD162,$AD$150:$AK$159,8,FALSE),"-")</f>
        <v>2.4970925141394484E-2</v>
      </c>
      <c r="AM162" s="58"/>
    </row>
    <row r="163" spans="1:50">
      <c r="H163" s="48"/>
      <c r="I163" s="48" t="s">
        <v>152</v>
      </c>
      <c r="AB163" s="79"/>
      <c r="AC163" s="58"/>
      <c r="AD163" s="80">
        <v>2</v>
      </c>
      <c r="AE163" s="80" t="str">
        <f t="shared" si="8"/>
        <v>Transmission</v>
      </c>
      <c r="AF163" s="307">
        <f t="shared" si="9"/>
        <v>0.14368333335000003</v>
      </c>
      <c r="AG163" s="307">
        <f t="shared" si="10"/>
        <v>0.13267199380460296</v>
      </c>
      <c r="AH163" s="307">
        <f t="shared" si="11"/>
        <v>1.529629089830091E-2</v>
      </c>
      <c r="AI163" s="307">
        <f t="shared" si="12"/>
        <v>0.86732800619539707</v>
      </c>
      <c r="AJ163" s="80">
        <f t="shared" si="13"/>
        <v>1977.3709015511777</v>
      </c>
      <c r="AK163" s="307">
        <f t="shared" ref="AK163:AK171" si="14">IFERROR(VLOOKUP($AD163,$AD$150:$AK$159,8,FALSE),"-")</f>
        <v>3.2329655799044031E-2</v>
      </c>
      <c r="AM163" s="58"/>
    </row>
    <row r="164" spans="1:50">
      <c r="H164" s="48"/>
      <c r="I164" s="48" t="s">
        <v>152</v>
      </c>
      <c r="AB164" s="79"/>
      <c r="AC164" s="58"/>
      <c r="AD164" s="80">
        <v>3</v>
      </c>
      <c r="AE164" s="80" t="str">
        <f t="shared" si="8"/>
        <v>Solar</v>
      </c>
      <c r="AF164" s="307">
        <f t="shared" si="9"/>
        <v>5.3000000000000005E-2</v>
      </c>
      <c r="AG164" s="307">
        <f t="shared" si="10"/>
        <v>0.25080297563934734</v>
      </c>
      <c r="AH164" s="307">
        <f t="shared" si="11"/>
        <v>3.6277943645164103E-2</v>
      </c>
      <c r="AI164" s="307">
        <f t="shared" si="12"/>
        <v>0.74919702436065261</v>
      </c>
      <c r="AJ164" s="80">
        <f t="shared" si="13"/>
        <v>783.02500000000009</v>
      </c>
      <c r="AK164" s="307">
        <f t="shared" si="14"/>
        <v>4.0471885137765805E-2</v>
      </c>
      <c r="AM164" s="58"/>
    </row>
    <row r="165" spans="1:50">
      <c r="H165" s="48" t="s">
        <v>152</v>
      </c>
      <c r="I165" s="48" t="s">
        <v>152</v>
      </c>
      <c r="AB165" s="79"/>
      <c r="AC165" s="58"/>
      <c r="AD165" s="80">
        <v>4</v>
      </c>
      <c r="AE165" s="80" t="str">
        <f t="shared" si="8"/>
        <v>Hydro</v>
      </c>
      <c r="AF165" s="307">
        <f t="shared" si="9"/>
        <v>5.2999999999999999E-2</v>
      </c>
      <c r="AG165" s="307">
        <f t="shared" si="10"/>
        <v>0.35747663551401876</v>
      </c>
      <c r="AH165" s="307">
        <f t="shared" si="11"/>
        <v>5.2249999999999998E-2</v>
      </c>
      <c r="AI165" s="307">
        <f t="shared" si="12"/>
        <v>0.64252336448598135</v>
      </c>
      <c r="AJ165" s="80">
        <f t="shared" si="13"/>
        <v>85.6</v>
      </c>
      <c r="AK165" s="307">
        <f t="shared" si="14"/>
        <v>5.2518107476635517E-2</v>
      </c>
      <c r="AM165" s="58"/>
      <c r="AW165" s="35"/>
    </row>
    <row r="166" spans="1:50">
      <c r="H166" s="48" t="s">
        <v>152</v>
      </c>
      <c r="I166" s="48" t="s">
        <v>152</v>
      </c>
      <c r="AB166" s="79"/>
      <c r="AC166" s="58"/>
      <c r="AD166" s="80">
        <v>5</v>
      </c>
      <c r="AE166" s="80" t="str">
        <f t="shared" si="8"/>
        <v>Wind</v>
      </c>
      <c r="AF166" s="307">
        <f t="shared" si="9"/>
        <v>0.15333333333333332</v>
      </c>
      <c r="AG166" s="307">
        <f t="shared" si="10"/>
        <v>0.20041531517616565</v>
      </c>
      <c r="AH166" s="307">
        <f t="shared" si="11"/>
        <v>3.2505911267665263E-2</v>
      </c>
      <c r="AI166" s="307">
        <f t="shared" si="12"/>
        <v>0.79958468482383405</v>
      </c>
      <c r="AJ166" s="80">
        <f t="shared" si="13"/>
        <v>1165.3800000000003</v>
      </c>
      <c r="AK166" s="307">
        <f t="shared" si="14"/>
        <v>5.6721577142879724E-2</v>
      </c>
      <c r="AM166" s="58"/>
      <c r="AW166" s="35"/>
      <c r="AX166" s="37"/>
    </row>
    <row r="167" spans="1:50">
      <c r="AB167" s="79"/>
      <c r="AC167" s="58"/>
      <c r="AD167" s="80">
        <v>6</v>
      </c>
      <c r="AE167" s="80" t="str">
        <f t="shared" si="8"/>
        <v>Battery</v>
      </c>
      <c r="AF167" s="307">
        <f t="shared" si="9"/>
        <v>6.7333333333333328E-2</v>
      </c>
      <c r="AG167" s="307">
        <f t="shared" si="10"/>
        <v>1</v>
      </c>
      <c r="AH167" s="307">
        <f t="shared" si="11"/>
        <v>0</v>
      </c>
      <c r="AI167" s="307">
        <f t="shared" si="12"/>
        <v>0</v>
      </c>
      <c r="AJ167" s="80">
        <f t="shared" si="13"/>
        <v>150</v>
      </c>
      <c r="AK167" s="307">
        <f t="shared" si="14"/>
        <v>6.7333333333333328E-2</v>
      </c>
      <c r="AM167" s="58"/>
      <c r="AW167" s="35"/>
      <c r="AX167" s="37"/>
    </row>
    <row r="168" spans="1:50">
      <c r="AB168" s="79"/>
      <c r="AC168" s="58"/>
      <c r="AD168" s="80">
        <v>7</v>
      </c>
      <c r="AE168" s="80" t="str">
        <f t="shared" si="8"/>
        <v>Geothermal</v>
      </c>
      <c r="AF168" s="307">
        <f t="shared" si="9"/>
        <v>0.18721296296277778</v>
      </c>
      <c r="AG168" s="307">
        <f t="shared" si="10"/>
        <v>0.25579778403597309</v>
      </c>
      <c r="AH168" s="307">
        <f t="shared" si="11"/>
        <v>3.2753269069841821E-2</v>
      </c>
      <c r="AI168" s="307">
        <f t="shared" si="12"/>
        <v>0.74420221596402669</v>
      </c>
      <c r="AJ168" s="80">
        <f t="shared" si="13"/>
        <v>4410.8409210109985</v>
      </c>
      <c r="AK168" s="307">
        <f t="shared" si="14"/>
        <v>7.2263716490529567E-2</v>
      </c>
      <c r="AM168" s="58"/>
      <c r="AW168" s="35"/>
      <c r="AX168" s="37"/>
    </row>
    <row r="169" spans="1:50">
      <c r="AB169" s="79"/>
      <c r="AC169" s="58"/>
      <c r="AD169" s="80">
        <v>8</v>
      </c>
      <c r="AE169" s="80" t="str">
        <f t="shared" si="8"/>
        <v>Biomass</v>
      </c>
      <c r="AF169" s="307">
        <f t="shared" si="9"/>
        <v>0.12</v>
      </c>
      <c r="AG169" s="307">
        <f t="shared" si="10"/>
        <v>0.38427947598253276</v>
      </c>
      <c r="AH169" s="307">
        <f t="shared" si="11"/>
        <v>6.1521050244123444E-2</v>
      </c>
      <c r="AI169" s="307">
        <f t="shared" si="12"/>
        <v>0.61572052401746724</v>
      </c>
      <c r="AJ169" s="80">
        <f t="shared" si="13"/>
        <v>229</v>
      </c>
      <c r="AK169" s="307">
        <f t="shared" si="14"/>
        <v>8.3993310412320554E-2</v>
      </c>
      <c r="AM169" s="58"/>
      <c r="AW169" s="35"/>
      <c r="AX169" s="37"/>
    </row>
    <row r="170" spans="1:50" ht="17.25" customHeight="1">
      <c r="A170" s="48" t="s">
        <v>152</v>
      </c>
      <c r="B170" s="48" t="s">
        <v>152</v>
      </c>
      <c r="C170" s="48" t="s">
        <v>152</v>
      </c>
      <c r="D170" s="48" t="s">
        <v>152</v>
      </c>
      <c r="E170" s="48" t="s">
        <v>152</v>
      </c>
      <c r="F170" s="48" t="s">
        <v>152</v>
      </c>
      <c r="AB170" s="79"/>
      <c r="AC170" s="58"/>
      <c r="AD170" s="80">
        <v>9</v>
      </c>
      <c r="AE170" s="80" t="str">
        <f t="shared" si="8"/>
        <v>Non-Renewable</v>
      </c>
      <c r="AF170" s="307">
        <f t="shared" si="9"/>
        <v>9.9333333333333329E-2</v>
      </c>
      <c r="AG170" s="307">
        <f t="shared" si="10"/>
        <v>0.14921208141825346</v>
      </c>
      <c r="AH170" s="307">
        <f t="shared" si="11"/>
        <v>9.5966666666666658E-2</v>
      </c>
      <c r="AI170" s="307">
        <f t="shared" si="12"/>
        <v>0.85078791858174663</v>
      </c>
      <c r="AJ170" s="80">
        <f t="shared" si="13"/>
        <v>304.59999999999997</v>
      </c>
      <c r="AK170" s="307">
        <f t="shared" si="14"/>
        <v>9.6469014007441456E-2</v>
      </c>
      <c r="AM170" s="58"/>
      <c r="AX170" s="40"/>
    </row>
    <row r="171" spans="1:50" ht="17.25" customHeight="1">
      <c r="AB171" s="79"/>
      <c r="AC171" s="58"/>
      <c r="AD171" s="80">
        <v>10</v>
      </c>
      <c r="AE171" s="80" t="str">
        <f t="shared" si="8"/>
        <v>Oil</v>
      </c>
      <c r="AF171" s="307">
        <f t="shared" si="9"/>
        <v>0.185</v>
      </c>
      <c r="AG171" s="307">
        <f t="shared" si="10"/>
        <v>0.25</v>
      </c>
      <c r="AH171" s="307">
        <f t="shared" si="11"/>
        <v>7.3025000000000007E-2</v>
      </c>
      <c r="AI171" s="307">
        <f t="shared" si="12"/>
        <v>0.75</v>
      </c>
      <c r="AJ171" s="80">
        <f t="shared" si="13"/>
        <v>108</v>
      </c>
      <c r="AK171" s="307">
        <f t="shared" si="14"/>
        <v>0.10101875</v>
      </c>
      <c r="AM171" s="58"/>
    </row>
    <row r="172" spans="1:50" ht="17.25" customHeight="1">
      <c r="AB172" s="79"/>
      <c r="AC172" s="58"/>
      <c r="AM172" s="58"/>
    </row>
    <row r="173" spans="1:50" ht="14.65" thickBot="1">
      <c r="T173" s="79"/>
      <c r="U173" s="79"/>
      <c r="V173" s="79"/>
      <c r="W173" s="79"/>
      <c r="X173" s="79"/>
      <c r="Y173" s="79"/>
      <c r="Z173" s="79"/>
      <c r="AA173" s="79"/>
      <c r="AB173" s="79"/>
      <c r="AG173" s="587" t="s">
        <v>25</v>
      </c>
      <c r="AH173" s="33" t="s">
        <v>402</v>
      </c>
      <c r="AI173" s="587" t="s">
        <v>289</v>
      </c>
      <c r="AK173" s="33" t="s">
        <v>288</v>
      </c>
      <c r="AL173" s="33" t="s">
        <v>289</v>
      </c>
    </row>
    <row r="174" spans="1:50" ht="29.55" customHeight="1">
      <c r="B174" s="617" t="s">
        <v>186</v>
      </c>
      <c r="C174" s="618"/>
      <c r="D174" s="618"/>
      <c r="E174" s="618"/>
      <c r="F174" s="618"/>
      <c r="G174" s="618"/>
      <c r="H174" s="619"/>
      <c r="M174" s="33" t="s">
        <v>31</v>
      </c>
      <c r="N174" s="33" t="s">
        <v>402</v>
      </c>
      <c r="O174" s="33" t="s">
        <v>289</v>
      </c>
      <c r="Q174" s="33" t="s">
        <v>288</v>
      </c>
      <c r="R174" s="33" t="s">
        <v>289</v>
      </c>
      <c r="U174" s="79" t="s">
        <v>31</v>
      </c>
      <c r="V174" s="33" t="s">
        <v>402</v>
      </c>
      <c r="W174" s="79" t="s">
        <v>289</v>
      </c>
      <c r="X174" s="79"/>
      <c r="Y174" s="79" t="s">
        <v>288</v>
      </c>
      <c r="Z174" s="79" t="s">
        <v>289</v>
      </c>
      <c r="AA174" s="79"/>
      <c r="AB174" s="79"/>
      <c r="AE174" s="33">
        <v>1</v>
      </c>
      <c r="AF174" s="63">
        <f>_xlfn.RANK.EQ(AH174, AH$174:AH$183) + COUNTIF(AH$174:AH174, AH174) - 1</f>
        <v>7</v>
      </c>
      <c r="AG174" s="588" t="str" cm="1">
        <f t="array" ref="AG174:AG184">IF(_xlfn.UNIQUE('Financing Baseline'!$C$49:$C$516)=0,"",_xlfn.UNIQUE('Financing Baseline'!$C$49:$C$516))</f>
        <v>Geothermal</v>
      </c>
      <c r="AH174" s="591">
        <f>IFERROR(SUMIFS('Financing Baseline'!$N$49:$N$516,'Financing Baseline'!$C$49:$C$516,'Visualisation Dashboard'!$AG174,'Financing Baseline'!$G$49:$G$516,'Visualisation Dashboard'!AH$173)/
SUMIFS('Financing Baseline'!$N$49:$N$516,'Financing Baseline'!$C$49:$C$516,'Visualisation Dashboard'!$AG174),"")</f>
        <v>0.74420221596402669</v>
      </c>
      <c r="AI174" s="591">
        <f>IFERROR(SUMIFS('Financing Baseline'!$N$49:$N$516,'Financing Baseline'!$C$49:$C$516,'Visualisation Dashboard'!$AG174,'Financing Baseline'!$G$49:$G$516,'Visualisation Dashboard'!AI$173)/
SUMIFS('Financing Baseline'!$N$49:$N$516,'Financing Baseline'!$C$49:$C$516,'Visualisation Dashboard'!$AG174),"")</f>
        <v>0.25579778403597309</v>
      </c>
      <c r="AJ174" s="33" t="str">
        <f>IF(_xlfn.XLOOKUP(AE174,$AF$174:$AF$183,$AG$174:$AG$183,"")=0,"",_xlfn.XLOOKUP(AE174,$AF$174:$AF$183,$AG$174:$AG$183,""))</f>
        <v>Distribution</v>
      </c>
      <c r="AK174" s="589">
        <f>_xlfn.XLOOKUP(AE174,$AF$174:$AF$183,$AH$174:$AH$183)</f>
        <v>0.97386622479377682</v>
      </c>
      <c r="AL174" s="589">
        <f>_xlfn.XLOOKUP(AE174,$AF$174:$AF$183,$AI$174:$AI$183)</f>
        <v>2.6133775206223168E-2</v>
      </c>
    </row>
    <row r="175" spans="1:50" ht="29.55" customHeight="1" thickBot="1">
      <c r="B175" s="620"/>
      <c r="C175" s="621"/>
      <c r="D175" s="621"/>
      <c r="E175" s="621"/>
      <c r="F175" s="621"/>
      <c r="G175" s="621"/>
      <c r="H175" s="622"/>
      <c r="K175" s="33">
        <v>1</v>
      </c>
      <c r="L175" s="63">
        <f>_xlfn.RANK.EQ(N175, N$175:N$181) + COUNTIF(N$175:N175, N175) - 1</f>
        <v>4</v>
      </c>
      <c r="M175" s="33" t="str" cm="1">
        <f t="array" ref="M175:M181">_xlfn._xlws.FILTER(_xlfn._xlws.SORT(_xlfn.UNIQUE('Financing Baseline'!$I$49:$I$516)),_xlfn._xlws.SORT(_xlfn.UNIQUE('Financing Baseline'!$I$49:$I$516))&lt;&gt;0)</f>
        <v>Bilateral Agency</v>
      </c>
      <c r="N175" s="581">
        <f>IFERROR(SUMIFS('Financing Baseline'!$N$49:$N$516,'Financing Baseline'!$I$49:$I$516,'Visualisation Dashboard'!$M175,'Financing Baseline'!$G$49:$G$516,'Visualisation Dashboard'!N$174)/
SUMIFS('Financing Baseline'!$N$49:$N$516,'Financing Baseline'!$I$49:$I$516,'Visualisation Dashboard'!$M175),"")</f>
        <v>0.97833371022973081</v>
      </c>
      <c r="O175" s="581">
        <f>IFERROR(SUMIFS('Financing Baseline'!$N$49:$N$516,'Financing Baseline'!$I$49:$I$516,'Visualisation Dashboard'!$M175,'Financing Baseline'!$G$49:$G$516,'Visualisation Dashboard'!O$174)/
SUMIFS('Financing Baseline'!$N$49:$N$516,'Financing Baseline'!$I$49:$I$516,'Visualisation Dashboard'!$M175),"")</f>
        <v>2.166628977026917E-2</v>
      </c>
      <c r="P175" s="33" t="str">
        <f>IF(_xlfn.XLOOKUP(K175,$L$175:$L$181,$M$175:$M$181,"")=0,"",_xlfn.XLOOKUP(K175,$L$175:$L$181,$M$175:$M$181,""))</f>
        <v>Commercial Bank</v>
      </c>
      <c r="Q175" s="589">
        <f>_xlfn.XLOOKUP(K175,$L$175:$L$181,$N$175:$N$181)</f>
        <v>1</v>
      </c>
      <c r="R175" s="589">
        <f>_xlfn.XLOOKUP(K175,$L$175:$L$181,$O$175:$O$181)</f>
        <v>0</v>
      </c>
      <c r="S175" s="33">
        <v>1</v>
      </c>
      <c r="T175" s="63">
        <f>_xlfn.RANK.EQ(V175, V$175:V$178) + COUNTIF(V$175:V175, V175) - 1</f>
        <v>3</v>
      </c>
      <c r="U175" s="33" t="str" cm="1">
        <f t="array" ref="U175:U178">_xlfn._xlws.FILTER(_xlfn._xlws.SORT(_xlfn.UNIQUE('Financing Baseline'!$F$49:$F$516)),_xlfn._xlws.SORT(_xlfn.UNIQUE('Financing Baseline'!$F$49:$F$516))&lt;&gt;0)</f>
        <v>Comm_Dom</v>
      </c>
      <c r="V175" s="581">
        <f>IFERROR(SUMIFS('Financing Baseline'!$N$49:$N$516,'Financing Baseline'!$F$49:$F$516,'Visualisation Dashboard'!$U175,'Financing Baseline'!$G$49:$G$516,'Visualisation Dashboard'!V$174)/
SUMIFS('Financing Baseline'!$N$49:$N$516,'Financing Baseline'!$F$49:$F$516,'Visualisation Dashboard'!$U175),"")</f>
        <v>0.20106556928156219</v>
      </c>
      <c r="W175" s="581">
        <f>IFERROR(SUMIFS('Financing Baseline'!$N$49:$N$516,'Financing Baseline'!$F$49:$F$516,'Visualisation Dashboard'!$U175,'Financing Baseline'!$G$49:$G$516,'Visualisation Dashboard'!W$174)/
SUMIFS('Financing Baseline'!$N$49:$N$516,'Financing Baseline'!$F$49:$F$516,'Visualisation Dashboard'!$U175),"")</f>
        <v>0.79893443071843784</v>
      </c>
      <c r="X175" s="79" t="str">
        <f>IF(_xlfn.XLOOKUP(S175,$T$175:$T$178,$U$175:$U$178,"")=0,"",_xlfn.XLOOKUP(S175,$T$175:$T$178,$U$175:$U$178,""))</f>
        <v>Conc_IFI</v>
      </c>
      <c r="Y175" s="590">
        <f>_xlfn.XLOOKUP(S175,$T$175:$T$178,$V$175:$V$178)</f>
        <v>0.9834115372940152</v>
      </c>
      <c r="Z175" s="590">
        <f>_xlfn.XLOOKUP(S175,$T$175:$T$178,$W$175:$W$178)</f>
        <v>1.6588462705984793E-2</v>
      </c>
      <c r="AA175" s="79"/>
      <c r="AB175" s="79"/>
      <c r="AE175" s="33">
        <v>2</v>
      </c>
      <c r="AF175" s="63">
        <f>_xlfn.RANK.EQ(AH175, AH$174:AH$183) + COUNTIF(AH$174:AH175, AH175) - 1</f>
        <v>6</v>
      </c>
      <c r="AG175" s="588" t="str">
        <v>Solar</v>
      </c>
      <c r="AH175" s="591">
        <f>IFERROR(SUMIFS('Financing Baseline'!$N$49:$N$516,'Financing Baseline'!$C$49:$C$516,'Visualisation Dashboard'!$AG175,'Financing Baseline'!$G$49:$G$516,'Visualisation Dashboard'!AH$173)/
SUMIFS('Financing Baseline'!$N$49:$N$516,'Financing Baseline'!$C$49:$C$516,'Visualisation Dashboard'!$AG175),"")</f>
        <v>0.74919702436065261</v>
      </c>
      <c r="AI175" s="591">
        <f>IFERROR(SUMIFS('Financing Baseline'!$N$49:$N$516,'Financing Baseline'!$C$49:$C$516,'Visualisation Dashboard'!$AG175,'Financing Baseline'!$G$49:$G$516,'Visualisation Dashboard'!AI$173)/
SUMIFS('Financing Baseline'!$N$49:$N$516,'Financing Baseline'!$C$49:$C$516,'Visualisation Dashboard'!$AG175),"")</f>
        <v>0.25080297563934734</v>
      </c>
      <c r="AJ175" s="33" t="str">
        <f t="shared" ref="AJ175:AJ183" si="15">IF(_xlfn.XLOOKUP(AE175,$AF$174:$AF$183,$AG$174:$AG$183,"")=0,"",_xlfn.XLOOKUP(AE175,$AF$174:$AF$183,$AG$174:$AG$183,""))</f>
        <v>Transmission</v>
      </c>
      <c r="AK175" s="589">
        <f t="shared" ref="AK175:AK183" si="16">_xlfn.XLOOKUP(AE175,$AF$174:$AF$183,$AH$174:$AH$183)</f>
        <v>0.86732800619539707</v>
      </c>
      <c r="AL175" s="589">
        <f t="shared" ref="AL175:AL183" si="17">_xlfn.XLOOKUP(AE175,$AF$174:$AF$183,$AI$174:$AI$183)</f>
        <v>0.13267199380460296</v>
      </c>
    </row>
    <row r="176" spans="1:50" ht="60" customHeight="1" thickBot="1">
      <c r="B176" s="625"/>
      <c r="C176" s="626"/>
      <c r="D176" s="69" t="s">
        <v>158</v>
      </c>
      <c r="E176" s="69" t="s">
        <v>157</v>
      </c>
      <c r="F176" s="69" t="s">
        <v>187</v>
      </c>
      <c r="G176" s="69" t="s">
        <v>188</v>
      </c>
      <c r="H176" s="73" t="s">
        <v>189</v>
      </c>
      <c r="K176" s="33">
        <v>2</v>
      </c>
      <c r="L176" s="63">
        <f>_xlfn.RANK.EQ(N176, N$175:N$181) + COUNTIF(N$175:N176, N176) - 1</f>
        <v>5</v>
      </c>
      <c r="M176" s="33" t="str">
        <v>Climate Funds</v>
      </c>
      <c r="N176" s="581">
        <f>IFERROR(SUMIFS('Financing Baseline'!$N$49:$N$516,'Financing Baseline'!$I$49:$I$516,'Visualisation Dashboard'!$M176,'Financing Baseline'!$G$49:$G$516,'Visualisation Dashboard'!N$174)/
SUMIFS('Financing Baseline'!$N$49:$N$516,'Financing Baseline'!$I$49:$I$516,'Visualisation Dashboard'!$M176),"")</f>
        <v>0.79122800826540252</v>
      </c>
      <c r="O176" s="581">
        <f>IFERROR(SUMIFS('Financing Baseline'!$N$49:$N$516,'Financing Baseline'!$I$49:$I$516,'Visualisation Dashboard'!$M176,'Financing Baseline'!$G$49:$G$516,'Visualisation Dashboard'!O$174)/
SUMIFS('Financing Baseline'!$N$49:$N$516,'Financing Baseline'!$I$49:$I$516,'Visualisation Dashboard'!$M176),"")</f>
        <v>0.20877199173459743</v>
      </c>
      <c r="P176" s="33" t="str">
        <f t="shared" ref="P176:P181" si="18">IF(_xlfn.XLOOKUP(K176,$L$175:$L$181,$M$175:$M$181,"")=0,"",_xlfn.XLOOKUP(K176,$L$175:$L$181,$M$175:$M$181,""))</f>
        <v>Foreign Government</v>
      </c>
      <c r="Q176" s="589">
        <f t="shared" ref="Q176:Q181" si="19">_xlfn.XLOOKUP(K176,$L$175:$L$181,$N$175:$N$181)</f>
        <v>1</v>
      </c>
      <c r="R176" s="589">
        <f t="shared" ref="R176:R181" si="20">_xlfn.XLOOKUP(K176,$L$175:$L$181,$O$175:$O$181)</f>
        <v>0</v>
      </c>
      <c r="S176" s="33">
        <v>2</v>
      </c>
      <c r="T176" s="63">
        <f>_xlfn.RANK.EQ(V176, V$175:V$178) + COUNTIF(V$175:V176, V176) - 1</f>
        <v>2</v>
      </c>
      <c r="U176" s="79" t="str">
        <v>Comm_Intl</v>
      </c>
      <c r="V176" s="581">
        <f>IFERROR(SUMIFS('Financing Baseline'!$N$49:$N$516,'Financing Baseline'!$F$49:$F$516,'Visualisation Dashboard'!$U176,'Financing Baseline'!$G$49:$G$516,'Visualisation Dashboard'!V$174)/
SUMIFS('Financing Baseline'!$N$49:$N$516,'Financing Baseline'!$F$49:$F$516,'Visualisation Dashboard'!$U176),"")</f>
        <v>0.36177808074194329</v>
      </c>
      <c r="W176" s="581">
        <f>IFERROR(SUMIFS('Financing Baseline'!$N$49:$N$516,'Financing Baseline'!$F$49:$F$516,'Visualisation Dashboard'!$U176,'Financing Baseline'!$G$49:$G$516,'Visualisation Dashboard'!W$174)/
SUMIFS('Financing Baseline'!$N$49:$N$516,'Financing Baseline'!$F$49:$F$516,'Visualisation Dashboard'!$U176),"")</f>
        <v>0.63822191925805671</v>
      </c>
      <c r="X176" s="79" t="str">
        <f t="shared" ref="X176:X178" si="21">IF(_xlfn.XLOOKUP(S176,$T$175:$T$178,$U$175:$U$178,"")=0,"",_xlfn.XLOOKUP(S176,$T$175:$T$178,$U$175:$U$178,""))</f>
        <v>Comm_Intl</v>
      </c>
      <c r="Y176" s="590">
        <f t="shared" ref="Y176:Y178" si="22">_xlfn.XLOOKUP(S176,$T$175:$T$178,$V$175:$V$178)</f>
        <v>0.36177808074194329</v>
      </c>
      <c r="Z176" s="590">
        <f t="shared" ref="Z176:Z178" si="23">_xlfn.XLOOKUP(S176,$T$175:$T$178,$W$175:$W$178)</f>
        <v>0.63822191925805671</v>
      </c>
      <c r="AA176" s="79"/>
      <c r="AB176" s="79"/>
      <c r="AE176" s="33">
        <v>3</v>
      </c>
      <c r="AF176" s="63">
        <f>_xlfn.RANK.EQ(AH176, AH$174:AH$183) + COUNTIF(AH$174:AH176, AH176) - 1</f>
        <v>9</v>
      </c>
      <c r="AG176" s="587" t="str">
        <v>Biomass</v>
      </c>
      <c r="AH176" s="591">
        <f>IFERROR(SUMIFS('Financing Baseline'!$N$49:$N$516,'Financing Baseline'!$C$49:$C$516,'Visualisation Dashboard'!$AG176,'Financing Baseline'!$G$49:$G$516,'Visualisation Dashboard'!AH$173)/
SUMIFS('Financing Baseline'!$N$49:$N$516,'Financing Baseline'!$C$49:$C$516,'Visualisation Dashboard'!$AG176),"")</f>
        <v>0.61572052401746724</v>
      </c>
      <c r="AI176" s="591">
        <f>IFERROR(SUMIFS('Financing Baseline'!$N$49:$N$516,'Financing Baseline'!$C$49:$C$516,'Visualisation Dashboard'!$AG176,'Financing Baseline'!$G$49:$G$516,'Visualisation Dashboard'!AI$173)/
SUMIFS('Financing Baseline'!$N$49:$N$516,'Financing Baseline'!$C$49:$C$516,'Visualisation Dashboard'!$AG176),"")</f>
        <v>0.38427947598253276</v>
      </c>
      <c r="AJ176" s="33" t="str">
        <f t="shared" si="15"/>
        <v>Non-Renewable</v>
      </c>
      <c r="AK176" s="589">
        <f t="shared" si="16"/>
        <v>0.85078791858174663</v>
      </c>
      <c r="AL176" s="589">
        <f t="shared" si="17"/>
        <v>0.14921208141825346</v>
      </c>
    </row>
    <row r="177" spans="1:54" ht="60" customHeight="1">
      <c r="B177" s="623" t="s">
        <v>190</v>
      </c>
      <c r="C177" s="624"/>
      <c r="D177" s="70">
        <f>IFERROR(AVERAGEIFS('Financing Baseline'!P49:P230, 'Financing Baseline'!F49:F230, "Conc_IFI", 'Financing Baseline'!G49:G230, "Loan"), 0)</f>
        <v>2.7410893166073622E-2</v>
      </c>
      <c r="E177" s="70">
        <f>IFERROR(AVERAGEIFS('Financing Baseline'!P49:P230, 'Financing Baseline'!F49:F230, "Conc_DPS", 'Financing Baseline'!G49:G230, "Loan"), 0)</f>
        <v>2.4758333333333337E-2</v>
      </c>
      <c r="F177" s="70">
        <f>IFERROR(AVERAGEIFS('Financing Baseline'!P49:P230, 'Financing Baseline'!F49:F230, "Comm_Dom", 'Financing Baseline'!G49:G230, "Loan"), 0)</f>
        <v>0.13016487935656837</v>
      </c>
      <c r="G177" s="70">
        <f>IFERROR(AVERAGEIFS('Financing Baseline'!P49:P230, 'Financing Baseline'!F49:F230, "Comm_Intl", 'Financing Baseline'!G49:G230, "Loan"), 0)</f>
        <v>9.0307141116256401E-2</v>
      </c>
      <c r="H177" s="74">
        <f>IFERROR(SUMPRODUCT($D$181:$G$181,D177:G177)/SUM($D$181:$G$181), 0)</f>
        <v>3.141966370058126E-2</v>
      </c>
      <c r="K177" s="33">
        <v>3</v>
      </c>
      <c r="L177" s="63">
        <f>_xlfn.RANK.EQ(N177, N$175:N$181) + COUNTIF(N$175:N177, N177) - 1</f>
        <v>1</v>
      </c>
      <c r="M177" s="33" t="str">
        <v>Commercial Bank</v>
      </c>
      <c r="N177" s="581">
        <f>IFERROR(SUMIFS('Financing Baseline'!$N$49:$N$516,'Financing Baseline'!$I$49:$I$516,'Visualisation Dashboard'!$M177,'Financing Baseline'!$G$49:$G$516,'Visualisation Dashboard'!N$174)/
SUMIFS('Financing Baseline'!$N$49:$N$516,'Financing Baseline'!$I$49:$I$516,'Visualisation Dashboard'!$M177),"")</f>
        <v>1</v>
      </c>
      <c r="O177" s="581">
        <f>IFERROR(SUMIFS('Financing Baseline'!$N$49:$N$516,'Financing Baseline'!$I$49:$I$516,'Visualisation Dashboard'!$M177,'Financing Baseline'!$G$49:$G$516,'Visualisation Dashboard'!O$174)/
SUMIFS('Financing Baseline'!$N$49:$N$516,'Financing Baseline'!$I$49:$I$516,'Visualisation Dashboard'!$M177),"")</f>
        <v>0</v>
      </c>
      <c r="P177" s="33" t="str">
        <f t="shared" si="18"/>
        <v>Multilateral Agency</v>
      </c>
      <c r="Q177" s="589">
        <f t="shared" si="19"/>
        <v>0.98859527583246121</v>
      </c>
      <c r="R177" s="589">
        <f t="shared" si="20"/>
        <v>1.1404724167538774E-2</v>
      </c>
      <c r="S177" s="33">
        <v>3</v>
      </c>
      <c r="T177" s="63">
        <f>_xlfn.RANK.EQ(V177, V$175:V$178) + COUNTIF(V$175:V177, V177) - 1</f>
        <v>4</v>
      </c>
      <c r="U177" s="79" t="str">
        <v>Conc_DPS</v>
      </c>
      <c r="V177" s="581">
        <f>IFERROR(SUMIFS('Financing Baseline'!$N$49:$N$516,'Financing Baseline'!$F$49:$F$516,'Visualisation Dashboard'!$U177,'Financing Baseline'!$G$49:$G$516,'Visualisation Dashboard'!V$174)/
SUMIFS('Financing Baseline'!$N$49:$N$516,'Financing Baseline'!$F$49:$F$516,'Visualisation Dashboard'!$U177),"")</f>
        <v>0.1688067679143915</v>
      </c>
      <c r="W177" s="581">
        <f>IFERROR(SUMIFS('Financing Baseline'!$N$49:$N$516,'Financing Baseline'!$F$49:$F$516,'Visualisation Dashboard'!$U177,'Financing Baseline'!$G$49:$G$516,'Visualisation Dashboard'!W$174)/
SUMIFS('Financing Baseline'!$N$49:$N$516,'Financing Baseline'!$F$49:$F$516,'Visualisation Dashboard'!$U177),"")</f>
        <v>0.83119323208560858</v>
      </c>
      <c r="X177" s="79" t="str">
        <f t="shared" si="21"/>
        <v>Comm_Dom</v>
      </c>
      <c r="Y177" s="590">
        <f t="shared" si="22"/>
        <v>0.20106556928156219</v>
      </c>
      <c r="Z177" s="590">
        <f t="shared" si="23"/>
        <v>0.79893443071843784</v>
      </c>
      <c r="AA177" s="79"/>
      <c r="AB177" s="79"/>
      <c r="AE177" s="33">
        <v>4</v>
      </c>
      <c r="AF177" s="63">
        <f>_xlfn.RANK.EQ(AH177, AH$174:AH$183) + COUNTIF(AH$174:AH177, AH177) - 1</f>
        <v>2</v>
      </c>
      <c r="AG177" s="587" t="str">
        <v>Transmission</v>
      </c>
      <c r="AH177" s="591">
        <f>IFERROR(SUMIFS('Financing Baseline'!$N$49:$N$516,'Financing Baseline'!$C$49:$C$516,'Visualisation Dashboard'!$AG177,'Financing Baseline'!$G$49:$G$516,'Visualisation Dashboard'!AH$173)/
SUMIFS('Financing Baseline'!$N$49:$N$516,'Financing Baseline'!$C$49:$C$516,'Visualisation Dashboard'!$AG177),"")</f>
        <v>0.86732800619539707</v>
      </c>
      <c r="AI177" s="591">
        <f>IFERROR(SUMIFS('Financing Baseline'!$N$49:$N$516,'Financing Baseline'!$C$49:$C$516,'Visualisation Dashboard'!$AG177,'Financing Baseline'!$G$49:$G$516,'Visualisation Dashboard'!AI$173)/
SUMIFS('Financing Baseline'!$N$49:$N$516,'Financing Baseline'!$C$49:$C$516,'Visualisation Dashboard'!$AG177),"")</f>
        <v>0.13267199380460296</v>
      </c>
      <c r="AJ177" s="33" t="str">
        <f t="shared" si="15"/>
        <v>Wind</v>
      </c>
      <c r="AK177" s="589">
        <f t="shared" si="16"/>
        <v>0.79958468482383405</v>
      </c>
      <c r="AL177" s="589">
        <f t="shared" si="17"/>
        <v>0.20041531517616565</v>
      </c>
    </row>
    <row r="178" spans="1:54" ht="60" customHeight="1">
      <c r="B178" s="629" t="s">
        <v>191</v>
      </c>
      <c r="C178" s="630"/>
      <c r="D178" s="71">
        <f>IFERROR(AVERAGEIFS('Financing Baseline'!S49:S230, 'Financing Baseline'!F49:F230, "Conc_IFI", 'Financing Baseline'!G49:G230, "Loan"), 0)</f>
        <v>6.2217903644826347</v>
      </c>
      <c r="E178" s="71">
        <f>IFERROR(AVERAGEIFS('Financing Baseline'!S49:S230, 'Financing Baseline'!F49:F230, "Conc_DPS", 'Financing Baseline'!G49:G230, "Loan"), 0)</f>
        <v>5.916666666666667</v>
      </c>
      <c r="F178" s="71">
        <f>IFERROR(AVERAGEIFS('Financing Baseline'!S49:S230, 'Financing Baseline'!F49:F230, "Comm_Dom", 'Financing Baseline'!G49:G230, "Loan"), 0)</f>
        <v>5.75</v>
      </c>
      <c r="G178" s="71">
        <f>IFERROR(AVERAGEIFS('Financing Baseline'!S49:S230, 'Financing Baseline'!F49:F230, "Comm_Intl", 'Financing Baseline'!G49:G230, "Loan"), 0)</f>
        <v>2.2727272727272729</v>
      </c>
      <c r="H178" s="75">
        <f>IFERROR(SUMPRODUCT($D$181:$G$181,D178:G178)/SUM($D$181:$G$181), 0)</f>
        <v>5.9940464013694106</v>
      </c>
      <c r="K178" s="33">
        <v>4</v>
      </c>
      <c r="L178" s="63">
        <f>_xlfn.RANK.EQ(N178, N$175:N$181) + COUNTIF(N$175:N178, N178) - 1</f>
        <v>2</v>
      </c>
      <c r="M178" s="33" t="str">
        <v>Foreign Government</v>
      </c>
      <c r="N178" s="581">
        <f>IFERROR(SUMIFS('Financing Baseline'!$N$49:$N$516,'Financing Baseline'!$I$49:$I$516,'Visualisation Dashboard'!$M178,'Financing Baseline'!$G$49:$G$516,'Visualisation Dashboard'!N$174)/
SUMIFS('Financing Baseline'!$N$49:$N$516,'Financing Baseline'!$I$49:$I$516,'Visualisation Dashboard'!$M178),"")</f>
        <v>1</v>
      </c>
      <c r="O178" s="581">
        <f>IFERROR(SUMIFS('Financing Baseline'!$N$49:$N$516,'Financing Baseline'!$I$49:$I$516,'Visualisation Dashboard'!$M178,'Financing Baseline'!$G$49:$G$516,'Visualisation Dashboard'!O$174)/
SUMIFS('Financing Baseline'!$N$49:$N$516,'Financing Baseline'!$I$49:$I$516,'Visualisation Dashboard'!$M178),"")</f>
        <v>0</v>
      </c>
      <c r="P178" s="33" t="str">
        <f t="shared" si="18"/>
        <v>Bilateral Agency</v>
      </c>
      <c r="Q178" s="589">
        <f t="shared" si="19"/>
        <v>0.97833371022973081</v>
      </c>
      <c r="R178" s="589">
        <f t="shared" si="20"/>
        <v>2.166628977026917E-2</v>
      </c>
      <c r="S178" s="33">
        <v>4</v>
      </c>
      <c r="T178" s="63">
        <f>_xlfn.RANK.EQ(V178, V$175:V$178) + COUNTIF(V$175:V178, V178) - 1</f>
        <v>1</v>
      </c>
      <c r="U178" s="79" t="str">
        <v>Conc_IFI</v>
      </c>
      <c r="V178" s="581">
        <f>IFERROR(SUMIFS('Financing Baseline'!$N$49:$N$516,'Financing Baseline'!$F$49:$F$516,'Visualisation Dashboard'!$U178,'Financing Baseline'!$G$49:$G$516,'Visualisation Dashboard'!V$174)/
SUMIFS('Financing Baseline'!$N$49:$N$516,'Financing Baseline'!$F$49:$F$516,'Visualisation Dashboard'!$U178),"")</f>
        <v>0.9834115372940152</v>
      </c>
      <c r="W178" s="581">
        <f>IFERROR(SUMIFS('Financing Baseline'!$N$49:$N$516,'Financing Baseline'!$F$49:$F$516,'Visualisation Dashboard'!$U178,'Financing Baseline'!$G$49:$G$516,'Visualisation Dashboard'!W$174)/
SUMIFS('Financing Baseline'!$N$49:$N$516,'Financing Baseline'!$F$49:$F$516,'Visualisation Dashboard'!$U178),"")</f>
        <v>1.6588462705984793E-2</v>
      </c>
      <c r="X178" s="79" t="str">
        <f t="shared" si="21"/>
        <v>Conc_DPS</v>
      </c>
      <c r="Y178" s="590">
        <f t="shared" si="22"/>
        <v>0.1688067679143915</v>
      </c>
      <c r="Z178" s="590">
        <f t="shared" si="23"/>
        <v>0.83119323208560858</v>
      </c>
      <c r="AA178" s="79"/>
      <c r="AB178" s="79"/>
      <c r="AE178" s="33">
        <v>5</v>
      </c>
      <c r="AF178" s="63">
        <f>_xlfn.RANK.EQ(AH178, AH$174:AH$183) + COUNTIF(AH$174:AH178, AH178) - 1</f>
        <v>3</v>
      </c>
      <c r="AG178" s="587" t="str">
        <v>Non-Renewable</v>
      </c>
      <c r="AH178" s="591">
        <f>IFERROR(SUMIFS('Financing Baseline'!$N$49:$N$516,'Financing Baseline'!$C$49:$C$516,'Visualisation Dashboard'!$AG178,'Financing Baseline'!$G$49:$G$516,'Visualisation Dashboard'!AH$173)/
SUMIFS('Financing Baseline'!$N$49:$N$516,'Financing Baseline'!$C$49:$C$516,'Visualisation Dashboard'!$AG178),"")</f>
        <v>0.85078791858174663</v>
      </c>
      <c r="AI178" s="591">
        <f>IFERROR(SUMIFS('Financing Baseline'!$N$49:$N$516,'Financing Baseline'!$C$49:$C$516,'Visualisation Dashboard'!$AG178,'Financing Baseline'!$G$49:$G$516,'Visualisation Dashboard'!AI$173)/
SUMIFS('Financing Baseline'!$N$49:$N$516,'Financing Baseline'!$C$49:$C$516,'Visualisation Dashboard'!$AG178),"")</f>
        <v>0.14921208141825346</v>
      </c>
      <c r="AJ178" s="33" t="str">
        <f t="shared" si="15"/>
        <v>Oil</v>
      </c>
      <c r="AK178" s="589">
        <f t="shared" si="16"/>
        <v>0.75</v>
      </c>
      <c r="AL178" s="589">
        <f t="shared" si="17"/>
        <v>0.25</v>
      </c>
      <c r="AP178" s="33" t="str">
        <f>IFERROR(VLOOKUP(#REF!,$M$187:$T$200,8,FALSE),"-")</f>
        <v>-</v>
      </c>
    </row>
    <row r="179" spans="1:54" ht="60" customHeight="1">
      <c r="B179" s="629" t="s">
        <v>192</v>
      </c>
      <c r="C179" s="630"/>
      <c r="D179" s="72">
        <f>IFERROR(AVERAGEIFS('Financing Baseline'!Q49:Q230, 'Financing Baseline'!F49:F230, "Conc_IFI", 'Financing Baseline'!G49:G230, "Loan"), 0)</f>
        <v>24.861464502519372</v>
      </c>
      <c r="E179" s="72">
        <f>IFERROR(AVERAGEIFS('Financing Baseline'!Q49:Q230, 'Financing Baseline'!F49:F230, "Conc_DPS", 'Financing Baseline'!G49:G230, "Loan"), 0)</f>
        <v>17.883333333333329</v>
      </c>
      <c r="F179" s="72">
        <f>IFERROR(AVERAGEIFS('Financing Baseline'!Q49:Q230, 'Financing Baseline'!F49:F230, "Comm_Dom", 'Financing Baseline'!G49:G230, "Loan"), 0)</f>
        <v>17.5</v>
      </c>
      <c r="G179" s="72">
        <f>IFERROR(AVERAGEIFS('Financing Baseline'!Q49:Q230, 'Financing Baseline'!F49:F230, "Comm_Intl", 'Financing Baseline'!G49:G230, "Loan"), 0)</f>
        <v>15.454545454545455</v>
      </c>
      <c r="H179" s="76">
        <f>IFERROR(SUMPRODUCT($D$181:$G$181,D179:G179)/SUM($D$181:$G$181), 0)</f>
        <v>24.135693177983587</v>
      </c>
      <c r="K179" s="33">
        <v>5</v>
      </c>
      <c r="L179" s="63">
        <f>_xlfn.RANK.EQ(N179, N$175:N$181) + COUNTIF(N$175:N179, N179) - 1</f>
        <v>3</v>
      </c>
      <c r="M179" s="33" t="str">
        <v>Multilateral Agency</v>
      </c>
      <c r="N179" s="581">
        <f>IFERROR(SUMIFS('Financing Baseline'!$N$49:$N$516,'Financing Baseline'!$I$49:$I$516,'Visualisation Dashboard'!$M179,'Financing Baseline'!$G$49:$G$516,'Visualisation Dashboard'!N$174)/
SUMIFS('Financing Baseline'!$N$49:$N$516,'Financing Baseline'!$I$49:$I$516,'Visualisation Dashboard'!$M179),"")</f>
        <v>0.98859527583246121</v>
      </c>
      <c r="O179" s="581">
        <f>IFERROR(SUMIFS('Financing Baseline'!$N$49:$N$516,'Financing Baseline'!$I$49:$I$516,'Visualisation Dashboard'!$M179,'Financing Baseline'!$G$49:$G$516,'Visualisation Dashboard'!O$174)/
SUMIFS('Financing Baseline'!$N$49:$N$516,'Financing Baseline'!$I$49:$I$516,'Visualisation Dashboard'!$M179),"")</f>
        <v>1.1404724167538774E-2</v>
      </c>
      <c r="P179" s="33" t="str">
        <f t="shared" si="18"/>
        <v>Climate Funds</v>
      </c>
      <c r="Q179" s="589">
        <f t="shared" si="19"/>
        <v>0.79122800826540252</v>
      </c>
      <c r="R179" s="589">
        <f t="shared" si="20"/>
        <v>0.20877199173459743</v>
      </c>
      <c r="T179" s="79"/>
      <c r="U179" s="79"/>
      <c r="V179" s="79"/>
      <c r="W179" s="79"/>
      <c r="AC179" s="79"/>
      <c r="AE179" s="33">
        <v>6</v>
      </c>
      <c r="AF179" s="63">
        <f>_xlfn.RANK.EQ(AH179, AH$174:AH$183) + COUNTIF(AH$174:AH179, AH179) - 1</f>
        <v>5</v>
      </c>
      <c r="AG179" s="587" t="str">
        <v>Oil</v>
      </c>
      <c r="AH179" s="591">
        <f>IFERROR(SUMIFS('Financing Baseline'!$N$49:$N$516,'Financing Baseline'!$C$49:$C$516,'Visualisation Dashboard'!$AG179,'Financing Baseline'!$G$49:$G$516,'Visualisation Dashboard'!AH$173)/
SUMIFS('Financing Baseline'!$N$49:$N$516,'Financing Baseline'!$C$49:$C$516,'Visualisation Dashboard'!$AG179),"")</f>
        <v>0.75</v>
      </c>
      <c r="AI179" s="591">
        <f>IFERROR(SUMIFS('Financing Baseline'!$N$49:$N$516,'Financing Baseline'!$C$49:$C$516,'Visualisation Dashboard'!$AG179,'Financing Baseline'!$G$49:$G$516,'Visualisation Dashboard'!AI$173)/
SUMIFS('Financing Baseline'!$N$49:$N$516,'Financing Baseline'!$C$49:$C$516,'Visualisation Dashboard'!$AG179),"")</f>
        <v>0.25</v>
      </c>
      <c r="AJ179" s="33" t="str">
        <f t="shared" si="15"/>
        <v>Solar</v>
      </c>
      <c r="AK179" s="589">
        <f t="shared" si="16"/>
        <v>0.74919702436065261</v>
      </c>
      <c r="AL179" s="589">
        <f t="shared" si="17"/>
        <v>0.25080297563934734</v>
      </c>
    </row>
    <row r="180" spans="1:54" ht="60" customHeight="1">
      <c r="B180" s="629" t="s">
        <v>193</v>
      </c>
      <c r="C180" s="630"/>
      <c r="D180" s="70">
        <f>'Financing Baseline'!J32</f>
        <v>0.80599980832350315</v>
      </c>
      <c r="E180" s="70">
        <f>'Financing Baseline'!J33</f>
        <v>0.77131285778173986</v>
      </c>
      <c r="F180" s="70">
        <f>'Financing Baseline'!J35</f>
        <v>0.24761270247903155</v>
      </c>
      <c r="G180" s="70">
        <f>'Financing Baseline'!J34</f>
        <v>0.33896815359837118</v>
      </c>
      <c r="H180" s="74">
        <f>IFERROR(SUMPRODUCT($D$181:$G$181,D180:G180)/SUM($D$181:$G$181), 0)</f>
        <v>0.77615488661420806</v>
      </c>
      <c r="K180" s="33">
        <v>6</v>
      </c>
      <c r="L180" s="63">
        <f>_xlfn.RANK.EQ(N180, N$175:N$181) + COUNTIF(N$175:N180, N180) - 1</f>
        <v>6</v>
      </c>
      <c r="M180" s="33" t="str">
        <v>National Government</v>
      </c>
      <c r="N180" s="581">
        <f>IFERROR(SUMIFS('Financing Baseline'!$N$49:$N$516,'Financing Baseline'!$I$49:$I$516,'Visualisation Dashboard'!$M180,'Financing Baseline'!$G$49:$G$516,'Visualisation Dashboard'!N$174)/
SUMIFS('Financing Baseline'!$N$49:$N$516,'Financing Baseline'!$I$49:$I$516,'Visualisation Dashboard'!$M180),"")</f>
        <v>0.12179404279367881</v>
      </c>
      <c r="O180" s="581">
        <f>IFERROR(SUMIFS('Financing Baseline'!$N$49:$N$516,'Financing Baseline'!$I$49:$I$516,'Visualisation Dashboard'!$M180,'Financing Baseline'!$G$49:$G$516,'Visualisation Dashboard'!O$174)/
SUMIFS('Financing Baseline'!$N$49:$N$516,'Financing Baseline'!$I$49:$I$516,'Visualisation Dashboard'!$M180),"")</f>
        <v>0.87820595720632133</v>
      </c>
      <c r="P180" s="33" t="str">
        <f t="shared" si="18"/>
        <v>National Government</v>
      </c>
      <c r="Q180" s="589">
        <f t="shared" si="19"/>
        <v>0.12179404279367881</v>
      </c>
      <c r="R180" s="589">
        <f t="shared" si="20"/>
        <v>0.87820595720632133</v>
      </c>
      <c r="T180" s="79"/>
      <c r="U180" s="79"/>
      <c r="V180" s="79"/>
      <c r="W180" s="79"/>
      <c r="AC180" s="79"/>
      <c r="AD180" s="79"/>
      <c r="AE180" s="33">
        <v>7</v>
      </c>
      <c r="AF180" s="63">
        <f>_xlfn.RANK.EQ(AH180, AH$174:AH$183) + COUNTIF(AH$174:AH180, AH180) - 1</f>
        <v>1</v>
      </c>
      <c r="AG180" s="588" t="str">
        <v>Distribution</v>
      </c>
      <c r="AH180" s="591">
        <f>IFERROR(SUMIFS('Financing Baseline'!$N$49:$N$516,'Financing Baseline'!$C$49:$C$516,'Visualisation Dashboard'!$AG180,'Financing Baseline'!$G$49:$G$516,'Visualisation Dashboard'!AH$173)/
SUMIFS('Financing Baseline'!$N$49:$N$516,'Financing Baseline'!$C$49:$C$516,'Visualisation Dashboard'!$AG180),"")</f>
        <v>0.97386622479377682</v>
      </c>
      <c r="AI180" s="591">
        <f>IFERROR(SUMIFS('Financing Baseline'!$N$49:$N$516,'Financing Baseline'!$C$49:$C$516,'Visualisation Dashboard'!$AG180,'Financing Baseline'!$G$49:$G$516,'Visualisation Dashboard'!AI$173)/
SUMIFS('Financing Baseline'!$N$49:$N$516,'Financing Baseline'!$C$49:$C$516,'Visualisation Dashboard'!$AG180),"")</f>
        <v>2.6133775206223168E-2</v>
      </c>
      <c r="AJ180" s="33" t="str">
        <f t="shared" si="15"/>
        <v>Geothermal</v>
      </c>
      <c r="AK180" s="589">
        <f t="shared" si="16"/>
        <v>0.74420221596402669</v>
      </c>
      <c r="AL180" s="589">
        <f t="shared" si="17"/>
        <v>0.25579778403597309</v>
      </c>
    </row>
    <row r="181" spans="1:54" ht="60" customHeight="1" thickBot="1">
      <c r="B181" s="631" t="s">
        <v>194</v>
      </c>
      <c r="C181" s="632"/>
      <c r="D181" s="77">
        <f>SUMIFS('Financing Baseline'!$N$49:$N$516,'Financing Baseline'!$F$49:$F$516,"Conc_IFI",'Financing Baseline'!$G$49:$G$516,"Loan")</f>
        <v>8033.914587321874</v>
      </c>
      <c r="E181" s="77">
        <f>SUMIFS('Financing Baseline'!$N$49:$N$516,'Financing Baseline'!$F$49:$F$516,"Conc_DPS",'Financing Baseline'!$G$49:$G$516,"Loan")</f>
        <v>205.98000000000002</v>
      </c>
      <c r="F181" s="77">
        <f>SUMIFS('Financing Baseline'!$N$49:$N$516,'Financing Baseline'!$F$49:$F$516,"Comm_Dom",'Financing Baseline'!$G$49:$G$516,"Loan")</f>
        <v>51.4</v>
      </c>
      <c r="G181" s="77">
        <f>SUMIFS('Financing Baseline'!$N$49:$N$516,'Financing Baseline'!$F$49:$F$516,"Comm_Intl",'Financing Baseline'!$G$49:$G$516,"Loan")</f>
        <v>484.02</v>
      </c>
      <c r="H181" s="78">
        <f>SUM(D181:G181)</f>
        <v>8775.3145873218746</v>
      </c>
      <c r="K181" s="33">
        <v>7</v>
      </c>
      <c r="L181" s="63">
        <f>_xlfn.RANK.EQ(N181, N$175:N$181) + COUNTIF(N$175:N181, N181) - 1</f>
        <v>7</v>
      </c>
      <c r="M181" s="33" t="str">
        <v>Private Equity Fund</v>
      </c>
      <c r="N181" s="581">
        <f>IFERROR(SUMIFS('Financing Baseline'!$N$49:$N$516,'Financing Baseline'!$I$49:$I$516,'Visualisation Dashboard'!$M181,'Financing Baseline'!$G$49:$G$516,'Visualisation Dashboard'!N$174)/
SUMIFS('Financing Baseline'!$N$49:$N$516,'Financing Baseline'!$I$49:$I$516,'Visualisation Dashboard'!$M181),"")</f>
        <v>9.6182902927793731E-2</v>
      </c>
      <c r="O181" s="581">
        <f>IFERROR(SUMIFS('Financing Baseline'!$N$49:$N$516,'Financing Baseline'!$I$49:$I$516,'Visualisation Dashboard'!$M181,'Financing Baseline'!$G$49:$G$516,'Visualisation Dashboard'!O$174)/
SUMIFS('Financing Baseline'!$N$49:$N$516,'Financing Baseline'!$I$49:$I$516,'Visualisation Dashboard'!$M181),"")</f>
        <v>0.90381709707220614</v>
      </c>
      <c r="P181" s="33" t="str">
        <f t="shared" si="18"/>
        <v>Private Equity Fund</v>
      </c>
      <c r="Q181" s="589">
        <f t="shared" si="19"/>
        <v>9.6182902927793731E-2</v>
      </c>
      <c r="R181" s="589">
        <f t="shared" si="20"/>
        <v>0.90381709707220614</v>
      </c>
      <c r="U181" s="79"/>
      <c r="V181" s="79"/>
      <c r="W181" s="79"/>
      <c r="X181" s="79"/>
      <c r="Y181" s="79"/>
      <c r="Z181" s="79"/>
      <c r="AA181" s="79"/>
      <c r="AB181" s="79"/>
      <c r="AC181" s="79"/>
      <c r="AD181" s="79"/>
      <c r="AE181" s="33">
        <v>8</v>
      </c>
      <c r="AF181" s="63">
        <f>_xlfn.RANK.EQ(AH181, AH$174:AH$183) + COUNTIF(AH$174:AH181, AH181) - 1</f>
        <v>4</v>
      </c>
      <c r="AG181" s="588" t="str">
        <v>Wind</v>
      </c>
      <c r="AH181" s="591">
        <f>IFERROR(SUMIFS('Financing Baseline'!$N$49:$N$516,'Financing Baseline'!$C$49:$C$516,'Visualisation Dashboard'!$AG181,'Financing Baseline'!$G$49:$G$516,'Visualisation Dashboard'!AH$173)/
SUMIFS('Financing Baseline'!$N$49:$N$516,'Financing Baseline'!$C$49:$C$516,'Visualisation Dashboard'!$AG181),"")</f>
        <v>0.79958468482383405</v>
      </c>
      <c r="AI181" s="591">
        <f>IFERROR(SUMIFS('Financing Baseline'!$N$49:$N$516,'Financing Baseline'!$C$49:$C$516,'Visualisation Dashboard'!$AG181,'Financing Baseline'!$G$49:$G$516,'Visualisation Dashboard'!AI$173)/
SUMIFS('Financing Baseline'!$N$49:$N$516,'Financing Baseline'!$C$49:$C$516,'Visualisation Dashboard'!$AG181),"")</f>
        <v>0.20041531517616565</v>
      </c>
      <c r="AJ181" s="33" t="str">
        <f t="shared" si="15"/>
        <v>Hydro</v>
      </c>
      <c r="AK181" s="589">
        <f t="shared" si="16"/>
        <v>0.64252336448598135</v>
      </c>
      <c r="AL181" s="589">
        <f t="shared" si="17"/>
        <v>0.35747663551401876</v>
      </c>
    </row>
    <row r="182" spans="1:54">
      <c r="L182" s="58"/>
      <c r="M182" s="58"/>
      <c r="N182" s="58"/>
      <c r="O182" s="58"/>
      <c r="Q182" s="58"/>
      <c r="R182" s="58"/>
      <c r="S182" s="58"/>
      <c r="T182" s="58"/>
      <c r="AE182" s="33">
        <v>9</v>
      </c>
      <c r="AF182" s="63">
        <f>_xlfn.RANK.EQ(AH182, AH$174:AH$183) + COUNTIF(AH$174:AH182, AH182) - 1</f>
        <v>8</v>
      </c>
      <c r="AG182" s="587" t="str">
        <v>Hydro</v>
      </c>
      <c r="AH182" s="591">
        <f>IFERROR(SUMIFS('Financing Baseline'!$N$49:$N$516,'Financing Baseline'!$C$49:$C$516,'Visualisation Dashboard'!$AG182,'Financing Baseline'!$G$49:$G$516,'Visualisation Dashboard'!AH$173)/
SUMIFS('Financing Baseline'!$N$49:$N$516,'Financing Baseline'!$C$49:$C$516,'Visualisation Dashboard'!$AG182),"")</f>
        <v>0.64252336448598135</v>
      </c>
      <c r="AI182" s="591">
        <f>IFERROR(SUMIFS('Financing Baseline'!$N$49:$N$516,'Financing Baseline'!$C$49:$C$516,'Visualisation Dashboard'!$AG182,'Financing Baseline'!$G$49:$G$516,'Visualisation Dashboard'!AI$173)/
SUMIFS('Financing Baseline'!$N$49:$N$516,'Financing Baseline'!$C$49:$C$516,'Visualisation Dashboard'!$AG182),"")</f>
        <v>0.35747663551401876</v>
      </c>
      <c r="AJ182" s="33" t="str">
        <f t="shared" si="15"/>
        <v>Biomass</v>
      </c>
      <c r="AK182" s="589">
        <f t="shared" si="16"/>
        <v>0.61572052401746724</v>
      </c>
      <c r="AL182" s="589">
        <f t="shared" si="17"/>
        <v>0.38427947598253276</v>
      </c>
    </row>
    <row r="183" spans="1:54">
      <c r="L183" s="58"/>
      <c r="M183" s="58"/>
      <c r="N183" s="58"/>
      <c r="O183" s="58"/>
      <c r="P183" s="58"/>
      <c r="Q183" s="58"/>
      <c r="R183" s="58"/>
      <c r="S183" s="58"/>
      <c r="T183" s="58"/>
      <c r="AE183" s="33">
        <v>10</v>
      </c>
      <c r="AF183" s="63">
        <f>_xlfn.RANK.EQ(AH183, AH$174:AH$183) + COUNTIF(AH$174:AH183, AH183) - 1</f>
        <v>10</v>
      </c>
      <c r="AG183" s="587" t="str">
        <v>Battery</v>
      </c>
      <c r="AH183" s="591">
        <f>IFERROR(SUMIFS('Financing Baseline'!$N$49:$N$516,'Financing Baseline'!$C$49:$C$516,'Visualisation Dashboard'!$AG183,'Financing Baseline'!$G$49:$G$516,'Visualisation Dashboard'!AH$173)/
SUMIFS('Financing Baseline'!$N$49:$N$516,'Financing Baseline'!$C$49:$C$516,'Visualisation Dashboard'!$AG183),"")</f>
        <v>0</v>
      </c>
      <c r="AI183" s="591">
        <f>IFERROR(SUMIFS('Financing Baseline'!$N$49:$N$516,'Financing Baseline'!$C$49:$C$516,'Visualisation Dashboard'!$AG183,'Financing Baseline'!$G$49:$G$516,'Visualisation Dashboard'!AI$173)/
SUMIFS('Financing Baseline'!$N$49:$N$516,'Financing Baseline'!$C$49:$C$516,'Visualisation Dashboard'!$AG183),"")</f>
        <v>1</v>
      </c>
      <c r="AJ183" s="33" t="str">
        <f t="shared" si="15"/>
        <v>Battery</v>
      </c>
      <c r="AK183" s="589">
        <f t="shared" si="16"/>
        <v>0</v>
      </c>
      <c r="AL183" s="589">
        <f t="shared" si="17"/>
        <v>1</v>
      </c>
    </row>
    <row r="184" spans="1:54">
      <c r="L184" s="58"/>
      <c r="M184" s="58" t="str">
        <f>IFERROR(RANK(T184,$T$184:$T$188),"-")</f>
        <v>-</v>
      </c>
      <c r="N184" s="59"/>
      <c r="O184" s="60">
        <f>IFERROR(AVERAGEIFS('Financing Baseline'!$P$49:$P$516, 'Financing Baseline'!$C$49:$C$516, N184, 'Financing Baseline'!$G$49:$G$516, "Equity"),0)</f>
        <v>0</v>
      </c>
      <c r="P184" s="60">
        <f>IFERROR((SUMIFS('Financing Baseline'!$K$49:$K$516, 'Financing Baseline'!$C$49:$C$516, N184, 'Financing Baseline'!$G$49:$G$516, "Equity"))/S184,0)</f>
        <v>0</v>
      </c>
      <c r="Q184" s="60">
        <f>IFERROR(AVERAGEIFS('Financing Baseline'!$P$49:$P$516, 'Financing Baseline'!$C$49:$C$516, N184, 'Financing Baseline'!$G$49:$G$516, "Loan"),0)</f>
        <v>0</v>
      </c>
      <c r="R184" s="60">
        <f>IFERROR((SUMIFS('Financing Baseline'!$K$49:$K$516, 'Financing Baseline'!$C$49:$C$516, N184, 'Financing Baseline'!$G$49:$G$516, "Loan"))/S184,0)</f>
        <v>0</v>
      </c>
      <c r="S184" s="58">
        <f>SUMIF('Financing Baseline'!C54:C526, N184, 'Financing Baseline'!K54:K526)</f>
        <v>0</v>
      </c>
      <c r="T184" s="61" t="str">
        <f t="shared" ref="T184" si="24">IFERROR(
(O184*(P184/(P184+R184)))+
(Q184*(R184/(P184+R184))),
"")</f>
        <v/>
      </c>
      <c r="U184" s="58"/>
      <c r="V184" s="58"/>
      <c r="AG184" s="33" t="str">
        <v/>
      </c>
    </row>
    <row r="185" spans="1:54" ht="15" customHeight="1">
      <c r="A185" s="627" t="s">
        <v>195</v>
      </c>
      <c r="B185" s="627"/>
      <c r="C185" s="627"/>
      <c r="D185" s="627"/>
      <c r="E185" s="627"/>
      <c r="F185" s="627"/>
      <c r="G185" s="627"/>
      <c r="H185" s="627"/>
      <c r="I185" s="627"/>
      <c r="J185" s="627"/>
      <c r="K185" s="627"/>
      <c r="L185" s="627"/>
      <c r="M185" s="627"/>
      <c r="N185" s="627"/>
      <c r="O185" s="627"/>
      <c r="P185" s="627"/>
      <c r="Q185" s="627"/>
      <c r="R185" s="627"/>
      <c r="S185" s="627"/>
      <c r="T185" s="627"/>
      <c r="U185" s="627"/>
      <c r="V185" s="627"/>
      <c r="W185" s="627"/>
      <c r="X185" s="627"/>
      <c r="Y185" s="627"/>
      <c r="Z185" s="627"/>
      <c r="AA185" s="627"/>
      <c r="AB185" s="627"/>
      <c r="AC185" s="627"/>
      <c r="AD185" s="627"/>
      <c r="AE185" s="627"/>
      <c r="AF185" s="627"/>
      <c r="AG185" s="627"/>
      <c r="AH185" s="627"/>
      <c r="AI185" s="627"/>
      <c r="AJ185" s="627"/>
      <c r="AK185" s="627"/>
      <c r="AL185" s="627"/>
      <c r="AM185" s="627"/>
      <c r="AN185" s="627"/>
      <c r="AO185" s="627"/>
      <c r="AP185" s="627"/>
      <c r="AQ185" s="627"/>
      <c r="AR185" s="627"/>
      <c r="AS185" s="38"/>
      <c r="AT185" s="38"/>
      <c r="AU185" s="38"/>
      <c r="AV185" s="38"/>
      <c r="AW185" s="38"/>
      <c r="AX185" s="38"/>
      <c r="AY185" s="38"/>
      <c r="AZ185" s="38"/>
      <c r="BA185" s="38"/>
      <c r="BB185" s="38"/>
    </row>
    <row r="186" spans="1:54" ht="16.05" customHeight="1" thickBot="1">
      <c r="A186" s="628"/>
      <c r="B186" s="628"/>
      <c r="C186" s="628"/>
      <c r="D186" s="628"/>
      <c r="E186" s="628"/>
      <c r="F186" s="628"/>
      <c r="G186" s="628"/>
      <c r="H186" s="628"/>
      <c r="I186" s="628"/>
      <c r="J186" s="628"/>
      <c r="K186" s="628"/>
      <c r="L186" s="628"/>
      <c r="M186" s="628"/>
      <c r="N186" s="628"/>
      <c r="O186" s="628"/>
      <c r="P186" s="628"/>
      <c r="Q186" s="628"/>
      <c r="R186" s="628"/>
      <c r="S186" s="628"/>
      <c r="T186" s="628"/>
      <c r="U186" s="628"/>
      <c r="V186" s="628"/>
      <c r="W186" s="628"/>
      <c r="X186" s="628"/>
      <c r="Y186" s="628"/>
      <c r="Z186" s="628"/>
      <c r="AA186" s="628"/>
      <c r="AB186" s="628"/>
      <c r="AC186" s="628"/>
      <c r="AD186" s="628"/>
      <c r="AE186" s="628"/>
      <c r="AF186" s="628"/>
      <c r="AG186" s="628"/>
      <c r="AH186" s="628"/>
      <c r="AI186" s="628"/>
      <c r="AJ186" s="628"/>
      <c r="AK186" s="628"/>
      <c r="AL186" s="628"/>
      <c r="AM186" s="628"/>
      <c r="AN186" s="628"/>
      <c r="AO186" s="628"/>
      <c r="AP186" s="628"/>
      <c r="AQ186" s="628"/>
      <c r="AR186" s="628"/>
      <c r="AS186" s="38"/>
      <c r="AT186" s="38"/>
      <c r="AU186" s="38"/>
      <c r="AV186" s="38"/>
      <c r="AW186" s="38"/>
      <c r="AX186" s="38"/>
      <c r="AY186" s="38"/>
      <c r="AZ186" s="38"/>
      <c r="BA186" s="38"/>
      <c r="BB186" s="38"/>
    </row>
    <row r="187" spans="1:54">
      <c r="L187" s="79"/>
      <c r="M187" s="79"/>
      <c r="N187" s="79"/>
      <c r="O187" s="79"/>
      <c r="P187" s="79"/>
      <c r="Q187" s="79"/>
      <c r="R187" s="79"/>
      <c r="S187" s="79"/>
      <c r="T187" s="79"/>
      <c r="U187" s="79"/>
      <c r="V187" s="79"/>
      <c r="W187" s="66"/>
    </row>
    <row r="188" spans="1:54">
      <c r="L188" s="79"/>
      <c r="M188" s="79"/>
      <c r="N188" s="79"/>
      <c r="O188" s="79"/>
      <c r="P188" s="79"/>
      <c r="Q188" s="79"/>
      <c r="R188" s="79"/>
      <c r="S188" s="79"/>
      <c r="T188" s="79"/>
      <c r="U188" s="79"/>
      <c r="V188" s="79"/>
      <c r="W188" s="66"/>
    </row>
    <row r="189" spans="1:54">
      <c r="L189" s="79"/>
      <c r="M189" s="79"/>
      <c r="N189" s="79"/>
      <c r="O189" s="79"/>
      <c r="P189" s="79"/>
      <c r="Q189" s="79"/>
      <c r="R189" s="79"/>
      <c r="S189" s="79"/>
      <c r="T189" s="79"/>
      <c r="U189" s="79"/>
      <c r="V189" s="79"/>
      <c r="W189" s="66"/>
    </row>
    <row r="190" spans="1:54">
      <c r="L190" s="79"/>
      <c r="M190" s="79"/>
      <c r="N190" s="79"/>
      <c r="O190" s="79"/>
      <c r="P190" s="79"/>
      <c r="Q190" s="79"/>
      <c r="R190" s="79"/>
      <c r="S190" s="79"/>
      <c r="T190" s="79"/>
      <c r="U190" s="79"/>
      <c r="V190" s="79"/>
      <c r="W190" s="66"/>
    </row>
    <row r="191" spans="1:54">
      <c r="L191" s="79"/>
      <c r="M191" s="79"/>
      <c r="N191" s="79"/>
      <c r="O191" s="79"/>
      <c r="P191" s="79"/>
      <c r="Q191" s="79"/>
      <c r="R191" s="79"/>
      <c r="S191" s="79"/>
      <c r="T191" s="79"/>
      <c r="U191" s="79"/>
      <c r="V191" s="79"/>
      <c r="W191" s="66"/>
    </row>
    <row r="192" spans="1:54">
      <c r="L192" s="79"/>
      <c r="M192" s="79"/>
      <c r="N192" s="79"/>
      <c r="O192" s="79"/>
      <c r="P192" s="79"/>
      <c r="Q192" s="79"/>
      <c r="R192" s="79"/>
      <c r="S192" s="79"/>
      <c r="T192" s="79"/>
      <c r="U192" s="79"/>
      <c r="V192" s="79"/>
      <c r="W192" s="66"/>
    </row>
    <row r="193" spans="12:23">
      <c r="L193" s="79"/>
      <c r="M193" s="79"/>
      <c r="N193" s="79"/>
      <c r="O193" s="79"/>
      <c r="P193" s="79"/>
      <c r="Q193" s="79"/>
      <c r="R193" s="79"/>
      <c r="S193" s="79"/>
      <c r="T193" s="79"/>
      <c r="U193" s="79"/>
      <c r="V193" s="79"/>
      <c r="W193" s="66"/>
    </row>
    <row r="194" spans="12:23">
      <c r="L194" s="79"/>
      <c r="M194" s="79"/>
      <c r="N194" s="79"/>
      <c r="O194" s="79"/>
      <c r="P194" s="79"/>
      <c r="Q194" s="79"/>
      <c r="R194" s="79"/>
      <c r="S194" s="79"/>
      <c r="T194" s="79"/>
      <c r="U194" s="79"/>
      <c r="V194" s="79"/>
      <c r="W194" s="66"/>
    </row>
    <row r="195" spans="12:23">
      <c r="L195" s="79"/>
      <c r="M195" s="79"/>
      <c r="N195" s="79"/>
      <c r="O195" s="79"/>
      <c r="P195" s="79"/>
      <c r="Q195" s="79"/>
      <c r="R195" s="79"/>
      <c r="S195" s="79"/>
      <c r="T195" s="79"/>
      <c r="U195" s="79"/>
      <c r="V195" s="79"/>
      <c r="W195" s="66"/>
    </row>
    <row r="196" spans="12:23">
      <c r="L196" s="79"/>
      <c r="M196" s="79"/>
      <c r="N196" s="79"/>
      <c r="O196" s="79"/>
      <c r="P196" s="79"/>
      <c r="Q196" s="79"/>
      <c r="R196" s="79"/>
      <c r="S196" s="79"/>
      <c r="T196" s="79"/>
      <c r="U196" s="79"/>
      <c r="V196" s="79"/>
      <c r="W196" s="66"/>
    </row>
    <row r="197" spans="12:23">
      <c r="L197" s="79"/>
      <c r="M197" s="79"/>
      <c r="N197" s="79"/>
      <c r="O197" s="79"/>
      <c r="P197" s="79"/>
      <c r="Q197" s="79"/>
      <c r="R197" s="79"/>
      <c r="S197" s="79"/>
      <c r="T197" s="79"/>
      <c r="U197" s="79"/>
      <c r="V197" s="79"/>
      <c r="W197" s="66"/>
    </row>
    <row r="198" spans="12:23">
      <c r="L198" s="79"/>
      <c r="M198" s="79"/>
      <c r="N198" s="79"/>
      <c r="O198" s="79"/>
      <c r="P198" s="79"/>
      <c r="Q198" s="79"/>
      <c r="R198" s="79"/>
      <c r="S198" s="79"/>
      <c r="T198" s="79"/>
      <c r="U198" s="79"/>
      <c r="V198" s="79"/>
      <c r="W198" s="66"/>
    </row>
    <row r="199" spans="12:23">
      <c r="L199" s="79"/>
      <c r="M199" s="79"/>
      <c r="N199" s="79"/>
      <c r="O199" s="79"/>
      <c r="P199" s="79"/>
      <c r="Q199" s="79"/>
      <c r="R199" s="79"/>
      <c r="S199" s="79"/>
      <c r="T199" s="79"/>
      <c r="U199" s="79"/>
      <c r="V199" s="79"/>
      <c r="W199" s="66"/>
    </row>
    <row r="200" spans="12:23">
      <c r="L200" s="79"/>
      <c r="M200" s="79"/>
      <c r="N200" s="79"/>
      <c r="O200" s="79"/>
      <c r="P200" s="79"/>
      <c r="Q200" s="79"/>
      <c r="R200" s="79"/>
      <c r="S200" s="79"/>
      <c r="T200" s="79"/>
      <c r="U200" s="79"/>
      <c r="V200" s="79"/>
      <c r="W200" s="66"/>
    </row>
    <row r="201" spans="12:23">
      <c r="L201" s="79"/>
      <c r="M201" s="79"/>
      <c r="N201" s="79"/>
      <c r="O201" s="79"/>
      <c r="P201" s="79"/>
      <c r="Q201" s="79"/>
      <c r="R201" s="79"/>
      <c r="S201" s="79"/>
      <c r="T201" s="79"/>
      <c r="U201" s="79"/>
      <c r="V201" s="79"/>
      <c r="W201" s="66"/>
    </row>
    <row r="202" spans="12:23">
      <c r="L202" s="79"/>
      <c r="M202" s="79"/>
      <c r="N202" s="79"/>
      <c r="O202" s="79"/>
      <c r="P202" s="79"/>
      <c r="Q202" s="79"/>
      <c r="R202" s="79"/>
      <c r="S202" s="79"/>
      <c r="T202" s="79"/>
      <c r="U202" s="79"/>
      <c r="V202" s="79"/>
      <c r="W202" s="66"/>
    </row>
    <row r="203" spans="12:23">
      <c r="L203" s="79"/>
      <c r="M203" s="79"/>
      <c r="N203" s="79"/>
      <c r="O203" s="79"/>
      <c r="P203" s="79"/>
      <c r="Q203" s="79"/>
      <c r="R203" s="79"/>
      <c r="S203" s="79"/>
      <c r="T203" s="79"/>
      <c r="U203" s="79"/>
      <c r="V203" s="79"/>
      <c r="W203" s="66"/>
    </row>
    <row r="204" spans="12:23">
      <c r="L204" s="79"/>
      <c r="M204" s="79"/>
      <c r="N204" s="79"/>
      <c r="O204" s="79"/>
      <c r="P204" s="79"/>
      <c r="Q204" s="79"/>
      <c r="R204" s="79"/>
      <c r="S204" s="79"/>
      <c r="T204" s="79"/>
      <c r="U204" s="79"/>
      <c r="V204" s="79"/>
      <c r="W204" s="66"/>
    </row>
    <row r="205" spans="12:23">
      <c r="L205" s="79"/>
      <c r="M205" s="79"/>
      <c r="N205" s="79"/>
      <c r="O205" s="79"/>
      <c r="P205" s="79"/>
      <c r="Q205" s="79"/>
      <c r="R205" s="79"/>
      <c r="S205" s="79"/>
      <c r="T205" s="79"/>
      <c r="U205" s="79"/>
      <c r="V205" s="79"/>
      <c r="W205" s="66"/>
    </row>
    <row r="206" spans="12:23">
      <c r="L206" s="79"/>
      <c r="M206" s="79"/>
      <c r="N206" s="79"/>
      <c r="O206" s="79"/>
      <c r="P206" s="79"/>
      <c r="Q206" s="79"/>
      <c r="R206" s="79"/>
      <c r="S206" s="79"/>
      <c r="T206" s="79"/>
      <c r="U206" s="79"/>
      <c r="V206" s="79"/>
      <c r="W206" s="66"/>
    </row>
    <row r="207" spans="12:23">
      <c r="L207" s="79"/>
      <c r="M207" s="79"/>
      <c r="N207" s="79"/>
      <c r="O207" s="79"/>
      <c r="P207" s="79"/>
      <c r="Q207" s="79"/>
      <c r="R207" s="79"/>
      <c r="S207" s="79"/>
      <c r="T207" s="79"/>
      <c r="U207" s="79"/>
      <c r="V207" s="79"/>
      <c r="W207" s="66"/>
    </row>
    <row r="208" spans="12:23">
      <c r="L208" s="79"/>
      <c r="M208" s="79"/>
      <c r="N208" s="79"/>
      <c r="O208" s="79"/>
      <c r="P208" s="79"/>
      <c r="Q208" s="79"/>
      <c r="R208" s="79"/>
      <c r="S208" s="79"/>
      <c r="T208" s="79"/>
      <c r="U208" s="79"/>
      <c r="V208" s="79"/>
      <c r="W208" s="66"/>
    </row>
    <row r="209" spans="11:27">
      <c r="L209" s="79"/>
      <c r="M209" s="79"/>
      <c r="N209" s="79"/>
      <c r="O209" s="79"/>
      <c r="P209" s="79"/>
      <c r="Q209" s="79"/>
      <c r="R209" s="79"/>
      <c r="S209" s="79"/>
      <c r="T209" s="79"/>
      <c r="U209" s="79"/>
      <c r="V209" s="79"/>
      <c r="W209" s="66"/>
    </row>
    <row r="210" spans="11:27">
      <c r="L210" s="79"/>
      <c r="M210" s="79"/>
      <c r="N210" s="79"/>
      <c r="O210" s="79"/>
      <c r="P210" s="79"/>
      <c r="Q210" s="79"/>
      <c r="R210" s="79"/>
      <c r="S210" s="41"/>
      <c r="T210" s="41"/>
      <c r="U210" s="41"/>
      <c r="V210" s="41"/>
      <c r="W210" s="1"/>
      <c r="X210"/>
      <c r="Y210"/>
      <c r="Z210"/>
      <c r="AA210"/>
    </row>
    <row r="211" spans="11:27">
      <c r="L211" s="79"/>
      <c r="M211" s="79"/>
      <c r="N211" s="79"/>
      <c r="O211" s="79"/>
      <c r="P211" s="79"/>
      <c r="Q211" s="79"/>
      <c r="R211" s="79"/>
      <c r="S211" s="41"/>
      <c r="T211" s="41"/>
      <c r="U211" s="41"/>
      <c r="V211" s="41"/>
      <c r="W211" s="1"/>
      <c r="X211"/>
      <c r="Y211"/>
      <c r="Z211"/>
      <c r="AA211"/>
    </row>
    <row r="212" spans="11:27">
      <c r="K212" s="384"/>
      <c r="L212" s="79"/>
      <c r="M212" s="79"/>
      <c r="N212" s="79"/>
      <c r="O212" s="79"/>
      <c r="P212" s="79"/>
      <c r="Q212" s="79"/>
      <c r="R212" s="79"/>
      <c r="S212" s="384"/>
      <c r="T212" s="41"/>
      <c r="U212" s="41"/>
      <c r="V212" s="41"/>
      <c r="W212" s="1"/>
      <c r="X212"/>
      <c r="Y212"/>
      <c r="Z212"/>
      <c r="AA212"/>
    </row>
    <row r="213" spans="11:27">
      <c r="L213" s="79"/>
      <c r="M213" s="79"/>
      <c r="N213" s="79"/>
      <c r="O213" s="79"/>
      <c r="P213" s="79"/>
      <c r="Q213" s="79"/>
      <c r="R213" s="79"/>
      <c r="S213" s="41"/>
      <c r="T213" s="41"/>
      <c r="U213" s="41"/>
      <c r="V213" s="41"/>
      <c r="W213" s="1"/>
      <c r="X213"/>
      <c r="Y213"/>
      <c r="Z213"/>
      <c r="AA213"/>
    </row>
    <row r="214" spans="11:27">
      <c r="L214" s="79"/>
      <c r="M214" s="79"/>
      <c r="N214" s="79"/>
      <c r="O214" s="79"/>
      <c r="P214" s="79"/>
      <c r="Q214" s="79"/>
      <c r="R214" s="79"/>
      <c r="S214" s="41"/>
      <c r="T214" s="41"/>
      <c r="U214" s="41"/>
      <c r="V214" s="41"/>
      <c r="W214" s="1"/>
      <c r="X214"/>
      <c r="Y214"/>
      <c r="Z214"/>
      <c r="AA214"/>
    </row>
    <row r="215" spans="11:27">
      <c r="L215" s="79"/>
      <c r="M215" s="79"/>
      <c r="N215" s="79"/>
      <c r="O215" s="79"/>
      <c r="P215" s="79"/>
      <c r="Q215" s="79"/>
      <c r="R215" s="79"/>
      <c r="S215" s="41"/>
      <c r="T215" s="41"/>
      <c r="U215" s="41"/>
      <c r="V215" s="41"/>
      <c r="W215" s="1"/>
      <c r="X215"/>
      <c r="Y215"/>
      <c r="Z215"/>
      <c r="AA215"/>
    </row>
    <row r="216" spans="11:27">
      <c r="L216" s="79"/>
      <c r="M216" s="79"/>
      <c r="N216" s="79"/>
      <c r="O216" s="79"/>
      <c r="P216" s="79"/>
      <c r="Q216" s="79"/>
      <c r="R216" s="79"/>
      <c r="S216" s="41"/>
      <c r="T216" s="41"/>
      <c r="U216" s="41"/>
      <c r="V216" s="41"/>
      <c r="W216" s="1"/>
      <c r="X216"/>
      <c r="Y216"/>
      <c r="Z216"/>
      <c r="AA216"/>
    </row>
    <row r="217" spans="11:27">
      <c r="L217" s="79"/>
      <c r="M217" s="79"/>
      <c r="N217" s="79"/>
      <c r="O217" s="79"/>
      <c r="P217" s="79"/>
      <c r="Q217" s="79"/>
      <c r="R217" s="79"/>
      <c r="S217" s="41"/>
      <c r="T217" s="41"/>
      <c r="U217" s="41"/>
      <c r="V217" s="41"/>
      <c r="W217" s="1"/>
      <c r="X217"/>
      <c r="Y217"/>
      <c r="Z217"/>
      <c r="AA217"/>
    </row>
    <row r="218" spans="11:27">
      <c r="L218" s="79"/>
      <c r="M218" s="79"/>
      <c r="N218" s="79"/>
      <c r="O218" s="79"/>
      <c r="P218" s="79"/>
      <c r="Q218" s="79"/>
      <c r="R218" s="79"/>
      <c r="S218" s="41"/>
      <c r="T218" s="41"/>
      <c r="U218" s="41"/>
      <c r="V218" s="41"/>
      <c r="W218" s="1"/>
      <c r="X218" s="384"/>
      <c r="Y218"/>
      <c r="Z218"/>
      <c r="AA218"/>
    </row>
    <row r="219" spans="11:27">
      <c r="L219" s="79"/>
      <c r="M219" s="79"/>
      <c r="N219" s="79"/>
      <c r="O219" s="79"/>
      <c r="P219" s="79"/>
      <c r="Q219" s="79"/>
      <c r="R219" s="79"/>
      <c r="S219" s="41"/>
      <c r="T219" s="41"/>
      <c r="U219" s="41"/>
      <c r="V219" s="41"/>
      <c r="W219" s="1"/>
      <c r="X219"/>
      <c r="Y219"/>
      <c r="Z219"/>
      <c r="AA219"/>
    </row>
    <row r="220" spans="11:27">
      <c r="L220" s="79"/>
      <c r="M220" s="79"/>
      <c r="N220" s="79"/>
      <c r="O220" s="79"/>
      <c r="P220" s="79"/>
      <c r="Q220" s="79"/>
      <c r="R220" s="79"/>
      <c r="S220" s="41"/>
      <c r="T220" s="41"/>
      <c r="U220" s="41"/>
      <c r="V220" s="41"/>
      <c r="W220" s="1"/>
      <c r="X220"/>
      <c r="Y220"/>
      <c r="Z220"/>
      <c r="AA220"/>
    </row>
    <row r="221" spans="11:27">
      <c r="L221" s="79"/>
      <c r="M221" s="79"/>
      <c r="N221" s="79"/>
      <c r="O221" s="79"/>
      <c r="P221" s="79"/>
      <c r="Q221" s="79"/>
      <c r="R221" s="79"/>
      <c r="S221" s="41"/>
      <c r="T221" s="41"/>
      <c r="U221" s="41"/>
      <c r="V221" s="41"/>
      <c r="W221" s="1"/>
      <c r="X221"/>
      <c r="Y221"/>
      <c r="Z221"/>
      <c r="AA221"/>
    </row>
    <row r="222" spans="11:27">
      <c r="L222" s="79"/>
      <c r="M222" s="79"/>
      <c r="N222" s="79"/>
      <c r="O222" s="79"/>
      <c r="P222" s="79"/>
      <c r="Q222" s="79"/>
      <c r="R222" s="79"/>
      <c r="S222" s="41"/>
      <c r="T222" s="41"/>
      <c r="U222" s="41"/>
      <c r="V222" s="41"/>
      <c r="W222" s="1"/>
      <c r="X222"/>
      <c r="Y222"/>
      <c r="Z222"/>
      <c r="AA222"/>
    </row>
    <row r="223" spans="11:27">
      <c r="L223" s="79"/>
      <c r="M223" s="79"/>
      <c r="N223" s="79"/>
      <c r="O223" s="79"/>
      <c r="P223" s="79"/>
      <c r="Q223" s="79"/>
      <c r="R223" s="79"/>
      <c r="S223" s="41"/>
      <c r="T223" s="41"/>
      <c r="U223" s="41"/>
      <c r="V223" s="41"/>
      <c r="W223" s="1"/>
      <c r="X223"/>
      <c r="Y223"/>
      <c r="Z223"/>
      <c r="AA223"/>
    </row>
    <row r="224" spans="11:27">
      <c r="L224" s="79"/>
      <c r="M224" s="79"/>
      <c r="N224" s="79"/>
      <c r="O224" s="79"/>
      <c r="P224" s="79"/>
      <c r="Q224" s="79"/>
      <c r="R224" s="79"/>
      <c r="S224" s="41"/>
      <c r="T224" s="41"/>
      <c r="U224" s="41"/>
      <c r="V224" s="41"/>
      <c r="W224" s="1"/>
      <c r="X224"/>
      <c r="Y224"/>
      <c r="Z224"/>
      <c r="AA224"/>
    </row>
    <row r="225" spans="2:27">
      <c r="L225" s="79"/>
      <c r="M225" s="79"/>
      <c r="N225" s="79"/>
      <c r="O225" s="79"/>
      <c r="P225" s="79"/>
      <c r="Q225" s="79"/>
      <c r="R225" s="79"/>
      <c r="S225" s="41"/>
      <c r="T225" s="41"/>
      <c r="U225" s="41"/>
      <c r="V225" s="41"/>
      <c r="W225" s="1"/>
      <c r="X225"/>
      <c r="Y225"/>
      <c r="Z225"/>
      <c r="AA225"/>
    </row>
    <row r="226" spans="2:27">
      <c r="L226" s="79"/>
      <c r="M226" s="79"/>
      <c r="N226" s="79"/>
      <c r="O226" s="79"/>
      <c r="P226" s="79"/>
      <c r="Q226" s="79"/>
      <c r="R226" s="79"/>
      <c r="S226" s="41"/>
      <c r="T226" s="41"/>
      <c r="U226" s="41"/>
      <c r="V226" s="41"/>
      <c r="W226" s="1"/>
      <c r="X226"/>
      <c r="Y226"/>
      <c r="Z226"/>
      <c r="AA226"/>
    </row>
    <row r="227" spans="2:27">
      <c r="L227" s="79"/>
      <c r="M227" s="79"/>
      <c r="N227" s="79"/>
      <c r="O227" s="79"/>
      <c r="P227" s="79"/>
      <c r="Q227" s="79"/>
      <c r="R227" s="79"/>
      <c r="S227" s="41"/>
      <c r="T227" s="41"/>
      <c r="U227" s="41"/>
      <c r="V227" s="41"/>
      <c r="W227" s="1"/>
      <c r="X227"/>
      <c r="Y227"/>
      <c r="Z227"/>
      <c r="AA227"/>
    </row>
    <row r="228" spans="2:27">
      <c r="L228" s="79"/>
      <c r="M228" s="79"/>
      <c r="N228" s="79"/>
      <c r="O228" s="79"/>
      <c r="P228" s="79"/>
      <c r="Q228" s="79"/>
      <c r="R228" s="79"/>
      <c r="S228" s="79"/>
      <c r="T228" s="79"/>
      <c r="U228" s="79"/>
      <c r="V228" s="79"/>
      <c r="W228" s="66"/>
    </row>
    <row r="229" spans="2:27">
      <c r="M229" s="66"/>
      <c r="N229" s="66"/>
      <c r="O229" s="66"/>
      <c r="P229" s="66"/>
      <c r="Q229" s="66"/>
      <c r="R229" s="66"/>
      <c r="S229" s="66"/>
      <c r="T229" s="66"/>
      <c r="U229" s="66"/>
      <c r="V229" s="66"/>
      <c r="W229" s="66"/>
    </row>
    <row r="230" spans="2:27">
      <c r="M230" s="66"/>
      <c r="N230" s="66"/>
      <c r="O230" s="66"/>
      <c r="P230" s="66"/>
      <c r="Q230" s="66"/>
      <c r="R230" s="66"/>
      <c r="S230" s="66"/>
      <c r="T230" s="66"/>
      <c r="U230" s="66"/>
      <c r="V230" s="66"/>
      <c r="W230" s="66"/>
    </row>
    <row r="231" spans="2:27">
      <c r="M231" s="66"/>
      <c r="N231" s="66"/>
      <c r="O231" s="66"/>
      <c r="P231" s="66"/>
      <c r="Q231" s="66"/>
      <c r="R231" s="66"/>
      <c r="S231" s="66"/>
      <c r="T231" s="66"/>
      <c r="U231" s="66"/>
      <c r="V231" s="66"/>
      <c r="W231" s="66"/>
    </row>
    <row r="232" spans="2:27">
      <c r="M232" s="66"/>
      <c r="N232" s="66"/>
      <c r="O232" s="66"/>
      <c r="P232" s="66"/>
      <c r="Q232" s="66"/>
      <c r="R232" s="66"/>
      <c r="S232" s="66"/>
      <c r="T232" s="66"/>
      <c r="U232" s="66"/>
      <c r="V232" s="66"/>
      <c r="W232" s="66"/>
    </row>
    <row r="233" spans="2:27">
      <c r="M233" s="66"/>
      <c r="N233" s="66"/>
      <c r="O233" s="66"/>
      <c r="P233" s="66"/>
      <c r="Q233" s="66"/>
      <c r="R233" s="66"/>
      <c r="S233" s="66"/>
      <c r="T233" s="66"/>
      <c r="U233" s="66"/>
      <c r="V233" s="66"/>
      <c r="W233" s="66"/>
    </row>
    <row r="239" spans="2:27">
      <c r="B239"/>
      <c r="C239"/>
      <c r="D239"/>
      <c r="E239"/>
      <c r="F239"/>
      <c r="G239"/>
      <c r="H239"/>
      <c r="I239"/>
      <c r="J239"/>
      <c r="K239"/>
      <c r="L239"/>
      <c r="M239"/>
      <c r="N239"/>
      <c r="O239"/>
    </row>
    <row r="240" spans="2:27">
      <c r="B240"/>
      <c r="C240"/>
      <c r="D240"/>
      <c r="E240"/>
      <c r="F240"/>
      <c r="G240"/>
      <c r="H240"/>
      <c r="I240"/>
      <c r="J240"/>
      <c r="K240"/>
      <c r="L240" s="384"/>
      <c r="M240"/>
      <c r="N240"/>
      <c r="O240"/>
    </row>
    <row r="241" spans="2:15">
      <c r="B241"/>
      <c r="C241" s="384"/>
      <c r="D241"/>
      <c r="E241"/>
      <c r="F241"/>
      <c r="G241"/>
      <c r="H241"/>
      <c r="I241"/>
      <c r="J241"/>
      <c r="K241"/>
      <c r="L241"/>
      <c r="M241"/>
      <c r="N241"/>
      <c r="O241"/>
    </row>
    <row r="242" spans="2:15">
      <c r="B242"/>
      <c r="C242"/>
      <c r="D242"/>
      <c r="E242"/>
      <c r="F242"/>
      <c r="G242"/>
      <c r="H242"/>
      <c r="I242"/>
      <c r="J242"/>
      <c r="K242"/>
      <c r="L242"/>
      <c r="M242"/>
      <c r="N242"/>
      <c r="O242"/>
    </row>
    <row r="243" spans="2:15">
      <c r="B243"/>
      <c r="C243"/>
      <c r="D243"/>
      <c r="E243"/>
      <c r="F243"/>
      <c r="G243"/>
      <c r="H243"/>
      <c r="I243"/>
      <c r="J243"/>
      <c r="K243"/>
      <c r="L243"/>
      <c r="M243"/>
      <c r="N243"/>
      <c r="O243"/>
    </row>
    <row r="244" spans="2:15">
      <c r="B244"/>
      <c r="C244"/>
      <c r="D244"/>
      <c r="E244"/>
      <c r="F244"/>
      <c r="G244"/>
      <c r="H244"/>
      <c r="I244"/>
      <c r="J244"/>
      <c r="K244"/>
      <c r="L244"/>
      <c r="M244"/>
      <c r="N244"/>
      <c r="O244"/>
    </row>
    <row r="245" spans="2:15">
      <c r="B245"/>
      <c r="C245"/>
      <c r="D245"/>
      <c r="E245"/>
      <c r="F245"/>
      <c r="G245"/>
      <c r="H245"/>
      <c r="I245"/>
      <c r="J245"/>
      <c r="K245"/>
      <c r="L245"/>
      <c r="M245"/>
      <c r="N245"/>
      <c r="O245"/>
    </row>
    <row r="246" spans="2:15">
      <c r="B246"/>
      <c r="C246"/>
      <c r="D246"/>
      <c r="E246"/>
      <c r="F246"/>
      <c r="G246"/>
      <c r="H246"/>
      <c r="I246"/>
      <c r="J246"/>
      <c r="K246"/>
      <c r="L246"/>
      <c r="M246"/>
      <c r="N246"/>
      <c r="O246"/>
    </row>
  </sheetData>
  <mergeCells count="13">
    <mergeCell ref="B174:H175"/>
    <mergeCell ref="B177:C177"/>
    <mergeCell ref="B176:C176"/>
    <mergeCell ref="A185:AR186"/>
    <mergeCell ref="B178:C178"/>
    <mergeCell ref="B179:C179"/>
    <mergeCell ref="B180:C180"/>
    <mergeCell ref="B181:C181"/>
    <mergeCell ref="A4:AR5"/>
    <mergeCell ref="A33:AR34"/>
    <mergeCell ref="A87:AR88"/>
    <mergeCell ref="A117:AR118"/>
    <mergeCell ref="AF148:AK148"/>
  </mergeCells>
  <phoneticPr fontId="24"/>
  <conditionalFormatting sqref="C241">
    <cfRule type="expression" dxfId="31" priority="4">
      <formula>$B$4="USD"</formula>
    </cfRule>
  </conditionalFormatting>
  <conditionalFormatting sqref="K212">
    <cfRule type="expression" dxfId="30" priority="1">
      <formula>$B$4="USD"</formula>
    </cfRule>
  </conditionalFormatting>
  <conditionalFormatting sqref="L240">
    <cfRule type="expression" dxfId="29" priority="9">
      <formula>$B$4="USD"</formula>
    </cfRule>
  </conditionalFormatting>
  <conditionalFormatting sqref="S212">
    <cfRule type="expression" dxfId="28" priority="2">
      <formula>$B$4="USD"</formula>
    </cfRule>
  </conditionalFormatting>
  <conditionalFormatting sqref="X218">
    <cfRule type="expression" dxfId="27" priority="3">
      <formula>$B$4="USD"</formula>
    </cfRule>
  </conditionalFormatting>
  <conditionalFormatting sqref="AC145">
    <cfRule type="expression" dxfId="26" priority="6">
      <formula>$B$4="USD"</formula>
    </cfRule>
  </conditionalFormatting>
  <pageMargins left="0.7" right="0.7" top="0.75" bottom="0.75" header="0.3" footer="0.3"/>
  <pageSetup paperSize="9" orientation="portrait" horizontalDpi="0" verticalDpi="0"/>
  <drawing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A698DA-DA9C-1A43-9FDB-F368FFBFF5E9}">
  <sheetPr codeName="Sheet4">
    <tabColor theme="5"/>
  </sheetPr>
  <dimension ref="A1:AW137"/>
  <sheetViews>
    <sheetView showGridLines="0" topLeftCell="A49" zoomScale="85" zoomScaleNormal="85" workbookViewId="0">
      <selection activeCell="D85" sqref="D85"/>
    </sheetView>
  </sheetViews>
  <sheetFormatPr defaultColWidth="11.46484375" defaultRowHeight="14.25"/>
  <cols>
    <col min="1" max="1" width="73.53125" bestFit="1" customWidth="1"/>
    <col min="2" max="2" width="54" bestFit="1" customWidth="1"/>
    <col min="3" max="3" width="20.796875" bestFit="1" customWidth="1"/>
    <col min="4" max="4" width="12.53125" bestFit="1" customWidth="1"/>
    <col min="5" max="5" width="13" bestFit="1" customWidth="1"/>
    <col min="6" max="6" width="12.53125" bestFit="1" customWidth="1"/>
    <col min="7" max="7" width="13.796875" bestFit="1" customWidth="1"/>
    <col min="8" max="18" width="13.46484375" bestFit="1" customWidth="1"/>
    <col min="19" max="19" width="13.796875" bestFit="1" customWidth="1"/>
    <col min="20" max="22" width="13.46484375" bestFit="1" customWidth="1"/>
    <col min="23" max="48" width="12.46484375" bestFit="1" customWidth="1"/>
    <col min="49" max="49" width="16.53125" bestFit="1" customWidth="1"/>
  </cols>
  <sheetData>
    <row r="1" spans="1:48" ht="46.9">
      <c r="A1" s="498" t="s">
        <v>0</v>
      </c>
      <c r="B1" s="497"/>
      <c r="C1" s="497"/>
      <c r="D1" s="497"/>
      <c r="E1" s="497"/>
      <c r="F1" s="481"/>
      <c r="G1" s="481"/>
      <c r="H1" s="481"/>
      <c r="I1" s="481"/>
      <c r="J1" s="481"/>
      <c r="K1" s="481"/>
      <c r="L1" s="481"/>
      <c r="M1" s="481"/>
      <c r="N1" s="481"/>
      <c r="O1" s="481"/>
      <c r="P1" s="481"/>
      <c r="Q1" s="481"/>
      <c r="R1" s="481"/>
      <c r="S1" s="481"/>
      <c r="T1" s="481"/>
      <c r="U1" s="481"/>
      <c r="V1" s="481"/>
      <c r="W1" s="481"/>
      <c r="X1" s="481"/>
      <c r="Y1" s="481"/>
      <c r="Z1" s="481"/>
      <c r="AA1" s="481"/>
      <c r="AB1" s="481"/>
      <c r="AC1" s="481"/>
      <c r="AD1" s="481"/>
      <c r="AE1" s="481"/>
      <c r="AF1" s="481"/>
      <c r="AG1" s="481"/>
      <c r="AH1" s="481"/>
      <c r="AI1" s="481"/>
      <c r="AJ1" s="481"/>
      <c r="AK1" s="481"/>
      <c r="AL1" s="481"/>
      <c r="AM1" s="481"/>
      <c r="AN1" s="481"/>
      <c r="AO1" s="481"/>
      <c r="AP1" s="481"/>
      <c r="AQ1" s="481"/>
      <c r="AR1" s="481"/>
      <c r="AS1" s="481"/>
      <c r="AT1" s="481"/>
      <c r="AU1" s="481"/>
      <c r="AV1" s="481"/>
    </row>
    <row r="2" spans="1:48" ht="25.5">
      <c r="A2" s="499" t="s">
        <v>196</v>
      </c>
      <c r="B2" s="497"/>
      <c r="C2" s="497"/>
      <c r="D2" s="497"/>
      <c r="E2" s="497"/>
      <c r="F2" s="481"/>
      <c r="G2" s="481"/>
      <c r="H2" s="481"/>
      <c r="I2" s="481"/>
      <c r="J2" s="481"/>
      <c r="K2" s="481"/>
      <c r="L2" s="481"/>
      <c r="M2" s="481"/>
      <c r="N2" s="481"/>
      <c r="O2" s="481"/>
      <c r="P2" s="481"/>
      <c r="Q2" s="481"/>
      <c r="R2" s="481"/>
      <c r="S2" s="481"/>
      <c r="T2" s="481"/>
      <c r="U2" s="481"/>
      <c r="V2" s="481"/>
      <c r="W2" s="481"/>
      <c r="X2" s="481"/>
      <c r="Y2" s="481"/>
      <c r="Z2" s="481"/>
      <c r="AA2" s="481"/>
      <c r="AB2" s="481"/>
      <c r="AC2" s="481"/>
      <c r="AD2" s="481"/>
      <c r="AE2" s="481"/>
      <c r="AF2" s="481"/>
      <c r="AG2" s="481"/>
      <c r="AH2" s="481"/>
      <c r="AI2" s="481"/>
      <c r="AJ2" s="481"/>
      <c r="AK2" s="481"/>
      <c r="AL2" s="481"/>
      <c r="AM2" s="481"/>
      <c r="AN2" s="481"/>
      <c r="AO2" s="481"/>
      <c r="AP2" s="481"/>
      <c r="AQ2" s="481"/>
      <c r="AR2" s="481"/>
      <c r="AS2" s="481"/>
      <c r="AT2" s="481"/>
      <c r="AU2" s="481"/>
      <c r="AV2" s="481"/>
    </row>
    <row r="3" spans="1:48" ht="15" customHeight="1" thickBot="1">
      <c r="A3" s="482"/>
      <c r="B3" s="482"/>
    </row>
    <row r="4" spans="1:48" ht="16.05" customHeight="1">
      <c r="A4" s="411" t="s">
        <v>197</v>
      </c>
      <c r="B4" s="479">
        <v>0.04</v>
      </c>
    </row>
    <row r="5" spans="1:48" ht="14.65" thickBot="1">
      <c r="A5" s="412" t="s">
        <v>198</v>
      </c>
      <c r="B5" s="480">
        <v>5.33E-2</v>
      </c>
    </row>
    <row r="6" spans="1:48" ht="14.65" thickBot="1">
      <c r="A6" s="477"/>
      <c r="B6" s="478"/>
    </row>
    <row r="7" spans="1:48" ht="18.399999999999999" thickBot="1">
      <c r="A7" s="573" t="str">
        <f>'High Level Dashboard'!A62</f>
        <v>Scenario</v>
      </c>
      <c r="B7" s="574" t="str">
        <f>'High Level Dashboard'!C62</f>
        <v>Net Zero</v>
      </c>
    </row>
    <row r="9" spans="1:48">
      <c r="B9" s="408" t="s">
        <v>199</v>
      </c>
      <c r="C9" s="409">
        <v>2025</v>
      </c>
      <c r="D9" s="409">
        <v>2026</v>
      </c>
      <c r="E9" s="409">
        <v>2027</v>
      </c>
      <c r="F9" s="409">
        <v>2028</v>
      </c>
      <c r="G9" s="409">
        <v>2029</v>
      </c>
      <c r="H9" s="409">
        <v>2030</v>
      </c>
      <c r="I9" s="409">
        <v>2031</v>
      </c>
      <c r="J9" s="409">
        <v>2032</v>
      </c>
      <c r="K9" s="409">
        <v>2033</v>
      </c>
      <c r="L9" s="409">
        <v>2034</v>
      </c>
      <c r="M9" s="409">
        <v>2035</v>
      </c>
      <c r="N9" s="409">
        <v>2036</v>
      </c>
      <c r="O9" s="409">
        <v>2037</v>
      </c>
      <c r="P9" s="409">
        <v>2038</v>
      </c>
      <c r="Q9" s="409">
        <v>2039</v>
      </c>
      <c r="R9" s="409">
        <v>2040</v>
      </c>
      <c r="S9" s="409">
        <v>2041</v>
      </c>
      <c r="T9" s="409">
        <v>2042</v>
      </c>
      <c r="U9" s="409">
        <v>2043</v>
      </c>
      <c r="V9" s="409">
        <v>2044</v>
      </c>
      <c r="W9" s="409">
        <v>2045</v>
      </c>
      <c r="X9" s="409">
        <v>2046</v>
      </c>
      <c r="Y9" s="409">
        <v>2047</v>
      </c>
      <c r="Z9" s="409">
        <v>2048</v>
      </c>
      <c r="AA9" s="409">
        <v>2049</v>
      </c>
      <c r="AB9" s="409">
        <v>2050</v>
      </c>
      <c r="AC9" s="409">
        <v>2051</v>
      </c>
      <c r="AD9" s="409">
        <v>2052</v>
      </c>
      <c r="AE9" s="409">
        <v>2053</v>
      </c>
      <c r="AF9" s="409">
        <v>2054</v>
      </c>
      <c r="AG9" s="409">
        <v>2055</v>
      </c>
      <c r="AH9" s="409">
        <v>2056</v>
      </c>
      <c r="AI9" s="409">
        <v>2057</v>
      </c>
      <c r="AJ9" s="409">
        <v>2058</v>
      </c>
      <c r="AK9" s="409">
        <v>2059</v>
      </c>
      <c r="AL9" s="409">
        <v>2060</v>
      </c>
      <c r="AM9" s="409">
        <v>2061</v>
      </c>
      <c r="AN9" s="409">
        <v>2062</v>
      </c>
      <c r="AO9" s="409">
        <v>2063</v>
      </c>
      <c r="AP9" s="409">
        <v>2064</v>
      </c>
      <c r="AQ9" s="409">
        <v>2065</v>
      </c>
      <c r="AR9" s="409">
        <v>2066</v>
      </c>
      <c r="AS9" s="409">
        <v>2067</v>
      </c>
      <c r="AT9" s="409">
        <v>2068</v>
      </c>
      <c r="AU9" s="409">
        <v>2069</v>
      </c>
      <c r="AV9" s="409">
        <v>2070</v>
      </c>
    </row>
    <row r="10" spans="1:48" ht="23.25">
      <c r="A10" s="633" t="s">
        <v>200</v>
      </c>
      <c r="B10" s="633"/>
      <c r="C10" s="633"/>
      <c r="D10" s="633"/>
      <c r="E10" s="633"/>
      <c r="F10" s="633"/>
      <c r="G10" s="633"/>
      <c r="H10" s="633"/>
      <c r="I10" s="633"/>
      <c r="J10" s="633"/>
      <c r="K10" s="633"/>
      <c r="L10" s="633"/>
      <c r="M10" s="633"/>
      <c r="N10" s="633"/>
      <c r="O10" s="633"/>
      <c r="P10" s="633"/>
      <c r="Q10" s="633"/>
      <c r="R10" s="633"/>
      <c r="S10" s="633"/>
      <c r="T10" s="633"/>
      <c r="U10" s="633"/>
      <c r="V10" s="633"/>
      <c r="W10" s="633"/>
      <c r="X10" s="633"/>
      <c r="Y10" s="633"/>
      <c r="Z10" s="633"/>
      <c r="AA10" s="633"/>
      <c r="AB10" s="633"/>
      <c r="AC10" s="633"/>
      <c r="AD10" s="633"/>
      <c r="AE10" s="633"/>
      <c r="AF10" s="633"/>
      <c r="AG10" s="633"/>
      <c r="AH10" s="633"/>
      <c r="AI10" s="633"/>
      <c r="AJ10" s="633"/>
      <c r="AK10" s="633"/>
      <c r="AL10" s="633"/>
      <c r="AM10" s="633"/>
      <c r="AN10" s="633"/>
      <c r="AO10" s="633"/>
      <c r="AP10" s="633"/>
      <c r="AQ10" s="633"/>
      <c r="AR10" s="633"/>
      <c r="AS10" s="633"/>
      <c r="AT10" s="633"/>
      <c r="AU10" s="633"/>
      <c r="AV10" s="633"/>
    </row>
    <row r="11" spans="1:48" s="432" customFormat="1" ht="18">
      <c r="A11" s="413" t="s">
        <v>201</v>
      </c>
      <c r="B11" s="417">
        <f>SUM(C11:AV11)</f>
        <v>829.80239999999753</v>
      </c>
      <c r="C11" s="417">
        <f>C17</f>
        <v>300.00000000000006</v>
      </c>
      <c r="D11" s="417">
        <f t="shared" ref="D11:AU11" si="0">D17</f>
        <v>0</v>
      </c>
      <c r="E11" s="417">
        <f t="shared" si="0"/>
        <v>40.822100000000063</v>
      </c>
      <c r="F11" s="417">
        <f t="shared" si="0"/>
        <v>8.4930999999999841</v>
      </c>
      <c r="G11" s="417">
        <f t="shared" si="0"/>
        <v>9.283699999999957</v>
      </c>
      <c r="H11" s="417">
        <f t="shared" si="0"/>
        <v>-63.34059999999981</v>
      </c>
      <c r="I11" s="417">
        <f t="shared" si="0"/>
        <v>-167.11300000000003</v>
      </c>
      <c r="J11" s="417">
        <f t="shared" si="0"/>
        <v>20.235899999999916</v>
      </c>
      <c r="K11" s="417">
        <f>K17</f>
        <v>-28.765799999999842</v>
      </c>
      <c r="L11" s="417">
        <f t="shared" si="0"/>
        <v>-104.5693999999998</v>
      </c>
      <c r="M11" s="417">
        <f t="shared" si="0"/>
        <v>-6.8559999999997441</v>
      </c>
      <c r="N11" s="417">
        <f t="shared" si="0"/>
        <v>-28.496800000000093</v>
      </c>
      <c r="O11" s="417">
        <f t="shared" si="0"/>
        <v>-76.46239999999969</v>
      </c>
      <c r="P11" s="417">
        <f t="shared" si="0"/>
        <v>-62.674599999999636</v>
      </c>
      <c r="Q11" s="417">
        <f t="shared" si="0"/>
        <v>9.9342999999999577</v>
      </c>
      <c r="R11" s="417">
        <f t="shared" si="0"/>
        <v>84.963400000000362</v>
      </c>
      <c r="S11" s="417">
        <f t="shared" si="0"/>
        <v>-17.256799999999959</v>
      </c>
      <c r="T11" s="417">
        <f t="shared" si="0"/>
        <v>-28.627300000000155</v>
      </c>
      <c r="U11" s="417">
        <f t="shared" si="0"/>
        <v>1.2932999999998787</v>
      </c>
      <c r="V11" s="417">
        <f t="shared" si="0"/>
        <v>2.6361999999999126</v>
      </c>
      <c r="W11" s="417">
        <f t="shared" si="0"/>
        <v>3.0849999999999014</v>
      </c>
      <c r="X11" s="417">
        <f t="shared" si="0"/>
        <v>4.141099999999831</v>
      </c>
      <c r="Y11" s="417">
        <f t="shared" si="0"/>
        <v>-45.826000000000157</v>
      </c>
      <c r="Z11" s="417">
        <f t="shared" si="0"/>
        <v>-207.7338</v>
      </c>
      <c r="AA11" s="417">
        <f t="shared" si="0"/>
        <v>-105.52110000000002</v>
      </c>
      <c r="AB11" s="417">
        <f t="shared" si="0"/>
        <v>-94.289899999999946</v>
      </c>
      <c r="AC11" s="417">
        <f t="shared" si="0"/>
        <v>-402.91340000000002</v>
      </c>
      <c r="AD11" s="417">
        <f t="shared" si="0"/>
        <v>41.209099999999879</v>
      </c>
      <c r="AE11" s="417">
        <f t="shared" si="0"/>
        <v>207.34169999999966</v>
      </c>
      <c r="AF11" s="417">
        <f t="shared" si="0"/>
        <v>207.13729999999947</v>
      </c>
      <c r="AG11" s="417">
        <f t="shared" si="0"/>
        <v>132.93239999999997</v>
      </c>
      <c r="AH11" s="417">
        <f t="shared" si="0"/>
        <v>-48.252100000000574</v>
      </c>
      <c r="AI11" s="417">
        <f t="shared" si="0"/>
        <v>133.13549999999972</v>
      </c>
      <c r="AJ11" s="417">
        <f t="shared" si="0"/>
        <v>-1.8490000000003022</v>
      </c>
      <c r="AK11" s="417">
        <f t="shared" si="0"/>
        <v>11.234199999999944</v>
      </c>
      <c r="AL11" s="417">
        <f t="shared" si="0"/>
        <v>66.17300000000003</v>
      </c>
      <c r="AM11" s="417">
        <f t="shared" si="0"/>
        <v>45.015100000000047</v>
      </c>
      <c r="AN11" s="417">
        <f t="shared" si="0"/>
        <v>78.627099999999643</v>
      </c>
      <c r="AO11" s="417">
        <f t="shared" si="0"/>
        <v>112.16409999999999</v>
      </c>
      <c r="AP11" s="417">
        <f t="shared" si="0"/>
        <v>114.81799999999964</v>
      </c>
      <c r="AQ11" s="417">
        <f t="shared" si="0"/>
        <v>228.96919999999989</v>
      </c>
      <c r="AR11" s="417">
        <f t="shared" si="0"/>
        <v>61.922799999999683</v>
      </c>
      <c r="AS11" s="417">
        <f t="shared" si="0"/>
        <v>54.473400000000026</v>
      </c>
      <c r="AT11" s="417">
        <f t="shared" si="0"/>
        <v>99.66809999999991</v>
      </c>
      <c r="AU11" s="417">
        <f t="shared" si="0"/>
        <v>112.40199999999999</v>
      </c>
      <c r="AV11" s="417">
        <f>AV17</f>
        <v>128.23929999999999</v>
      </c>
    </row>
    <row r="12" spans="1:48" s="432" customFormat="1" ht="18">
      <c r="A12" s="413" t="s">
        <v>202</v>
      </c>
      <c r="B12" s="417">
        <f>SUM(C12:AV12)</f>
        <v>-129.16167986083286</v>
      </c>
      <c r="C12" s="417">
        <f t="shared" ref="C12:AV12" si="1">-C11/(1+$B$4)^(C$9-$C$9+1)</f>
        <v>-288.46153846153851</v>
      </c>
      <c r="D12" s="417">
        <f t="shared" si="1"/>
        <v>0</v>
      </c>
      <c r="E12" s="417">
        <f t="shared" si="1"/>
        <v>-36.290698253300008</v>
      </c>
      <c r="F12" s="417">
        <f t="shared" si="1"/>
        <v>-7.2599374748345493</v>
      </c>
      <c r="G12" s="417">
        <f t="shared" si="1"/>
        <v>-7.6305246810217566</v>
      </c>
      <c r="H12" s="417">
        <f t="shared" si="1"/>
        <v>50.058996248462719</v>
      </c>
      <c r="I12" s="417">
        <f t="shared" si="1"/>
        <v>126.99214551763642</v>
      </c>
      <c r="J12" s="417">
        <f t="shared" si="1"/>
        <v>-14.786173919399582</v>
      </c>
      <c r="K12" s="417">
        <f t="shared" si="1"/>
        <v>20.21046951831341</v>
      </c>
      <c r="L12" s="417">
        <f t="shared" si="1"/>
        <v>70.64333979561232</v>
      </c>
      <c r="M12" s="417">
        <f t="shared" si="1"/>
        <v>4.4535268667975982</v>
      </c>
      <c r="N12" s="417">
        <f t="shared" si="1"/>
        <v>17.799017202473259</v>
      </c>
      <c r="O12" s="417">
        <f t="shared" si="1"/>
        <v>45.921336003664017</v>
      </c>
      <c r="P12" s="417">
        <f t="shared" si="1"/>
        <v>36.193019825823342</v>
      </c>
      <c r="Q12" s="417">
        <f t="shared" si="1"/>
        <v>-5.516164149304462</v>
      </c>
      <c r="R12" s="417">
        <f t="shared" si="1"/>
        <v>-45.362653894066582</v>
      </c>
      <c r="S12" s="417">
        <f t="shared" si="1"/>
        <v>8.8591794290148069</v>
      </c>
      <c r="T12" s="417">
        <f t="shared" si="1"/>
        <v>14.131240308627365</v>
      </c>
      <c r="U12" s="417">
        <f t="shared" si="1"/>
        <v>-0.61385504702295868</v>
      </c>
      <c r="V12" s="417">
        <f t="shared" si="1"/>
        <v>-1.2031272675758062</v>
      </c>
      <c r="W12" s="417">
        <f t="shared" si="1"/>
        <v>-1.3538016625297506</v>
      </c>
      <c r="X12" s="417">
        <f t="shared" si="1"/>
        <v>-1.7473594516587398</v>
      </c>
      <c r="Y12" s="417">
        <f t="shared" si="1"/>
        <v>18.59281495062557</v>
      </c>
      <c r="Z12" s="417">
        <f t="shared" si="1"/>
        <v>81.041416327107058</v>
      </c>
      <c r="AA12" s="417">
        <f t="shared" si="1"/>
        <v>39.582737602320741</v>
      </c>
      <c r="AB12" s="417">
        <f t="shared" si="1"/>
        <v>34.009351704659615</v>
      </c>
      <c r="AC12" s="417">
        <f t="shared" si="1"/>
        <v>139.73704344792182</v>
      </c>
      <c r="AD12" s="417">
        <f t="shared" si="1"/>
        <v>-13.742306461726725</v>
      </c>
      <c r="AE12" s="417">
        <f t="shared" si="1"/>
        <v>-66.484409429718184</v>
      </c>
      <c r="AF12" s="417">
        <f t="shared" si="1"/>
        <v>-63.86429642361059</v>
      </c>
      <c r="AG12" s="417">
        <f t="shared" si="1"/>
        <v>-39.40917355625951</v>
      </c>
      <c r="AH12" s="417">
        <f t="shared" si="1"/>
        <v>13.754644229771126</v>
      </c>
      <c r="AI12" s="417">
        <f t="shared" si="1"/>
        <v>-36.491664787898991</v>
      </c>
      <c r="AJ12" s="417">
        <f t="shared" si="1"/>
        <v>0.48730781358983022</v>
      </c>
      <c r="AK12" s="417">
        <f t="shared" si="1"/>
        <v>-2.8469200812445128</v>
      </c>
      <c r="AL12" s="417">
        <f t="shared" si="1"/>
        <v>-16.124290331189425</v>
      </c>
      <c r="AM12" s="417">
        <f t="shared" si="1"/>
        <v>-10.546896039511894</v>
      </c>
      <c r="AN12" s="417">
        <f t="shared" si="1"/>
        <v>-17.713540088776643</v>
      </c>
      <c r="AO12" s="417">
        <f t="shared" si="1"/>
        <v>-24.297055363857734</v>
      </c>
      <c r="AP12" s="417">
        <f t="shared" si="1"/>
        <v>-23.915331530109487</v>
      </c>
      <c r="AQ12" s="417">
        <f t="shared" si="1"/>
        <v>-45.857476851190242</v>
      </c>
      <c r="AR12" s="417">
        <f t="shared" si="1"/>
        <v>-11.924778896869729</v>
      </c>
      <c r="AS12" s="417">
        <f t="shared" si="1"/>
        <v>-10.086741548793682</v>
      </c>
      <c r="AT12" s="417">
        <f t="shared" si="1"/>
        <v>-17.7455412493374</v>
      </c>
      <c r="AU12" s="417">
        <f t="shared" si="1"/>
        <v>-19.243043888705305</v>
      </c>
      <c r="AV12" s="417">
        <f t="shared" si="1"/>
        <v>-21.10996586220104</v>
      </c>
    </row>
    <row r="13" spans="1:48" s="432" customFormat="1" ht="18">
      <c r="A13" s="413" t="s">
        <v>203</v>
      </c>
      <c r="B13" s="417">
        <f t="shared" ref="B13" si="2">SUM(C13:AV13)</f>
        <v>88.846656857040998</v>
      </c>
      <c r="C13" s="417">
        <f t="shared" ref="C13:AV13" si="3">C11/(1+$B$5)^(C$9-$C$9+1)</f>
        <v>284.81913984619774</v>
      </c>
      <c r="D13" s="417">
        <f t="shared" si="3"/>
        <v>0</v>
      </c>
      <c r="E13" s="417">
        <f t="shared" si="3"/>
        <v>34.933257864435021</v>
      </c>
      <c r="F13" s="417">
        <f t="shared" si="3"/>
        <v>6.9001399754155965</v>
      </c>
      <c r="G13" s="417">
        <f t="shared" si="3"/>
        <v>7.1607857024444472</v>
      </c>
      <c r="H13" s="417">
        <f t="shared" si="3"/>
        <v>-46.38415698279735</v>
      </c>
      <c r="I13" s="417">
        <f t="shared" si="3"/>
        <v>-116.18381863379892</v>
      </c>
      <c r="J13" s="417">
        <f t="shared" si="3"/>
        <v>13.356905430791979</v>
      </c>
      <c r="K13" s="417">
        <f t="shared" si="3"/>
        <v>-18.026345843441351</v>
      </c>
      <c r="L13" s="417">
        <f t="shared" si="3"/>
        <v>-62.213376768338392</v>
      </c>
      <c r="M13" s="417">
        <f t="shared" si="3"/>
        <v>-3.8725575710367242</v>
      </c>
      <c r="N13" s="417">
        <f t="shared" si="3"/>
        <v>-15.28167939799412</v>
      </c>
      <c r="O13" s="417">
        <f t="shared" si="3"/>
        <v>-38.928783375932035</v>
      </c>
      <c r="P13" s="417">
        <f t="shared" si="3"/>
        <v>-30.294402571888227</v>
      </c>
      <c r="Q13" s="417">
        <f t="shared" si="3"/>
        <v>4.5588574031289939</v>
      </c>
      <c r="R13" s="417">
        <f t="shared" si="3"/>
        <v>37.016771353176608</v>
      </c>
      <c r="S13" s="417">
        <f t="shared" si="3"/>
        <v>-7.137971912055912</v>
      </c>
      <c r="T13" s="417">
        <f t="shared" si="3"/>
        <v>-11.241981697198041</v>
      </c>
      <c r="U13" s="417">
        <f t="shared" si="3"/>
        <v>0.48218053895850416</v>
      </c>
      <c r="V13" s="417">
        <f t="shared" si="3"/>
        <v>0.93311822532965394</v>
      </c>
      <c r="W13" s="417">
        <f t="shared" si="3"/>
        <v>1.0367198176873667</v>
      </c>
      <c r="X13" s="417">
        <f t="shared" si="3"/>
        <v>1.3212039577474011</v>
      </c>
      <c r="Y13" s="417">
        <f t="shared" si="3"/>
        <v>-13.880784585984932</v>
      </c>
      <c r="Z13" s="417">
        <f t="shared" si="3"/>
        <v>-59.738889498631984</v>
      </c>
      <c r="AA13" s="417">
        <f t="shared" si="3"/>
        <v>-28.809598458046541</v>
      </c>
      <c r="AB13" s="417">
        <f t="shared" si="3"/>
        <v>-24.440550645425994</v>
      </c>
      <c r="AC13" s="417">
        <f t="shared" si="3"/>
        <v>-99.152903979643057</v>
      </c>
      <c r="AD13" s="417">
        <f t="shared" si="3"/>
        <v>9.6279709787675269</v>
      </c>
      <c r="AE13" s="417">
        <f t="shared" si="3"/>
        <v>45.991355917972804</v>
      </c>
      <c r="AF13" s="417">
        <f t="shared" si="3"/>
        <v>43.621016873832389</v>
      </c>
      <c r="AG13" s="417">
        <f t="shared" si="3"/>
        <v>26.577629073410076</v>
      </c>
      <c r="AH13" s="417">
        <f t="shared" si="3"/>
        <v>-9.1590309226827831</v>
      </c>
      <c r="AI13" s="417">
        <f t="shared" si="3"/>
        <v>23.992477463646512</v>
      </c>
      <c r="AJ13" s="417">
        <f t="shared" si="3"/>
        <v>-0.31634869617950684</v>
      </c>
      <c r="AK13" s="417">
        <f t="shared" si="3"/>
        <v>1.8248165235455456</v>
      </c>
      <c r="AL13" s="417">
        <f t="shared" si="3"/>
        <v>10.204830450720355</v>
      </c>
      <c r="AM13" s="417">
        <f t="shared" si="3"/>
        <v>6.5906933353906956</v>
      </c>
      <c r="AN13" s="417">
        <f t="shared" si="3"/>
        <v>10.929317911066876</v>
      </c>
      <c r="AO13" s="417">
        <f t="shared" si="3"/>
        <v>14.802074738601391</v>
      </c>
      <c r="AP13" s="417">
        <f t="shared" si="3"/>
        <v>14.38555461863711</v>
      </c>
      <c r="AQ13" s="417">
        <f t="shared" si="3"/>
        <v>27.235892739302262</v>
      </c>
      <c r="AR13" s="417">
        <f t="shared" si="3"/>
        <v>6.9929923009945867</v>
      </c>
      <c r="AS13" s="417">
        <f t="shared" si="3"/>
        <v>5.8404305365376388</v>
      </c>
      <c r="AT13" s="417">
        <f t="shared" si="3"/>
        <v>10.145290219695685</v>
      </c>
      <c r="AU13" s="417">
        <f t="shared" si="3"/>
        <v>10.862511531504911</v>
      </c>
      <c r="AV13" s="417">
        <f t="shared" si="3"/>
        <v>11.765903069177197</v>
      </c>
    </row>
    <row r="14" spans="1:48" s="432" customFormat="1" ht="15" customHeight="1">
      <c r="A14" s="414"/>
      <c r="B14" s="418">
        <f>SUM(C17:AB17)</f>
        <v>-552.6453999999992</v>
      </c>
      <c r="C14" s="418"/>
      <c r="D14" s="418"/>
      <c r="E14" s="418"/>
      <c r="F14" s="418"/>
      <c r="G14" s="418"/>
      <c r="H14" s="418"/>
      <c r="I14" s="418"/>
      <c r="J14" s="418"/>
      <c r="K14" s="418"/>
      <c r="L14" s="418"/>
      <c r="M14" s="418"/>
      <c r="N14" s="418"/>
      <c r="O14" s="418"/>
      <c r="P14" s="418"/>
      <c r="Q14" s="418"/>
      <c r="R14" s="418"/>
      <c r="S14" s="418"/>
      <c r="T14" s="418"/>
      <c r="U14" s="418"/>
      <c r="V14" s="418"/>
      <c r="W14" s="418"/>
      <c r="X14" s="418"/>
      <c r="Y14" s="418"/>
      <c r="Z14" s="418"/>
      <c r="AA14" s="418"/>
      <c r="AB14" s="418"/>
      <c r="AC14" s="418"/>
      <c r="AD14" s="418"/>
      <c r="AE14" s="418"/>
      <c r="AF14" s="418"/>
      <c r="AG14" s="418"/>
      <c r="AH14" s="418"/>
      <c r="AI14" s="418"/>
      <c r="AJ14" s="418"/>
      <c r="AK14" s="418"/>
      <c r="AL14" s="418"/>
      <c r="AM14" s="418"/>
      <c r="AN14" s="418"/>
      <c r="AO14" s="418"/>
      <c r="AP14" s="418"/>
      <c r="AQ14" s="418"/>
      <c r="AR14" s="418"/>
      <c r="AS14" s="418"/>
      <c r="AT14" s="418"/>
      <c r="AU14" s="418"/>
      <c r="AV14" s="418"/>
    </row>
    <row r="15" spans="1:48" s="416" customFormat="1" ht="18">
      <c r="A15" s="410" t="s">
        <v>204</v>
      </c>
      <c r="B15" s="25"/>
    </row>
    <row r="16" spans="1:48" s="416" customFormat="1">
      <c r="A16" s="405" t="s">
        <v>205</v>
      </c>
      <c r="B16" s="420">
        <f>SUM(C17:AV17)</f>
        <v>829.80239999999753</v>
      </c>
    </row>
    <row r="17" spans="1:48" s="416" customFormat="1">
      <c r="A17" s="405" t="s">
        <v>206</v>
      </c>
      <c r="B17" s="25"/>
      <c r="C17" s="419">
        <f>SUM(C18:C21)</f>
        <v>300.00000000000006</v>
      </c>
      <c r="D17" s="419">
        <f t="shared" ref="D17:X17" si="4">SUM(D18:D21)</f>
        <v>0</v>
      </c>
      <c r="E17" s="419">
        <f t="shared" si="4"/>
        <v>40.822100000000063</v>
      </c>
      <c r="F17" s="419">
        <f t="shared" si="4"/>
        <v>8.4930999999999841</v>
      </c>
      <c r="G17" s="419">
        <f t="shared" si="4"/>
        <v>9.283699999999957</v>
      </c>
      <c r="H17" s="419">
        <f t="shared" si="4"/>
        <v>-63.34059999999981</v>
      </c>
      <c r="I17" s="419">
        <f t="shared" si="4"/>
        <v>-167.11300000000003</v>
      </c>
      <c r="J17" s="419">
        <f t="shared" si="4"/>
        <v>20.235899999999916</v>
      </c>
      <c r="K17" s="419">
        <f t="shared" si="4"/>
        <v>-28.765799999999842</v>
      </c>
      <c r="L17" s="419">
        <f t="shared" si="4"/>
        <v>-104.5693999999998</v>
      </c>
      <c r="M17" s="419">
        <f t="shared" si="4"/>
        <v>-6.8559999999997441</v>
      </c>
      <c r="N17" s="419">
        <f t="shared" si="4"/>
        <v>-28.496800000000093</v>
      </c>
      <c r="O17" s="419">
        <f t="shared" si="4"/>
        <v>-76.46239999999969</v>
      </c>
      <c r="P17" s="419">
        <f t="shared" si="4"/>
        <v>-62.674599999999636</v>
      </c>
      <c r="Q17" s="419">
        <f t="shared" si="4"/>
        <v>9.9342999999999577</v>
      </c>
      <c r="R17" s="419">
        <f t="shared" si="4"/>
        <v>84.963400000000362</v>
      </c>
      <c r="S17" s="419">
        <f t="shared" si="4"/>
        <v>-17.256799999999959</v>
      </c>
      <c r="T17" s="419">
        <f t="shared" si="4"/>
        <v>-28.627300000000155</v>
      </c>
      <c r="U17" s="419">
        <f t="shared" si="4"/>
        <v>1.2932999999998787</v>
      </c>
      <c r="V17" s="419">
        <f t="shared" si="4"/>
        <v>2.6361999999999126</v>
      </c>
      <c r="W17" s="419">
        <f t="shared" si="4"/>
        <v>3.0849999999999014</v>
      </c>
      <c r="X17" s="419">
        <f t="shared" si="4"/>
        <v>4.141099999999831</v>
      </c>
      <c r="Y17" s="419">
        <f>SUM(Y18:Y21)</f>
        <v>-45.826000000000157</v>
      </c>
      <c r="Z17" s="419">
        <f t="shared" ref="Z17" si="5">SUM(Z18:Z21)</f>
        <v>-207.7338</v>
      </c>
      <c r="AA17" s="419">
        <f t="shared" ref="AA17" si="6">SUM(AA18:AA21)</f>
        <v>-105.52110000000002</v>
      </c>
      <c r="AB17" s="419">
        <f t="shared" ref="AB17" si="7">SUM(AB18:AB21)</f>
        <v>-94.289899999999946</v>
      </c>
      <c r="AC17" s="419">
        <f t="shared" ref="AC17" si="8">SUM(AC18:AC21)</f>
        <v>-402.91340000000002</v>
      </c>
      <c r="AD17" s="419">
        <f t="shared" ref="AD17" si="9">SUM(AD18:AD21)</f>
        <v>41.209099999999879</v>
      </c>
      <c r="AE17" s="419">
        <f t="shared" ref="AE17" si="10">SUM(AE18:AE21)</f>
        <v>207.34169999999966</v>
      </c>
      <c r="AF17" s="419">
        <f t="shared" ref="AF17" si="11">SUM(AF18:AF21)</f>
        <v>207.13729999999947</v>
      </c>
      <c r="AG17" s="419">
        <f t="shared" ref="AG17" si="12">SUM(AG18:AG21)</f>
        <v>132.93239999999997</v>
      </c>
      <c r="AH17" s="419">
        <f t="shared" ref="AH17" si="13">SUM(AH18:AH21)</f>
        <v>-48.252100000000574</v>
      </c>
      <c r="AI17" s="419">
        <f t="shared" ref="AI17" si="14">SUM(AI18:AI21)</f>
        <v>133.13549999999972</v>
      </c>
      <c r="AJ17" s="419">
        <f t="shared" ref="AJ17" si="15">SUM(AJ18:AJ21)</f>
        <v>-1.8490000000003022</v>
      </c>
      <c r="AK17" s="419">
        <f t="shared" ref="AK17" si="16">SUM(AK18:AK21)</f>
        <v>11.234199999999944</v>
      </c>
      <c r="AL17" s="419">
        <f t="shared" ref="AL17" si="17">SUM(AL18:AL21)</f>
        <v>66.17300000000003</v>
      </c>
      <c r="AM17" s="419">
        <f t="shared" ref="AM17" si="18">SUM(AM18:AM21)</f>
        <v>45.015100000000047</v>
      </c>
      <c r="AN17" s="419">
        <f t="shared" ref="AN17" si="19">SUM(AN18:AN21)</f>
        <v>78.627099999999643</v>
      </c>
      <c r="AO17" s="419">
        <f t="shared" ref="AO17" si="20">SUM(AO18:AO21)</f>
        <v>112.16409999999999</v>
      </c>
      <c r="AP17" s="419">
        <f t="shared" ref="AP17" si="21">SUM(AP18:AP21)</f>
        <v>114.81799999999964</v>
      </c>
      <c r="AQ17" s="419">
        <f>SUM(AQ18:AQ21)</f>
        <v>228.96919999999989</v>
      </c>
      <c r="AR17" s="419">
        <f t="shared" ref="AR17" si="22">SUM(AR18:AR21)</f>
        <v>61.922799999999683</v>
      </c>
      <c r="AS17" s="419">
        <f t="shared" ref="AS17" si="23">SUM(AS18:AS21)</f>
        <v>54.473400000000026</v>
      </c>
      <c r="AT17" s="419">
        <f t="shared" ref="AT17" si="24">SUM(AT18:AT21)</f>
        <v>99.66809999999991</v>
      </c>
      <c r="AU17" s="419">
        <f t="shared" ref="AU17" si="25">SUM(AU18:AU21)</f>
        <v>112.40199999999999</v>
      </c>
      <c r="AV17" s="419">
        <f t="shared" ref="AV17" si="26">SUM(AV18:AV21)</f>
        <v>128.23929999999999</v>
      </c>
    </row>
    <row r="18" spans="1:48" s="416" customFormat="1">
      <c r="A18" s="25" t="s">
        <v>207</v>
      </c>
      <c r="B18" s="25"/>
      <c r="C18" s="416">
        <f>'Investment Needs'!C12</f>
        <v>300.00000000000006</v>
      </c>
      <c r="D18" s="416">
        <f>'Investment Needs'!D12</f>
        <v>0</v>
      </c>
      <c r="E18" s="416">
        <f>'Investment Needs'!E12</f>
        <v>32.453099999999992</v>
      </c>
      <c r="F18" s="416">
        <f>'Investment Needs'!F12</f>
        <v>0</v>
      </c>
      <c r="G18" s="416">
        <f>'Investment Needs'!G12</f>
        <v>0</v>
      </c>
      <c r="H18" s="416">
        <f>'Investment Needs'!H12</f>
        <v>-56.406599999999997</v>
      </c>
      <c r="I18" s="416">
        <f>'Investment Needs'!I12</f>
        <v>-164.80869999999993</v>
      </c>
      <c r="J18" s="416">
        <f>'Investment Needs'!J12</f>
        <v>23.328200000000002</v>
      </c>
      <c r="K18" s="416">
        <f>'Investment Needs'!K12</f>
        <v>-28.8673</v>
      </c>
      <c r="L18" s="416">
        <f>'Investment Needs'!L12</f>
        <v>-105.6454</v>
      </c>
      <c r="M18" s="416">
        <f>'Investment Needs'!M12</f>
        <v>-13.656099999999967</v>
      </c>
      <c r="N18" s="416">
        <f>'Investment Needs'!N12</f>
        <v>-34.239700000000099</v>
      </c>
      <c r="O18" s="416">
        <f>'Investment Needs'!O12</f>
        <v>-83.155200000000008</v>
      </c>
      <c r="P18" s="416">
        <f>'Investment Needs'!P12</f>
        <v>-70.896199999999993</v>
      </c>
      <c r="Q18" s="416">
        <f>'Investment Needs'!Q12</f>
        <v>0</v>
      </c>
      <c r="R18" s="416">
        <f>'Investment Needs'!R12</f>
        <v>86.014000000000124</v>
      </c>
      <c r="S18" s="416">
        <f>'Investment Needs'!S12</f>
        <v>-15.633300000000011</v>
      </c>
      <c r="T18" s="416">
        <f>'Investment Needs'!T12</f>
        <v>-27.1585</v>
      </c>
      <c r="U18" s="416">
        <f>'Investment Needs'!U12</f>
        <v>0</v>
      </c>
      <c r="V18" s="416">
        <f>'Investment Needs'!V12</f>
        <v>0</v>
      </c>
      <c r="W18" s="416">
        <f>'Investment Needs'!W12</f>
        <v>0</v>
      </c>
      <c r="X18" s="416">
        <f>'Investment Needs'!X12</f>
        <v>0</v>
      </c>
      <c r="Y18" s="416">
        <f>'Investment Needs'!Y12</f>
        <v>-44.284100000000002</v>
      </c>
      <c r="Z18" s="416">
        <f>'Investment Needs'!Z12</f>
        <v>-202.66739999999999</v>
      </c>
      <c r="AA18" s="416">
        <f>'Investment Needs'!AA12</f>
        <v>-98.697500000000005</v>
      </c>
      <c r="AB18" s="416">
        <f>'Investment Needs'!AB12</f>
        <v>-83.946299999999994</v>
      </c>
      <c r="AC18" s="416">
        <f>'Investment Needs'!AC12</f>
        <v>-396.47800000000001</v>
      </c>
      <c r="AD18" s="416">
        <f>'Investment Needs'!AD12</f>
        <v>41.808399999999999</v>
      </c>
      <c r="AE18" s="416">
        <f>'Investment Needs'!AE12</f>
        <v>198.84939999999997</v>
      </c>
      <c r="AF18" s="416">
        <f>'Investment Needs'!AF12</f>
        <v>200.26099999999974</v>
      </c>
      <c r="AG18" s="416">
        <f>'Investment Needs'!AG12</f>
        <v>124.88310000000001</v>
      </c>
      <c r="AH18" s="416">
        <f>'Investment Needs'!AH12</f>
        <v>-59.244700000000172</v>
      </c>
      <c r="AI18" s="416">
        <f>'Investment Needs'!AI12</f>
        <v>122.18270000000005</v>
      </c>
      <c r="AJ18" s="416">
        <f>'Investment Needs'!AJ12</f>
        <v>-14.192900000000009</v>
      </c>
      <c r="AK18" s="416">
        <f>'Investment Needs'!AK12</f>
        <v>-2.4259000000001265</v>
      </c>
      <c r="AL18" s="416">
        <f>'Investment Needs'!AL12</f>
        <v>53.736799999999988</v>
      </c>
      <c r="AM18" s="416">
        <f>'Investment Needs'!AM12</f>
        <v>29.61630000000001</v>
      </c>
      <c r="AN18" s="416">
        <f>'Investment Needs'!AN12</f>
        <v>61.157899999999984</v>
      </c>
      <c r="AO18" s="416">
        <f>'Investment Needs'!AO12</f>
        <v>92.92519999999999</v>
      </c>
      <c r="AP18" s="416">
        <f>'Investment Needs'!AP12</f>
        <v>93.873999999999995</v>
      </c>
      <c r="AQ18" s="416">
        <f>'Investment Needs'!AQ12</f>
        <v>206.48899999999989</v>
      </c>
      <c r="AR18" s="416">
        <f>'Investment Needs'!AR12</f>
        <v>37.963799999999871</v>
      </c>
      <c r="AS18" s="416">
        <f>'Investment Needs'!AS12</f>
        <v>28.769499999999994</v>
      </c>
      <c r="AT18" s="416">
        <f>'Investment Needs'!AT12</f>
        <v>72.396499999999989</v>
      </c>
      <c r="AU18" s="416">
        <f>'Investment Needs'!AU12</f>
        <v>83.359999999999985</v>
      </c>
      <c r="AV18" s="416">
        <f>'Investment Needs'!AV12</f>
        <v>97.050400000000025</v>
      </c>
    </row>
    <row r="19" spans="1:48" s="416" customFormat="1">
      <c r="A19" s="25" t="s">
        <v>208</v>
      </c>
      <c r="B19" s="25"/>
      <c r="C19" s="416" cm="1">
        <f t="array" ref="C19:AV19">TRANSPOSE('FFRM (Input)'!D9:D54)+TRANSPOSE('FFRM (Input)'!G9:G54)+TRANSPOSE('FFRM (Input)'!J9:J54)</f>
        <v>0</v>
      </c>
      <c r="D19" s="416">
        <v>0</v>
      </c>
      <c r="E19" s="416">
        <v>0</v>
      </c>
      <c r="F19" s="416">
        <v>0</v>
      </c>
      <c r="G19" s="416">
        <v>0</v>
      </c>
      <c r="H19" s="416">
        <v>0</v>
      </c>
      <c r="I19" s="416">
        <v>0</v>
      </c>
      <c r="J19" s="416">
        <v>0</v>
      </c>
      <c r="K19" s="416">
        <v>0</v>
      </c>
      <c r="L19" s="416">
        <v>0</v>
      </c>
      <c r="M19" s="416">
        <v>0</v>
      </c>
      <c r="N19" s="416">
        <v>0</v>
      </c>
      <c r="O19" s="416">
        <v>0</v>
      </c>
      <c r="P19" s="416">
        <v>0</v>
      </c>
      <c r="Q19" s="416">
        <v>0</v>
      </c>
      <c r="R19" s="416">
        <v>0</v>
      </c>
      <c r="S19" s="416">
        <v>0</v>
      </c>
      <c r="T19" s="416">
        <v>0</v>
      </c>
      <c r="U19" s="416">
        <v>0</v>
      </c>
      <c r="V19" s="416">
        <v>0</v>
      </c>
      <c r="W19" s="416">
        <v>0</v>
      </c>
      <c r="X19" s="416">
        <v>0</v>
      </c>
      <c r="Y19" s="416">
        <v>0</v>
      </c>
      <c r="Z19" s="416">
        <v>0</v>
      </c>
      <c r="AA19" s="416">
        <v>0</v>
      </c>
      <c r="AB19" s="416">
        <v>0</v>
      </c>
      <c r="AC19" s="416">
        <v>0</v>
      </c>
      <c r="AD19" s="416">
        <v>0</v>
      </c>
      <c r="AE19" s="416">
        <v>0</v>
      </c>
      <c r="AF19" s="416">
        <v>0</v>
      </c>
      <c r="AG19" s="416">
        <v>0</v>
      </c>
      <c r="AH19" s="416">
        <v>0</v>
      </c>
      <c r="AI19" s="416">
        <v>0</v>
      </c>
      <c r="AJ19" s="416">
        <v>0</v>
      </c>
      <c r="AK19" s="416">
        <v>0</v>
      </c>
      <c r="AL19" s="416">
        <v>0</v>
      </c>
      <c r="AM19" s="416">
        <v>0</v>
      </c>
      <c r="AN19" s="416">
        <v>0</v>
      </c>
      <c r="AO19" s="416">
        <v>0</v>
      </c>
      <c r="AP19" s="416">
        <v>0</v>
      </c>
      <c r="AQ19" s="416">
        <v>0</v>
      </c>
      <c r="AR19" s="416">
        <v>0</v>
      </c>
      <c r="AS19" s="416">
        <v>0</v>
      </c>
      <c r="AT19" s="416">
        <v>0</v>
      </c>
      <c r="AU19" s="416">
        <v>0</v>
      </c>
      <c r="AV19" s="416">
        <v>0</v>
      </c>
    </row>
    <row r="20" spans="1:48" s="54" customFormat="1">
      <c r="A20" s="25" t="s">
        <v>209</v>
      </c>
      <c r="B20" s="25"/>
      <c r="C20" s="416" cm="1">
        <f t="array" ref="C20:AV20">(TRANSPOSE('OSeMOSYS (Input)'!D139:D184)-TRANSPOSE('OSeMOSYS (Input)'!E139:E184))-(TRANSPOSE('OSeMOSYS (Input)'!AN21:AN66)-TRANSPOSE('OSeMOSYS (Input)'!AN85:AN130))</f>
        <v>0</v>
      </c>
      <c r="D20" s="416">
        <v>0</v>
      </c>
      <c r="E20" s="416">
        <v>13.18879999999997</v>
      </c>
      <c r="F20" s="416">
        <v>13.293999999999997</v>
      </c>
      <c r="G20" s="416">
        <v>14.065699999999996</v>
      </c>
      <c r="H20" s="416">
        <v>-10.450099999999981</v>
      </c>
      <c r="I20" s="416">
        <v>-6.4781999999999869</v>
      </c>
      <c r="J20" s="416">
        <v>-6.5820000000000007</v>
      </c>
      <c r="K20" s="416">
        <v>-7.4456000000000166</v>
      </c>
      <c r="L20" s="416">
        <v>-3.3494000000000028</v>
      </c>
      <c r="M20" s="416">
        <v>7.98769999999997</v>
      </c>
      <c r="N20" s="416">
        <v>7.2762000000000047</v>
      </c>
      <c r="O20" s="416">
        <v>9.017199999999999</v>
      </c>
      <c r="P20" s="416">
        <v>9.5765000000000011</v>
      </c>
      <c r="Q20" s="416">
        <v>10.606499999999933</v>
      </c>
      <c r="R20" s="416">
        <v>-3.8046000000000024</v>
      </c>
      <c r="S20" s="416">
        <v>-3.3119000000000636</v>
      </c>
      <c r="T20" s="416">
        <v>-3.9718000000000853</v>
      </c>
      <c r="U20" s="416">
        <v>-0.11770000000006586</v>
      </c>
      <c r="V20" s="416">
        <v>1.6779000000000179</v>
      </c>
      <c r="W20" s="416">
        <v>2.3953999999999738</v>
      </c>
      <c r="X20" s="416">
        <v>4.0937999999999946</v>
      </c>
      <c r="Y20" s="416">
        <v>-2.5669000000000173</v>
      </c>
      <c r="Z20" s="416">
        <v>-9.0583999999999705</v>
      </c>
      <c r="AA20" s="416">
        <v>-11.91489999999995</v>
      </c>
      <c r="AB20" s="416">
        <v>-26.521099999999961</v>
      </c>
      <c r="AC20" s="416">
        <v>-26.798899999999964</v>
      </c>
      <c r="AD20" s="416">
        <v>-16.399699999999971</v>
      </c>
      <c r="AE20" s="416">
        <v>2.3588000000000164</v>
      </c>
      <c r="AF20" s="416">
        <v>3.3959000000000437</v>
      </c>
      <c r="AG20" s="416">
        <v>8.6544999999999206</v>
      </c>
      <c r="AH20" s="416">
        <v>12.484199999999888</v>
      </c>
      <c r="AI20" s="416">
        <v>13.11779999999986</v>
      </c>
      <c r="AJ20" s="416">
        <v>15.95119999999983</v>
      </c>
      <c r="AK20" s="416">
        <v>18.787599999999898</v>
      </c>
      <c r="AL20" s="416">
        <v>21.255499999999927</v>
      </c>
      <c r="AM20" s="416">
        <v>25.957399999999879</v>
      </c>
      <c r="AN20" s="416">
        <v>30.290899999999851</v>
      </c>
      <c r="AO20" s="416">
        <v>33.531899999999894</v>
      </c>
      <c r="AP20" s="416">
        <v>37.444199999999839</v>
      </c>
      <c r="AQ20" s="416">
        <v>41.863699999999923</v>
      </c>
      <c r="AR20" s="416">
        <v>46.161899999999818</v>
      </c>
      <c r="AS20" s="416">
        <v>49.937700000000007</v>
      </c>
      <c r="AT20" s="416">
        <v>53.93039999999985</v>
      </c>
      <c r="AU20" s="416">
        <v>57.440999999999889</v>
      </c>
      <c r="AV20" s="416">
        <v>61.452799999999883</v>
      </c>
    </row>
    <row r="21" spans="1:48" s="54" customFormat="1">
      <c r="A21" s="25" t="s">
        <v>210</v>
      </c>
      <c r="B21" s="415"/>
      <c r="C21" s="416" cm="1">
        <f t="array" ref="C21:AV21">TRANSPOSE('OSeMOSYS (Input)'!F139:F184)-TRANSPOSE('OSeMOSYS (Input)'!G139:G184)</f>
        <v>0</v>
      </c>
      <c r="D21" s="416">
        <v>0</v>
      </c>
      <c r="E21" s="416">
        <v>-4.8197999999999013</v>
      </c>
      <c r="F21" s="416">
        <v>-4.8009000000000128</v>
      </c>
      <c r="G21" s="416">
        <v>-4.7820000000000391</v>
      </c>
      <c r="H21" s="416">
        <v>3.516100000000165</v>
      </c>
      <c r="I21" s="416">
        <v>4.1738999999998896</v>
      </c>
      <c r="J21" s="416">
        <v>3.4896999999999139</v>
      </c>
      <c r="K21" s="416">
        <v>7.5471000000001709</v>
      </c>
      <c r="L21" s="416">
        <v>4.4254000000001952</v>
      </c>
      <c r="M21" s="416">
        <v>-1.1875999999997475</v>
      </c>
      <c r="N21" s="416">
        <v>-1.533299999999997</v>
      </c>
      <c r="O21" s="416">
        <v>-2.3243999999996845</v>
      </c>
      <c r="P21" s="416">
        <v>-1.3548999999996454</v>
      </c>
      <c r="Q21" s="416">
        <v>-0.67219999999997526</v>
      </c>
      <c r="R21" s="416">
        <v>2.7540000000002465</v>
      </c>
      <c r="S21" s="416">
        <v>1.6884000000001151</v>
      </c>
      <c r="T21" s="416">
        <v>2.5029999999999291</v>
      </c>
      <c r="U21" s="416">
        <v>1.4109999999999445</v>
      </c>
      <c r="V21" s="416">
        <v>0.95829999999989468</v>
      </c>
      <c r="W21" s="416">
        <v>0.6895999999999276</v>
      </c>
      <c r="X21" s="416">
        <v>4.7299999999836473E-2</v>
      </c>
      <c r="Y21" s="416">
        <v>1.0249999999998636</v>
      </c>
      <c r="Z21" s="416">
        <v>3.9919999999999618</v>
      </c>
      <c r="AA21" s="416">
        <v>5.0912999999999329</v>
      </c>
      <c r="AB21" s="416">
        <v>16.177500000000009</v>
      </c>
      <c r="AC21" s="416">
        <v>20.363499999999931</v>
      </c>
      <c r="AD21" s="416">
        <v>15.800399999999854</v>
      </c>
      <c r="AE21" s="416">
        <v>6.1334999999996853</v>
      </c>
      <c r="AF21" s="416">
        <v>3.4803999999996904</v>
      </c>
      <c r="AG21" s="416">
        <v>-0.60519999999996799</v>
      </c>
      <c r="AH21" s="416">
        <v>-1.4916000000002896</v>
      </c>
      <c r="AI21" s="416">
        <v>-2.165000000000191</v>
      </c>
      <c r="AJ21" s="416">
        <v>-3.607300000000123</v>
      </c>
      <c r="AK21" s="416">
        <v>-5.1274999999998272</v>
      </c>
      <c r="AL21" s="416">
        <v>-8.8192999999998847</v>
      </c>
      <c r="AM21" s="416">
        <v>-10.558599999999842</v>
      </c>
      <c r="AN21" s="416">
        <v>-12.821700000000192</v>
      </c>
      <c r="AO21" s="416">
        <v>-14.292999999999893</v>
      </c>
      <c r="AP21" s="416">
        <v>-16.500200000000177</v>
      </c>
      <c r="AQ21" s="416">
        <v>-19.383499999999913</v>
      </c>
      <c r="AR21" s="416">
        <v>-22.2029</v>
      </c>
      <c r="AS21" s="416">
        <v>-24.233799999999974</v>
      </c>
      <c r="AT21" s="416">
        <v>-26.658799999999928</v>
      </c>
      <c r="AU21" s="416">
        <v>-28.398999999999887</v>
      </c>
      <c r="AV21" s="416">
        <v>-30.263899999999921</v>
      </c>
    </row>
    <row r="22" spans="1:48">
      <c r="A22" s="25"/>
      <c r="B22" s="25"/>
    </row>
    <row r="23" spans="1:48" ht="18">
      <c r="A23" s="410" t="s">
        <v>211</v>
      </c>
      <c r="B23" s="404"/>
    </row>
    <row r="24" spans="1:48">
      <c r="A24" s="405" t="s">
        <v>212</v>
      </c>
      <c r="B24" s="420">
        <f>SUM(C25:AV25)</f>
        <v>-946.76670000000252</v>
      </c>
    </row>
    <row r="25" spans="1:48">
      <c r="A25" s="405" t="s">
        <v>213</v>
      </c>
      <c r="B25" s="25"/>
      <c r="C25" s="420">
        <f>C17-C26</f>
        <v>300.00000000000006</v>
      </c>
      <c r="D25" s="420">
        <f t="shared" ref="D25:O25" si="27">D17-D26</f>
        <v>0</v>
      </c>
      <c r="E25" s="420">
        <f t="shared" si="27"/>
        <v>45.437300000000064</v>
      </c>
      <c r="F25" s="420">
        <f t="shared" si="27"/>
        <v>13.002999999999986</v>
      </c>
      <c r="G25" s="420">
        <f t="shared" si="27"/>
        <v>12.874999999999957</v>
      </c>
      <c r="H25" s="420">
        <f t="shared" si="27"/>
        <v>-65.969999999999814</v>
      </c>
      <c r="I25" s="420">
        <f t="shared" si="27"/>
        <v>-169.06890000000004</v>
      </c>
      <c r="J25" s="420">
        <f t="shared" si="27"/>
        <v>17.766599999999919</v>
      </c>
      <c r="K25" s="420">
        <f t="shared" si="27"/>
        <v>-38.483299999999844</v>
      </c>
      <c r="L25" s="420">
        <f t="shared" si="27"/>
        <v>-108.3561999999998</v>
      </c>
      <c r="M25" s="420">
        <f t="shared" si="27"/>
        <v>-13.035099999999744</v>
      </c>
      <c r="N25" s="420">
        <f t="shared" si="27"/>
        <v>-32.278000000000091</v>
      </c>
      <c r="O25" s="420">
        <f t="shared" si="27"/>
        <v>-81.709099999999694</v>
      </c>
      <c r="P25" s="420">
        <f>P17-P26</f>
        <v>-68.493799999999638</v>
      </c>
      <c r="Q25" s="420">
        <f t="shared" ref="Q25" si="28">Q17-Q26</f>
        <v>2.0136999999999574</v>
      </c>
      <c r="R25" s="420">
        <f t="shared" ref="R25" si="29">R17-R26</f>
        <v>79.434900000000368</v>
      </c>
      <c r="S25" s="420">
        <f t="shared" ref="S25" si="30">S17-S26</f>
        <v>-23.93479999999996</v>
      </c>
      <c r="T25" s="420">
        <f t="shared" ref="T25" si="31">T17-T26</f>
        <v>-37.478500000000153</v>
      </c>
      <c r="U25" s="420">
        <f t="shared" ref="U25" si="32">U17-U26</f>
        <v>-6.6811000000001215</v>
      </c>
      <c r="V25" s="420">
        <f t="shared" ref="V25" si="33">V17-V26</f>
        <v>-5.3554000000000883</v>
      </c>
      <c r="W25" s="420">
        <f t="shared" ref="W25" si="34">W17-W26</f>
        <v>-5.7397000000000986</v>
      </c>
      <c r="X25" s="420">
        <f t="shared" ref="X25" si="35">X17-X26</f>
        <v>-4.2667000000001707</v>
      </c>
      <c r="Y25" s="420">
        <f t="shared" ref="Y25" si="36">Y17-Y26</f>
        <v>-52.771600000000156</v>
      </c>
      <c r="Z25" s="420">
        <f t="shared" ref="Z25" si="37">Z17-Z26</f>
        <v>-220.17959999999999</v>
      </c>
      <c r="AA25" s="420">
        <f t="shared" ref="AA25" si="38">AA17-AA26</f>
        <v>-120.19410000000002</v>
      </c>
      <c r="AB25" s="420">
        <f>AB17-AB26</f>
        <v>-119.91699999999994</v>
      </c>
      <c r="AC25" s="420">
        <f t="shared" ref="AC25" si="39">AC17-AC26</f>
        <v>-424.2679</v>
      </c>
      <c r="AD25" s="420">
        <f t="shared" ref="AD25" si="40">AD17-AD26</f>
        <v>18.53309999999988</v>
      </c>
      <c r="AE25" s="420">
        <f t="shared" ref="AE25" si="41">AE17-AE26</f>
        <v>181.30699999999968</v>
      </c>
      <c r="AF25" s="420">
        <f t="shared" ref="AF25" si="42">AF17-AF26</f>
        <v>176.69819999999947</v>
      </c>
      <c r="AG25" s="420">
        <f t="shared" ref="AG25" si="43">AG17-AG26</f>
        <v>97.991299999999967</v>
      </c>
      <c r="AH25" s="420">
        <f t="shared" ref="AH25" si="44">AH17-AH26</f>
        <v>-91.63360000000057</v>
      </c>
      <c r="AI25" s="420">
        <f t="shared" ref="AI25" si="45">AI17-AI26</f>
        <v>80.533999999999722</v>
      </c>
      <c r="AJ25" s="420">
        <f t="shared" ref="AJ25" si="46">AJ17-AJ26</f>
        <v>-61.408800000000298</v>
      </c>
      <c r="AK25" s="420">
        <f t="shared" ref="AK25" si="47">AK17-AK26</f>
        <v>-56.260300000000058</v>
      </c>
      <c r="AL25" s="420">
        <f t="shared" ref="AL25" si="48">AL17-AL26</f>
        <v>-10.071999999999974</v>
      </c>
      <c r="AM25" s="420">
        <f t="shared" ref="AM25" si="49">AM17-AM26</f>
        <v>-39.456199999999953</v>
      </c>
      <c r="AN25" s="420">
        <f t="shared" ref="AN25" si="50">AN17-AN26</f>
        <v>-14.973700000000349</v>
      </c>
      <c r="AO25" s="420">
        <f>AO17-AO26</f>
        <v>8.9738999999999862</v>
      </c>
      <c r="AP25" s="420">
        <f t="shared" ref="AP25" si="51">AP17-AP26</f>
        <v>3.5441999999996341</v>
      </c>
      <c r="AQ25" s="420">
        <f t="shared" ref="AQ25" si="52">AQ17-AQ26</f>
        <v>112.86679999999988</v>
      </c>
      <c r="AR25" s="420">
        <f t="shared" ref="AR25" si="53">AR17-AR26</f>
        <v>-59.569100000000319</v>
      </c>
      <c r="AS25" s="420">
        <f t="shared" ref="AS25" si="54">AS17-AS26</f>
        <v>-74.53589999999997</v>
      </c>
      <c r="AT25" s="420">
        <f t="shared" ref="AT25" si="55">AT17-AT26</f>
        <v>-35.764300000000091</v>
      </c>
      <c r="AU25" s="420">
        <f t="shared" ref="AU25" si="56">AU17-AU26</f>
        <v>-31.586200000000019</v>
      </c>
      <c r="AV25" s="420">
        <f t="shared" ref="AV25" si="57">AV17-AV26</f>
        <v>-24.304800000000029</v>
      </c>
    </row>
    <row r="26" spans="1:48">
      <c r="A26" s="25" t="s">
        <v>214</v>
      </c>
      <c r="B26" s="406"/>
      <c r="C26" s="16" cm="1">
        <f t="array" ref="C26:AV26">TRANSPOSE('OSeMOSYS (Input)'!AN85:AN130)-TRANSPOSE('OSeMOSYS (Input)'!AN21:AN66)</f>
        <v>0</v>
      </c>
      <c r="D26">
        <v>0</v>
      </c>
      <c r="E26">
        <v>-4.6152000000000033</v>
      </c>
      <c r="F26">
        <v>-4.5099000000000018</v>
      </c>
      <c r="G26">
        <v>-3.5913000000000004</v>
      </c>
      <c r="H26">
        <v>2.6294000000000004</v>
      </c>
      <c r="I26">
        <v>1.9558999999999997</v>
      </c>
      <c r="J26">
        <v>2.4692999999999969</v>
      </c>
      <c r="K26">
        <v>9.7174999999999976</v>
      </c>
      <c r="L26">
        <v>3.7867999999999995</v>
      </c>
      <c r="M26">
        <v>6.1791</v>
      </c>
      <c r="N26">
        <v>3.7812000000000001</v>
      </c>
      <c r="O26">
        <v>5.2467000000000006</v>
      </c>
      <c r="P26">
        <v>5.8192000000000004</v>
      </c>
      <c r="Q26">
        <v>7.9206000000000003</v>
      </c>
      <c r="R26">
        <v>5.5284999999999993</v>
      </c>
      <c r="S26">
        <v>6.677999999999999</v>
      </c>
      <c r="T26">
        <v>8.8512000000000004</v>
      </c>
      <c r="U26">
        <v>7.9744000000000002</v>
      </c>
      <c r="V26">
        <v>7.9916000000000009</v>
      </c>
      <c r="W26">
        <v>8.8247</v>
      </c>
      <c r="X26">
        <v>8.4078000000000017</v>
      </c>
      <c r="Y26">
        <v>6.9455999999999998</v>
      </c>
      <c r="Z26">
        <v>12.445799999999998</v>
      </c>
      <c r="AA26">
        <v>14.672999999999998</v>
      </c>
      <c r="AB26">
        <v>25.627099999999999</v>
      </c>
      <c r="AC26">
        <v>21.354499999999998</v>
      </c>
      <c r="AD26">
        <v>22.675999999999998</v>
      </c>
      <c r="AE26">
        <v>26.034700000000001</v>
      </c>
      <c r="AF26">
        <v>30.4391</v>
      </c>
      <c r="AG26">
        <v>34.941099999999999</v>
      </c>
      <c r="AH26">
        <v>43.381500000000003</v>
      </c>
      <c r="AI26">
        <v>52.601500000000001</v>
      </c>
      <c r="AJ26">
        <v>59.559799999999996</v>
      </c>
      <c r="AK26">
        <v>67.494500000000002</v>
      </c>
      <c r="AL26">
        <v>76.245000000000005</v>
      </c>
      <c r="AM26">
        <v>84.471299999999999</v>
      </c>
      <c r="AN26">
        <v>93.600799999999992</v>
      </c>
      <c r="AO26">
        <v>103.1902</v>
      </c>
      <c r="AP26">
        <v>111.27380000000001</v>
      </c>
      <c r="AQ26">
        <v>116.1024</v>
      </c>
      <c r="AR26">
        <v>121.4919</v>
      </c>
      <c r="AS26">
        <v>129.0093</v>
      </c>
      <c r="AT26">
        <v>135.4324</v>
      </c>
      <c r="AU26">
        <v>143.98820000000001</v>
      </c>
      <c r="AV26">
        <v>152.54410000000001</v>
      </c>
    </row>
    <row r="27" spans="1:48">
      <c r="A27" s="25"/>
      <c r="B27" s="406"/>
    </row>
    <row r="28" spans="1:48" ht="18">
      <c r="A28" s="410" t="s">
        <v>215</v>
      </c>
      <c r="B28" s="421"/>
    </row>
    <row r="29" spans="1:48">
      <c r="A29" s="405" t="s">
        <v>216</v>
      </c>
      <c r="B29" s="420">
        <f>SUM(C30:AB30)</f>
        <v>-981.40208799999903</v>
      </c>
      <c r="E29" s="416"/>
    </row>
    <row r="30" spans="1:48">
      <c r="A30" s="405" t="s">
        <v>217</v>
      </c>
      <c r="B30" s="421"/>
      <c r="C30" s="419">
        <f>C25-C31</f>
        <v>300.00000000000006</v>
      </c>
      <c r="D30" s="419">
        <f t="shared" ref="D30:F30" si="58">D25-D31</f>
        <v>0</v>
      </c>
      <c r="E30" s="419">
        <f t="shared" si="58"/>
        <v>48.662360000000064</v>
      </c>
      <c r="F30" s="419">
        <f t="shared" si="58"/>
        <v>16.229049999999987</v>
      </c>
      <c r="G30" s="419">
        <f t="shared" ref="G30" si="59">G25-G31</f>
        <v>15.499139999999958</v>
      </c>
      <c r="H30" s="419">
        <f t="shared" ref="H30:I30" si="60">H25-H31</f>
        <v>-67.92749999999981</v>
      </c>
      <c r="I30" s="419">
        <f t="shared" si="60"/>
        <v>-170.33428500000005</v>
      </c>
      <c r="J30" s="419">
        <f t="shared" ref="J30" si="61">J25-J31</f>
        <v>16.17487699999992</v>
      </c>
      <c r="K30" s="419">
        <f t="shared" ref="K30:L30" si="62">K25-K31</f>
        <v>-50.542371999999844</v>
      </c>
      <c r="L30" s="419">
        <f t="shared" si="62"/>
        <v>-110.7992039999998</v>
      </c>
      <c r="M30" s="419">
        <f t="shared" ref="M30" si="63">M25-M31</f>
        <v>-16.664938999999745</v>
      </c>
      <c r="N30" s="419">
        <f t="shared" ref="N30" si="64">N25-N31</f>
        <v>-34.275043000000089</v>
      </c>
      <c r="O30" s="419">
        <f t="shared" ref="O30" si="65">O25-O31</f>
        <v>-87.9315399999997</v>
      </c>
      <c r="P30" s="419">
        <f t="shared" ref="P30" si="66">P25-P31</f>
        <v>-76.890256999999636</v>
      </c>
      <c r="Q30" s="419">
        <f t="shared" ref="Q30" si="67">Q25-Q31</f>
        <v>-7.7357320000000414</v>
      </c>
      <c r="R30" s="419">
        <f t="shared" ref="R30" si="68">R25-R31</f>
        <v>70.834158000000372</v>
      </c>
      <c r="S30" s="419">
        <f t="shared" ref="S30" si="69">S25-S31</f>
        <v>-33.399839999999962</v>
      </c>
      <c r="T30" s="419">
        <f t="shared" ref="T30" si="70">T25-T31</f>
        <v>-48.42931000000015</v>
      </c>
      <c r="U30" s="419">
        <f t="shared" ref="U30" si="71">U25-U31</f>
        <v>-17.338124000000121</v>
      </c>
      <c r="V30" s="419">
        <f t="shared" ref="V30" si="72">V25-V31</f>
        <v>-16.23134200000009</v>
      </c>
      <c r="W30" s="419">
        <f t="shared" ref="W30" si="73">W25-W31</f>
        <v>-17.311260000000097</v>
      </c>
      <c r="X30" s="419">
        <f t="shared" ref="X30" si="74">X25-X31</f>
        <v>-15.798139000000171</v>
      </c>
      <c r="Y30" s="419">
        <f t="shared" ref="Y30" si="75">Y25-Y31</f>
        <v>-63.599172000000152</v>
      </c>
      <c r="Z30" s="419">
        <f t="shared" ref="Z30" si="76">Z25-Z31</f>
        <v>-252.19443999999999</v>
      </c>
      <c r="AA30" s="419">
        <f t="shared" ref="AA30" si="77">AA25-AA31</f>
        <v>-161.75452600000003</v>
      </c>
      <c r="AB30" s="419">
        <f t="shared" ref="AB30" si="78">AB25-AB31</f>
        <v>-199.64464799999996</v>
      </c>
      <c r="AC30" s="419">
        <f t="shared" ref="AC30" si="79">AC25-AC31</f>
        <v>-505.52382999999998</v>
      </c>
      <c r="AD30" s="419">
        <f t="shared" ref="AD30" si="80">AD25-AD31</f>
        <v>-67.853060000000113</v>
      </c>
      <c r="AE30" s="419">
        <f t="shared" ref="AE30" si="81">AE25-AE31</f>
        <v>88.30530399999968</v>
      </c>
      <c r="AF30" s="419">
        <f t="shared" ref="AF30" si="82">AF25-AF31</f>
        <v>76.158012999999457</v>
      </c>
      <c r="AG30" s="419">
        <f t="shared" ref="AG30" si="83">AG25-AG31</f>
        <v>-10.450190000000035</v>
      </c>
      <c r="AH30" s="419">
        <f t="shared" ref="AH30" si="84">AH25-AH31</f>
        <v>-211.67422500000055</v>
      </c>
      <c r="AI30" s="419">
        <f t="shared" ref="AI30" si="85">AI25-AI31</f>
        <v>-52.396720000000258</v>
      </c>
      <c r="AJ30" s="419">
        <f t="shared" ref="AJ30" si="86">AJ25-AJ31</f>
        <v>-208.14291200000028</v>
      </c>
      <c r="AK30" s="419">
        <f t="shared" ref="AK30" si="87">AK25-AK31</f>
        <v>-218.81133200000008</v>
      </c>
      <c r="AL30" s="419">
        <f t="shared" ref="AL30" si="88">AL25-AL31</f>
        <v>-188.40675999999996</v>
      </c>
      <c r="AM30" s="419">
        <f t="shared" ref="AM30" si="89">AM25-AM31</f>
        <v>-232.79161699999997</v>
      </c>
      <c r="AN30" s="419">
        <f t="shared" ref="AN30" si="90">AN25-AN31</f>
        <v>-225.78292600000037</v>
      </c>
      <c r="AO30" s="419">
        <f t="shared" ref="AO30" si="91">AO25-AO31</f>
        <v>-221.00592000000003</v>
      </c>
      <c r="AP30" s="419">
        <f t="shared" ref="AP30" si="92">AP25-AP31</f>
        <v>-242.97870600000039</v>
      </c>
      <c r="AQ30" s="419">
        <f t="shared" ref="AQ30" si="93">AQ25-AQ31</f>
        <v>-144.71638300000012</v>
      </c>
      <c r="AR30" s="419">
        <f t="shared" ref="AR30" si="94">AR25-AR31</f>
        <v>-329.75363000000033</v>
      </c>
      <c r="AS30" s="419">
        <f t="shared" ref="AS30" si="95">AS25-AS31</f>
        <v>-362.64025499999997</v>
      </c>
      <c r="AT30" s="419">
        <f t="shared" ref="AT30" si="96">AT25-AT31</f>
        <v>-339.98693500000013</v>
      </c>
      <c r="AU30" s="419">
        <f t="shared" ref="AU30:AV30" si="97">AU25-AU31</f>
        <v>-356.63887600000004</v>
      </c>
      <c r="AV30" s="419">
        <f t="shared" si="97"/>
        <v>-370.97378400000002</v>
      </c>
    </row>
    <row r="31" spans="1:48">
      <c r="A31" s="25" t="s">
        <v>218</v>
      </c>
      <c r="B31" s="406"/>
      <c r="C31" s="416" cm="1">
        <f t="array" ref="C31:AV31">(TRANSPOSE('OSeMOSYS (Input)'!S139:S184)-TRANSPOSE('OSeMOSYS (Input)'!R139:R184))*C32:AV32</f>
        <v>0</v>
      </c>
      <c r="D31">
        <v>0</v>
      </c>
      <c r="E31">
        <v>-3.2250599999999991</v>
      </c>
      <c r="F31">
        <v>-3.2260500000000008</v>
      </c>
      <c r="G31">
        <v>-2.6241399999999997</v>
      </c>
      <c r="H31">
        <v>1.9575000000000009</v>
      </c>
      <c r="I31">
        <v>1.2653850000000011</v>
      </c>
      <c r="J31">
        <v>1.5917229999999987</v>
      </c>
      <c r="K31">
        <v>12.059071999999999</v>
      </c>
      <c r="L31">
        <v>2.4430039999999997</v>
      </c>
      <c r="M31">
        <v>3.6298390000000005</v>
      </c>
      <c r="N31">
        <v>1.9970429999999988</v>
      </c>
      <c r="O31">
        <v>6.2224400000000006</v>
      </c>
      <c r="P31">
        <v>8.3964569999999963</v>
      </c>
      <c r="Q31">
        <v>9.7494319999999988</v>
      </c>
      <c r="R31">
        <v>8.6007419999999986</v>
      </c>
      <c r="S31">
        <v>9.4650400000000001</v>
      </c>
      <c r="T31">
        <v>10.950809999999995</v>
      </c>
      <c r="U31">
        <v>10.657024</v>
      </c>
      <c r="V31">
        <v>10.875942000000002</v>
      </c>
      <c r="W31">
        <v>11.571559999999998</v>
      </c>
      <c r="X31">
        <v>11.531439000000001</v>
      </c>
      <c r="Y31">
        <v>10.827571999999998</v>
      </c>
      <c r="Z31">
        <v>32.01484</v>
      </c>
      <c r="AA31">
        <v>41.560426</v>
      </c>
      <c r="AB31">
        <v>79.727648000000002</v>
      </c>
      <c r="AC31">
        <v>81.255930000000006</v>
      </c>
      <c r="AD31">
        <v>86.38615999999999</v>
      </c>
      <c r="AE31">
        <v>93.001695999999995</v>
      </c>
      <c r="AF31">
        <v>100.54018700000002</v>
      </c>
      <c r="AG31">
        <v>108.44149</v>
      </c>
      <c r="AH31">
        <v>120.04062499999999</v>
      </c>
      <c r="AI31">
        <v>132.93071999999998</v>
      </c>
      <c r="AJ31">
        <v>146.73411199999998</v>
      </c>
      <c r="AK31">
        <v>162.55103200000002</v>
      </c>
      <c r="AL31">
        <v>178.33475999999999</v>
      </c>
      <c r="AM31">
        <v>193.33541700000001</v>
      </c>
      <c r="AN31">
        <v>210.80922600000002</v>
      </c>
      <c r="AO31">
        <v>229.97982000000002</v>
      </c>
      <c r="AP31">
        <v>246.52290600000001</v>
      </c>
      <c r="AQ31">
        <v>257.58318300000002</v>
      </c>
      <c r="AR31">
        <v>270.18453</v>
      </c>
      <c r="AS31">
        <v>288.104355</v>
      </c>
      <c r="AT31">
        <v>304.22263500000003</v>
      </c>
      <c r="AU31">
        <v>325.05267600000002</v>
      </c>
      <c r="AV31">
        <v>346.66898399999997</v>
      </c>
    </row>
    <row r="32" spans="1:48">
      <c r="A32" s="407" t="s">
        <v>219</v>
      </c>
      <c r="B32" s="406"/>
      <c r="C32" s="445">
        <v>67.06</v>
      </c>
      <c r="D32" s="445">
        <v>68.569999999999993</v>
      </c>
      <c r="E32" s="445">
        <v>70.11</v>
      </c>
      <c r="F32" s="445">
        <v>71.69</v>
      </c>
      <c r="G32" s="445">
        <v>73.3</v>
      </c>
      <c r="H32" s="445">
        <v>75</v>
      </c>
      <c r="I32" s="445">
        <v>76.69</v>
      </c>
      <c r="J32" s="445">
        <v>78.41</v>
      </c>
      <c r="K32" s="445">
        <v>80.180000000000007</v>
      </c>
      <c r="L32" s="445">
        <v>81.98</v>
      </c>
      <c r="M32" s="445">
        <v>83.83</v>
      </c>
      <c r="N32" s="445">
        <v>85.71</v>
      </c>
      <c r="O32" s="445">
        <v>87.64</v>
      </c>
      <c r="P32" s="445">
        <v>89.61</v>
      </c>
      <c r="Q32" s="445">
        <v>91.63</v>
      </c>
      <c r="R32" s="445">
        <v>93.69</v>
      </c>
      <c r="S32" s="445">
        <v>95.8</v>
      </c>
      <c r="T32" s="445">
        <v>97.95</v>
      </c>
      <c r="U32" s="445">
        <v>100.16</v>
      </c>
      <c r="V32" s="445">
        <v>102.41</v>
      </c>
      <c r="W32" s="445">
        <v>104.72</v>
      </c>
      <c r="X32" s="445">
        <v>107.07</v>
      </c>
      <c r="Y32" s="445">
        <v>109.48</v>
      </c>
      <c r="Z32" s="445">
        <v>111.94</v>
      </c>
      <c r="AA32" s="445">
        <v>114.46</v>
      </c>
      <c r="AB32" s="445">
        <v>117.04</v>
      </c>
      <c r="AC32" s="445">
        <v>119.67</v>
      </c>
      <c r="AD32" s="445">
        <v>122.36</v>
      </c>
      <c r="AE32" s="445">
        <v>125.12</v>
      </c>
      <c r="AF32" s="445">
        <v>127.93</v>
      </c>
      <c r="AG32" s="445">
        <v>130.81</v>
      </c>
      <c r="AH32" s="445">
        <v>133.75</v>
      </c>
      <c r="AI32" s="445">
        <v>136.76</v>
      </c>
      <c r="AJ32" s="445">
        <v>139.84</v>
      </c>
      <c r="AK32" s="445">
        <v>142.99</v>
      </c>
      <c r="AL32" s="445">
        <v>146.19999999999999</v>
      </c>
      <c r="AM32" s="445">
        <v>149.49</v>
      </c>
      <c r="AN32" s="445">
        <v>152.86000000000001</v>
      </c>
      <c r="AO32" s="445">
        <v>156.30000000000001</v>
      </c>
      <c r="AP32" s="445">
        <v>159.81</v>
      </c>
      <c r="AQ32" s="445">
        <v>163.41</v>
      </c>
      <c r="AR32" s="445">
        <v>167.09</v>
      </c>
      <c r="AS32" s="445">
        <v>170.85</v>
      </c>
      <c r="AT32" s="445">
        <v>174.69</v>
      </c>
      <c r="AU32" s="445">
        <v>178.62</v>
      </c>
      <c r="AV32" s="445">
        <v>182.64</v>
      </c>
    </row>
    <row r="35" spans="1:48" ht="23.25">
      <c r="A35" s="633" t="s">
        <v>220</v>
      </c>
      <c r="B35" s="633"/>
      <c r="C35" s="633"/>
      <c r="D35" s="633"/>
      <c r="E35" s="633"/>
      <c r="F35" s="633"/>
      <c r="G35" s="633"/>
      <c r="H35" s="633"/>
      <c r="I35" s="633"/>
      <c r="J35" s="633"/>
      <c r="K35" s="633"/>
      <c r="L35" s="633"/>
      <c r="M35" s="633"/>
      <c r="N35" s="633"/>
      <c r="O35" s="633"/>
      <c r="P35" s="633"/>
      <c r="Q35" s="633"/>
      <c r="R35" s="633"/>
      <c r="S35" s="633"/>
      <c r="T35" s="633"/>
      <c r="U35" s="633"/>
      <c r="V35" s="633"/>
      <c r="W35" s="633"/>
      <c r="X35" s="633"/>
      <c r="Y35" s="633"/>
      <c r="Z35" s="633"/>
      <c r="AA35" s="633"/>
      <c r="AB35" s="633"/>
      <c r="AC35" s="633"/>
      <c r="AD35" s="633"/>
      <c r="AE35" s="633"/>
      <c r="AF35" s="633"/>
      <c r="AG35" s="633"/>
      <c r="AH35" s="633"/>
      <c r="AI35" s="633"/>
      <c r="AJ35" s="633"/>
      <c r="AK35" s="633"/>
      <c r="AL35" s="633"/>
      <c r="AM35" s="633"/>
      <c r="AN35" s="633"/>
      <c r="AO35" s="633"/>
      <c r="AP35" s="633"/>
      <c r="AQ35" s="633"/>
      <c r="AR35" s="633"/>
      <c r="AS35" s="633"/>
      <c r="AT35" s="633"/>
      <c r="AU35" s="633"/>
      <c r="AV35" s="633"/>
    </row>
    <row r="36" spans="1:48" ht="18">
      <c r="A36" s="413" t="s">
        <v>221</v>
      </c>
      <c r="B36" s="417">
        <f>SUM(C36:AV36)</f>
        <v>5107.466832000001</v>
      </c>
      <c r="C36" s="417">
        <f>C50</f>
        <v>-300.00000000000006</v>
      </c>
      <c r="D36" s="417">
        <f t="shared" ref="D36:AV36" si="98">D50</f>
        <v>0</v>
      </c>
      <c r="E36" s="417">
        <f t="shared" si="98"/>
        <v>-48.662360000000064</v>
      </c>
      <c r="F36" s="417">
        <f t="shared" si="98"/>
        <v>-16.229049999999987</v>
      </c>
      <c r="G36" s="417">
        <f t="shared" si="98"/>
        <v>-15.499139999999958</v>
      </c>
      <c r="H36" s="417">
        <f t="shared" si="98"/>
        <v>67.92749999999981</v>
      </c>
      <c r="I36" s="417">
        <f t="shared" si="98"/>
        <v>170.33428500000005</v>
      </c>
      <c r="J36" s="417">
        <f t="shared" si="98"/>
        <v>-16.17487699999992</v>
      </c>
      <c r="K36" s="417">
        <f t="shared" si="98"/>
        <v>50.542371999999844</v>
      </c>
      <c r="L36" s="417">
        <f t="shared" si="98"/>
        <v>110.7992039999998</v>
      </c>
      <c r="M36" s="417">
        <f t="shared" si="98"/>
        <v>16.664938999999745</v>
      </c>
      <c r="N36" s="417">
        <f t="shared" si="98"/>
        <v>34.275043000000089</v>
      </c>
      <c r="O36" s="417">
        <f t="shared" si="98"/>
        <v>87.9315399999997</v>
      </c>
      <c r="P36" s="417">
        <f t="shared" si="98"/>
        <v>76.890256999999636</v>
      </c>
      <c r="Q36" s="417">
        <f t="shared" si="98"/>
        <v>7.7357320000000414</v>
      </c>
      <c r="R36" s="417">
        <f t="shared" si="98"/>
        <v>-70.834158000000372</v>
      </c>
      <c r="S36" s="417">
        <f t="shared" si="98"/>
        <v>33.399839999999962</v>
      </c>
      <c r="T36" s="417">
        <f t="shared" si="98"/>
        <v>48.42931000000015</v>
      </c>
      <c r="U36" s="417">
        <f t="shared" si="98"/>
        <v>17.338124000000121</v>
      </c>
      <c r="V36" s="417">
        <f t="shared" si="98"/>
        <v>16.23134200000009</v>
      </c>
      <c r="W36" s="417">
        <f t="shared" si="98"/>
        <v>17.311260000000097</v>
      </c>
      <c r="X36" s="417">
        <f t="shared" si="98"/>
        <v>15.798139000000171</v>
      </c>
      <c r="Y36" s="417">
        <f t="shared" si="98"/>
        <v>63.599172000000152</v>
      </c>
      <c r="Z36" s="417">
        <f t="shared" si="98"/>
        <v>252.19443999999999</v>
      </c>
      <c r="AA36" s="417">
        <f t="shared" si="98"/>
        <v>161.75452600000003</v>
      </c>
      <c r="AB36" s="417">
        <f t="shared" si="98"/>
        <v>199.64464799999996</v>
      </c>
      <c r="AC36" s="417">
        <f t="shared" si="98"/>
        <v>505.52382999999998</v>
      </c>
      <c r="AD36" s="417">
        <f t="shared" si="98"/>
        <v>67.853060000000113</v>
      </c>
      <c r="AE36" s="417">
        <f t="shared" si="98"/>
        <v>-88.30530399999968</v>
      </c>
      <c r="AF36" s="417">
        <f t="shared" si="98"/>
        <v>-76.158012999999457</v>
      </c>
      <c r="AG36" s="417">
        <f t="shared" si="98"/>
        <v>10.450190000000035</v>
      </c>
      <c r="AH36" s="417">
        <f t="shared" si="98"/>
        <v>211.67422500000055</v>
      </c>
      <c r="AI36" s="417">
        <f t="shared" si="98"/>
        <v>52.396720000000258</v>
      </c>
      <c r="AJ36" s="417">
        <f t="shared" si="98"/>
        <v>208.14291200000028</v>
      </c>
      <c r="AK36" s="417">
        <f t="shared" si="98"/>
        <v>218.81133200000008</v>
      </c>
      <c r="AL36" s="417">
        <f t="shared" si="98"/>
        <v>188.40675999999996</v>
      </c>
      <c r="AM36" s="417">
        <f t="shared" si="98"/>
        <v>232.79161699999997</v>
      </c>
      <c r="AN36" s="417">
        <f t="shared" si="98"/>
        <v>225.78292600000037</v>
      </c>
      <c r="AO36" s="417">
        <f t="shared" si="98"/>
        <v>221.00592000000003</v>
      </c>
      <c r="AP36" s="417">
        <f t="shared" si="98"/>
        <v>242.97870600000039</v>
      </c>
      <c r="AQ36" s="417">
        <f t="shared" si="98"/>
        <v>144.71638300000012</v>
      </c>
      <c r="AR36" s="417">
        <f t="shared" si="98"/>
        <v>329.75363000000033</v>
      </c>
      <c r="AS36" s="417">
        <f t="shared" si="98"/>
        <v>362.64025499999997</v>
      </c>
      <c r="AT36" s="417">
        <f t="shared" si="98"/>
        <v>339.98693500000013</v>
      </c>
      <c r="AU36" s="417">
        <f t="shared" si="98"/>
        <v>356.63887600000004</v>
      </c>
      <c r="AV36" s="417">
        <f t="shared" si="98"/>
        <v>370.97378400000002</v>
      </c>
    </row>
    <row r="37" spans="1:48" ht="18">
      <c r="A37" s="413" t="s">
        <v>222</v>
      </c>
      <c r="B37" s="417">
        <f t="shared" ref="B37:B38" si="99">SUM(C37:AV37)</f>
        <v>1273.4388483892708</v>
      </c>
      <c r="C37" s="417">
        <f t="shared" ref="C37:AV37" si="100">C36/(1+$B$4)^(C$9-$C$9+1)</f>
        <v>-288.46153846153851</v>
      </c>
      <c r="D37" s="417">
        <f t="shared" si="100"/>
        <v>0</v>
      </c>
      <c r="E37" s="417">
        <f t="shared" si="100"/>
        <v>-43.260660844333238</v>
      </c>
      <c r="F37" s="417">
        <f t="shared" si="100"/>
        <v>-13.872659956430958</v>
      </c>
      <c r="G37" s="417">
        <f t="shared" si="100"/>
        <v>-12.739163297458102</v>
      </c>
      <c r="H37" s="417">
        <f t="shared" si="100"/>
        <v>53.684089946534321</v>
      </c>
      <c r="I37" s="417">
        <f t="shared" si="100"/>
        <v>129.44005737053703</v>
      </c>
      <c r="J37" s="417">
        <f t="shared" si="100"/>
        <v>-11.818824191011814</v>
      </c>
      <c r="K37" s="417">
        <f t="shared" si="100"/>
        <v>35.510400151890778</v>
      </c>
      <c r="L37" s="417">
        <f t="shared" si="100"/>
        <v>74.851972156819969</v>
      </c>
      <c r="M37" s="417">
        <f t="shared" si="100"/>
        <v>10.825226600064868</v>
      </c>
      <c r="N37" s="417">
        <f t="shared" si="100"/>
        <v>21.408090732029919</v>
      </c>
      <c r="O37" s="417">
        <f t="shared" si="100"/>
        <v>52.809404277914702</v>
      </c>
      <c r="P37" s="417">
        <f t="shared" si="100"/>
        <v>44.402207529264722</v>
      </c>
      <c r="Q37" s="417">
        <f t="shared" si="100"/>
        <v>4.2953773821031893</v>
      </c>
      <c r="R37" s="417">
        <f t="shared" si="100"/>
        <v>-37.818936074022822</v>
      </c>
      <c r="S37" s="417">
        <f t="shared" si="100"/>
        <v>17.146584271729772</v>
      </c>
      <c r="T37" s="417">
        <f t="shared" si="100"/>
        <v>23.906069297174682</v>
      </c>
      <c r="U37" s="417">
        <f t="shared" si="100"/>
        <v>8.2294092038281619</v>
      </c>
      <c r="V37" s="417">
        <f t="shared" si="100"/>
        <v>7.4077726081288136</v>
      </c>
      <c r="W37" s="417">
        <f t="shared" si="100"/>
        <v>7.5967625829775205</v>
      </c>
      <c r="X37" s="417">
        <f t="shared" si="100"/>
        <v>6.6661098501050393</v>
      </c>
      <c r="Y37" s="417">
        <f t="shared" si="100"/>
        <v>25.803858857613708</v>
      </c>
      <c r="Z37" s="417">
        <f t="shared" si="100"/>
        <v>98.386466754190309</v>
      </c>
      <c r="AA37" s="417">
        <f t="shared" si="100"/>
        <v>60.676840543225651</v>
      </c>
      <c r="AB37" s="417">
        <f t="shared" si="100"/>
        <v>72.009674946998274</v>
      </c>
      <c r="AC37" s="417">
        <f t="shared" si="100"/>
        <v>175.32404084021488</v>
      </c>
      <c r="AD37" s="417">
        <f t="shared" si="100"/>
        <v>22.627466867413641</v>
      </c>
      <c r="AE37" s="417">
        <f t="shared" si="100"/>
        <v>-28.315220652438555</v>
      </c>
      <c r="AF37" s="417">
        <f t="shared" si="100"/>
        <v>-23.480937123662262</v>
      </c>
      <c r="AG37" s="417">
        <f t="shared" si="100"/>
        <v>3.0980660200665073</v>
      </c>
      <c r="AH37" s="417">
        <f t="shared" si="100"/>
        <v>60.339418543182532</v>
      </c>
      <c r="AI37" s="417">
        <f t="shared" si="100"/>
        <v>14.361635643576779</v>
      </c>
      <c r="AJ37" s="417">
        <f t="shared" si="100"/>
        <v>54.856499383950236</v>
      </c>
      <c r="AK37" s="417">
        <f t="shared" si="100"/>
        <v>55.450176699245468</v>
      </c>
      <c r="AL37" s="417">
        <f t="shared" si="100"/>
        <v>45.908834397695806</v>
      </c>
      <c r="AM37" s="417">
        <f t="shared" si="100"/>
        <v>54.542342088962741</v>
      </c>
      <c r="AN37" s="417">
        <f t="shared" si="100"/>
        <v>50.865603730295476</v>
      </c>
      <c r="AO37" s="417">
        <f t="shared" si="100"/>
        <v>47.874436419320567</v>
      </c>
      <c r="AP37" s="417">
        <f t="shared" si="100"/>
        <v>50.609802546177697</v>
      </c>
      <c r="AQ37" s="417">
        <f t="shared" si="100"/>
        <v>28.983497271294524</v>
      </c>
      <c r="AR37" s="417">
        <f t="shared" si="100"/>
        <v>63.502282328806402</v>
      </c>
      <c r="AS37" s="417">
        <f t="shared" si="100"/>
        <v>67.149444084151781</v>
      </c>
      <c r="AT37" s="417">
        <f t="shared" si="100"/>
        <v>60.533432254435482</v>
      </c>
      <c r="AU37" s="417">
        <f t="shared" si="100"/>
        <v>61.056009174983814</v>
      </c>
      <c r="AV37" s="417">
        <f t="shared" si="100"/>
        <v>61.067425633261749</v>
      </c>
    </row>
    <row r="38" spans="1:48" ht="18">
      <c r="A38" s="413" t="s">
        <v>223</v>
      </c>
      <c r="B38" s="417">
        <f t="shared" si="99"/>
        <v>-807.57032243342451</v>
      </c>
      <c r="C38" s="417">
        <f t="shared" ref="C38:AV38" si="101">(C17+(-C45-C51))/(1+$B$5)^(C$9-$C$9+1)</f>
        <v>284.81913984619774</v>
      </c>
      <c r="D38" s="417">
        <f t="shared" si="101"/>
        <v>0</v>
      </c>
      <c r="E38" s="417">
        <f t="shared" si="101"/>
        <v>41.642511535956444</v>
      </c>
      <c r="F38" s="417">
        <f t="shared" si="101"/>
        <v>13.185140486750257</v>
      </c>
      <c r="G38" s="417">
        <f t="shared" si="101"/>
        <v>11.954933928518267</v>
      </c>
      <c r="H38" s="417">
        <f t="shared" si="101"/>
        <v>-49.743131947739165</v>
      </c>
      <c r="I38" s="417">
        <f t="shared" si="101"/>
        <v>-118.42338821969456</v>
      </c>
      <c r="J38" s="417">
        <f t="shared" si="101"/>
        <v>10.676387135916471</v>
      </c>
      <c r="K38" s="417">
        <f t="shared" si="101"/>
        <v>-31.67282945094065</v>
      </c>
      <c r="L38" s="417">
        <f t="shared" si="101"/>
        <v>-65.919787472090178</v>
      </c>
      <c r="M38" s="417">
        <f t="shared" si="101"/>
        <v>-9.4130594654779163</v>
      </c>
      <c r="N38" s="417">
        <f t="shared" si="101"/>
        <v>-18.380317034841184</v>
      </c>
      <c r="O38" s="417">
        <f t="shared" si="101"/>
        <v>-44.767988875213234</v>
      </c>
      <c r="P38" s="417">
        <f t="shared" si="101"/>
        <v>-37.165684334865304</v>
      </c>
      <c r="Q38" s="417">
        <f t="shared" si="101"/>
        <v>-3.5499329692904578</v>
      </c>
      <c r="R38" s="417">
        <f t="shared" si="101"/>
        <v>30.860956961241996</v>
      </c>
      <c r="S38" s="417">
        <f t="shared" si="101"/>
        <v>-13.81525658216829</v>
      </c>
      <c r="T38" s="417">
        <f t="shared" si="101"/>
        <v>-19.018259375768192</v>
      </c>
      <c r="U38" s="417">
        <f t="shared" si="101"/>
        <v>-6.4641660673086045</v>
      </c>
      <c r="V38" s="417">
        <f t="shared" si="101"/>
        <v>-5.7453004482813377</v>
      </c>
      <c r="W38" s="417">
        <f t="shared" si="101"/>
        <v>-5.8174801656853408</v>
      </c>
      <c r="X38" s="417">
        <f t="shared" si="101"/>
        <v>-5.0403428489639577</v>
      </c>
      <c r="Y38" s="417">
        <f t="shared" si="101"/>
        <v>-19.264312974708758</v>
      </c>
      <c r="Z38" s="417">
        <f t="shared" si="101"/>
        <v>-72.524624222583768</v>
      </c>
      <c r="AA38" s="417">
        <f t="shared" si="101"/>
        <v>-44.162569787764234</v>
      </c>
      <c r="AB38" s="417">
        <f t="shared" si="101"/>
        <v>-51.749181307141562</v>
      </c>
      <c r="AC38" s="417">
        <f t="shared" si="101"/>
        <v>-124.40429078658441</v>
      </c>
      <c r="AD38" s="417">
        <f t="shared" si="101"/>
        <v>-15.852986172970891</v>
      </c>
      <c r="AE38" s="417">
        <f t="shared" si="101"/>
        <v>19.587379990174568</v>
      </c>
      <c r="AF38" s="417">
        <f t="shared" si="101"/>
        <v>16.038105981638896</v>
      </c>
      <c r="AG38" s="417">
        <f t="shared" si="101"/>
        <v>-2.0893422037566451</v>
      </c>
      <c r="AH38" s="417">
        <f t="shared" si="101"/>
        <v>-40.179199916892642</v>
      </c>
      <c r="AI38" s="417">
        <f t="shared" si="101"/>
        <v>-9.4424636837583193</v>
      </c>
      <c r="AJ38" s="417">
        <f t="shared" si="101"/>
        <v>-35.611540741046596</v>
      </c>
      <c r="AK38" s="417">
        <f t="shared" si="101"/>
        <v>-35.542409265689798</v>
      </c>
      <c r="AL38" s="417">
        <f t="shared" si="101"/>
        <v>-29.055038181275755</v>
      </c>
      <c r="AM38" s="417">
        <f t="shared" si="101"/>
        <v>-34.083188945414349</v>
      </c>
      <c r="AN38" s="417">
        <f t="shared" si="101"/>
        <v>-31.384260352281878</v>
      </c>
      <c r="AO38" s="417">
        <f t="shared" si="101"/>
        <v>-29.165714747529382</v>
      </c>
      <c r="AP38" s="417">
        <f t="shared" si="101"/>
        <v>-30.442817731791052</v>
      </c>
      <c r="AQ38" s="417">
        <f t="shared" si="101"/>
        <v>-17.214017802428408</v>
      </c>
      <c r="AR38" s="417">
        <f t="shared" si="101"/>
        <v>-37.239346344400303</v>
      </c>
      <c r="AS38" s="417">
        <f t="shared" si="101"/>
        <v>-38.880907361754453</v>
      </c>
      <c r="AT38" s="417">
        <f t="shared" si="101"/>
        <v>-34.607523635745203</v>
      </c>
      <c r="AU38" s="417">
        <f t="shared" si="101"/>
        <v>-34.465524662665707</v>
      </c>
      <c r="AV38" s="417">
        <f t="shared" si="101"/>
        <v>-34.036692213306523</v>
      </c>
    </row>
    <row r="40" spans="1:48" s="416" customFormat="1" ht="18">
      <c r="A40" s="410" t="s">
        <v>224</v>
      </c>
      <c r="B40" s="25"/>
    </row>
    <row r="41" spans="1:48" s="416" customFormat="1">
      <c r="A41" s="405" t="s">
        <v>225</v>
      </c>
      <c r="B41" s="423">
        <f>MIRR(C43:AV43,B4,B4)</f>
        <v>4.9177003783983597E-2</v>
      </c>
    </row>
    <row r="42" spans="1:48" s="416" customFormat="1">
      <c r="A42" s="405" t="s">
        <v>226</v>
      </c>
      <c r="B42" s="423">
        <f>MIRR(C43:AV43,B5,B5)</f>
        <v>6.0301381017151545E-2</v>
      </c>
    </row>
    <row r="43" spans="1:48" s="416" customFormat="1">
      <c r="A43" s="406" t="s">
        <v>227</v>
      </c>
      <c r="B43" s="454">
        <f>SUM(C43:AV43)</f>
        <v>946.76670000000252</v>
      </c>
      <c r="C43" s="416">
        <f>SUM(C44:C45)</f>
        <v>-300.00000000000006</v>
      </c>
      <c r="D43" s="416">
        <f t="shared" ref="D43:AV43" si="102">SUM(D44:D45)</f>
        <v>0</v>
      </c>
      <c r="E43" s="416">
        <f>SUM(E44:E45)</f>
        <v>-45.437300000000064</v>
      </c>
      <c r="F43" s="416">
        <f t="shared" si="102"/>
        <v>-13.002999999999986</v>
      </c>
      <c r="G43" s="416">
        <f t="shared" si="102"/>
        <v>-12.874999999999957</v>
      </c>
      <c r="H43" s="416">
        <f t="shared" si="102"/>
        <v>65.969999999999814</v>
      </c>
      <c r="I43" s="416">
        <f t="shared" si="102"/>
        <v>169.06890000000004</v>
      </c>
      <c r="J43" s="416">
        <f t="shared" si="102"/>
        <v>-17.766599999999919</v>
      </c>
      <c r="K43" s="416">
        <f t="shared" si="102"/>
        <v>38.483299999999844</v>
      </c>
      <c r="L43" s="416">
        <f t="shared" si="102"/>
        <v>108.3561999999998</v>
      </c>
      <c r="M43" s="416">
        <f t="shared" si="102"/>
        <v>13.035099999999744</v>
      </c>
      <c r="N43" s="416">
        <f t="shared" si="102"/>
        <v>32.278000000000091</v>
      </c>
      <c r="O43" s="416">
        <f t="shared" si="102"/>
        <v>81.709099999999694</v>
      </c>
      <c r="P43" s="416">
        <f t="shared" si="102"/>
        <v>68.493799999999638</v>
      </c>
      <c r="Q43" s="416">
        <f t="shared" si="102"/>
        <v>-2.0136999999999574</v>
      </c>
      <c r="R43" s="416">
        <f t="shared" si="102"/>
        <v>-79.434900000000368</v>
      </c>
      <c r="S43" s="416">
        <f t="shared" si="102"/>
        <v>23.93479999999996</v>
      </c>
      <c r="T43" s="416">
        <f t="shared" si="102"/>
        <v>37.478500000000153</v>
      </c>
      <c r="U43" s="416">
        <f t="shared" si="102"/>
        <v>6.6811000000001215</v>
      </c>
      <c r="V43" s="416">
        <f t="shared" si="102"/>
        <v>5.3554000000000883</v>
      </c>
      <c r="W43" s="416">
        <f t="shared" si="102"/>
        <v>5.7397000000000986</v>
      </c>
      <c r="X43" s="416">
        <f t="shared" si="102"/>
        <v>4.2667000000001707</v>
      </c>
      <c r="Y43" s="416">
        <f t="shared" si="102"/>
        <v>52.771600000000156</v>
      </c>
      <c r="Z43" s="416">
        <f t="shared" si="102"/>
        <v>220.17959999999999</v>
      </c>
      <c r="AA43" s="416">
        <f t="shared" si="102"/>
        <v>120.19410000000002</v>
      </c>
      <c r="AB43" s="416">
        <f t="shared" si="102"/>
        <v>119.91699999999994</v>
      </c>
      <c r="AC43" s="416">
        <f t="shared" si="102"/>
        <v>424.2679</v>
      </c>
      <c r="AD43" s="416">
        <f t="shared" si="102"/>
        <v>-18.53309999999988</v>
      </c>
      <c r="AE43" s="416">
        <f t="shared" si="102"/>
        <v>-181.30699999999968</v>
      </c>
      <c r="AF43" s="416">
        <f t="shared" si="102"/>
        <v>-176.69819999999947</v>
      </c>
      <c r="AG43" s="416">
        <f t="shared" si="102"/>
        <v>-97.991299999999967</v>
      </c>
      <c r="AH43" s="416">
        <f t="shared" si="102"/>
        <v>91.63360000000057</v>
      </c>
      <c r="AI43" s="416">
        <f t="shared" si="102"/>
        <v>-80.533999999999722</v>
      </c>
      <c r="AJ43" s="416">
        <f t="shared" si="102"/>
        <v>61.408800000000298</v>
      </c>
      <c r="AK43" s="416">
        <f t="shared" si="102"/>
        <v>56.260300000000058</v>
      </c>
      <c r="AL43" s="416">
        <f t="shared" si="102"/>
        <v>10.071999999999974</v>
      </c>
      <c r="AM43" s="416">
        <f t="shared" si="102"/>
        <v>39.456199999999953</v>
      </c>
      <c r="AN43" s="416">
        <f t="shared" si="102"/>
        <v>14.973700000000349</v>
      </c>
      <c r="AO43" s="416">
        <f t="shared" si="102"/>
        <v>-8.9738999999999862</v>
      </c>
      <c r="AP43" s="416">
        <f t="shared" si="102"/>
        <v>-3.5441999999996341</v>
      </c>
      <c r="AQ43" s="416">
        <f t="shared" si="102"/>
        <v>-112.86679999999988</v>
      </c>
      <c r="AR43" s="416">
        <f t="shared" si="102"/>
        <v>59.569100000000319</v>
      </c>
      <c r="AS43" s="416">
        <f t="shared" si="102"/>
        <v>74.53589999999997</v>
      </c>
      <c r="AT43" s="416">
        <f t="shared" si="102"/>
        <v>35.764300000000091</v>
      </c>
      <c r="AU43" s="416">
        <f t="shared" si="102"/>
        <v>31.586200000000019</v>
      </c>
      <c r="AV43" s="416">
        <f t="shared" si="102"/>
        <v>24.304800000000029</v>
      </c>
    </row>
    <row r="44" spans="1:48">
      <c r="A44" s="25" t="s">
        <v>228</v>
      </c>
      <c r="B44" s="454">
        <f t="shared" ref="B44:B45" si="103">SUM(C44:AV44)</f>
        <v>-829.80239999999753</v>
      </c>
      <c r="C44" s="416">
        <f>-C17</f>
        <v>-300.00000000000006</v>
      </c>
      <c r="D44" s="416">
        <f t="shared" ref="D44:AV44" si="104">-D17</f>
        <v>0</v>
      </c>
      <c r="E44" s="416">
        <f t="shared" si="104"/>
        <v>-40.822100000000063</v>
      </c>
      <c r="F44" s="416">
        <f t="shared" si="104"/>
        <v>-8.4930999999999841</v>
      </c>
      <c r="G44" s="416">
        <f t="shared" si="104"/>
        <v>-9.283699999999957</v>
      </c>
      <c r="H44" s="416">
        <f t="shared" si="104"/>
        <v>63.34059999999981</v>
      </c>
      <c r="I44" s="416">
        <f t="shared" si="104"/>
        <v>167.11300000000003</v>
      </c>
      <c r="J44" s="416">
        <f t="shared" si="104"/>
        <v>-20.235899999999916</v>
      </c>
      <c r="K44" s="416">
        <f t="shared" si="104"/>
        <v>28.765799999999842</v>
      </c>
      <c r="L44" s="416">
        <f t="shared" si="104"/>
        <v>104.5693999999998</v>
      </c>
      <c r="M44" s="416">
        <f t="shared" si="104"/>
        <v>6.8559999999997441</v>
      </c>
      <c r="N44" s="416">
        <f t="shared" si="104"/>
        <v>28.496800000000093</v>
      </c>
      <c r="O44" s="416">
        <f t="shared" si="104"/>
        <v>76.46239999999969</v>
      </c>
      <c r="P44" s="416">
        <f>-P17</f>
        <v>62.674599999999636</v>
      </c>
      <c r="Q44" s="416">
        <f t="shared" si="104"/>
        <v>-9.9342999999999577</v>
      </c>
      <c r="R44" s="416">
        <f>-R17</f>
        <v>-84.963400000000362</v>
      </c>
      <c r="S44" s="416">
        <f t="shared" si="104"/>
        <v>17.256799999999959</v>
      </c>
      <c r="T44" s="416">
        <f t="shared" si="104"/>
        <v>28.627300000000155</v>
      </c>
      <c r="U44" s="416">
        <f t="shared" si="104"/>
        <v>-1.2932999999998787</v>
      </c>
      <c r="V44" s="416">
        <f t="shared" si="104"/>
        <v>-2.6361999999999126</v>
      </c>
      <c r="W44" s="416">
        <f t="shared" si="104"/>
        <v>-3.0849999999999014</v>
      </c>
      <c r="X44" s="416">
        <f t="shared" si="104"/>
        <v>-4.141099999999831</v>
      </c>
      <c r="Y44" s="416">
        <f t="shared" si="104"/>
        <v>45.826000000000157</v>
      </c>
      <c r="Z44" s="416">
        <f t="shared" si="104"/>
        <v>207.7338</v>
      </c>
      <c r="AA44" s="416">
        <f t="shared" si="104"/>
        <v>105.52110000000002</v>
      </c>
      <c r="AB44" s="416">
        <f>-AB17</f>
        <v>94.289899999999946</v>
      </c>
      <c r="AC44" s="416">
        <f t="shared" si="104"/>
        <v>402.91340000000002</v>
      </c>
      <c r="AD44" s="416">
        <f t="shared" si="104"/>
        <v>-41.209099999999879</v>
      </c>
      <c r="AE44" s="416">
        <f t="shared" si="104"/>
        <v>-207.34169999999966</v>
      </c>
      <c r="AF44" s="416">
        <f t="shared" si="104"/>
        <v>-207.13729999999947</v>
      </c>
      <c r="AG44" s="416">
        <f t="shared" si="104"/>
        <v>-132.93239999999997</v>
      </c>
      <c r="AH44" s="416">
        <f t="shared" si="104"/>
        <v>48.252100000000574</v>
      </c>
      <c r="AI44" s="416">
        <f t="shared" si="104"/>
        <v>-133.13549999999972</v>
      </c>
      <c r="AJ44" s="416">
        <f t="shared" si="104"/>
        <v>1.8490000000003022</v>
      </c>
      <c r="AK44" s="416">
        <f t="shared" si="104"/>
        <v>-11.234199999999944</v>
      </c>
      <c r="AL44" s="416">
        <f t="shared" si="104"/>
        <v>-66.17300000000003</v>
      </c>
      <c r="AM44" s="416">
        <f t="shared" si="104"/>
        <v>-45.015100000000047</v>
      </c>
      <c r="AN44" s="416">
        <f t="shared" si="104"/>
        <v>-78.627099999999643</v>
      </c>
      <c r="AO44" s="416">
        <f>-AO17</f>
        <v>-112.16409999999999</v>
      </c>
      <c r="AP44" s="416">
        <f t="shared" si="104"/>
        <v>-114.81799999999964</v>
      </c>
      <c r="AQ44" s="416">
        <f t="shared" si="104"/>
        <v>-228.96919999999989</v>
      </c>
      <c r="AR44" s="416">
        <f t="shared" si="104"/>
        <v>-61.922799999999683</v>
      </c>
      <c r="AS44" s="416">
        <f t="shared" si="104"/>
        <v>-54.473400000000026</v>
      </c>
      <c r="AT44" s="416">
        <f t="shared" si="104"/>
        <v>-99.66809999999991</v>
      </c>
      <c r="AU44" s="416">
        <f t="shared" si="104"/>
        <v>-112.40199999999999</v>
      </c>
      <c r="AV44" s="416">
        <f t="shared" si="104"/>
        <v>-128.23929999999999</v>
      </c>
    </row>
    <row r="45" spans="1:48">
      <c r="A45" s="25" t="s">
        <v>229</v>
      </c>
      <c r="B45" s="454">
        <f t="shared" si="103"/>
        <v>1776.5691000000002</v>
      </c>
      <c r="C45" s="16" cm="1">
        <f t="array" ref="C45:AV45">TRANSPOSE('OSeMOSYS (Input)'!AN85:AN130)-TRANSPOSE('OSeMOSYS (Input)'!AN21:AN66)</f>
        <v>0</v>
      </c>
      <c r="D45">
        <v>0</v>
      </c>
      <c r="E45">
        <v>-4.6152000000000033</v>
      </c>
      <c r="F45">
        <v>-4.5099000000000018</v>
      </c>
      <c r="G45">
        <v>-3.5913000000000004</v>
      </c>
      <c r="H45">
        <v>2.6294000000000004</v>
      </c>
      <c r="I45">
        <v>1.9558999999999997</v>
      </c>
      <c r="J45">
        <v>2.4692999999999969</v>
      </c>
      <c r="K45">
        <v>9.7174999999999976</v>
      </c>
      <c r="L45">
        <v>3.7867999999999995</v>
      </c>
      <c r="M45">
        <v>6.1791</v>
      </c>
      <c r="N45">
        <v>3.7812000000000001</v>
      </c>
      <c r="O45">
        <v>5.2467000000000006</v>
      </c>
      <c r="P45">
        <v>5.8192000000000004</v>
      </c>
      <c r="Q45">
        <v>7.9206000000000003</v>
      </c>
      <c r="R45">
        <v>5.5284999999999993</v>
      </c>
      <c r="S45">
        <v>6.677999999999999</v>
      </c>
      <c r="T45">
        <v>8.8512000000000004</v>
      </c>
      <c r="U45">
        <v>7.9744000000000002</v>
      </c>
      <c r="V45">
        <v>7.9916000000000009</v>
      </c>
      <c r="W45">
        <v>8.8247</v>
      </c>
      <c r="X45">
        <v>8.4078000000000017</v>
      </c>
      <c r="Y45">
        <v>6.9455999999999998</v>
      </c>
      <c r="Z45">
        <v>12.445799999999998</v>
      </c>
      <c r="AA45">
        <v>14.672999999999998</v>
      </c>
      <c r="AB45">
        <v>25.627099999999999</v>
      </c>
      <c r="AC45">
        <v>21.354499999999998</v>
      </c>
      <c r="AD45">
        <v>22.675999999999998</v>
      </c>
      <c r="AE45">
        <v>26.034700000000001</v>
      </c>
      <c r="AF45">
        <v>30.4391</v>
      </c>
      <c r="AG45">
        <v>34.941099999999999</v>
      </c>
      <c r="AH45">
        <v>43.381500000000003</v>
      </c>
      <c r="AI45">
        <v>52.601500000000001</v>
      </c>
      <c r="AJ45">
        <v>59.559799999999996</v>
      </c>
      <c r="AK45">
        <v>67.494500000000002</v>
      </c>
      <c r="AL45">
        <v>76.245000000000005</v>
      </c>
      <c r="AM45">
        <v>84.471299999999999</v>
      </c>
      <c r="AN45">
        <v>93.600799999999992</v>
      </c>
      <c r="AO45">
        <v>103.1902</v>
      </c>
      <c r="AP45">
        <v>111.27380000000001</v>
      </c>
      <c r="AQ45">
        <v>116.1024</v>
      </c>
      <c r="AR45">
        <v>121.4919</v>
      </c>
      <c r="AS45">
        <v>129.0093</v>
      </c>
      <c r="AT45">
        <v>135.4324</v>
      </c>
      <c r="AU45">
        <v>143.98820000000001</v>
      </c>
      <c r="AV45">
        <v>152.54410000000001</v>
      </c>
    </row>
    <row r="47" spans="1:48" s="416" customFormat="1" ht="18">
      <c r="A47" s="410" t="s">
        <v>230</v>
      </c>
      <c r="B47" s="25"/>
    </row>
    <row r="48" spans="1:48" s="416" customFormat="1">
      <c r="A48" s="405" t="s">
        <v>225</v>
      </c>
      <c r="B48" s="423">
        <f>MIRR(C50:AV50,B4,B4)</f>
        <v>7.1125271428425396E-2</v>
      </c>
    </row>
    <row r="49" spans="1:48" s="416" customFormat="1">
      <c r="A49" s="405" t="s">
        <v>226</v>
      </c>
      <c r="B49" s="423">
        <f>MIRR(C50:AV50,B5,B5)</f>
        <v>7.8381595866566567E-2</v>
      </c>
    </row>
    <row r="50" spans="1:48" s="416" customFormat="1">
      <c r="A50" s="406" t="s">
        <v>227</v>
      </c>
      <c r="B50" s="454">
        <f>SUM(C50:AV50)</f>
        <v>5107.466832000001</v>
      </c>
      <c r="C50" s="419">
        <f>C43+C51</f>
        <v>-300.00000000000006</v>
      </c>
      <c r="D50" s="419">
        <f t="shared" ref="D50:AV50" si="105">D43+D51</f>
        <v>0</v>
      </c>
      <c r="E50" s="419">
        <f t="shared" si="105"/>
        <v>-48.662360000000064</v>
      </c>
      <c r="F50" s="419">
        <f t="shared" si="105"/>
        <v>-16.229049999999987</v>
      </c>
      <c r="G50" s="419">
        <f t="shared" si="105"/>
        <v>-15.499139999999958</v>
      </c>
      <c r="H50" s="419">
        <f t="shared" si="105"/>
        <v>67.92749999999981</v>
      </c>
      <c r="I50" s="419">
        <f t="shared" si="105"/>
        <v>170.33428500000005</v>
      </c>
      <c r="J50" s="419">
        <f t="shared" si="105"/>
        <v>-16.17487699999992</v>
      </c>
      <c r="K50" s="419">
        <f t="shared" si="105"/>
        <v>50.542371999999844</v>
      </c>
      <c r="L50" s="419">
        <f t="shared" si="105"/>
        <v>110.7992039999998</v>
      </c>
      <c r="M50" s="419">
        <f t="shared" si="105"/>
        <v>16.664938999999745</v>
      </c>
      <c r="N50" s="419">
        <f t="shared" si="105"/>
        <v>34.275043000000089</v>
      </c>
      <c r="O50" s="419">
        <f t="shared" si="105"/>
        <v>87.9315399999997</v>
      </c>
      <c r="P50" s="419">
        <f t="shared" si="105"/>
        <v>76.890256999999636</v>
      </c>
      <c r="Q50" s="419">
        <f t="shared" si="105"/>
        <v>7.7357320000000414</v>
      </c>
      <c r="R50" s="419">
        <f t="shared" si="105"/>
        <v>-70.834158000000372</v>
      </c>
      <c r="S50" s="419">
        <f t="shared" si="105"/>
        <v>33.399839999999962</v>
      </c>
      <c r="T50" s="419">
        <f t="shared" si="105"/>
        <v>48.42931000000015</v>
      </c>
      <c r="U50" s="419">
        <f t="shared" si="105"/>
        <v>17.338124000000121</v>
      </c>
      <c r="V50" s="419">
        <f t="shared" si="105"/>
        <v>16.23134200000009</v>
      </c>
      <c r="W50" s="419">
        <f t="shared" si="105"/>
        <v>17.311260000000097</v>
      </c>
      <c r="X50" s="419">
        <f t="shared" si="105"/>
        <v>15.798139000000171</v>
      </c>
      <c r="Y50" s="419">
        <f t="shared" si="105"/>
        <v>63.599172000000152</v>
      </c>
      <c r="Z50" s="419">
        <f t="shared" si="105"/>
        <v>252.19443999999999</v>
      </c>
      <c r="AA50" s="419">
        <f t="shared" si="105"/>
        <v>161.75452600000003</v>
      </c>
      <c r="AB50" s="419">
        <f t="shared" si="105"/>
        <v>199.64464799999996</v>
      </c>
      <c r="AC50" s="419">
        <f t="shared" si="105"/>
        <v>505.52382999999998</v>
      </c>
      <c r="AD50" s="419">
        <f t="shared" si="105"/>
        <v>67.853060000000113</v>
      </c>
      <c r="AE50" s="419">
        <f t="shared" si="105"/>
        <v>-88.30530399999968</v>
      </c>
      <c r="AF50" s="419">
        <f t="shared" si="105"/>
        <v>-76.158012999999457</v>
      </c>
      <c r="AG50" s="419">
        <f t="shared" si="105"/>
        <v>10.450190000000035</v>
      </c>
      <c r="AH50" s="419">
        <f t="shared" si="105"/>
        <v>211.67422500000055</v>
      </c>
      <c r="AI50" s="419">
        <f t="shared" si="105"/>
        <v>52.396720000000258</v>
      </c>
      <c r="AJ50" s="419">
        <f t="shared" si="105"/>
        <v>208.14291200000028</v>
      </c>
      <c r="AK50" s="419">
        <f t="shared" si="105"/>
        <v>218.81133200000008</v>
      </c>
      <c r="AL50" s="419">
        <f t="shared" si="105"/>
        <v>188.40675999999996</v>
      </c>
      <c r="AM50" s="419">
        <f t="shared" si="105"/>
        <v>232.79161699999997</v>
      </c>
      <c r="AN50" s="419">
        <f t="shared" si="105"/>
        <v>225.78292600000037</v>
      </c>
      <c r="AO50" s="419">
        <f t="shared" si="105"/>
        <v>221.00592000000003</v>
      </c>
      <c r="AP50" s="419">
        <f t="shared" si="105"/>
        <v>242.97870600000039</v>
      </c>
      <c r="AQ50" s="419">
        <f t="shared" si="105"/>
        <v>144.71638300000012</v>
      </c>
      <c r="AR50" s="419">
        <f t="shared" si="105"/>
        <v>329.75363000000033</v>
      </c>
      <c r="AS50" s="419">
        <f t="shared" si="105"/>
        <v>362.64025499999997</v>
      </c>
      <c r="AT50" s="419">
        <f t="shared" si="105"/>
        <v>339.98693500000013</v>
      </c>
      <c r="AU50" s="419">
        <f t="shared" si="105"/>
        <v>356.63887600000004</v>
      </c>
      <c r="AV50" s="419">
        <f t="shared" si="105"/>
        <v>370.97378400000002</v>
      </c>
    </row>
    <row r="51" spans="1:48">
      <c r="A51" s="25" t="s">
        <v>218</v>
      </c>
      <c r="B51" s="454">
        <f>SUM(C51:AV51)</f>
        <v>4160.7001320000008</v>
      </c>
      <c r="C51" s="416" cm="1">
        <f t="array" ref="C51:AV51">(TRANSPOSE('OSeMOSYS (Input)'!S139:S184)-TRANSPOSE('OSeMOSYS (Input)'!R139:R184))*'Financial Instruments'!C52:AV52</f>
        <v>0</v>
      </c>
      <c r="D51" s="416">
        <v>0</v>
      </c>
      <c r="E51" s="416">
        <v>-3.2250599999999991</v>
      </c>
      <c r="F51" s="416">
        <v>-3.2260500000000008</v>
      </c>
      <c r="G51" s="416">
        <v>-2.6241399999999997</v>
      </c>
      <c r="H51" s="416">
        <v>1.9575000000000009</v>
      </c>
      <c r="I51" s="416">
        <v>1.2653850000000011</v>
      </c>
      <c r="J51" s="416">
        <v>1.5917229999999987</v>
      </c>
      <c r="K51" s="416">
        <v>12.059071999999999</v>
      </c>
      <c r="L51" s="416">
        <v>2.4430039999999997</v>
      </c>
      <c r="M51" s="416">
        <v>3.6298390000000005</v>
      </c>
      <c r="N51" s="416">
        <v>1.9970429999999988</v>
      </c>
      <c r="O51" s="416">
        <v>6.2224400000000006</v>
      </c>
      <c r="P51" s="416">
        <v>8.3964569999999963</v>
      </c>
      <c r="Q51" s="416">
        <v>9.7494319999999988</v>
      </c>
      <c r="R51" s="416">
        <v>8.6007419999999986</v>
      </c>
      <c r="S51" s="416">
        <v>9.4650400000000001</v>
      </c>
      <c r="T51" s="416">
        <v>10.950809999999995</v>
      </c>
      <c r="U51" s="416">
        <v>10.657024</v>
      </c>
      <c r="V51" s="416">
        <v>10.875942000000002</v>
      </c>
      <c r="W51" s="416">
        <v>11.571559999999998</v>
      </c>
      <c r="X51" s="416">
        <v>11.531439000000001</v>
      </c>
      <c r="Y51" s="416">
        <v>10.827571999999998</v>
      </c>
      <c r="Z51" s="416">
        <v>32.01484</v>
      </c>
      <c r="AA51" s="416">
        <v>41.560426</v>
      </c>
      <c r="AB51" s="416">
        <v>79.727648000000002</v>
      </c>
      <c r="AC51" s="416">
        <v>81.255930000000006</v>
      </c>
      <c r="AD51" s="416">
        <v>86.38615999999999</v>
      </c>
      <c r="AE51" s="416">
        <v>93.001695999999995</v>
      </c>
      <c r="AF51" s="416">
        <v>100.54018700000002</v>
      </c>
      <c r="AG51" s="416">
        <v>108.44149</v>
      </c>
      <c r="AH51" s="416">
        <v>120.04062499999999</v>
      </c>
      <c r="AI51" s="416">
        <v>132.93071999999998</v>
      </c>
      <c r="AJ51" s="416">
        <v>146.73411199999998</v>
      </c>
      <c r="AK51" s="416">
        <v>162.55103200000002</v>
      </c>
      <c r="AL51" s="416">
        <v>178.33475999999999</v>
      </c>
      <c r="AM51" s="416">
        <v>193.33541700000001</v>
      </c>
      <c r="AN51" s="416">
        <v>210.80922600000002</v>
      </c>
      <c r="AO51" s="416">
        <v>229.97982000000002</v>
      </c>
      <c r="AP51" s="416">
        <v>246.52290600000001</v>
      </c>
      <c r="AQ51" s="416">
        <v>257.58318300000002</v>
      </c>
      <c r="AR51" s="416">
        <v>270.18453</v>
      </c>
      <c r="AS51" s="416">
        <v>288.104355</v>
      </c>
      <c r="AT51" s="416">
        <v>304.22263500000003</v>
      </c>
      <c r="AU51" s="416">
        <v>325.05267600000002</v>
      </c>
      <c r="AV51" s="416">
        <v>346.66898399999997</v>
      </c>
    </row>
    <row r="52" spans="1:48">
      <c r="A52" s="407" t="s">
        <v>219</v>
      </c>
      <c r="B52" s="416">
        <f>AVERAGE(C52:AV52)</f>
        <v>115.59391304347825</v>
      </c>
      <c r="C52" s="445">
        <v>67.06</v>
      </c>
      <c r="D52" s="445">
        <v>68.569999999999993</v>
      </c>
      <c r="E52" s="445">
        <v>70.11</v>
      </c>
      <c r="F52" s="445">
        <v>71.69</v>
      </c>
      <c r="G52" s="445">
        <v>73.3</v>
      </c>
      <c r="H52" s="445">
        <v>75</v>
      </c>
      <c r="I52" s="445">
        <v>76.69</v>
      </c>
      <c r="J52" s="445">
        <v>78.41</v>
      </c>
      <c r="K52" s="445">
        <v>80.180000000000007</v>
      </c>
      <c r="L52" s="445">
        <v>81.98</v>
      </c>
      <c r="M52" s="445">
        <v>83.83</v>
      </c>
      <c r="N52" s="445">
        <v>85.71</v>
      </c>
      <c r="O52" s="445">
        <v>87.64</v>
      </c>
      <c r="P52" s="445">
        <v>89.61</v>
      </c>
      <c r="Q52" s="445">
        <v>91.63</v>
      </c>
      <c r="R52" s="445">
        <v>93.69</v>
      </c>
      <c r="S52" s="445">
        <v>95.8</v>
      </c>
      <c r="T52" s="445">
        <v>97.95</v>
      </c>
      <c r="U52" s="445">
        <v>100.16</v>
      </c>
      <c r="V52" s="445">
        <v>102.41</v>
      </c>
      <c r="W52" s="445">
        <v>104.72</v>
      </c>
      <c r="X52" s="445">
        <v>107.07</v>
      </c>
      <c r="Y52" s="445">
        <v>109.48</v>
      </c>
      <c r="Z52" s="445">
        <v>111.94</v>
      </c>
      <c r="AA52" s="445">
        <v>114.46</v>
      </c>
      <c r="AB52" s="445">
        <v>117.04</v>
      </c>
      <c r="AC52" s="445">
        <v>119.67</v>
      </c>
      <c r="AD52" s="445">
        <v>122.36</v>
      </c>
      <c r="AE52" s="445">
        <v>125.12</v>
      </c>
      <c r="AF52" s="445">
        <v>127.93</v>
      </c>
      <c r="AG52" s="445">
        <v>130.81</v>
      </c>
      <c r="AH52" s="445">
        <v>133.75</v>
      </c>
      <c r="AI52" s="445">
        <v>136.76</v>
      </c>
      <c r="AJ52" s="445">
        <v>139.84</v>
      </c>
      <c r="AK52" s="445">
        <v>142.99</v>
      </c>
      <c r="AL52" s="445">
        <v>146.19999999999999</v>
      </c>
      <c r="AM52" s="445">
        <v>149.49</v>
      </c>
      <c r="AN52" s="445">
        <v>152.86000000000001</v>
      </c>
      <c r="AO52" s="445">
        <v>156.30000000000001</v>
      </c>
      <c r="AP52" s="445">
        <v>159.81</v>
      </c>
      <c r="AQ52" s="445">
        <v>163.41</v>
      </c>
      <c r="AR52" s="445">
        <v>167.09</v>
      </c>
      <c r="AS52" s="445">
        <v>170.85</v>
      </c>
      <c r="AT52" s="445">
        <v>174.69</v>
      </c>
      <c r="AU52" s="445">
        <v>178.62</v>
      </c>
      <c r="AV52" s="445">
        <v>182.64</v>
      </c>
    </row>
    <row r="53" spans="1:48">
      <c r="A53" s="25"/>
      <c r="C53" s="416"/>
      <c r="D53" s="416"/>
      <c r="E53" s="416"/>
      <c r="F53" s="416"/>
      <c r="G53" s="416"/>
      <c r="H53" s="416"/>
      <c r="I53" s="416"/>
      <c r="J53" s="416"/>
      <c r="K53" s="416"/>
      <c r="L53" s="416"/>
      <c r="M53" s="416"/>
      <c r="N53" s="416"/>
      <c r="O53" s="416"/>
      <c r="P53" s="416"/>
      <c r="Q53" s="416"/>
      <c r="R53" s="416"/>
      <c r="S53" s="416"/>
      <c r="T53" s="416"/>
      <c r="U53" s="416"/>
      <c r="V53" s="416"/>
      <c r="W53" s="416"/>
      <c r="X53" s="416"/>
      <c r="Y53" s="416"/>
      <c r="Z53" s="416"/>
      <c r="AA53" s="416"/>
      <c r="AB53" s="416"/>
      <c r="AC53" s="416"/>
      <c r="AD53" s="416"/>
      <c r="AE53" s="416"/>
      <c r="AF53" s="416"/>
      <c r="AG53" s="416"/>
      <c r="AH53" s="416"/>
      <c r="AI53" s="416"/>
      <c r="AJ53" s="416"/>
      <c r="AK53" s="416"/>
      <c r="AL53" s="416"/>
      <c r="AM53" s="416"/>
      <c r="AN53" s="416"/>
      <c r="AO53" s="416"/>
      <c r="AP53" s="416"/>
      <c r="AQ53" s="416"/>
      <c r="AR53" s="416"/>
      <c r="AS53" s="416"/>
      <c r="AT53" s="416"/>
      <c r="AU53" s="416"/>
      <c r="AV53" s="416"/>
    </row>
    <row r="55" spans="1:48" ht="23.25">
      <c r="A55" s="633" t="s">
        <v>231</v>
      </c>
      <c r="B55" s="633"/>
      <c r="C55" s="633"/>
      <c r="D55" s="633"/>
      <c r="E55" s="633"/>
      <c r="F55" s="633"/>
      <c r="G55" s="633"/>
      <c r="H55" s="633"/>
      <c r="I55" s="633"/>
      <c r="J55" s="633"/>
      <c r="K55" s="633"/>
      <c r="L55" s="633"/>
      <c r="M55" s="633"/>
      <c r="N55" s="633"/>
      <c r="O55" s="633"/>
      <c r="P55" s="633"/>
      <c r="Q55" s="633"/>
      <c r="R55" s="633"/>
      <c r="S55" s="633"/>
      <c r="T55" s="633"/>
      <c r="U55" s="633"/>
      <c r="V55" s="633"/>
      <c r="W55" s="633"/>
      <c r="X55" s="633"/>
      <c r="Y55" s="633"/>
      <c r="Z55" s="633"/>
      <c r="AA55" s="633"/>
      <c r="AB55" s="633"/>
      <c r="AC55" s="633"/>
      <c r="AD55" s="633"/>
      <c r="AE55" s="633"/>
      <c r="AF55" s="633"/>
      <c r="AG55" s="633"/>
      <c r="AH55" s="633"/>
      <c r="AI55" s="633"/>
      <c r="AJ55" s="633"/>
      <c r="AK55" s="633"/>
      <c r="AL55" s="633"/>
      <c r="AM55" s="633"/>
      <c r="AN55" s="633"/>
      <c r="AO55" s="633"/>
      <c r="AP55" s="633"/>
      <c r="AQ55" s="633"/>
      <c r="AR55" s="633"/>
      <c r="AS55" s="633"/>
      <c r="AT55" s="633"/>
      <c r="AU55" s="633"/>
      <c r="AV55" s="633"/>
    </row>
    <row r="56" spans="1:48" ht="18">
      <c r="A56" s="413" t="s">
        <v>232</v>
      </c>
      <c r="B56" s="417">
        <f>SUM(C56:AV56)</f>
        <v>5057.466832000001</v>
      </c>
      <c r="C56" s="417">
        <f>(C70-C69)-C69</f>
        <v>-350.00000000000006</v>
      </c>
      <c r="D56" s="417">
        <f t="shared" ref="D56:AV56" si="106">D70</f>
        <v>0</v>
      </c>
      <c r="E56" s="417">
        <f t="shared" si="106"/>
        <v>-48.662360000000064</v>
      </c>
      <c r="F56" s="417">
        <f t="shared" si="106"/>
        <v>-16.229049999999987</v>
      </c>
      <c r="G56" s="417">
        <f t="shared" si="106"/>
        <v>-15.499139999999958</v>
      </c>
      <c r="H56" s="417">
        <f t="shared" si="106"/>
        <v>67.92749999999981</v>
      </c>
      <c r="I56" s="417">
        <f t="shared" si="106"/>
        <v>170.33428500000005</v>
      </c>
      <c r="J56" s="417">
        <f t="shared" si="106"/>
        <v>-16.17487699999992</v>
      </c>
      <c r="K56" s="417">
        <f t="shared" si="106"/>
        <v>50.542371999999844</v>
      </c>
      <c r="L56" s="417">
        <f t="shared" si="106"/>
        <v>110.7992039999998</v>
      </c>
      <c r="M56" s="417">
        <f t="shared" si="106"/>
        <v>16.664938999999745</v>
      </c>
      <c r="N56" s="417">
        <f t="shared" si="106"/>
        <v>34.275043000000089</v>
      </c>
      <c r="O56" s="417">
        <f t="shared" si="106"/>
        <v>87.9315399999997</v>
      </c>
      <c r="P56" s="417">
        <f t="shared" si="106"/>
        <v>76.890256999999636</v>
      </c>
      <c r="Q56" s="417">
        <f t="shared" si="106"/>
        <v>7.7357320000000414</v>
      </c>
      <c r="R56" s="417">
        <f t="shared" si="106"/>
        <v>-70.834158000000372</v>
      </c>
      <c r="S56" s="417">
        <f t="shared" si="106"/>
        <v>33.399839999999962</v>
      </c>
      <c r="T56" s="417">
        <f t="shared" si="106"/>
        <v>48.42931000000015</v>
      </c>
      <c r="U56" s="417">
        <f t="shared" si="106"/>
        <v>17.338124000000121</v>
      </c>
      <c r="V56" s="417">
        <f t="shared" si="106"/>
        <v>16.23134200000009</v>
      </c>
      <c r="W56" s="417">
        <f t="shared" si="106"/>
        <v>17.311260000000097</v>
      </c>
      <c r="X56" s="417">
        <f t="shared" si="106"/>
        <v>15.798139000000171</v>
      </c>
      <c r="Y56" s="417">
        <f t="shared" si="106"/>
        <v>63.599172000000152</v>
      </c>
      <c r="Z56" s="417">
        <f t="shared" si="106"/>
        <v>252.19443999999999</v>
      </c>
      <c r="AA56" s="417">
        <f t="shared" si="106"/>
        <v>161.75452600000003</v>
      </c>
      <c r="AB56" s="417">
        <f t="shared" si="106"/>
        <v>199.64464799999996</v>
      </c>
      <c r="AC56" s="417">
        <f t="shared" si="106"/>
        <v>505.52382999999998</v>
      </c>
      <c r="AD56" s="417">
        <f t="shared" si="106"/>
        <v>67.853060000000113</v>
      </c>
      <c r="AE56" s="417">
        <f t="shared" si="106"/>
        <v>-88.30530399999968</v>
      </c>
      <c r="AF56" s="417">
        <f t="shared" si="106"/>
        <v>-76.158012999999457</v>
      </c>
      <c r="AG56" s="417">
        <f t="shared" si="106"/>
        <v>10.450190000000035</v>
      </c>
      <c r="AH56" s="417">
        <f t="shared" si="106"/>
        <v>211.67422500000055</v>
      </c>
      <c r="AI56" s="417">
        <f t="shared" si="106"/>
        <v>52.396720000000258</v>
      </c>
      <c r="AJ56" s="417">
        <f t="shared" si="106"/>
        <v>208.14291200000028</v>
      </c>
      <c r="AK56" s="417">
        <f t="shared" si="106"/>
        <v>218.81133200000008</v>
      </c>
      <c r="AL56" s="417">
        <f t="shared" si="106"/>
        <v>188.40675999999996</v>
      </c>
      <c r="AM56" s="417">
        <f t="shared" si="106"/>
        <v>232.79161699999997</v>
      </c>
      <c r="AN56" s="417">
        <f t="shared" si="106"/>
        <v>225.78292600000037</v>
      </c>
      <c r="AO56" s="417">
        <f t="shared" si="106"/>
        <v>221.00592000000003</v>
      </c>
      <c r="AP56" s="417">
        <f t="shared" si="106"/>
        <v>242.97870600000039</v>
      </c>
      <c r="AQ56" s="417">
        <f t="shared" si="106"/>
        <v>144.71638300000012</v>
      </c>
      <c r="AR56" s="417">
        <f t="shared" si="106"/>
        <v>329.75363000000033</v>
      </c>
      <c r="AS56" s="417">
        <f t="shared" si="106"/>
        <v>362.64025499999997</v>
      </c>
      <c r="AT56" s="417">
        <f t="shared" si="106"/>
        <v>339.98693500000013</v>
      </c>
      <c r="AU56" s="417">
        <f t="shared" si="106"/>
        <v>356.63887600000004</v>
      </c>
      <c r="AV56" s="417">
        <f t="shared" si="106"/>
        <v>370.97378400000002</v>
      </c>
    </row>
    <row r="57" spans="1:48" ht="18">
      <c r="A57" s="413" t="s">
        <v>233</v>
      </c>
      <c r="B57" s="417">
        <f t="shared" ref="B57:B58" si="107">SUM(C57:AV57)</f>
        <v>1225.3619253123479</v>
      </c>
      <c r="C57" s="417">
        <f t="shared" ref="C57:AV57" si="108">C56/(1+$B$4)^(C$9-$C$9+1)</f>
        <v>-336.5384615384616</v>
      </c>
      <c r="D57" s="417">
        <f t="shared" si="108"/>
        <v>0</v>
      </c>
      <c r="E57" s="417">
        <f t="shared" si="108"/>
        <v>-43.260660844333238</v>
      </c>
      <c r="F57" s="417">
        <f t="shared" si="108"/>
        <v>-13.872659956430958</v>
      </c>
      <c r="G57" s="417">
        <f t="shared" si="108"/>
        <v>-12.739163297458102</v>
      </c>
      <c r="H57" s="417">
        <f t="shared" si="108"/>
        <v>53.684089946534321</v>
      </c>
      <c r="I57" s="417">
        <f t="shared" si="108"/>
        <v>129.44005737053703</v>
      </c>
      <c r="J57" s="417">
        <f t="shared" si="108"/>
        <v>-11.818824191011814</v>
      </c>
      <c r="K57" s="417">
        <f t="shared" si="108"/>
        <v>35.510400151890778</v>
      </c>
      <c r="L57" s="417">
        <f t="shared" si="108"/>
        <v>74.851972156819969</v>
      </c>
      <c r="M57" s="417">
        <f t="shared" si="108"/>
        <v>10.825226600064868</v>
      </c>
      <c r="N57" s="417">
        <f t="shared" si="108"/>
        <v>21.408090732029919</v>
      </c>
      <c r="O57" s="417">
        <f t="shared" si="108"/>
        <v>52.809404277914702</v>
      </c>
      <c r="P57" s="417">
        <f t="shared" si="108"/>
        <v>44.402207529264722</v>
      </c>
      <c r="Q57" s="417">
        <f t="shared" si="108"/>
        <v>4.2953773821031893</v>
      </c>
      <c r="R57" s="417">
        <f t="shared" si="108"/>
        <v>-37.818936074022822</v>
      </c>
      <c r="S57" s="417">
        <f t="shared" si="108"/>
        <v>17.146584271729772</v>
      </c>
      <c r="T57" s="417">
        <f t="shared" si="108"/>
        <v>23.906069297174682</v>
      </c>
      <c r="U57" s="417">
        <f t="shared" si="108"/>
        <v>8.2294092038281619</v>
      </c>
      <c r="V57" s="417">
        <f t="shared" si="108"/>
        <v>7.4077726081288136</v>
      </c>
      <c r="W57" s="417">
        <f t="shared" si="108"/>
        <v>7.5967625829775205</v>
      </c>
      <c r="X57" s="417">
        <f t="shared" si="108"/>
        <v>6.6661098501050393</v>
      </c>
      <c r="Y57" s="417">
        <f t="shared" si="108"/>
        <v>25.803858857613708</v>
      </c>
      <c r="Z57" s="417">
        <f t="shared" si="108"/>
        <v>98.386466754190309</v>
      </c>
      <c r="AA57" s="417">
        <f t="shared" si="108"/>
        <v>60.676840543225651</v>
      </c>
      <c r="AB57" s="417">
        <f t="shared" si="108"/>
        <v>72.009674946998274</v>
      </c>
      <c r="AC57" s="417">
        <f t="shared" si="108"/>
        <v>175.32404084021488</v>
      </c>
      <c r="AD57" s="417">
        <f t="shared" si="108"/>
        <v>22.627466867413641</v>
      </c>
      <c r="AE57" s="417">
        <f t="shared" si="108"/>
        <v>-28.315220652438555</v>
      </c>
      <c r="AF57" s="417">
        <f t="shared" si="108"/>
        <v>-23.480937123662262</v>
      </c>
      <c r="AG57" s="417">
        <f t="shared" si="108"/>
        <v>3.0980660200665073</v>
      </c>
      <c r="AH57" s="417">
        <f t="shared" si="108"/>
        <v>60.339418543182532</v>
      </c>
      <c r="AI57" s="417">
        <f t="shared" si="108"/>
        <v>14.361635643576779</v>
      </c>
      <c r="AJ57" s="417">
        <f t="shared" si="108"/>
        <v>54.856499383950236</v>
      </c>
      <c r="AK57" s="417">
        <f t="shared" si="108"/>
        <v>55.450176699245468</v>
      </c>
      <c r="AL57" s="417">
        <f t="shared" si="108"/>
        <v>45.908834397695806</v>
      </c>
      <c r="AM57" s="417">
        <f t="shared" si="108"/>
        <v>54.542342088962741</v>
      </c>
      <c r="AN57" s="417">
        <f t="shared" si="108"/>
        <v>50.865603730295476</v>
      </c>
      <c r="AO57" s="417">
        <f t="shared" si="108"/>
        <v>47.874436419320567</v>
      </c>
      <c r="AP57" s="417">
        <f t="shared" si="108"/>
        <v>50.609802546177697</v>
      </c>
      <c r="AQ57" s="417">
        <f t="shared" si="108"/>
        <v>28.983497271294524</v>
      </c>
      <c r="AR57" s="417">
        <f t="shared" si="108"/>
        <v>63.502282328806402</v>
      </c>
      <c r="AS57" s="417">
        <f t="shared" si="108"/>
        <v>67.149444084151781</v>
      </c>
      <c r="AT57" s="417">
        <f t="shared" si="108"/>
        <v>60.533432254435482</v>
      </c>
      <c r="AU57" s="417">
        <f t="shared" si="108"/>
        <v>61.056009174983814</v>
      </c>
      <c r="AV57" s="417">
        <f t="shared" si="108"/>
        <v>61.067425633261749</v>
      </c>
    </row>
    <row r="58" spans="1:48" s="416" customFormat="1" ht="18">
      <c r="A58" s="413" t="s">
        <v>234</v>
      </c>
      <c r="B58" s="417">
        <f t="shared" si="107"/>
        <v>-760.10046579239156</v>
      </c>
      <c r="C58" s="417">
        <f>(C17+C69+(-C45-C51))/(1+$B$5)^(C$9-$C$9+1)</f>
        <v>332.28899648723069</v>
      </c>
      <c r="D58" s="417">
        <f t="shared" ref="D58:AV58" si="109">(D17+(-D45-D51))/(1+$B$5)^(D$9-$C$9+1)</f>
        <v>0</v>
      </c>
      <c r="E58" s="417">
        <f t="shared" si="109"/>
        <v>41.642511535956444</v>
      </c>
      <c r="F58" s="417">
        <f t="shared" si="109"/>
        <v>13.185140486750257</v>
      </c>
      <c r="G58" s="417">
        <f t="shared" si="109"/>
        <v>11.954933928518267</v>
      </c>
      <c r="H58" s="417">
        <f t="shared" si="109"/>
        <v>-49.743131947739165</v>
      </c>
      <c r="I58" s="417">
        <f t="shared" si="109"/>
        <v>-118.42338821969456</v>
      </c>
      <c r="J58" s="417">
        <f t="shared" si="109"/>
        <v>10.676387135916471</v>
      </c>
      <c r="K58" s="417">
        <f t="shared" si="109"/>
        <v>-31.67282945094065</v>
      </c>
      <c r="L58" s="417">
        <f t="shared" si="109"/>
        <v>-65.919787472090178</v>
      </c>
      <c r="M58" s="417">
        <f t="shared" si="109"/>
        <v>-9.4130594654779163</v>
      </c>
      <c r="N58" s="417">
        <f t="shared" si="109"/>
        <v>-18.380317034841184</v>
      </c>
      <c r="O58" s="417">
        <f t="shared" si="109"/>
        <v>-44.767988875213234</v>
      </c>
      <c r="P58" s="417">
        <f t="shared" si="109"/>
        <v>-37.165684334865304</v>
      </c>
      <c r="Q58" s="417">
        <f t="shared" si="109"/>
        <v>-3.5499329692904578</v>
      </c>
      <c r="R58" s="417">
        <f t="shared" si="109"/>
        <v>30.860956961241996</v>
      </c>
      <c r="S58" s="417">
        <f t="shared" si="109"/>
        <v>-13.81525658216829</v>
      </c>
      <c r="T58" s="417">
        <f t="shared" si="109"/>
        <v>-19.018259375768192</v>
      </c>
      <c r="U58" s="417">
        <f t="shared" si="109"/>
        <v>-6.4641660673086045</v>
      </c>
      <c r="V58" s="417">
        <f t="shared" si="109"/>
        <v>-5.7453004482813377</v>
      </c>
      <c r="W58" s="417">
        <f t="shared" si="109"/>
        <v>-5.8174801656853408</v>
      </c>
      <c r="X58" s="417">
        <f t="shared" si="109"/>
        <v>-5.0403428489639577</v>
      </c>
      <c r="Y58" s="417">
        <f t="shared" si="109"/>
        <v>-19.264312974708758</v>
      </c>
      <c r="Z58" s="417">
        <f t="shared" si="109"/>
        <v>-72.524624222583768</v>
      </c>
      <c r="AA58" s="417">
        <f t="shared" si="109"/>
        <v>-44.162569787764234</v>
      </c>
      <c r="AB58" s="417">
        <f t="shared" si="109"/>
        <v>-51.749181307141562</v>
      </c>
      <c r="AC58" s="417">
        <f t="shared" si="109"/>
        <v>-124.40429078658441</v>
      </c>
      <c r="AD58" s="417">
        <f t="shared" si="109"/>
        <v>-15.852986172970891</v>
      </c>
      <c r="AE58" s="417">
        <f t="shared" si="109"/>
        <v>19.587379990174568</v>
      </c>
      <c r="AF58" s="417">
        <f t="shared" si="109"/>
        <v>16.038105981638896</v>
      </c>
      <c r="AG58" s="417">
        <f t="shared" si="109"/>
        <v>-2.0893422037566451</v>
      </c>
      <c r="AH58" s="417">
        <f t="shared" si="109"/>
        <v>-40.179199916892642</v>
      </c>
      <c r="AI58" s="417">
        <f t="shared" si="109"/>
        <v>-9.4424636837583193</v>
      </c>
      <c r="AJ58" s="417">
        <f t="shared" si="109"/>
        <v>-35.611540741046596</v>
      </c>
      <c r="AK58" s="417">
        <f t="shared" si="109"/>
        <v>-35.542409265689798</v>
      </c>
      <c r="AL58" s="417">
        <f t="shared" si="109"/>
        <v>-29.055038181275755</v>
      </c>
      <c r="AM58" s="417">
        <f t="shared" si="109"/>
        <v>-34.083188945414349</v>
      </c>
      <c r="AN58" s="417">
        <f t="shared" si="109"/>
        <v>-31.384260352281878</v>
      </c>
      <c r="AO58" s="417">
        <f t="shared" si="109"/>
        <v>-29.165714747529382</v>
      </c>
      <c r="AP58" s="417">
        <f t="shared" si="109"/>
        <v>-30.442817731791052</v>
      </c>
      <c r="AQ58" s="417">
        <f t="shared" si="109"/>
        <v>-17.214017802428408</v>
      </c>
      <c r="AR58" s="417">
        <f t="shared" si="109"/>
        <v>-37.239346344400303</v>
      </c>
      <c r="AS58" s="417">
        <f t="shared" si="109"/>
        <v>-38.880907361754453</v>
      </c>
      <c r="AT58" s="417">
        <f t="shared" si="109"/>
        <v>-34.607523635745203</v>
      </c>
      <c r="AU58" s="417">
        <f t="shared" si="109"/>
        <v>-34.465524662665707</v>
      </c>
      <c r="AV58" s="417">
        <f t="shared" si="109"/>
        <v>-34.036692213306523</v>
      </c>
    </row>
    <row r="59" spans="1:48" s="416" customFormat="1">
      <c r="A59"/>
      <c r="B59"/>
      <c r="C59"/>
      <c r="D59"/>
      <c r="E59"/>
      <c r="F59"/>
      <c r="G59"/>
      <c r="H59"/>
      <c r="I59"/>
      <c r="J59"/>
      <c r="K59"/>
      <c r="L59"/>
      <c r="M59"/>
      <c r="N59"/>
      <c r="O59"/>
      <c r="P59"/>
      <c r="Q59"/>
      <c r="R59"/>
      <c r="S59"/>
      <c r="T59"/>
      <c r="U59"/>
      <c r="V59"/>
      <c r="W59"/>
      <c r="X59"/>
      <c r="Y59"/>
      <c r="Z59"/>
      <c r="AA59"/>
      <c r="AB59"/>
      <c r="AC59"/>
      <c r="AD59"/>
      <c r="AE59"/>
      <c r="AF59"/>
      <c r="AG59"/>
      <c r="AH59"/>
      <c r="AI59"/>
      <c r="AJ59"/>
      <c r="AK59"/>
      <c r="AL59"/>
      <c r="AM59"/>
      <c r="AN59"/>
      <c r="AO59"/>
      <c r="AP59"/>
      <c r="AQ59"/>
      <c r="AR59"/>
      <c r="AS59"/>
      <c r="AT59"/>
      <c r="AU59"/>
      <c r="AV59"/>
    </row>
    <row r="60" spans="1:48" s="416" customFormat="1" ht="18">
      <c r="A60" s="410" t="s">
        <v>235</v>
      </c>
      <c r="B60" s="25"/>
    </row>
    <row r="61" spans="1:48" s="416" customFormat="1">
      <c r="A61" s="405" t="s">
        <v>225</v>
      </c>
      <c r="B61" s="423">
        <f>MIRR(C64:AV64,B4,B4)</f>
        <v>5.1118436862531702E-2</v>
      </c>
    </row>
    <row r="62" spans="1:48" s="416" customFormat="1">
      <c r="A62" s="405" t="s">
        <v>226</v>
      </c>
      <c r="B62" s="423">
        <f>MIRR(C64:AV64,B5,B5)</f>
        <v>6.2548562793978135E-2</v>
      </c>
    </row>
    <row r="63" spans="1:48" s="416" customFormat="1">
      <c r="A63" s="405" t="s">
        <v>236</v>
      </c>
      <c r="B63" s="426" t="s">
        <v>237</v>
      </c>
      <c r="C63" s="419">
        <v>50</v>
      </c>
    </row>
    <row r="64" spans="1:48">
      <c r="A64" s="406" t="s">
        <v>227</v>
      </c>
      <c r="C64" s="419">
        <f>C43+C63</f>
        <v>-250.00000000000006</v>
      </c>
      <c r="D64" s="419">
        <f t="shared" ref="D64:AV64" si="110">D63+D43</f>
        <v>0</v>
      </c>
      <c r="E64" s="419">
        <f t="shared" si="110"/>
        <v>-45.437300000000064</v>
      </c>
      <c r="F64" s="419">
        <f t="shared" si="110"/>
        <v>-13.002999999999986</v>
      </c>
      <c r="G64" s="419">
        <f t="shared" si="110"/>
        <v>-12.874999999999957</v>
      </c>
      <c r="H64" s="419">
        <f t="shared" si="110"/>
        <v>65.969999999999814</v>
      </c>
      <c r="I64" s="419">
        <f t="shared" si="110"/>
        <v>169.06890000000004</v>
      </c>
      <c r="J64" s="419">
        <f t="shared" si="110"/>
        <v>-17.766599999999919</v>
      </c>
      <c r="K64" s="419">
        <f t="shared" si="110"/>
        <v>38.483299999999844</v>
      </c>
      <c r="L64" s="419">
        <f t="shared" si="110"/>
        <v>108.3561999999998</v>
      </c>
      <c r="M64" s="419">
        <f t="shared" si="110"/>
        <v>13.035099999999744</v>
      </c>
      <c r="N64" s="419">
        <f t="shared" si="110"/>
        <v>32.278000000000091</v>
      </c>
      <c r="O64" s="419">
        <f t="shared" si="110"/>
        <v>81.709099999999694</v>
      </c>
      <c r="P64" s="419">
        <f t="shared" si="110"/>
        <v>68.493799999999638</v>
      </c>
      <c r="Q64" s="419">
        <f t="shared" si="110"/>
        <v>-2.0136999999999574</v>
      </c>
      <c r="R64" s="419">
        <f t="shared" si="110"/>
        <v>-79.434900000000368</v>
      </c>
      <c r="S64" s="419">
        <f t="shared" si="110"/>
        <v>23.93479999999996</v>
      </c>
      <c r="T64" s="419">
        <f t="shared" si="110"/>
        <v>37.478500000000153</v>
      </c>
      <c r="U64" s="419">
        <f t="shared" si="110"/>
        <v>6.6811000000001215</v>
      </c>
      <c r="V64" s="419">
        <f t="shared" si="110"/>
        <v>5.3554000000000883</v>
      </c>
      <c r="W64" s="419">
        <f t="shared" si="110"/>
        <v>5.7397000000000986</v>
      </c>
      <c r="X64" s="419">
        <f t="shared" si="110"/>
        <v>4.2667000000001707</v>
      </c>
      <c r="Y64" s="419">
        <f t="shared" si="110"/>
        <v>52.771600000000156</v>
      </c>
      <c r="Z64" s="419">
        <f t="shared" si="110"/>
        <v>220.17959999999999</v>
      </c>
      <c r="AA64" s="419">
        <f t="shared" si="110"/>
        <v>120.19410000000002</v>
      </c>
      <c r="AB64" s="419">
        <f t="shared" si="110"/>
        <v>119.91699999999994</v>
      </c>
      <c r="AC64" s="419">
        <f t="shared" si="110"/>
        <v>424.2679</v>
      </c>
      <c r="AD64" s="419">
        <f t="shared" si="110"/>
        <v>-18.53309999999988</v>
      </c>
      <c r="AE64" s="419">
        <f t="shared" si="110"/>
        <v>-181.30699999999968</v>
      </c>
      <c r="AF64" s="419">
        <f t="shared" si="110"/>
        <v>-176.69819999999947</v>
      </c>
      <c r="AG64" s="419">
        <f t="shared" si="110"/>
        <v>-97.991299999999967</v>
      </c>
      <c r="AH64" s="419">
        <f t="shared" si="110"/>
        <v>91.63360000000057</v>
      </c>
      <c r="AI64" s="419">
        <f t="shared" si="110"/>
        <v>-80.533999999999722</v>
      </c>
      <c r="AJ64" s="419">
        <f t="shared" si="110"/>
        <v>61.408800000000298</v>
      </c>
      <c r="AK64" s="419">
        <f t="shared" si="110"/>
        <v>56.260300000000058</v>
      </c>
      <c r="AL64" s="419">
        <f t="shared" si="110"/>
        <v>10.071999999999974</v>
      </c>
      <c r="AM64" s="419">
        <f t="shared" si="110"/>
        <v>39.456199999999953</v>
      </c>
      <c r="AN64" s="419">
        <f t="shared" si="110"/>
        <v>14.973700000000349</v>
      </c>
      <c r="AO64" s="419">
        <f t="shared" si="110"/>
        <v>-8.9738999999999862</v>
      </c>
      <c r="AP64" s="419">
        <f t="shared" si="110"/>
        <v>-3.5441999999996341</v>
      </c>
      <c r="AQ64" s="419">
        <f t="shared" si="110"/>
        <v>-112.86679999999988</v>
      </c>
      <c r="AR64" s="419">
        <f t="shared" si="110"/>
        <v>59.569100000000319</v>
      </c>
      <c r="AS64" s="419">
        <f t="shared" si="110"/>
        <v>74.53589999999997</v>
      </c>
      <c r="AT64" s="419">
        <f t="shared" si="110"/>
        <v>35.764300000000091</v>
      </c>
      <c r="AU64" s="419">
        <f t="shared" si="110"/>
        <v>31.586200000000019</v>
      </c>
      <c r="AV64" s="419">
        <f t="shared" si="110"/>
        <v>24.304800000000029</v>
      </c>
    </row>
    <row r="66" spans="1:49" s="416" customFormat="1" ht="18">
      <c r="A66" s="410" t="s">
        <v>238</v>
      </c>
      <c r="B66" s="25"/>
    </row>
    <row r="67" spans="1:49" s="416" customFormat="1">
      <c r="A67" s="405" t="s">
        <v>225</v>
      </c>
      <c r="B67" s="423">
        <f>MIRR(C70:AV70,B4,B4)</f>
        <v>7.375748869321197E-2</v>
      </c>
    </row>
    <row r="68" spans="1:49" s="416" customFormat="1">
      <c r="A68" s="405" t="s">
        <v>226</v>
      </c>
      <c r="B68" s="423">
        <f>MIRR(C70:AV70,B5,B5)</f>
        <v>8.1197094179118245E-2</v>
      </c>
    </row>
    <row r="69" spans="1:49" s="416" customFormat="1">
      <c r="A69" s="405" t="s">
        <v>236</v>
      </c>
      <c r="B69" s="426" t="s">
        <v>239</v>
      </c>
      <c r="C69" s="419">
        <v>50</v>
      </c>
    </row>
    <row r="70" spans="1:49">
      <c r="A70" s="406" t="s">
        <v>227</v>
      </c>
      <c r="C70" s="419">
        <f>C50+C69</f>
        <v>-250.00000000000006</v>
      </c>
      <c r="D70" s="419">
        <f t="shared" ref="D70:AV70" si="111">D69+D50</f>
        <v>0</v>
      </c>
      <c r="E70" s="419">
        <f t="shared" si="111"/>
        <v>-48.662360000000064</v>
      </c>
      <c r="F70" s="419">
        <f t="shared" si="111"/>
        <v>-16.229049999999987</v>
      </c>
      <c r="G70" s="419">
        <f t="shared" si="111"/>
        <v>-15.499139999999958</v>
      </c>
      <c r="H70" s="419">
        <f t="shared" si="111"/>
        <v>67.92749999999981</v>
      </c>
      <c r="I70" s="419">
        <f t="shared" si="111"/>
        <v>170.33428500000005</v>
      </c>
      <c r="J70" s="419">
        <f t="shared" si="111"/>
        <v>-16.17487699999992</v>
      </c>
      <c r="K70" s="419">
        <f t="shared" si="111"/>
        <v>50.542371999999844</v>
      </c>
      <c r="L70" s="419">
        <f t="shared" si="111"/>
        <v>110.7992039999998</v>
      </c>
      <c r="M70" s="419">
        <f t="shared" si="111"/>
        <v>16.664938999999745</v>
      </c>
      <c r="N70" s="419">
        <f t="shared" si="111"/>
        <v>34.275043000000089</v>
      </c>
      <c r="O70" s="419">
        <f t="shared" si="111"/>
        <v>87.9315399999997</v>
      </c>
      <c r="P70" s="419">
        <f t="shared" si="111"/>
        <v>76.890256999999636</v>
      </c>
      <c r="Q70" s="419">
        <f t="shared" si="111"/>
        <v>7.7357320000000414</v>
      </c>
      <c r="R70" s="419">
        <f t="shared" si="111"/>
        <v>-70.834158000000372</v>
      </c>
      <c r="S70" s="419">
        <f t="shared" si="111"/>
        <v>33.399839999999962</v>
      </c>
      <c r="T70" s="419">
        <f t="shared" si="111"/>
        <v>48.42931000000015</v>
      </c>
      <c r="U70" s="419">
        <f t="shared" si="111"/>
        <v>17.338124000000121</v>
      </c>
      <c r="V70" s="419">
        <f t="shared" si="111"/>
        <v>16.23134200000009</v>
      </c>
      <c r="W70" s="419">
        <f t="shared" si="111"/>
        <v>17.311260000000097</v>
      </c>
      <c r="X70" s="419">
        <f t="shared" si="111"/>
        <v>15.798139000000171</v>
      </c>
      <c r="Y70" s="419">
        <f t="shared" si="111"/>
        <v>63.599172000000152</v>
      </c>
      <c r="Z70" s="419">
        <f t="shared" si="111"/>
        <v>252.19443999999999</v>
      </c>
      <c r="AA70" s="419">
        <f t="shared" si="111"/>
        <v>161.75452600000003</v>
      </c>
      <c r="AB70" s="419">
        <f t="shared" si="111"/>
        <v>199.64464799999996</v>
      </c>
      <c r="AC70" s="419">
        <f t="shared" si="111"/>
        <v>505.52382999999998</v>
      </c>
      <c r="AD70" s="419">
        <f t="shared" si="111"/>
        <v>67.853060000000113</v>
      </c>
      <c r="AE70" s="419">
        <f t="shared" si="111"/>
        <v>-88.30530399999968</v>
      </c>
      <c r="AF70" s="419">
        <f t="shared" si="111"/>
        <v>-76.158012999999457</v>
      </c>
      <c r="AG70" s="419">
        <f t="shared" si="111"/>
        <v>10.450190000000035</v>
      </c>
      <c r="AH70" s="419">
        <f t="shared" si="111"/>
        <v>211.67422500000055</v>
      </c>
      <c r="AI70" s="419">
        <f t="shared" si="111"/>
        <v>52.396720000000258</v>
      </c>
      <c r="AJ70" s="419">
        <f t="shared" si="111"/>
        <v>208.14291200000028</v>
      </c>
      <c r="AK70" s="419">
        <f t="shared" si="111"/>
        <v>218.81133200000008</v>
      </c>
      <c r="AL70" s="419">
        <f t="shared" si="111"/>
        <v>188.40675999999996</v>
      </c>
      <c r="AM70" s="419">
        <f t="shared" si="111"/>
        <v>232.79161699999997</v>
      </c>
      <c r="AN70" s="419">
        <f t="shared" si="111"/>
        <v>225.78292600000037</v>
      </c>
      <c r="AO70" s="419">
        <f t="shared" si="111"/>
        <v>221.00592000000003</v>
      </c>
      <c r="AP70" s="419">
        <f t="shared" si="111"/>
        <v>242.97870600000039</v>
      </c>
      <c r="AQ70" s="419">
        <f t="shared" si="111"/>
        <v>144.71638300000012</v>
      </c>
      <c r="AR70" s="419">
        <f t="shared" si="111"/>
        <v>329.75363000000033</v>
      </c>
      <c r="AS70" s="419">
        <f t="shared" si="111"/>
        <v>362.64025499999997</v>
      </c>
      <c r="AT70" s="419">
        <f t="shared" si="111"/>
        <v>339.98693500000013</v>
      </c>
      <c r="AU70" s="419">
        <f t="shared" si="111"/>
        <v>356.63887600000004</v>
      </c>
      <c r="AV70" s="419">
        <f t="shared" si="111"/>
        <v>370.97378400000002</v>
      </c>
      <c r="AW70" s="416"/>
    </row>
    <row r="73" spans="1:49" ht="23.25">
      <c r="A73" s="633" t="s">
        <v>240</v>
      </c>
      <c r="B73" s="633"/>
      <c r="C73" s="633"/>
      <c r="D73" s="633"/>
      <c r="E73" s="633"/>
      <c r="F73" s="633"/>
      <c r="G73" s="633"/>
      <c r="H73" s="633"/>
      <c r="I73" s="633"/>
      <c r="J73" s="633"/>
      <c r="K73" s="633"/>
      <c r="L73" s="633"/>
      <c r="M73" s="633"/>
      <c r="N73" s="633"/>
      <c r="O73" s="633"/>
      <c r="P73" s="633"/>
      <c r="Q73" s="633"/>
      <c r="R73" s="633"/>
      <c r="S73" s="633"/>
      <c r="T73" s="633"/>
      <c r="U73" s="633"/>
      <c r="V73" s="633"/>
      <c r="W73" s="633"/>
      <c r="X73" s="633"/>
      <c r="Y73" s="633"/>
      <c r="Z73" s="633"/>
      <c r="AA73" s="633"/>
      <c r="AB73" s="633"/>
      <c r="AC73" s="633"/>
      <c r="AD73" s="633"/>
      <c r="AE73" s="633"/>
      <c r="AF73" s="633"/>
      <c r="AG73" s="633"/>
      <c r="AH73" s="633"/>
      <c r="AI73" s="633"/>
      <c r="AJ73" s="633"/>
      <c r="AK73" s="633"/>
      <c r="AL73" s="633"/>
      <c r="AM73" s="633"/>
      <c r="AN73" s="633"/>
      <c r="AO73" s="633"/>
      <c r="AP73" s="633"/>
      <c r="AQ73" s="633"/>
      <c r="AR73" s="633"/>
      <c r="AS73" s="633"/>
      <c r="AT73" s="633"/>
      <c r="AU73" s="633"/>
      <c r="AV73" s="633"/>
    </row>
    <row r="74" spans="1:49" ht="18">
      <c r="A74" s="413" t="s">
        <v>241</v>
      </c>
      <c r="B74" s="417">
        <f ca="1">SUM(C74:AV74)</f>
        <v>32702.530779554916</v>
      </c>
      <c r="C74" s="417">
        <f ca="1">-C96+C95</f>
        <v>-804.2973586770197</v>
      </c>
      <c r="D74" s="417">
        <f t="shared" ref="D74:AV74" ca="1" si="112">-D96+D95</f>
        <v>-797.1128546874919</v>
      </c>
      <c r="E74" s="417">
        <f t="shared" ca="1" si="112"/>
        <v>-748.99004016544313</v>
      </c>
      <c r="F74" s="417">
        <f t="shared" ca="1" si="112"/>
        <v>-597.05727572108833</v>
      </c>
      <c r="G74" s="417">
        <f t="shared" ca="1" si="112"/>
        <v>-1360.7877907363393</v>
      </c>
      <c r="H74" s="417">
        <f t="shared" ca="1" si="112"/>
        <v>-637.14162375442334</v>
      </c>
      <c r="I74" s="417">
        <f t="shared" ca="1" si="112"/>
        <v>-678.6518428462374</v>
      </c>
      <c r="J74" s="417">
        <f t="shared" ca="1" si="112"/>
        <v>-291.22776818634151</v>
      </c>
      <c r="K74" s="417">
        <f t="shared" ca="1" si="112"/>
        <v>-179.1462130255685</v>
      </c>
      <c r="L74" s="417">
        <f t="shared" ca="1" si="112"/>
        <v>-543.35871694733271</v>
      </c>
      <c r="M74" s="417">
        <f t="shared" ca="1" si="112"/>
        <v>-169.46554041467311</v>
      </c>
      <c r="N74" s="417">
        <f t="shared" ca="1" si="112"/>
        <v>-476.60671758327669</v>
      </c>
      <c r="O74" s="417">
        <f t="shared" ca="1" si="112"/>
        <v>-277.14597592251721</v>
      </c>
      <c r="P74" s="417">
        <f t="shared" ca="1" si="112"/>
        <v>-136.45890897134223</v>
      </c>
      <c r="Q74" s="417">
        <f t="shared" ca="1" si="112"/>
        <v>-500.55061636722348</v>
      </c>
      <c r="R74" s="417">
        <f t="shared" ca="1" si="112"/>
        <v>-850.17687115058243</v>
      </c>
      <c r="S74" s="417">
        <f t="shared" ca="1" si="112"/>
        <v>-383.19130631374946</v>
      </c>
      <c r="T74" s="417">
        <f t="shared" ca="1" si="112"/>
        <v>395.50337627916883</v>
      </c>
      <c r="U74" s="417">
        <f t="shared" ca="1" si="112"/>
        <v>461.82073278119447</v>
      </c>
      <c r="V74" s="417">
        <f t="shared" ca="1" si="112"/>
        <v>484.52337374515696</v>
      </c>
      <c r="W74" s="417">
        <f t="shared" ca="1" si="112"/>
        <v>521.52671888278724</v>
      </c>
      <c r="X74" s="417">
        <f t="shared" ca="1" si="112"/>
        <v>586.28693104428362</v>
      </c>
      <c r="Y74" s="417">
        <f t="shared" ca="1" si="112"/>
        <v>645.92836928738052</v>
      </c>
      <c r="Z74" s="417">
        <f t="shared" ca="1" si="112"/>
        <v>680.36680194464407</v>
      </c>
      <c r="AA74" s="417">
        <f t="shared" ca="1" si="112"/>
        <v>667.76080842440024</v>
      </c>
      <c r="AB74" s="417">
        <f t="shared" ca="1" si="112"/>
        <v>517.40634389419438</v>
      </c>
      <c r="AC74" s="417">
        <f t="shared" ca="1" si="112"/>
        <v>757.77226046180658</v>
      </c>
      <c r="AD74" s="417">
        <f t="shared" ca="1" si="112"/>
        <v>1050.105053636767</v>
      </c>
      <c r="AE74" s="417">
        <f t="shared" ca="1" si="112"/>
        <v>1155.6398250786256</v>
      </c>
      <c r="AF74" s="417">
        <f t="shared" ca="1" si="112"/>
        <v>542.25590183535132</v>
      </c>
      <c r="AG74" s="417">
        <f t="shared" ca="1" si="112"/>
        <v>1589.8179865295069</v>
      </c>
      <c r="AH74" s="417">
        <f t="shared" ca="1" si="112"/>
        <v>1498.6719492881475</v>
      </c>
      <c r="AI74" s="417">
        <f t="shared" ca="1" si="112"/>
        <v>1883.618236476319</v>
      </c>
      <c r="AJ74" s="417">
        <f t="shared" ca="1" si="112"/>
        <v>2050.6077135184246</v>
      </c>
      <c r="AK74" s="417">
        <f t="shared" ca="1" si="112"/>
        <v>1745.2721679848592</v>
      </c>
      <c r="AL74" s="417">
        <f t="shared" ca="1" si="112"/>
        <v>2203.9605075279064</v>
      </c>
      <c r="AM74" s="417">
        <f t="shared" ca="1" si="112"/>
        <v>1865.6094792824638</v>
      </c>
      <c r="AN74" s="417">
        <f t="shared" ca="1" si="112"/>
        <v>2115.1006803206155</v>
      </c>
      <c r="AO74" s="417">
        <f t="shared" ca="1" si="112"/>
        <v>2235.8965717534729</v>
      </c>
      <c r="AP74" s="417">
        <f t="shared" ca="1" si="112"/>
        <v>1909.6204461368029</v>
      </c>
      <c r="AQ74" s="417">
        <f t="shared" ca="1" si="112"/>
        <v>1583.2122243354738</v>
      </c>
      <c r="AR74" s="417">
        <f t="shared" ca="1" si="112"/>
        <v>2067.3536330191027</v>
      </c>
      <c r="AS74" s="417">
        <f t="shared" ca="1" si="112"/>
        <v>2739.7560574709987</v>
      </c>
      <c r="AT74" s="417">
        <f t="shared" ca="1" si="112"/>
        <v>2814.7335909793583</v>
      </c>
      <c r="AU74" s="417">
        <f t="shared" ca="1" si="112"/>
        <v>2700.1988974031674</v>
      </c>
      <c r="AV74" s="417">
        <f t="shared" ca="1" si="112"/>
        <v>2663.5715617031883</v>
      </c>
    </row>
    <row r="75" spans="1:49" ht="18">
      <c r="A75" s="413" t="s">
        <v>242</v>
      </c>
      <c r="B75" s="417">
        <f t="shared" ref="B75:B76" ca="1" si="113">SUM(C75:AV75)</f>
        <v>3470.2212919750705</v>
      </c>
      <c r="C75" s="417">
        <f t="shared" ref="C75:AV75" ca="1" si="114">C74/(1+$B$4)^(C$9-$C$9+1)</f>
        <v>-773.36284488174965</v>
      </c>
      <c r="D75" s="417">
        <f t="shared" ca="1" si="114"/>
        <v>-736.97564227763667</v>
      </c>
      <c r="E75" s="417">
        <f t="shared" ca="1" si="114"/>
        <v>-665.84941838786119</v>
      </c>
      <c r="F75" s="417">
        <f t="shared" ca="1" si="114"/>
        <v>-510.36706157117681</v>
      </c>
      <c r="G75" s="417">
        <f t="shared" ca="1" si="114"/>
        <v>-1118.4683717533692</v>
      </c>
      <c r="H75" s="417">
        <f t="shared" ca="1" si="114"/>
        <v>-503.54228020041199</v>
      </c>
      <c r="I75" s="417">
        <f t="shared" ca="1" si="114"/>
        <v>-515.71962434126306</v>
      </c>
      <c r="J75" s="417">
        <f t="shared" ca="1" si="114"/>
        <v>-212.79727763834808</v>
      </c>
      <c r="K75" s="417">
        <f t="shared" ca="1" si="114"/>
        <v>-125.86575300094394</v>
      </c>
      <c r="L75" s="417">
        <f t="shared" ca="1" si="114"/>
        <v>-367.07367998877714</v>
      </c>
      <c r="M75" s="417">
        <f t="shared" ca="1" si="114"/>
        <v>-110.08158361043598</v>
      </c>
      <c r="N75" s="417">
        <f t="shared" ca="1" si="114"/>
        <v>-297.68714961255398</v>
      </c>
      <c r="O75" s="417">
        <f t="shared" ca="1" si="114"/>
        <v>-166.44669121556925</v>
      </c>
      <c r="P75" s="417">
        <f t="shared" ca="1" si="114"/>
        <v>-78.801619759999113</v>
      </c>
      <c r="Q75" s="417">
        <f t="shared" ca="1" si="114"/>
        <v>-277.93798907996955</v>
      </c>
      <c r="R75" s="417">
        <f t="shared" ca="1" si="114"/>
        <v>-453.91638228630381</v>
      </c>
      <c r="S75" s="417">
        <f t="shared" ca="1" si="114"/>
        <v>-196.72016470446951</v>
      </c>
      <c r="T75" s="417">
        <f t="shared" ca="1" si="114"/>
        <v>195.23158848631817</v>
      </c>
      <c r="U75" s="417">
        <f t="shared" ca="1" si="114"/>
        <v>219.19971208351038</v>
      </c>
      <c r="V75" s="417">
        <f t="shared" ca="1" si="114"/>
        <v>221.13014290669949</v>
      </c>
      <c r="W75" s="417">
        <f t="shared" ca="1" si="114"/>
        <v>228.86344864739897</v>
      </c>
      <c r="X75" s="417">
        <f t="shared" ca="1" si="114"/>
        <v>247.386928676986</v>
      </c>
      <c r="Y75" s="417">
        <f t="shared" ca="1" si="114"/>
        <v>262.07014885697117</v>
      </c>
      <c r="Z75" s="417">
        <f t="shared" ca="1" si="114"/>
        <v>265.42569986944005</v>
      </c>
      <c r="AA75" s="417">
        <f t="shared" ca="1" si="114"/>
        <v>250.48829912668273</v>
      </c>
      <c r="AB75" s="417">
        <f t="shared" ca="1" si="114"/>
        <v>186.6228972956778</v>
      </c>
      <c r="AC75" s="417">
        <f t="shared" ca="1" si="114"/>
        <v>262.80797631397064</v>
      </c>
      <c r="AD75" s="417">
        <f t="shared" ca="1" si="114"/>
        <v>350.18637786519179</v>
      </c>
      <c r="AE75" s="417">
        <f t="shared" ca="1" si="114"/>
        <v>370.55754478628938</v>
      </c>
      <c r="AF75" s="417">
        <f t="shared" ca="1" si="114"/>
        <v>167.18761735460129</v>
      </c>
      <c r="AG75" s="417">
        <f t="shared" ca="1" si="114"/>
        <v>471.31784992977174</v>
      </c>
      <c r="AH75" s="417">
        <f t="shared" ca="1" si="114"/>
        <v>427.20833869605298</v>
      </c>
      <c r="AI75" s="417">
        <f t="shared" ca="1" si="114"/>
        <v>516.28878303583508</v>
      </c>
      <c r="AJ75" s="417">
        <f t="shared" ca="1" si="114"/>
        <v>540.44194775821586</v>
      </c>
      <c r="AK75" s="417">
        <f t="shared" ca="1" si="114"/>
        <v>442.27896799712192</v>
      </c>
      <c r="AL75" s="417">
        <f t="shared" ca="1" si="114"/>
        <v>537.03623988417553</v>
      </c>
      <c r="AM75" s="417">
        <f t="shared" ca="1" si="114"/>
        <v>437.10642047490825</v>
      </c>
      <c r="AN75" s="417">
        <f t="shared" ca="1" si="114"/>
        <v>476.50136775562305</v>
      </c>
      <c r="AO75" s="417">
        <f t="shared" ca="1" si="114"/>
        <v>484.34127133150304</v>
      </c>
      <c r="AP75" s="417">
        <f t="shared" ca="1" si="114"/>
        <v>397.75301839465391</v>
      </c>
      <c r="AQ75" s="417">
        <f t="shared" ca="1" si="114"/>
        <v>317.08246317839013</v>
      </c>
      <c r="AR75" s="417">
        <f t="shared" ca="1" si="114"/>
        <v>398.12048188055593</v>
      </c>
      <c r="AS75" s="417">
        <f t="shared" ca="1" si="114"/>
        <v>507.31570378298181</v>
      </c>
      <c r="AT75" s="417">
        <f t="shared" ca="1" si="114"/>
        <v>501.15303737725338</v>
      </c>
      <c r="AU75" s="417">
        <f t="shared" ca="1" si="114"/>
        <v>462.2697629131406</v>
      </c>
      <c r="AV75" s="417">
        <f t="shared" ca="1" si="114"/>
        <v>438.46078962598688</v>
      </c>
    </row>
    <row r="76" spans="1:49" ht="18">
      <c r="A76" s="413" t="s">
        <v>243</v>
      </c>
      <c r="B76" s="417">
        <f t="shared" ca="1" si="113"/>
        <v>-355.39886487253153</v>
      </c>
      <c r="C76" s="417">
        <f t="shared" ref="C76:AV76" ca="1" si="115">(C96+-C95)/(1+$B$5)^(C$9-$C$9+1)</f>
        <v>763.59760626319166</v>
      </c>
      <c r="D76" s="417">
        <f t="shared" ca="1" si="115"/>
        <v>718.48159002638886</v>
      </c>
      <c r="E76" s="417">
        <f t="shared" ca="1" si="115"/>
        <v>640.94356270238245</v>
      </c>
      <c r="F76" s="417">
        <f t="shared" ca="1" si="115"/>
        <v>485.0736216241209</v>
      </c>
      <c r="G76" s="417">
        <f t="shared" ca="1" si="115"/>
        <v>1049.6148901801857</v>
      </c>
      <c r="H76" s="417">
        <f t="shared" ca="1" si="115"/>
        <v>466.57715740772375</v>
      </c>
      <c r="I76" s="417">
        <f t="shared" ca="1" si="115"/>
        <v>471.82662404924002</v>
      </c>
      <c r="J76" s="417">
        <f t="shared" ca="1" si="115"/>
        <v>192.22776147765055</v>
      </c>
      <c r="K76" s="417">
        <f t="shared" ca="1" si="115"/>
        <v>112.26357662716606</v>
      </c>
      <c r="L76" s="417">
        <f t="shared" ca="1" si="115"/>
        <v>323.27029300928768</v>
      </c>
      <c r="M76" s="417">
        <f t="shared" ca="1" si="115"/>
        <v>95.72127502373057</v>
      </c>
      <c r="N76" s="417">
        <f t="shared" ca="1" si="115"/>
        <v>255.58487468901552</v>
      </c>
      <c r="O76" s="417">
        <f t="shared" ca="1" si="115"/>
        <v>141.1014519580734</v>
      </c>
      <c r="P76" s="417">
        <f t="shared" ca="1" si="115"/>
        <v>65.958795475336345</v>
      </c>
      <c r="Q76" s="417">
        <f t="shared" ca="1" si="115"/>
        <v>229.70303726145852</v>
      </c>
      <c r="R76" s="417">
        <f t="shared" ca="1" si="115"/>
        <v>370.40423110586516</v>
      </c>
      <c r="S76" s="417">
        <f t="shared" ca="1" si="115"/>
        <v>158.50034661186103</v>
      </c>
      <c r="T76" s="417">
        <f t="shared" ca="1" si="115"/>
        <v>-155.31474212763416</v>
      </c>
      <c r="U76" s="417">
        <f t="shared" ca="1" si="115"/>
        <v>-172.18044524446654</v>
      </c>
      <c r="V76" s="417">
        <f t="shared" ca="1" si="115"/>
        <v>-171.50352425454537</v>
      </c>
      <c r="W76" s="417">
        <f t="shared" ca="1" si="115"/>
        <v>-175.25999511159515</v>
      </c>
      <c r="X76" s="417">
        <f t="shared" ca="1" si="115"/>
        <v>-187.05286365248767</v>
      </c>
      <c r="Y76" s="417">
        <f t="shared" ca="1" si="115"/>
        <v>-195.65296015481658</v>
      </c>
      <c r="Z76" s="417">
        <f t="shared" ca="1" si="115"/>
        <v>-195.65596547075501</v>
      </c>
      <c r="AA76" s="417">
        <f t="shared" ca="1" si="115"/>
        <v>-182.31349707999166</v>
      </c>
      <c r="AB76" s="417">
        <f t="shared" ca="1" si="115"/>
        <v>-134.11506377894943</v>
      </c>
      <c r="AC76" s="417">
        <f t="shared" ca="1" si="115"/>
        <v>-186.48007283949002</v>
      </c>
      <c r="AD76" s="417">
        <f t="shared" ca="1" si="115"/>
        <v>-245.34340670075153</v>
      </c>
      <c r="AE76" s="417">
        <f t="shared" ca="1" si="115"/>
        <v>-256.33744928383913</v>
      </c>
      <c r="AF76" s="417">
        <f t="shared" ca="1" si="115"/>
        <v>-114.19359933674487</v>
      </c>
      <c r="AG76" s="417">
        <f t="shared" ca="1" si="115"/>
        <v>-317.85774378719486</v>
      </c>
      <c r="AH76" s="417">
        <f t="shared" ca="1" si="115"/>
        <v>-284.47223491800906</v>
      </c>
      <c r="AI76" s="417">
        <f t="shared" ca="1" si="115"/>
        <v>-339.44866762637889</v>
      </c>
      <c r="AJ76" s="417">
        <f t="shared" ca="1" si="115"/>
        <v>-350.84211819745121</v>
      </c>
      <c r="AK76" s="417">
        <f t="shared" ca="1" si="115"/>
        <v>-283.4916140199519</v>
      </c>
      <c r="AL76" s="417">
        <f t="shared" ca="1" si="115"/>
        <v>-339.88247924993362</v>
      </c>
      <c r="AM76" s="417">
        <f t="shared" ca="1" si="115"/>
        <v>-273.14523263413002</v>
      </c>
      <c r="AN76" s="417">
        <f t="shared" ca="1" si="115"/>
        <v>-294.00305682313024</v>
      </c>
      <c r="AO76" s="417">
        <f t="shared" ca="1" si="115"/>
        <v>-295.0668543934961</v>
      </c>
      <c r="AP76" s="417">
        <f t="shared" ca="1" si="115"/>
        <v>-239.25646874851705</v>
      </c>
      <c r="AQ76" s="417">
        <f t="shared" ca="1" si="115"/>
        <v>-188.32313833281131</v>
      </c>
      <c r="AR76" s="417">
        <f t="shared" ca="1" si="115"/>
        <v>-233.46793166872052</v>
      </c>
      <c r="AS76" s="417">
        <f t="shared" ca="1" si="115"/>
        <v>-293.74621266007966</v>
      </c>
      <c r="AT76" s="417">
        <f t="shared" ca="1" si="115"/>
        <v>-286.51383112161085</v>
      </c>
      <c r="AU76" s="417">
        <f t="shared" ca="1" si="115"/>
        <v>-260.94679507836832</v>
      </c>
      <c r="AV76" s="417">
        <f t="shared" ca="1" si="115"/>
        <v>-244.38159606935352</v>
      </c>
    </row>
    <row r="78" spans="1:49" ht="18">
      <c r="A78" s="410" t="s">
        <v>244</v>
      </c>
    </row>
    <row r="79" spans="1:49" ht="18">
      <c r="A79" s="410"/>
      <c r="B79" s="17"/>
    </row>
    <row r="80" spans="1:49">
      <c r="A80" s="405" t="s">
        <v>245</v>
      </c>
      <c r="B80" s="463">
        <v>1.07732719095195</v>
      </c>
      <c r="C80" t="s">
        <v>246</v>
      </c>
    </row>
    <row r="81" spans="1:49" ht="15" customHeight="1">
      <c r="A81" s="405" t="s">
        <v>247</v>
      </c>
      <c r="B81" s="452">
        <f>IF(B80&gt;0,B80*'High Level Dashboard'!F53,'High Level Dashboard'!F53)</f>
        <v>0.80133044333810577</v>
      </c>
      <c r="F81" s="17"/>
    </row>
    <row r="82" spans="1:49" ht="15" customHeight="1">
      <c r="A82" s="405" t="s">
        <v>248</v>
      </c>
      <c r="B82" s="446">
        <f ca="1">(('High Level Dashboard'!$C$54 / (SUM('High Level Dashboard'!$C$53:'High Level Dashboard'!$C$56) - 'High Level Dashboard'!$C$53)) * (SUM('High Level Dashboard'!$C$53:'High Level Dashboard'!$C$56) - B81))</f>
        <v>8.6155357463275684E-2</v>
      </c>
      <c r="C82" s="453"/>
    </row>
    <row r="83" spans="1:49" ht="15" customHeight="1">
      <c r="A83" s="405" t="s">
        <v>249</v>
      </c>
      <c r="B83" s="446">
        <f ca="1">(('High Level Dashboard'!$C$55 / (SUM('High Level Dashboard'!$C$53:'High Level Dashboard'!$C$56) - 'High Level Dashboard'!$C$53)) * (SUM('High Level Dashboard'!$C$53:'High Level Dashboard'!$C$56) - B81))</f>
        <v>9.4464394767739435E-2</v>
      </c>
      <c r="C83" s="449"/>
    </row>
    <row r="84" spans="1:49" ht="15" customHeight="1">
      <c r="A84" s="405" t="s">
        <v>250</v>
      </c>
      <c r="B84" s="446">
        <f ca="1">('High Level Dashboard'!$C$56 / (SUM('High Level Dashboard'!$C$53:'High Level Dashboard'!$C$56) - 'High Level Dashboard'!$C$53)) * (SUM('High Level Dashboard'!$C$53:'High Level Dashboard'!$C$56) - B81)</f>
        <v>1.8049804430877361E-2</v>
      </c>
    </row>
    <row r="85" spans="1:49" ht="15" customHeight="1">
      <c r="A85" s="443" t="s">
        <v>251</v>
      </c>
      <c r="B85" s="445">
        <f>B80*SUM($C$96:$AV$96)</f>
        <v>91513.053399891694</v>
      </c>
      <c r="C85" s="448" t="s">
        <v>252</v>
      </c>
      <c r="D85" s="448"/>
      <c r="E85" s="448"/>
      <c r="F85" s="448"/>
    </row>
    <row r="86" spans="1:49" ht="15" customHeight="1">
      <c r="A86" s="443" t="s">
        <v>253</v>
      </c>
      <c r="B86" s="445">
        <f ca="1">B82*SUM($C$96:$AV$96)</f>
        <v>7318.4264673174448</v>
      </c>
    </row>
    <row r="87" spans="1:49" ht="15" customHeight="1">
      <c r="A87" s="443" t="s">
        <v>254</v>
      </c>
      <c r="B87" s="445">
        <f ca="1">B83*SUM($C$96:$AV$96)</f>
        <v>8024.2337475302375</v>
      </c>
    </row>
    <row r="88" spans="1:49" ht="15" customHeight="1">
      <c r="A88" s="443" t="s">
        <v>255</v>
      </c>
      <c r="B88" s="445">
        <f ca="1">B84*SUM($C$96:$AV$96)</f>
        <v>1533.2321792425209</v>
      </c>
    </row>
    <row r="89" spans="1:49" ht="15" customHeight="1">
      <c r="A89" s="405" t="s">
        <v>256</v>
      </c>
      <c r="B89" s="419">
        <f>B85-(SUM($C$96:$AV$96)*'High Level Dashboard'!C53)</f>
        <v>23444.41439398205</v>
      </c>
    </row>
    <row r="90" spans="1:49" ht="15" customHeight="1">
      <c r="A90" s="442"/>
    </row>
    <row r="91" spans="1:49" ht="18">
      <c r="A91" s="424" t="s">
        <v>170</v>
      </c>
      <c r="B91" s="456">
        <f ca="1">IF(B80&gt;0,'High Level Dashboard'!E34,0)</f>
        <v>5.3333243291175086E-2</v>
      </c>
      <c r="C91" s="444" t="s">
        <v>257</v>
      </c>
    </row>
    <row r="93" spans="1:49" ht="21">
      <c r="A93" s="437" t="s">
        <v>258</v>
      </c>
      <c r="B93" s="439">
        <f ca="1">SUM(C93:AB93)</f>
        <v>-282.26623482246441</v>
      </c>
      <c r="C93" s="439">
        <f ca="1">C106-C95</f>
        <v>-16.279528527806729</v>
      </c>
      <c r="D93" s="439">
        <f t="shared" ref="D93:W93" ca="1" si="116">D106-D95</f>
        <v>-16.368079607524948</v>
      </c>
      <c r="E93" s="439">
        <f t="shared" ca="1" si="116"/>
        <v>-18.352959072661577</v>
      </c>
      <c r="F93" s="439">
        <f t="shared" ca="1" si="116"/>
        <v>-18.198477072661916</v>
      </c>
      <c r="G93" s="439">
        <f t="shared" ca="1" si="116"/>
        <v>-18.079858613440422</v>
      </c>
      <c r="H93" s="439">
        <f t="shared" ca="1" si="116"/>
        <v>-14.848430818710483</v>
      </c>
      <c r="I93" s="439">
        <f t="shared" ca="1" si="116"/>
        <v>-22.594842705237113</v>
      </c>
      <c r="J93" s="439">
        <f t="shared" ca="1" si="116"/>
        <v>-34.943272199879175</v>
      </c>
      <c r="K93" s="439">
        <f t="shared" ca="1" si="116"/>
        <v>-44.586879270282793</v>
      </c>
      <c r="L93" s="439">
        <f t="shared" ca="1" si="116"/>
        <v>-48.195392563217069</v>
      </c>
      <c r="M93" s="439">
        <f t="shared" ca="1" si="116"/>
        <v>-66.206169485136456</v>
      </c>
      <c r="N93" s="439">
        <f t="shared" ca="1" si="116"/>
        <v>-74.721754162285379</v>
      </c>
      <c r="O93" s="439">
        <f t="shared" ca="1" si="116"/>
        <v>-78.604698255342782</v>
      </c>
      <c r="P93" s="439">
        <f t="shared" ca="1" si="116"/>
        <v>-84.247626058883043</v>
      </c>
      <c r="Q93" s="439">
        <f t="shared" ca="1" si="116"/>
        <v>-92.029715404132276</v>
      </c>
      <c r="R93" s="439">
        <f t="shared" ca="1" si="116"/>
        <v>-107.74424551836046</v>
      </c>
      <c r="S93" s="439">
        <f t="shared" ca="1" si="116"/>
        <v>-117.41548979537356</v>
      </c>
      <c r="T93" s="439">
        <f t="shared" ca="1" si="116"/>
        <v>-131.78276803534209</v>
      </c>
      <c r="U93" s="439">
        <f t="shared" ca="1" si="116"/>
        <v>-145.70753874521779</v>
      </c>
      <c r="V93" s="439">
        <f t="shared" ca="1" si="116"/>
        <v>-159.76901111688949</v>
      </c>
      <c r="W93" s="439">
        <f t="shared" ca="1" si="116"/>
        <v>-182.05121851414106</v>
      </c>
      <c r="X93" s="439">
        <f t="shared" ref="X93:AU93" ca="1" si="117">X95-X106</f>
        <v>212.70067508683132</v>
      </c>
      <c r="Y93" s="439">
        <f t="shared" ca="1" si="117"/>
        <v>235.70075255488882</v>
      </c>
      <c r="Z93" s="439">
        <f t="shared" ca="1" si="117"/>
        <v>240.90712201045744</v>
      </c>
      <c r="AA93" s="439">
        <f t="shared" ca="1" si="117"/>
        <v>253.8048014573169</v>
      </c>
      <c r="AB93" s="439">
        <f t="shared" ca="1" si="117"/>
        <v>267.34836961056772</v>
      </c>
      <c r="AC93" s="439">
        <f ca="1">AC95-AC106</f>
        <v>265.36513330873549</v>
      </c>
      <c r="AD93" s="439">
        <f t="shared" ca="1" si="117"/>
        <v>268.36439889182839</v>
      </c>
      <c r="AE93" s="439">
        <f t="shared" ca="1" si="117"/>
        <v>283.01924840807624</v>
      </c>
      <c r="AF93" s="439">
        <f t="shared" ca="1" si="117"/>
        <v>295.43534745340412</v>
      </c>
      <c r="AG93" s="439">
        <f t="shared" ca="1" si="117"/>
        <v>313.17637805320965</v>
      </c>
      <c r="AH93" s="439">
        <f t="shared" ca="1" si="117"/>
        <v>313.32865992361258</v>
      </c>
      <c r="AI93" s="439">
        <f t="shared" ca="1" si="117"/>
        <v>323.37052508152192</v>
      </c>
      <c r="AJ93" s="439">
        <f t="shared" ca="1" si="117"/>
        <v>338.64294547601958</v>
      </c>
      <c r="AK93" s="439">
        <f t="shared" ca="1" si="117"/>
        <v>356.33026038778598</v>
      </c>
      <c r="AL93" s="439">
        <f t="shared" ca="1" si="117"/>
        <v>395.25785175003875</v>
      </c>
      <c r="AM93" s="439">
        <f t="shared" ca="1" si="117"/>
        <v>416.35853445774728</v>
      </c>
      <c r="AN93" s="439">
        <f t="shared" ca="1" si="117"/>
        <v>435.90760710005407</v>
      </c>
      <c r="AO93" s="439">
        <f t="shared" ca="1" si="117"/>
        <v>457.89387899831127</v>
      </c>
      <c r="AP93" s="439">
        <f t="shared" ca="1" si="117"/>
        <v>476.03129918882314</v>
      </c>
      <c r="AQ93" s="439">
        <f t="shared" ca="1" si="117"/>
        <v>507.11991643184774</v>
      </c>
      <c r="AR93" s="439">
        <f t="shared" ca="1" si="117"/>
        <v>514.35717671316888</v>
      </c>
      <c r="AS93" s="439">
        <f t="shared" ca="1" si="117"/>
        <v>514.58818308333593</v>
      </c>
      <c r="AT93" s="439">
        <f t="shared" ca="1" si="117"/>
        <v>521.5283629503574</v>
      </c>
      <c r="AU93" s="439">
        <f t="shared" ca="1" si="117"/>
        <v>539.31355930420523</v>
      </c>
      <c r="AV93" s="439">
        <f ca="1">AV95-AV106</f>
        <v>567.39944342780836</v>
      </c>
      <c r="AW93" s="416"/>
    </row>
    <row r="94" spans="1:49">
      <c r="C94" s="465"/>
      <c r="D94" s="465"/>
      <c r="E94" s="465"/>
      <c r="F94" s="465"/>
      <c r="G94" s="465"/>
      <c r="H94" s="465"/>
      <c r="I94" s="465"/>
      <c r="J94" s="465"/>
      <c r="K94" s="465"/>
      <c r="L94" s="465"/>
      <c r="M94" s="465"/>
      <c r="N94" s="465"/>
      <c r="O94" s="465"/>
      <c r="P94" s="465"/>
      <c r="Q94" s="465"/>
      <c r="R94" s="465"/>
      <c r="S94" s="465"/>
      <c r="T94" s="465"/>
      <c r="U94" s="465"/>
      <c r="V94" s="465"/>
      <c r="W94" s="465"/>
      <c r="X94" s="465"/>
      <c r="Y94" s="465"/>
      <c r="Z94" s="465"/>
      <c r="AA94" s="465"/>
      <c r="AB94" s="465"/>
      <c r="AC94" s="465"/>
      <c r="AD94" s="465"/>
      <c r="AE94" s="465"/>
      <c r="AF94" s="465"/>
      <c r="AG94" s="465"/>
      <c r="AH94" s="465"/>
      <c r="AI94" s="465"/>
      <c r="AJ94" s="465"/>
      <c r="AK94" s="465"/>
      <c r="AL94" s="465"/>
      <c r="AM94" s="465"/>
      <c r="AN94" s="465"/>
      <c r="AO94" s="465"/>
      <c r="AP94" s="465"/>
      <c r="AQ94" s="465"/>
      <c r="AR94" s="465"/>
      <c r="AS94" s="465"/>
      <c r="AT94" s="465"/>
      <c r="AU94" s="465"/>
      <c r="AV94" s="465"/>
    </row>
    <row r="95" spans="1:49" s="430" customFormat="1" ht="21">
      <c r="A95" s="437" t="str">
        <f>'OSeMOSYS (Input)'!$C$4&amp;" Financing Requirements"</f>
        <v>NetZero Financing Requirements</v>
      </c>
      <c r="B95" s="437"/>
      <c r="C95" s="438">
        <f ca="1">SUM(C97:C104)</f>
        <v>45.985741322980275</v>
      </c>
      <c r="D95" s="438">
        <f t="shared" ref="D95:AV95" ca="1" si="118">SUM(D97:D104)</f>
        <v>94.18994531250803</v>
      </c>
      <c r="E95" s="438">
        <f t="shared" ca="1" si="118"/>
        <v>143.32075983455695</v>
      </c>
      <c r="F95" s="438">
        <f t="shared" ca="1" si="118"/>
        <v>186.82472427891173</v>
      </c>
      <c r="G95" s="438">
        <f t="shared" ca="1" si="118"/>
        <v>276.49340926366062</v>
      </c>
      <c r="H95" s="438">
        <f t="shared" ca="1" si="118"/>
        <v>329.7970762455767</v>
      </c>
      <c r="I95" s="438">
        <f t="shared" ca="1" si="118"/>
        <v>422.04775715376252</v>
      </c>
      <c r="J95" s="438">
        <f t="shared" ca="1" si="118"/>
        <v>501.36223181365841</v>
      </c>
      <c r="K95" s="438">
        <f t="shared" ca="1" si="118"/>
        <v>579.59368697443153</v>
      </c>
      <c r="L95" s="438">
        <f t="shared" ca="1" si="118"/>
        <v>678.69348305266715</v>
      </c>
      <c r="M95" s="438">
        <f t="shared" ca="1" si="118"/>
        <v>794.34975958532698</v>
      </c>
      <c r="N95" s="438">
        <f t="shared" ca="1" si="118"/>
        <v>911.76758241672326</v>
      </c>
      <c r="O95" s="438">
        <f t="shared" ca="1" si="118"/>
        <v>1027.816924077483</v>
      </c>
      <c r="P95" s="438">
        <f t="shared" ca="1" si="118"/>
        <v>1130.9896910286577</v>
      </c>
      <c r="Q95" s="438">
        <f t="shared" ca="1" si="118"/>
        <v>1258.6453836327767</v>
      </c>
      <c r="R95" s="438">
        <f t="shared" ca="1" si="118"/>
        <v>1430.0383288494172</v>
      </c>
      <c r="S95" s="438">
        <f t="shared" ca="1" si="118"/>
        <v>1573.4655936862507</v>
      </c>
      <c r="T95" s="438">
        <f t="shared" ca="1" si="118"/>
        <v>1696.8590762791689</v>
      </c>
      <c r="U95" s="438">
        <f t="shared" ca="1" si="118"/>
        <v>1821.1775327811945</v>
      </c>
      <c r="V95" s="438">
        <f t="shared" ca="1" si="118"/>
        <v>1948.246073745157</v>
      </c>
      <c r="W95" s="438">
        <f t="shared" ca="1" si="118"/>
        <v>2096.5668188827872</v>
      </c>
      <c r="X95" s="438">
        <f t="shared" ca="1" si="118"/>
        <v>2273.8250310442836</v>
      </c>
      <c r="Y95" s="438">
        <f t="shared" ca="1" si="118"/>
        <v>2446.9159692873804</v>
      </c>
      <c r="Z95" s="438">
        <f t="shared" ca="1" si="118"/>
        <v>2602.6571019446442</v>
      </c>
      <c r="AA95" s="438">
        <f t="shared" ca="1" si="118"/>
        <v>2767.4596084244004</v>
      </c>
      <c r="AB95" s="438">
        <f t="shared" ca="1" si="118"/>
        <v>2947.7619438941942</v>
      </c>
      <c r="AC95" s="438">
        <f t="shared" ca="1" si="118"/>
        <v>3125.8391604618064</v>
      </c>
      <c r="AD95" s="438">
        <f t="shared" ca="1" si="118"/>
        <v>3258.022753636767</v>
      </c>
      <c r="AE95" s="438">
        <f t="shared" ca="1" si="118"/>
        <v>3381.4153250786253</v>
      </c>
      <c r="AF95" s="438">
        <f t="shared" ca="1" si="118"/>
        <v>3546.3957018353508</v>
      </c>
      <c r="AG95" s="438">
        <f t="shared" ca="1" si="118"/>
        <v>3669.9359865295069</v>
      </c>
      <c r="AH95" s="438">
        <f t="shared" ca="1" si="118"/>
        <v>3779.3605492881475</v>
      </c>
      <c r="AI95" s="438">
        <f t="shared" ca="1" si="118"/>
        <v>3893.044936476319</v>
      </c>
      <c r="AJ95" s="438">
        <f t="shared" ca="1" si="118"/>
        <v>4005.7107135184247</v>
      </c>
      <c r="AK95" s="438">
        <f t="shared" ca="1" si="118"/>
        <v>4138.4297679848587</v>
      </c>
      <c r="AL95" s="438">
        <f t="shared" ca="1" si="118"/>
        <v>4287.9104075279065</v>
      </c>
      <c r="AM95" s="438">
        <f t="shared" ca="1" si="118"/>
        <v>4408.6482792824636</v>
      </c>
      <c r="AN95" s="438">
        <f t="shared" ca="1" si="118"/>
        <v>4531.5376803206154</v>
      </c>
      <c r="AO95" s="438">
        <f t="shared" ca="1" si="118"/>
        <v>4615.2373717534729</v>
      </c>
      <c r="AP95" s="438">
        <f t="shared" ca="1" si="118"/>
        <v>4721.8390461368026</v>
      </c>
      <c r="AQ95" s="438">
        <f t="shared" ca="1" si="118"/>
        <v>4865.6826243354735</v>
      </c>
      <c r="AR95" s="438">
        <f t="shared" ca="1" si="118"/>
        <v>4958.4287330191028</v>
      </c>
      <c r="AS95" s="438">
        <f t="shared" ca="1" si="118"/>
        <v>5007.4574574709986</v>
      </c>
      <c r="AT95" s="438">
        <f t="shared" ca="1" si="118"/>
        <v>5054.9093909793582</v>
      </c>
      <c r="AU95" s="438">
        <f t="shared" ca="1" si="118"/>
        <v>5147.957697403167</v>
      </c>
      <c r="AV95" s="438">
        <f t="shared" ca="1" si="118"/>
        <v>5262.4473617031881</v>
      </c>
      <c r="AW95" s="447"/>
    </row>
    <row r="96" spans="1:49" s="431" customFormat="1">
      <c r="A96" s="428" t="s">
        <v>259</v>
      </c>
      <c r="B96" s="428"/>
      <c r="C96" s="434">
        <f>'Investment Needs'!C6</f>
        <v>850.28309999999999</v>
      </c>
      <c r="D96" s="434">
        <f>'Investment Needs'!D6</f>
        <v>891.30279999999993</v>
      </c>
      <c r="E96" s="434">
        <f>'Investment Needs'!E6</f>
        <v>892.31080000000009</v>
      </c>
      <c r="F96" s="434">
        <f>'Investment Needs'!F6</f>
        <v>783.88200000000006</v>
      </c>
      <c r="G96" s="434">
        <f>'Investment Needs'!G6</f>
        <v>1637.2811999999999</v>
      </c>
      <c r="H96" s="434">
        <f>'Investment Needs'!H6</f>
        <v>966.93870000000004</v>
      </c>
      <c r="I96" s="434">
        <f>'Investment Needs'!I6</f>
        <v>1100.6995999999999</v>
      </c>
      <c r="J96" s="434">
        <f>'Investment Needs'!J6</f>
        <v>792.58999999999992</v>
      </c>
      <c r="K96" s="434">
        <f>'Investment Needs'!K6</f>
        <v>758.73990000000003</v>
      </c>
      <c r="L96" s="434">
        <f>'Investment Needs'!L6</f>
        <v>1222.0521999999999</v>
      </c>
      <c r="M96" s="434">
        <f>'Investment Needs'!M6</f>
        <v>963.81530000000009</v>
      </c>
      <c r="N96" s="434">
        <f>'Investment Needs'!N6</f>
        <v>1388.3742999999999</v>
      </c>
      <c r="O96" s="434">
        <f>'Investment Needs'!O6</f>
        <v>1304.9629000000002</v>
      </c>
      <c r="P96" s="434">
        <f>'Investment Needs'!P6</f>
        <v>1267.4485999999999</v>
      </c>
      <c r="Q96" s="434">
        <f>'Investment Needs'!Q6</f>
        <v>1759.1960000000001</v>
      </c>
      <c r="R96" s="434">
        <f>'Investment Needs'!R6</f>
        <v>2280.2151999999996</v>
      </c>
      <c r="S96" s="434">
        <f>'Investment Needs'!S6</f>
        <v>1956.6569000000002</v>
      </c>
      <c r="T96" s="434">
        <f>'Investment Needs'!T6</f>
        <v>1301.3557000000001</v>
      </c>
      <c r="U96" s="434">
        <f>'Investment Needs'!U6</f>
        <v>1359.3568</v>
      </c>
      <c r="V96" s="434">
        <f>'Investment Needs'!V6</f>
        <v>1463.7227</v>
      </c>
      <c r="W96" s="434">
        <f>'Investment Needs'!W6</f>
        <v>1575.0400999999999</v>
      </c>
      <c r="X96" s="434">
        <f>'Investment Needs'!X6</f>
        <v>1687.5381</v>
      </c>
      <c r="Y96" s="434">
        <f>'Investment Needs'!Y6</f>
        <v>1800.9875999999999</v>
      </c>
      <c r="Z96" s="434">
        <f>'Investment Needs'!Z6</f>
        <v>1922.2903000000001</v>
      </c>
      <c r="AA96" s="434">
        <f>'Investment Needs'!AA6</f>
        <v>2099.6988000000001</v>
      </c>
      <c r="AB96" s="434">
        <f>'Investment Needs'!AB6</f>
        <v>2430.3555999999999</v>
      </c>
      <c r="AC96" s="434">
        <f>'Investment Needs'!AC6</f>
        <v>2368.0668999999998</v>
      </c>
      <c r="AD96" s="434">
        <f>'Investment Needs'!AD6</f>
        <v>2207.9177</v>
      </c>
      <c r="AE96" s="434">
        <f>'Investment Needs'!AE6</f>
        <v>2225.7754999999997</v>
      </c>
      <c r="AF96" s="434">
        <f>'Investment Needs'!AF6</f>
        <v>3004.1397999999995</v>
      </c>
      <c r="AG96" s="434">
        <f>'Investment Needs'!AG6</f>
        <v>2080.1179999999999</v>
      </c>
      <c r="AH96" s="434">
        <f>'Investment Needs'!AH6</f>
        <v>2280.6886</v>
      </c>
      <c r="AI96" s="434">
        <f>'Investment Needs'!AI6</f>
        <v>2009.4267</v>
      </c>
      <c r="AJ96" s="434">
        <f>'Investment Needs'!AJ6</f>
        <v>1955.1030000000001</v>
      </c>
      <c r="AK96" s="434">
        <f>'Investment Needs'!AK6</f>
        <v>2393.1575999999995</v>
      </c>
      <c r="AL96" s="434">
        <f>'Investment Needs'!AL6</f>
        <v>2083.9499000000001</v>
      </c>
      <c r="AM96" s="434">
        <f>'Investment Needs'!AM6</f>
        <v>2543.0387999999998</v>
      </c>
      <c r="AN96" s="434">
        <f>'Investment Needs'!AN6</f>
        <v>2416.4369999999999</v>
      </c>
      <c r="AO96" s="434">
        <f>'Investment Needs'!AO6</f>
        <v>2379.3407999999999</v>
      </c>
      <c r="AP96" s="434">
        <f>'Investment Needs'!AP6</f>
        <v>2812.2185999999997</v>
      </c>
      <c r="AQ96" s="434">
        <f>'Investment Needs'!AQ6</f>
        <v>3282.4703999999997</v>
      </c>
      <c r="AR96" s="434">
        <f>'Investment Needs'!AR6</f>
        <v>2891.0751</v>
      </c>
      <c r="AS96" s="434">
        <f>'Investment Needs'!AS6</f>
        <v>2267.7013999999999</v>
      </c>
      <c r="AT96" s="434">
        <f>'Investment Needs'!AT6</f>
        <v>2240.1758</v>
      </c>
      <c r="AU96" s="434">
        <f>'Investment Needs'!AU6</f>
        <v>2447.7587999999996</v>
      </c>
      <c r="AV96" s="434">
        <f>'Investment Needs'!AV6</f>
        <v>2598.8757999999998</v>
      </c>
    </row>
    <row r="97" spans="1:49" s="431" customFormat="1">
      <c r="A97" s="428" t="s">
        <v>260</v>
      </c>
      <c r="B97" s="429"/>
      <c r="C97" s="434">
        <f>$B$80*'High Level Dashboard'!$C$9*
(-PMT('High Level Dashboard'!$C$10,'High Level Dashboard'!$C$12-'High Level Dashboard'!$C$11+1,
SUMIFS('High Level Dashboard'!$B$65:$AV$65,'High Level Dashboard'!$B$64:$AV$64,"&gt;="&amp;('High Level Dashboard'!B$64-(ROUNDDOWN('High Level Dashboard'!$C$12,0))+1),'High Level Dashboard'!$B$64:$AV$64,"&lt;="&amp;('High Level Dashboard'!B$64-(ROUNDUP('High Level Dashboard'!$C$11,0)))))
+
IFERROR(-PMT('High Level Dashboard'!$C$10,'High Level Dashboard'!$C$12-'High Level Dashboard'!$C$11+1,
(HLOOKUP('High Level Dashboard'!B$64-(ROUNDUP('High Level Dashboard'!$C$12,0))+1,'High Level Dashboard'!$B$64:$AV$65,2,FALSE))*('High Level Dashboard'!$C$12-(ROUNDDOWN('High Level Dashboard'!$C$12,0)))),0)
+
IFERROR(-PMT('High Level Dashboard'!$C$10,'High Level Dashboard'!$C$12-'High Level Dashboard'!$C$11+1,
(HLOOKUP('High Level Dashboard'!B$64-(ROUNDDOWN('High Level Dashboard'!$C$11,0)),'High Level Dashboard'!$B$64:$AV$65,2,FALSE)*('High Level Dashboard'!$C$11-ROUNDDOWN('High Level Dashboard'!$C$11,0)))),0)
+
(((SUMIFS('High Level Dashboard'!$B$65:$AV$65,'High Level Dashboard'!$B$64:$AV$64,"&gt;"&amp;'High Level Dashboard'!B$64-ROUNDDOWN('High Level Dashboard'!$C$11,0),'High Level Dashboard'!$B$64:$AV$64,"&lt;="&amp;'High Level Dashboard'!B$64)+(IFERROR(SUMIF('High Level Dashboard'!$B$64:$AV$64,ROUNDDOWN('High Level Dashboard'!B$64-'High Level Dashboard'!$C$11,0)+1,'High Level Dashboard'!$B$65:$AV$65)*(1-('High Level Dashboard'!$C$11-ROUNDDOWN('High Level Dashboard'!$C$11,0))),"")))*'High Level Dashboard'!$C$10)
))</f>
        <v>20.008441774627386</v>
      </c>
      <c r="D97" s="434">
        <f>$B$80*'High Level Dashboard'!$C$9*
(-PMT('High Level Dashboard'!$C$10,'High Level Dashboard'!$C$12-'High Level Dashboard'!$C$11+1,
SUMIFS('High Level Dashboard'!$B$65:$AV$65,'High Level Dashboard'!$B$64:$AV$64,"&gt;="&amp;('High Level Dashboard'!C$64-(ROUNDDOWN('High Level Dashboard'!$C$12,0))+1),'High Level Dashboard'!$B$64:$AV$64,"&lt;="&amp;('High Level Dashboard'!C$64-(ROUNDUP('High Level Dashboard'!$C$11,0)))))
+
IFERROR(-PMT('High Level Dashboard'!$C$10,'High Level Dashboard'!$C$12-'High Level Dashboard'!$C$11+1,
(HLOOKUP('High Level Dashboard'!C$64-(ROUNDUP('High Level Dashboard'!$C$12,0))+1,'High Level Dashboard'!$B$64:$AV$65,2,FALSE))*('High Level Dashboard'!$C$12-(ROUNDDOWN('High Level Dashboard'!$C$12,0)))),0)
+
IFERROR(-PMT('High Level Dashboard'!$C$10,'High Level Dashboard'!$C$12-'High Level Dashboard'!$C$11+1,
(HLOOKUP('High Level Dashboard'!C$64-(ROUNDDOWN('High Level Dashboard'!$C$11,0)),'High Level Dashboard'!$B$64:$AV$65,2,FALSE)*('High Level Dashboard'!$C$11-ROUNDDOWN('High Level Dashboard'!$C$11,0)))),0)
+
(((SUMIFS('High Level Dashboard'!$B$65:$AV$65,'High Level Dashboard'!$B$64:$AV$64,"&gt;"&amp;'High Level Dashboard'!C$64-ROUNDDOWN('High Level Dashboard'!$C$11,0),'High Level Dashboard'!$B$64:$AV$64,"&lt;="&amp;'High Level Dashboard'!C$64)+(IFERROR(SUMIF('High Level Dashboard'!$B$64:$AV$64,ROUNDDOWN('High Level Dashboard'!C$64-'High Level Dashboard'!$C$11,0)+1,'High Level Dashboard'!$B$65:$AV$65)*(1-('High Level Dashboard'!$C$11-ROUNDDOWN('High Level Dashboard'!$C$11,0))),"")))*'High Level Dashboard'!$C$10)
))</f>
        <v>40.982138861353391</v>
      </c>
      <c r="E97" s="434">
        <f>$B$80*'High Level Dashboard'!$C$9*
(-PMT('High Level Dashboard'!$C$10,'High Level Dashboard'!$C$12-'High Level Dashboard'!$C$11+1,
SUMIFS('High Level Dashboard'!$B$65:$AV$65,'High Level Dashboard'!$B$64:$AV$64,"&gt;="&amp;('High Level Dashboard'!D$64-(ROUNDDOWN('High Level Dashboard'!$C$12,0))+1),'High Level Dashboard'!$B$64:$AV$64,"&lt;="&amp;('High Level Dashboard'!D$64-(ROUNDUP('High Level Dashboard'!$C$11,0)))))
+
IFERROR(-PMT('High Level Dashboard'!$C$10,'High Level Dashboard'!$C$12-'High Level Dashboard'!$C$11+1,
(HLOOKUP('High Level Dashboard'!D$64-(ROUNDUP('High Level Dashboard'!$C$12,0))+1,'High Level Dashboard'!$B$64:$AV$65,2,FALSE))*('High Level Dashboard'!$C$12-(ROUNDDOWN('High Level Dashboard'!$C$12,0)))),0)
+
IFERROR(-PMT('High Level Dashboard'!$C$10,'High Level Dashboard'!$C$12-'High Level Dashboard'!$C$11+1,
(HLOOKUP('High Level Dashboard'!D$64-(ROUNDDOWN('High Level Dashboard'!$C$11,0)),'High Level Dashboard'!$B$64:$AV$65,2,FALSE)*('High Level Dashboard'!$C$11-ROUNDDOWN('High Level Dashboard'!$C$11,0)))),0)
+
(((SUMIFS('High Level Dashboard'!$B$65:$AV$65,'High Level Dashboard'!$B$64:$AV$64,"&gt;"&amp;'High Level Dashboard'!D$64-ROUNDDOWN('High Level Dashboard'!$C$11,0),'High Level Dashboard'!$B$64:$AV$64,"&lt;="&amp;'High Level Dashboard'!D$64)+(IFERROR(SUMIF('High Level Dashboard'!$B$64:$AV$64,ROUNDDOWN('High Level Dashboard'!D$64-'High Level Dashboard'!$C$11,0)+1,'High Level Dashboard'!$B$65:$AV$65)*(1-('High Level Dashboard'!$C$11-ROUNDDOWN('High Level Dashboard'!$C$11,0))),"")))*'High Level Dashboard'!$C$10)
))</f>
        <v>61.979555706015105</v>
      </c>
      <c r="F97" s="434">
        <f>$B$80*'High Level Dashboard'!$C$9*
(-PMT('High Level Dashboard'!$C$10,'High Level Dashboard'!$C$12-'High Level Dashboard'!$C$11+1,
SUMIFS('High Level Dashboard'!$B$65:$AV$65,'High Level Dashboard'!$B$64:$AV$64,"&gt;="&amp;('High Level Dashboard'!E$64-(ROUNDDOWN('High Level Dashboard'!$C$12,0))+1),'High Level Dashboard'!$B$64:$AV$64,"&lt;="&amp;('High Level Dashboard'!E$64-(ROUNDUP('High Level Dashboard'!$C$11,0)))))
+
IFERROR(-PMT('High Level Dashboard'!$C$10,'High Level Dashboard'!$C$12-'High Level Dashboard'!$C$11+1,
(HLOOKUP('High Level Dashboard'!E$64-(ROUNDUP('High Level Dashboard'!$C$12,0))+1,'High Level Dashboard'!$B$64:$AV$65,2,FALSE))*('High Level Dashboard'!$C$12-(ROUNDDOWN('High Level Dashboard'!$C$12,0)))),0)
+
IFERROR(-PMT('High Level Dashboard'!$C$10,'High Level Dashboard'!$C$12-'High Level Dashboard'!$C$11+1,
(HLOOKUP('High Level Dashboard'!E$64-(ROUNDDOWN('High Level Dashboard'!$C$11,0)),'High Level Dashboard'!$B$64:$AV$65,2,FALSE)*('High Level Dashboard'!$C$11-ROUNDDOWN('High Level Dashboard'!$C$11,0)))),0)
+
(((SUMIFS('High Level Dashboard'!$B$65:$AV$65,'High Level Dashboard'!$B$64:$AV$64,"&gt;"&amp;'High Level Dashboard'!E$64-ROUNDDOWN('High Level Dashboard'!$C$11,0),'High Level Dashboard'!$B$64:$AV$64,"&lt;="&amp;'High Level Dashboard'!E$64)+(IFERROR(SUMIF('High Level Dashboard'!$B$64:$AV$64,ROUNDDOWN('High Level Dashboard'!E$64-'High Level Dashboard'!$C$11,0)+1,'High Level Dashboard'!$B$65:$AV$65)*(1-('High Level Dashboard'!$C$11-ROUNDDOWN('High Level Dashboard'!$C$11,0))),"")))*'High Level Dashboard'!$C$10)
))</f>
        <v>80.425479604982939</v>
      </c>
      <c r="G97" s="434">
        <f>$B$80*'High Level Dashboard'!$C$9*
(-PMT('High Level Dashboard'!$C$10,'High Level Dashboard'!$C$12-'High Level Dashboard'!$C$11+1,
SUMIFS('High Level Dashboard'!$B$65:$AV$65,'High Level Dashboard'!$B$64:$AV$64,"&gt;="&amp;('High Level Dashboard'!F$64-(ROUNDDOWN('High Level Dashboard'!$C$12,0))+1),'High Level Dashboard'!$B$64:$AV$64,"&lt;="&amp;('High Level Dashboard'!F$64-(ROUNDUP('High Level Dashboard'!$C$11,0)))))
+
IFERROR(-PMT('High Level Dashboard'!$C$10,'High Level Dashboard'!$C$12-'High Level Dashboard'!$C$11+1,
(HLOOKUP('High Level Dashboard'!F$64-(ROUNDUP('High Level Dashboard'!$C$12,0))+1,'High Level Dashboard'!$B$64:$AV$65,2,FALSE))*('High Level Dashboard'!$C$12-(ROUNDDOWN('High Level Dashboard'!$C$12,0)))),0)
+
IFERROR(-PMT('High Level Dashboard'!$C$10,'High Level Dashboard'!$C$12-'High Level Dashboard'!$C$11+1,
(HLOOKUP('High Level Dashboard'!F$64-(ROUNDDOWN('High Level Dashboard'!$C$11,0)),'High Level Dashboard'!$B$64:$AV$65,2,FALSE)*('High Level Dashboard'!$C$11-ROUNDDOWN('High Level Dashboard'!$C$11,0)))),0)
+
(((SUMIFS('High Level Dashboard'!$B$65:$AV$65,'High Level Dashboard'!$B$64:$AV$64,"&gt;"&amp;'High Level Dashboard'!F$64-ROUNDDOWN('High Level Dashboard'!$C$11,0),'High Level Dashboard'!$B$64:$AV$64,"&lt;="&amp;'High Level Dashboard'!F$64)+(IFERROR(SUMIF('High Level Dashboard'!$B$64:$AV$64,ROUNDDOWN('High Level Dashboard'!F$64-'High Level Dashboard'!$C$11,0)+1,'High Level Dashboard'!$B$65:$AV$65)*(1-('High Level Dashboard'!$C$11-ROUNDDOWN('High Level Dashboard'!$C$11,0))),"")))*'High Level Dashboard'!$C$10)
))</f>
        <v>118.95317180407764</v>
      </c>
      <c r="H97" s="434">
        <f>$B$80*'High Level Dashboard'!$C$9*
(-PMT('High Level Dashboard'!$C$10,'High Level Dashboard'!$C$12-'High Level Dashboard'!$C$11+1,
SUMIFS('High Level Dashboard'!$B$65:$AV$65,'High Level Dashboard'!$B$64:$AV$64,"&gt;="&amp;('High Level Dashboard'!G$64-(ROUNDDOWN('High Level Dashboard'!$C$12,0))+1),'High Level Dashboard'!$B$64:$AV$64,"&lt;="&amp;('High Level Dashboard'!G$64-(ROUNDUP('High Level Dashboard'!$C$11,0)))))
+
IFERROR(-PMT('High Level Dashboard'!$C$10,'High Level Dashboard'!$C$12-'High Level Dashboard'!$C$11+1,
(HLOOKUP('High Level Dashboard'!G$64-(ROUNDUP('High Level Dashboard'!$C$12,0))+1,'High Level Dashboard'!$B$64:$AV$65,2,FALSE))*('High Level Dashboard'!$C$12-(ROUNDDOWN('High Level Dashboard'!$C$12,0)))),0)
+
IFERROR(-PMT('High Level Dashboard'!$C$10,'High Level Dashboard'!$C$12-'High Level Dashboard'!$C$11+1,
(HLOOKUP('High Level Dashboard'!G$64-(ROUNDDOWN('High Level Dashboard'!$C$11,0)),'High Level Dashboard'!$B$64:$AV$65,2,FALSE)*('High Level Dashboard'!$C$11-ROUNDDOWN('High Level Dashboard'!$C$11,0)))),0)
+
(((SUMIFS('High Level Dashboard'!$B$65:$AV$65,'High Level Dashboard'!$B$64:$AV$64,"&gt;"&amp;'High Level Dashboard'!G$64-ROUNDDOWN('High Level Dashboard'!$C$11,0),'High Level Dashboard'!$B$64:$AV$64,"&lt;="&amp;'High Level Dashboard'!G$64)+(IFERROR(SUMIF('High Level Dashboard'!$B$64:$AV$64,ROUNDDOWN('High Level Dashboard'!G$64-'High Level Dashboard'!$C$11,0)+1,'High Level Dashboard'!$B$65:$AV$65)*(1-('High Level Dashboard'!$C$11-ROUNDDOWN('High Level Dashboard'!$C$11,0))),"")))*'High Level Dashboard'!$C$10)
))</f>
        <v>141.70669551704324</v>
      </c>
      <c r="I97" s="434">
        <f>$B$80*'High Level Dashboard'!$C$9*
(-PMT('High Level Dashboard'!$C$10,'High Level Dashboard'!$C$12-'High Level Dashboard'!$C$11+1,
SUMIFS('High Level Dashboard'!$B$65:$AV$65,'High Level Dashboard'!$B$64:$AV$64,"&gt;="&amp;('High Level Dashboard'!H$64-(ROUNDDOWN('High Level Dashboard'!$C$12,0))+1),'High Level Dashboard'!$B$64:$AV$64,"&lt;="&amp;('High Level Dashboard'!H$64-(ROUNDUP('High Level Dashboard'!$C$11,0)))))
+
IFERROR(-PMT('High Level Dashboard'!$C$10,'High Level Dashboard'!$C$12-'High Level Dashboard'!$C$11+1,
(HLOOKUP('High Level Dashboard'!H$64-(ROUNDUP('High Level Dashboard'!$C$12,0))+1,'High Level Dashboard'!$B$64:$AV$65,2,FALSE))*('High Level Dashboard'!$C$12-(ROUNDDOWN('High Level Dashboard'!$C$12,0)))),0)
+
IFERROR(-PMT('High Level Dashboard'!$C$10,'High Level Dashboard'!$C$12-'High Level Dashboard'!$C$11+1,
(HLOOKUP('High Level Dashboard'!H$64-(ROUNDDOWN('High Level Dashboard'!$C$11,0)),'High Level Dashboard'!$B$64:$AV$65,2,FALSE)*('High Level Dashboard'!$C$11-ROUNDDOWN('High Level Dashboard'!$C$11,0)))),0)
+
(((SUMIFS('High Level Dashboard'!$B$65:$AV$65,'High Level Dashboard'!$B$64:$AV$64,"&gt;"&amp;'High Level Dashboard'!H$64-ROUNDDOWN('High Level Dashboard'!$C$11,0),'High Level Dashboard'!$B$64:$AV$64,"&lt;="&amp;'High Level Dashboard'!H$64)+(IFERROR(SUMIF('High Level Dashboard'!$B$64:$AV$64,ROUNDDOWN('High Level Dashboard'!H$64-'High Level Dashboard'!$C$11,0)+1,'High Level Dashboard'!$B$65:$AV$65)*(1-('High Level Dashboard'!$C$11-ROUNDDOWN('High Level Dashboard'!$C$11,0))),"")))*'High Level Dashboard'!$C$10)
))</f>
        <v>198.47025986892632</v>
      </c>
      <c r="J97" s="434">
        <f>$B$80*'High Level Dashboard'!$C$9*
(-PMT('High Level Dashboard'!$C$10,'High Level Dashboard'!$C$12-'High Level Dashboard'!$C$11+1,
SUMIFS('High Level Dashboard'!$B$65:$AV$65,'High Level Dashboard'!$B$64:$AV$64,"&gt;="&amp;('High Level Dashboard'!I$64-(ROUNDDOWN('High Level Dashboard'!$C$12,0))+1),'High Level Dashboard'!$B$64:$AV$64,"&lt;="&amp;('High Level Dashboard'!I$64-(ROUNDUP('High Level Dashboard'!$C$11,0)))))
+
IFERROR(-PMT('High Level Dashboard'!$C$10,'High Level Dashboard'!$C$12-'High Level Dashboard'!$C$11+1,
(HLOOKUP('High Level Dashboard'!I$64-(ROUNDUP('High Level Dashboard'!$C$12,0))+1,'High Level Dashboard'!$B$64:$AV$65,2,FALSE))*('High Level Dashboard'!$C$12-(ROUNDDOWN('High Level Dashboard'!$C$12,0)))),0)
+
IFERROR(-PMT('High Level Dashboard'!$C$10,'High Level Dashboard'!$C$12-'High Level Dashboard'!$C$11+1,
(HLOOKUP('High Level Dashboard'!I$64-(ROUNDDOWN('High Level Dashboard'!$C$11,0)),'High Level Dashboard'!$B$64:$AV$65,2,FALSE)*('High Level Dashboard'!$C$11-ROUNDDOWN('High Level Dashboard'!$C$11,0)))),0)
+
(((SUMIFS('High Level Dashboard'!$B$65:$AV$65,'High Level Dashboard'!$B$64:$AV$64,"&gt;"&amp;'High Level Dashboard'!I$64-ROUNDDOWN('High Level Dashboard'!$C$11,0),'High Level Dashboard'!$B$64:$AV$64,"&lt;="&amp;'High Level Dashboard'!I$64)+(IFERROR(SUMIF('High Level Dashboard'!$B$64:$AV$64,ROUNDDOWN('High Level Dashboard'!I$64-'High Level Dashboard'!$C$11,0)+1,'High Level Dashboard'!$B$65:$AV$65)*(1-('High Level Dashboard'!$C$11-ROUNDDOWN('High Level Dashboard'!$C$11,0))),"")))*'High Level Dashboard'!$C$10)
))</f>
        <v>252.08783690774177</v>
      </c>
      <c r="K97" s="434">
        <f>$B$80*'High Level Dashboard'!$C$9*
(-PMT('High Level Dashboard'!$C$10,'High Level Dashboard'!$C$12-'High Level Dashboard'!$C$11+1,
SUMIFS('High Level Dashboard'!$B$65:$AV$65,'High Level Dashboard'!$B$64:$AV$64,"&gt;="&amp;('High Level Dashboard'!J$64-(ROUNDDOWN('High Level Dashboard'!$C$12,0))+1),'High Level Dashboard'!$B$64:$AV$64,"&lt;="&amp;('High Level Dashboard'!J$64-(ROUNDUP('High Level Dashboard'!$C$11,0)))))
+
IFERROR(-PMT('High Level Dashboard'!$C$10,'High Level Dashboard'!$C$12-'High Level Dashboard'!$C$11+1,
(HLOOKUP('High Level Dashboard'!J$64-(ROUNDUP('High Level Dashboard'!$C$12,0))+1,'High Level Dashboard'!$B$64:$AV$65,2,FALSE))*('High Level Dashboard'!$C$12-(ROUNDDOWN('High Level Dashboard'!$C$12,0)))),0)
+
IFERROR(-PMT('High Level Dashboard'!$C$10,'High Level Dashboard'!$C$12-'High Level Dashboard'!$C$11+1,
(HLOOKUP('High Level Dashboard'!J$64-(ROUNDDOWN('High Level Dashboard'!$C$11,0)),'High Level Dashboard'!$B$64:$AV$65,2,FALSE)*('High Level Dashboard'!$C$11-ROUNDDOWN('High Level Dashboard'!$C$11,0)))),0)
+
(((SUMIFS('High Level Dashboard'!$B$65:$AV$65,'High Level Dashboard'!$B$64:$AV$64,"&gt;"&amp;'High Level Dashboard'!J$64-ROUNDDOWN('High Level Dashboard'!$C$11,0),'High Level Dashboard'!$B$64:$AV$64,"&lt;="&amp;'High Level Dashboard'!J$64)+(IFERROR(SUMIF('High Level Dashboard'!$B$64:$AV$64,ROUNDDOWN('High Level Dashboard'!J$64-'High Level Dashboard'!$C$11,0)+1,'High Level Dashboard'!$B$65:$AV$65)*(1-('High Level Dashboard'!$C$11-ROUNDDOWN('High Level Dashboard'!$C$11,0))),"")))*'High Level Dashboard'!$C$10)
))</f>
        <v>305.07163116517188</v>
      </c>
      <c r="L97" s="434">
        <f>$B$80*'High Level Dashboard'!$C$9*
(-PMT('High Level Dashboard'!$C$10,'High Level Dashboard'!$C$12-'High Level Dashboard'!$C$11+1,
SUMIFS('High Level Dashboard'!$B$65:$AV$65,'High Level Dashboard'!$B$64:$AV$64,"&gt;="&amp;('High Level Dashboard'!K$64-(ROUNDDOWN('High Level Dashboard'!$C$12,0))+1),'High Level Dashboard'!$B$64:$AV$64,"&lt;="&amp;('High Level Dashboard'!K$64-(ROUNDUP('High Level Dashboard'!$C$11,0)))))
+
IFERROR(-PMT('High Level Dashboard'!$C$10,'High Level Dashboard'!$C$12-'High Level Dashboard'!$C$11+1,
(HLOOKUP('High Level Dashboard'!K$64-(ROUNDUP('High Level Dashboard'!$C$12,0))+1,'High Level Dashboard'!$B$64:$AV$65,2,FALSE))*('High Level Dashboard'!$C$12-(ROUNDDOWN('High Level Dashboard'!$C$12,0)))),0)
+
IFERROR(-PMT('High Level Dashboard'!$C$10,'High Level Dashboard'!$C$12-'High Level Dashboard'!$C$11+1,
(HLOOKUP('High Level Dashboard'!K$64-(ROUNDDOWN('High Level Dashboard'!$C$11,0)),'High Level Dashboard'!$B$64:$AV$65,2,FALSE)*('High Level Dashboard'!$C$11-ROUNDDOWN('High Level Dashboard'!$C$11,0)))),0)
+
(((SUMIFS('High Level Dashboard'!$B$65:$AV$65,'High Level Dashboard'!$B$64:$AV$64,"&gt;"&amp;'High Level Dashboard'!K$64-ROUNDDOWN('High Level Dashboard'!$C$11,0),'High Level Dashboard'!$B$64:$AV$64,"&lt;="&amp;'High Level Dashboard'!K$64)+(IFERROR(SUMIF('High Level Dashboard'!$B$64:$AV$64,ROUNDDOWN('High Level Dashboard'!K$64-'High Level Dashboard'!$C$11,0)+1,'High Level Dashboard'!$B$65:$AV$65)*(1-('High Level Dashboard'!$C$11-ROUNDDOWN('High Level Dashboard'!$C$11,0))),"")))*'High Level Dashboard'!$C$10)
))</f>
        <v>365.02535769188694</v>
      </c>
      <c r="M97" s="434">
        <f>$B$80*'High Level Dashboard'!$C$9*
(-PMT('High Level Dashboard'!$C$10,'High Level Dashboard'!$C$12-'High Level Dashboard'!$C$11+1,
SUMIFS('High Level Dashboard'!$B$65:$AV$65,'High Level Dashboard'!$B$64:$AV$64,"&gt;="&amp;('High Level Dashboard'!L$64-(ROUNDDOWN('High Level Dashboard'!$C$12,0))+1),'High Level Dashboard'!$B$64:$AV$64,"&lt;="&amp;('High Level Dashboard'!L$64-(ROUNDUP('High Level Dashboard'!$C$11,0)))))
+
IFERROR(-PMT('High Level Dashboard'!$C$10,'High Level Dashboard'!$C$12-'High Level Dashboard'!$C$11+1,
(HLOOKUP('High Level Dashboard'!L$64-(ROUNDUP('High Level Dashboard'!$C$12,0))+1,'High Level Dashboard'!$B$64:$AV$65,2,FALSE))*('High Level Dashboard'!$C$12-(ROUNDDOWN('High Level Dashboard'!$C$12,0)))),0)
+
IFERROR(-PMT('High Level Dashboard'!$C$10,'High Level Dashboard'!$C$12-'High Level Dashboard'!$C$11+1,
(HLOOKUP('High Level Dashboard'!L$64-(ROUNDDOWN('High Level Dashboard'!$C$11,0)),'High Level Dashboard'!$B$64:$AV$65,2,FALSE)*('High Level Dashboard'!$C$11-ROUNDDOWN('High Level Dashboard'!$C$11,0)))),0)
+
(((SUMIFS('High Level Dashboard'!$B$65:$AV$65,'High Level Dashboard'!$B$64:$AV$64,"&gt;"&amp;'High Level Dashboard'!L$64-ROUNDDOWN('High Level Dashboard'!$C$11,0),'High Level Dashboard'!$B$64:$AV$64,"&lt;="&amp;'High Level Dashboard'!L$64)+(IFERROR(SUMIF('High Level Dashboard'!$B$64:$AV$64,ROUNDDOWN('High Level Dashboard'!L$64-'High Level Dashboard'!$C$11,0)+1,'High Level Dashboard'!$B$65:$AV$65)*(1-('High Level Dashboard'!$C$11-ROUNDDOWN('High Level Dashboard'!$C$11,0))),"")))*'High Level Dashboard'!$C$10)
))</f>
        <v>449.5444102421198</v>
      </c>
      <c r="N97" s="434">
        <f>$B$80*'High Level Dashboard'!$C$9*
(-PMT('High Level Dashboard'!$C$10,'High Level Dashboard'!$C$12-'High Level Dashboard'!$C$11+1,
SUMIFS('High Level Dashboard'!$B$65:$AV$65,'High Level Dashboard'!$B$64:$AV$64,"&gt;="&amp;('High Level Dashboard'!M$64-(ROUNDDOWN('High Level Dashboard'!$C$12,0))+1),'High Level Dashboard'!$B$64:$AV$64,"&lt;="&amp;('High Level Dashboard'!M$64-(ROUNDUP('High Level Dashboard'!$C$11,0)))))
+
IFERROR(-PMT('High Level Dashboard'!$C$10,'High Level Dashboard'!$C$12-'High Level Dashboard'!$C$11+1,
(HLOOKUP('High Level Dashboard'!M$64-(ROUNDUP('High Level Dashboard'!$C$12,0))+1,'High Level Dashboard'!$B$64:$AV$65,2,FALSE))*('High Level Dashboard'!$C$12-(ROUNDDOWN('High Level Dashboard'!$C$12,0)))),0)
+
IFERROR(-PMT('High Level Dashboard'!$C$10,'High Level Dashboard'!$C$12-'High Level Dashboard'!$C$11+1,
(HLOOKUP('High Level Dashboard'!M$64-(ROUNDDOWN('High Level Dashboard'!$C$11,0)),'High Level Dashboard'!$B$64:$AV$65,2,FALSE)*('High Level Dashboard'!$C$11-ROUNDDOWN('High Level Dashboard'!$C$11,0)))),0)
+
(((SUMIFS('High Level Dashboard'!$B$65:$AV$65,'High Level Dashboard'!$B$64:$AV$64,"&gt;"&amp;'High Level Dashboard'!M$64-ROUNDDOWN('High Level Dashboard'!$C$11,0),'High Level Dashboard'!$B$64:$AV$64,"&lt;="&amp;'High Level Dashboard'!M$64)+(IFERROR(SUMIF('High Level Dashboard'!$B$64:$AV$64,ROUNDDOWN('High Level Dashboard'!M$64-'High Level Dashboard'!$C$11,0)+1,'High Level Dashboard'!$B$65:$AV$65)*(1-('High Level Dashboard'!$C$11-ROUNDDOWN('High Level Dashboard'!$C$11,0))),"")))*'High Level Dashboard'!$C$10)
))</f>
        <v>522.34777673536621</v>
      </c>
      <c r="O97" s="434">
        <f>$B$80*'High Level Dashboard'!$C$9*
(-PMT('High Level Dashboard'!$C$10,'High Level Dashboard'!$C$12-'High Level Dashboard'!$C$11+1,
SUMIFS('High Level Dashboard'!$B$65:$AV$65,'High Level Dashboard'!$B$64:$AV$64,"&gt;="&amp;('High Level Dashboard'!N$64-(ROUNDDOWN('High Level Dashboard'!$C$12,0))+1),'High Level Dashboard'!$B$64:$AV$64,"&lt;="&amp;('High Level Dashboard'!N$64-(ROUNDUP('High Level Dashboard'!$C$11,0)))))
+
IFERROR(-PMT('High Level Dashboard'!$C$10,'High Level Dashboard'!$C$12-'High Level Dashboard'!$C$11+1,
(HLOOKUP('High Level Dashboard'!N$64-(ROUNDUP('High Level Dashboard'!$C$12,0))+1,'High Level Dashboard'!$B$64:$AV$65,2,FALSE))*('High Level Dashboard'!$C$12-(ROUNDDOWN('High Level Dashboard'!$C$12,0)))),0)
+
IFERROR(-PMT('High Level Dashboard'!$C$10,'High Level Dashboard'!$C$12-'High Level Dashboard'!$C$11+1,
(HLOOKUP('High Level Dashboard'!N$64-(ROUNDDOWN('High Level Dashboard'!$C$11,0)),'High Level Dashboard'!$B$64:$AV$65,2,FALSE)*('High Level Dashboard'!$C$11-ROUNDDOWN('High Level Dashboard'!$C$11,0)))),0)
+
(((SUMIFS('High Level Dashboard'!$B$65:$AV$65,'High Level Dashboard'!$B$64:$AV$64,"&gt;"&amp;'High Level Dashboard'!N$64-ROUNDDOWN('High Level Dashboard'!$C$11,0),'High Level Dashboard'!$B$64:$AV$64,"&lt;="&amp;'High Level Dashboard'!N$64)+(IFERROR(SUMIF('High Level Dashboard'!$B$64:$AV$64,ROUNDDOWN('High Level Dashboard'!N$64-'High Level Dashboard'!$C$11,0)+1,'High Level Dashboard'!$B$65:$AV$65)*(1-('High Level Dashboard'!$C$11-ROUNDDOWN('High Level Dashboard'!$C$11,0))),"")))*'High Level Dashboard'!$C$10)
))</f>
        <v>595.98149151893813</v>
      </c>
      <c r="P97" s="434">
        <f>$B$80*'High Level Dashboard'!$C$9*
(-PMT('High Level Dashboard'!$C$10,'High Level Dashboard'!$C$12-'High Level Dashboard'!$C$11+1,
SUMIFS('High Level Dashboard'!$B$65:$AV$65,'High Level Dashboard'!$B$64:$AV$64,"&gt;="&amp;('High Level Dashboard'!O$64-(ROUNDDOWN('High Level Dashboard'!$C$12,0))+1),'High Level Dashboard'!$B$64:$AV$64,"&lt;="&amp;('High Level Dashboard'!O$64-(ROUNDUP('High Level Dashboard'!$C$11,0)))))
+
IFERROR(-PMT('High Level Dashboard'!$C$10,'High Level Dashboard'!$C$12-'High Level Dashboard'!$C$11+1,
(HLOOKUP('High Level Dashboard'!O$64-(ROUNDUP('High Level Dashboard'!$C$12,0))+1,'High Level Dashboard'!$B$64:$AV$65,2,FALSE))*('High Level Dashboard'!$C$12-(ROUNDDOWN('High Level Dashboard'!$C$12,0)))),0)
+
IFERROR(-PMT('High Level Dashboard'!$C$10,'High Level Dashboard'!$C$12-'High Level Dashboard'!$C$11+1,
(HLOOKUP('High Level Dashboard'!O$64-(ROUNDDOWN('High Level Dashboard'!$C$11,0)),'High Level Dashboard'!$B$64:$AV$65,2,FALSE)*('High Level Dashboard'!$C$11-ROUNDDOWN('High Level Dashboard'!$C$11,0)))),0)
+
(((SUMIFS('High Level Dashboard'!$B$65:$AV$65,'High Level Dashboard'!$B$64:$AV$64,"&gt;"&amp;'High Level Dashboard'!O$64-ROUNDDOWN('High Level Dashboard'!$C$11,0),'High Level Dashboard'!$B$64:$AV$64,"&lt;="&amp;'High Level Dashboard'!O$64)+(IFERROR(SUMIF('High Level Dashboard'!$B$64:$AV$64,ROUNDDOWN('High Level Dashboard'!O$64-'High Level Dashboard'!$C$11,0)+1,'High Level Dashboard'!$B$65:$AV$65)*(1-('High Level Dashboard'!$C$11-ROUNDDOWN('High Level Dashboard'!$C$11,0))),"")))*'High Level Dashboard'!$C$10)
))</f>
        <v>657.96052587091094</v>
      </c>
      <c r="Q97" s="434">
        <f>$B$80*'High Level Dashboard'!$C$9*
(-PMT('High Level Dashboard'!$C$10,'High Level Dashboard'!$C$12-'High Level Dashboard'!$C$11+1,
SUMIFS('High Level Dashboard'!$B$65:$AV$65,'High Level Dashboard'!$B$64:$AV$64,"&gt;="&amp;('High Level Dashboard'!P$64-(ROUNDDOWN('High Level Dashboard'!$C$12,0))+1),'High Level Dashboard'!$B$64:$AV$64,"&lt;="&amp;('High Level Dashboard'!P$64-(ROUNDUP('High Level Dashboard'!$C$11,0)))))
+
IFERROR(-PMT('High Level Dashboard'!$C$10,'High Level Dashboard'!$C$12-'High Level Dashboard'!$C$11+1,
(HLOOKUP('High Level Dashboard'!P$64-(ROUNDUP('High Level Dashboard'!$C$12,0))+1,'High Level Dashboard'!$B$64:$AV$65,2,FALSE))*('High Level Dashboard'!$C$12-(ROUNDDOWN('High Level Dashboard'!$C$12,0)))),0)
+
IFERROR(-PMT('High Level Dashboard'!$C$10,'High Level Dashboard'!$C$12-'High Level Dashboard'!$C$11+1,
(HLOOKUP('High Level Dashboard'!P$64-(ROUNDDOWN('High Level Dashboard'!$C$11,0)),'High Level Dashboard'!$B$64:$AV$65,2,FALSE)*('High Level Dashboard'!$C$11-ROUNDDOWN('High Level Dashboard'!$C$11,0)))),0)
+
(((SUMIFS('High Level Dashboard'!$B$65:$AV$65,'High Level Dashboard'!$B$64:$AV$64,"&gt;"&amp;'High Level Dashboard'!P$64-ROUNDDOWN('High Level Dashboard'!$C$11,0),'High Level Dashboard'!$B$64:$AV$64,"&lt;="&amp;'High Level Dashboard'!P$64)+(IFERROR(SUMIF('High Level Dashboard'!$B$64:$AV$64,ROUNDDOWN('High Level Dashboard'!P$64-'High Level Dashboard'!$C$11,0)+1,'High Level Dashboard'!$B$65:$AV$65)*(1-('High Level Dashboard'!$C$11-ROUNDDOWN('High Level Dashboard'!$C$11,0))),"")))*'High Level Dashboard'!$C$10)
))</f>
        <v>729.33474550612493</v>
      </c>
      <c r="R97" s="434">
        <f>$B$80*'High Level Dashboard'!$C$9*
(-PMT('High Level Dashboard'!$C$10,'High Level Dashboard'!$C$12-'High Level Dashboard'!$C$11+1,
SUMIFS('High Level Dashboard'!$B$65:$AV$65,'High Level Dashboard'!$B$64:$AV$64,"&gt;="&amp;('High Level Dashboard'!Q$64-(ROUNDDOWN('High Level Dashboard'!$C$12,0))+1),'High Level Dashboard'!$B$64:$AV$64,"&lt;="&amp;('High Level Dashboard'!Q$64-(ROUNDUP('High Level Dashboard'!$C$11,0)))))
+
IFERROR(-PMT('High Level Dashboard'!$C$10,'High Level Dashboard'!$C$12-'High Level Dashboard'!$C$11+1,
(HLOOKUP('High Level Dashboard'!Q$64-(ROUNDUP('High Level Dashboard'!$C$12,0))+1,'High Level Dashboard'!$B$64:$AV$65,2,FALSE))*('High Level Dashboard'!$C$12-(ROUNDDOWN('High Level Dashboard'!$C$12,0)))),0)
+
IFERROR(-PMT('High Level Dashboard'!$C$10,'High Level Dashboard'!$C$12-'High Level Dashboard'!$C$11+1,
(HLOOKUP('High Level Dashboard'!Q$64-(ROUNDDOWN('High Level Dashboard'!$C$11,0)),'High Level Dashboard'!$B$64:$AV$65,2,FALSE)*('High Level Dashboard'!$C$11-ROUNDDOWN('High Level Dashboard'!$C$11,0)))),0)
+
(((SUMIFS('High Level Dashboard'!$B$65:$AV$65,'High Level Dashboard'!$B$64:$AV$64,"&gt;"&amp;'High Level Dashboard'!Q$64-ROUNDDOWN('High Level Dashboard'!$C$11,0),'High Level Dashboard'!$B$64:$AV$64,"&lt;="&amp;'High Level Dashboard'!Q$64)+(IFERROR(SUMIF('High Level Dashboard'!$B$64:$AV$64,ROUNDDOWN('High Level Dashboard'!Q$64-'High Level Dashboard'!$C$11,0)+1,'High Level Dashboard'!$B$65:$AV$65)*(1-('High Level Dashboard'!$C$11-ROUNDDOWN('High Level Dashboard'!$C$11,0))),"")))*'High Level Dashboard'!$C$10)
))</f>
        <v>829.68190448714063</v>
      </c>
      <c r="S97" s="434">
        <f>$B$80*'High Level Dashboard'!$C$9*
(-PMT('High Level Dashboard'!$C$10,'High Level Dashboard'!$C$12-'High Level Dashboard'!$C$11+1,
SUMIFS('High Level Dashboard'!$B$65:$AV$65,'High Level Dashboard'!$B$64:$AV$64,"&gt;="&amp;('High Level Dashboard'!R$64-(ROUNDDOWN('High Level Dashboard'!$C$12,0))+1),'High Level Dashboard'!$B$64:$AV$64,"&lt;="&amp;('High Level Dashboard'!R$64-(ROUNDUP('High Level Dashboard'!$C$11,0)))))
+
IFERROR(-PMT('High Level Dashboard'!$C$10,'High Level Dashboard'!$C$12-'High Level Dashboard'!$C$11+1,
(HLOOKUP('High Level Dashboard'!R$64-(ROUNDUP('High Level Dashboard'!$C$12,0))+1,'High Level Dashboard'!$B$64:$AV$65,2,FALSE))*('High Level Dashboard'!$C$12-(ROUNDDOWN('High Level Dashboard'!$C$12,0)))),0)
+
IFERROR(-PMT('High Level Dashboard'!$C$10,'High Level Dashboard'!$C$12-'High Level Dashboard'!$C$11+1,
(HLOOKUP('High Level Dashboard'!R$64-(ROUNDDOWN('High Level Dashboard'!$C$11,0)),'High Level Dashboard'!$B$64:$AV$65,2,FALSE)*('High Level Dashboard'!$C$11-ROUNDDOWN('High Level Dashboard'!$C$11,0)))),0)
+
(((SUMIFS('High Level Dashboard'!$B$65:$AV$65,'High Level Dashboard'!$B$64:$AV$64,"&gt;"&amp;'High Level Dashboard'!R$64-ROUNDDOWN('High Level Dashboard'!$C$11,0),'High Level Dashboard'!$B$64:$AV$64,"&lt;="&amp;'High Level Dashboard'!R$64)+(IFERROR(SUMIF('High Level Dashboard'!$B$64:$AV$64,ROUNDDOWN('High Level Dashboard'!R$64-'High Level Dashboard'!$C$11,0)+1,'High Level Dashboard'!$B$65:$AV$65)*(1-('High Level Dashboard'!$C$11-ROUNDDOWN('High Level Dashboard'!$C$11,0))),"")))*'High Level Dashboard'!$C$10)
))</f>
        <v>914.46722916973886</v>
      </c>
      <c r="T97" s="434">
        <f>$B$80*'High Level Dashboard'!$C$9*
(-PMT('High Level Dashboard'!$C$10,'High Level Dashboard'!$C$12-'High Level Dashboard'!$C$11+1,
SUMIFS('High Level Dashboard'!$B$65:$AV$65,'High Level Dashboard'!$B$64:$AV$64,"&gt;="&amp;('High Level Dashboard'!S$64-(ROUNDDOWN('High Level Dashboard'!$C$12,0))+1),'High Level Dashboard'!$B$64:$AV$64,"&lt;="&amp;('High Level Dashboard'!S$64-(ROUNDUP('High Level Dashboard'!$C$11,0)))))
+
IFERROR(-PMT('High Level Dashboard'!$C$10,'High Level Dashboard'!$C$12-'High Level Dashboard'!$C$11+1,
(HLOOKUP('High Level Dashboard'!S$64-(ROUNDUP('High Level Dashboard'!$C$12,0))+1,'High Level Dashboard'!$B$64:$AV$65,2,FALSE))*('High Level Dashboard'!$C$12-(ROUNDDOWN('High Level Dashboard'!$C$12,0)))),0)
+
IFERROR(-PMT('High Level Dashboard'!$C$10,'High Level Dashboard'!$C$12-'High Level Dashboard'!$C$11+1,
(HLOOKUP('High Level Dashboard'!S$64-(ROUNDDOWN('High Level Dashboard'!$C$11,0)),'High Level Dashboard'!$B$64:$AV$65,2,FALSE)*('High Level Dashboard'!$C$11-ROUNDDOWN('High Level Dashboard'!$C$11,0)))),0)
+
(((SUMIFS('High Level Dashboard'!$B$65:$AV$65,'High Level Dashboard'!$B$64:$AV$64,"&gt;"&amp;'High Level Dashboard'!S$64-ROUNDDOWN('High Level Dashboard'!$C$11,0),'High Level Dashboard'!$B$64:$AV$64,"&lt;="&amp;'High Level Dashboard'!S$64)+(IFERROR(SUMIF('High Level Dashboard'!$B$64:$AV$64,ROUNDDOWN('High Level Dashboard'!S$64-'High Level Dashboard'!$C$11,0)+1,'High Level Dashboard'!$B$65:$AV$65)*(1-('High Level Dashboard'!$C$11-ROUNDDOWN('High Level Dashboard'!$C$11,0))),"")))*'High Level Dashboard'!$C$10)
))</f>
        <v>998.44808742695363</v>
      </c>
      <c r="U97" s="434">
        <f>$B$80*'High Level Dashboard'!$C$9*
(-PMT('High Level Dashboard'!$C$10,'High Level Dashboard'!$C$12-'High Level Dashboard'!$C$11+1,
SUMIFS('High Level Dashboard'!$B$65:$AV$65,'High Level Dashboard'!$B$64:$AV$64,"&gt;="&amp;('High Level Dashboard'!T$64-(ROUNDDOWN('High Level Dashboard'!$C$12,0))+1),'High Level Dashboard'!$B$64:$AV$64,"&lt;="&amp;('High Level Dashboard'!T$64-(ROUNDUP('High Level Dashboard'!$C$11,0)))))
+
IFERROR(-PMT('High Level Dashboard'!$C$10,'High Level Dashboard'!$C$12-'High Level Dashboard'!$C$11+1,
(HLOOKUP('High Level Dashboard'!T$64-(ROUNDUP('High Level Dashboard'!$C$12,0))+1,'High Level Dashboard'!$B$64:$AV$65,2,FALSE))*('High Level Dashboard'!$C$12-(ROUNDDOWN('High Level Dashboard'!$C$12,0)))),0)
+
IFERROR(-PMT('High Level Dashboard'!$C$10,'High Level Dashboard'!$C$12-'High Level Dashboard'!$C$11+1,
(HLOOKUP('High Level Dashboard'!T$64-(ROUNDDOWN('High Level Dashboard'!$C$11,0)),'High Level Dashboard'!$B$64:$AV$65,2,FALSE)*('High Level Dashboard'!$C$11-ROUNDDOWN('High Level Dashboard'!$C$11,0)))),0)
+
(((SUMIFS('High Level Dashboard'!$B$65:$AV$65,'High Level Dashboard'!$B$64:$AV$64,"&gt;"&amp;'High Level Dashboard'!T$64-ROUNDDOWN('High Level Dashboard'!$C$11,0),'High Level Dashboard'!$B$64:$AV$64,"&lt;="&amp;'High Level Dashboard'!T$64)+(IFERROR(SUMIF('High Level Dashboard'!$B$64:$AV$64,ROUNDDOWN('High Level Dashboard'!T$64-'High Level Dashboard'!$C$11,0)+1,'High Level Dashboard'!$B$65:$AV$65)*(1-('High Level Dashboard'!$C$11-ROUNDDOWN('High Level Dashboard'!$C$11,0))),"")))*'High Level Dashboard'!$C$10)
))</f>
        <v>1082.0721594652098</v>
      </c>
      <c r="V97" s="434">
        <f>$B$80*'High Level Dashboard'!$C$9*
(-PMT('High Level Dashboard'!$C$10,'High Level Dashboard'!$C$12-'High Level Dashboard'!$C$11+1,
SUMIFS('High Level Dashboard'!$B$65:$AV$65,'High Level Dashboard'!$B$64:$AV$64,"&gt;="&amp;('High Level Dashboard'!U$64-(ROUNDDOWN('High Level Dashboard'!$C$12,0))+1),'High Level Dashboard'!$B$64:$AV$64,"&lt;="&amp;('High Level Dashboard'!U$64-(ROUNDUP('High Level Dashboard'!$C$11,0)))))
+
IFERROR(-PMT('High Level Dashboard'!$C$10,'High Level Dashboard'!$C$12-'High Level Dashboard'!$C$11+1,
(HLOOKUP('High Level Dashboard'!U$64-(ROUNDUP('High Level Dashboard'!$C$12,0))+1,'High Level Dashboard'!$B$64:$AV$65,2,FALSE))*('High Level Dashboard'!$C$12-(ROUNDDOWN('High Level Dashboard'!$C$12,0)))),0)
+
IFERROR(-PMT('High Level Dashboard'!$C$10,'High Level Dashboard'!$C$12-'High Level Dashboard'!$C$11+1,
(HLOOKUP('High Level Dashboard'!U$64-(ROUNDDOWN('High Level Dashboard'!$C$11,0)),'High Level Dashboard'!$B$64:$AV$65,2,FALSE)*('High Level Dashboard'!$C$11-ROUNDDOWN('High Level Dashboard'!$C$11,0)))),0)
+
(((SUMIFS('High Level Dashboard'!$B$65:$AV$65,'High Level Dashboard'!$B$64:$AV$64,"&gt;"&amp;'High Level Dashboard'!U$64-ROUNDDOWN('High Level Dashboard'!$C$11,0),'High Level Dashboard'!$B$64:$AV$64,"&lt;="&amp;'High Level Dashboard'!U$64)+(IFERROR(SUMIF('High Level Dashboard'!$B$64:$AV$64,ROUNDDOWN('High Level Dashboard'!U$64-'High Level Dashboard'!$C$11,0)+1,'High Level Dashboard'!$B$65:$AV$65)*(1-('High Level Dashboard'!$C$11-ROUNDDOWN('High Level Dashboard'!$C$11,0))),"")))*'High Level Dashboard'!$C$10)
))</f>
        <v>1166.5339059297396</v>
      </c>
      <c r="W97" s="434">
        <f>$B$80*'High Level Dashboard'!$C$9*
(-PMT('High Level Dashboard'!$C$10,'High Level Dashboard'!$C$12-'High Level Dashboard'!$C$11+1,
SUMIFS('High Level Dashboard'!$B$65:$AV$65,'High Level Dashboard'!$B$64:$AV$64,"&gt;="&amp;('High Level Dashboard'!V$64-(ROUNDDOWN('High Level Dashboard'!$C$12,0))+1),'High Level Dashboard'!$B$64:$AV$64,"&lt;="&amp;('High Level Dashboard'!V$64-(ROUNDUP('High Level Dashboard'!$C$11,0)))))
+
IFERROR(-PMT('High Level Dashboard'!$C$10,'High Level Dashboard'!$C$12-'High Level Dashboard'!$C$11+1,
(HLOOKUP('High Level Dashboard'!V$64-(ROUNDUP('High Level Dashboard'!$C$12,0))+1,'High Level Dashboard'!$B$64:$AV$65,2,FALSE))*('High Level Dashboard'!$C$12-(ROUNDDOWN('High Level Dashboard'!$C$12,0)))),0)
+
IFERROR(-PMT('High Level Dashboard'!$C$10,'High Level Dashboard'!$C$12-'High Level Dashboard'!$C$11+1,
(HLOOKUP('High Level Dashboard'!V$64-(ROUNDDOWN('High Level Dashboard'!$C$11,0)),'High Level Dashboard'!$B$64:$AV$65,2,FALSE)*('High Level Dashboard'!$C$11-ROUNDDOWN('High Level Dashboard'!$C$11,0)))),0)
+
(((SUMIFS('High Level Dashboard'!$B$65:$AV$65,'High Level Dashboard'!$B$64:$AV$64,"&gt;"&amp;'High Level Dashboard'!V$64-ROUNDDOWN('High Level Dashboard'!$C$11,0),'High Level Dashboard'!$B$64:$AV$64,"&lt;="&amp;'High Level Dashboard'!V$64)+(IFERROR(SUMIF('High Level Dashboard'!$B$64:$AV$64,ROUNDDOWN('High Level Dashboard'!V$64-'High Level Dashboard'!$C$11,0)+1,'High Level Dashboard'!$B$65:$AV$65)*(1-('High Level Dashboard'!$C$11-ROUNDDOWN('High Level Dashboard'!$C$11,0))),"")))*'High Level Dashboard'!$C$10)
))</f>
        <v>1271.3485200193609</v>
      </c>
      <c r="X97" s="434">
        <f>$B$80*'High Level Dashboard'!$C$9*
(-PMT('High Level Dashboard'!$C$10,'High Level Dashboard'!$C$12-'High Level Dashboard'!$C$11+1,
SUMIFS('High Level Dashboard'!$B$65:$AV$65,'High Level Dashboard'!$B$64:$AV$64,"&gt;="&amp;('High Level Dashboard'!W$64-(ROUNDDOWN('High Level Dashboard'!$C$12,0))+1),'High Level Dashboard'!$B$64:$AV$64,"&lt;="&amp;('High Level Dashboard'!W$64-(ROUNDUP('High Level Dashboard'!$C$11,0)))))
+
IFERROR(-PMT('High Level Dashboard'!$C$10,'High Level Dashboard'!$C$12-'High Level Dashboard'!$C$11+1,
(HLOOKUP('High Level Dashboard'!W$64-(ROUNDUP('High Level Dashboard'!$C$12,0))+1,'High Level Dashboard'!$B$64:$AV$65,2,FALSE))*('High Level Dashboard'!$C$12-(ROUNDDOWN('High Level Dashboard'!$C$12,0)))),0)
+
IFERROR(-PMT('High Level Dashboard'!$C$10,'High Level Dashboard'!$C$12-'High Level Dashboard'!$C$11+1,
(HLOOKUP('High Level Dashboard'!W$64-(ROUNDDOWN('High Level Dashboard'!$C$11,0)),'High Level Dashboard'!$B$64:$AV$65,2,FALSE)*('High Level Dashboard'!$C$11-ROUNDDOWN('High Level Dashboard'!$C$11,0)))),0)
+
(((SUMIFS('High Level Dashboard'!$B$65:$AV$65,'High Level Dashboard'!$B$64:$AV$64,"&gt;"&amp;'High Level Dashboard'!W$64-ROUNDDOWN('High Level Dashboard'!$C$11,0),'High Level Dashboard'!$B$64:$AV$64,"&lt;="&amp;'High Level Dashboard'!W$64)+(IFERROR(SUMIF('High Level Dashboard'!$B$64:$AV$64,ROUNDDOWN('High Level Dashboard'!W$64-'High Level Dashboard'!$C$11,0)+1,'High Level Dashboard'!$B$65:$AV$65)*(1-('High Level Dashboard'!$C$11-ROUNDDOWN('High Level Dashboard'!$C$11,0))),"")))*'High Level Dashboard'!$C$10)
))</f>
        <v>1399.234227411406</v>
      </c>
      <c r="Y97" s="434">
        <f>$B$80*'High Level Dashboard'!$C$9*
(-PMT('High Level Dashboard'!$C$10,'High Level Dashboard'!$C$12-'High Level Dashboard'!$C$11+1,
SUMIFS('High Level Dashboard'!$B$65:$AV$65,'High Level Dashboard'!$B$64:$AV$64,"&gt;="&amp;('High Level Dashboard'!X$64-(ROUNDDOWN('High Level Dashboard'!$C$12,0))+1),'High Level Dashboard'!$B$64:$AV$64,"&lt;="&amp;('High Level Dashboard'!X$64-(ROUNDUP('High Level Dashboard'!$C$11,0)))))
+
IFERROR(-PMT('High Level Dashboard'!$C$10,'High Level Dashboard'!$C$12-'High Level Dashboard'!$C$11+1,
(HLOOKUP('High Level Dashboard'!X$64-(ROUNDUP('High Level Dashboard'!$C$12,0))+1,'High Level Dashboard'!$B$64:$AV$65,2,FALSE))*('High Level Dashboard'!$C$12-(ROUNDDOWN('High Level Dashboard'!$C$12,0)))),0)
+
IFERROR(-PMT('High Level Dashboard'!$C$10,'High Level Dashboard'!$C$12-'High Level Dashboard'!$C$11+1,
(HLOOKUP('High Level Dashboard'!X$64-(ROUNDDOWN('High Level Dashboard'!$C$11,0)),'High Level Dashboard'!$B$64:$AV$65,2,FALSE)*('High Level Dashboard'!$C$11-ROUNDDOWN('High Level Dashboard'!$C$11,0)))),0)
+
(((SUMIFS('High Level Dashboard'!$B$65:$AV$65,'High Level Dashboard'!$B$64:$AV$64,"&gt;"&amp;'High Level Dashboard'!X$64-ROUNDDOWN('High Level Dashboard'!$C$11,0),'High Level Dashboard'!$B$64:$AV$64,"&lt;="&amp;'High Level Dashboard'!X$64)+(IFERROR(SUMIF('High Level Dashboard'!$B$64:$AV$64,ROUNDDOWN('High Level Dashboard'!X$64-'High Level Dashboard'!$C$11,0)+1,'High Level Dashboard'!$B$65:$AV$65)*(1-('High Level Dashboard'!$C$11-ROUNDDOWN('High Level Dashboard'!$C$11,0))),"")))*'High Level Dashboard'!$C$10)
))</f>
        <v>1519.6481055874106</v>
      </c>
      <c r="Z97" s="434">
        <f>$B$80*'High Level Dashboard'!$C$9*
(-PMT('High Level Dashboard'!$C$10,'High Level Dashboard'!$C$12-'High Level Dashboard'!$C$11+1,
SUMIFS('High Level Dashboard'!$B$65:$AV$65,'High Level Dashboard'!$B$64:$AV$64,"&gt;="&amp;('High Level Dashboard'!Y$64-(ROUNDDOWN('High Level Dashboard'!$C$12,0))+1),'High Level Dashboard'!$B$64:$AV$64,"&lt;="&amp;('High Level Dashboard'!Y$64-(ROUNDUP('High Level Dashboard'!$C$11,0)))))
+
IFERROR(-PMT('High Level Dashboard'!$C$10,'High Level Dashboard'!$C$12-'High Level Dashboard'!$C$11+1,
(HLOOKUP('High Level Dashboard'!Y$64-(ROUNDUP('High Level Dashboard'!$C$12,0))+1,'High Level Dashboard'!$B$64:$AV$65,2,FALSE))*('High Level Dashboard'!$C$12-(ROUNDDOWN('High Level Dashboard'!$C$12,0)))),0)
+
IFERROR(-PMT('High Level Dashboard'!$C$10,'High Level Dashboard'!$C$12-'High Level Dashboard'!$C$11+1,
(HLOOKUP('High Level Dashboard'!Y$64-(ROUNDDOWN('High Level Dashboard'!$C$11,0)),'High Level Dashboard'!$B$64:$AV$65,2,FALSE)*('High Level Dashboard'!$C$11-ROUNDDOWN('High Level Dashboard'!$C$11,0)))),0)
+
(((SUMIFS('High Level Dashboard'!$B$65:$AV$65,'High Level Dashboard'!$B$64:$AV$64,"&gt;"&amp;'High Level Dashboard'!Y$64-ROUNDDOWN('High Level Dashboard'!$C$11,0),'High Level Dashboard'!$B$64:$AV$64,"&lt;="&amp;'High Level Dashboard'!Y$64)+(IFERROR(SUMIF('High Level Dashboard'!$B$64:$AV$64,ROUNDDOWN('High Level Dashboard'!Y$64-'High Level Dashboard'!$C$11,0)+1,'High Level Dashboard'!$B$65:$AV$65)*(1-('High Level Dashboard'!$C$11-ROUNDDOWN('High Level Dashboard'!$C$11,0))),"")))*'High Level Dashboard'!$C$10)
))</f>
        <v>1618.1359225789183</v>
      </c>
      <c r="AA97" s="434">
        <f>$B$80*'High Level Dashboard'!$C$9*
(-PMT('High Level Dashboard'!$C$10,'High Level Dashboard'!$C$12-'High Level Dashboard'!$C$11+1,
SUMIFS('High Level Dashboard'!$B$65:$AV$65,'High Level Dashboard'!$B$64:$AV$64,"&gt;="&amp;('High Level Dashboard'!Z$64-(ROUNDDOWN('High Level Dashboard'!$C$12,0))+1),'High Level Dashboard'!$B$64:$AV$64,"&lt;="&amp;('High Level Dashboard'!Z$64-(ROUNDUP('High Level Dashboard'!$C$11,0)))))
+
IFERROR(-PMT('High Level Dashboard'!$C$10,'High Level Dashboard'!$C$12-'High Level Dashboard'!$C$11+1,
(HLOOKUP('High Level Dashboard'!Z$64-(ROUNDUP('High Level Dashboard'!$C$12,0))+1,'High Level Dashboard'!$B$64:$AV$65,2,FALSE))*('High Level Dashboard'!$C$12-(ROUNDDOWN('High Level Dashboard'!$C$12,0)))),0)
+
IFERROR(-PMT('High Level Dashboard'!$C$10,'High Level Dashboard'!$C$12-'High Level Dashboard'!$C$11+1,
(HLOOKUP('High Level Dashboard'!Z$64-(ROUNDDOWN('High Level Dashboard'!$C$11,0)),'High Level Dashboard'!$B$64:$AV$65,2,FALSE)*('High Level Dashboard'!$C$11-ROUNDDOWN('High Level Dashboard'!$C$11,0)))),0)
+
(((SUMIFS('High Level Dashboard'!$B$65:$AV$65,'High Level Dashboard'!$B$64:$AV$64,"&gt;"&amp;'High Level Dashboard'!Z$64-ROUNDDOWN('High Level Dashboard'!$C$11,0),'High Level Dashboard'!$B$64:$AV$64,"&lt;="&amp;'High Level Dashboard'!Z$64)+(IFERROR(SUMIF('High Level Dashboard'!$B$64:$AV$64,ROUNDDOWN('High Level Dashboard'!Z$64-'High Level Dashboard'!$C$11,0)+1,'High Level Dashboard'!$B$65:$AV$65)*(1-('High Level Dashboard'!$C$11-ROUNDDOWN('High Level Dashboard'!$C$11,0))),"")))*'High Level Dashboard'!$C$10)
))</f>
        <v>1720.8880104880097</v>
      </c>
      <c r="AB97" s="434">
        <f>$B$80*'High Level Dashboard'!$C$9*
(-PMT('High Level Dashboard'!$C$10,'High Level Dashboard'!$C$12-'High Level Dashboard'!$C$11+1,
SUMIFS('High Level Dashboard'!$B$65:$AV$65,'High Level Dashboard'!$B$64:$AV$64,"&gt;="&amp;('High Level Dashboard'!AA$64-(ROUNDDOWN('High Level Dashboard'!$C$12,0))+1),'High Level Dashboard'!$B$64:$AV$64,"&lt;="&amp;('High Level Dashboard'!AA$64-(ROUNDUP('High Level Dashboard'!$C$11,0)))))
+
IFERROR(-PMT('High Level Dashboard'!$C$10,'High Level Dashboard'!$C$12-'High Level Dashboard'!$C$11+1,
(HLOOKUP('High Level Dashboard'!AA$64-(ROUNDUP('High Level Dashboard'!$C$12,0))+1,'High Level Dashboard'!$B$64:$AV$65,2,FALSE))*('High Level Dashboard'!$C$12-(ROUNDDOWN('High Level Dashboard'!$C$12,0)))),0)
+
IFERROR(-PMT('High Level Dashboard'!$C$10,'High Level Dashboard'!$C$12-'High Level Dashboard'!$C$11+1,
(HLOOKUP('High Level Dashboard'!AA$64-(ROUNDDOWN('High Level Dashboard'!$C$11,0)),'High Level Dashboard'!$B$64:$AV$65,2,FALSE)*('High Level Dashboard'!$C$11-ROUNDDOWN('High Level Dashboard'!$C$11,0)))),0)
+
(((SUMIFS('High Level Dashboard'!$B$65:$AV$65,'High Level Dashboard'!$B$64:$AV$64,"&gt;"&amp;'High Level Dashboard'!AA$64-ROUNDDOWN('High Level Dashboard'!$C$11,0),'High Level Dashboard'!$B$64:$AV$64,"&lt;="&amp;'High Level Dashboard'!AA$64)+(IFERROR(SUMIF('High Level Dashboard'!$B$64:$AV$64,ROUNDDOWN('High Level Dashboard'!AA$64-'High Level Dashboard'!$C$11,0)+1,'High Level Dashboard'!$B$65:$AV$65)*(1-('High Level Dashboard'!$C$11-ROUNDDOWN('High Level Dashboard'!$C$11,0))),"")))*'High Level Dashboard'!$C$10)
))</f>
        <v>1835.3874931976636</v>
      </c>
      <c r="AC97" s="434">
        <f>$B$80*'High Level Dashboard'!$C$9*
(-PMT('High Level Dashboard'!$C$10,'High Level Dashboard'!$C$12-'High Level Dashboard'!$C$11+1,
SUMIFS('High Level Dashboard'!$B$65:$AV$65,'High Level Dashboard'!$B$64:$AV$64,"&gt;="&amp;('High Level Dashboard'!AB$64-(ROUNDDOWN('High Level Dashboard'!$C$12,0))+1),'High Level Dashboard'!$B$64:$AV$64,"&lt;="&amp;('High Level Dashboard'!AB$64-(ROUNDUP('High Level Dashboard'!$C$11,0)))))
+
IFERROR(-PMT('High Level Dashboard'!$C$10,'High Level Dashboard'!$C$12-'High Level Dashboard'!$C$11+1,
(HLOOKUP('High Level Dashboard'!AB$64-(ROUNDUP('High Level Dashboard'!$C$12,0))+1,'High Level Dashboard'!$B$64:$AV$65,2,FALSE))*('High Level Dashboard'!$C$12-(ROUNDDOWN('High Level Dashboard'!$C$12,0)))),0)
+
IFERROR(-PMT('High Level Dashboard'!$C$10,'High Level Dashboard'!$C$12-'High Level Dashboard'!$C$11+1,
(HLOOKUP('High Level Dashboard'!AB$64-(ROUNDDOWN('High Level Dashboard'!$C$11,0)),'High Level Dashboard'!$B$64:$AV$65,2,FALSE)*('High Level Dashboard'!$C$11-ROUNDDOWN('High Level Dashboard'!$C$11,0)))),0)
+
(((SUMIFS('High Level Dashboard'!$B$65:$AV$65,'High Level Dashboard'!$B$64:$AV$64,"&gt;"&amp;'High Level Dashboard'!AB$64-ROUNDDOWN('High Level Dashboard'!$C$11,0),'High Level Dashboard'!$B$64:$AV$64,"&lt;="&amp;'High Level Dashboard'!AB$64)+(IFERROR(SUMIF('High Level Dashboard'!$B$64:$AV$64,ROUNDDOWN('High Level Dashboard'!AB$64-'High Level Dashboard'!$C$11,0)+1,'High Level Dashboard'!$B$65:$AV$65)*(1-('High Level Dashboard'!$C$11-ROUNDDOWN('High Level Dashboard'!$C$11,0))),"")))*'High Level Dashboard'!$C$10)
))</f>
        <v>1952.7827028554921</v>
      </c>
      <c r="AD97" s="434">
        <f>$B$80*'High Level Dashboard'!$C$9*
(-PMT('High Level Dashboard'!$C$10,'High Level Dashboard'!$C$12-'High Level Dashboard'!$C$11+1,
SUMIFS('High Level Dashboard'!$B$65:$AV$65,'High Level Dashboard'!$B$64:$AV$64,"&gt;="&amp;('High Level Dashboard'!AC$64-(ROUNDDOWN('High Level Dashboard'!$C$12,0))+1),'High Level Dashboard'!$B$64:$AV$64,"&lt;="&amp;('High Level Dashboard'!AC$64-(ROUNDUP('High Level Dashboard'!$C$11,0)))))
+
IFERROR(-PMT('High Level Dashboard'!$C$10,'High Level Dashboard'!$C$12-'High Level Dashboard'!$C$11+1,
(HLOOKUP('High Level Dashboard'!AC$64-(ROUNDUP('High Level Dashboard'!$C$12,0))+1,'High Level Dashboard'!$B$64:$AV$65,2,FALSE))*('High Level Dashboard'!$C$12-(ROUNDDOWN('High Level Dashboard'!$C$12,0)))),0)
+
IFERROR(-PMT('High Level Dashboard'!$C$10,'High Level Dashboard'!$C$12-'High Level Dashboard'!$C$11+1,
(HLOOKUP('High Level Dashboard'!AC$64-(ROUNDDOWN('High Level Dashboard'!$C$11,0)),'High Level Dashboard'!$B$64:$AV$65,2,FALSE)*('High Level Dashboard'!$C$11-ROUNDDOWN('High Level Dashboard'!$C$11,0)))),0)
+
(((SUMIFS('High Level Dashboard'!$B$65:$AV$65,'High Level Dashboard'!$B$64:$AV$64,"&gt;"&amp;'High Level Dashboard'!AC$64-ROUNDDOWN('High Level Dashboard'!$C$11,0),'High Level Dashboard'!$B$64:$AV$64,"&lt;="&amp;'High Level Dashboard'!AC$64)+(IFERROR(SUMIF('High Level Dashboard'!$B$64:$AV$64,ROUNDDOWN('High Level Dashboard'!AC$64-'High Level Dashboard'!$C$11,0)+1,'High Level Dashboard'!$B$65:$AV$65)*(1-('High Level Dashboard'!$C$11-ROUNDDOWN('High Level Dashboard'!$C$11,0))),"")))*'High Level Dashboard'!$C$10)
))</f>
        <v>2030.7396563788363</v>
      </c>
      <c r="AE97" s="434">
        <f>$B$80*'High Level Dashboard'!$C$9*
(-PMT('High Level Dashboard'!$C$10,'High Level Dashboard'!$C$12-'High Level Dashboard'!$C$11+1,
SUMIFS('High Level Dashboard'!$B$65:$AV$65,'High Level Dashboard'!$B$64:$AV$64,"&gt;="&amp;('High Level Dashboard'!AD$64-(ROUNDDOWN('High Level Dashboard'!$C$12,0))+1),'High Level Dashboard'!$B$64:$AV$64,"&lt;="&amp;('High Level Dashboard'!AD$64-(ROUNDUP('High Level Dashboard'!$C$11,0)))))
+
IFERROR(-PMT('High Level Dashboard'!$C$10,'High Level Dashboard'!$C$12-'High Level Dashboard'!$C$11+1,
(HLOOKUP('High Level Dashboard'!AD$64-(ROUNDUP('High Level Dashboard'!$C$12,0))+1,'High Level Dashboard'!$B$64:$AV$65,2,FALSE))*('High Level Dashboard'!$C$12-(ROUNDDOWN('High Level Dashboard'!$C$12,0)))),0)
+
IFERROR(-PMT('High Level Dashboard'!$C$10,'High Level Dashboard'!$C$12-'High Level Dashboard'!$C$11+1,
(HLOOKUP('High Level Dashboard'!AD$64-(ROUNDDOWN('High Level Dashboard'!$C$11,0)),'High Level Dashboard'!$B$64:$AV$65,2,FALSE)*('High Level Dashboard'!$C$11-ROUNDDOWN('High Level Dashboard'!$C$11,0)))),0)
+
(((SUMIFS('High Level Dashboard'!$B$65:$AV$65,'High Level Dashboard'!$B$64:$AV$64,"&gt;"&amp;'High Level Dashboard'!AD$64-ROUNDDOWN('High Level Dashboard'!$C$11,0),'High Level Dashboard'!$B$64:$AV$64,"&lt;="&amp;'High Level Dashboard'!AD$64)+(IFERROR(SUMIF('High Level Dashboard'!$B$64:$AV$64,ROUNDDOWN('High Level Dashboard'!AD$64-'High Level Dashboard'!$C$11,0)+1,'High Level Dashboard'!$B$65:$AV$65)*(1-('High Level Dashboard'!$C$11-ROUNDDOWN('High Level Dashboard'!$C$11,0))),"")))*'High Level Dashboard'!$C$10)
))</f>
        <v>2098.2555159333187</v>
      </c>
      <c r="AF97" s="434">
        <f>$B$80*'High Level Dashboard'!$C$9*
(-PMT('High Level Dashboard'!$C$10,'High Level Dashboard'!$C$12-'High Level Dashboard'!$C$11+1,
SUMIFS('High Level Dashboard'!$B$65:$AV$65,'High Level Dashboard'!$B$64:$AV$64,"&gt;="&amp;('High Level Dashboard'!AE$64-(ROUNDDOWN('High Level Dashboard'!$C$12,0))+1),'High Level Dashboard'!$B$64:$AV$64,"&lt;="&amp;('High Level Dashboard'!AE$64-(ROUNDUP('High Level Dashboard'!$C$11,0)))))
+
IFERROR(-PMT('High Level Dashboard'!$C$10,'High Level Dashboard'!$C$12-'High Level Dashboard'!$C$11+1,
(HLOOKUP('High Level Dashboard'!AE$64-(ROUNDUP('High Level Dashboard'!$C$12,0))+1,'High Level Dashboard'!$B$64:$AV$65,2,FALSE))*('High Level Dashboard'!$C$12-(ROUNDDOWN('High Level Dashboard'!$C$12,0)))),0)
+
IFERROR(-PMT('High Level Dashboard'!$C$10,'High Level Dashboard'!$C$12-'High Level Dashboard'!$C$11+1,
(HLOOKUP('High Level Dashboard'!AE$64-(ROUNDDOWN('High Level Dashboard'!$C$11,0)),'High Level Dashboard'!$B$64:$AV$65,2,FALSE)*('High Level Dashboard'!$C$11-ROUNDDOWN('High Level Dashboard'!$C$11,0)))),0)
+
(((SUMIFS('High Level Dashboard'!$B$65:$AV$65,'High Level Dashboard'!$B$64:$AV$64,"&gt;"&amp;'High Level Dashboard'!AE$64-ROUNDDOWN('High Level Dashboard'!$C$11,0),'High Level Dashboard'!$B$64:$AV$64,"&lt;="&amp;'High Level Dashboard'!AE$64)+(IFERROR(SUMIF('High Level Dashboard'!$B$64:$AV$64,ROUNDDOWN('High Level Dashboard'!AE$64-'High Level Dashboard'!$C$11,0)+1,'High Level Dashboard'!$B$65:$AV$65)*(1-('High Level Dashboard'!$C$11-ROUNDDOWN('High Level Dashboard'!$C$11,0))),"")))*'High Level Dashboard'!$C$10)
))</f>
        <v>2188.1457657719375</v>
      </c>
      <c r="AG97" s="434">
        <f>$B$80*'High Level Dashboard'!$C$9*
(-PMT('High Level Dashboard'!$C$10,'High Level Dashboard'!$C$12-'High Level Dashboard'!$C$11+1,
SUMIFS('High Level Dashboard'!$B$65:$AV$65,'High Level Dashboard'!$B$64:$AV$64,"&gt;="&amp;('High Level Dashboard'!AF$64-(ROUNDDOWN('High Level Dashboard'!$C$12,0))+1),'High Level Dashboard'!$B$64:$AV$64,"&lt;="&amp;('High Level Dashboard'!AF$64-(ROUNDUP('High Level Dashboard'!$C$11,0)))))
+
IFERROR(-PMT('High Level Dashboard'!$C$10,'High Level Dashboard'!$C$12-'High Level Dashboard'!$C$11+1,
(HLOOKUP('High Level Dashboard'!AF$64-(ROUNDUP('High Level Dashboard'!$C$12,0))+1,'High Level Dashboard'!$B$64:$AV$65,2,FALSE))*('High Level Dashboard'!$C$12-(ROUNDDOWN('High Level Dashboard'!$C$12,0)))),0)
+
IFERROR(-PMT('High Level Dashboard'!$C$10,'High Level Dashboard'!$C$12-'High Level Dashboard'!$C$11+1,
(HLOOKUP('High Level Dashboard'!AF$64-(ROUNDDOWN('High Level Dashboard'!$C$11,0)),'High Level Dashboard'!$B$64:$AV$65,2,FALSE)*('High Level Dashboard'!$C$11-ROUNDDOWN('High Level Dashboard'!$C$11,0)))),0)
+
(((SUMIFS('High Level Dashboard'!$B$65:$AV$65,'High Level Dashboard'!$B$64:$AV$64,"&gt;"&amp;'High Level Dashboard'!AF$64-ROUNDDOWN('High Level Dashboard'!$C$11,0),'High Level Dashboard'!$B$64:$AV$64,"&lt;="&amp;'High Level Dashboard'!AF$64)+(IFERROR(SUMIF('High Level Dashboard'!$B$64:$AV$64,ROUNDDOWN('High Level Dashboard'!AF$64-'High Level Dashboard'!$C$11,0)+1,'High Level Dashboard'!$B$65:$AV$65)*(1-('High Level Dashboard'!$C$11-ROUNDDOWN('High Level Dashboard'!$C$11,0))),"")))*'High Level Dashboard'!$C$10)
))</f>
        <v>2268.2019736418792</v>
      </c>
      <c r="AH97" s="434">
        <f>$B$80*'High Level Dashboard'!$C$9*
(-PMT('High Level Dashboard'!$C$10,'High Level Dashboard'!$C$12-'High Level Dashboard'!$C$11+1,
SUMIFS('High Level Dashboard'!$B$65:$AV$65,'High Level Dashboard'!$B$64:$AV$64,"&gt;="&amp;('High Level Dashboard'!AG$64-(ROUNDDOWN('High Level Dashboard'!$C$12,0))+1),'High Level Dashboard'!$B$64:$AV$64,"&lt;="&amp;('High Level Dashboard'!AG$64-(ROUNDUP('High Level Dashboard'!$C$11,0)))))
+
IFERROR(-PMT('High Level Dashboard'!$C$10,'High Level Dashboard'!$C$12-'High Level Dashboard'!$C$11+1,
(HLOOKUP('High Level Dashboard'!AG$64-(ROUNDUP('High Level Dashboard'!$C$12,0))+1,'High Level Dashboard'!$B$64:$AV$65,2,FALSE))*('High Level Dashboard'!$C$12-(ROUNDDOWN('High Level Dashboard'!$C$12,0)))),0)
+
IFERROR(-PMT('High Level Dashboard'!$C$10,'High Level Dashboard'!$C$12-'High Level Dashboard'!$C$11+1,
(HLOOKUP('High Level Dashboard'!AG$64-(ROUNDDOWN('High Level Dashboard'!$C$11,0)),'High Level Dashboard'!$B$64:$AV$65,2,FALSE)*('High Level Dashboard'!$C$11-ROUNDDOWN('High Level Dashboard'!$C$11,0)))),0)
+
(((SUMIFS('High Level Dashboard'!$B$65:$AV$65,'High Level Dashboard'!$B$64:$AV$64,"&gt;"&amp;'High Level Dashboard'!AG$64-ROUNDDOWN('High Level Dashboard'!$C$11,0),'High Level Dashboard'!$B$64:$AV$64,"&lt;="&amp;'High Level Dashboard'!AG$64)+(IFERROR(SUMIF('High Level Dashboard'!$B$64:$AV$64,ROUNDDOWN('High Level Dashboard'!AG$64-'High Level Dashboard'!$C$11,0)+1,'High Level Dashboard'!$B$65:$AV$65)*(1-('High Level Dashboard'!$C$11-ROUNDDOWN('High Level Dashboard'!$C$11,0))),"")))*'High Level Dashboard'!$C$10)
))</f>
        <v>2326.990612200032</v>
      </c>
      <c r="AI97" s="434">
        <f>$B$80*'High Level Dashboard'!$C$9*
(-PMT('High Level Dashboard'!$C$10,'High Level Dashboard'!$C$12-'High Level Dashboard'!$C$11+1,
SUMIFS('High Level Dashboard'!$B$65:$AV$65,'High Level Dashboard'!$B$64:$AV$64,"&gt;="&amp;('High Level Dashboard'!AH$64-(ROUNDDOWN('High Level Dashboard'!$C$12,0))+1),'High Level Dashboard'!$B$64:$AV$64,"&lt;="&amp;('High Level Dashboard'!AH$64-(ROUNDUP('High Level Dashboard'!$C$11,0)))))
+
IFERROR(-PMT('High Level Dashboard'!$C$10,'High Level Dashboard'!$C$12-'High Level Dashboard'!$C$11+1,
(HLOOKUP('High Level Dashboard'!AH$64-(ROUNDUP('High Level Dashboard'!$C$12,0))+1,'High Level Dashboard'!$B$64:$AV$65,2,FALSE))*('High Level Dashboard'!$C$12-(ROUNDDOWN('High Level Dashboard'!$C$12,0)))),0)
+
IFERROR(-PMT('High Level Dashboard'!$C$10,'High Level Dashboard'!$C$12-'High Level Dashboard'!$C$11+1,
(HLOOKUP('High Level Dashboard'!AH$64-(ROUNDDOWN('High Level Dashboard'!$C$11,0)),'High Level Dashboard'!$B$64:$AV$65,2,FALSE)*('High Level Dashboard'!$C$11-ROUNDDOWN('High Level Dashboard'!$C$11,0)))),0)
+
(((SUMIFS('High Level Dashboard'!$B$65:$AV$65,'High Level Dashboard'!$B$64:$AV$64,"&gt;"&amp;'High Level Dashboard'!AH$64-ROUNDDOWN('High Level Dashboard'!$C$11,0),'High Level Dashboard'!$B$64:$AV$64,"&lt;="&amp;'High Level Dashboard'!AH$64)+(IFERROR(SUMIF('High Level Dashboard'!$B$64:$AV$64,ROUNDDOWN('High Level Dashboard'!AH$64-'High Level Dashboard'!$C$11,0)+1,'High Level Dashboard'!$B$65:$AV$65)*(1-('High Level Dashboard'!$C$11-ROUNDDOWN('High Level Dashboard'!$C$11,0))),"")))*'High Level Dashboard'!$C$10)
))</f>
        <v>2396.3225376192481</v>
      </c>
      <c r="AJ97" s="434">
        <f>$B$80*'High Level Dashboard'!$C$9*
(-PMT('High Level Dashboard'!$C$10,'High Level Dashboard'!$C$12-'High Level Dashboard'!$C$11+1,
SUMIFS('High Level Dashboard'!$B$65:$AV$65,'High Level Dashboard'!$B$64:$AV$64,"&gt;="&amp;('High Level Dashboard'!AI$64-(ROUNDDOWN('High Level Dashboard'!$C$12,0))+1),'High Level Dashboard'!$B$64:$AV$64,"&lt;="&amp;('High Level Dashboard'!AI$64-(ROUNDUP('High Level Dashboard'!$C$11,0)))))
+
IFERROR(-PMT('High Level Dashboard'!$C$10,'High Level Dashboard'!$C$12-'High Level Dashboard'!$C$11+1,
(HLOOKUP('High Level Dashboard'!AI$64-(ROUNDUP('High Level Dashboard'!$C$12,0))+1,'High Level Dashboard'!$B$64:$AV$65,2,FALSE))*('High Level Dashboard'!$C$12-(ROUNDDOWN('High Level Dashboard'!$C$12,0)))),0)
+
IFERROR(-PMT('High Level Dashboard'!$C$10,'High Level Dashboard'!$C$12-'High Level Dashboard'!$C$11+1,
(HLOOKUP('High Level Dashboard'!AI$64-(ROUNDDOWN('High Level Dashboard'!$C$11,0)),'High Level Dashboard'!$B$64:$AV$65,2,FALSE)*('High Level Dashboard'!$C$11-ROUNDDOWN('High Level Dashboard'!$C$11,0)))),0)
+
(((SUMIFS('High Level Dashboard'!$B$65:$AV$65,'High Level Dashboard'!$B$64:$AV$64,"&gt;"&amp;'High Level Dashboard'!AI$64-ROUNDDOWN('High Level Dashboard'!$C$11,0),'High Level Dashboard'!$B$64:$AV$64,"&lt;="&amp;'High Level Dashboard'!AI$64)+(IFERROR(SUMIF('High Level Dashboard'!$B$64:$AV$64,ROUNDDOWN('High Level Dashboard'!AI$64-'High Level Dashboard'!$C$11,0)+1,'High Level Dashboard'!$B$65:$AV$65)*(1-('High Level Dashboard'!$C$11-ROUNDDOWN('High Level Dashboard'!$C$11,0))),"")))*'High Level Dashboard'!$C$10)
))</f>
        <v>2462.6211743869912</v>
      </c>
      <c r="AK97" s="434">
        <f>$B$80*'High Level Dashboard'!$C$9*
(-PMT('High Level Dashboard'!$C$10,'High Level Dashboard'!$C$12-'High Level Dashboard'!$C$11+1,
SUMIFS('High Level Dashboard'!$B$65:$AV$65,'High Level Dashboard'!$B$64:$AV$64,"&gt;="&amp;('High Level Dashboard'!AJ$64-(ROUNDDOWN('High Level Dashboard'!$C$12,0))+1),'High Level Dashboard'!$B$64:$AV$64,"&lt;="&amp;('High Level Dashboard'!AJ$64-(ROUNDUP('High Level Dashboard'!$C$11,0)))))
+
IFERROR(-PMT('High Level Dashboard'!$C$10,'High Level Dashboard'!$C$12-'High Level Dashboard'!$C$11+1,
(HLOOKUP('High Level Dashboard'!AJ$64-(ROUNDUP('High Level Dashboard'!$C$12,0))+1,'High Level Dashboard'!$B$64:$AV$65,2,FALSE))*('High Level Dashboard'!$C$12-(ROUNDDOWN('High Level Dashboard'!$C$12,0)))),0)
+
IFERROR(-PMT('High Level Dashboard'!$C$10,'High Level Dashboard'!$C$12-'High Level Dashboard'!$C$11+1,
(HLOOKUP('High Level Dashboard'!AJ$64-(ROUNDDOWN('High Level Dashboard'!$C$11,0)),'High Level Dashboard'!$B$64:$AV$65,2,FALSE)*('High Level Dashboard'!$C$11-ROUNDDOWN('High Level Dashboard'!$C$11,0)))),0)
+
(((SUMIFS('High Level Dashboard'!$B$65:$AV$65,'High Level Dashboard'!$B$64:$AV$64,"&gt;"&amp;'High Level Dashboard'!AJ$64-ROUNDDOWN('High Level Dashboard'!$C$11,0),'High Level Dashboard'!$B$64:$AV$64,"&lt;="&amp;'High Level Dashboard'!AJ$64)+(IFERROR(SUMIF('High Level Dashboard'!$B$64:$AV$64,ROUNDDOWN('High Level Dashboard'!AJ$64-'High Level Dashboard'!$C$11,0)+1,'High Level Dashboard'!$B$65:$AV$65)*(1-('High Level Dashboard'!$C$11-ROUNDDOWN('High Level Dashboard'!$C$11,0))),"")))*'High Level Dashboard'!$C$10)
))</f>
        <v>2551.805920657047</v>
      </c>
      <c r="AL97" s="434">
        <f>$B$80*'High Level Dashboard'!$C$9*
(-PMT('High Level Dashboard'!$C$10,'High Level Dashboard'!$C$12-'High Level Dashboard'!$C$11+1,
SUMIFS('High Level Dashboard'!$B$65:$AV$65,'High Level Dashboard'!$B$64:$AV$64,"&gt;="&amp;('High Level Dashboard'!AK$64-(ROUNDDOWN('High Level Dashboard'!$C$12,0))+1),'High Level Dashboard'!$B$64:$AV$64,"&lt;="&amp;('High Level Dashboard'!AK$64-(ROUNDUP('High Level Dashboard'!$C$11,0)))))
+
IFERROR(-PMT('High Level Dashboard'!$C$10,'High Level Dashboard'!$C$12-'High Level Dashboard'!$C$11+1,
(HLOOKUP('High Level Dashboard'!AK$64-(ROUNDUP('High Level Dashboard'!$C$12,0))+1,'High Level Dashboard'!$B$64:$AV$65,2,FALSE))*('High Level Dashboard'!$C$12-(ROUNDDOWN('High Level Dashboard'!$C$12,0)))),0)
+
IFERROR(-PMT('High Level Dashboard'!$C$10,'High Level Dashboard'!$C$12-'High Level Dashboard'!$C$11+1,
(HLOOKUP('High Level Dashboard'!AK$64-(ROUNDDOWN('High Level Dashboard'!$C$11,0)),'High Level Dashboard'!$B$64:$AV$65,2,FALSE)*('High Level Dashboard'!$C$11-ROUNDDOWN('High Level Dashboard'!$C$11,0)))),0)
+
(((SUMIFS('High Level Dashboard'!$B$65:$AV$65,'High Level Dashboard'!$B$64:$AV$64,"&gt;"&amp;'High Level Dashboard'!AK$64-ROUNDDOWN('High Level Dashboard'!$C$11,0),'High Level Dashboard'!$B$64:$AV$64,"&lt;="&amp;'High Level Dashboard'!AK$64)+(IFERROR(SUMIF('High Level Dashboard'!$B$64:$AV$64,ROUNDDOWN('High Level Dashboard'!AK$64-'High Level Dashboard'!$C$11,0)+1,'High Level Dashboard'!$B$65:$AV$65)*(1-('High Level Dashboard'!$C$11-ROUNDDOWN('High Level Dashboard'!$C$11,0))),"")))*'High Level Dashboard'!$C$10)
))</f>
        <v>2668.4700592680952</v>
      </c>
      <c r="AM97" s="434">
        <f>$B$80*'High Level Dashboard'!$C$9*
(-PMT('High Level Dashboard'!$C$10,'High Level Dashboard'!$C$12-'High Level Dashboard'!$C$11+1,
SUMIFS('High Level Dashboard'!$B$65:$AV$65,'High Level Dashboard'!$B$64:$AV$64,"&gt;="&amp;('High Level Dashboard'!AL$64-(ROUNDDOWN('High Level Dashboard'!$C$12,0))+1),'High Level Dashboard'!$B$64:$AV$64,"&lt;="&amp;('High Level Dashboard'!AL$64-(ROUNDUP('High Level Dashboard'!$C$11,0)))))
+
IFERROR(-PMT('High Level Dashboard'!$C$10,'High Level Dashboard'!$C$12-'High Level Dashboard'!$C$11+1,
(HLOOKUP('High Level Dashboard'!AL$64-(ROUNDUP('High Level Dashboard'!$C$12,0))+1,'High Level Dashboard'!$B$64:$AV$65,2,FALSE))*('High Level Dashboard'!$C$12-(ROUNDDOWN('High Level Dashboard'!$C$12,0)))),0)
+
IFERROR(-PMT('High Level Dashboard'!$C$10,'High Level Dashboard'!$C$12-'High Level Dashboard'!$C$11+1,
(HLOOKUP('High Level Dashboard'!AL$64-(ROUNDDOWN('High Level Dashboard'!$C$11,0)),'High Level Dashboard'!$B$64:$AV$65,2,FALSE)*('High Level Dashboard'!$C$11-ROUNDDOWN('High Level Dashboard'!$C$11,0)))),0)
+
(((SUMIFS('High Level Dashboard'!$B$65:$AV$65,'High Level Dashboard'!$B$64:$AV$64,"&gt;"&amp;'High Level Dashboard'!AL$64-ROUNDDOWN('High Level Dashboard'!$C$11,0),'High Level Dashboard'!$B$64:$AV$64,"&lt;="&amp;'High Level Dashboard'!AL$64)+(IFERROR(SUMIF('High Level Dashboard'!$B$64:$AV$64,ROUNDDOWN('High Level Dashboard'!AL$64-'High Level Dashboard'!$C$11,0)+1,'High Level Dashboard'!$B$65:$AV$65)*(1-('High Level Dashboard'!$C$11-ROUNDDOWN('High Level Dashboard'!$C$11,0))),"")))*'High Level Dashboard'!$C$10)
))</f>
        <v>2743.4779705257884</v>
      </c>
      <c r="AN97" s="434">
        <f>$B$80*'High Level Dashboard'!$C$9*
(-PMT('High Level Dashboard'!$C$10,'High Level Dashboard'!$C$12-'High Level Dashboard'!$C$11+1,
SUMIFS('High Level Dashboard'!$B$65:$AV$65,'High Level Dashboard'!$B$64:$AV$64,"&gt;="&amp;('High Level Dashboard'!AM$64-(ROUNDDOWN('High Level Dashboard'!$C$12,0))+1),'High Level Dashboard'!$B$64:$AV$64,"&lt;="&amp;('High Level Dashboard'!AM$64-(ROUNDUP('High Level Dashboard'!$C$11,0)))))
+
IFERROR(-PMT('High Level Dashboard'!$C$10,'High Level Dashboard'!$C$12-'High Level Dashboard'!$C$11+1,
(HLOOKUP('High Level Dashboard'!AM$64-(ROUNDUP('High Level Dashboard'!$C$12,0))+1,'High Level Dashboard'!$B$64:$AV$65,2,FALSE))*('High Level Dashboard'!$C$12-(ROUNDDOWN('High Level Dashboard'!$C$12,0)))),0)
+
IFERROR(-PMT('High Level Dashboard'!$C$10,'High Level Dashboard'!$C$12-'High Level Dashboard'!$C$11+1,
(HLOOKUP('High Level Dashboard'!AM$64-(ROUNDDOWN('High Level Dashboard'!$C$11,0)),'High Level Dashboard'!$B$64:$AV$65,2,FALSE)*('High Level Dashboard'!$C$11-ROUNDDOWN('High Level Dashboard'!$C$11,0)))),0)
+
(((SUMIFS('High Level Dashboard'!$B$65:$AV$65,'High Level Dashboard'!$B$64:$AV$64,"&gt;"&amp;'High Level Dashboard'!AM$64-ROUNDDOWN('High Level Dashboard'!$C$11,0),'High Level Dashboard'!$B$64:$AV$64,"&lt;="&amp;'High Level Dashboard'!AM$64)+(IFERROR(SUMIF('High Level Dashboard'!$B$64:$AV$64,ROUNDDOWN('High Level Dashboard'!AM$64-'High Level Dashboard'!$C$11,0)+1,'High Level Dashboard'!$B$65:$AV$65)*(1-('High Level Dashboard'!$C$11-ROUNDDOWN('High Level Dashboard'!$C$11,0))),"")))*'High Level Dashboard'!$C$10)
))</f>
        <v>2824.8252318644882</v>
      </c>
      <c r="AO97" s="434">
        <f>$B$80*'High Level Dashboard'!$C$9*
(-PMT('High Level Dashboard'!$C$10,'High Level Dashboard'!$C$12-'High Level Dashboard'!$C$11+1,
SUMIFS('High Level Dashboard'!$B$65:$AV$65,'High Level Dashboard'!$B$64:$AV$64,"&gt;="&amp;('High Level Dashboard'!AN$64-(ROUNDDOWN('High Level Dashboard'!$C$12,0))+1),'High Level Dashboard'!$B$64:$AV$64,"&lt;="&amp;('High Level Dashboard'!AN$64-(ROUNDUP('High Level Dashboard'!$C$11,0)))))
+
IFERROR(-PMT('High Level Dashboard'!$C$10,'High Level Dashboard'!$C$12-'High Level Dashboard'!$C$11+1,
(HLOOKUP('High Level Dashboard'!AN$64-(ROUNDUP('High Level Dashboard'!$C$12,0))+1,'High Level Dashboard'!$B$64:$AV$65,2,FALSE))*('High Level Dashboard'!$C$12-(ROUNDDOWN('High Level Dashboard'!$C$12,0)))),0)
+
IFERROR(-PMT('High Level Dashboard'!$C$10,'High Level Dashboard'!$C$12-'High Level Dashboard'!$C$11+1,
(HLOOKUP('High Level Dashboard'!AN$64-(ROUNDDOWN('High Level Dashboard'!$C$11,0)),'High Level Dashboard'!$B$64:$AV$65,2,FALSE)*('High Level Dashboard'!$C$11-ROUNDDOWN('High Level Dashboard'!$C$11,0)))),0)
+
(((SUMIFS('High Level Dashboard'!$B$65:$AV$65,'High Level Dashboard'!$B$64:$AV$64,"&gt;"&amp;'High Level Dashboard'!AN$64-ROUNDDOWN('High Level Dashboard'!$C$11,0),'High Level Dashboard'!$B$64:$AV$64,"&lt;="&amp;'High Level Dashboard'!AN$64)+(IFERROR(SUMIF('High Level Dashboard'!$B$64:$AV$64,ROUNDDOWN('High Level Dashboard'!AN$64-'High Level Dashboard'!$C$11,0)+1,'High Level Dashboard'!$B$65:$AV$65)*(1-('High Level Dashboard'!$C$11-ROUNDDOWN('High Level Dashboard'!$C$11,0))),"")))*'High Level Dashboard'!$C$10)
))</f>
        <v>2880.1172737629927</v>
      </c>
      <c r="AP97" s="434">
        <f>$B$80*'High Level Dashboard'!$C$9*
(-PMT('High Level Dashboard'!$C$10,'High Level Dashboard'!$C$12-'High Level Dashboard'!$C$11+1,
SUMIFS('High Level Dashboard'!$B$65:$AV$65,'High Level Dashboard'!$B$64:$AV$64,"&gt;="&amp;('High Level Dashboard'!AO$64-(ROUNDDOWN('High Level Dashboard'!$C$12,0))+1),'High Level Dashboard'!$B$64:$AV$64,"&lt;="&amp;('High Level Dashboard'!AO$64-(ROUNDUP('High Level Dashboard'!$C$11,0)))))
+
IFERROR(-PMT('High Level Dashboard'!$C$10,'High Level Dashboard'!$C$12-'High Level Dashboard'!$C$11+1,
(HLOOKUP('High Level Dashboard'!AO$64-(ROUNDUP('High Level Dashboard'!$C$12,0))+1,'High Level Dashboard'!$B$64:$AV$65,2,FALSE))*('High Level Dashboard'!$C$12-(ROUNDDOWN('High Level Dashboard'!$C$12,0)))),0)
+
IFERROR(-PMT('High Level Dashboard'!$C$10,'High Level Dashboard'!$C$12-'High Level Dashboard'!$C$11+1,
(HLOOKUP('High Level Dashboard'!AO$64-(ROUNDDOWN('High Level Dashboard'!$C$11,0)),'High Level Dashboard'!$B$64:$AV$65,2,FALSE)*('High Level Dashboard'!$C$11-ROUNDDOWN('High Level Dashboard'!$C$11,0)))),0)
+
(((SUMIFS('High Level Dashboard'!$B$65:$AV$65,'High Level Dashboard'!$B$64:$AV$64,"&gt;"&amp;'High Level Dashboard'!AO$64-ROUNDDOWN('High Level Dashboard'!$C$11,0),'High Level Dashboard'!$B$64:$AV$64,"&lt;="&amp;'High Level Dashboard'!AO$64)+(IFERROR(SUMIF('High Level Dashboard'!$B$64:$AV$64,ROUNDDOWN('High Level Dashboard'!AO$64-'High Level Dashboard'!$C$11,0)+1,'High Level Dashboard'!$B$65:$AV$65)*(1-('High Level Dashboard'!$C$11-ROUNDDOWN('High Level Dashboard'!$C$11,0))),"")))*'High Level Dashboard'!$C$10)
))</f>
        <v>2940.0364521435763</v>
      </c>
      <c r="AQ97" s="434">
        <f>$B$80*'High Level Dashboard'!$C$9*
(-PMT('High Level Dashboard'!$C$10,'High Level Dashboard'!$C$12-'High Level Dashboard'!$C$11+1,
SUMIFS('High Level Dashboard'!$B$65:$AV$65,'High Level Dashboard'!$B$64:$AV$64,"&gt;="&amp;('High Level Dashboard'!AP$64-(ROUNDDOWN('High Level Dashboard'!$C$12,0))+1),'High Level Dashboard'!$B$64:$AV$64,"&lt;="&amp;('High Level Dashboard'!AP$64-(ROUNDUP('High Level Dashboard'!$C$11,0)))))
+
IFERROR(-PMT('High Level Dashboard'!$C$10,'High Level Dashboard'!$C$12-'High Level Dashboard'!$C$11+1,
(HLOOKUP('High Level Dashboard'!AP$64-(ROUNDUP('High Level Dashboard'!$C$12,0))+1,'High Level Dashboard'!$B$64:$AV$65,2,FALSE))*('High Level Dashboard'!$C$12-(ROUNDDOWN('High Level Dashboard'!$C$12,0)))),0)
+
IFERROR(-PMT('High Level Dashboard'!$C$10,'High Level Dashboard'!$C$12-'High Level Dashboard'!$C$11+1,
(HLOOKUP('High Level Dashboard'!AP$64-(ROUNDDOWN('High Level Dashboard'!$C$11,0)),'High Level Dashboard'!$B$64:$AV$65,2,FALSE)*('High Level Dashboard'!$C$11-ROUNDDOWN('High Level Dashboard'!$C$11,0)))),0)
+
(((SUMIFS('High Level Dashboard'!$B$65:$AV$65,'High Level Dashboard'!$B$64:$AV$64,"&gt;"&amp;'High Level Dashboard'!AP$64-ROUNDDOWN('High Level Dashboard'!$C$11,0),'High Level Dashboard'!$B$64:$AV$64,"&lt;="&amp;'High Level Dashboard'!AP$64)+(IFERROR(SUMIF('High Level Dashboard'!$B$64:$AV$64,ROUNDDOWN('High Level Dashboard'!AP$64-'High Level Dashboard'!$C$11,0)+1,'High Level Dashboard'!$B$65:$AV$65)*(1-('High Level Dashboard'!$C$11-ROUNDDOWN('High Level Dashboard'!$C$11,0))),"")))*'High Level Dashboard'!$C$10)
))</f>
        <v>3029.836816073449</v>
      </c>
      <c r="AR97" s="434">
        <f>$B$80*'High Level Dashboard'!$C$9*
(-PMT('High Level Dashboard'!$C$10,'High Level Dashboard'!$C$12-'High Level Dashboard'!$C$11+1,
SUMIFS('High Level Dashboard'!$B$65:$AV$65,'High Level Dashboard'!$B$64:$AV$64,"&gt;="&amp;('High Level Dashboard'!AQ$64-(ROUNDDOWN('High Level Dashboard'!$C$12,0))+1),'High Level Dashboard'!$B$64:$AV$64,"&lt;="&amp;('High Level Dashboard'!AQ$64-(ROUNDUP('High Level Dashboard'!$C$11,0)))))
+
IFERROR(-PMT('High Level Dashboard'!$C$10,'High Level Dashboard'!$C$12-'High Level Dashboard'!$C$11+1,
(HLOOKUP('High Level Dashboard'!AQ$64-(ROUNDUP('High Level Dashboard'!$C$12,0))+1,'High Level Dashboard'!$B$64:$AV$65,2,FALSE))*('High Level Dashboard'!$C$12-(ROUNDDOWN('High Level Dashboard'!$C$12,0)))),0)
+
IFERROR(-PMT('High Level Dashboard'!$C$10,'High Level Dashboard'!$C$12-'High Level Dashboard'!$C$11+1,
(HLOOKUP('High Level Dashboard'!AQ$64-(ROUNDDOWN('High Level Dashboard'!$C$11,0)),'High Level Dashboard'!$B$64:$AV$65,2,FALSE)*('High Level Dashboard'!$C$11-ROUNDDOWN('High Level Dashboard'!$C$11,0)))),0)
+
(((SUMIFS('High Level Dashboard'!$B$65:$AV$65,'High Level Dashboard'!$B$64:$AV$64,"&gt;"&amp;'High Level Dashboard'!AQ$64-ROUNDDOWN('High Level Dashboard'!$C$11,0),'High Level Dashboard'!$B$64:$AV$64,"&lt;="&amp;'High Level Dashboard'!AQ$64)+(IFERROR(SUMIF('High Level Dashboard'!$B$64:$AV$64,ROUNDDOWN('High Level Dashboard'!AQ$64-'High Level Dashboard'!$C$11,0)+1,'High Level Dashboard'!$B$65:$AV$65)*(1-('High Level Dashboard'!$C$11-ROUNDDOWN('High Level Dashboard'!$C$11,0))),"")))*'High Level Dashboard'!$C$10)
))</f>
        <v>3077.9535511327108</v>
      </c>
      <c r="AS97" s="434">
        <f>$B$80*'High Level Dashboard'!$C$9*
(-PMT('High Level Dashboard'!$C$10,'High Level Dashboard'!$C$12-'High Level Dashboard'!$C$11+1,
SUMIFS('High Level Dashboard'!$B$65:$AV$65,'High Level Dashboard'!$B$64:$AV$64,"&gt;="&amp;('High Level Dashboard'!AR$64-(ROUNDDOWN('High Level Dashboard'!$C$12,0))+1),'High Level Dashboard'!$B$64:$AV$64,"&lt;="&amp;('High Level Dashboard'!AR$64-(ROUNDUP('High Level Dashboard'!$C$11,0)))))
+
IFERROR(-PMT('High Level Dashboard'!$C$10,'High Level Dashboard'!$C$12-'High Level Dashboard'!$C$11+1,
(HLOOKUP('High Level Dashboard'!AR$64-(ROUNDUP('High Level Dashboard'!$C$12,0))+1,'High Level Dashboard'!$B$64:$AV$65,2,FALSE))*('High Level Dashboard'!$C$12-(ROUNDDOWN('High Level Dashboard'!$C$12,0)))),0)
+
IFERROR(-PMT('High Level Dashboard'!$C$10,'High Level Dashboard'!$C$12-'High Level Dashboard'!$C$11+1,
(HLOOKUP('High Level Dashboard'!AR$64-(ROUNDDOWN('High Level Dashboard'!$C$11,0)),'High Level Dashboard'!$B$64:$AV$65,2,FALSE)*('High Level Dashboard'!$C$11-ROUNDDOWN('High Level Dashboard'!$C$11,0)))),0)
+
(((SUMIFS('High Level Dashboard'!$B$65:$AV$65,'High Level Dashboard'!$B$64:$AV$64,"&gt;"&amp;'High Level Dashboard'!AR$64-ROUNDDOWN('High Level Dashboard'!$C$11,0),'High Level Dashboard'!$B$64:$AV$64,"&lt;="&amp;'High Level Dashboard'!AR$64)+(IFERROR(SUMIF('High Level Dashboard'!$B$64:$AV$64,ROUNDDOWN('High Level Dashboard'!AR$64-'High Level Dashboard'!$C$11,0)+1,'High Level Dashboard'!$B$65:$AV$65)*(1-('High Level Dashboard'!$C$11-ROUNDDOWN('High Level Dashboard'!$C$11,0))),"")))*'High Level Dashboard'!$C$10)
))</f>
        <v>3094.8004029364188</v>
      </c>
      <c r="AT97" s="434">
        <f>$B$80*'High Level Dashboard'!$C$9*
(-PMT('High Level Dashboard'!$C$10,'High Level Dashboard'!$C$12-'High Level Dashboard'!$C$11+1,
SUMIFS('High Level Dashboard'!$B$65:$AV$65,'High Level Dashboard'!$B$64:$AV$64,"&gt;="&amp;('High Level Dashboard'!AS$64-(ROUNDDOWN('High Level Dashboard'!$C$12,0))+1),'High Level Dashboard'!$B$64:$AV$64,"&lt;="&amp;('High Level Dashboard'!AS$64-(ROUNDUP('High Level Dashboard'!$C$11,0)))))
+
IFERROR(-PMT('High Level Dashboard'!$C$10,'High Level Dashboard'!$C$12-'High Level Dashboard'!$C$11+1,
(HLOOKUP('High Level Dashboard'!AS$64-(ROUNDUP('High Level Dashboard'!$C$12,0))+1,'High Level Dashboard'!$B$64:$AV$65,2,FALSE))*('High Level Dashboard'!$C$12-(ROUNDDOWN('High Level Dashboard'!$C$12,0)))),0)
+
IFERROR(-PMT('High Level Dashboard'!$C$10,'High Level Dashboard'!$C$12-'High Level Dashboard'!$C$11+1,
(HLOOKUP('High Level Dashboard'!AS$64-(ROUNDDOWN('High Level Dashboard'!$C$11,0)),'High Level Dashboard'!$B$64:$AV$65,2,FALSE)*('High Level Dashboard'!$C$11-ROUNDDOWN('High Level Dashboard'!$C$11,0)))),0)
+
(((SUMIFS('High Level Dashboard'!$B$65:$AV$65,'High Level Dashboard'!$B$64:$AV$64,"&gt;"&amp;'High Level Dashboard'!AS$64-ROUNDDOWN('High Level Dashboard'!$C$11,0),'High Level Dashboard'!$B$64:$AV$64,"&lt;="&amp;'High Level Dashboard'!AS$64)+(IFERROR(SUMIF('High Level Dashboard'!$B$64:$AV$64,ROUNDDOWN('High Level Dashboard'!AS$64-'High Level Dashboard'!$C$11,0)+1,'High Level Dashboard'!$B$65:$AV$65)*(1-('High Level Dashboard'!$C$11-ROUNDDOWN('High Level Dashboard'!$C$11,0))),"")))*'High Level Dashboard'!$C$10)
))</f>
        <v>3114.8685527371149</v>
      </c>
      <c r="AU97" s="434">
        <f>$B$80*'High Level Dashboard'!$C$9*
(-PMT('High Level Dashboard'!$C$10,'High Level Dashboard'!$C$12-'High Level Dashboard'!$C$11+1,
SUMIFS('High Level Dashboard'!$B$65:$AV$65,'High Level Dashboard'!$B$64:$AV$64,"&gt;="&amp;('High Level Dashboard'!AT$64-(ROUNDDOWN('High Level Dashboard'!$C$12,0))+1),'High Level Dashboard'!$B$64:$AV$64,"&lt;="&amp;('High Level Dashboard'!AT$64-(ROUNDUP('High Level Dashboard'!$C$11,0)))))
+
IFERROR(-PMT('High Level Dashboard'!$C$10,'High Level Dashboard'!$C$12-'High Level Dashboard'!$C$11+1,
(HLOOKUP('High Level Dashboard'!AT$64-(ROUNDUP('High Level Dashboard'!$C$12,0))+1,'High Level Dashboard'!$B$64:$AV$65,2,FALSE))*('High Level Dashboard'!$C$12-(ROUNDDOWN('High Level Dashboard'!$C$12,0)))),0)
+
IFERROR(-PMT('High Level Dashboard'!$C$10,'High Level Dashboard'!$C$12-'High Level Dashboard'!$C$11+1,
(HLOOKUP('High Level Dashboard'!AT$64-(ROUNDDOWN('High Level Dashboard'!$C$11,0)),'High Level Dashboard'!$B$64:$AV$65,2,FALSE)*('High Level Dashboard'!$C$11-ROUNDDOWN('High Level Dashboard'!$C$11,0)))),0)
+
(((SUMIFS('High Level Dashboard'!$B$65:$AV$65,'High Level Dashboard'!$B$64:$AV$64,"&gt;"&amp;'High Level Dashboard'!AT$64-ROUNDDOWN('High Level Dashboard'!$C$11,0),'High Level Dashboard'!$B$64:$AV$64,"&lt;="&amp;'High Level Dashboard'!AT$64)+(IFERROR(SUMIF('High Level Dashboard'!$B$64:$AV$64,ROUNDDOWN('High Level Dashboard'!AT$64-'High Level Dashboard'!$C$11,0)+1,'High Level Dashboard'!$B$65:$AV$65)*(1-('High Level Dashboard'!$C$11-ROUNDDOWN('High Level Dashboard'!$C$11,0))),"")))*'High Level Dashboard'!$C$10)
))</f>
        <v>3174.0821617501292</v>
      </c>
      <c r="AV97" s="434">
        <f>$B$80*'High Level Dashboard'!$C$9*
(-PMT('High Level Dashboard'!$C$10,'High Level Dashboard'!$C$12-'High Level Dashboard'!$C$11+1,
SUMIFS('High Level Dashboard'!$B$65:$AV$65,'High Level Dashboard'!$B$64:$AV$64,"&gt;="&amp;('High Level Dashboard'!AU$64-(ROUNDDOWN('High Level Dashboard'!$C$12,0))+1),'High Level Dashboard'!$B$64:$AV$64,"&lt;="&amp;('High Level Dashboard'!AU$64-(ROUNDUP('High Level Dashboard'!$C$11,0)))))
+
IFERROR(-PMT('High Level Dashboard'!$C$10,'High Level Dashboard'!$C$12-'High Level Dashboard'!$C$11+1,
(HLOOKUP('High Level Dashboard'!AU$64-(ROUNDUP('High Level Dashboard'!$C$12,0))+1,'High Level Dashboard'!$B$64:$AV$65,2,FALSE))*('High Level Dashboard'!$C$12-(ROUNDDOWN('High Level Dashboard'!$C$12,0)))),0)
+
IFERROR(-PMT('High Level Dashboard'!$C$10,'High Level Dashboard'!$C$12-'High Level Dashboard'!$C$11+1,
(HLOOKUP('High Level Dashboard'!AU$64-(ROUNDDOWN('High Level Dashboard'!$C$11,0)),'High Level Dashboard'!$B$64:$AV$65,2,FALSE)*('High Level Dashboard'!$C$11-ROUNDDOWN('High Level Dashboard'!$C$11,0)))),0)
+
(((SUMIFS('High Level Dashboard'!$B$65:$AV$65,'High Level Dashboard'!$B$64:$AV$64,"&gt;"&amp;'High Level Dashboard'!AU$64-ROUNDDOWN('High Level Dashboard'!$C$11,0),'High Level Dashboard'!$B$64:$AV$64,"&lt;="&amp;'High Level Dashboard'!AU$64)+(IFERROR(SUMIF('High Level Dashboard'!$B$64:$AV$64,ROUNDDOWN('High Level Dashboard'!AU$64-'High Level Dashboard'!$C$11,0)+1,'High Level Dashboard'!$B$65:$AV$65)*(1-('High Level Dashboard'!$C$11-ROUNDDOWN('High Level Dashboard'!$C$11,0))),"")))*'High Level Dashboard'!$C$10)
))</f>
        <v>3260.0348067531249</v>
      </c>
    </row>
    <row r="98" spans="1:49" s="431" customFormat="1">
      <c r="A98" s="428" t="s">
        <v>261</v>
      </c>
      <c r="B98" s="428"/>
      <c r="C98" s="434">
        <f ca="1">$B$82*'High Level Dashboard'!$C$15*
(-PMT('High Level Dashboard'!$C$16,'High Level Dashboard'!$C$18-'High Level Dashboard'!$C$17+1,
SUMIFS('High Level Dashboard'!$B$65:$AV$65,'High Level Dashboard'!$B$64:$AV$64,"&gt;="&amp;('High Level Dashboard'!B$64-(ROUNDDOWN('High Level Dashboard'!$C$18,0))+1),'High Level Dashboard'!$B$64:$AV$64,"&lt;="&amp;('High Level Dashboard'!B$64-(ROUNDUP('High Level Dashboard'!$C$17,0)))))
+
IFERROR(-PMT('High Level Dashboard'!$C$16,'High Level Dashboard'!$C$18-'High Level Dashboard'!$C$17+1,
(HLOOKUP('High Level Dashboard'!B$64-(ROUNDUP('High Level Dashboard'!$C$18,0))+1,'High Level Dashboard'!$B$64:$AV$65,2,FALSE))*('High Level Dashboard'!$C$18-(ROUNDDOWN('High Level Dashboard'!$C$18,0)))),0)
+
IFERROR(-PMT('High Level Dashboard'!$C$16,'High Level Dashboard'!$C$18-'High Level Dashboard'!$C$17+1,
(HLOOKUP('High Level Dashboard'!B$64-(ROUNDDOWN('High Level Dashboard'!$C$17,0)),'High Level Dashboard'!$B$64:$AV$65,2,FALSE)*('High Level Dashboard'!$C$17-ROUNDDOWN('High Level Dashboard'!$C$17,0)))),0)
+
(((SUMIFS('High Level Dashboard'!$B$65:$AV$65,'High Level Dashboard'!$B$64:$AV$64,"&gt;"&amp;'High Level Dashboard'!B$64-ROUNDDOWN('High Level Dashboard'!$C$17,0),'High Level Dashboard'!$B$64:$AV$64,"&lt;="&amp;'High Level Dashboard'!B$64)+(IFERROR(SUMIF('High Level Dashboard'!$B$64:$AV$64,ROUNDDOWN('High Level Dashboard'!B$64-'High Level Dashboard'!$C$17,0)+1,'High Level Dashboard'!$B$65:$AV$65)*(1-('High Level Dashboard'!$C$17-ROUNDDOWN('High Level Dashboard'!$C$17,0))),"")))*'High Level Dashboard'!$C$16)
))</f>
        <v>0.32784419951832572</v>
      </c>
      <c r="D98" s="434">
        <f ca="1">$B$82*'High Level Dashboard'!$C$15*
(-PMT('High Level Dashboard'!$C$16,'High Level Dashboard'!$C$18-'High Level Dashboard'!$C$17+1,
SUMIFS('High Level Dashboard'!$B$65:$AV$65,'High Level Dashboard'!$B$64:$AV$64,"&gt;="&amp;('High Level Dashboard'!C$64-(ROUNDDOWN('High Level Dashboard'!$C$18,0))+1),'High Level Dashboard'!$B$64:$AV$64,"&lt;="&amp;('High Level Dashboard'!C$64-(ROUNDUP('High Level Dashboard'!$C$17,0)))))
+
IFERROR(-PMT('High Level Dashboard'!$C$16,'High Level Dashboard'!$C$18-'High Level Dashboard'!$C$17+1,
(HLOOKUP('High Level Dashboard'!C$64-(ROUNDUP('High Level Dashboard'!$C$18,0))+1,'High Level Dashboard'!$B$64:$AV$65,2,FALSE))*('High Level Dashboard'!$C$18-(ROUNDDOWN('High Level Dashboard'!$C$18,0)))),0)
+
IFERROR(-PMT('High Level Dashboard'!$C$16,'High Level Dashboard'!$C$18-'High Level Dashboard'!$C$17+1,
(HLOOKUP('High Level Dashboard'!C$64-(ROUNDDOWN('High Level Dashboard'!$C$17,0)),'High Level Dashboard'!$B$64:$AV$65,2,FALSE)*('High Level Dashboard'!$C$17-ROUNDDOWN('High Level Dashboard'!$C$17,0)))),0)
+
(((SUMIFS('High Level Dashboard'!$B$65:$AV$65,'High Level Dashboard'!$B$64:$AV$64,"&gt;"&amp;'High Level Dashboard'!C$64-ROUNDDOWN('High Level Dashboard'!$C$17,0),'High Level Dashboard'!$B$64:$AV$64,"&lt;="&amp;'High Level Dashboard'!C$64)+(IFERROR(SUMIF('High Level Dashboard'!$B$64:$AV$64,ROUNDDOWN('High Level Dashboard'!C$64-'High Level Dashboard'!$C$17,0)+1,'High Level Dashboard'!$B$65:$AV$65)*(1-('High Level Dashboard'!$C$17-ROUNDDOWN('High Level Dashboard'!$C$17,0))),"")))*'High Level Dashboard'!$C$16)
))</f>
        <v>0.67150439104094017</v>
      </c>
      <c r="E98" s="434">
        <f ca="1">$B$82*'High Level Dashboard'!$C$15*
(-PMT('High Level Dashboard'!$C$16,'High Level Dashboard'!$C$18-'High Level Dashboard'!$C$17+1,
SUMIFS('High Level Dashboard'!$B$65:$AV$65,'High Level Dashboard'!$B$64:$AV$64,"&gt;="&amp;('High Level Dashboard'!D$64-(ROUNDDOWN('High Level Dashboard'!$C$18,0))+1),'High Level Dashboard'!$B$64:$AV$64,"&lt;="&amp;('High Level Dashboard'!D$64-(ROUNDUP('High Level Dashboard'!$C$17,0)))))
+
IFERROR(-PMT('High Level Dashboard'!$C$16,'High Level Dashboard'!$C$18-'High Level Dashboard'!$C$17+1,
(HLOOKUP('High Level Dashboard'!D$64-(ROUNDUP('High Level Dashboard'!$C$18,0))+1,'High Level Dashboard'!$B$64:$AV$65,2,FALSE))*('High Level Dashboard'!$C$18-(ROUNDDOWN('High Level Dashboard'!$C$18,0)))),0)
+
IFERROR(-PMT('High Level Dashboard'!$C$16,'High Level Dashboard'!$C$18-'High Level Dashboard'!$C$17+1,
(HLOOKUP('High Level Dashboard'!D$64-(ROUNDDOWN('High Level Dashboard'!$C$17,0)),'High Level Dashboard'!$B$64:$AV$65,2,FALSE)*('High Level Dashboard'!$C$17-ROUNDDOWN('High Level Dashboard'!$C$17,0)))),0)
+
(((SUMIFS('High Level Dashboard'!$B$65:$AV$65,'High Level Dashboard'!$B$64:$AV$64,"&gt;"&amp;'High Level Dashboard'!D$64-ROUNDDOWN('High Level Dashboard'!$C$17,0),'High Level Dashboard'!$B$64:$AV$64,"&lt;="&amp;'High Level Dashboard'!D$64)+(IFERROR(SUMIF('High Level Dashboard'!$B$64:$AV$64,ROUNDDOWN('High Level Dashboard'!D$64-'High Level Dashboard'!$C$17,0)+1,'High Level Dashboard'!$B$65:$AV$65)*(1-('High Level Dashboard'!$C$17-ROUNDDOWN('High Level Dashboard'!$C$17,0))),"")))*'High Level Dashboard'!$C$16)
))</f>
        <v>1.0155532377692322</v>
      </c>
      <c r="F98" s="434">
        <f ca="1">$B$82*'High Level Dashboard'!$C$15*
(-PMT('High Level Dashboard'!$C$16,'High Level Dashboard'!$C$18-'High Level Dashboard'!$C$17+1,
SUMIFS('High Level Dashboard'!$B$65:$AV$65,'High Level Dashboard'!$B$64:$AV$64,"&gt;="&amp;('High Level Dashboard'!E$64-(ROUNDDOWN('High Level Dashboard'!$C$18,0))+1),'High Level Dashboard'!$B$64:$AV$64,"&lt;="&amp;('High Level Dashboard'!E$64-(ROUNDUP('High Level Dashboard'!$C$17,0)))))
+
IFERROR(-PMT('High Level Dashboard'!$C$16,'High Level Dashboard'!$C$18-'High Level Dashboard'!$C$17+1,
(HLOOKUP('High Level Dashboard'!E$64-(ROUNDUP('High Level Dashboard'!$C$18,0))+1,'High Level Dashboard'!$B$64:$AV$65,2,FALSE))*('High Level Dashboard'!$C$18-(ROUNDDOWN('High Level Dashboard'!$C$18,0)))),0)
+
IFERROR(-PMT('High Level Dashboard'!$C$16,'High Level Dashboard'!$C$18-'High Level Dashboard'!$C$17+1,
(HLOOKUP('High Level Dashboard'!E$64-(ROUNDDOWN('High Level Dashboard'!$C$17,0)),'High Level Dashboard'!$B$64:$AV$65,2,FALSE)*('High Level Dashboard'!$C$17-ROUNDDOWN('High Level Dashboard'!$C$17,0)))),0)
+
(((SUMIFS('High Level Dashboard'!$B$65:$AV$65,'High Level Dashboard'!$B$64:$AV$64,"&gt;"&amp;'High Level Dashboard'!E$64-ROUNDDOWN('High Level Dashboard'!$C$17,0),'High Level Dashboard'!$B$64:$AV$64,"&lt;="&amp;'High Level Dashboard'!E$64)+(IFERROR(SUMIF('High Level Dashboard'!$B$64:$AV$64,ROUNDDOWN('High Level Dashboard'!E$64-'High Level Dashboard'!$C$17,0)+1,'High Level Dashboard'!$B$65:$AV$65)*(1-('High Level Dashboard'!$C$17-ROUNDDOWN('High Level Dashboard'!$C$17,0))),"")))*'High Level Dashboard'!$C$16)
))</f>
        <v>1.3177951226271392</v>
      </c>
      <c r="G98" s="434">
        <f ca="1">$B$82*'High Level Dashboard'!$C$15*
(-PMT('High Level Dashboard'!$C$16,'High Level Dashboard'!$C$18-'High Level Dashboard'!$C$17+1,
SUMIFS('High Level Dashboard'!$B$65:$AV$65,'High Level Dashboard'!$B$64:$AV$64,"&gt;="&amp;('High Level Dashboard'!F$64-(ROUNDDOWN('High Level Dashboard'!$C$18,0))+1),'High Level Dashboard'!$B$64:$AV$64,"&lt;="&amp;('High Level Dashboard'!F$64-(ROUNDUP('High Level Dashboard'!$C$17,0)))))
+
IFERROR(-PMT('High Level Dashboard'!$C$16,'High Level Dashboard'!$C$18-'High Level Dashboard'!$C$17+1,
(HLOOKUP('High Level Dashboard'!F$64-(ROUNDUP('High Level Dashboard'!$C$18,0))+1,'High Level Dashboard'!$B$64:$AV$65,2,FALSE))*('High Level Dashboard'!$C$18-(ROUNDDOWN('High Level Dashboard'!$C$18,0)))),0)
+
IFERROR(-PMT('High Level Dashboard'!$C$16,'High Level Dashboard'!$C$18-'High Level Dashboard'!$C$17+1,
(HLOOKUP('High Level Dashboard'!F$64-(ROUNDDOWN('High Level Dashboard'!$C$17,0)),'High Level Dashboard'!$B$64:$AV$65,2,FALSE)*('High Level Dashboard'!$C$17-ROUNDDOWN('High Level Dashboard'!$C$17,0)))),0)
+
(((SUMIFS('High Level Dashboard'!$B$65:$AV$65,'High Level Dashboard'!$B$64:$AV$64,"&gt;"&amp;'High Level Dashboard'!F$64-ROUNDDOWN('High Level Dashboard'!$C$17,0),'High Level Dashboard'!$B$64:$AV$64,"&lt;="&amp;'High Level Dashboard'!F$64)+(IFERROR(SUMIF('High Level Dashboard'!$B$64:$AV$64,ROUNDDOWN('High Level Dashboard'!F$64-'High Level Dashboard'!$C$17,0)+1,'High Level Dashboard'!$B$65:$AV$65)*(1-('High Level Dashboard'!$C$17-ROUNDDOWN('High Level Dashboard'!$C$17,0))),"")))*'High Level Dashboard'!$C$16)
))</f>
        <v>1.9490826836763988</v>
      </c>
      <c r="H98" s="434">
        <f ca="1">$B$82*'High Level Dashboard'!$C$15*
(-PMT('High Level Dashboard'!$C$16,'High Level Dashboard'!$C$18-'High Level Dashboard'!$C$17+1,
SUMIFS('High Level Dashboard'!$B$65:$AV$65,'High Level Dashboard'!$B$64:$AV$64,"&gt;="&amp;('High Level Dashboard'!G$64-(ROUNDDOWN('High Level Dashboard'!$C$18,0))+1),'High Level Dashboard'!$B$64:$AV$64,"&lt;="&amp;('High Level Dashboard'!G$64-(ROUNDUP('High Level Dashboard'!$C$17,0)))))
+
IFERROR(-PMT('High Level Dashboard'!$C$16,'High Level Dashboard'!$C$18-'High Level Dashboard'!$C$17+1,
(HLOOKUP('High Level Dashboard'!G$64-(ROUNDUP('High Level Dashboard'!$C$18,0))+1,'High Level Dashboard'!$B$64:$AV$65,2,FALSE))*('High Level Dashboard'!$C$18-(ROUNDDOWN('High Level Dashboard'!$C$18,0)))),0)
+
IFERROR(-PMT('High Level Dashboard'!$C$16,'High Level Dashboard'!$C$18-'High Level Dashboard'!$C$17+1,
(HLOOKUP('High Level Dashboard'!G$64-(ROUNDDOWN('High Level Dashboard'!$C$17,0)),'High Level Dashboard'!$B$64:$AV$65,2,FALSE)*('High Level Dashboard'!$C$17-ROUNDDOWN('High Level Dashboard'!$C$17,0)))),0)
+
(((SUMIFS('High Level Dashboard'!$B$65:$AV$65,'High Level Dashboard'!$B$64:$AV$64,"&gt;"&amp;'High Level Dashboard'!G$64-ROUNDDOWN('High Level Dashboard'!$C$17,0),'High Level Dashboard'!$B$64:$AV$64,"&lt;="&amp;'High Level Dashboard'!G$64)+(IFERROR(SUMIF('High Level Dashboard'!$B$64:$AV$64,ROUNDDOWN('High Level Dashboard'!G$64-'High Level Dashboard'!$C$17,0)+1,'High Level Dashboard'!$B$65:$AV$65)*(1-('High Level Dashboard'!$C$17-ROUNDDOWN('High Level Dashboard'!$C$17,0))),"")))*'High Level Dashboard'!$C$16)
))</f>
        <v>2.32190585761081</v>
      </c>
      <c r="I98" s="434">
        <f ca="1">$B$82*'High Level Dashboard'!$C$15*
(-PMT('High Level Dashboard'!$C$16,'High Level Dashboard'!$C$18-'High Level Dashboard'!$C$17+1,
SUMIFS('High Level Dashboard'!$B$65:$AV$65,'High Level Dashboard'!$B$64:$AV$64,"&gt;="&amp;('High Level Dashboard'!H$64-(ROUNDDOWN('High Level Dashboard'!$C$18,0))+1),'High Level Dashboard'!$B$64:$AV$64,"&lt;="&amp;('High Level Dashboard'!H$64-(ROUNDUP('High Level Dashboard'!$C$17,0)))))
+
IFERROR(-PMT('High Level Dashboard'!$C$16,'High Level Dashboard'!$C$18-'High Level Dashboard'!$C$17+1,
(HLOOKUP('High Level Dashboard'!H$64-(ROUNDUP('High Level Dashboard'!$C$18,0))+1,'High Level Dashboard'!$B$64:$AV$65,2,FALSE))*('High Level Dashboard'!$C$18-(ROUNDDOWN('High Level Dashboard'!$C$18,0)))),0)
+
IFERROR(-PMT('High Level Dashboard'!$C$16,'High Level Dashboard'!$C$18-'High Level Dashboard'!$C$17+1,
(HLOOKUP('High Level Dashboard'!H$64-(ROUNDDOWN('High Level Dashboard'!$C$17,0)),'High Level Dashboard'!$B$64:$AV$65,2,FALSE)*('High Level Dashboard'!$C$17-ROUNDDOWN('High Level Dashboard'!$C$17,0)))),0)
+
(((SUMIFS('High Level Dashboard'!$B$65:$AV$65,'High Level Dashboard'!$B$64:$AV$64,"&gt;"&amp;'High Level Dashboard'!H$64-ROUNDDOWN('High Level Dashboard'!$C$17,0),'High Level Dashboard'!$B$64:$AV$64,"&lt;="&amp;'High Level Dashboard'!H$64)+(IFERROR(SUMIF('High Level Dashboard'!$B$64:$AV$64,ROUNDDOWN('High Level Dashboard'!H$64-'High Level Dashboard'!$C$17,0)+1,'High Level Dashboard'!$B$65:$AV$65)*(1-('High Level Dashboard'!$C$17-ROUNDDOWN('High Level Dashboard'!$C$17,0))),"")))*'High Level Dashboard'!$C$16)
))</f>
        <v>2.746303307439157</v>
      </c>
      <c r="J98" s="434">
        <f ca="1">$B$82*'High Level Dashboard'!$C$15*
(-PMT('High Level Dashboard'!$C$16,'High Level Dashboard'!$C$18-'High Level Dashboard'!$C$17+1,
SUMIFS('High Level Dashboard'!$B$65:$AV$65,'High Level Dashboard'!$B$64:$AV$64,"&gt;="&amp;('High Level Dashboard'!I$64-(ROUNDDOWN('High Level Dashboard'!$C$18,0))+1),'High Level Dashboard'!$B$64:$AV$64,"&lt;="&amp;('High Level Dashboard'!I$64-(ROUNDUP('High Level Dashboard'!$C$17,0)))))
+
IFERROR(-PMT('High Level Dashboard'!$C$16,'High Level Dashboard'!$C$18-'High Level Dashboard'!$C$17+1,
(HLOOKUP('High Level Dashboard'!I$64-(ROUNDUP('High Level Dashboard'!$C$18,0))+1,'High Level Dashboard'!$B$64:$AV$65,2,FALSE))*('High Level Dashboard'!$C$18-(ROUNDDOWN('High Level Dashboard'!$C$18,0)))),0)
+
IFERROR(-PMT('High Level Dashboard'!$C$16,'High Level Dashboard'!$C$18-'High Level Dashboard'!$C$17+1,
(HLOOKUP('High Level Dashboard'!I$64-(ROUNDDOWN('High Level Dashboard'!$C$17,0)),'High Level Dashboard'!$B$64:$AV$65,2,FALSE)*('High Level Dashboard'!$C$17-ROUNDDOWN('High Level Dashboard'!$C$17,0)))),0)
+
(((SUMIFS('High Level Dashboard'!$B$65:$AV$65,'High Level Dashboard'!$B$64:$AV$64,"&gt;"&amp;'High Level Dashboard'!I$64-ROUNDDOWN('High Level Dashboard'!$C$17,0),'High Level Dashboard'!$B$64:$AV$64,"&lt;="&amp;'High Level Dashboard'!I$64)+(IFERROR(SUMIF('High Level Dashboard'!$B$64:$AV$64,ROUNDDOWN('High Level Dashboard'!I$64-'High Level Dashboard'!$C$17,0)+1,'High Level Dashboard'!$B$65:$AV$65)*(1-('High Level Dashboard'!$C$17-ROUNDDOWN('High Level Dashboard'!$C$17,0))),"")))*'High Level Dashboard'!$C$16)
))</f>
        <v>3.1116963811719147</v>
      </c>
      <c r="K98" s="434">
        <f ca="1">$B$82*'High Level Dashboard'!$C$15*
(-PMT('High Level Dashboard'!$C$16,'High Level Dashboard'!$C$18-'High Level Dashboard'!$C$17+1,
SUMIFS('High Level Dashboard'!$B$65:$AV$65,'High Level Dashboard'!$B$64:$AV$64,"&gt;="&amp;('High Level Dashboard'!J$64-(ROUNDDOWN('High Level Dashboard'!$C$18,0))+1),'High Level Dashboard'!$B$64:$AV$64,"&lt;="&amp;('High Level Dashboard'!J$64-(ROUNDUP('High Level Dashboard'!$C$17,0)))))
+
IFERROR(-PMT('High Level Dashboard'!$C$16,'High Level Dashboard'!$C$18-'High Level Dashboard'!$C$17+1,
(HLOOKUP('High Level Dashboard'!J$64-(ROUNDUP('High Level Dashboard'!$C$18,0))+1,'High Level Dashboard'!$B$64:$AV$65,2,FALSE))*('High Level Dashboard'!$C$18-(ROUNDDOWN('High Level Dashboard'!$C$18,0)))),0)
+
IFERROR(-PMT('High Level Dashboard'!$C$16,'High Level Dashboard'!$C$18-'High Level Dashboard'!$C$17+1,
(HLOOKUP('High Level Dashboard'!J$64-(ROUNDDOWN('High Level Dashboard'!$C$17,0)),'High Level Dashboard'!$B$64:$AV$65,2,FALSE)*('High Level Dashboard'!$C$17-ROUNDDOWN('High Level Dashboard'!$C$17,0)))),0)
+
(((SUMIFS('High Level Dashboard'!$B$65:$AV$65,'High Level Dashboard'!$B$64:$AV$64,"&gt;"&amp;'High Level Dashboard'!J$64-ROUNDDOWN('High Level Dashboard'!$C$17,0),'High Level Dashboard'!$B$64:$AV$64,"&lt;="&amp;'High Level Dashboard'!J$64)+(IFERROR(SUMIF('High Level Dashboard'!$B$64:$AV$64,ROUNDDOWN('High Level Dashboard'!J$64-'High Level Dashboard'!$C$17,0)+1,'High Level Dashboard'!$B$65:$AV$65)*(1-('High Level Dashboard'!$C$17-ROUNDDOWN('High Level Dashboard'!$C$17,0))),"")))*'High Level Dashboard'!$C$16)
))</f>
        <v>4.0123818295670617</v>
      </c>
      <c r="L98" s="434">
        <f ca="1">$B$82*'High Level Dashboard'!$C$15*
(-PMT('High Level Dashboard'!$C$16,'High Level Dashboard'!$C$18-'High Level Dashboard'!$C$17+1,
SUMIFS('High Level Dashboard'!$B$65:$AV$65,'High Level Dashboard'!$B$64:$AV$64,"&gt;="&amp;('High Level Dashboard'!K$64-(ROUNDDOWN('High Level Dashboard'!$C$18,0))+1),'High Level Dashboard'!$B$64:$AV$64,"&lt;="&amp;('High Level Dashboard'!K$64-(ROUNDUP('High Level Dashboard'!$C$17,0)))))
+
IFERROR(-PMT('High Level Dashboard'!$C$16,'High Level Dashboard'!$C$18-'High Level Dashboard'!$C$17+1,
(HLOOKUP('High Level Dashboard'!K$64-(ROUNDUP('High Level Dashboard'!$C$18,0))+1,'High Level Dashboard'!$B$64:$AV$65,2,FALSE))*('High Level Dashboard'!$C$18-(ROUNDDOWN('High Level Dashboard'!$C$18,0)))),0)
+
IFERROR(-PMT('High Level Dashboard'!$C$16,'High Level Dashboard'!$C$18-'High Level Dashboard'!$C$17+1,
(HLOOKUP('High Level Dashboard'!K$64-(ROUNDDOWN('High Level Dashboard'!$C$17,0)),'High Level Dashboard'!$B$64:$AV$65,2,FALSE)*('High Level Dashboard'!$C$17-ROUNDDOWN('High Level Dashboard'!$C$17,0)))),0)
+
(((SUMIFS('High Level Dashboard'!$B$65:$AV$65,'High Level Dashboard'!$B$64:$AV$64,"&gt;"&amp;'High Level Dashboard'!K$64-ROUNDDOWN('High Level Dashboard'!$C$17,0),'High Level Dashboard'!$B$64:$AV$64,"&lt;="&amp;'High Level Dashboard'!K$64)+(IFERROR(SUMIF('High Level Dashboard'!$B$64:$AV$64,ROUNDDOWN('High Level Dashboard'!K$64-'High Level Dashboard'!$C$17,0)+1,'High Level Dashboard'!$B$65:$AV$65)*(1-('High Level Dashboard'!$C$17-ROUNDDOWN('High Level Dashboard'!$C$17,0))),"")))*'High Level Dashboard'!$C$16)
))</f>
        <v>5.1180920546175281</v>
      </c>
      <c r="M98" s="434">
        <f ca="1">$B$82*'High Level Dashboard'!$C$15*
(-PMT('High Level Dashboard'!$C$16,'High Level Dashboard'!$C$18-'High Level Dashboard'!$C$17+1,
SUMIFS('High Level Dashboard'!$B$65:$AV$65,'High Level Dashboard'!$B$64:$AV$64,"&gt;="&amp;('High Level Dashboard'!L$64-(ROUNDDOWN('High Level Dashboard'!$C$18,0))+1),'High Level Dashboard'!$B$64:$AV$64,"&lt;="&amp;('High Level Dashboard'!L$64-(ROUNDUP('High Level Dashboard'!$C$17,0)))))
+
IFERROR(-PMT('High Level Dashboard'!$C$16,'High Level Dashboard'!$C$18-'High Level Dashboard'!$C$17+1,
(HLOOKUP('High Level Dashboard'!L$64-(ROUNDUP('High Level Dashboard'!$C$18,0))+1,'High Level Dashboard'!$B$64:$AV$65,2,FALSE))*('High Level Dashboard'!$C$18-(ROUNDDOWN('High Level Dashboard'!$C$18,0)))),0)
+
IFERROR(-PMT('High Level Dashboard'!$C$16,'High Level Dashboard'!$C$18-'High Level Dashboard'!$C$17+1,
(HLOOKUP('High Level Dashboard'!L$64-(ROUNDDOWN('High Level Dashboard'!$C$17,0)),'High Level Dashboard'!$B$64:$AV$65,2,FALSE)*('High Level Dashboard'!$C$17-ROUNDDOWN('High Level Dashboard'!$C$17,0)))),0)
+
(((SUMIFS('High Level Dashboard'!$B$65:$AV$65,'High Level Dashboard'!$B$64:$AV$64,"&gt;"&amp;'High Level Dashboard'!L$64-ROUNDDOWN('High Level Dashboard'!$C$17,0),'High Level Dashboard'!$B$64:$AV$64,"&lt;="&amp;'High Level Dashboard'!L$64)+(IFERROR(SUMIF('High Level Dashboard'!$B$64:$AV$64,ROUNDDOWN('High Level Dashboard'!L$64-'High Level Dashboard'!$C$17,0)+1,'High Level Dashboard'!$B$65:$AV$65)*(1-('High Level Dashboard'!$C$17-ROUNDDOWN('High Level Dashboard'!$C$17,0))),"")))*'High Level Dashboard'!$C$16)
))</f>
        <v>6.11725541391794</v>
      </c>
      <c r="N98" s="434">
        <f ca="1">$B$82*'High Level Dashboard'!$C$15*
(-PMT('High Level Dashboard'!$C$16,'High Level Dashboard'!$C$18-'High Level Dashboard'!$C$17+1,
SUMIFS('High Level Dashboard'!$B$65:$AV$65,'High Level Dashboard'!$B$64:$AV$64,"&gt;="&amp;('High Level Dashboard'!M$64-(ROUNDDOWN('High Level Dashboard'!$C$18,0))+1),'High Level Dashboard'!$B$64:$AV$64,"&lt;="&amp;('High Level Dashboard'!M$64-(ROUNDUP('High Level Dashboard'!$C$17,0)))))
+
IFERROR(-PMT('High Level Dashboard'!$C$16,'High Level Dashboard'!$C$18-'High Level Dashboard'!$C$17+1,
(HLOOKUP('High Level Dashboard'!M$64-(ROUNDUP('High Level Dashboard'!$C$18,0))+1,'High Level Dashboard'!$B$64:$AV$65,2,FALSE))*('High Level Dashboard'!$C$18-(ROUNDDOWN('High Level Dashboard'!$C$18,0)))),0)
+
IFERROR(-PMT('High Level Dashboard'!$C$16,'High Level Dashboard'!$C$18-'High Level Dashboard'!$C$17+1,
(HLOOKUP('High Level Dashboard'!M$64-(ROUNDDOWN('High Level Dashboard'!$C$17,0)),'High Level Dashboard'!$B$64:$AV$65,2,FALSE)*('High Level Dashboard'!$C$17-ROUNDDOWN('High Level Dashboard'!$C$17,0)))),0)
+
(((SUMIFS('High Level Dashboard'!$B$65:$AV$65,'High Level Dashboard'!$B$64:$AV$64,"&gt;"&amp;'High Level Dashboard'!M$64-ROUNDDOWN('High Level Dashboard'!$C$17,0),'High Level Dashboard'!$B$64:$AV$64,"&lt;="&amp;'High Level Dashboard'!M$64)+(IFERROR(SUMIF('High Level Dashboard'!$B$64:$AV$64,ROUNDDOWN('High Level Dashboard'!M$64-'High Level Dashboard'!$C$17,0)+1,'High Level Dashboard'!$B$65:$AV$65)*(1-('High Level Dashboard'!$C$17-ROUNDDOWN('High Level Dashboard'!$C$17,0))),"")))*'High Level Dashboard'!$C$16)
))</f>
        <v>7.270571599089398</v>
      </c>
      <c r="O98" s="434">
        <f ca="1">$B$82*'High Level Dashboard'!$C$15*
(-PMT('High Level Dashboard'!$C$16,'High Level Dashboard'!$C$18-'High Level Dashboard'!$C$17+1,
SUMIFS('High Level Dashboard'!$B$65:$AV$65,'High Level Dashboard'!$B$64:$AV$64,"&gt;="&amp;('High Level Dashboard'!N$64-(ROUNDDOWN('High Level Dashboard'!$C$18,0))+1),'High Level Dashboard'!$B$64:$AV$64,"&lt;="&amp;('High Level Dashboard'!N$64-(ROUNDUP('High Level Dashboard'!$C$17,0)))))
+
IFERROR(-PMT('High Level Dashboard'!$C$16,'High Level Dashboard'!$C$18-'High Level Dashboard'!$C$17+1,
(HLOOKUP('High Level Dashboard'!N$64-(ROUNDUP('High Level Dashboard'!$C$18,0))+1,'High Level Dashboard'!$B$64:$AV$65,2,FALSE))*('High Level Dashboard'!$C$18-(ROUNDDOWN('High Level Dashboard'!$C$18,0)))),0)
+
IFERROR(-PMT('High Level Dashboard'!$C$16,'High Level Dashboard'!$C$18-'High Level Dashboard'!$C$17+1,
(HLOOKUP('High Level Dashboard'!N$64-(ROUNDDOWN('High Level Dashboard'!$C$17,0)),'High Level Dashboard'!$B$64:$AV$65,2,FALSE)*('High Level Dashboard'!$C$17-ROUNDDOWN('High Level Dashboard'!$C$17,0)))),0)
+
(((SUMIFS('High Level Dashboard'!$B$65:$AV$65,'High Level Dashboard'!$B$64:$AV$64,"&gt;"&amp;'High Level Dashboard'!N$64-ROUNDDOWN('High Level Dashboard'!$C$17,0),'High Level Dashboard'!$B$64:$AV$64,"&lt;="&amp;'High Level Dashboard'!N$64)+(IFERROR(SUMIF('High Level Dashboard'!$B$64:$AV$64,ROUNDDOWN('High Level Dashboard'!N$64-'High Level Dashboard'!$C$17,0)+1,'High Level Dashboard'!$B$65:$AV$65)*(1-('High Level Dashboard'!$C$17-ROUNDDOWN('High Level Dashboard'!$C$17,0))),"")))*'High Level Dashboard'!$C$16)
))</f>
        <v>8.8920453260328856</v>
      </c>
      <c r="P98" s="434">
        <f ca="1">$B$82*'High Level Dashboard'!$C$15*
(-PMT('High Level Dashboard'!$C$16,'High Level Dashboard'!$C$18-'High Level Dashboard'!$C$17+1,
SUMIFS('High Level Dashboard'!$B$65:$AV$65,'High Level Dashboard'!$B$64:$AV$64,"&gt;="&amp;('High Level Dashboard'!O$64-(ROUNDDOWN('High Level Dashboard'!$C$18,0))+1),'High Level Dashboard'!$B$64:$AV$64,"&lt;="&amp;('High Level Dashboard'!O$64-(ROUNDUP('High Level Dashboard'!$C$17,0)))))
+
IFERROR(-PMT('High Level Dashboard'!$C$16,'High Level Dashboard'!$C$18-'High Level Dashboard'!$C$17+1,
(HLOOKUP('High Level Dashboard'!O$64-(ROUNDUP('High Level Dashboard'!$C$18,0))+1,'High Level Dashboard'!$B$64:$AV$65,2,FALSE))*('High Level Dashboard'!$C$18-(ROUNDDOWN('High Level Dashboard'!$C$18,0)))),0)
+
IFERROR(-PMT('High Level Dashboard'!$C$16,'High Level Dashboard'!$C$18-'High Level Dashboard'!$C$17+1,
(HLOOKUP('High Level Dashboard'!O$64-(ROUNDDOWN('High Level Dashboard'!$C$17,0)),'High Level Dashboard'!$B$64:$AV$65,2,FALSE)*('High Level Dashboard'!$C$17-ROUNDDOWN('High Level Dashboard'!$C$17,0)))),0)
+
(((SUMIFS('High Level Dashboard'!$B$65:$AV$65,'High Level Dashboard'!$B$64:$AV$64,"&gt;"&amp;'High Level Dashboard'!O$64-ROUNDDOWN('High Level Dashboard'!$C$17,0),'High Level Dashboard'!$B$64:$AV$64,"&lt;="&amp;'High Level Dashboard'!O$64)+(IFERROR(SUMIF('High Level Dashboard'!$B$64:$AV$64,ROUNDDOWN('High Level Dashboard'!O$64-'High Level Dashboard'!$C$17,0)+1,'High Level Dashboard'!$B$65:$AV$65)*(1-('High Level Dashboard'!$C$17-ROUNDDOWN('High Level Dashboard'!$C$17,0))),"")))*'High Level Dashboard'!$C$16)
))</f>
        <v>10.078434072352341</v>
      </c>
      <c r="Q98" s="434">
        <f ca="1">$B$82*'High Level Dashboard'!$C$15*
(-PMT('High Level Dashboard'!$C$16,'High Level Dashboard'!$C$18-'High Level Dashboard'!$C$17+1,
SUMIFS('High Level Dashboard'!$B$65:$AV$65,'High Level Dashboard'!$B$64:$AV$64,"&gt;="&amp;('High Level Dashboard'!P$64-(ROUNDDOWN('High Level Dashboard'!$C$18,0))+1),'High Level Dashboard'!$B$64:$AV$64,"&lt;="&amp;('High Level Dashboard'!P$64-(ROUNDUP('High Level Dashboard'!$C$17,0)))))
+
IFERROR(-PMT('High Level Dashboard'!$C$16,'High Level Dashboard'!$C$18-'High Level Dashboard'!$C$17+1,
(HLOOKUP('High Level Dashboard'!P$64-(ROUNDUP('High Level Dashboard'!$C$18,0))+1,'High Level Dashboard'!$B$64:$AV$65,2,FALSE))*('High Level Dashboard'!$C$18-(ROUNDDOWN('High Level Dashboard'!$C$18,0)))),0)
+
IFERROR(-PMT('High Level Dashboard'!$C$16,'High Level Dashboard'!$C$18-'High Level Dashboard'!$C$17+1,
(HLOOKUP('High Level Dashboard'!P$64-(ROUNDDOWN('High Level Dashboard'!$C$17,0)),'High Level Dashboard'!$B$64:$AV$65,2,FALSE)*('High Level Dashboard'!$C$17-ROUNDDOWN('High Level Dashboard'!$C$17,0)))),0)
+
(((SUMIFS('High Level Dashboard'!$B$65:$AV$65,'High Level Dashboard'!$B$64:$AV$64,"&gt;"&amp;'High Level Dashboard'!P$64-ROUNDDOWN('High Level Dashboard'!$C$17,0),'High Level Dashboard'!$B$64:$AV$64,"&lt;="&amp;'High Level Dashboard'!P$64)+(IFERROR(SUMIF('High Level Dashboard'!$B$64:$AV$64,ROUNDDOWN('High Level Dashboard'!P$64-'High Level Dashboard'!$C$17,0)+1,'High Level Dashboard'!$B$65:$AV$65)*(1-('High Level Dashboard'!$C$17-ROUNDDOWN('High Level Dashboard'!$C$17,0))),"")))*'High Level Dashboard'!$C$16)
))</f>
        <v>11.518567338923688</v>
      </c>
      <c r="R98" s="434">
        <f ca="1">$B$82*'High Level Dashboard'!$C$15*
(-PMT('High Level Dashboard'!$C$16,'High Level Dashboard'!$C$18-'High Level Dashboard'!$C$17+1,
SUMIFS('High Level Dashboard'!$B$65:$AV$65,'High Level Dashboard'!$B$64:$AV$64,"&gt;="&amp;('High Level Dashboard'!Q$64-(ROUNDDOWN('High Level Dashboard'!$C$18,0))+1),'High Level Dashboard'!$B$64:$AV$64,"&lt;="&amp;('High Level Dashboard'!Q$64-(ROUNDUP('High Level Dashboard'!$C$17,0)))))
+
IFERROR(-PMT('High Level Dashboard'!$C$16,'High Level Dashboard'!$C$18-'High Level Dashboard'!$C$17+1,
(HLOOKUP('High Level Dashboard'!Q$64-(ROUNDUP('High Level Dashboard'!$C$18,0))+1,'High Level Dashboard'!$B$64:$AV$65,2,FALSE))*('High Level Dashboard'!$C$18-(ROUNDDOWN('High Level Dashboard'!$C$18,0)))),0)
+
IFERROR(-PMT('High Level Dashboard'!$C$16,'High Level Dashboard'!$C$18-'High Level Dashboard'!$C$17+1,
(HLOOKUP('High Level Dashboard'!Q$64-(ROUNDDOWN('High Level Dashboard'!$C$17,0)),'High Level Dashboard'!$B$64:$AV$65,2,FALSE)*('High Level Dashboard'!$C$17-ROUNDDOWN('High Level Dashboard'!$C$17,0)))),0)
+
(((SUMIFS('High Level Dashboard'!$B$65:$AV$65,'High Level Dashboard'!$B$64:$AV$64,"&gt;"&amp;'High Level Dashboard'!Q$64-ROUNDDOWN('High Level Dashboard'!$C$17,0),'High Level Dashboard'!$B$64:$AV$64,"&lt;="&amp;'High Level Dashboard'!Q$64)+(IFERROR(SUMIF('High Level Dashboard'!$B$64:$AV$64,ROUNDDOWN('High Level Dashboard'!Q$64-'High Level Dashboard'!$C$17,0)+1,'High Level Dashboard'!$B$65:$AV$65)*(1-('High Level Dashboard'!$C$17-ROUNDDOWN('High Level Dashboard'!$C$17,0))),"")))*'High Level Dashboard'!$C$16)
))</f>
        <v>12.959556587742753</v>
      </c>
      <c r="S98" s="434">
        <f ca="1">$B$82*'High Level Dashboard'!$C$15*
(-PMT('High Level Dashboard'!$C$16,'High Level Dashboard'!$C$18-'High Level Dashboard'!$C$17+1,
SUMIFS('High Level Dashboard'!$B$65:$AV$65,'High Level Dashboard'!$B$64:$AV$64,"&gt;="&amp;('High Level Dashboard'!R$64-(ROUNDDOWN('High Level Dashboard'!$C$18,0))+1),'High Level Dashboard'!$B$64:$AV$64,"&lt;="&amp;('High Level Dashboard'!R$64-(ROUNDUP('High Level Dashboard'!$C$17,0)))))
+
IFERROR(-PMT('High Level Dashboard'!$C$16,'High Level Dashboard'!$C$18-'High Level Dashboard'!$C$17+1,
(HLOOKUP('High Level Dashboard'!R$64-(ROUNDUP('High Level Dashboard'!$C$18,0))+1,'High Level Dashboard'!$B$64:$AV$65,2,FALSE))*('High Level Dashboard'!$C$18-(ROUNDDOWN('High Level Dashboard'!$C$18,0)))),0)
+
IFERROR(-PMT('High Level Dashboard'!$C$16,'High Level Dashboard'!$C$18-'High Level Dashboard'!$C$17+1,
(HLOOKUP('High Level Dashboard'!R$64-(ROUNDDOWN('High Level Dashboard'!$C$17,0)),'High Level Dashboard'!$B$64:$AV$65,2,FALSE)*('High Level Dashboard'!$C$17-ROUNDDOWN('High Level Dashboard'!$C$17,0)))),0)
+
(((SUMIFS('High Level Dashboard'!$B$65:$AV$65,'High Level Dashboard'!$B$64:$AV$64,"&gt;"&amp;'High Level Dashboard'!R$64-ROUNDDOWN('High Level Dashboard'!$C$17,0),'High Level Dashboard'!$B$64:$AV$64,"&lt;="&amp;'High Level Dashboard'!R$64)+(IFERROR(SUMIF('High Level Dashboard'!$B$64:$AV$64,ROUNDDOWN('High Level Dashboard'!R$64-'High Level Dashboard'!$C$17,0)+1,'High Level Dashboard'!$B$65:$AV$65)*(1-('High Level Dashboard'!$C$17-ROUNDDOWN('High Level Dashboard'!$C$17,0))),"")))*'High Level Dashboard'!$C$16)
))</f>
        <v>14.286657370444251</v>
      </c>
      <c r="T98" s="434">
        <f ca="1">$B$82*'High Level Dashboard'!$C$15*
(-PMT('High Level Dashboard'!$C$16,'High Level Dashboard'!$C$18-'High Level Dashboard'!$C$17+1,
SUMIFS('High Level Dashboard'!$B$65:$AV$65,'High Level Dashboard'!$B$64:$AV$64,"&gt;="&amp;('High Level Dashboard'!S$64-(ROUNDDOWN('High Level Dashboard'!$C$18,0))+1),'High Level Dashboard'!$B$64:$AV$64,"&lt;="&amp;('High Level Dashboard'!S$64-(ROUNDUP('High Level Dashboard'!$C$17,0)))))
+
IFERROR(-PMT('High Level Dashboard'!$C$16,'High Level Dashboard'!$C$18-'High Level Dashboard'!$C$17+1,
(HLOOKUP('High Level Dashboard'!S$64-(ROUNDUP('High Level Dashboard'!$C$18,0))+1,'High Level Dashboard'!$B$64:$AV$65,2,FALSE))*('High Level Dashboard'!$C$18-(ROUNDDOWN('High Level Dashboard'!$C$18,0)))),0)
+
IFERROR(-PMT('High Level Dashboard'!$C$16,'High Level Dashboard'!$C$18-'High Level Dashboard'!$C$17+1,
(HLOOKUP('High Level Dashboard'!S$64-(ROUNDDOWN('High Level Dashboard'!$C$17,0)),'High Level Dashboard'!$B$64:$AV$65,2,FALSE)*('High Level Dashboard'!$C$17-ROUNDDOWN('High Level Dashboard'!$C$17,0)))),0)
+
(((SUMIFS('High Level Dashboard'!$B$65:$AV$65,'High Level Dashboard'!$B$64:$AV$64,"&gt;"&amp;'High Level Dashboard'!S$64-ROUNDDOWN('High Level Dashboard'!$C$17,0),'High Level Dashboard'!$B$64:$AV$64,"&lt;="&amp;'High Level Dashboard'!S$64)+(IFERROR(SUMIF('High Level Dashboard'!$B$64:$AV$64,ROUNDDOWN('High Level Dashboard'!S$64-'High Level Dashboard'!$C$17,0)+1,'High Level Dashboard'!$B$65:$AV$65)*(1-('High Level Dashboard'!$C$17-ROUNDDOWN('High Level Dashboard'!$C$17,0))),"")))*'High Level Dashboard'!$C$16)
))</f>
        <v>15.640149861110721</v>
      </c>
      <c r="U98" s="434">
        <f ca="1">$B$82*'High Level Dashboard'!$C$15*
(-PMT('High Level Dashboard'!$C$16,'High Level Dashboard'!$C$18-'High Level Dashboard'!$C$17+1,
SUMIFS('High Level Dashboard'!$B$65:$AV$65,'High Level Dashboard'!$B$64:$AV$64,"&gt;="&amp;('High Level Dashboard'!T$64-(ROUNDDOWN('High Level Dashboard'!$C$18,0))+1),'High Level Dashboard'!$B$64:$AV$64,"&lt;="&amp;('High Level Dashboard'!T$64-(ROUNDUP('High Level Dashboard'!$C$17,0)))))
+
IFERROR(-PMT('High Level Dashboard'!$C$16,'High Level Dashboard'!$C$18-'High Level Dashboard'!$C$17+1,
(HLOOKUP('High Level Dashboard'!T$64-(ROUNDUP('High Level Dashboard'!$C$18,0))+1,'High Level Dashboard'!$B$64:$AV$65,2,FALSE))*('High Level Dashboard'!$C$18-(ROUNDDOWN('High Level Dashboard'!$C$18,0)))),0)
+
IFERROR(-PMT('High Level Dashboard'!$C$16,'High Level Dashboard'!$C$18-'High Level Dashboard'!$C$17+1,
(HLOOKUP('High Level Dashboard'!T$64-(ROUNDDOWN('High Level Dashboard'!$C$17,0)),'High Level Dashboard'!$B$64:$AV$65,2,FALSE)*('High Level Dashboard'!$C$17-ROUNDDOWN('High Level Dashboard'!$C$17,0)))),0)
+
(((SUMIFS('High Level Dashboard'!$B$65:$AV$65,'High Level Dashboard'!$B$64:$AV$64,"&gt;"&amp;'High Level Dashboard'!T$64-ROUNDDOWN('High Level Dashboard'!$C$17,0),'High Level Dashboard'!$B$64:$AV$64,"&lt;="&amp;'High Level Dashboard'!T$64)+(IFERROR(SUMIF('High Level Dashboard'!$B$64:$AV$64,ROUNDDOWN('High Level Dashboard'!T$64-'High Level Dashboard'!$C$17,0)+1,'High Level Dashboard'!$B$65:$AV$65)*(1-('High Level Dashboard'!$C$17-ROUNDDOWN('High Level Dashboard'!$C$17,0))),"")))*'High Level Dashboard'!$C$16)
))</f>
        <v>16.880201910594735</v>
      </c>
      <c r="V98" s="434">
        <f ca="1">$B$82*'High Level Dashboard'!$C$15*
(-PMT('High Level Dashboard'!$C$16,'High Level Dashboard'!$C$18-'High Level Dashboard'!$C$17+1,
SUMIFS('High Level Dashboard'!$B$65:$AV$65,'High Level Dashboard'!$B$64:$AV$64,"&gt;="&amp;('High Level Dashboard'!U$64-(ROUNDDOWN('High Level Dashboard'!$C$18,0))+1),'High Level Dashboard'!$B$64:$AV$64,"&lt;="&amp;('High Level Dashboard'!U$64-(ROUNDUP('High Level Dashboard'!$C$17,0)))))
+
IFERROR(-PMT('High Level Dashboard'!$C$16,'High Level Dashboard'!$C$18-'High Level Dashboard'!$C$17+1,
(HLOOKUP('High Level Dashboard'!U$64-(ROUNDUP('High Level Dashboard'!$C$18,0))+1,'High Level Dashboard'!$B$64:$AV$65,2,FALSE))*('High Level Dashboard'!$C$18-(ROUNDDOWN('High Level Dashboard'!$C$18,0)))),0)
+
IFERROR(-PMT('High Level Dashboard'!$C$16,'High Level Dashboard'!$C$18-'High Level Dashboard'!$C$17+1,
(HLOOKUP('High Level Dashboard'!U$64-(ROUNDDOWN('High Level Dashboard'!$C$17,0)),'High Level Dashboard'!$B$64:$AV$65,2,FALSE)*('High Level Dashboard'!$C$17-ROUNDDOWN('High Level Dashboard'!$C$17,0)))),0)
+
(((SUMIFS('High Level Dashboard'!$B$65:$AV$65,'High Level Dashboard'!$B$64:$AV$64,"&gt;"&amp;'High Level Dashboard'!U$64-ROUNDDOWN('High Level Dashboard'!$C$17,0),'High Level Dashboard'!$B$64:$AV$64,"&lt;="&amp;'High Level Dashboard'!U$64)+(IFERROR(SUMIF('High Level Dashboard'!$B$64:$AV$64,ROUNDDOWN('High Level Dashboard'!U$64-'High Level Dashboard'!$C$17,0)+1,'High Level Dashboard'!$B$65:$AV$65)*(1-('High Level Dashboard'!$C$17-ROUNDDOWN('High Level Dashboard'!$C$17,0))),"")))*'High Level Dashboard'!$C$16)
))</f>
        <v>18.426984714961737</v>
      </c>
      <c r="W98" s="434">
        <f ca="1">$B$82*'High Level Dashboard'!$C$15*
(-PMT('High Level Dashboard'!$C$16,'High Level Dashboard'!$C$18-'High Level Dashboard'!$C$17+1,
SUMIFS('High Level Dashboard'!$B$65:$AV$65,'High Level Dashboard'!$B$64:$AV$64,"&gt;="&amp;('High Level Dashboard'!V$64-(ROUNDDOWN('High Level Dashboard'!$C$18,0))+1),'High Level Dashboard'!$B$64:$AV$64,"&lt;="&amp;('High Level Dashboard'!V$64-(ROUNDUP('High Level Dashboard'!$C$17,0)))))
+
IFERROR(-PMT('High Level Dashboard'!$C$16,'High Level Dashboard'!$C$18-'High Level Dashboard'!$C$17+1,
(HLOOKUP('High Level Dashboard'!V$64-(ROUNDUP('High Level Dashboard'!$C$18,0))+1,'High Level Dashboard'!$B$64:$AV$65,2,FALSE))*('High Level Dashboard'!$C$18-(ROUNDDOWN('High Level Dashboard'!$C$18,0)))),0)
+
IFERROR(-PMT('High Level Dashboard'!$C$16,'High Level Dashboard'!$C$18-'High Level Dashboard'!$C$17+1,
(HLOOKUP('High Level Dashboard'!V$64-(ROUNDDOWN('High Level Dashboard'!$C$17,0)),'High Level Dashboard'!$B$64:$AV$65,2,FALSE)*('High Level Dashboard'!$C$17-ROUNDDOWN('High Level Dashboard'!$C$17,0)))),0)
+
(((SUMIFS('High Level Dashboard'!$B$65:$AV$65,'High Level Dashboard'!$B$64:$AV$64,"&gt;"&amp;'High Level Dashboard'!V$64-ROUNDDOWN('High Level Dashboard'!$C$17,0),'High Level Dashboard'!$B$64:$AV$64,"&lt;="&amp;'High Level Dashboard'!V$64)+(IFERROR(SUMIF('High Level Dashboard'!$B$64:$AV$64,ROUNDDOWN('High Level Dashboard'!V$64-'High Level Dashboard'!$C$17,0)+1,'High Level Dashboard'!$B$65:$AV$65)*(1-('High Level Dashboard'!$C$17-ROUNDDOWN('High Level Dashboard'!$C$17,0))),"")))*'High Level Dashboard'!$C$16)
))</f>
        <v>19.960541472555118</v>
      </c>
      <c r="X98" s="434">
        <f ca="1">$B$82*'High Level Dashboard'!$C$15*
(-PMT('High Level Dashboard'!$C$16,'High Level Dashboard'!$C$18-'High Level Dashboard'!$C$17+1,
SUMIFS('High Level Dashboard'!$B$65:$AV$65,'High Level Dashboard'!$B$64:$AV$64,"&gt;="&amp;('High Level Dashboard'!W$64-(ROUNDDOWN('High Level Dashboard'!$C$18,0))+1),'High Level Dashboard'!$B$64:$AV$64,"&lt;="&amp;('High Level Dashboard'!W$64-(ROUNDUP('High Level Dashboard'!$C$17,0)))))
+
IFERROR(-PMT('High Level Dashboard'!$C$16,'High Level Dashboard'!$C$18-'High Level Dashboard'!$C$17+1,
(HLOOKUP('High Level Dashboard'!W$64-(ROUNDUP('High Level Dashboard'!$C$18,0))+1,'High Level Dashboard'!$B$64:$AV$65,2,FALSE))*('High Level Dashboard'!$C$18-(ROUNDDOWN('High Level Dashboard'!$C$18,0)))),0)
+
IFERROR(-PMT('High Level Dashboard'!$C$16,'High Level Dashboard'!$C$18-'High Level Dashboard'!$C$17+1,
(HLOOKUP('High Level Dashboard'!W$64-(ROUNDDOWN('High Level Dashboard'!$C$17,0)),'High Level Dashboard'!$B$64:$AV$65,2,FALSE)*('High Level Dashboard'!$C$17-ROUNDDOWN('High Level Dashboard'!$C$17,0)))),0)
+
(((SUMIFS('High Level Dashboard'!$B$65:$AV$65,'High Level Dashboard'!$B$64:$AV$64,"&gt;"&amp;'High Level Dashboard'!W$64-ROUNDDOWN('High Level Dashboard'!$C$17,0),'High Level Dashboard'!$B$64:$AV$64,"&lt;="&amp;'High Level Dashboard'!W$64)+(IFERROR(SUMIF('High Level Dashboard'!$B$64:$AV$64,ROUNDDOWN('High Level Dashboard'!W$64-'High Level Dashboard'!$C$17,0)+1,'High Level Dashboard'!$B$65:$AV$65)*(1-('High Level Dashboard'!$C$17-ROUNDDOWN('High Level Dashboard'!$C$17,0))),"")))*'High Level Dashboard'!$C$16)
))</f>
        <v>21.547989288809106</v>
      </c>
      <c r="Y98" s="434">
        <f ca="1">$B$82*'High Level Dashboard'!$C$15*
(-PMT('High Level Dashboard'!$C$16,'High Level Dashboard'!$C$18-'High Level Dashboard'!$C$17+1,
SUMIFS('High Level Dashboard'!$B$65:$AV$65,'High Level Dashboard'!$B$64:$AV$64,"&gt;="&amp;('High Level Dashboard'!X$64-(ROUNDDOWN('High Level Dashboard'!$C$18,0))+1),'High Level Dashboard'!$B$64:$AV$64,"&lt;="&amp;('High Level Dashboard'!X$64-(ROUNDUP('High Level Dashboard'!$C$17,0)))))
+
IFERROR(-PMT('High Level Dashboard'!$C$16,'High Level Dashboard'!$C$18-'High Level Dashboard'!$C$17+1,
(HLOOKUP('High Level Dashboard'!X$64-(ROUNDUP('High Level Dashboard'!$C$18,0))+1,'High Level Dashboard'!$B$64:$AV$65,2,FALSE))*('High Level Dashboard'!$C$18-(ROUNDDOWN('High Level Dashboard'!$C$18,0)))),0)
+
IFERROR(-PMT('High Level Dashboard'!$C$16,'High Level Dashboard'!$C$18-'High Level Dashboard'!$C$17+1,
(HLOOKUP('High Level Dashboard'!X$64-(ROUNDDOWN('High Level Dashboard'!$C$17,0)),'High Level Dashboard'!$B$64:$AV$65,2,FALSE)*('High Level Dashboard'!$C$17-ROUNDDOWN('High Level Dashboard'!$C$17,0)))),0)
+
(((SUMIFS('High Level Dashboard'!$B$65:$AV$65,'High Level Dashboard'!$B$64:$AV$64,"&gt;"&amp;'High Level Dashboard'!X$64-ROUNDDOWN('High Level Dashboard'!$C$17,0),'High Level Dashboard'!$B$64:$AV$64,"&lt;="&amp;'High Level Dashboard'!X$64)+(IFERROR(SUMIF('High Level Dashboard'!$B$64:$AV$64,ROUNDDOWN('High Level Dashboard'!X$64-'High Level Dashboard'!$C$17,0)+1,'High Level Dashboard'!$B$65:$AV$65)*(1-('High Level Dashboard'!$C$17-ROUNDDOWN('High Level Dashboard'!$C$17,0))),"")))*'High Level Dashboard'!$C$16)
))</f>
        <v>23.196977913777399</v>
      </c>
      <c r="Z98" s="434">
        <f ca="1">$B$82*'High Level Dashboard'!$C$15*
(-PMT('High Level Dashboard'!$C$16,'High Level Dashboard'!$C$18-'High Level Dashboard'!$C$17+1,
SUMIFS('High Level Dashboard'!$B$65:$AV$65,'High Level Dashboard'!$B$64:$AV$64,"&gt;="&amp;('High Level Dashboard'!Y$64-(ROUNDDOWN('High Level Dashboard'!$C$18,0))+1),'High Level Dashboard'!$B$64:$AV$64,"&lt;="&amp;('High Level Dashboard'!Y$64-(ROUNDUP('High Level Dashboard'!$C$17,0)))))
+
IFERROR(-PMT('High Level Dashboard'!$C$16,'High Level Dashboard'!$C$18-'High Level Dashboard'!$C$17+1,
(HLOOKUP('High Level Dashboard'!Y$64-(ROUNDUP('High Level Dashboard'!$C$18,0))+1,'High Level Dashboard'!$B$64:$AV$65,2,FALSE))*('High Level Dashboard'!$C$18-(ROUNDDOWN('High Level Dashboard'!$C$18,0)))),0)
+
IFERROR(-PMT('High Level Dashboard'!$C$16,'High Level Dashboard'!$C$18-'High Level Dashboard'!$C$17+1,
(HLOOKUP('High Level Dashboard'!Y$64-(ROUNDDOWN('High Level Dashboard'!$C$17,0)),'High Level Dashboard'!$B$64:$AV$65,2,FALSE)*('High Level Dashboard'!$C$17-ROUNDDOWN('High Level Dashboard'!$C$17,0)))),0)
+
(((SUMIFS('High Level Dashboard'!$B$65:$AV$65,'High Level Dashboard'!$B$64:$AV$64,"&gt;"&amp;'High Level Dashboard'!Y$64-ROUNDDOWN('High Level Dashboard'!$C$17,0),'High Level Dashboard'!$B$64:$AV$64,"&lt;="&amp;'High Level Dashboard'!Y$64)+(IFERROR(SUMIF('High Level Dashboard'!$B$64:$AV$64,ROUNDDOWN('High Level Dashboard'!Y$64-'High Level Dashboard'!$C$17,0)+1,'High Level Dashboard'!$B$65:$AV$65)*(1-('High Level Dashboard'!$C$17-ROUNDDOWN('High Level Dashboard'!$C$17,0))),"")))*'High Level Dashboard'!$C$16)
))</f>
        <v>24.589293624592564</v>
      </c>
      <c r="AA98" s="434">
        <f ca="1">$B$82*'High Level Dashboard'!$C$15*
(-PMT('High Level Dashboard'!$C$16,'High Level Dashboard'!$C$18-'High Level Dashboard'!$C$17+1,
SUMIFS('High Level Dashboard'!$B$65:$AV$65,'High Level Dashboard'!$B$64:$AV$64,"&gt;="&amp;('High Level Dashboard'!Z$64-(ROUNDDOWN('High Level Dashboard'!$C$18,0))+1),'High Level Dashboard'!$B$64:$AV$64,"&lt;="&amp;('High Level Dashboard'!Z$64-(ROUNDUP('High Level Dashboard'!$C$17,0)))))
+
IFERROR(-PMT('High Level Dashboard'!$C$16,'High Level Dashboard'!$C$18-'High Level Dashboard'!$C$17+1,
(HLOOKUP('High Level Dashboard'!Z$64-(ROUNDUP('High Level Dashboard'!$C$18,0))+1,'High Level Dashboard'!$B$64:$AV$65,2,FALSE))*('High Level Dashboard'!$C$18-(ROUNDDOWN('High Level Dashboard'!$C$18,0)))),0)
+
IFERROR(-PMT('High Level Dashboard'!$C$16,'High Level Dashboard'!$C$18-'High Level Dashboard'!$C$17+1,
(HLOOKUP('High Level Dashboard'!Z$64-(ROUNDDOWN('High Level Dashboard'!$C$17,0)),'High Level Dashboard'!$B$64:$AV$65,2,FALSE)*('High Level Dashboard'!$C$17-ROUNDDOWN('High Level Dashboard'!$C$17,0)))),0)
+
(((SUMIFS('High Level Dashboard'!$B$65:$AV$65,'High Level Dashboard'!$B$64:$AV$64,"&gt;"&amp;'High Level Dashboard'!Z$64-ROUNDDOWN('High Level Dashboard'!$C$17,0),'High Level Dashboard'!$B$64:$AV$64,"&lt;="&amp;'High Level Dashboard'!Z$64)+(IFERROR(SUMIF('High Level Dashboard'!$B$64:$AV$64,ROUNDDOWN('High Level Dashboard'!Z$64-'High Level Dashboard'!$C$17,0)+1,'High Level Dashboard'!$B$65:$AV$65)*(1-('High Level Dashboard'!$C$17-ROUNDDOWN('High Level Dashboard'!$C$17,0))),"")))*'High Level Dashboard'!$C$16)
))</f>
        <v>25.767083233385808</v>
      </c>
      <c r="AB98" s="434">
        <f ca="1">$B$82*'High Level Dashboard'!$C$15*
(-PMT('High Level Dashboard'!$C$16,'High Level Dashboard'!$C$18-'High Level Dashboard'!$C$17+1,
SUMIFS('High Level Dashboard'!$B$65:$AV$65,'High Level Dashboard'!$B$64:$AV$64,"&gt;="&amp;('High Level Dashboard'!AA$64-(ROUNDDOWN('High Level Dashboard'!$C$18,0))+1),'High Level Dashboard'!$B$64:$AV$64,"&lt;="&amp;('High Level Dashboard'!AA$64-(ROUNDUP('High Level Dashboard'!$C$17,0)))))
+
IFERROR(-PMT('High Level Dashboard'!$C$16,'High Level Dashboard'!$C$18-'High Level Dashboard'!$C$17+1,
(HLOOKUP('High Level Dashboard'!AA$64-(ROUNDUP('High Level Dashboard'!$C$18,0))+1,'High Level Dashboard'!$B$64:$AV$65,2,FALSE))*('High Level Dashboard'!$C$18-(ROUNDDOWN('High Level Dashboard'!$C$18,0)))),0)
+
IFERROR(-PMT('High Level Dashboard'!$C$16,'High Level Dashboard'!$C$18-'High Level Dashboard'!$C$17+1,
(HLOOKUP('High Level Dashboard'!AA$64-(ROUNDDOWN('High Level Dashboard'!$C$17,0)),'High Level Dashboard'!$B$64:$AV$65,2,FALSE)*('High Level Dashboard'!$C$17-ROUNDDOWN('High Level Dashboard'!$C$17,0)))),0)
+
(((SUMIFS('High Level Dashboard'!$B$65:$AV$65,'High Level Dashboard'!$B$64:$AV$64,"&gt;"&amp;'High Level Dashboard'!AA$64-ROUNDDOWN('High Level Dashboard'!$C$17,0),'High Level Dashboard'!$B$64:$AV$64,"&lt;="&amp;'High Level Dashboard'!AA$64)+(IFERROR(SUMIF('High Level Dashboard'!$B$64:$AV$64,ROUNDDOWN('High Level Dashboard'!AA$64-'High Level Dashboard'!$C$17,0)+1,'High Level Dashboard'!$B$65:$AV$65)*(1-('High Level Dashboard'!$C$17-ROUNDDOWN('High Level Dashboard'!$C$17,0))),"")))*'High Level Dashboard'!$C$16)
))</f>
        <v>26.697985463093953</v>
      </c>
      <c r="AC98" s="434">
        <f ca="1">$B$82*'High Level Dashboard'!$C$15*
(-PMT('High Level Dashboard'!$C$16,'High Level Dashboard'!$C$18-'High Level Dashboard'!$C$17+1,
SUMIFS('High Level Dashboard'!$B$65:$AV$65,'High Level Dashboard'!$B$64:$AV$64,"&gt;="&amp;('High Level Dashboard'!AB$64-(ROUNDDOWN('High Level Dashboard'!$C$18,0))+1),'High Level Dashboard'!$B$64:$AV$64,"&lt;="&amp;('High Level Dashboard'!AB$64-(ROUNDUP('High Level Dashboard'!$C$17,0)))))
+
IFERROR(-PMT('High Level Dashboard'!$C$16,'High Level Dashboard'!$C$18-'High Level Dashboard'!$C$17+1,
(HLOOKUP('High Level Dashboard'!AB$64-(ROUNDUP('High Level Dashboard'!$C$18,0))+1,'High Level Dashboard'!$B$64:$AV$65,2,FALSE))*('High Level Dashboard'!$C$18-(ROUNDDOWN('High Level Dashboard'!$C$18,0)))),0)
+
IFERROR(-PMT('High Level Dashboard'!$C$16,'High Level Dashboard'!$C$18-'High Level Dashboard'!$C$17+1,
(HLOOKUP('High Level Dashboard'!AB$64-(ROUNDDOWN('High Level Dashboard'!$C$17,0)),'High Level Dashboard'!$B$64:$AV$65,2,FALSE)*('High Level Dashboard'!$C$17-ROUNDDOWN('High Level Dashboard'!$C$17,0)))),0)
+
(((SUMIFS('High Level Dashboard'!$B$65:$AV$65,'High Level Dashboard'!$B$64:$AV$64,"&gt;"&amp;'High Level Dashboard'!AB$64-ROUNDDOWN('High Level Dashboard'!$C$17,0),'High Level Dashboard'!$B$64:$AV$64,"&lt;="&amp;'High Level Dashboard'!AB$64)+(IFERROR(SUMIF('High Level Dashboard'!$B$64:$AV$64,ROUNDDOWN('High Level Dashboard'!AB$64-'High Level Dashboard'!$C$17,0)+1,'High Level Dashboard'!$B$65:$AV$65)*(1-('High Level Dashboard'!$C$17-ROUNDDOWN('High Level Dashboard'!$C$17,0))),"")))*'High Level Dashboard'!$C$16)
))</f>
        <v>27.390253583584794</v>
      </c>
      <c r="AD98" s="434">
        <f ca="1">$B$82*'High Level Dashboard'!$C$15*
(-PMT('High Level Dashboard'!$C$16,'High Level Dashboard'!$C$18-'High Level Dashboard'!$C$17+1,
SUMIFS('High Level Dashboard'!$B$65:$AV$65,'High Level Dashboard'!$B$64:$AV$64,"&gt;="&amp;('High Level Dashboard'!AC$64-(ROUNDDOWN('High Level Dashboard'!$C$18,0))+1),'High Level Dashboard'!$B$64:$AV$64,"&lt;="&amp;('High Level Dashboard'!AC$64-(ROUNDUP('High Level Dashboard'!$C$17,0)))))
+
IFERROR(-PMT('High Level Dashboard'!$C$16,'High Level Dashboard'!$C$18-'High Level Dashboard'!$C$17+1,
(HLOOKUP('High Level Dashboard'!AC$64-(ROUNDUP('High Level Dashboard'!$C$18,0))+1,'High Level Dashboard'!$B$64:$AV$65,2,FALSE))*('High Level Dashboard'!$C$18-(ROUNDDOWN('High Level Dashboard'!$C$18,0)))),0)
+
IFERROR(-PMT('High Level Dashboard'!$C$16,'High Level Dashboard'!$C$18-'High Level Dashboard'!$C$17+1,
(HLOOKUP('High Level Dashboard'!AC$64-(ROUNDDOWN('High Level Dashboard'!$C$17,0)),'High Level Dashboard'!$B$64:$AV$65,2,FALSE)*('High Level Dashboard'!$C$17-ROUNDDOWN('High Level Dashboard'!$C$17,0)))),0)
+
(((SUMIFS('High Level Dashboard'!$B$65:$AV$65,'High Level Dashboard'!$B$64:$AV$64,"&gt;"&amp;'High Level Dashboard'!AC$64-ROUNDDOWN('High Level Dashboard'!$C$17,0),'High Level Dashboard'!$B$64:$AV$64,"&lt;="&amp;'High Level Dashboard'!AC$64)+(IFERROR(SUMIF('High Level Dashboard'!$B$64:$AV$64,ROUNDDOWN('High Level Dashboard'!AC$64-'High Level Dashboard'!$C$17,0)+1,'High Level Dashboard'!$B$65:$AV$65)*(1-('High Level Dashboard'!$C$17-ROUNDDOWN('High Level Dashboard'!$C$17,0))),"")))*'High Level Dashboard'!$C$16)
))</f>
        <v>27.758111944375511</v>
      </c>
      <c r="AE98" s="434">
        <f ca="1">$B$82*'High Level Dashboard'!$C$15*
(-PMT('High Level Dashboard'!$C$16,'High Level Dashboard'!$C$18-'High Level Dashboard'!$C$17+1,
SUMIFS('High Level Dashboard'!$B$65:$AV$65,'High Level Dashboard'!$B$64:$AV$64,"&gt;="&amp;('High Level Dashboard'!AD$64-(ROUNDDOWN('High Level Dashboard'!$C$18,0))+1),'High Level Dashboard'!$B$64:$AV$64,"&lt;="&amp;('High Level Dashboard'!AD$64-(ROUNDUP('High Level Dashboard'!$C$17,0)))))
+
IFERROR(-PMT('High Level Dashboard'!$C$16,'High Level Dashboard'!$C$18-'High Level Dashboard'!$C$17+1,
(HLOOKUP('High Level Dashboard'!AD$64-(ROUNDUP('High Level Dashboard'!$C$18,0))+1,'High Level Dashboard'!$B$64:$AV$65,2,FALSE))*('High Level Dashboard'!$C$18-(ROUNDDOWN('High Level Dashboard'!$C$18,0)))),0)
+
IFERROR(-PMT('High Level Dashboard'!$C$16,'High Level Dashboard'!$C$18-'High Level Dashboard'!$C$17+1,
(HLOOKUP('High Level Dashboard'!AD$64-(ROUNDDOWN('High Level Dashboard'!$C$17,0)),'High Level Dashboard'!$B$64:$AV$65,2,FALSE)*('High Level Dashboard'!$C$17-ROUNDDOWN('High Level Dashboard'!$C$17,0)))),0)
+
(((SUMIFS('High Level Dashboard'!$B$65:$AV$65,'High Level Dashboard'!$B$64:$AV$64,"&gt;"&amp;'High Level Dashboard'!AD$64-ROUNDDOWN('High Level Dashboard'!$C$17,0),'High Level Dashboard'!$B$64:$AV$64,"&lt;="&amp;'High Level Dashboard'!AD$64)+(IFERROR(SUMIF('High Level Dashboard'!$B$64:$AV$64,ROUNDDOWN('High Level Dashboard'!AD$64-'High Level Dashboard'!$C$17,0)+1,'High Level Dashboard'!$B$65:$AV$65)*(1-('High Level Dashboard'!$C$17-ROUNDDOWN('High Level Dashboard'!$C$17,0))),"")))*'High Level Dashboard'!$C$16)
))</f>
        <v>28.631665858324965</v>
      </c>
      <c r="AF98" s="434">
        <f ca="1">$B$82*'High Level Dashboard'!$C$15*
(-PMT('High Level Dashboard'!$C$16,'High Level Dashboard'!$C$18-'High Level Dashboard'!$C$17+1,
SUMIFS('High Level Dashboard'!$B$65:$AV$65,'High Level Dashboard'!$B$64:$AV$64,"&gt;="&amp;('High Level Dashboard'!AE$64-(ROUNDDOWN('High Level Dashboard'!$C$18,0))+1),'High Level Dashboard'!$B$64:$AV$64,"&lt;="&amp;('High Level Dashboard'!AE$64-(ROUNDUP('High Level Dashboard'!$C$17,0)))))
+
IFERROR(-PMT('High Level Dashboard'!$C$16,'High Level Dashboard'!$C$18-'High Level Dashboard'!$C$17+1,
(HLOOKUP('High Level Dashboard'!AE$64-(ROUNDUP('High Level Dashboard'!$C$18,0))+1,'High Level Dashboard'!$B$64:$AV$65,2,FALSE))*('High Level Dashboard'!$C$18-(ROUNDDOWN('High Level Dashboard'!$C$18,0)))),0)
+
IFERROR(-PMT('High Level Dashboard'!$C$16,'High Level Dashboard'!$C$18-'High Level Dashboard'!$C$17+1,
(HLOOKUP('High Level Dashboard'!AE$64-(ROUNDDOWN('High Level Dashboard'!$C$17,0)),'High Level Dashboard'!$B$64:$AV$65,2,FALSE)*('High Level Dashboard'!$C$17-ROUNDDOWN('High Level Dashboard'!$C$17,0)))),0)
+
(((SUMIFS('High Level Dashboard'!$B$65:$AV$65,'High Level Dashboard'!$B$64:$AV$64,"&gt;"&amp;'High Level Dashboard'!AE$64-ROUNDDOWN('High Level Dashboard'!$C$17,0),'High Level Dashboard'!$B$64:$AV$64,"&lt;="&amp;'High Level Dashboard'!AE$64)+(IFERROR(SUMIF('High Level Dashboard'!$B$64:$AV$64,ROUNDDOWN('High Level Dashboard'!AE$64-'High Level Dashboard'!$C$17,0)+1,'High Level Dashboard'!$B$65:$AV$65)*(1-('High Level Dashboard'!$C$17-ROUNDDOWN('High Level Dashboard'!$C$17,0))),"")))*'High Level Dashboard'!$C$16)
))</f>
        <v>29.912417882918295</v>
      </c>
      <c r="AG98" s="434">
        <f ca="1">$B$82*'High Level Dashboard'!$C$15*
(-PMT('High Level Dashboard'!$C$16,'High Level Dashboard'!$C$18-'High Level Dashboard'!$C$17+1,
SUMIFS('High Level Dashboard'!$B$65:$AV$65,'High Level Dashboard'!$B$64:$AV$64,"&gt;="&amp;('High Level Dashboard'!AF$64-(ROUNDDOWN('High Level Dashboard'!$C$18,0))+1),'High Level Dashboard'!$B$64:$AV$64,"&lt;="&amp;('High Level Dashboard'!AF$64-(ROUNDUP('High Level Dashboard'!$C$17,0)))))
+
IFERROR(-PMT('High Level Dashboard'!$C$16,'High Level Dashboard'!$C$18-'High Level Dashboard'!$C$17+1,
(HLOOKUP('High Level Dashboard'!AF$64-(ROUNDUP('High Level Dashboard'!$C$18,0))+1,'High Level Dashboard'!$B$64:$AV$65,2,FALSE))*('High Level Dashboard'!$C$18-(ROUNDDOWN('High Level Dashboard'!$C$18,0)))),0)
+
IFERROR(-PMT('High Level Dashboard'!$C$16,'High Level Dashboard'!$C$18-'High Level Dashboard'!$C$17+1,
(HLOOKUP('High Level Dashboard'!AF$64-(ROUNDDOWN('High Level Dashboard'!$C$17,0)),'High Level Dashboard'!$B$64:$AV$65,2,FALSE)*('High Level Dashboard'!$C$17-ROUNDDOWN('High Level Dashboard'!$C$17,0)))),0)
+
(((SUMIFS('High Level Dashboard'!$B$65:$AV$65,'High Level Dashboard'!$B$64:$AV$64,"&gt;"&amp;'High Level Dashboard'!AF$64-ROUNDDOWN('High Level Dashboard'!$C$17,0),'High Level Dashboard'!$B$64:$AV$64,"&lt;="&amp;'High Level Dashboard'!AF$64)+(IFERROR(SUMIF('High Level Dashboard'!$B$64:$AV$64,ROUNDDOWN('High Level Dashboard'!AF$64-'High Level Dashboard'!$C$17,0)+1,'High Level Dashboard'!$B$65:$AV$65)*(1-('High Level Dashboard'!$C$17-ROUNDDOWN('High Level Dashboard'!$C$17,0))),"")))*'High Level Dashboard'!$C$16)
))</f>
        <v>31.148492624968569</v>
      </c>
      <c r="AH98" s="434">
        <f ca="1">$B$82*'High Level Dashboard'!$C$15*
(-PMT('High Level Dashboard'!$C$16,'High Level Dashboard'!$C$18-'High Level Dashboard'!$C$17+1,
SUMIFS('High Level Dashboard'!$B$65:$AV$65,'High Level Dashboard'!$B$64:$AV$64,"&gt;="&amp;('High Level Dashboard'!AG$64-(ROUNDDOWN('High Level Dashboard'!$C$18,0))+1),'High Level Dashboard'!$B$64:$AV$64,"&lt;="&amp;('High Level Dashboard'!AG$64-(ROUNDUP('High Level Dashboard'!$C$17,0)))))
+
IFERROR(-PMT('High Level Dashboard'!$C$16,'High Level Dashboard'!$C$18-'High Level Dashboard'!$C$17+1,
(HLOOKUP('High Level Dashboard'!AG$64-(ROUNDUP('High Level Dashboard'!$C$18,0))+1,'High Level Dashboard'!$B$64:$AV$65,2,FALSE))*('High Level Dashboard'!$C$18-(ROUNDDOWN('High Level Dashboard'!$C$18,0)))),0)
+
IFERROR(-PMT('High Level Dashboard'!$C$16,'High Level Dashboard'!$C$18-'High Level Dashboard'!$C$17+1,
(HLOOKUP('High Level Dashboard'!AG$64-(ROUNDDOWN('High Level Dashboard'!$C$17,0)),'High Level Dashboard'!$B$64:$AV$65,2,FALSE)*('High Level Dashboard'!$C$17-ROUNDDOWN('High Level Dashboard'!$C$17,0)))),0)
+
(((SUMIFS('High Level Dashboard'!$B$65:$AV$65,'High Level Dashboard'!$B$64:$AV$64,"&gt;"&amp;'High Level Dashboard'!AG$64-ROUNDDOWN('High Level Dashboard'!$C$17,0),'High Level Dashboard'!$B$64:$AV$64,"&lt;="&amp;'High Level Dashboard'!AG$64)+(IFERROR(SUMIF('High Level Dashboard'!$B$64:$AV$64,ROUNDDOWN('High Level Dashboard'!AG$64-'High Level Dashboard'!$C$17,0)+1,'High Level Dashboard'!$B$65:$AV$65)*(1-('High Level Dashboard'!$C$17-ROUNDDOWN('High Level Dashboard'!$C$17,0))),"")))*'High Level Dashboard'!$C$16)
))</f>
        <v>32.393875093419283</v>
      </c>
      <c r="AI98" s="434">
        <f ca="1">$B$82*'High Level Dashboard'!$C$15*
(-PMT('High Level Dashboard'!$C$16,'High Level Dashboard'!$C$18-'High Level Dashboard'!$C$17+1,
SUMIFS('High Level Dashboard'!$B$65:$AV$65,'High Level Dashboard'!$B$64:$AV$64,"&gt;="&amp;('High Level Dashboard'!AH$64-(ROUNDDOWN('High Level Dashboard'!$C$18,0))+1),'High Level Dashboard'!$B$64:$AV$64,"&lt;="&amp;('High Level Dashboard'!AH$64-(ROUNDUP('High Level Dashboard'!$C$17,0)))))
+
IFERROR(-PMT('High Level Dashboard'!$C$16,'High Level Dashboard'!$C$18-'High Level Dashboard'!$C$17+1,
(HLOOKUP('High Level Dashboard'!AH$64-(ROUNDUP('High Level Dashboard'!$C$18,0))+1,'High Level Dashboard'!$B$64:$AV$65,2,FALSE))*('High Level Dashboard'!$C$18-(ROUNDDOWN('High Level Dashboard'!$C$18,0)))),0)
+
IFERROR(-PMT('High Level Dashboard'!$C$16,'High Level Dashboard'!$C$18-'High Level Dashboard'!$C$17+1,
(HLOOKUP('High Level Dashboard'!AH$64-(ROUNDDOWN('High Level Dashboard'!$C$17,0)),'High Level Dashboard'!$B$64:$AV$65,2,FALSE)*('High Level Dashboard'!$C$17-ROUNDDOWN('High Level Dashboard'!$C$17,0)))),0)
+
(((SUMIFS('High Level Dashboard'!$B$65:$AV$65,'High Level Dashboard'!$B$64:$AV$64,"&gt;"&amp;'High Level Dashboard'!AH$64-ROUNDDOWN('High Level Dashboard'!$C$17,0),'High Level Dashboard'!$B$64:$AV$64,"&lt;="&amp;'High Level Dashboard'!AH$64)+(IFERROR(SUMIF('High Level Dashboard'!$B$64:$AV$64,ROUNDDOWN('High Level Dashboard'!AH$64-'High Level Dashboard'!$C$17,0)+1,'High Level Dashboard'!$B$65:$AV$65)*(1-('High Level Dashboard'!$C$17-ROUNDDOWN('High Level Dashboard'!$C$17,0))),"")))*'High Level Dashboard'!$C$16)
))</f>
        <v>33.446975944815485</v>
      </c>
      <c r="AJ98" s="434">
        <f ca="1">$B$82*'High Level Dashboard'!$C$15*
(-PMT('High Level Dashboard'!$C$16,'High Level Dashboard'!$C$18-'High Level Dashboard'!$C$17+1,
SUMIFS('High Level Dashboard'!$B$65:$AV$65,'High Level Dashboard'!$B$64:$AV$64,"&gt;="&amp;('High Level Dashboard'!AI$64-(ROUNDDOWN('High Level Dashboard'!$C$18,0))+1),'High Level Dashboard'!$B$64:$AV$64,"&lt;="&amp;('High Level Dashboard'!AI$64-(ROUNDUP('High Level Dashboard'!$C$17,0)))))
+
IFERROR(-PMT('High Level Dashboard'!$C$16,'High Level Dashboard'!$C$18-'High Level Dashboard'!$C$17+1,
(HLOOKUP('High Level Dashboard'!AI$64-(ROUNDUP('High Level Dashboard'!$C$18,0))+1,'High Level Dashboard'!$B$64:$AV$65,2,FALSE))*('High Level Dashboard'!$C$18-(ROUNDDOWN('High Level Dashboard'!$C$18,0)))),0)
+
IFERROR(-PMT('High Level Dashboard'!$C$16,'High Level Dashboard'!$C$18-'High Level Dashboard'!$C$17+1,
(HLOOKUP('High Level Dashboard'!AI$64-(ROUNDDOWN('High Level Dashboard'!$C$17,0)),'High Level Dashboard'!$B$64:$AV$65,2,FALSE)*('High Level Dashboard'!$C$17-ROUNDDOWN('High Level Dashboard'!$C$17,0)))),0)
+
(((SUMIFS('High Level Dashboard'!$B$65:$AV$65,'High Level Dashboard'!$B$64:$AV$64,"&gt;"&amp;'High Level Dashboard'!AI$64-ROUNDDOWN('High Level Dashboard'!$C$17,0),'High Level Dashboard'!$B$64:$AV$64,"&lt;="&amp;'High Level Dashboard'!AI$64)+(IFERROR(SUMIF('High Level Dashboard'!$B$64:$AV$64,ROUNDDOWN('High Level Dashboard'!AI$64-'High Level Dashboard'!$C$17,0)+1,'High Level Dashboard'!$B$65:$AV$65)*(1-('High Level Dashboard'!$C$17-ROUNDDOWN('High Level Dashboard'!$C$17,0))),"")))*'High Level Dashboard'!$C$16)
))</f>
        <v>34.701807305722411</v>
      </c>
      <c r="AK98" s="434">
        <f ca="1">$B$82*'High Level Dashboard'!$C$15*
(-PMT('High Level Dashboard'!$C$16,'High Level Dashboard'!$C$18-'High Level Dashboard'!$C$17+1,
SUMIFS('High Level Dashboard'!$B$65:$AV$65,'High Level Dashboard'!$B$64:$AV$64,"&gt;="&amp;('High Level Dashboard'!AJ$64-(ROUNDDOWN('High Level Dashboard'!$C$18,0))+1),'High Level Dashboard'!$B$64:$AV$64,"&lt;="&amp;('High Level Dashboard'!AJ$64-(ROUNDUP('High Level Dashboard'!$C$17,0)))))
+
IFERROR(-PMT('High Level Dashboard'!$C$16,'High Level Dashboard'!$C$18-'High Level Dashboard'!$C$17+1,
(HLOOKUP('High Level Dashboard'!AJ$64-(ROUNDUP('High Level Dashboard'!$C$18,0))+1,'High Level Dashboard'!$B$64:$AV$65,2,FALSE))*('High Level Dashboard'!$C$18-(ROUNDDOWN('High Level Dashboard'!$C$18,0)))),0)
+
IFERROR(-PMT('High Level Dashboard'!$C$16,'High Level Dashboard'!$C$18-'High Level Dashboard'!$C$17+1,
(HLOOKUP('High Level Dashboard'!AJ$64-(ROUNDDOWN('High Level Dashboard'!$C$17,0)),'High Level Dashboard'!$B$64:$AV$65,2,FALSE)*('High Level Dashboard'!$C$17-ROUNDDOWN('High Level Dashboard'!$C$17,0)))),0)
+
(((SUMIFS('High Level Dashboard'!$B$65:$AV$65,'High Level Dashboard'!$B$64:$AV$64,"&gt;"&amp;'High Level Dashboard'!AJ$64-ROUNDDOWN('High Level Dashboard'!$C$17,0),'High Level Dashboard'!$B$64:$AV$64,"&lt;="&amp;'High Level Dashboard'!AJ$64)+(IFERROR(SUMIF('High Level Dashboard'!$B$64:$AV$64,ROUNDDOWN('High Level Dashboard'!AJ$64-'High Level Dashboard'!$C$17,0)+1,'High Level Dashboard'!$B$65:$AV$65)*(1-('High Level Dashboard'!$C$17-ROUNDDOWN('High Level Dashboard'!$C$17,0))),"")))*'High Level Dashboard'!$C$16)
))</f>
        <v>35.808124377462086</v>
      </c>
      <c r="AL98" s="434">
        <f ca="1">$B$82*'High Level Dashboard'!$C$15*
(-PMT('High Level Dashboard'!$C$16,'High Level Dashboard'!$C$18-'High Level Dashboard'!$C$17+1,
SUMIFS('High Level Dashboard'!$B$65:$AV$65,'High Level Dashboard'!$B$64:$AV$64,"&gt;="&amp;('High Level Dashboard'!AK$64-(ROUNDDOWN('High Level Dashboard'!$C$18,0))+1),'High Level Dashboard'!$B$64:$AV$64,"&lt;="&amp;('High Level Dashboard'!AK$64-(ROUNDUP('High Level Dashboard'!$C$17,0)))))
+
IFERROR(-PMT('High Level Dashboard'!$C$16,'High Level Dashboard'!$C$18-'High Level Dashboard'!$C$17+1,
(HLOOKUP('High Level Dashboard'!AK$64-(ROUNDUP('High Level Dashboard'!$C$18,0))+1,'High Level Dashboard'!$B$64:$AV$65,2,FALSE))*('High Level Dashboard'!$C$18-(ROUNDDOWN('High Level Dashboard'!$C$18,0)))),0)
+
IFERROR(-PMT('High Level Dashboard'!$C$16,'High Level Dashboard'!$C$18-'High Level Dashboard'!$C$17+1,
(HLOOKUP('High Level Dashboard'!AK$64-(ROUNDDOWN('High Level Dashboard'!$C$17,0)),'High Level Dashboard'!$B$64:$AV$65,2,FALSE)*('High Level Dashboard'!$C$17-ROUNDDOWN('High Level Dashboard'!$C$17,0)))),0)
+
(((SUMIFS('High Level Dashboard'!$B$65:$AV$65,'High Level Dashboard'!$B$64:$AV$64,"&gt;"&amp;'High Level Dashboard'!AK$64-ROUNDDOWN('High Level Dashboard'!$C$17,0),'High Level Dashboard'!$B$64:$AV$64,"&lt;="&amp;'High Level Dashboard'!AK$64)+(IFERROR(SUMIF('High Level Dashboard'!$B$64:$AV$64,ROUNDDOWN('High Level Dashboard'!AK$64-'High Level Dashboard'!$C$17,0)+1,'High Level Dashboard'!$B$65:$AV$65)*(1-('High Level Dashboard'!$C$17-ROUNDDOWN('High Level Dashboard'!$C$17,0))),"")))*'High Level Dashboard'!$C$16)
))</f>
        <v>36.767229953444378</v>
      </c>
      <c r="AM98" s="434">
        <f ca="1">$B$82*'High Level Dashboard'!$C$15*
(-PMT('High Level Dashboard'!$C$16,'High Level Dashboard'!$C$18-'High Level Dashboard'!$C$17+1,
SUMIFS('High Level Dashboard'!$B$65:$AV$65,'High Level Dashboard'!$B$64:$AV$64,"&gt;="&amp;('High Level Dashboard'!AL$64-(ROUNDDOWN('High Level Dashboard'!$C$18,0))+1),'High Level Dashboard'!$B$64:$AV$64,"&lt;="&amp;('High Level Dashboard'!AL$64-(ROUNDUP('High Level Dashboard'!$C$17,0)))))
+
IFERROR(-PMT('High Level Dashboard'!$C$16,'High Level Dashboard'!$C$18-'High Level Dashboard'!$C$17+1,
(HLOOKUP('High Level Dashboard'!AL$64-(ROUNDUP('High Level Dashboard'!$C$18,0))+1,'High Level Dashboard'!$B$64:$AV$65,2,FALSE))*('High Level Dashboard'!$C$18-(ROUNDDOWN('High Level Dashboard'!$C$18,0)))),0)
+
IFERROR(-PMT('High Level Dashboard'!$C$16,'High Level Dashboard'!$C$18-'High Level Dashboard'!$C$17+1,
(HLOOKUP('High Level Dashboard'!AL$64-(ROUNDDOWN('High Level Dashboard'!$C$17,0)),'High Level Dashboard'!$B$64:$AV$65,2,FALSE)*('High Level Dashboard'!$C$17-ROUNDDOWN('High Level Dashboard'!$C$17,0)))),0)
+
(((SUMIFS('High Level Dashboard'!$B$65:$AV$65,'High Level Dashboard'!$B$64:$AV$64,"&gt;"&amp;'High Level Dashboard'!AL$64-ROUNDDOWN('High Level Dashboard'!$C$17,0),'High Level Dashboard'!$B$64:$AV$64,"&lt;="&amp;'High Level Dashboard'!AL$64)+(IFERROR(SUMIF('High Level Dashboard'!$B$64:$AV$64,ROUNDDOWN('High Level Dashboard'!AL$64-'High Level Dashboard'!$C$17,0)+1,'High Level Dashboard'!$B$65:$AV$65)*(1-('High Level Dashboard'!$C$17-ROUNDDOWN('High Level Dashboard'!$C$17,0))),"")))*'High Level Dashboard'!$C$16)
))</f>
        <v>37.802621381940817</v>
      </c>
      <c r="AN98" s="434">
        <f ca="1">$B$82*'High Level Dashboard'!$C$15*
(-PMT('High Level Dashboard'!$C$16,'High Level Dashboard'!$C$18-'High Level Dashboard'!$C$17+1,
SUMIFS('High Level Dashboard'!$B$65:$AV$65,'High Level Dashboard'!$B$64:$AV$64,"&gt;="&amp;('High Level Dashboard'!AM$64-(ROUNDDOWN('High Level Dashboard'!$C$18,0))+1),'High Level Dashboard'!$B$64:$AV$64,"&lt;="&amp;('High Level Dashboard'!AM$64-(ROUNDUP('High Level Dashboard'!$C$17,0)))))
+
IFERROR(-PMT('High Level Dashboard'!$C$16,'High Level Dashboard'!$C$18-'High Level Dashboard'!$C$17+1,
(HLOOKUP('High Level Dashboard'!AM$64-(ROUNDUP('High Level Dashboard'!$C$18,0))+1,'High Level Dashboard'!$B$64:$AV$65,2,FALSE))*('High Level Dashboard'!$C$18-(ROUNDDOWN('High Level Dashboard'!$C$18,0)))),0)
+
IFERROR(-PMT('High Level Dashboard'!$C$16,'High Level Dashboard'!$C$18-'High Level Dashboard'!$C$17+1,
(HLOOKUP('High Level Dashboard'!AM$64-(ROUNDDOWN('High Level Dashboard'!$C$17,0)),'High Level Dashboard'!$B$64:$AV$65,2,FALSE)*('High Level Dashboard'!$C$17-ROUNDDOWN('High Level Dashboard'!$C$17,0)))),0)
+
(((SUMIFS('High Level Dashboard'!$B$65:$AV$65,'High Level Dashboard'!$B$64:$AV$64,"&gt;"&amp;'High Level Dashboard'!AM$64-ROUNDDOWN('High Level Dashboard'!$C$17,0),'High Level Dashboard'!$B$64:$AV$64,"&lt;="&amp;'High Level Dashboard'!AM$64)+(IFERROR(SUMIF('High Level Dashboard'!$B$64:$AV$64,ROUNDDOWN('High Level Dashboard'!AM$64-'High Level Dashboard'!$C$17,0)+1,'High Level Dashboard'!$B$65:$AV$65)*(1-('High Level Dashboard'!$C$17-ROUNDDOWN('High Level Dashboard'!$C$17,0))),"")))*'High Level Dashboard'!$C$16)
))</f>
        <v>38.672392869674695</v>
      </c>
      <c r="AO98" s="434">
        <f ca="1">$B$82*'High Level Dashboard'!$C$15*
(-PMT('High Level Dashboard'!$C$16,'High Level Dashboard'!$C$18-'High Level Dashboard'!$C$17+1,
SUMIFS('High Level Dashboard'!$B$65:$AV$65,'High Level Dashboard'!$B$64:$AV$64,"&gt;="&amp;('High Level Dashboard'!AN$64-(ROUNDDOWN('High Level Dashboard'!$C$18,0))+1),'High Level Dashboard'!$B$64:$AV$64,"&lt;="&amp;('High Level Dashboard'!AN$64-(ROUNDUP('High Level Dashboard'!$C$17,0)))))
+
IFERROR(-PMT('High Level Dashboard'!$C$16,'High Level Dashboard'!$C$18-'High Level Dashboard'!$C$17+1,
(HLOOKUP('High Level Dashboard'!AN$64-(ROUNDUP('High Level Dashboard'!$C$18,0))+1,'High Level Dashboard'!$B$64:$AV$65,2,FALSE))*('High Level Dashboard'!$C$18-(ROUNDDOWN('High Level Dashboard'!$C$18,0)))),0)
+
IFERROR(-PMT('High Level Dashboard'!$C$16,'High Level Dashboard'!$C$18-'High Level Dashboard'!$C$17+1,
(HLOOKUP('High Level Dashboard'!AN$64-(ROUNDDOWN('High Level Dashboard'!$C$17,0)),'High Level Dashboard'!$B$64:$AV$65,2,FALSE)*('High Level Dashboard'!$C$17-ROUNDDOWN('High Level Dashboard'!$C$17,0)))),0)
+
(((SUMIFS('High Level Dashboard'!$B$65:$AV$65,'High Level Dashboard'!$B$64:$AV$64,"&gt;"&amp;'High Level Dashboard'!AN$64-ROUNDDOWN('High Level Dashboard'!$C$17,0),'High Level Dashboard'!$B$64:$AV$64,"&lt;="&amp;'High Level Dashboard'!AN$64)+(IFERROR(SUMIF('High Level Dashboard'!$B$64:$AV$64,ROUNDDOWN('High Level Dashboard'!AN$64-'High Level Dashboard'!$C$17,0)+1,'High Level Dashboard'!$B$65:$AV$65)*(1-('High Level Dashboard'!$C$17-ROUNDDOWN('High Level Dashboard'!$C$17,0))),"")))*'High Level Dashboard'!$C$16)
))</f>
        <v>38.709493779708289</v>
      </c>
      <c r="AP98" s="434">
        <f ca="1">$B$82*'High Level Dashboard'!$C$15*
(-PMT('High Level Dashboard'!$C$16,'High Level Dashboard'!$C$18-'High Level Dashboard'!$C$17+1,
SUMIFS('High Level Dashboard'!$B$65:$AV$65,'High Level Dashboard'!$B$64:$AV$64,"&gt;="&amp;('High Level Dashboard'!AO$64-(ROUNDDOWN('High Level Dashboard'!$C$18,0))+1),'High Level Dashboard'!$B$64:$AV$64,"&lt;="&amp;('High Level Dashboard'!AO$64-(ROUNDUP('High Level Dashboard'!$C$17,0)))))
+
IFERROR(-PMT('High Level Dashboard'!$C$16,'High Level Dashboard'!$C$18-'High Level Dashboard'!$C$17+1,
(HLOOKUP('High Level Dashboard'!AO$64-(ROUNDUP('High Level Dashboard'!$C$18,0))+1,'High Level Dashboard'!$B$64:$AV$65,2,FALSE))*('High Level Dashboard'!$C$18-(ROUNDDOWN('High Level Dashboard'!$C$18,0)))),0)
+
IFERROR(-PMT('High Level Dashboard'!$C$16,'High Level Dashboard'!$C$18-'High Level Dashboard'!$C$17+1,
(HLOOKUP('High Level Dashboard'!AO$64-(ROUNDDOWN('High Level Dashboard'!$C$17,0)),'High Level Dashboard'!$B$64:$AV$65,2,FALSE)*('High Level Dashboard'!$C$17-ROUNDDOWN('High Level Dashboard'!$C$17,0)))),0)
+
(((SUMIFS('High Level Dashboard'!$B$65:$AV$65,'High Level Dashboard'!$B$64:$AV$64,"&gt;"&amp;'High Level Dashboard'!AO$64-ROUNDDOWN('High Level Dashboard'!$C$17,0),'High Level Dashboard'!$B$64:$AV$64,"&lt;="&amp;'High Level Dashboard'!AO$64)+(IFERROR(SUMIF('High Level Dashboard'!$B$64:$AV$64,ROUNDDOWN('High Level Dashboard'!AO$64-'High Level Dashboard'!$C$17,0)+1,'High Level Dashboard'!$B$65:$AV$65)*(1-('High Level Dashboard'!$C$17-ROUNDDOWN('High Level Dashboard'!$C$17,0))),"")))*'High Level Dashboard'!$C$16)
))</f>
        <v>39.508590812480442</v>
      </c>
      <c r="AQ98" s="434">
        <f ca="1">$B$82*'High Level Dashboard'!$C$15*
(-PMT('High Level Dashboard'!$C$16,'High Level Dashboard'!$C$18-'High Level Dashboard'!$C$17+1,
SUMIFS('High Level Dashboard'!$B$65:$AV$65,'High Level Dashboard'!$B$64:$AV$64,"&gt;="&amp;('High Level Dashboard'!AP$64-(ROUNDDOWN('High Level Dashboard'!$C$18,0))+1),'High Level Dashboard'!$B$64:$AV$64,"&lt;="&amp;('High Level Dashboard'!AP$64-(ROUNDUP('High Level Dashboard'!$C$17,0)))))
+
IFERROR(-PMT('High Level Dashboard'!$C$16,'High Level Dashboard'!$C$18-'High Level Dashboard'!$C$17+1,
(HLOOKUP('High Level Dashboard'!AP$64-(ROUNDUP('High Level Dashboard'!$C$18,0))+1,'High Level Dashboard'!$B$64:$AV$65,2,FALSE))*('High Level Dashboard'!$C$18-(ROUNDDOWN('High Level Dashboard'!$C$18,0)))),0)
+
IFERROR(-PMT('High Level Dashboard'!$C$16,'High Level Dashboard'!$C$18-'High Level Dashboard'!$C$17+1,
(HLOOKUP('High Level Dashboard'!AP$64-(ROUNDDOWN('High Level Dashboard'!$C$17,0)),'High Level Dashboard'!$B$64:$AV$65,2,FALSE)*('High Level Dashboard'!$C$17-ROUNDDOWN('High Level Dashboard'!$C$17,0)))),0)
+
(((SUMIFS('High Level Dashboard'!$B$65:$AV$65,'High Level Dashboard'!$B$64:$AV$64,"&gt;"&amp;'High Level Dashboard'!AP$64-ROUNDDOWN('High Level Dashboard'!$C$17,0),'High Level Dashboard'!$B$64:$AV$64,"&lt;="&amp;'High Level Dashboard'!AP$64)+(IFERROR(SUMIF('High Level Dashboard'!$B$64:$AV$64,ROUNDDOWN('High Level Dashboard'!AP$64-'High Level Dashboard'!$C$17,0)+1,'High Level Dashboard'!$B$65:$AV$65)*(1-('High Level Dashboard'!$C$17-ROUNDDOWN('High Level Dashboard'!$C$17,0))),"")))*'High Level Dashboard'!$C$16)
))</f>
        <v>40.749849374668109</v>
      </c>
      <c r="AR98" s="434">
        <f ca="1">$B$82*'High Level Dashboard'!$C$15*
(-PMT('High Level Dashboard'!$C$16,'High Level Dashboard'!$C$18-'High Level Dashboard'!$C$17+1,
SUMIFS('High Level Dashboard'!$B$65:$AV$65,'High Level Dashboard'!$B$64:$AV$64,"&gt;="&amp;('High Level Dashboard'!AQ$64-(ROUNDDOWN('High Level Dashboard'!$C$18,0))+1),'High Level Dashboard'!$B$64:$AV$64,"&lt;="&amp;('High Level Dashboard'!AQ$64-(ROUNDUP('High Level Dashboard'!$C$17,0)))))
+
IFERROR(-PMT('High Level Dashboard'!$C$16,'High Level Dashboard'!$C$18-'High Level Dashboard'!$C$17+1,
(HLOOKUP('High Level Dashboard'!AQ$64-(ROUNDUP('High Level Dashboard'!$C$18,0))+1,'High Level Dashboard'!$B$64:$AV$65,2,FALSE))*('High Level Dashboard'!$C$18-(ROUNDDOWN('High Level Dashboard'!$C$18,0)))),0)
+
IFERROR(-PMT('High Level Dashboard'!$C$16,'High Level Dashboard'!$C$18-'High Level Dashboard'!$C$17+1,
(HLOOKUP('High Level Dashboard'!AQ$64-(ROUNDDOWN('High Level Dashboard'!$C$17,0)),'High Level Dashboard'!$B$64:$AV$65,2,FALSE)*('High Level Dashboard'!$C$17-ROUNDDOWN('High Level Dashboard'!$C$17,0)))),0)
+
(((SUMIFS('High Level Dashboard'!$B$65:$AV$65,'High Level Dashboard'!$B$64:$AV$64,"&gt;"&amp;'High Level Dashboard'!AQ$64-ROUNDDOWN('High Level Dashboard'!$C$17,0),'High Level Dashboard'!$B$64:$AV$64,"&lt;="&amp;'High Level Dashboard'!AQ$64)+(IFERROR(SUMIF('High Level Dashboard'!$B$64:$AV$64,ROUNDDOWN('High Level Dashboard'!AQ$64-'High Level Dashboard'!$C$17,0)+1,'High Level Dashboard'!$B$65:$AV$65)*(1-('High Level Dashboard'!$C$17-ROUNDDOWN('High Level Dashboard'!$C$17,0))),"")))*'High Level Dashboard'!$C$16)
))</f>
        <v>41.754274428589582</v>
      </c>
      <c r="AS98" s="434">
        <f ca="1">$B$82*'High Level Dashboard'!$C$15*
(-PMT('High Level Dashboard'!$C$16,'High Level Dashboard'!$C$18-'High Level Dashboard'!$C$17+1,
SUMIFS('High Level Dashboard'!$B$65:$AV$65,'High Level Dashboard'!$B$64:$AV$64,"&gt;="&amp;('High Level Dashboard'!AR$64-(ROUNDDOWN('High Level Dashboard'!$C$18,0))+1),'High Level Dashboard'!$B$64:$AV$64,"&lt;="&amp;('High Level Dashboard'!AR$64-(ROUNDUP('High Level Dashboard'!$C$17,0)))))
+
IFERROR(-PMT('High Level Dashboard'!$C$16,'High Level Dashboard'!$C$18-'High Level Dashboard'!$C$17+1,
(HLOOKUP('High Level Dashboard'!AR$64-(ROUNDUP('High Level Dashboard'!$C$18,0))+1,'High Level Dashboard'!$B$64:$AV$65,2,FALSE))*('High Level Dashboard'!$C$18-(ROUNDDOWN('High Level Dashboard'!$C$18,0)))),0)
+
IFERROR(-PMT('High Level Dashboard'!$C$16,'High Level Dashboard'!$C$18-'High Level Dashboard'!$C$17+1,
(HLOOKUP('High Level Dashboard'!AR$64-(ROUNDDOWN('High Level Dashboard'!$C$17,0)),'High Level Dashboard'!$B$64:$AV$65,2,FALSE)*('High Level Dashboard'!$C$17-ROUNDDOWN('High Level Dashboard'!$C$17,0)))),0)
+
(((SUMIFS('High Level Dashboard'!$B$65:$AV$65,'High Level Dashboard'!$B$64:$AV$64,"&gt;"&amp;'High Level Dashboard'!AR$64-ROUNDDOWN('High Level Dashboard'!$C$17,0),'High Level Dashboard'!$B$64:$AV$64,"&lt;="&amp;'High Level Dashboard'!AR$64)+(IFERROR(SUMIF('High Level Dashboard'!$B$64:$AV$64,ROUNDDOWN('High Level Dashboard'!AR$64-'High Level Dashboard'!$C$17,0)+1,'High Level Dashboard'!$B$65:$AV$65)*(1-('High Level Dashboard'!$C$17-ROUNDDOWN('High Level Dashboard'!$C$17,0))),"")))*'High Level Dashboard'!$C$16)
))</f>
        <v>42.660350450474247</v>
      </c>
      <c r="AT98" s="434">
        <f ca="1">$B$82*'High Level Dashboard'!$C$15*
(-PMT('High Level Dashboard'!$C$16,'High Level Dashboard'!$C$18-'High Level Dashboard'!$C$17+1,
SUMIFS('High Level Dashboard'!$B$65:$AV$65,'High Level Dashboard'!$B$64:$AV$64,"&gt;="&amp;('High Level Dashboard'!AS$64-(ROUNDDOWN('High Level Dashboard'!$C$18,0))+1),'High Level Dashboard'!$B$64:$AV$64,"&lt;="&amp;('High Level Dashboard'!AS$64-(ROUNDUP('High Level Dashboard'!$C$17,0)))))
+
IFERROR(-PMT('High Level Dashboard'!$C$16,'High Level Dashboard'!$C$18-'High Level Dashboard'!$C$17+1,
(HLOOKUP('High Level Dashboard'!AS$64-(ROUNDUP('High Level Dashboard'!$C$18,0))+1,'High Level Dashboard'!$B$64:$AV$65,2,FALSE))*('High Level Dashboard'!$C$18-(ROUNDDOWN('High Level Dashboard'!$C$18,0)))),0)
+
IFERROR(-PMT('High Level Dashboard'!$C$16,'High Level Dashboard'!$C$18-'High Level Dashboard'!$C$17+1,
(HLOOKUP('High Level Dashboard'!AS$64-(ROUNDDOWN('High Level Dashboard'!$C$17,0)),'High Level Dashboard'!$B$64:$AV$65,2,FALSE)*('High Level Dashboard'!$C$17-ROUNDDOWN('High Level Dashboard'!$C$17,0)))),0)
+
(((SUMIFS('High Level Dashboard'!$B$65:$AV$65,'High Level Dashboard'!$B$64:$AV$64,"&gt;"&amp;'High Level Dashboard'!AS$64-ROUNDDOWN('High Level Dashboard'!$C$17,0),'High Level Dashboard'!$B$64:$AV$64,"&lt;="&amp;'High Level Dashboard'!AS$64)+(IFERROR(SUMIF('High Level Dashboard'!$B$64:$AV$64,ROUNDDOWN('High Level Dashboard'!AS$64-'High Level Dashboard'!$C$17,0)+1,'High Level Dashboard'!$B$65:$AV$65)*(1-('High Level Dashboard'!$C$17-ROUNDDOWN('High Level Dashboard'!$C$17,0))),"")))*'High Level Dashboard'!$C$16)
))</f>
        <v>43.267116294148309</v>
      </c>
      <c r="AU98" s="434">
        <f ca="1">$B$82*'High Level Dashboard'!$C$15*
(-PMT('High Level Dashboard'!$C$16,'High Level Dashboard'!$C$18-'High Level Dashboard'!$C$17+1,
SUMIFS('High Level Dashboard'!$B$65:$AV$65,'High Level Dashboard'!$B$64:$AV$64,"&gt;="&amp;('High Level Dashboard'!AT$64-(ROUNDDOWN('High Level Dashboard'!$C$18,0))+1),'High Level Dashboard'!$B$64:$AV$64,"&lt;="&amp;('High Level Dashboard'!AT$64-(ROUNDUP('High Level Dashboard'!$C$17,0)))))
+
IFERROR(-PMT('High Level Dashboard'!$C$16,'High Level Dashboard'!$C$18-'High Level Dashboard'!$C$17+1,
(HLOOKUP('High Level Dashboard'!AT$64-(ROUNDUP('High Level Dashboard'!$C$18,0))+1,'High Level Dashboard'!$B$64:$AV$65,2,FALSE))*('High Level Dashboard'!$C$18-(ROUNDDOWN('High Level Dashboard'!$C$18,0)))),0)
+
IFERROR(-PMT('High Level Dashboard'!$C$16,'High Level Dashboard'!$C$18-'High Level Dashboard'!$C$17+1,
(HLOOKUP('High Level Dashboard'!AT$64-(ROUNDDOWN('High Level Dashboard'!$C$17,0)),'High Level Dashboard'!$B$64:$AV$65,2,FALSE)*('High Level Dashboard'!$C$17-ROUNDDOWN('High Level Dashboard'!$C$17,0)))),0)
+
(((SUMIFS('High Level Dashboard'!$B$65:$AV$65,'High Level Dashboard'!$B$64:$AV$64,"&gt;"&amp;'High Level Dashboard'!AT$64-ROUNDDOWN('High Level Dashboard'!$C$17,0),'High Level Dashboard'!$B$64:$AV$64,"&lt;="&amp;'High Level Dashboard'!AT$64)+(IFERROR(SUMIF('High Level Dashboard'!$B$64:$AV$64,ROUNDDOWN('High Level Dashboard'!AT$64-'High Level Dashboard'!$C$17,0)+1,'High Level Dashboard'!$B$65:$AV$65)*(1-('High Level Dashboard'!$C$17-ROUNDDOWN('High Level Dashboard'!$C$17,0))),"")))*'High Level Dashboard'!$C$16)
))</f>
        <v>44.115695240174965</v>
      </c>
      <c r="AV98" s="434">
        <f ca="1">$B$82*'High Level Dashboard'!$C$15*
(-PMT('High Level Dashboard'!$C$16,'High Level Dashboard'!$C$18-'High Level Dashboard'!$C$17+1,
SUMIFS('High Level Dashboard'!$B$65:$AV$65,'High Level Dashboard'!$B$64:$AV$64,"&gt;="&amp;('High Level Dashboard'!AU$64-(ROUNDDOWN('High Level Dashboard'!$C$18,0))+1),'High Level Dashboard'!$B$64:$AV$64,"&lt;="&amp;('High Level Dashboard'!AU$64-(ROUNDUP('High Level Dashboard'!$C$17,0)))))
+
IFERROR(-PMT('High Level Dashboard'!$C$16,'High Level Dashboard'!$C$18-'High Level Dashboard'!$C$17+1,
(HLOOKUP('High Level Dashboard'!AU$64-(ROUNDUP('High Level Dashboard'!$C$18,0))+1,'High Level Dashboard'!$B$64:$AV$65,2,FALSE))*('High Level Dashboard'!$C$18-(ROUNDDOWN('High Level Dashboard'!$C$18,0)))),0)
+
IFERROR(-PMT('High Level Dashboard'!$C$16,'High Level Dashboard'!$C$18-'High Level Dashboard'!$C$17+1,
(HLOOKUP('High Level Dashboard'!AU$64-(ROUNDDOWN('High Level Dashboard'!$C$17,0)),'High Level Dashboard'!$B$64:$AV$65,2,FALSE)*('High Level Dashboard'!$C$17-ROUNDDOWN('High Level Dashboard'!$C$17,0)))),0)
+
(((SUMIFS('High Level Dashboard'!$B$65:$AV$65,'High Level Dashboard'!$B$64:$AV$64,"&gt;"&amp;'High Level Dashboard'!AU$64-ROUNDDOWN('High Level Dashboard'!$C$17,0),'High Level Dashboard'!$B$64:$AV$64,"&lt;="&amp;'High Level Dashboard'!AU$64)+(IFERROR(SUMIF('High Level Dashboard'!$B$64:$AV$64,ROUNDDOWN('High Level Dashboard'!AU$64-'High Level Dashboard'!$C$17,0)+1,'High Level Dashboard'!$B$65:$AV$65)*(1-('High Level Dashboard'!$C$17-ROUNDDOWN('High Level Dashboard'!$C$17,0))),"")))*'High Level Dashboard'!$C$16)
))</f>
        <v>44.811129716796202</v>
      </c>
    </row>
    <row r="99" spans="1:49" s="431" customFormat="1">
      <c r="A99" s="428" t="s">
        <v>262</v>
      </c>
      <c r="B99" s="428"/>
      <c r="C99" s="434">
        <f ca="1">$B$83*'High Level Dashboard'!$C$21*
(-PMT('High Level Dashboard'!$C$22,'High Level Dashboard'!$C$24-'High Level Dashboard'!$C$23+1,
SUMIFS('High Level Dashboard'!$B$65:$AV$65,'High Level Dashboard'!$B$64:$AV$64,"&gt;="&amp;('High Level Dashboard'!B$64-(ROUNDDOWN('High Level Dashboard'!$C$24,0))+1),'High Level Dashboard'!$B$64:$AV$64,"&lt;="&amp;('High Level Dashboard'!B$64-(ROUNDUP('High Level Dashboard'!$C$23,0)))))
+
IFERROR(-PMT('High Level Dashboard'!$C$22,'High Level Dashboard'!$C$24-'High Level Dashboard'!$C$23+1,
(HLOOKUP('High Level Dashboard'!B$64-(ROUNDUP('High Level Dashboard'!$C$24,0))+1,'High Level Dashboard'!$B$64:$AV$65,2,FALSE))*('High Level Dashboard'!$C$24-(ROUNDDOWN('High Level Dashboard'!$C$24,0)))),0)
+
IFERROR(-PMT('High Level Dashboard'!$C$22,'High Level Dashboard'!$C$24-'High Level Dashboard'!$C$23+1,
(HLOOKUP('High Level Dashboard'!B$64-(ROUNDDOWN('High Level Dashboard'!$C$23,0)),'High Level Dashboard'!$B$64:$AV$65,2,FALSE)*('High Level Dashboard'!$C$23-ROUNDDOWN('High Level Dashboard'!$C$23,0)))),0)
+
(((SUMIFS('High Level Dashboard'!$B$65:$AV$65,'High Level Dashboard'!$B$64:$AV$64,"&gt;"&amp;'High Level Dashboard'!B$64-ROUNDDOWN('High Level Dashboard'!$C$23,0),'High Level Dashboard'!$B$64:$AV$64,"&lt;="&amp;'High Level Dashboard'!B$64)+(IFERROR(SUMIF('High Level Dashboard'!$B$64:$AV$64,ROUNDDOWN('High Level Dashboard'!B$64-'High Level Dashboard'!$C$23,0)+1,'High Level Dashboard'!$B$65:$AV$65)*(1-('High Level Dashboard'!$C$23-ROUNDDOWN('High Level Dashboard'!$C$23,0))),"")))*'High Level Dashboard'!$C$22)
))</f>
        <v>2.8189289614231945</v>
      </c>
      <c r="D99" s="434">
        <f ca="1">$B$83*'High Level Dashboard'!$C$21*
(-PMT('High Level Dashboard'!$C$22,'High Level Dashboard'!$C$24-'High Level Dashboard'!$C$23+1,
SUMIFS('High Level Dashboard'!$B$65:$AV$65,'High Level Dashboard'!$B$64:$AV$64,"&gt;="&amp;('High Level Dashboard'!C$64-(ROUNDDOWN('High Level Dashboard'!$C$24,0))+1),'High Level Dashboard'!$B$64:$AV$64,"&lt;="&amp;('High Level Dashboard'!C$64-(ROUNDUP('High Level Dashboard'!$C$23,0)))))
+
IFERROR(-PMT('High Level Dashboard'!$C$22,'High Level Dashboard'!$C$24-'High Level Dashboard'!$C$23+1,
(HLOOKUP('High Level Dashboard'!C$64-(ROUNDUP('High Level Dashboard'!$C$24,0))+1,'High Level Dashboard'!$B$64:$AV$65,2,FALSE))*('High Level Dashboard'!$C$24-(ROUNDDOWN('High Level Dashboard'!$C$24,0)))),0)
+
IFERROR(-PMT('High Level Dashboard'!$C$22,'High Level Dashboard'!$C$24-'High Level Dashboard'!$C$23+1,
(HLOOKUP('High Level Dashboard'!C$64-(ROUNDDOWN('High Level Dashboard'!$C$23,0)),'High Level Dashboard'!$B$64:$AV$65,2,FALSE)*('High Level Dashboard'!$C$23-ROUNDDOWN('High Level Dashboard'!$C$23,0)))),0)
+
(((SUMIFS('High Level Dashboard'!$B$65:$AV$65,'High Level Dashboard'!$B$64:$AV$64,"&gt;"&amp;'High Level Dashboard'!C$64-ROUNDDOWN('High Level Dashboard'!$C$23,0),'High Level Dashboard'!$B$64:$AV$64,"&lt;="&amp;'High Level Dashboard'!C$64)+(IFERROR(SUMIF('High Level Dashboard'!$B$64:$AV$64,ROUNDDOWN('High Level Dashboard'!C$64-'High Level Dashboard'!$C$23,0)+1,'High Level Dashboard'!$B$65:$AV$65)*(1-('High Level Dashboard'!$C$23-ROUNDDOWN('High Level Dashboard'!$C$23,0))),"")))*'High Level Dashboard'!$C$22)
))</f>
        <v>5.7738498299169763</v>
      </c>
      <c r="E99" s="434">
        <f ca="1">$B$83*'High Level Dashboard'!$C$21*
(-PMT('High Level Dashboard'!$C$22,'High Level Dashboard'!$C$24-'High Level Dashboard'!$C$23+1,
SUMIFS('High Level Dashboard'!$B$65:$AV$65,'High Level Dashboard'!$B$64:$AV$64,"&gt;="&amp;('High Level Dashboard'!D$64-(ROUNDDOWN('High Level Dashboard'!$C$24,0))+1),'High Level Dashboard'!$B$64:$AV$64,"&lt;="&amp;('High Level Dashboard'!D$64-(ROUNDUP('High Level Dashboard'!$C$23,0)))))
+
IFERROR(-PMT('High Level Dashboard'!$C$22,'High Level Dashboard'!$C$24-'High Level Dashboard'!$C$23+1,
(HLOOKUP('High Level Dashboard'!D$64-(ROUNDUP('High Level Dashboard'!$C$24,0))+1,'High Level Dashboard'!$B$64:$AV$65,2,FALSE))*('High Level Dashboard'!$C$24-(ROUNDDOWN('High Level Dashboard'!$C$24,0)))),0)
+
IFERROR(-PMT('High Level Dashboard'!$C$22,'High Level Dashboard'!$C$24-'High Level Dashboard'!$C$23+1,
(HLOOKUP('High Level Dashboard'!D$64-(ROUNDDOWN('High Level Dashboard'!$C$23,0)),'High Level Dashboard'!$B$64:$AV$65,2,FALSE)*('High Level Dashboard'!$C$23-ROUNDDOWN('High Level Dashboard'!$C$23,0)))),0)
+
(((SUMIFS('High Level Dashboard'!$B$65:$AV$65,'High Level Dashboard'!$B$64:$AV$64,"&gt;"&amp;'High Level Dashboard'!D$64-ROUNDDOWN('High Level Dashboard'!$C$23,0),'High Level Dashboard'!$B$64:$AV$64,"&lt;="&amp;'High Level Dashboard'!D$64)+(IFERROR(SUMIF('High Level Dashboard'!$B$64:$AV$64,ROUNDDOWN('High Level Dashboard'!D$64-'High Level Dashboard'!$C$23,0)+1,'High Level Dashboard'!$B$65:$AV$65)*(1-('High Level Dashboard'!$C$23-ROUNDDOWN('High Level Dashboard'!$C$23,0))),"")))*'High Level Dashboard'!$C$22)
))</f>
        <v>9.6042075137776575</v>
      </c>
      <c r="F99" s="434">
        <f ca="1">$B$83*'High Level Dashboard'!$C$21*
(-PMT('High Level Dashboard'!$C$22,'High Level Dashboard'!$C$24-'High Level Dashboard'!$C$23+1,
SUMIFS('High Level Dashboard'!$B$65:$AV$65,'High Level Dashboard'!$B$64:$AV$64,"&gt;="&amp;('High Level Dashboard'!E$64-(ROUNDDOWN('High Level Dashboard'!$C$24,0))+1),'High Level Dashboard'!$B$64:$AV$64,"&lt;="&amp;('High Level Dashboard'!E$64-(ROUNDUP('High Level Dashboard'!$C$23,0)))))
+
IFERROR(-PMT('High Level Dashboard'!$C$22,'High Level Dashboard'!$C$24-'High Level Dashboard'!$C$23+1,
(HLOOKUP('High Level Dashboard'!E$64-(ROUNDUP('High Level Dashboard'!$C$24,0))+1,'High Level Dashboard'!$B$64:$AV$65,2,FALSE))*('High Level Dashboard'!$C$24-(ROUNDDOWN('High Level Dashboard'!$C$24,0)))),0)
+
IFERROR(-PMT('High Level Dashboard'!$C$22,'High Level Dashboard'!$C$24-'High Level Dashboard'!$C$23+1,
(HLOOKUP('High Level Dashboard'!E$64-(ROUNDDOWN('High Level Dashboard'!$C$23,0)),'High Level Dashboard'!$B$64:$AV$65,2,FALSE)*('High Level Dashboard'!$C$23-ROUNDDOWN('High Level Dashboard'!$C$23,0)))),0)
+
(((SUMIFS('High Level Dashboard'!$B$65:$AV$65,'High Level Dashboard'!$B$64:$AV$64,"&gt;"&amp;'High Level Dashboard'!E$64-ROUNDDOWN('High Level Dashboard'!$C$23,0),'High Level Dashboard'!$B$64:$AV$64,"&lt;="&amp;'High Level Dashboard'!E$64)+(IFERROR(SUMIF('High Level Dashboard'!$B$64:$AV$64,ROUNDDOWN('High Level Dashboard'!E$64-'High Level Dashboard'!$C$23,0)+1,'High Level Dashboard'!$B$65:$AV$65)*(1-('High Level Dashboard'!$C$23-ROUNDDOWN('High Level Dashboard'!$C$23,0))),"")))*'High Level Dashboard'!$C$22)
))</f>
        <v>13.312382523293458</v>
      </c>
      <c r="G99" s="434">
        <f ca="1">$B$83*'High Level Dashboard'!$C$21*
(-PMT('High Level Dashboard'!$C$22,'High Level Dashboard'!$C$24-'High Level Dashboard'!$C$23+1,
SUMIFS('High Level Dashboard'!$B$65:$AV$65,'High Level Dashboard'!$B$64:$AV$64,"&gt;="&amp;('High Level Dashboard'!F$64-(ROUNDDOWN('High Level Dashboard'!$C$24,0))+1),'High Level Dashboard'!$B$64:$AV$64,"&lt;="&amp;('High Level Dashboard'!F$64-(ROUNDUP('High Level Dashboard'!$C$23,0)))))
+
IFERROR(-PMT('High Level Dashboard'!$C$22,'High Level Dashboard'!$C$24-'High Level Dashboard'!$C$23+1,
(HLOOKUP('High Level Dashboard'!F$64-(ROUNDUP('High Level Dashboard'!$C$24,0))+1,'High Level Dashboard'!$B$64:$AV$65,2,FALSE))*('High Level Dashboard'!$C$24-(ROUNDDOWN('High Level Dashboard'!$C$24,0)))),0)
+
IFERROR(-PMT('High Level Dashboard'!$C$22,'High Level Dashboard'!$C$24-'High Level Dashboard'!$C$23+1,
(HLOOKUP('High Level Dashboard'!F$64-(ROUNDDOWN('High Level Dashboard'!$C$23,0)),'High Level Dashboard'!$B$64:$AV$65,2,FALSE)*('High Level Dashboard'!$C$23-ROUNDDOWN('High Level Dashboard'!$C$23,0)))),0)
+
(((SUMIFS('High Level Dashboard'!$B$65:$AV$65,'High Level Dashboard'!$B$64:$AV$64,"&gt;"&amp;'High Level Dashboard'!F$64-ROUNDDOWN('High Level Dashboard'!$C$23,0),'High Level Dashboard'!$B$64:$AV$64,"&lt;="&amp;'High Level Dashboard'!F$64)+(IFERROR(SUMIF('High Level Dashboard'!$B$64:$AV$64,ROUNDDOWN('High Level Dashboard'!F$64-'High Level Dashboard'!$C$23,0)+1,'High Level Dashboard'!$B$65:$AV$65)*(1-('High Level Dashboard'!$C$23-ROUNDDOWN('High Level Dashboard'!$C$23,0))),"")))*'High Level Dashboard'!$C$22)
))</f>
        <v>19.860268866384018</v>
      </c>
      <c r="H99" s="434">
        <f ca="1">$B$83*'High Level Dashboard'!$C$21*
(-PMT('High Level Dashboard'!$C$22,'High Level Dashboard'!$C$24-'High Level Dashboard'!$C$23+1,
SUMIFS('High Level Dashboard'!$B$65:$AV$65,'High Level Dashboard'!$B$64:$AV$64,"&gt;="&amp;('High Level Dashboard'!G$64-(ROUNDDOWN('High Level Dashboard'!$C$24,0))+1),'High Level Dashboard'!$B$64:$AV$64,"&lt;="&amp;('High Level Dashboard'!G$64-(ROUNDUP('High Level Dashboard'!$C$23,0)))))
+
IFERROR(-PMT('High Level Dashboard'!$C$22,'High Level Dashboard'!$C$24-'High Level Dashboard'!$C$23+1,
(HLOOKUP('High Level Dashboard'!G$64-(ROUNDUP('High Level Dashboard'!$C$24,0))+1,'High Level Dashboard'!$B$64:$AV$65,2,FALSE))*('High Level Dashboard'!$C$24-(ROUNDDOWN('High Level Dashboard'!$C$24,0)))),0)
+
IFERROR(-PMT('High Level Dashboard'!$C$22,'High Level Dashboard'!$C$24-'High Level Dashboard'!$C$23+1,
(HLOOKUP('High Level Dashboard'!G$64-(ROUNDDOWN('High Level Dashboard'!$C$23,0)),'High Level Dashboard'!$B$64:$AV$65,2,FALSE)*('High Level Dashboard'!$C$23-ROUNDDOWN('High Level Dashboard'!$C$23,0)))),0)
+
(((SUMIFS('High Level Dashboard'!$B$65:$AV$65,'High Level Dashboard'!$B$64:$AV$64,"&gt;"&amp;'High Level Dashboard'!G$64-ROUNDDOWN('High Level Dashboard'!$C$23,0),'High Level Dashboard'!$B$64:$AV$64,"&lt;="&amp;'High Level Dashboard'!G$64)+(IFERROR(SUMIF('High Level Dashboard'!$B$64:$AV$64,ROUNDDOWN('High Level Dashboard'!G$64-'High Level Dashboard'!$C$23,0)+1,'High Level Dashboard'!$B$65:$AV$65)*(1-('High Level Dashboard'!$C$23-ROUNDDOWN('High Level Dashboard'!$C$23,0))),"")))*'High Level Dashboard'!$C$22)
))</f>
        <v>24.074801384698613</v>
      </c>
      <c r="I99" s="434">
        <f ca="1">$B$83*'High Level Dashboard'!$C$21*
(-PMT('High Level Dashboard'!$C$22,'High Level Dashboard'!$C$24-'High Level Dashboard'!$C$23+1,
SUMIFS('High Level Dashboard'!$B$65:$AV$65,'High Level Dashboard'!$B$64:$AV$64,"&gt;="&amp;('High Level Dashboard'!H$64-(ROUNDDOWN('High Level Dashboard'!$C$24,0))+1),'High Level Dashboard'!$B$64:$AV$64,"&lt;="&amp;('High Level Dashboard'!H$64-(ROUNDUP('High Level Dashboard'!$C$23,0)))))
+
IFERROR(-PMT('High Level Dashboard'!$C$22,'High Level Dashboard'!$C$24-'High Level Dashboard'!$C$23+1,
(HLOOKUP('High Level Dashboard'!H$64-(ROUNDUP('High Level Dashboard'!$C$24,0))+1,'High Level Dashboard'!$B$64:$AV$65,2,FALSE))*('High Level Dashboard'!$C$24-(ROUNDDOWN('High Level Dashboard'!$C$24,0)))),0)
+
IFERROR(-PMT('High Level Dashboard'!$C$22,'High Level Dashboard'!$C$24-'High Level Dashboard'!$C$23+1,
(HLOOKUP('High Level Dashboard'!H$64-(ROUNDDOWN('High Level Dashboard'!$C$23,0)),'High Level Dashboard'!$B$64:$AV$65,2,FALSE)*('High Level Dashboard'!$C$23-ROUNDDOWN('High Level Dashboard'!$C$23,0)))),0)
+
(((SUMIFS('High Level Dashboard'!$B$65:$AV$65,'High Level Dashboard'!$B$64:$AV$64,"&gt;"&amp;'High Level Dashboard'!H$64-ROUNDDOWN('High Level Dashboard'!$C$23,0),'High Level Dashboard'!$B$64:$AV$64,"&lt;="&amp;'High Level Dashboard'!H$64)+(IFERROR(SUMIF('High Level Dashboard'!$B$64:$AV$64,ROUNDDOWN('High Level Dashboard'!H$64-'High Level Dashboard'!$C$23,0)+1,'High Level Dashboard'!$B$65:$AV$65)*(1-('High Level Dashboard'!$C$23-ROUNDDOWN('High Level Dashboard'!$C$23,0))),"")))*'High Level Dashboard'!$C$22)
))</f>
        <v>29.583185867312835</v>
      </c>
      <c r="J99" s="434">
        <f ca="1">$B$83*'High Level Dashboard'!$C$21*
(-PMT('High Level Dashboard'!$C$22,'High Level Dashboard'!$C$24-'High Level Dashboard'!$C$23+1,
SUMIFS('High Level Dashboard'!$B$65:$AV$65,'High Level Dashboard'!$B$64:$AV$64,"&gt;="&amp;('High Level Dashboard'!I$64-(ROUNDDOWN('High Level Dashboard'!$C$24,0))+1),'High Level Dashboard'!$B$64:$AV$64,"&lt;="&amp;('High Level Dashboard'!I$64-(ROUNDUP('High Level Dashboard'!$C$23,0)))))
+
IFERROR(-PMT('High Level Dashboard'!$C$22,'High Level Dashboard'!$C$24-'High Level Dashboard'!$C$23+1,
(HLOOKUP('High Level Dashboard'!I$64-(ROUNDUP('High Level Dashboard'!$C$24,0))+1,'High Level Dashboard'!$B$64:$AV$65,2,FALSE))*('High Level Dashboard'!$C$24-(ROUNDDOWN('High Level Dashboard'!$C$24,0)))),0)
+
IFERROR(-PMT('High Level Dashboard'!$C$22,'High Level Dashboard'!$C$24-'High Level Dashboard'!$C$23+1,
(HLOOKUP('High Level Dashboard'!I$64-(ROUNDDOWN('High Level Dashboard'!$C$23,0)),'High Level Dashboard'!$B$64:$AV$65,2,FALSE)*('High Level Dashboard'!$C$23-ROUNDDOWN('High Level Dashboard'!$C$23,0)))),0)
+
(((SUMIFS('High Level Dashboard'!$B$65:$AV$65,'High Level Dashboard'!$B$64:$AV$64,"&gt;"&amp;'High Level Dashboard'!I$64-ROUNDDOWN('High Level Dashboard'!$C$23,0),'High Level Dashboard'!$B$64:$AV$64,"&lt;="&amp;'High Level Dashboard'!I$64)+(IFERROR(SUMIF('High Level Dashboard'!$B$64:$AV$64,ROUNDDOWN('High Level Dashboard'!I$64-'High Level Dashboard'!$C$23,0)+1,'High Level Dashboard'!$B$65:$AV$65)*(1-('High Level Dashboard'!$C$23-ROUNDDOWN('High Level Dashboard'!$C$23,0))),"")))*'High Level Dashboard'!$C$22)
))</f>
        <v>33.578494338987042</v>
      </c>
      <c r="K99" s="434">
        <f ca="1">$B$83*'High Level Dashboard'!$C$21*
(-PMT('High Level Dashboard'!$C$22,'High Level Dashboard'!$C$24-'High Level Dashboard'!$C$23+1,
SUMIFS('High Level Dashboard'!$B$65:$AV$65,'High Level Dashboard'!$B$64:$AV$64,"&gt;="&amp;('High Level Dashboard'!J$64-(ROUNDDOWN('High Level Dashboard'!$C$24,0))+1),'High Level Dashboard'!$B$64:$AV$64,"&lt;="&amp;('High Level Dashboard'!J$64-(ROUNDUP('High Level Dashboard'!$C$23,0)))))
+
IFERROR(-PMT('High Level Dashboard'!$C$22,'High Level Dashboard'!$C$24-'High Level Dashboard'!$C$23+1,
(HLOOKUP('High Level Dashboard'!J$64-(ROUNDUP('High Level Dashboard'!$C$24,0))+1,'High Level Dashboard'!$B$64:$AV$65,2,FALSE))*('High Level Dashboard'!$C$24-(ROUNDDOWN('High Level Dashboard'!$C$24,0)))),0)
+
IFERROR(-PMT('High Level Dashboard'!$C$22,'High Level Dashboard'!$C$24-'High Level Dashboard'!$C$23+1,
(HLOOKUP('High Level Dashboard'!J$64-(ROUNDDOWN('High Level Dashboard'!$C$23,0)),'High Level Dashboard'!$B$64:$AV$65,2,FALSE)*('High Level Dashboard'!$C$23-ROUNDDOWN('High Level Dashboard'!$C$23,0)))),0)
+
(((SUMIFS('High Level Dashboard'!$B$65:$AV$65,'High Level Dashboard'!$B$64:$AV$64,"&gt;"&amp;'High Level Dashboard'!J$64-ROUNDDOWN('High Level Dashboard'!$C$23,0),'High Level Dashboard'!$B$64:$AV$64,"&lt;="&amp;'High Level Dashboard'!J$64)+(IFERROR(SUMIF('High Level Dashboard'!$B$64:$AV$64,ROUNDDOWN('High Level Dashboard'!J$64-'High Level Dashboard'!$C$23,0)+1,'High Level Dashboard'!$B$65:$AV$65)*(1-('High Level Dashboard'!$C$23-ROUNDDOWN('High Level Dashboard'!$C$23,0))),"")))*'High Level Dashboard'!$C$22)
))</f>
        <v>37.444867630750203</v>
      </c>
      <c r="L99" s="434">
        <f ca="1">$B$83*'High Level Dashboard'!$C$21*
(-PMT('High Level Dashboard'!$C$22,'High Level Dashboard'!$C$24-'High Level Dashboard'!$C$23+1,
SUMIFS('High Level Dashboard'!$B$65:$AV$65,'High Level Dashboard'!$B$64:$AV$64,"&gt;="&amp;('High Level Dashboard'!K$64-(ROUNDDOWN('High Level Dashboard'!$C$24,0))+1),'High Level Dashboard'!$B$64:$AV$64,"&lt;="&amp;('High Level Dashboard'!K$64-(ROUNDUP('High Level Dashboard'!$C$23,0)))))
+
IFERROR(-PMT('High Level Dashboard'!$C$22,'High Level Dashboard'!$C$24-'High Level Dashboard'!$C$23+1,
(HLOOKUP('High Level Dashboard'!K$64-(ROUNDUP('High Level Dashboard'!$C$24,0))+1,'High Level Dashboard'!$B$64:$AV$65,2,FALSE))*('High Level Dashboard'!$C$24-(ROUNDDOWN('High Level Dashboard'!$C$24,0)))),0)
+
IFERROR(-PMT('High Level Dashboard'!$C$22,'High Level Dashboard'!$C$24-'High Level Dashboard'!$C$23+1,
(HLOOKUP('High Level Dashboard'!K$64-(ROUNDDOWN('High Level Dashboard'!$C$23,0)),'High Level Dashboard'!$B$64:$AV$65,2,FALSE)*('High Level Dashboard'!$C$23-ROUNDDOWN('High Level Dashboard'!$C$23,0)))),0)
+
(((SUMIFS('High Level Dashboard'!$B$65:$AV$65,'High Level Dashboard'!$B$64:$AV$64,"&gt;"&amp;'High Level Dashboard'!K$64-ROUNDDOWN('High Level Dashboard'!$C$23,0),'High Level Dashboard'!$B$64:$AV$64,"&lt;="&amp;'High Level Dashboard'!K$64)+(IFERROR(SUMIF('High Level Dashboard'!$B$64:$AV$64,ROUNDDOWN('High Level Dashboard'!K$64-'High Level Dashboard'!$C$23,0)+1,'High Level Dashboard'!$B$65:$AV$65)*(1-('High Level Dashboard'!$C$23-ROUNDDOWN('High Level Dashboard'!$C$23,0))),"")))*'High Level Dashboard'!$C$22)
))</f>
        <v>42.561949169108388</v>
      </c>
      <c r="M99" s="434">
        <f ca="1">$B$83*'High Level Dashboard'!$C$21*
(-PMT('High Level Dashboard'!$C$22,'High Level Dashboard'!$C$24-'High Level Dashboard'!$C$23+1,
SUMIFS('High Level Dashboard'!$B$65:$AV$65,'High Level Dashboard'!$B$64:$AV$64,"&gt;="&amp;('High Level Dashboard'!L$64-(ROUNDDOWN('High Level Dashboard'!$C$24,0))+1),'High Level Dashboard'!$B$64:$AV$64,"&lt;="&amp;('High Level Dashboard'!L$64-(ROUNDUP('High Level Dashboard'!$C$23,0)))))
+
IFERROR(-PMT('High Level Dashboard'!$C$22,'High Level Dashboard'!$C$24-'High Level Dashboard'!$C$23+1,
(HLOOKUP('High Level Dashboard'!L$64-(ROUNDUP('High Level Dashboard'!$C$24,0))+1,'High Level Dashboard'!$B$64:$AV$65,2,FALSE))*('High Level Dashboard'!$C$24-(ROUNDDOWN('High Level Dashboard'!$C$24,0)))),0)
+
IFERROR(-PMT('High Level Dashboard'!$C$22,'High Level Dashboard'!$C$24-'High Level Dashboard'!$C$23+1,
(HLOOKUP('High Level Dashboard'!L$64-(ROUNDDOWN('High Level Dashboard'!$C$23,0)),'High Level Dashboard'!$B$64:$AV$65,2,FALSE)*('High Level Dashboard'!$C$23-ROUNDDOWN('High Level Dashboard'!$C$23,0)))),0)
+
(((SUMIFS('High Level Dashboard'!$B$65:$AV$65,'High Level Dashboard'!$B$64:$AV$64,"&gt;"&amp;'High Level Dashboard'!L$64-ROUNDDOWN('High Level Dashboard'!$C$23,0),'High Level Dashboard'!$B$64:$AV$64,"&lt;="&amp;'High Level Dashboard'!L$64)+(IFERROR(SUMIF('High Level Dashboard'!$B$64:$AV$64,ROUNDDOWN('High Level Dashboard'!L$64-'High Level Dashboard'!$C$23,0)+1,'High Level Dashboard'!$B$65:$AV$65)*(1-('High Level Dashboard'!$C$23-ROUNDDOWN('High Level Dashboard'!$C$23,0))),"")))*'High Level Dashboard'!$C$22)
))</f>
        <v>46.717444657872704</v>
      </c>
      <c r="N99" s="434">
        <f ca="1">$B$83*'High Level Dashboard'!$C$21*
(-PMT('High Level Dashboard'!$C$22,'High Level Dashboard'!$C$24-'High Level Dashboard'!$C$23+1,
SUMIFS('High Level Dashboard'!$B$65:$AV$65,'High Level Dashboard'!$B$64:$AV$64,"&gt;="&amp;('High Level Dashboard'!M$64-(ROUNDDOWN('High Level Dashboard'!$C$24,0))+1),'High Level Dashboard'!$B$64:$AV$64,"&lt;="&amp;('High Level Dashboard'!M$64-(ROUNDUP('High Level Dashboard'!$C$23,0)))))
+
IFERROR(-PMT('High Level Dashboard'!$C$22,'High Level Dashboard'!$C$24-'High Level Dashboard'!$C$23+1,
(HLOOKUP('High Level Dashboard'!M$64-(ROUNDUP('High Level Dashboard'!$C$24,0))+1,'High Level Dashboard'!$B$64:$AV$65,2,FALSE))*('High Level Dashboard'!$C$24-(ROUNDDOWN('High Level Dashboard'!$C$24,0)))),0)
+
IFERROR(-PMT('High Level Dashboard'!$C$22,'High Level Dashboard'!$C$24-'High Level Dashboard'!$C$23+1,
(HLOOKUP('High Level Dashboard'!M$64-(ROUNDDOWN('High Level Dashboard'!$C$23,0)),'High Level Dashboard'!$B$64:$AV$65,2,FALSE)*('High Level Dashboard'!$C$23-ROUNDDOWN('High Level Dashboard'!$C$23,0)))),0)
+
(((SUMIFS('High Level Dashboard'!$B$65:$AV$65,'High Level Dashboard'!$B$64:$AV$64,"&gt;"&amp;'High Level Dashboard'!M$64-ROUNDDOWN('High Level Dashboard'!$C$23,0),'High Level Dashboard'!$B$64:$AV$64,"&lt;="&amp;'High Level Dashboard'!M$64)+(IFERROR(SUMIF('High Level Dashboard'!$B$64:$AV$64,ROUNDDOWN('High Level Dashboard'!M$64-'High Level Dashboard'!$C$23,0)+1,'High Level Dashboard'!$B$65:$AV$65)*(1-('High Level Dashboard'!$C$23-ROUNDDOWN('High Level Dashboard'!$C$23,0))),"")))*'High Level Dashboard'!$C$22)
))</f>
        <v>52.747899056061648</v>
      </c>
      <c r="O99" s="434">
        <f ca="1">$B$83*'High Level Dashboard'!$C$21*
(-PMT('High Level Dashboard'!$C$22,'High Level Dashboard'!$C$24-'High Level Dashboard'!$C$23+1,
SUMIFS('High Level Dashboard'!$B$65:$AV$65,'High Level Dashboard'!$B$64:$AV$64,"&gt;="&amp;('High Level Dashboard'!N$64-(ROUNDDOWN('High Level Dashboard'!$C$24,0))+1),'High Level Dashboard'!$B$64:$AV$64,"&lt;="&amp;('High Level Dashboard'!N$64-(ROUNDUP('High Level Dashboard'!$C$23,0)))))
+
IFERROR(-PMT('High Level Dashboard'!$C$22,'High Level Dashboard'!$C$24-'High Level Dashboard'!$C$23+1,
(HLOOKUP('High Level Dashboard'!N$64-(ROUNDUP('High Level Dashboard'!$C$24,0))+1,'High Level Dashboard'!$B$64:$AV$65,2,FALSE))*('High Level Dashboard'!$C$24-(ROUNDDOWN('High Level Dashboard'!$C$24,0)))),0)
+
IFERROR(-PMT('High Level Dashboard'!$C$22,'High Level Dashboard'!$C$24-'High Level Dashboard'!$C$23+1,
(HLOOKUP('High Level Dashboard'!N$64-(ROUNDDOWN('High Level Dashboard'!$C$23,0)),'High Level Dashboard'!$B$64:$AV$65,2,FALSE)*('High Level Dashboard'!$C$23-ROUNDDOWN('High Level Dashboard'!$C$23,0)))),0)
+
(((SUMIFS('High Level Dashboard'!$B$65:$AV$65,'High Level Dashboard'!$B$64:$AV$64,"&gt;"&amp;'High Level Dashboard'!N$64-ROUNDDOWN('High Level Dashboard'!$C$23,0),'High Level Dashboard'!$B$64:$AV$64,"&lt;="&amp;'High Level Dashboard'!N$64)+(IFERROR(SUMIF('High Level Dashboard'!$B$64:$AV$64,ROUNDDOWN('High Level Dashboard'!N$64-'High Level Dashboard'!$C$23,0)+1,'High Level Dashboard'!$B$65:$AV$65)*(1-('High Level Dashboard'!$C$23-ROUNDDOWN('High Level Dashboard'!$C$23,0))),"")))*'High Level Dashboard'!$C$22)
))</f>
        <v>58.34333216352141</v>
      </c>
      <c r="P99" s="434">
        <f ca="1">$B$83*'High Level Dashboard'!$C$21*
(-PMT('High Level Dashboard'!$C$22,'High Level Dashboard'!$C$24-'High Level Dashboard'!$C$23+1,
SUMIFS('High Level Dashboard'!$B$65:$AV$65,'High Level Dashboard'!$B$64:$AV$64,"&gt;="&amp;('High Level Dashboard'!O$64-(ROUNDDOWN('High Level Dashboard'!$C$24,0))+1),'High Level Dashboard'!$B$64:$AV$64,"&lt;="&amp;('High Level Dashboard'!O$64-(ROUNDUP('High Level Dashboard'!$C$23,0)))))
+
IFERROR(-PMT('High Level Dashboard'!$C$22,'High Level Dashboard'!$C$24-'High Level Dashboard'!$C$23+1,
(HLOOKUP('High Level Dashboard'!O$64-(ROUNDUP('High Level Dashboard'!$C$24,0))+1,'High Level Dashboard'!$B$64:$AV$65,2,FALSE))*('High Level Dashboard'!$C$24-(ROUNDDOWN('High Level Dashboard'!$C$24,0)))),0)
+
IFERROR(-PMT('High Level Dashboard'!$C$22,'High Level Dashboard'!$C$24-'High Level Dashboard'!$C$23+1,
(HLOOKUP('High Level Dashboard'!O$64-(ROUNDDOWN('High Level Dashboard'!$C$23,0)),'High Level Dashboard'!$B$64:$AV$65,2,FALSE)*('High Level Dashboard'!$C$23-ROUNDDOWN('High Level Dashboard'!$C$23,0)))),0)
+
(((SUMIFS('High Level Dashboard'!$B$65:$AV$65,'High Level Dashboard'!$B$64:$AV$64,"&gt;"&amp;'High Level Dashboard'!O$64-ROUNDDOWN('High Level Dashboard'!$C$23,0),'High Level Dashboard'!$B$64:$AV$64,"&lt;="&amp;'High Level Dashboard'!O$64)+(IFERROR(SUMIF('High Level Dashboard'!$B$64:$AV$64,ROUNDDOWN('High Level Dashboard'!O$64-'High Level Dashboard'!$C$23,0)+1,'High Level Dashboard'!$B$65:$AV$65)*(1-('High Level Dashboard'!$C$23-ROUNDDOWN('High Level Dashboard'!$C$23,0))),"")))*'High Level Dashboard'!$C$22)
))</f>
        <v>64.190555851409741</v>
      </c>
      <c r="Q99" s="434">
        <f ca="1">$B$83*'High Level Dashboard'!$C$21*
(-PMT('High Level Dashboard'!$C$22,'High Level Dashboard'!$C$24-'High Level Dashboard'!$C$23+1,
SUMIFS('High Level Dashboard'!$B$65:$AV$65,'High Level Dashboard'!$B$64:$AV$64,"&gt;="&amp;('High Level Dashboard'!P$64-(ROUNDDOWN('High Level Dashboard'!$C$24,0))+1),'High Level Dashboard'!$B$64:$AV$64,"&lt;="&amp;('High Level Dashboard'!P$64-(ROUNDUP('High Level Dashboard'!$C$23,0)))))
+
IFERROR(-PMT('High Level Dashboard'!$C$22,'High Level Dashboard'!$C$24-'High Level Dashboard'!$C$23+1,
(HLOOKUP('High Level Dashboard'!P$64-(ROUNDUP('High Level Dashboard'!$C$24,0))+1,'High Level Dashboard'!$B$64:$AV$65,2,FALSE))*('High Level Dashboard'!$C$24-(ROUNDDOWN('High Level Dashboard'!$C$24,0)))),0)
+
IFERROR(-PMT('High Level Dashboard'!$C$22,'High Level Dashboard'!$C$24-'High Level Dashboard'!$C$23+1,
(HLOOKUP('High Level Dashboard'!P$64-(ROUNDDOWN('High Level Dashboard'!$C$23,0)),'High Level Dashboard'!$B$64:$AV$65,2,FALSE)*('High Level Dashboard'!$C$23-ROUNDDOWN('High Level Dashboard'!$C$23,0)))),0)
+
(((SUMIFS('High Level Dashboard'!$B$65:$AV$65,'High Level Dashboard'!$B$64:$AV$64,"&gt;"&amp;'High Level Dashboard'!P$64-ROUNDDOWN('High Level Dashboard'!$C$23,0),'High Level Dashboard'!$B$64:$AV$64,"&lt;="&amp;'High Level Dashboard'!P$64)+(IFERROR(SUMIF('High Level Dashboard'!$B$64:$AV$64,ROUNDDOWN('High Level Dashboard'!P$64-'High Level Dashboard'!$C$23,0)+1,'High Level Dashboard'!$B$65:$AV$65)*(1-('High Level Dashboard'!$C$23-ROUNDDOWN('High Level Dashboard'!$C$23,0))),"")))*'High Level Dashboard'!$C$22)
))</f>
        <v>71.6799851420582</v>
      </c>
      <c r="R99" s="434">
        <f ca="1">$B$83*'High Level Dashboard'!$C$21*
(-PMT('High Level Dashboard'!$C$22,'High Level Dashboard'!$C$24-'High Level Dashboard'!$C$23+1,
SUMIFS('High Level Dashboard'!$B$65:$AV$65,'High Level Dashboard'!$B$64:$AV$64,"&gt;="&amp;('High Level Dashboard'!Q$64-(ROUNDDOWN('High Level Dashboard'!$C$24,0))+1),'High Level Dashboard'!$B$64:$AV$64,"&lt;="&amp;('High Level Dashboard'!Q$64-(ROUNDUP('High Level Dashboard'!$C$23,0)))))
+
IFERROR(-PMT('High Level Dashboard'!$C$22,'High Level Dashboard'!$C$24-'High Level Dashboard'!$C$23+1,
(HLOOKUP('High Level Dashboard'!Q$64-(ROUNDUP('High Level Dashboard'!$C$24,0))+1,'High Level Dashboard'!$B$64:$AV$65,2,FALSE))*('High Level Dashboard'!$C$24-(ROUNDDOWN('High Level Dashboard'!$C$24,0)))),0)
+
IFERROR(-PMT('High Level Dashboard'!$C$22,'High Level Dashboard'!$C$24-'High Level Dashboard'!$C$23+1,
(HLOOKUP('High Level Dashboard'!Q$64-(ROUNDDOWN('High Level Dashboard'!$C$23,0)),'High Level Dashboard'!$B$64:$AV$65,2,FALSE)*('High Level Dashboard'!$C$23-ROUNDDOWN('High Level Dashboard'!$C$23,0)))),0)
+
(((SUMIFS('High Level Dashboard'!$B$65:$AV$65,'High Level Dashboard'!$B$64:$AV$64,"&gt;"&amp;'High Level Dashboard'!Q$64-ROUNDDOWN('High Level Dashboard'!$C$23,0),'High Level Dashboard'!$B$64:$AV$64,"&lt;="&amp;'High Level Dashboard'!Q$64)+(IFERROR(SUMIF('High Level Dashboard'!$B$64:$AV$64,ROUNDDOWN('High Level Dashboard'!Q$64-'High Level Dashboard'!$C$23,0)+1,'High Level Dashboard'!$B$65:$AV$65)*(1-('High Level Dashboard'!$C$23-ROUNDDOWN('High Level Dashboard'!$C$23,0))),"")))*'High Level Dashboard'!$C$22)
))</f>
        <v>79.96378158871714</v>
      </c>
      <c r="S99" s="434">
        <f ca="1">$B$83*'High Level Dashboard'!$C$21*
(-PMT('High Level Dashboard'!$C$22,'High Level Dashboard'!$C$24-'High Level Dashboard'!$C$23+1,
SUMIFS('High Level Dashboard'!$B$65:$AV$65,'High Level Dashboard'!$B$64:$AV$64,"&gt;="&amp;('High Level Dashboard'!R$64-(ROUNDDOWN('High Level Dashboard'!$C$24,0))+1),'High Level Dashboard'!$B$64:$AV$64,"&lt;="&amp;('High Level Dashboard'!R$64-(ROUNDUP('High Level Dashboard'!$C$23,0)))))
+
IFERROR(-PMT('High Level Dashboard'!$C$22,'High Level Dashboard'!$C$24-'High Level Dashboard'!$C$23+1,
(HLOOKUP('High Level Dashboard'!R$64-(ROUNDUP('High Level Dashboard'!$C$24,0))+1,'High Level Dashboard'!$B$64:$AV$65,2,FALSE))*('High Level Dashboard'!$C$24-(ROUNDDOWN('High Level Dashboard'!$C$24,0)))),0)
+
IFERROR(-PMT('High Level Dashboard'!$C$22,'High Level Dashboard'!$C$24-'High Level Dashboard'!$C$23+1,
(HLOOKUP('High Level Dashboard'!R$64-(ROUNDDOWN('High Level Dashboard'!$C$23,0)),'High Level Dashboard'!$B$64:$AV$65,2,FALSE)*('High Level Dashboard'!$C$23-ROUNDDOWN('High Level Dashboard'!$C$23,0)))),0)
+
(((SUMIFS('High Level Dashboard'!$B$65:$AV$65,'High Level Dashboard'!$B$64:$AV$64,"&gt;"&amp;'High Level Dashboard'!R$64-ROUNDDOWN('High Level Dashboard'!$C$23,0),'High Level Dashboard'!$B$64:$AV$64,"&lt;="&amp;'High Level Dashboard'!R$64)+(IFERROR(SUMIF('High Level Dashboard'!$B$64:$AV$64,ROUNDDOWN('High Level Dashboard'!R$64-'High Level Dashboard'!$C$23,0)+1,'High Level Dashboard'!$B$65:$AV$65)*(1-('High Level Dashboard'!$C$23-ROUNDDOWN('High Level Dashboard'!$C$23,0))),"")))*'High Level Dashboard'!$C$22)
))</f>
        <v>84.61750188106987</v>
      </c>
      <c r="T99" s="434">
        <f ca="1">$B$83*'High Level Dashboard'!$C$21*
(-PMT('High Level Dashboard'!$C$22,'High Level Dashboard'!$C$24-'High Level Dashboard'!$C$23+1,
SUMIFS('High Level Dashboard'!$B$65:$AV$65,'High Level Dashboard'!$B$64:$AV$64,"&gt;="&amp;('High Level Dashboard'!S$64-(ROUNDDOWN('High Level Dashboard'!$C$24,0))+1),'High Level Dashboard'!$B$64:$AV$64,"&lt;="&amp;('High Level Dashboard'!S$64-(ROUNDUP('High Level Dashboard'!$C$23,0)))))
+
IFERROR(-PMT('High Level Dashboard'!$C$22,'High Level Dashboard'!$C$24-'High Level Dashboard'!$C$23+1,
(HLOOKUP('High Level Dashboard'!S$64-(ROUNDUP('High Level Dashboard'!$C$24,0))+1,'High Level Dashboard'!$B$64:$AV$65,2,FALSE))*('High Level Dashboard'!$C$24-(ROUNDDOWN('High Level Dashboard'!$C$24,0)))),0)
+
IFERROR(-PMT('High Level Dashboard'!$C$22,'High Level Dashboard'!$C$24-'High Level Dashboard'!$C$23+1,
(HLOOKUP('High Level Dashboard'!S$64-(ROUNDDOWN('High Level Dashboard'!$C$23,0)),'High Level Dashboard'!$B$64:$AV$65,2,FALSE)*('High Level Dashboard'!$C$23-ROUNDDOWN('High Level Dashboard'!$C$23,0)))),0)
+
(((SUMIFS('High Level Dashboard'!$B$65:$AV$65,'High Level Dashboard'!$B$64:$AV$64,"&gt;"&amp;'High Level Dashboard'!S$64-ROUNDDOWN('High Level Dashboard'!$C$23,0),'High Level Dashboard'!$B$64:$AV$64,"&lt;="&amp;'High Level Dashboard'!S$64)+(IFERROR(SUMIF('High Level Dashboard'!$B$64:$AV$64,ROUNDDOWN('High Level Dashboard'!S$64-'High Level Dashboard'!$C$23,0)+1,'High Level Dashboard'!$B$65:$AV$65)*(1-('High Level Dashboard'!$C$23-ROUNDDOWN('High Level Dashboard'!$C$23,0))),"")))*'High Level Dashboard'!$C$22)
))</f>
        <v>87.599707666994249</v>
      </c>
      <c r="U99" s="434">
        <f ca="1">$B$83*'High Level Dashboard'!$C$21*
(-PMT('High Level Dashboard'!$C$22,'High Level Dashboard'!$C$24-'High Level Dashboard'!$C$23+1,
SUMIFS('High Level Dashboard'!$B$65:$AV$65,'High Level Dashboard'!$B$64:$AV$64,"&gt;="&amp;('High Level Dashboard'!T$64-(ROUNDDOWN('High Level Dashboard'!$C$24,0))+1),'High Level Dashboard'!$B$64:$AV$64,"&lt;="&amp;('High Level Dashboard'!T$64-(ROUNDUP('High Level Dashboard'!$C$23,0)))))
+
IFERROR(-PMT('High Level Dashboard'!$C$22,'High Level Dashboard'!$C$24-'High Level Dashboard'!$C$23+1,
(HLOOKUP('High Level Dashboard'!T$64-(ROUNDUP('High Level Dashboard'!$C$24,0))+1,'High Level Dashboard'!$B$64:$AV$65,2,FALSE))*('High Level Dashboard'!$C$24-(ROUNDDOWN('High Level Dashboard'!$C$24,0)))),0)
+
IFERROR(-PMT('High Level Dashboard'!$C$22,'High Level Dashboard'!$C$24-'High Level Dashboard'!$C$23+1,
(HLOOKUP('High Level Dashboard'!T$64-(ROUNDDOWN('High Level Dashboard'!$C$23,0)),'High Level Dashboard'!$B$64:$AV$65,2,FALSE)*('High Level Dashboard'!$C$23-ROUNDDOWN('High Level Dashboard'!$C$23,0)))),0)
+
(((SUMIFS('High Level Dashboard'!$B$65:$AV$65,'High Level Dashboard'!$B$64:$AV$64,"&gt;"&amp;'High Level Dashboard'!T$64-ROUNDDOWN('High Level Dashboard'!$C$23,0),'High Level Dashboard'!$B$64:$AV$64,"&lt;="&amp;'High Level Dashboard'!T$64)+(IFERROR(SUMIF('High Level Dashboard'!$B$64:$AV$64,ROUNDDOWN('High Level Dashboard'!T$64-'High Level Dashboard'!$C$23,0)+1,'High Level Dashboard'!$B$65:$AV$65)*(1-('High Level Dashboard'!$C$23-ROUNDDOWN('High Level Dashboard'!$C$23,0))),"")))*'High Level Dashboard'!$C$22)
))</f>
        <v>90.670020153077473</v>
      </c>
      <c r="V99" s="434">
        <f ca="1">$B$83*'High Level Dashboard'!$C$21*
(-PMT('High Level Dashboard'!$C$22,'High Level Dashboard'!$C$24-'High Level Dashboard'!$C$23+1,
SUMIFS('High Level Dashboard'!$B$65:$AV$65,'High Level Dashboard'!$B$64:$AV$64,"&gt;="&amp;('High Level Dashboard'!U$64-(ROUNDDOWN('High Level Dashboard'!$C$24,0))+1),'High Level Dashboard'!$B$64:$AV$64,"&lt;="&amp;('High Level Dashboard'!U$64-(ROUNDUP('High Level Dashboard'!$C$23,0)))))
+
IFERROR(-PMT('High Level Dashboard'!$C$22,'High Level Dashboard'!$C$24-'High Level Dashboard'!$C$23+1,
(HLOOKUP('High Level Dashboard'!U$64-(ROUNDUP('High Level Dashboard'!$C$24,0))+1,'High Level Dashboard'!$B$64:$AV$65,2,FALSE))*('High Level Dashboard'!$C$24-(ROUNDDOWN('High Level Dashboard'!$C$24,0)))),0)
+
IFERROR(-PMT('High Level Dashboard'!$C$22,'High Level Dashboard'!$C$24-'High Level Dashboard'!$C$23+1,
(HLOOKUP('High Level Dashboard'!U$64-(ROUNDDOWN('High Level Dashboard'!$C$23,0)),'High Level Dashboard'!$B$64:$AV$65,2,FALSE)*('High Level Dashboard'!$C$23-ROUNDDOWN('High Level Dashboard'!$C$23,0)))),0)
+
(((SUMIFS('High Level Dashboard'!$B$65:$AV$65,'High Level Dashboard'!$B$64:$AV$64,"&gt;"&amp;'High Level Dashboard'!U$64-ROUNDDOWN('High Level Dashboard'!$C$23,0),'High Level Dashboard'!$B$64:$AV$64,"&lt;="&amp;'High Level Dashboard'!U$64)+(IFERROR(SUMIF('High Level Dashboard'!$B$64:$AV$64,ROUNDDOWN('High Level Dashboard'!U$64-'High Level Dashboard'!$C$23,0)+1,'High Level Dashboard'!$B$65:$AV$65)*(1-('High Level Dashboard'!$C$23-ROUNDDOWN('High Level Dashboard'!$C$23,0))),"")))*'High Level Dashboard'!$C$22)
))</f>
        <v>92.845351750791224</v>
      </c>
      <c r="W99" s="434">
        <f ca="1">$B$83*'High Level Dashboard'!$C$21*
(-PMT('High Level Dashboard'!$C$22,'High Level Dashboard'!$C$24-'High Level Dashboard'!$C$23+1,
SUMIFS('High Level Dashboard'!$B$65:$AV$65,'High Level Dashboard'!$B$64:$AV$64,"&gt;="&amp;('High Level Dashboard'!V$64-(ROUNDDOWN('High Level Dashboard'!$C$24,0))+1),'High Level Dashboard'!$B$64:$AV$64,"&lt;="&amp;('High Level Dashboard'!V$64-(ROUNDUP('High Level Dashboard'!$C$23,0)))))
+
IFERROR(-PMT('High Level Dashboard'!$C$22,'High Level Dashboard'!$C$24-'High Level Dashboard'!$C$23+1,
(HLOOKUP('High Level Dashboard'!V$64-(ROUNDUP('High Level Dashboard'!$C$24,0))+1,'High Level Dashboard'!$B$64:$AV$65,2,FALSE))*('High Level Dashboard'!$C$24-(ROUNDDOWN('High Level Dashboard'!$C$24,0)))),0)
+
IFERROR(-PMT('High Level Dashboard'!$C$22,'High Level Dashboard'!$C$24-'High Level Dashboard'!$C$23+1,
(HLOOKUP('High Level Dashboard'!V$64-(ROUNDDOWN('High Level Dashboard'!$C$23,0)),'High Level Dashboard'!$B$64:$AV$65,2,FALSE)*('High Level Dashboard'!$C$23-ROUNDDOWN('High Level Dashboard'!$C$23,0)))),0)
+
(((SUMIFS('High Level Dashboard'!$B$65:$AV$65,'High Level Dashboard'!$B$64:$AV$64,"&gt;"&amp;'High Level Dashboard'!V$64-ROUNDDOWN('High Level Dashboard'!$C$23,0),'High Level Dashboard'!$B$64:$AV$64,"&lt;="&amp;'High Level Dashboard'!V$64)+(IFERROR(SUMIF('High Level Dashboard'!$B$64:$AV$64,ROUNDDOWN('High Level Dashboard'!V$64-'High Level Dashboard'!$C$23,0)+1,'High Level Dashboard'!$B$65:$AV$65)*(1-('High Level Dashboard'!$C$23-ROUNDDOWN('High Level Dashboard'!$C$23,0))),"")))*'High Level Dashboard'!$C$22)
))</f>
        <v>92.966915704176557</v>
      </c>
      <c r="X99" s="434">
        <f ca="1">$B$83*'High Level Dashboard'!$C$21*
(-PMT('High Level Dashboard'!$C$22,'High Level Dashboard'!$C$24-'High Level Dashboard'!$C$23+1,
SUMIFS('High Level Dashboard'!$B$65:$AV$65,'High Level Dashboard'!$B$64:$AV$64,"&gt;="&amp;('High Level Dashboard'!W$64-(ROUNDDOWN('High Level Dashboard'!$C$24,0))+1),'High Level Dashboard'!$B$64:$AV$64,"&lt;="&amp;('High Level Dashboard'!W$64-(ROUNDUP('High Level Dashboard'!$C$23,0)))))
+
IFERROR(-PMT('High Level Dashboard'!$C$22,'High Level Dashboard'!$C$24-'High Level Dashboard'!$C$23+1,
(HLOOKUP('High Level Dashboard'!W$64-(ROUNDUP('High Level Dashboard'!$C$24,0))+1,'High Level Dashboard'!$B$64:$AV$65,2,FALSE))*('High Level Dashboard'!$C$24-(ROUNDDOWN('High Level Dashboard'!$C$24,0)))),0)
+
IFERROR(-PMT('High Level Dashboard'!$C$22,'High Level Dashboard'!$C$24-'High Level Dashboard'!$C$23+1,
(HLOOKUP('High Level Dashboard'!W$64-(ROUNDDOWN('High Level Dashboard'!$C$23,0)),'High Level Dashboard'!$B$64:$AV$65,2,FALSE)*('High Level Dashboard'!$C$23-ROUNDDOWN('High Level Dashboard'!$C$23,0)))),0)
+
(((SUMIFS('High Level Dashboard'!$B$65:$AV$65,'High Level Dashboard'!$B$64:$AV$64,"&gt;"&amp;'High Level Dashboard'!W$64-ROUNDDOWN('High Level Dashboard'!$C$23,0),'High Level Dashboard'!$B$64:$AV$64,"&lt;="&amp;'High Level Dashboard'!W$64)+(IFERROR(SUMIF('High Level Dashboard'!$B$64:$AV$64,ROUNDDOWN('High Level Dashboard'!W$64-'High Level Dashboard'!$C$23,0)+1,'High Level Dashboard'!$B$65:$AV$65)*(1-('High Level Dashboard'!$C$23-ROUNDDOWN('High Level Dashboard'!$C$23,0))),"")))*'High Level Dashboard'!$C$22)
))</f>
        <v>95.817828645329783</v>
      </c>
      <c r="Y99" s="434">
        <f ca="1">$B$83*'High Level Dashboard'!$C$21*
(-PMT('High Level Dashboard'!$C$22,'High Level Dashboard'!$C$24-'High Level Dashboard'!$C$23+1,
SUMIFS('High Level Dashboard'!$B$65:$AV$65,'High Level Dashboard'!$B$64:$AV$64,"&gt;="&amp;('High Level Dashboard'!X$64-(ROUNDDOWN('High Level Dashboard'!$C$24,0))+1),'High Level Dashboard'!$B$64:$AV$64,"&lt;="&amp;('High Level Dashboard'!X$64-(ROUNDUP('High Level Dashboard'!$C$23,0)))))
+
IFERROR(-PMT('High Level Dashboard'!$C$22,'High Level Dashboard'!$C$24-'High Level Dashboard'!$C$23+1,
(HLOOKUP('High Level Dashboard'!X$64-(ROUNDUP('High Level Dashboard'!$C$24,0))+1,'High Level Dashboard'!$B$64:$AV$65,2,FALSE))*('High Level Dashboard'!$C$24-(ROUNDDOWN('High Level Dashboard'!$C$24,0)))),0)
+
IFERROR(-PMT('High Level Dashboard'!$C$22,'High Level Dashboard'!$C$24-'High Level Dashboard'!$C$23+1,
(HLOOKUP('High Level Dashboard'!X$64-(ROUNDDOWN('High Level Dashboard'!$C$23,0)),'High Level Dashboard'!$B$64:$AV$65,2,FALSE)*('High Level Dashboard'!$C$23-ROUNDDOWN('High Level Dashboard'!$C$23,0)))),0)
+
(((SUMIFS('High Level Dashboard'!$B$65:$AV$65,'High Level Dashboard'!$B$64:$AV$64,"&gt;"&amp;'High Level Dashboard'!X$64-ROUNDDOWN('High Level Dashboard'!$C$23,0),'High Level Dashboard'!$B$64:$AV$64,"&lt;="&amp;'High Level Dashboard'!X$64)+(IFERROR(SUMIF('High Level Dashboard'!$B$64:$AV$64,ROUNDDOWN('High Level Dashboard'!X$64-'High Level Dashboard'!$C$23,0)+1,'High Level Dashboard'!$B$65:$AV$65)*(1-('High Level Dashboard'!$C$23-ROUNDDOWN('High Level Dashboard'!$C$23,0))),"")))*'High Level Dashboard'!$C$22)
))</f>
        <v>99.026523101868833</v>
      </c>
      <c r="Z99" s="434">
        <f ca="1">$B$83*'High Level Dashboard'!$C$21*
(-PMT('High Level Dashboard'!$C$22,'High Level Dashboard'!$C$24-'High Level Dashboard'!$C$23+1,
SUMIFS('High Level Dashboard'!$B$65:$AV$65,'High Level Dashboard'!$B$64:$AV$64,"&gt;="&amp;('High Level Dashboard'!Y$64-(ROUNDDOWN('High Level Dashboard'!$C$24,0))+1),'High Level Dashboard'!$B$64:$AV$64,"&lt;="&amp;('High Level Dashboard'!Y$64-(ROUNDUP('High Level Dashboard'!$C$23,0)))))
+
IFERROR(-PMT('High Level Dashboard'!$C$22,'High Level Dashboard'!$C$24-'High Level Dashboard'!$C$23+1,
(HLOOKUP('High Level Dashboard'!Y$64-(ROUNDUP('High Level Dashboard'!$C$24,0))+1,'High Level Dashboard'!$B$64:$AV$65,2,FALSE))*('High Level Dashboard'!$C$24-(ROUNDDOWN('High Level Dashboard'!$C$24,0)))),0)
+
IFERROR(-PMT('High Level Dashboard'!$C$22,'High Level Dashboard'!$C$24-'High Level Dashboard'!$C$23+1,
(HLOOKUP('High Level Dashboard'!Y$64-(ROUNDDOWN('High Level Dashboard'!$C$23,0)),'High Level Dashboard'!$B$64:$AV$65,2,FALSE)*('High Level Dashboard'!$C$23-ROUNDDOWN('High Level Dashboard'!$C$23,0)))),0)
+
(((SUMIFS('High Level Dashboard'!$B$65:$AV$65,'High Level Dashboard'!$B$64:$AV$64,"&gt;"&amp;'High Level Dashboard'!Y$64-ROUNDDOWN('High Level Dashboard'!$C$23,0),'High Level Dashboard'!$B$64:$AV$64,"&lt;="&amp;'High Level Dashboard'!Y$64)+(IFERROR(SUMIF('High Level Dashboard'!$B$64:$AV$64,ROUNDDOWN('High Level Dashboard'!Y$64-'High Level Dashboard'!$C$23,0)+1,'High Level Dashboard'!$B$65:$AV$65)*(1-('High Level Dashboard'!$C$23-ROUNDDOWN('High Level Dashboard'!$C$23,0))),"")))*'High Level Dashboard'!$C$22)
))</f>
        <v>103.9041958298224</v>
      </c>
      <c r="AA99" s="434">
        <f ca="1">$B$83*'High Level Dashboard'!$C$21*
(-PMT('High Level Dashboard'!$C$22,'High Level Dashboard'!$C$24-'High Level Dashboard'!$C$23+1,
SUMIFS('High Level Dashboard'!$B$65:$AV$65,'High Level Dashboard'!$B$64:$AV$64,"&gt;="&amp;('High Level Dashboard'!Z$64-(ROUNDDOWN('High Level Dashboard'!$C$24,0))+1),'High Level Dashboard'!$B$64:$AV$64,"&lt;="&amp;('High Level Dashboard'!Z$64-(ROUNDUP('High Level Dashboard'!$C$23,0)))))
+
IFERROR(-PMT('High Level Dashboard'!$C$22,'High Level Dashboard'!$C$24-'High Level Dashboard'!$C$23+1,
(HLOOKUP('High Level Dashboard'!Z$64-(ROUNDUP('High Level Dashboard'!$C$24,0))+1,'High Level Dashboard'!$B$64:$AV$65,2,FALSE))*('High Level Dashboard'!$C$24-(ROUNDDOWN('High Level Dashboard'!$C$24,0)))),0)
+
IFERROR(-PMT('High Level Dashboard'!$C$22,'High Level Dashboard'!$C$24-'High Level Dashboard'!$C$23+1,
(HLOOKUP('High Level Dashboard'!Z$64-(ROUNDDOWN('High Level Dashboard'!$C$23,0)),'High Level Dashboard'!$B$64:$AV$65,2,FALSE)*('High Level Dashboard'!$C$23-ROUNDDOWN('High Level Dashboard'!$C$23,0)))),0)
+
(((SUMIFS('High Level Dashboard'!$B$65:$AV$65,'High Level Dashboard'!$B$64:$AV$64,"&gt;"&amp;'High Level Dashboard'!Z$64-ROUNDDOWN('High Level Dashboard'!$C$23,0),'High Level Dashboard'!$B$64:$AV$64,"&lt;="&amp;'High Level Dashboard'!Z$64)+(IFERROR(SUMIF('High Level Dashboard'!$B$64:$AV$64,ROUNDDOWN('High Level Dashboard'!Z$64-'High Level Dashboard'!$C$23,0)+1,'High Level Dashboard'!$B$65:$AV$65)*(1-('High Level Dashboard'!$C$23-ROUNDDOWN('High Level Dashboard'!$C$23,0))),"")))*'High Level Dashboard'!$C$22)
))</f>
        <v>109.15512064052574</v>
      </c>
      <c r="AB99" s="434">
        <f ca="1">$B$83*'High Level Dashboard'!$C$21*
(-PMT('High Level Dashboard'!$C$22,'High Level Dashboard'!$C$24-'High Level Dashboard'!$C$23+1,
SUMIFS('High Level Dashboard'!$B$65:$AV$65,'High Level Dashboard'!$B$64:$AV$64,"&gt;="&amp;('High Level Dashboard'!AA$64-(ROUNDDOWN('High Level Dashboard'!$C$24,0))+1),'High Level Dashboard'!$B$64:$AV$64,"&lt;="&amp;('High Level Dashboard'!AA$64-(ROUNDUP('High Level Dashboard'!$C$23,0)))))
+
IFERROR(-PMT('High Level Dashboard'!$C$22,'High Level Dashboard'!$C$24-'High Level Dashboard'!$C$23+1,
(HLOOKUP('High Level Dashboard'!AA$64-(ROUNDUP('High Level Dashboard'!$C$24,0))+1,'High Level Dashboard'!$B$64:$AV$65,2,FALSE))*('High Level Dashboard'!$C$24-(ROUNDDOWN('High Level Dashboard'!$C$24,0)))),0)
+
IFERROR(-PMT('High Level Dashboard'!$C$22,'High Level Dashboard'!$C$24-'High Level Dashboard'!$C$23+1,
(HLOOKUP('High Level Dashboard'!AA$64-(ROUNDDOWN('High Level Dashboard'!$C$23,0)),'High Level Dashboard'!$B$64:$AV$65,2,FALSE)*('High Level Dashboard'!$C$23-ROUNDDOWN('High Level Dashboard'!$C$23,0)))),0)
+
(((SUMIFS('High Level Dashboard'!$B$65:$AV$65,'High Level Dashboard'!$B$64:$AV$64,"&gt;"&amp;'High Level Dashboard'!AA$64-ROUNDDOWN('High Level Dashboard'!$C$23,0),'High Level Dashboard'!$B$64:$AV$64,"&lt;="&amp;'High Level Dashboard'!AA$64)+(IFERROR(SUMIF('High Level Dashboard'!$B$64:$AV$64,ROUNDDOWN('High Level Dashboard'!AA$64-'High Level Dashboard'!$C$23,0)+1,'High Level Dashboard'!$B$65:$AV$65)*(1-('High Level Dashboard'!$C$23-ROUNDDOWN('High Level Dashboard'!$C$23,0))),"")))*'High Level Dashboard'!$C$22)
))</f>
        <v>114.27795192915646</v>
      </c>
      <c r="AC99" s="434">
        <f ca="1">$B$83*'High Level Dashboard'!$C$21*
(-PMT('High Level Dashboard'!$C$22,'High Level Dashboard'!$C$24-'High Level Dashboard'!$C$23+1,
SUMIFS('High Level Dashboard'!$B$65:$AV$65,'High Level Dashboard'!$B$64:$AV$64,"&gt;="&amp;('High Level Dashboard'!AB$64-(ROUNDDOWN('High Level Dashboard'!$C$24,0))+1),'High Level Dashboard'!$B$64:$AV$64,"&lt;="&amp;('High Level Dashboard'!AB$64-(ROUNDUP('High Level Dashboard'!$C$23,0)))))
+
IFERROR(-PMT('High Level Dashboard'!$C$22,'High Level Dashboard'!$C$24-'High Level Dashboard'!$C$23+1,
(HLOOKUP('High Level Dashboard'!AB$64-(ROUNDUP('High Level Dashboard'!$C$24,0))+1,'High Level Dashboard'!$B$64:$AV$65,2,FALSE))*('High Level Dashboard'!$C$24-(ROUNDDOWN('High Level Dashboard'!$C$24,0)))),0)
+
IFERROR(-PMT('High Level Dashboard'!$C$22,'High Level Dashboard'!$C$24-'High Level Dashboard'!$C$23+1,
(HLOOKUP('High Level Dashboard'!AB$64-(ROUNDDOWN('High Level Dashboard'!$C$23,0)),'High Level Dashboard'!$B$64:$AV$65,2,FALSE)*('High Level Dashboard'!$C$23-ROUNDDOWN('High Level Dashboard'!$C$23,0)))),0)
+
(((SUMIFS('High Level Dashboard'!$B$65:$AV$65,'High Level Dashboard'!$B$64:$AV$64,"&gt;"&amp;'High Level Dashboard'!AB$64-ROUNDDOWN('High Level Dashboard'!$C$23,0),'High Level Dashboard'!$B$64:$AV$64,"&lt;="&amp;'High Level Dashboard'!AB$64)+(IFERROR(SUMIF('High Level Dashboard'!$B$64:$AV$64,ROUNDDOWN('High Level Dashboard'!AB$64-'High Level Dashboard'!$C$23,0)+1,'High Level Dashboard'!$B$65:$AV$65)*(1-('High Level Dashboard'!$C$23-ROUNDDOWN('High Level Dashboard'!$C$23,0))),"")))*'High Level Dashboard'!$C$22)
))</f>
        <v>119.88145620614593</v>
      </c>
      <c r="AD99" s="434">
        <f ca="1">$B$83*'High Level Dashboard'!$C$21*
(-PMT('High Level Dashboard'!$C$22,'High Level Dashboard'!$C$24-'High Level Dashboard'!$C$23+1,
SUMIFS('High Level Dashboard'!$B$65:$AV$65,'High Level Dashboard'!$B$64:$AV$64,"&gt;="&amp;('High Level Dashboard'!AC$64-(ROUNDDOWN('High Level Dashboard'!$C$24,0))+1),'High Level Dashboard'!$B$64:$AV$64,"&lt;="&amp;('High Level Dashboard'!AC$64-(ROUNDUP('High Level Dashboard'!$C$23,0)))))
+
IFERROR(-PMT('High Level Dashboard'!$C$22,'High Level Dashboard'!$C$24-'High Level Dashboard'!$C$23+1,
(HLOOKUP('High Level Dashboard'!AC$64-(ROUNDUP('High Level Dashboard'!$C$24,0))+1,'High Level Dashboard'!$B$64:$AV$65,2,FALSE))*('High Level Dashboard'!$C$24-(ROUNDDOWN('High Level Dashboard'!$C$24,0)))),0)
+
IFERROR(-PMT('High Level Dashboard'!$C$22,'High Level Dashboard'!$C$24-'High Level Dashboard'!$C$23+1,
(HLOOKUP('High Level Dashboard'!AC$64-(ROUNDDOWN('High Level Dashboard'!$C$23,0)),'High Level Dashboard'!$B$64:$AV$65,2,FALSE)*('High Level Dashboard'!$C$23-ROUNDDOWN('High Level Dashboard'!$C$23,0)))),0)
+
(((SUMIFS('High Level Dashboard'!$B$65:$AV$65,'High Level Dashboard'!$B$64:$AV$64,"&gt;"&amp;'High Level Dashboard'!AC$64-ROUNDDOWN('High Level Dashboard'!$C$23,0),'High Level Dashboard'!$B$64:$AV$64,"&lt;="&amp;'High Level Dashboard'!AC$64)+(IFERROR(SUMIF('High Level Dashboard'!$B$64:$AV$64,ROUNDDOWN('High Level Dashboard'!AC$64-'High Level Dashboard'!$C$23,0)+1,'High Level Dashboard'!$B$65:$AV$65)*(1-('High Level Dashboard'!$C$23-ROUNDDOWN('High Level Dashboard'!$C$23,0))),"")))*'High Level Dashboard'!$C$22)
))</f>
        <v>123.91636758376164</v>
      </c>
      <c r="AE99" s="434">
        <f ca="1">$B$83*'High Level Dashboard'!$C$21*
(-PMT('High Level Dashboard'!$C$22,'High Level Dashboard'!$C$24-'High Level Dashboard'!$C$23+1,
SUMIFS('High Level Dashboard'!$B$65:$AV$65,'High Level Dashboard'!$B$64:$AV$64,"&gt;="&amp;('High Level Dashboard'!AD$64-(ROUNDDOWN('High Level Dashboard'!$C$24,0))+1),'High Level Dashboard'!$B$64:$AV$64,"&lt;="&amp;('High Level Dashboard'!AD$64-(ROUNDUP('High Level Dashboard'!$C$23,0)))))
+
IFERROR(-PMT('High Level Dashboard'!$C$22,'High Level Dashboard'!$C$24-'High Level Dashboard'!$C$23+1,
(HLOOKUP('High Level Dashboard'!AD$64-(ROUNDUP('High Level Dashboard'!$C$24,0))+1,'High Level Dashboard'!$B$64:$AV$65,2,FALSE))*('High Level Dashboard'!$C$24-(ROUNDDOWN('High Level Dashboard'!$C$24,0)))),0)
+
IFERROR(-PMT('High Level Dashboard'!$C$22,'High Level Dashboard'!$C$24-'High Level Dashboard'!$C$23+1,
(HLOOKUP('High Level Dashboard'!AD$64-(ROUNDDOWN('High Level Dashboard'!$C$23,0)),'High Level Dashboard'!$B$64:$AV$65,2,FALSE)*('High Level Dashboard'!$C$23-ROUNDDOWN('High Level Dashboard'!$C$23,0)))),0)
+
(((SUMIFS('High Level Dashboard'!$B$65:$AV$65,'High Level Dashboard'!$B$64:$AV$64,"&gt;"&amp;'High Level Dashboard'!AD$64-ROUNDDOWN('High Level Dashboard'!$C$23,0),'High Level Dashboard'!$B$64:$AV$64,"&lt;="&amp;'High Level Dashboard'!AD$64)+(IFERROR(SUMIF('High Level Dashboard'!$B$64:$AV$64,ROUNDDOWN('High Level Dashboard'!AD$64-'High Level Dashboard'!$C$23,0)+1,'High Level Dashboard'!$B$65:$AV$65)*(1-('High Level Dashboard'!$C$23-ROUNDDOWN('High Level Dashboard'!$C$23,0))),"")))*'High Level Dashboard'!$C$22)
))</f>
        <v>128.35649677288802</v>
      </c>
      <c r="AF99" s="434">
        <f ca="1">$B$83*'High Level Dashboard'!$C$21*
(-PMT('High Level Dashboard'!$C$22,'High Level Dashboard'!$C$24-'High Level Dashboard'!$C$23+1,
SUMIFS('High Level Dashboard'!$B$65:$AV$65,'High Level Dashboard'!$B$64:$AV$64,"&gt;="&amp;('High Level Dashboard'!AE$64-(ROUNDDOWN('High Level Dashboard'!$C$24,0))+1),'High Level Dashboard'!$B$64:$AV$64,"&lt;="&amp;('High Level Dashboard'!AE$64-(ROUNDUP('High Level Dashboard'!$C$23,0)))))
+
IFERROR(-PMT('High Level Dashboard'!$C$22,'High Level Dashboard'!$C$24-'High Level Dashboard'!$C$23+1,
(HLOOKUP('High Level Dashboard'!AE$64-(ROUNDUP('High Level Dashboard'!$C$24,0))+1,'High Level Dashboard'!$B$64:$AV$65,2,FALSE))*('High Level Dashboard'!$C$24-(ROUNDDOWN('High Level Dashboard'!$C$24,0)))),0)
+
IFERROR(-PMT('High Level Dashboard'!$C$22,'High Level Dashboard'!$C$24-'High Level Dashboard'!$C$23+1,
(HLOOKUP('High Level Dashboard'!AE$64-(ROUNDDOWN('High Level Dashboard'!$C$23,0)),'High Level Dashboard'!$B$64:$AV$65,2,FALSE)*('High Level Dashboard'!$C$23-ROUNDDOWN('High Level Dashboard'!$C$23,0)))),0)
+
(((SUMIFS('High Level Dashboard'!$B$65:$AV$65,'High Level Dashboard'!$B$64:$AV$64,"&gt;"&amp;'High Level Dashboard'!AE$64-ROUNDDOWN('High Level Dashboard'!$C$23,0),'High Level Dashboard'!$B$64:$AV$64,"&lt;="&amp;'High Level Dashboard'!AE$64)+(IFERROR(SUMIF('High Level Dashboard'!$B$64:$AV$64,ROUNDDOWN('High Level Dashboard'!AE$64-'High Level Dashboard'!$C$23,0)+1,'High Level Dashboard'!$B$65:$AV$65)*(1-('High Level Dashboard'!$C$23-ROUNDDOWN('High Level Dashboard'!$C$23,0))),"")))*'High Level Dashboard'!$C$22)
))</f>
        <v>134.82517221198421</v>
      </c>
      <c r="AG99" s="434">
        <f ca="1">$B$83*'High Level Dashboard'!$C$21*
(-PMT('High Level Dashboard'!$C$22,'High Level Dashboard'!$C$24-'High Level Dashboard'!$C$23+1,
SUMIFS('High Level Dashboard'!$B$65:$AV$65,'High Level Dashboard'!$B$64:$AV$64,"&gt;="&amp;('High Level Dashboard'!AF$64-(ROUNDDOWN('High Level Dashboard'!$C$24,0))+1),'High Level Dashboard'!$B$64:$AV$64,"&lt;="&amp;('High Level Dashboard'!AF$64-(ROUNDUP('High Level Dashboard'!$C$23,0)))))
+
IFERROR(-PMT('High Level Dashboard'!$C$22,'High Level Dashboard'!$C$24-'High Level Dashboard'!$C$23+1,
(HLOOKUP('High Level Dashboard'!AF$64-(ROUNDUP('High Level Dashboard'!$C$24,0))+1,'High Level Dashboard'!$B$64:$AV$65,2,FALSE))*('High Level Dashboard'!$C$24-(ROUNDDOWN('High Level Dashboard'!$C$24,0)))),0)
+
IFERROR(-PMT('High Level Dashboard'!$C$22,'High Level Dashboard'!$C$24-'High Level Dashboard'!$C$23+1,
(HLOOKUP('High Level Dashboard'!AF$64-(ROUNDDOWN('High Level Dashboard'!$C$23,0)),'High Level Dashboard'!$B$64:$AV$65,2,FALSE)*('High Level Dashboard'!$C$23-ROUNDDOWN('High Level Dashboard'!$C$23,0)))),0)
+
(((SUMIFS('High Level Dashboard'!$B$65:$AV$65,'High Level Dashboard'!$B$64:$AV$64,"&gt;"&amp;'High Level Dashboard'!AF$64-ROUNDDOWN('High Level Dashboard'!$C$23,0),'High Level Dashboard'!$B$64:$AV$64,"&lt;="&amp;'High Level Dashboard'!AF$64)+(IFERROR(SUMIF('High Level Dashboard'!$B$64:$AV$64,ROUNDDOWN('High Level Dashboard'!AF$64-'High Level Dashboard'!$C$23,0)+1,'High Level Dashboard'!$B$65:$AV$65)*(1-('High Level Dashboard'!$C$23-ROUNDDOWN('High Level Dashboard'!$C$23,0))),"")))*'High Level Dashboard'!$C$22)
))</f>
        <v>135.93432243118261</v>
      </c>
      <c r="AH99" s="434">
        <f ca="1">$B$83*'High Level Dashboard'!$C$21*
(-PMT('High Level Dashboard'!$C$22,'High Level Dashboard'!$C$24-'High Level Dashboard'!$C$23+1,
SUMIFS('High Level Dashboard'!$B$65:$AV$65,'High Level Dashboard'!$B$64:$AV$64,"&gt;="&amp;('High Level Dashboard'!AG$64-(ROUNDDOWN('High Level Dashboard'!$C$24,0))+1),'High Level Dashboard'!$B$64:$AV$64,"&lt;="&amp;('High Level Dashboard'!AG$64-(ROUNDUP('High Level Dashboard'!$C$23,0)))))
+
IFERROR(-PMT('High Level Dashboard'!$C$22,'High Level Dashboard'!$C$24-'High Level Dashboard'!$C$23+1,
(HLOOKUP('High Level Dashboard'!AG$64-(ROUNDUP('High Level Dashboard'!$C$24,0))+1,'High Level Dashboard'!$B$64:$AV$65,2,FALSE))*('High Level Dashboard'!$C$24-(ROUNDDOWN('High Level Dashboard'!$C$24,0)))),0)
+
IFERROR(-PMT('High Level Dashboard'!$C$22,'High Level Dashboard'!$C$24-'High Level Dashboard'!$C$23+1,
(HLOOKUP('High Level Dashboard'!AG$64-(ROUNDDOWN('High Level Dashboard'!$C$23,0)),'High Level Dashboard'!$B$64:$AV$65,2,FALSE)*('High Level Dashboard'!$C$23-ROUNDDOWN('High Level Dashboard'!$C$23,0)))),0)
+
(((SUMIFS('High Level Dashboard'!$B$65:$AV$65,'High Level Dashboard'!$B$64:$AV$64,"&gt;"&amp;'High Level Dashboard'!AG$64-ROUNDDOWN('High Level Dashboard'!$C$23,0),'High Level Dashboard'!$B$64:$AV$64,"&lt;="&amp;'High Level Dashboard'!AG$64)+(IFERROR(SUMIF('High Level Dashboard'!$B$64:$AV$64,ROUNDDOWN('High Level Dashboard'!AG$64-'High Level Dashboard'!$C$23,0)+1,'High Level Dashboard'!$B$65:$AV$65)*(1-('High Level Dashboard'!$C$23-ROUNDDOWN('High Level Dashboard'!$C$23,0))),"")))*'High Level Dashboard'!$C$22)
))</f>
        <v>136.99897814926089</v>
      </c>
      <c r="AI99" s="434">
        <f ca="1">$B$83*'High Level Dashboard'!$C$21*
(-PMT('High Level Dashboard'!$C$22,'High Level Dashboard'!$C$24-'High Level Dashboard'!$C$23+1,
SUMIFS('High Level Dashboard'!$B$65:$AV$65,'High Level Dashboard'!$B$64:$AV$64,"&gt;="&amp;('High Level Dashboard'!AH$64-(ROUNDDOWN('High Level Dashboard'!$C$24,0))+1),'High Level Dashboard'!$B$64:$AV$64,"&lt;="&amp;('High Level Dashboard'!AH$64-(ROUNDUP('High Level Dashboard'!$C$23,0)))))
+
IFERROR(-PMT('High Level Dashboard'!$C$22,'High Level Dashboard'!$C$24-'High Level Dashboard'!$C$23+1,
(HLOOKUP('High Level Dashboard'!AH$64-(ROUNDUP('High Level Dashboard'!$C$24,0))+1,'High Level Dashboard'!$B$64:$AV$65,2,FALSE))*('High Level Dashboard'!$C$24-(ROUNDDOWN('High Level Dashboard'!$C$24,0)))),0)
+
IFERROR(-PMT('High Level Dashboard'!$C$22,'High Level Dashboard'!$C$24-'High Level Dashboard'!$C$23+1,
(HLOOKUP('High Level Dashboard'!AH$64-(ROUNDDOWN('High Level Dashboard'!$C$23,0)),'High Level Dashboard'!$B$64:$AV$65,2,FALSE)*('High Level Dashboard'!$C$23-ROUNDDOWN('High Level Dashboard'!$C$23,0)))),0)
+
(((SUMIFS('High Level Dashboard'!$B$65:$AV$65,'High Level Dashboard'!$B$64:$AV$64,"&gt;"&amp;'High Level Dashboard'!AH$64-ROUNDDOWN('High Level Dashboard'!$C$23,0),'High Level Dashboard'!$B$64:$AV$64,"&lt;="&amp;'High Level Dashboard'!AH$64)+(IFERROR(SUMIF('High Level Dashboard'!$B$64:$AV$64,ROUNDDOWN('High Level Dashboard'!AH$64-'High Level Dashboard'!$C$23,0)+1,'High Level Dashboard'!$B$65:$AV$65)*(1-('High Level Dashboard'!$C$23-ROUNDDOWN('High Level Dashboard'!$C$23,0))),"")))*'High Level Dashboard'!$C$22)
))</f>
        <v>138.21565178907557</v>
      </c>
      <c r="AJ99" s="434">
        <f ca="1">$B$83*'High Level Dashboard'!$C$21*
(-PMT('High Level Dashboard'!$C$22,'High Level Dashboard'!$C$24-'High Level Dashboard'!$C$23+1,
SUMIFS('High Level Dashboard'!$B$65:$AV$65,'High Level Dashboard'!$B$64:$AV$64,"&gt;="&amp;('High Level Dashboard'!AI$64-(ROUNDDOWN('High Level Dashboard'!$C$24,0))+1),'High Level Dashboard'!$B$64:$AV$64,"&lt;="&amp;('High Level Dashboard'!AI$64-(ROUNDUP('High Level Dashboard'!$C$23,0)))))
+
IFERROR(-PMT('High Level Dashboard'!$C$22,'High Level Dashboard'!$C$24-'High Level Dashboard'!$C$23+1,
(HLOOKUP('High Level Dashboard'!AI$64-(ROUNDUP('High Level Dashboard'!$C$24,0))+1,'High Level Dashboard'!$B$64:$AV$65,2,FALSE))*('High Level Dashboard'!$C$24-(ROUNDDOWN('High Level Dashboard'!$C$24,0)))),0)
+
IFERROR(-PMT('High Level Dashboard'!$C$22,'High Level Dashboard'!$C$24-'High Level Dashboard'!$C$23+1,
(HLOOKUP('High Level Dashboard'!AI$64-(ROUNDDOWN('High Level Dashboard'!$C$23,0)),'High Level Dashboard'!$B$64:$AV$65,2,FALSE)*('High Level Dashboard'!$C$23-ROUNDDOWN('High Level Dashboard'!$C$23,0)))),0)
+
(((SUMIFS('High Level Dashboard'!$B$65:$AV$65,'High Level Dashboard'!$B$64:$AV$64,"&gt;"&amp;'High Level Dashboard'!AI$64-ROUNDDOWN('High Level Dashboard'!$C$23,0),'High Level Dashboard'!$B$64:$AV$64,"&lt;="&amp;'High Level Dashboard'!AI$64)+(IFERROR(SUMIF('High Level Dashboard'!$B$64:$AV$64,ROUNDDOWN('High Level Dashboard'!AI$64-'High Level Dashboard'!$C$23,0)+1,'High Level Dashboard'!$B$65:$AV$65)*(1-('High Level Dashboard'!$C$23-ROUNDDOWN('High Level Dashboard'!$C$23,0))),"")))*'High Level Dashboard'!$C$22)
))</f>
        <v>141.50655144999726</v>
      </c>
      <c r="AK99" s="434">
        <f ca="1">$B$83*'High Level Dashboard'!$C$21*
(-PMT('High Level Dashboard'!$C$22,'High Level Dashboard'!$C$24-'High Level Dashboard'!$C$23+1,
SUMIFS('High Level Dashboard'!$B$65:$AV$65,'High Level Dashboard'!$B$64:$AV$64,"&gt;="&amp;('High Level Dashboard'!AJ$64-(ROUNDDOWN('High Level Dashboard'!$C$24,0))+1),'High Level Dashboard'!$B$64:$AV$64,"&lt;="&amp;('High Level Dashboard'!AJ$64-(ROUNDUP('High Level Dashboard'!$C$23,0)))))
+
IFERROR(-PMT('High Level Dashboard'!$C$22,'High Level Dashboard'!$C$24-'High Level Dashboard'!$C$23+1,
(HLOOKUP('High Level Dashboard'!AJ$64-(ROUNDUP('High Level Dashboard'!$C$24,0))+1,'High Level Dashboard'!$B$64:$AV$65,2,FALSE))*('High Level Dashboard'!$C$24-(ROUNDDOWN('High Level Dashboard'!$C$24,0)))),0)
+
IFERROR(-PMT('High Level Dashboard'!$C$22,'High Level Dashboard'!$C$24-'High Level Dashboard'!$C$23+1,
(HLOOKUP('High Level Dashboard'!AJ$64-(ROUNDDOWN('High Level Dashboard'!$C$23,0)),'High Level Dashboard'!$B$64:$AV$65,2,FALSE)*('High Level Dashboard'!$C$23-ROUNDDOWN('High Level Dashboard'!$C$23,0)))),0)
+
(((SUMIFS('High Level Dashboard'!$B$65:$AV$65,'High Level Dashboard'!$B$64:$AV$64,"&gt;"&amp;'High Level Dashboard'!AJ$64-ROUNDDOWN('High Level Dashboard'!$C$23,0),'High Level Dashboard'!$B$64:$AV$64,"&lt;="&amp;'High Level Dashboard'!AJ$64)+(IFERROR(SUMIF('High Level Dashboard'!$B$64:$AV$64,ROUNDDOWN('High Level Dashboard'!AJ$64-'High Level Dashboard'!$C$23,0)+1,'High Level Dashboard'!$B$65:$AV$65)*(1-('High Level Dashboard'!$C$23-ROUNDDOWN('High Level Dashboard'!$C$23,0))),"")))*'High Level Dashboard'!$C$22)
))</f>
        <v>145.70472856000069</v>
      </c>
      <c r="AL99" s="434">
        <f ca="1">$B$83*'High Level Dashboard'!$C$21*
(-PMT('High Level Dashboard'!$C$22,'High Level Dashboard'!$C$24-'High Level Dashboard'!$C$23+1,
SUMIFS('High Level Dashboard'!$B$65:$AV$65,'High Level Dashboard'!$B$64:$AV$64,"&gt;="&amp;('High Level Dashboard'!AK$64-(ROUNDDOWN('High Level Dashboard'!$C$24,0))+1),'High Level Dashboard'!$B$64:$AV$64,"&lt;="&amp;('High Level Dashboard'!AK$64-(ROUNDUP('High Level Dashboard'!$C$23,0)))))
+
IFERROR(-PMT('High Level Dashboard'!$C$22,'High Level Dashboard'!$C$24-'High Level Dashboard'!$C$23+1,
(HLOOKUP('High Level Dashboard'!AK$64-(ROUNDUP('High Level Dashboard'!$C$24,0))+1,'High Level Dashboard'!$B$64:$AV$65,2,FALSE))*('High Level Dashboard'!$C$24-(ROUNDDOWN('High Level Dashboard'!$C$24,0)))),0)
+
IFERROR(-PMT('High Level Dashboard'!$C$22,'High Level Dashboard'!$C$24-'High Level Dashboard'!$C$23+1,
(HLOOKUP('High Level Dashboard'!AK$64-(ROUNDDOWN('High Level Dashboard'!$C$23,0)),'High Level Dashboard'!$B$64:$AV$65,2,FALSE)*('High Level Dashboard'!$C$23-ROUNDDOWN('High Level Dashboard'!$C$23,0)))),0)
+
(((SUMIFS('High Level Dashboard'!$B$65:$AV$65,'High Level Dashboard'!$B$64:$AV$64,"&gt;"&amp;'High Level Dashboard'!AK$64-ROUNDDOWN('High Level Dashboard'!$C$23,0),'High Level Dashboard'!$B$64:$AV$64,"&lt;="&amp;'High Level Dashboard'!AK$64)+(IFERROR(SUMIF('High Level Dashboard'!$B$64:$AV$64,ROUNDDOWN('High Level Dashboard'!AK$64-'High Level Dashboard'!$C$23,0)+1,'High Level Dashboard'!$B$65:$AV$65)*(1-('High Level Dashboard'!$C$23-ROUNDDOWN('High Level Dashboard'!$C$23,0))),"")))*'High Level Dashboard'!$C$22)
))</f>
        <v>148.27563470878539</v>
      </c>
      <c r="AM99" s="434">
        <f ca="1">$B$83*'High Level Dashboard'!$C$21*
(-PMT('High Level Dashboard'!$C$22,'High Level Dashboard'!$C$24-'High Level Dashboard'!$C$23+1,
SUMIFS('High Level Dashboard'!$B$65:$AV$65,'High Level Dashboard'!$B$64:$AV$64,"&gt;="&amp;('High Level Dashboard'!AL$64-(ROUNDDOWN('High Level Dashboard'!$C$24,0))+1),'High Level Dashboard'!$B$64:$AV$64,"&lt;="&amp;('High Level Dashboard'!AL$64-(ROUNDUP('High Level Dashboard'!$C$23,0)))))
+
IFERROR(-PMT('High Level Dashboard'!$C$22,'High Level Dashboard'!$C$24-'High Level Dashboard'!$C$23+1,
(HLOOKUP('High Level Dashboard'!AL$64-(ROUNDUP('High Level Dashboard'!$C$24,0))+1,'High Level Dashboard'!$B$64:$AV$65,2,FALSE))*('High Level Dashboard'!$C$24-(ROUNDDOWN('High Level Dashboard'!$C$24,0)))),0)
+
IFERROR(-PMT('High Level Dashboard'!$C$22,'High Level Dashboard'!$C$24-'High Level Dashboard'!$C$23+1,
(HLOOKUP('High Level Dashboard'!AL$64-(ROUNDDOWN('High Level Dashboard'!$C$23,0)),'High Level Dashboard'!$B$64:$AV$65,2,FALSE)*('High Level Dashboard'!$C$23-ROUNDDOWN('High Level Dashboard'!$C$23,0)))),0)
+
(((SUMIFS('High Level Dashboard'!$B$65:$AV$65,'High Level Dashboard'!$B$64:$AV$64,"&gt;"&amp;'High Level Dashboard'!AL$64-ROUNDDOWN('High Level Dashboard'!$C$23,0),'High Level Dashboard'!$B$64:$AV$64,"&lt;="&amp;'High Level Dashboard'!AL$64)+(IFERROR(SUMIF('High Level Dashboard'!$B$64:$AV$64,ROUNDDOWN('High Level Dashboard'!AL$64-'High Level Dashboard'!$C$23,0)+1,'High Level Dashboard'!$B$65:$AV$65)*(1-('High Level Dashboard'!$C$23-ROUNDDOWN('High Level Dashboard'!$C$23,0))),"")))*'High Level Dashboard'!$C$22)
))</f>
        <v>152.29537545883204</v>
      </c>
      <c r="AN99" s="434">
        <f ca="1">$B$83*'High Level Dashboard'!$C$21*
(-PMT('High Level Dashboard'!$C$22,'High Level Dashboard'!$C$24-'High Level Dashboard'!$C$23+1,
SUMIFS('High Level Dashboard'!$B$65:$AV$65,'High Level Dashboard'!$B$64:$AV$64,"&gt;="&amp;('High Level Dashboard'!AM$64-(ROUNDDOWN('High Level Dashboard'!$C$24,0))+1),'High Level Dashboard'!$B$64:$AV$64,"&lt;="&amp;('High Level Dashboard'!AM$64-(ROUNDUP('High Level Dashboard'!$C$23,0)))))
+
IFERROR(-PMT('High Level Dashboard'!$C$22,'High Level Dashboard'!$C$24-'High Level Dashboard'!$C$23+1,
(HLOOKUP('High Level Dashboard'!AM$64-(ROUNDUP('High Level Dashboard'!$C$24,0))+1,'High Level Dashboard'!$B$64:$AV$65,2,FALSE))*('High Level Dashboard'!$C$24-(ROUNDDOWN('High Level Dashboard'!$C$24,0)))),0)
+
IFERROR(-PMT('High Level Dashboard'!$C$22,'High Level Dashboard'!$C$24-'High Level Dashboard'!$C$23+1,
(HLOOKUP('High Level Dashboard'!AM$64-(ROUNDDOWN('High Level Dashboard'!$C$23,0)),'High Level Dashboard'!$B$64:$AV$65,2,FALSE)*('High Level Dashboard'!$C$23-ROUNDDOWN('High Level Dashboard'!$C$23,0)))),0)
+
(((SUMIFS('High Level Dashboard'!$B$65:$AV$65,'High Level Dashboard'!$B$64:$AV$64,"&gt;"&amp;'High Level Dashboard'!AM$64-ROUNDDOWN('High Level Dashboard'!$C$23,0),'High Level Dashboard'!$B$64:$AV$64,"&lt;="&amp;'High Level Dashboard'!AM$64)+(IFERROR(SUMIF('High Level Dashboard'!$B$64:$AV$64,ROUNDDOWN('High Level Dashboard'!AM$64-'High Level Dashboard'!$C$23,0)+1,'High Level Dashboard'!$B$65:$AV$65)*(1-('High Level Dashboard'!$C$23-ROUNDDOWN('High Level Dashboard'!$C$23,0))),"")))*'High Level Dashboard'!$C$22)
))</f>
        <v>155.16367462617328</v>
      </c>
      <c r="AO99" s="434">
        <f ca="1">$B$83*'High Level Dashboard'!$C$21*
(-PMT('High Level Dashboard'!$C$22,'High Level Dashboard'!$C$24-'High Level Dashboard'!$C$23+1,
SUMIFS('High Level Dashboard'!$B$65:$AV$65,'High Level Dashboard'!$B$64:$AV$64,"&gt;="&amp;('High Level Dashboard'!AN$64-(ROUNDDOWN('High Level Dashboard'!$C$24,0))+1),'High Level Dashboard'!$B$64:$AV$64,"&lt;="&amp;('High Level Dashboard'!AN$64-(ROUNDUP('High Level Dashboard'!$C$23,0)))))
+
IFERROR(-PMT('High Level Dashboard'!$C$22,'High Level Dashboard'!$C$24-'High Level Dashboard'!$C$23+1,
(HLOOKUP('High Level Dashboard'!AN$64-(ROUNDUP('High Level Dashboard'!$C$24,0))+1,'High Level Dashboard'!$B$64:$AV$65,2,FALSE))*('High Level Dashboard'!$C$24-(ROUNDDOWN('High Level Dashboard'!$C$24,0)))),0)
+
IFERROR(-PMT('High Level Dashboard'!$C$22,'High Level Dashboard'!$C$24-'High Level Dashboard'!$C$23+1,
(HLOOKUP('High Level Dashboard'!AN$64-(ROUNDDOWN('High Level Dashboard'!$C$23,0)),'High Level Dashboard'!$B$64:$AV$65,2,FALSE)*('High Level Dashboard'!$C$23-ROUNDDOWN('High Level Dashboard'!$C$23,0)))),0)
+
(((SUMIFS('High Level Dashboard'!$B$65:$AV$65,'High Level Dashboard'!$B$64:$AV$64,"&gt;"&amp;'High Level Dashboard'!AN$64-ROUNDDOWN('High Level Dashboard'!$C$23,0),'High Level Dashboard'!$B$64:$AV$64,"&lt;="&amp;'High Level Dashboard'!AN$64)+(IFERROR(SUMIF('High Level Dashboard'!$B$64:$AV$64,ROUNDDOWN('High Level Dashboard'!AN$64-'High Level Dashboard'!$C$23,0)+1,'High Level Dashboard'!$B$65:$AV$65)*(1-('High Level Dashboard'!$C$23-ROUNDDOWN('High Level Dashboard'!$C$23,0))),"")))*'High Level Dashboard'!$C$22)
))</f>
        <v>157.78225522710147</v>
      </c>
      <c r="AP99" s="434">
        <f ca="1">$B$83*'High Level Dashboard'!$C$21*
(-PMT('High Level Dashboard'!$C$22,'High Level Dashboard'!$C$24-'High Level Dashboard'!$C$23+1,
SUMIFS('High Level Dashboard'!$B$65:$AV$65,'High Level Dashboard'!$B$64:$AV$64,"&gt;="&amp;('High Level Dashboard'!AO$64-(ROUNDDOWN('High Level Dashboard'!$C$24,0))+1),'High Level Dashboard'!$B$64:$AV$64,"&lt;="&amp;('High Level Dashboard'!AO$64-(ROUNDUP('High Level Dashboard'!$C$23,0)))))
+
IFERROR(-PMT('High Level Dashboard'!$C$22,'High Level Dashboard'!$C$24-'High Level Dashboard'!$C$23+1,
(HLOOKUP('High Level Dashboard'!AO$64-(ROUNDUP('High Level Dashboard'!$C$24,0))+1,'High Level Dashboard'!$B$64:$AV$65,2,FALSE))*('High Level Dashboard'!$C$24-(ROUNDDOWN('High Level Dashboard'!$C$24,0)))),0)
+
IFERROR(-PMT('High Level Dashboard'!$C$22,'High Level Dashboard'!$C$24-'High Level Dashboard'!$C$23+1,
(HLOOKUP('High Level Dashboard'!AO$64-(ROUNDDOWN('High Level Dashboard'!$C$23,0)),'High Level Dashboard'!$B$64:$AV$65,2,FALSE)*('High Level Dashboard'!$C$23-ROUNDDOWN('High Level Dashboard'!$C$23,0)))),0)
+
(((SUMIFS('High Level Dashboard'!$B$65:$AV$65,'High Level Dashboard'!$B$64:$AV$64,"&gt;"&amp;'High Level Dashboard'!AO$64-ROUNDDOWN('High Level Dashboard'!$C$23,0),'High Level Dashboard'!$B$64:$AV$64,"&lt;="&amp;'High Level Dashboard'!AO$64)+(IFERROR(SUMIF('High Level Dashboard'!$B$64:$AV$64,ROUNDDOWN('High Level Dashboard'!AO$64-'High Level Dashboard'!$C$23,0)+1,'High Level Dashboard'!$B$65:$AV$65)*(1-('High Level Dashboard'!$C$23-ROUNDDOWN('High Level Dashboard'!$C$23,0))),"")))*'High Level Dashboard'!$C$22)
))</f>
        <v>161.19932563696509</v>
      </c>
      <c r="AQ99" s="434">
        <f ca="1">$B$83*'High Level Dashboard'!$C$21*
(-PMT('High Level Dashboard'!$C$22,'High Level Dashboard'!$C$24-'High Level Dashboard'!$C$23+1,
SUMIFS('High Level Dashboard'!$B$65:$AV$65,'High Level Dashboard'!$B$64:$AV$64,"&gt;="&amp;('High Level Dashboard'!AP$64-(ROUNDDOWN('High Level Dashboard'!$C$24,0))+1),'High Level Dashboard'!$B$64:$AV$64,"&lt;="&amp;('High Level Dashboard'!AP$64-(ROUNDUP('High Level Dashboard'!$C$23,0)))))
+
IFERROR(-PMT('High Level Dashboard'!$C$22,'High Level Dashboard'!$C$24-'High Level Dashboard'!$C$23+1,
(HLOOKUP('High Level Dashboard'!AP$64-(ROUNDUP('High Level Dashboard'!$C$24,0))+1,'High Level Dashboard'!$B$64:$AV$65,2,FALSE))*('High Level Dashboard'!$C$24-(ROUNDDOWN('High Level Dashboard'!$C$24,0)))),0)
+
IFERROR(-PMT('High Level Dashboard'!$C$22,'High Level Dashboard'!$C$24-'High Level Dashboard'!$C$23+1,
(HLOOKUP('High Level Dashboard'!AP$64-(ROUNDDOWN('High Level Dashboard'!$C$23,0)),'High Level Dashboard'!$B$64:$AV$65,2,FALSE)*('High Level Dashboard'!$C$23-ROUNDDOWN('High Level Dashboard'!$C$23,0)))),0)
+
(((SUMIFS('High Level Dashboard'!$B$65:$AV$65,'High Level Dashboard'!$B$64:$AV$64,"&gt;"&amp;'High Level Dashboard'!AP$64-ROUNDDOWN('High Level Dashboard'!$C$23,0),'High Level Dashboard'!$B$64:$AV$64,"&lt;="&amp;'High Level Dashboard'!AP$64)+(IFERROR(SUMIF('High Level Dashboard'!$B$64:$AV$64,ROUNDDOWN('High Level Dashboard'!AP$64-'High Level Dashboard'!$C$23,0)+1,'High Level Dashboard'!$B$65:$AV$65)*(1-('High Level Dashboard'!$C$23-ROUNDDOWN('High Level Dashboard'!$C$23,0))),"")))*'High Level Dashboard'!$C$22)
))</f>
        <v>165.13968617776658</v>
      </c>
      <c r="AR99" s="434">
        <f ca="1">$B$83*'High Level Dashboard'!$C$21*
(-PMT('High Level Dashboard'!$C$22,'High Level Dashboard'!$C$24-'High Level Dashboard'!$C$23+1,
SUMIFS('High Level Dashboard'!$B$65:$AV$65,'High Level Dashboard'!$B$64:$AV$64,"&gt;="&amp;('High Level Dashboard'!AQ$64-(ROUNDDOWN('High Level Dashboard'!$C$24,0))+1),'High Level Dashboard'!$B$64:$AV$64,"&lt;="&amp;('High Level Dashboard'!AQ$64-(ROUNDUP('High Level Dashboard'!$C$23,0)))))
+
IFERROR(-PMT('High Level Dashboard'!$C$22,'High Level Dashboard'!$C$24-'High Level Dashboard'!$C$23+1,
(HLOOKUP('High Level Dashboard'!AQ$64-(ROUNDUP('High Level Dashboard'!$C$24,0))+1,'High Level Dashboard'!$B$64:$AV$65,2,FALSE))*('High Level Dashboard'!$C$24-(ROUNDDOWN('High Level Dashboard'!$C$24,0)))),0)
+
IFERROR(-PMT('High Level Dashboard'!$C$22,'High Level Dashboard'!$C$24-'High Level Dashboard'!$C$23+1,
(HLOOKUP('High Level Dashboard'!AQ$64-(ROUNDDOWN('High Level Dashboard'!$C$23,0)),'High Level Dashboard'!$B$64:$AV$65,2,FALSE)*('High Level Dashboard'!$C$23-ROUNDDOWN('High Level Dashboard'!$C$23,0)))),0)
+
(((SUMIFS('High Level Dashboard'!$B$65:$AV$65,'High Level Dashboard'!$B$64:$AV$64,"&gt;"&amp;'High Level Dashboard'!AQ$64-ROUNDDOWN('High Level Dashboard'!$C$23,0),'High Level Dashboard'!$B$64:$AV$64,"&lt;="&amp;'High Level Dashboard'!AQ$64)+(IFERROR(SUMIF('High Level Dashboard'!$B$64:$AV$64,ROUNDDOWN('High Level Dashboard'!AQ$64-'High Level Dashboard'!$C$23,0)+1,'High Level Dashboard'!$B$65:$AV$65)*(1-('High Level Dashboard'!$C$23-ROUNDDOWN('High Level Dashboard'!$C$23,0))),"")))*'High Level Dashboard'!$C$22)
))</f>
        <v>167.11117149806799</v>
      </c>
      <c r="AS99" s="434">
        <f ca="1">$B$83*'High Level Dashboard'!$C$21*
(-PMT('High Level Dashboard'!$C$22,'High Level Dashboard'!$C$24-'High Level Dashboard'!$C$23+1,
SUMIFS('High Level Dashboard'!$B$65:$AV$65,'High Level Dashboard'!$B$64:$AV$64,"&gt;="&amp;('High Level Dashboard'!AR$64-(ROUNDDOWN('High Level Dashboard'!$C$24,0))+1),'High Level Dashboard'!$B$64:$AV$64,"&lt;="&amp;('High Level Dashboard'!AR$64-(ROUNDUP('High Level Dashboard'!$C$23,0)))))
+
IFERROR(-PMT('High Level Dashboard'!$C$22,'High Level Dashboard'!$C$24-'High Level Dashboard'!$C$23+1,
(HLOOKUP('High Level Dashboard'!AR$64-(ROUNDUP('High Level Dashboard'!$C$24,0))+1,'High Level Dashboard'!$B$64:$AV$65,2,FALSE))*('High Level Dashboard'!$C$24-(ROUNDDOWN('High Level Dashboard'!$C$24,0)))),0)
+
IFERROR(-PMT('High Level Dashboard'!$C$22,'High Level Dashboard'!$C$24-'High Level Dashboard'!$C$23+1,
(HLOOKUP('High Level Dashboard'!AR$64-(ROUNDDOWN('High Level Dashboard'!$C$23,0)),'High Level Dashboard'!$B$64:$AV$65,2,FALSE)*('High Level Dashboard'!$C$23-ROUNDDOWN('High Level Dashboard'!$C$23,0)))),0)
+
(((SUMIFS('High Level Dashboard'!$B$65:$AV$65,'High Level Dashboard'!$B$64:$AV$64,"&gt;"&amp;'High Level Dashboard'!AR$64-ROUNDDOWN('High Level Dashboard'!$C$23,0),'High Level Dashboard'!$B$64:$AV$64,"&lt;="&amp;'High Level Dashboard'!AR$64)+(IFERROR(SUMIF('High Level Dashboard'!$B$64:$AV$64,ROUNDDOWN('High Level Dashboard'!AR$64-'High Level Dashboard'!$C$23,0)+1,'High Level Dashboard'!$B$65:$AV$65)*(1-('High Level Dashboard'!$C$23-ROUNDDOWN('High Level Dashboard'!$C$23,0))),"")))*'High Level Dashboard'!$C$22)
))</f>
        <v>167.98313211012911</v>
      </c>
      <c r="AT99" s="434">
        <f ca="1">$B$83*'High Level Dashboard'!$C$21*
(-PMT('High Level Dashboard'!$C$22,'High Level Dashboard'!$C$24-'High Level Dashboard'!$C$23+1,
SUMIFS('High Level Dashboard'!$B$65:$AV$65,'High Level Dashboard'!$B$64:$AV$64,"&gt;="&amp;('High Level Dashboard'!AS$64-(ROUNDDOWN('High Level Dashboard'!$C$24,0))+1),'High Level Dashboard'!$B$64:$AV$64,"&lt;="&amp;('High Level Dashboard'!AS$64-(ROUNDUP('High Level Dashboard'!$C$23,0)))))
+
IFERROR(-PMT('High Level Dashboard'!$C$22,'High Level Dashboard'!$C$24-'High Level Dashboard'!$C$23+1,
(HLOOKUP('High Level Dashboard'!AS$64-(ROUNDUP('High Level Dashboard'!$C$24,0))+1,'High Level Dashboard'!$B$64:$AV$65,2,FALSE))*('High Level Dashboard'!$C$24-(ROUNDDOWN('High Level Dashboard'!$C$24,0)))),0)
+
IFERROR(-PMT('High Level Dashboard'!$C$22,'High Level Dashboard'!$C$24-'High Level Dashboard'!$C$23+1,
(HLOOKUP('High Level Dashboard'!AS$64-(ROUNDDOWN('High Level Dashboard'!$C$23,0)),'High Level Dashboard'!$B$64:$AV$65,2,FALSE)*('High Level Dashboard'!$C$23-ROUNDDOWN('High Level Dashboard'!$C$23,0)))),0)
+
(((SUMIFS('High Level Dashboard'!$B$65:$AV$65,'High Level Dashboard'!$B$64:$AV$64,"&gt;"&amp;'High Level Dashboard'!AS$64-ROUNDDOWN('High Level Dashboard'!$C$23,0),'High Level Dashboard'!$B$64:$AV$64,"&lt;="&amp;'High Level Dashboard'!AS$64)+(IFERROR(SUMIF('High Level Dashboard'!$B$64:$AV$64,ROUNDDOWN('High Level Dashboard'!AS$64-'High Level Dashboard'!$C$23,0)+1,'High Level Dashboard'!$B$65:$AV$65)*(1-('High Level Dashboard'!$C$23-ROUNDDOWN('High Level Dashboard'!$C$23,0))),"")))*'High Level Dashboard'!$C$22)
))</f>
        <v>169.01908290281335</v>
      </c>
      <c r="AU99" s="434">
        <f ca="1">$B$83*'High Level Dashboard'!$C$21*
(-PMT('High Level Dashboard'!$C$22,'High Level Dashboard'!$C$24-'High Level Dashboard'!$C$23+1,
SUMIFS('High Level Dashboard'!$B$65:$AV$65,'High Level Dashboard'!$B$64:$AV$64,"&gt;="&amp;('High Level Dashboard'!AT$64-(ROUNDDOWN('High Level Dashboard'!$C$24,0))+1),'High Level Dashboard'!$B$64:$AV$64,"&lt;="&amp;('High Level Dashboard'!AT$64-(ROUNDUP('High Level Dashboard'!$C$23,0)))))
+
IFERROR(-PMT('High Level Dashboard'!$C$22,'High Level Dashboard'!$C$24-'High Level Dashboard'!$C$23+1,
(HLOOKUP('High Level Dashboard'!AT$64-(ROUNDUP('High Level Dashboard'!$C$24,0))+1,'High Level Dashboard'!$B$64:$AV$65,2,FALSE))*('High Level Dashboard'!$C$24-(ROUNDDOWN('High Level Dashboard'!$C$24,0)))),0)
+
IFERROR(-PMT('High Level Dashboard'!$C$22,'High Level Dashboard'!$C$24-'High Level Dashboard'!$C$23+1,
(HLOOKUP('High Level Dashboard'!AT$64-(ROUNDDOWN('High Level Dashboard'!$C$23,0)),'High Level Dashboard'!$B$64:$AV$65,2,FALSE)*('High Level Dashboard'!$C$23-ROUNDDOWN('High Level Dashboard'!$C$23,0)))),0)
+
(((SUMIFS('High Level Dashboard'!$B$65:$AV$65,'High Level Dashboard'!$B$64:$AV$64,"&gt;"&amp;'High Level Dashboard'!AT$64-ROUNDDOWN('High Level Dashboard'!$C$23,0),'High Level Dashboard'!$B$64:$AV$64,"&lt;="&amp;'High Level Dashboard'!AT$64)+(IFERROR(SUMIF('High Level Dashboard'!$B$64:$AV$64,ROUNDDOWN('High Level Dashboard'!AT$64-'High Level Dashboard'!$C$23,0)+1,'High Level Dashboard'!$B$65:$AV$65)*(1-('High Level Dashboard'!$C$23-ROUNDDOWN('High Level Dashboard'!$C$23,0))),"")))*'High Level Dashboard'!$C$22)
))</f>
        <v>169.14947442733271</v>
      </c>
      <c r="AV99" s="434">
        <f ca="1">$B$83*'High Level Dashboard'!$C$21*
(-PMT('High Level Dashboard'!$C$22,'High Level Dashboard'!$C$24-'High Level Dashboard'!$C$23+1,
SUMIFS('High Level Dashboard'!$B$65:$AV$65,'High Level Dashboard'!$B$64:$AV$64,"&gt;="&amp;('High Level Dashboard'!AU$64-(ROUNDDOWN('High Level Dashboard'!$C$24,0))+1),'High Level Dashboard'!$B$64:$AV$64,"&lt;="&amp;('High Level Dashboard'!AU$64-(ROUNDUP('High Level Dashboard'!$C$23,0)))))
+
IFERROR(-PMT('High Level Dashboard'!$C$22,'High Level Dashboard'!$C$24-'High Level Dashboard'!$C$23+1,
(HLOOKUP('High Level Dashboard'!AU$64-(ROUNDUP('High Level Dashboard'!$C$24,0))+1,'High Level Dashboard'!$B$64:$AV$65,2,FALSE))*('High Level Dashboard'!$C$24-(ROUNDDOWN('High Level Dashboard'!$C$24,0)))),0)
+
IFERROR(-PMT('High Level Dashboard'!$C$22,'High Level Dashboard'!$C$24-'High Level Dashboard'!$C$23+1,
(HLOOKUP('High Level Dashboard'!AU$64-(ROUNDDOWN('High Level Dashboard'!$C$23,0)),'High Level Dashboard'!$B$64:$AV$65,2,FALSE)*('High Level Dashboard'!$C$23-ROUNDDOWN('High Level Dashboard'!$C$23,0)))),0)
+
(((SUMIFS('High Level Dashboard'!$B$65:$AV$65,'High Level Dashboard'!$B$64:$AV$64,"&gt;"&amp;'High Level Dashboard'!AU$64-ROUNDDOWN('High Level Dashboard'!$C$23,0),'High Level Dashboard'!$B$64:$AV$64,"&lt;="&amp;'High Level Dashboard'!AU$64)+(IFERROR(SUMIF('High Level Dashboard'!$B$64:$AV$64,ROUNDDOWN('High Level Dashboard'!AU$64-'High Level Dashboard'!$C$23,0)+1,'High Level Dashboard'!$B$65:$AV$65)*(1-('High Level Dashboard'!$C$23-ROUNDDOWN('High Level Dashboard'!$C$23,0))),"")))*'High Level Dashboard'!$C$22)
))</f>
        <v>167.80451094365398</v>
      </c>
    </row>
    <row r="100" spans="1:49" s="431" customFormat="1">
      <c r="A100" s="428" t="s">
        <v>263</v>
      </c>
      <c r="B100" s="428"/>
      <c r="C100" s="434">
        <f ca="1">$B$84*'High Level Dashboard'!$C$27*
(-PMT('High Level Dashboard'!$C$28,'High Level Dashboard'!$C$30-'High Level Dashboard'!$C$29+1,
SUMIFS('High Level Dashboard'!$B$65:$AV$65,'High Level Dashboard'!$B$64:$AV$64,"&gt;="&amp;('High Level Dashboard'!B$64-(ROUNDDOWN('High Level Dashboard'!$C$30,0))+1),'High Level Dashboard'!$B$64:$AV$64,"&lt;="&amp;('High Level Dashboard'!B$64-(ROUNDUP('High Level Dashboard'!$C$29,0)))))
+
IFERROR(-PMT('High Level Dashboard'!$C$28,'High Level Dashboard'!$C$30-'High Level Dashboard'!$C$29+1,
(HLOOKUP('High Level Dashboard'!B$64-(ROUNDUP('High Level Dashboard'!$C$30,0))+1,'High Level Dashboard'!$B$64:$AV$65,2,FALSE))*('High Level Dashboard'!$C$30-(ROUNDDOWN('High Level Dashboard'!$C$30,0)))),0)
+
IFERROR(-PMT('High Level Dashboard'!$C$28,'High Level Dashboard'!$C$30-'High Level Dashboard'!$C$29+1,
(HLOOKUP('High Level Dashboard'!B$64-(ROUNDDOWN('High Level Dashboard'!$C$29,0)),'High Level Dashboard'!$B$64:$AV$65,2,FALSE)*('High Level Dashboard'!$C$29-ROUNDDOWN('High Level Dashboard'!$C$29,0)))),0)
+
(((SUMIFS('High Level Dashboard'!$B$65:$AV$65,'High Level Dashboard'!$B$64:$AV$64,"&gt;"&amp;'High Level Dashboard'!B$64-ROUNDDOWN('High Level Dashboard'!$C$29,0),'High Level Dashboard'!$B$64:$AV$64,"&lt;="&amp;'High Level Dashboard'!B$64)+(IFERROR(SUMIF('High Level Dashboard'!$B$64:$AV$64,ROUNDDOWN('High Level Dashboard'!B$64-'High Level Dashboard'!$C$29,0)+1,'High Level Dashboard'!$B$65:$AV$65)*(1-('High Level Dashboard'!$C$29-ROUNDDOWN('High Level Dashboard'!$C$29,0))),"")))*'High Level Dashboard'!$C$28)
))</f>
        <v>0.4656948403484647</v>
      </c>
      <c r="D100" s="434">
        <f ca="1">$B$84*'High Level Dashboard'!$C$27*
(-PMT('High Level Dashboard'!$C$28,'High Level Dashboard'!$C$30-'High Level Dashboard'!$C$29+1,
SUMIFS('High Level Dashboard'!$B$65:$AV$65,'High Level Dashboard'!$B$64:$AV$64,"&gt;="&amp;('High Level Dashboard'!C$64-(ROUNDDOWN('High Level Dashboard'!$C$30,0))+1),'High Level Dashboard'!$B$64:$AV$64,"&lt;="&amp;('High Level Dashboard'!C$64-(ROUNDUP('High Level Dashboard'!$C$29,0)))))
+
IFERROR(-PMT('High Level Dashboard'!$C$28,'High Level Dashboard'!$C$30-'High Level Dashboard'!$C$29+1,
(HLOOKUP('High Level Dashboard'!C$64-(ROUNDUP('High Level Dashboard'!$C$30,0))+1,'High Level Dashboard'!$B$64:$AV$65,2,FALSE))*('High Level Dashboard'!$C$30-(ROUNDDOWN('High Level Dashboard'!$C$30,0)))),0)
+
IFERROR(-PMT('High Level Dashboard'!$C$28,'High Level Dashboard'!$C$30-'High Level Dashboard'!$C$29+1,
(HLOOKUP('High Level Dashboard'!C$64-(ROUNDDOWN('High Level Dashboard'!$C$29,0)),'High Level Dashboard'!$B$64:$AV$65,2,FALSE)*('High Level Dashboard'!$C$29-ROUNDDOWN('High Level Dashboard'!$C$29,0)))),0)
+
(((SUMIFS('High Level Dashboard'!$B$65:$AV$65,'High Level Dashboard'!$B$64:$AV$64,"&gt;"&amp;'High Level Dashboard'!C$64-ROUNDDOWN('High Level Dashboard'!$C$29,0),'High Level Dashboard'!$B$64:$AV$64,"&lt;="&amp;'High Level Dashboard'!C$64)+(IFERROR(SUMIF('High Level Dashboard'!$B$64:$AV$64,ROUNDDOWN('High Level Dashboard'!C$64-'High Level Dashboard'!$C$29,0)+1,'High Level Dashboard'!$B$65:$AV$65)*(1-('High Level Dashboard'!$C$29-ROUNDDOWN('High Level Dashboard'!$C$29,0))),"")))*'High Level Dashboard'!$C$28)
))</f>
        <v>0.95385591887412235</v>
      </c>
      <c r="E100" s="434">
        <f ca="1">$B$84*'High Level Dashboard'!$C$27*
(-PMT('High Level Dashboard'!$C$28,'High Level Dashboard'!$C$30-'High Level Dashboard'!$C$29+1,
SUMIFS('High Level Dashboard'!$B$65:$AV$65,'High Level Dashboard'!$B$64:$AV$64,"&gt;="&amp;('High Level Dashboard'!D$64-(ROUNDDOWN('High Level Dashboard'!$C$30,0))+1),'High Level Dashboard'!$B$64:$AV$64,"&lt;="&amp;('High Level Dashboard'!D$64-(ROUNDUP('High Level Dashboard'!$C$29,0)))))
+
IFERROR(-PMT('High Level Dashboard'!$C$28,'High Level Dashboard'!$C$30-'High Level Dashboard'!$C$29+1,
(HLOOKUP('High Level Dashboard'!D$64-(ROUNDUP('High Level Dashboard'!$C$30,0))+1,'High Level Dashboard'!$B$64:$AV$65,2,FALSE))*('High Level Dashboard'!$C$30-(ROUNDDOWN('High Level Dashboard'!$C$30,0)))),0)
+
IFERROR(-PMT('High Level Dashboard'!$C$28,'High Level Dashboard'!$C$30-'High Level Dashboard'!$C$29+1,
(HLOOKUP('High Level Dashboard'!D$64-(ROUNDDOWN('High Level Dashboard'!$C$29,0)),'High Level Dashboard'!$B$64:$AV$65,2,FALSE)*('High Level Dashboard'!$C$29-ROUNDDOWN('High Level Dashboard'!$C$29,0)))),0)
+
(((SUMIFS('High Level Dashboard'!$B$65:$AV$65,'High Level Dashboard'!$B$64:$AV$64,"&gt;"&amp;'High Level Dashboard'!D$64-ROUNDDOWN('High Level Dashboard'!$C$29,0),'High Level Dashboard'!$B$64:$AV$64,"&lt;="&amp;'High Level Dashboard'!D$64)+(IFERROR(SUMIF('High Level Dashboard'!$B$64:$AV$64,ROUNDDOWN('High Level Dashboard'!D$64-'High Level Dashboard'!$C$29,0)+1,'High Level Dashboard'!$B$65:$AV$65)*(1-('High Level Dashboard'!$C$29-ROUNDDOWN('High Level Dashboard'!$C$29,0))),"")))*'High Level Dashboard'!$C$28)
))</f>
        <v>1.4425690728192153</v>
      </c>
      <c r="F100" s="434">
        <f ca="1">$B$84*'High Level Dashboard'!$C$27*
(-PMT('High Level Dashboard'!$C$28,'High Level Dashboard'!$C$30-'High Level Dashboard'!$C$29+1,
SUMIFS('High Level Dashboard'!$B$65:$AV$65,'High Level Dashboard'!$B$64:$AV$64,"&gt;="&amp;('High Level Dashboard'!E$64-(ROUNDDOWN('High Level Dashboard'!$C$30,0))+1),'High Level Dashboard'!$B$64:$AV$64,"&lt;="&amp;('High Level Dashboard'!E$64-(ROUNDUP('High Level Dashboard'!$C$29,0)))))
+
IFERROR(-PMT('High Level Dashboard'!$C$28,'High Level Dashboard'!$C$30-'High Level Dashboard'!$C$29+1,
(HLOOKUP('High Level Dashboard'!E$64-(ROUNDUP('High Level Dashboard'!$C$30,0))+1,'High Level Dashboard'!$B$64:$AV$65,2,FALSE))*('High Level Dashboard'!$C$30-(ROUNDDOWN('High Level Dashboard'!$C$30,0)))),0)
+
IFERROR(-PMT('High Level Dashboard'!$C$28,'High Level Dashboard'!$C$30-'High Level Dashboard'!$C$29+1,
(HLOOKUP('High Level Dashboard'!E$64-(ROUNDDOWN('High Level Dashboard'!$C$29,0)),'High Level Dashboard'!$B$64:$AV$65,2,FALSE)*('High Level Dashboard'!$C$29-ROUNDDOWN('High Level Dashboard'!$C$29,0)))),0)
+
(((SUMIFS('High Level Dashboard'!$B$65:$AV$65,'High Level Dashboard'!$B$64:$AV$64,"&gt;"&amp;'High Level Dashboard'!E$64-ROUNDDOWN('High Level Dashboard'!$C$29,0),'High Level Dashboard'!$B$64:$AV$64,"&lt;="&amp;'High Level Dashboard'!E$64)+(IFERROR(SUMIF('High Level Dashboard'!$B$64:$AV$64,ROUNDDOWN('High Level Dashboard'!E$64-'High Level Dashboard'!$C$29,0)+1,'High Level Dashboard'!$B$65:$AV$65)*(1-('High Level Dashboard'!$C$29-ROUNDDOWN('High Level Dashboard'!$C$29,0))),"")))*'High Level Dashboard'!$C$28)
))</f>
        <v>1.8718964378368608</v>
      </c>
      <c r="G100" s="434">
        <f ca="1">$B$84*'High Level Dashboard'!$C$27*
(-PMT('High Level Dashboard'!$C$28,'High Level Dashboard'!$C$30-'High Level Dashboard'!$C$29+1,
SUMIFS('High Level Dashboard'!$B$65:$AV$65,'High Level Dashboard'!$B$64:$AV$64,"&gt;="&amp;('High Level Dashboard'!F$64-(ROUNDDOWN('High Level Dashboard'!$C$30,0))+1),'High Level Dashboard'!$B$64:$AV$64,"&lt;="&amp;('High Level Dashboard'!F$64-(ROUNDUP('High Level Dashboard'!$C$29,0)))))
+
IFERROR(-PMT('High Level Dashboard'!$C$28,'High Level Dashboard'!$C$30-'High Level Dashboard'!$C$29+1,
(HLOOKUP('High Level Dashboard'!F$64-(ROUNDUP('High Level Dashboard'!$C$30,0))+1,'High Level Dashboard'!$B$64:$AV$65,2,FALSE))*('High Level Dashboard'!$C$30-(ROUNDDOWN('High Level Dashboard'!$C$30,0)))),0)
+
IFERROR(-PMT('High Level Dashboard'!$C$28,'High Level Dashboard'!$C$30-'High Level Dashboard'!$C$29+1,
(HLOOKUP('High Level Dashboard'!F$64-(ROUNDDOWN('High Level Dashboard'!$C$29,0)),'High Level Dashboard'!$B$64:$AV$65,2,FALSE)*('High Level Dashboard'!$C$29-ROUNDDOWN('High Level Dashboard'!$C$29,0)))),0)
+
(((SUMIFS('High Level Dashboard'!$B$65:$AV$65,'High Level Dashboard'!$B$64:$AV$64,"&gt;"&amp;'High Level Dashboard'!F$64-ROUNDDOWN('High Level Dashboard'!$C$29,0),'High Level Dashboard'!$B$64:$AV$64,"&lt;="&amp;'High Level Dashboard'!F$64)+(IFERROR(SUMIF('High Level Dashboard'!$B$64:$AV$64,ROUNDDOWN('High Level Dashboard'!F$64-'High Level Dashboard'!$C$29,0)+1,'High Level Dashboard'!$B$65:$AV$65)*(1-('High Level Dashboard'!$C$29-ROUNDDOWN('High Level Dashboard'!$C$29,0))),"")))*'High Level Dashboard'!$C$28)
))</f>
        <v>2.7686253120665647</v>
      </c>
      <c r="H100" s="434">
        <f ca="1">$B$84*'High Level Dashboard'!$C$27*
(-PMT('High Level Dashboard'!$C$28,'High Level Dashboard'!$C$30-'High Level Dashboard'!$C$29+1,
SUMIFS('High Level Dashboard'!$B$65:$AV$65,'High Level Dashboard'!$B$64:$AV$64,"&gt;="&amp;('High Level Dashboard'!G$64-(ROUNDDOWN('High Level Dashboard'!$C$30,0))+1),'High Level Dashboard'!$B$64:$AV$64,"&lt;="&amp;('High Level Dashboard'!G$64-(ROUNDUP('High Level Dashboard'!$C$29,0)))))
+
IFERROR(-PMT('High Level Dashboard'!$C$28,'High Level Dashboard'!$C$30-'High Level Dashboard'!$C$29+1,
(HLOOKUP('High Level Dashboard'!G$64-(ROUNDUP('High Level Dashboard'!$C$30,0))+1,'High Level Dashboard'!$B$64:$AV$65,2,FALSE))*('High Level Dashboard'!$C$30-(ROUNDDOWN('High Level Dashboard'!$C$30,0)))),0)
+
IFERROR(-PMT('High Level Dashboard'!$C$28,'High Level Dashboard'!$C$30-'High Level Dashboard'!$C$29+1,
(HLOOKUP('High Level Dashboard'!G$64-(ROUNDDOWN('High Level Dashboard'!$C$29,0)),'High Level Dashboard'!$B$64:$AV$65,2,FALSE)*('High Level Dashboard'!$C$29-ROUNDDOWN('High Level Dashboard'!$C$29,0)))),0)
+
(((SUMIFS('High Level Dashboard'!$B$65:$AV$65,'High Level Dashboard'!$B$64:$AV$64,"&gt;"&amp;'High Level Dashboard'!G$64-ROUNDDOWN('High Level Dashboard'!$C$29,0),'High Level Dashboard'!$B$64:$AV$64,"&lt;="&amp;'High Level Dashboard'!G$64)+(IFERROR(SUMIF('High Level Dashboard'!$B$64:$AV$64,ROUNDDOWN('High Level Dashboard'!G$64-'High Level Dashboard'!$C$29,0)+1,'High Level Dashboard'!$B$65:$AV$65)*(1-('High Level Dashboard'!$C$29-ROUNDDOWN('High Level Dashboard'!$C$29,0))),"")))*'High Level Dashboard'!$C$28)
))</f>
        <v>3.2982117092597489</v>
      </c>
      <c r="I100" s="434">
        <f ca="1">$B$84*'High Level Dashboard'!$C$27*
(-PMT('High Level Dashboard'!$C$28,'High Level Dashboard'!$C$30-'High Level Dashboard'!$C$29+1,
SUMIFS('High Level Dashboard'!$B$65:$AV$65,'High Level Dashboard'!$B$64:$AV$64,"&gt;="&amp;('High Level Dashboard'!H$64-(ROUNDDOWN('High Level Dashboard'!$C$30,0))+1),'High Level Dashboard'!$B$64:$AV$64,"&lt;="&amp;('High Level Dashboard'!H$64-(ROUNDUP('High Level Dashboard'!$C$29,0)))))
+
IFERROR(-PMT('High Level Dashboard'!$C$28,'High Level Dashboard'!$C$30-'High Level Dashboard'!$C$29+1,
(HLOOKUP('High Level Dashboard'!H$64-(ROUNDUP('High Level Dashboard'!$C$30,0))+1,'High Level Dashboard'!$B$64:$AV$65,2,FALSE))*('High Level Dashboard'!$C$30-(ROUNDDOWN('High Level Dashboard'!$C$30,0)))),0)
+
IFERROR(-PMT('High Level Dashboard'!$C$28,'High Level Dashboard'!$C$30-'High Level Dashboard'!$C$29+1,
(HLOOKUP('High Level Dashboard'!H$64-(ROUNDDOWN('High Level Dashboard'!$C$29,0)),'High Level Dashboard'!$B$64:$AV$65,2,FALSE)*('High Level Dashboard'!$C$29-ROUNDDOWN('High Level Dashboard'!$C$29,0)))),0)
+
(((SUMIFS('High Level Dashboard'!$B$65:$AV$65,'High Level Dashboard'!$B$64:$AV$64,"&gt;"&amp;'High Level Dashboard'!H$64-ROUNDDOWN('High Level Dashboard'!$C$29,0),'High Level Dashboard'!$B$64:$AV$64,"&lt;="&amp;'High Level Dashboard'!H$64)+(IFERROR(SUMIF('High Level Dashboard'!$B$64:$AV$64,ROUNDDOWN('High Level Dashboard'!H$64-'High Level Dashboard'!$C$29,0)+1,'High Level Dashboard'!$B$65:$AV$65)*(1-('High Level Dashboard'!$C$29-ROUNDDOWN('High Level Dashboard'!$C$29,0))),"")))*'High Level Dashboard'!$C$28)
))</f>
        <v>3.9010581312262902</v>
      </c>
      <c r="J100" s="434">
        <f ca="1">$B$84*'High Level Dashboard'!$C$27*
(-PMT('High Level Dashboard'!$C$28,'High Level Dashboard'!$C$30-'High Level Dashboard'!$C$29+1,
SUMIFS('High Level Dashboard'!$B$65:$AV$65,'High Level Dashboard'!$B$64:$AV$64,"&gt;="&amp;('High Level Dashboard'!I$64-(ROUNDDOWN('High Level Dashboard'!$C$30,0))+1),'High Level Dashboard'!$B$64:$AV$64,"&lt;="&amp;('High Level Dashboard'!I$64-(ROUNDUP('High Level Dashboard'!$C$29,0)))))
+
IFERROR(-PMT('High Level Dashboard'!$C$28,'High Level Dashboard'!$C$30-'High Level Dashboard'!$C$29+1,
(HLOOKUP('High Level Dashboard'!I$64-(ROUNDUP('High Level Dashboard'!$C$30,0))+1,'High Level Dashboard'!$B$64:$AV$65,2,FALSE))*('High Level Dashboard'!$C$30-(ROUNDDOWN('High Level Dashboard'!$C$30,0)))),0)
+
IFERROR(-PMT('High Level Dashboard'!$C$28,'High Level Dashboard'!$C$30-'High Level Dashboard'!$C$29+1,
(HLOOKUP('High Level Dashboard'!I$64-(ROUNDDOWN('High Level Dashboard'!$C$29,0)),'High Level Dashboard'!$B$64:$AV$65,2,FALSE)*('High Level Dashboard'!$C$29-ROUNDDOWN('High Level Dashboard'!$C$29,0)))),0)
+
(((SUMIFS('High Level Dashboard'!$B$65:$AV$65,'High Level Dashboard'!$B$64:$AV$64,"&gt;"&amp;'High Level Dashboard'!I$64-ROUNDDOWN('High Level Dashboard'!$C$29,0),'High Level Dashboard'!$B$64:$AV$64,"&lt;="&amp;'High Level Dashboard'!I$64)+(IFERROR(SUMIF('High Level Dashboard'!$B$64:$AV$64,ROUNDDOWN('High Level Dashboard'!I$64-'High Level Dashboard'!$C$29,0)+1,'High Level Dashboard'!$B$65:$AV$65)*(1-('High Level Dashboard'!$C$29-ROUNDDOWN('High Level Dashboard'!$C$29,0))),"")))*'High Level Dashboard'!$C$28)
))</f>
        <v>4.3899130849996428</v>
      </c>
      <c r="K100" s="434">
        <f ca="1">$B$84*'High Level Dashboard'!$C$27*
(-PMT('High Level Dashboard'!$C$28,'High Level Dashboard'!$C$30-'High Level Dashboard'!$C$29+1,
SUMIFS('High Level Dashboard'!$B$65:$AV$65,'High Level Dashboard'!$B$64:$AV$64,"&gt;="&amp;('High Level Dashboard'!J$64-(ROUNDDOWN('High Level Dashboard'!$C$30,0))+1),'High Level Dashboard'!$B$64:$AV$64,"&lt;="&amp;('High Level Dashboard'!J$64-(ROUNDUP('High Level Dashboard'!$C$29,0)))))
+
IFERROR(-PMT('High Level Dashboard'!$C$28,'High Level Dashboard'!$C$30-'High Level Dashboard'!$C$29+1,
(HLOOKUP('High Level Dashboard'!J$64-(ROUNDUP('High Level Dashboard'!$C$30,0))+1,'High Level Dashboard'!$B$64:$AV$65,2,FALSE))*('High Level Dashboard'!$C$30-(ROUNDDOWN('High Level Dashboard'!$C$30,0)))),0)
+
IFERROR(-PMT('High Level Dashboard'!$C$28,'High Level Dashboard'!$C$30-'High Level Dashboard'!$C$29+1,
(HLOOKUP('High Level Dashboard'!J$64-(ROUNDDOWN('High Level Dashboard'!$C$29,0)),'High Level Dashboard'!$B$64:$AV$65,2,FALSE)*('High Level Dashboard'!$C$29-ROUNDDOWN('High Level Dashboard'!$C$29,0)))),0)
+
(((SUMIFS('High Level Dashboard'!$B$65:$AV$65,'High Level Dashboard'!$B$64:$AV$64,"&gt;"&amp;'High Level Dashboard'!J$64-ROUNDDOWN('High Level Dashboard'!$C$29,0),'High Level Dashboard'!$B$64:$AV$64,"&lt;="&amp;'High Level Dashboard'!J$64)+(IFERROR(SUMIF('High Level Dashboard'!$B$64:$AV$64,ROUNDDOWN('High Level Dashboard'!J$64-'High Level Dashboard'!$C$29,0)+1,'High Level Dashboard'!$B$65:$AV$65)*(1-('High Level Dashboard'!$C$29-ROUNDDOWN('High Level Dashboard'!$C$29,0))),"")))*'High Level Dashboard'!$C$28)
))</f>
        <v>4.9135267445490083</v>
      </c>
      <c r="L100" s="434">
        <f ca="1">$B$84*'High Level Dashboard'!$C$27*
(-PMT('High Level Dashboard'!$C$28,'High Level Dashboard'!$C$30-'High Level Dashboard'!$C$29+1,
SUMIFS('High Level Dashboard'!$B$65:$AV$65,'High Level Dashboard'!$B$64:$AV$64,"&gt;="&amp;('High Level Dashboard'!K$64-(ROUNDDOWN('High Level Dashboard'!$C$30,0))+1),'High Level Dashboard'!$B$64:$AV$64,"&lt;="&amp;('High Level Dashboard'!K$64-(ROUNDUP('High Level Dashboard'!$C$29,0)))))
+
IFERROR(-PMT('High Level Dashboard'!$C$28,'High Level Dashboard'!$C$30-'High Level Dashboard'!$C$29+1,
(HLOOKUP('High Level Dashboard'!K$64-(ROUNDUP('High Level Dashboard'!$C$30,0))+1,'High Level Dashboard'!$B$64:$AV$65,2,FALSE))*('High Level Dashboard'!$C$30-(ROUNDDOWN('High Level Dashboard'!$C$30,0)))),0)
+
IFERROR(-PMT('High Level Dashboard'!$C$28,'High Level Dashboard'!$C$30-'High Level Dashboard'!$C$29+1,
(HLOOKUP('High Level Dashboard'!K$64-(ROUNDDOWN('High Level Dashboard'!$C$29,0)),'High Level Dashboard'!$B$64:$AV$65,2,FALSE)*('High Level Dashboard'!$C$29-ROUNDDOWN('High Level Dashboard'!$C$29,0)))),0)
+
(((SUMIFS('High Level Dashboard'!$B$65:$AV$65,'High Level Dashboard'!$B$64:$AV$64,"&gt;"&amp;'High Level Dashboard'!K$64-ROUNDDOWN('High Level Dashboard'!$C$29,0),'High Level Dashboard'!$B$64:$AV$64,"&lt;="&amp;'High Level Dashboard'!K$64)+(IFERROR(SUMIF('High Level Dashboard'!$B$64:$AV$64,ROUNDDOWN('High Level Dashboard'!K$64-'High Level Dashboard'!$C$29,0)+1,'High Level Dashboard'!$B$65:$AV$65)*(1-('High Level Dashboard'!$C$29-ROUNDDOWN('High Level Dashboard'!$C$29,0))),"")))*'High Level Dashboard'!$C$28)
))</f>
        <v>5.6934024178620097</v>
      </c>
      <c r="M100" s="434">
        <f ca="1">$B$84*'High Level Dashboard'!$C$27*
(-PMT('High Level Dashboard'!$C$28,'High Level Dashboard'!$C$30-'High Level Dashboard'!$C$29+1,
SUMIFS('High Level Dashboard'!$B$65:$AV$65,'High Level Dashboard'!$B$64:$AV$64,"&gt;="&amp;('High Level Dashboard'!L$64-(ROUNDDOWN('High Level Dashboard'!$C$30,0))+1),'High Level Dashboard'!$B$64:$AV$64,"&lt;="&amp;('High Level Dashboard'!L$64-(ROUNDUP('High Level Dashboard'!$C$29,0)))))
+
IFERROR(-PMT('High Level Dashboard'!$C$28,'High Level Dashboard'!$C$30-'High Level Dashboard'!$C$29+1,
(HLOOKUP('High Level Dashboard'!L$64-(ROUNDUP('High Level Dashboard'!$C$30,0))+1,'High Level Dashboard'!$B$64:$AV$65,2,FALSE))*('High Level Dashboard'!$C$30-(ROUNDDOWN('High Level Dashboard'!$C$30,0)))),0)
+
IFERROR(-PMT('High Level Dashboard'!$C$28,'High Level Dashboard'!$C$30-'High Level Dashboard'!$C$29+1,
(HLOOKUP('High Level Dashboard'!L$64-(ROUNDDOWN('High Level Dashboard'!$C$29,0)),'High Level Dashboard'!$B$64:$AV$65,2,FALSE)*('High Level Dashboard'!$C$29-ROUNDDOWN('High Level Dashboard'!$C$29,0)))),0)
+
(((SUMIFS('High Level Dashboard'!$B$65:$AV$65,'High Level Dashboard'!$B$64:$AV$64,"&gt;"&amp;'High Level Dashboard'!L$64-ROUNDDOWN('High Level Dashboard'!$C$29,0),'High Level Dashboard'!$B$64:$AV$64,"&lt;="&amp;'High Level Dashboard'!L$64)+(IFERROR(SUMIF('High Level Dashboard'!$B$64:$AV$64,ROUNDDOWN('High Level Dashboard'!L$64-'High Level Dashboard'!$C$29,0)+1,'High Level Dashboard'!$B$65:$AV$65)*(1-('High Level Dashboard'!$C$29-ROUNDDOWN('High Level Dashboard'!$C$29,0))),"")))*'High Level Dashboard'!$C$28)
))</f>
        <v>6.3249205574269913</v>
      </c>
      <c r="N100" s="434">
        <f ca="1">$B$84*'High Level Dashboard'!$C$27*
(-PMT('High Level Dashboard'!$C$28,'High Level Dashboard'!$C$30-'High Level Dashboard'!$C$29+1,
SUMIFS('High Level Dashboard'!$B$65:$AV$65,'High Level Dashboard'!$B$64:$AV$64,"&gt;="&amp;('High Level Dashboard'!M$64-(ROUNDDOWN('High Level Dashboard'!$C$30,0))+1),'High Level Dashboard'!$B$64:$AV$64,"&lt;="&amp;('High Level Dashboard'!M$64-(ROUNDUP('High Level Dashboard'!$C$29,0)))))
+
IFERROR(-PMT('High Level Dashboard'!$C$28,'High Level Dashboard'!$C$30-'High Level Dashboard'!$C$29+1,
(HLOOKUP('High Level Dashboard'!M$64-(ROUNDUP('High Level Dashboard'!$C$30,0))+1,'High Level Dashboard'!$B$64:$AV$65,2,FALSE))*('High Level Dashboard'!$C$30-(ROUNDDOWN('High Level Dashboard'!$C$30,0)))),0)
+
IFERROR(-PMT('High Level Dashboard'!$C$28,'High Level Dashboard'!$C$30-'High Level Dashboard'!$C$29+1,
(HLOOKUP('High Level Dashboard'!M$64-(ROUNDDOWN('High Level Dashboard'!$C$29,0)),'High Level Dashboard'!$B$64:$AV$65,2,FALSE)*('High Level Dashboard'!$C$29-ROUNDDOWN('High Level Dashboard'!$C$29,0)))),0)
+
(((SUMIFS('High Level Dashboard'!$B$65:$AV$65,'High Level Dashboard'!$B$64:$AV$64,"&gt;"&amp;'High Level Dashboard'!M$64-ROUNDDOWN('High Level Dashboard'!$C$29,0),'High Level Dashboard'!$B$64:$AV$64,"&lt;="&amp;'High Level Dashboard'!M$64)+(IFERROR(SUMIF('High Level Dashboard'!$B$64:$AV$64,ROUNDDOWN('High Level Dashboard'!M$64-'High Level Dashboard'!$C$29,0)+1,'High Level Dashboard'!$B$65:$AV$65)*(1-('High Level Dashboard'!$C$29-ROUNDDOWN('High Level Dashboard'!$C$29,0))),"")))*'High Level Dashboard'!$C$28)
))</f>
        <v>7.237466243606991</v>
      </c>
      <c r="O100" s="434">
        <f ca="1">$B$84*'High Level Dashboard'!$C$27*
(-PMT('High Level Dashboard'!$C$28,'High Level Dashboard'!$C$30-'High Level Dashboard'!$C$29+1,
SUMIFS('High Level Dashboard'!$B$65:$AV$65,'High Level Dashboard'!$B$64:$AV$64,"&gt;="&amp;('High Level Dashboard'!N$64-(ROUNDDOWN('High Level Dashboard'!$C$30,0))+1),'High Level Dashboard'!$B$64:$AV$64,"&lt;="&amp;('High Level Dashboard'!N$64-(ROUNDUP('High Level Dashboard'!$C$29,0)))))
+
IFERROR(-PMT('High Level Dashboard'!$C$28,'High Level Dashboard'!$C$30-'High Level Dashboard'!$C$29+1,
(HLOOKUP('High Level Dashboard'!N$64-(ROUNDUP('High Level Dashboard'!$C$30,0))+1,'High Level Dashboard'!$B$64:$AV$65,2,FALSE))*('High Level Dashboard'!$C$30-(ROUNDDOWN('High Level Dashboard'!$C$30,0)))),0)
+
IFERROR(-PMT('High Level Dashboard'!$C$28,'High Level Dashboard'!$C$30-'High Level Dashboard'!$C$29+1,
(HLOOKUP('High Level Dashboard'!N$64-(ROUNDDOWN('High Level Dashboard'!$C$29,0)),'High Level Dashboard'!$B$64:$AV$65,2,FALSE)*('High Level Dashboard'!$C$29-ROUNDDOWN('High Level Dashboard'!$C$29,0)))),0)
+
(((SUMIFS('High Level Dashboard'!$B$65:$AV$65,'High Level Dashboard'!$B$64:$AV$64,"&gt;"&amp;'High Level Dashboard'!N$64-ROUNDDOWN('High Level Dashboard'!$C$29,0),'High Level Dashboard'!$B$64:$AV$64,"&lt;="&amp;'High Level Dashboard'!N$64)+(IFERROR(SUMIF('High Level Dashboard'!$B$64:$AV$64,ROUNDDOWN('High Level Dashboard'!N$64-'High Level Dashboard'!$C$29,0)+1,'High Level Dashboard'!$B$65:$AV$65)*(1-('High Level Dashboard'!$C$29-ROUNDDOWN('High Level Dashboard'!$C$29,0))),"")))*'High Level Dashboard'!$C$28)
))</f>
        <v>8.1120001022057142</v>
      </c>
      <c r="P100" s="434">
        <f ca="1">$B$84*'High Level Dashboard'!$C$27*
(-PMT('High Level Dashboard'!$C$28,'High Level Dashboard'!$C$30-'High Level Dashboard'!$C$29+1,
SUMIFS('High Level Dashboard'!$B$65:$AV$65,'High Level Dashboard'!$B$64:$AV$64,"&gt;="&amp;('High Level Dashboard'!O$64-(ROUNDDOWN('High Level Dashboard'!$C$30,0))+1),'High Level Dashboard'!$B$64:$AV$64,"&lt;="&amp;('High Level Dashboard'!O$64-(ROUNDUP('High Level Dashboard'!$C$29,0)))))
+
IFERROR(-PMT('High Level Dashboard'!$C$28,'High Level Dashboard'!$C$30-'High Level Dashboard'!$C$29+1,
(HLOOKUP('High Level Dashboard'!O$64-(ROUNDUP('High Level Dashboard'!$C$30,0))+1,'High Level Dashboard'!$B$64:$AV$65,2,FALSE))*('High Level Dashboard'!$C$30-(ROUNDDOWN('High Level Dashboard'!$C$30,0)))),0)
+
IFERROR(-PMT('High Level Dashboard'!$C$28,'High Level Dashboard'!$C$30-'High Level Dashboard'!$C$29+1,
(HLOOKUP('High Level Dashboard'!O$64-(ROUNDDOWN('High Level Dashboard'!$C$29,0)),'High Level Dashboard'!$B$64:$AV$65,2,FALSE)*('High Level Dashboard'!$C$29-ROUNDDOWN('High Level Dashboard'!$C$29,0)))),0)
+
(((SUMIFS('High Level Dashboard'!$B$65:$AV$65,'High Level Dashboard'!$B$64:$AV$64,"&gt;"&amp;'High Level Dashboard'!O$64-ROUNDDOWN('High Level Dashboard'!$C$29,0),'High Level Dashboard'!$B$64:$AV$64,"&lt;="&amp;'High Level Dashboard'!O$64)+(IFERROR(SUMIF('High Level Dashboard'!$B$64:$AV$64,ROUNDDOWN('High Level Dashboard'!O$64-'High Level Dashboard'!$C$29,0)+1,'High Level Dashboard'!$B$65:$AV$65)*(1-('High Level Dashboard'!$C$29-ROUNDDOWN('High Level Dashboard'!$C$29,0))),"")))*'High Level Dashboard'!$C$28)
))</f>
        <v>8.9346654435524613</v>
      </c>
      <c r="Q100" s="434">
        <f ca="1">$B$84*'High Level Dashboard'!$C$27*
(-PMT('High Level Dashboard'!$C$28,'High Level Dashboard'!$C$30-'High Level Dashboard'!$C$29+1,
SUMIFS('High Level Dashboard'!$B$65:$AV$65,'High Level Dashboard'!$B$64:$AV$64,"&gt;="&amp;('High Level Dashboard'!P$64-(ROUNDDOWN('High Level Dashboard'!$C$30,0))+1),'High Level Dashboard'!$B$64:$AV$64,"&lt;="&amp;('High Level Dashboard'!P$64-(ROUNDUP('High Level Dashboard'!$C$29,0)))))
+
IFERROR(-PMT('High Level Dashboard'!$C$28,'High Level Dashboard'!$C$30-'High Level Dashboard'!$C$29+1,
(HLOOKUP('High Level Dashboard'!P$64-(ROUNDUP('High Level Dashboard'!$C$30,0))+1,'High Level Dashboard'!$B$64:$AV$65,2,FALSE))*('High Level Dashboard'!$C$30-(ROUNDDOWN('High Level Dashboard'!$C$30,0)))),0)
+
IFERROR(-PMT('High Level Dashboard'!$C$28,'High Level Dashboard'!$C$30-'High Level Dashboard'!$C$29+1,
(HLOOKUP('High Level Dashboard'!P$64-(ROUNDDOWN('High Level Dashboard'!$C$29,0)),'High Level Dashboard'!$B$64:$AV$65,2,FALSE)*('High Level Dashboard'!$C$29-ROUNDDOWN('High Level Dashboard'!$C$29,0)))),0)
+
(((SUMIFS('High Level Dashboard'!$B$65:$AV$65,'High Level Dashboard'!$B$64:$AV$64,"&gt;"&amp;'High Level Dashboard'!P$64-ROUNDDOWN('High Level Dashboard'!$C$29,0),'High Level Dashboard'!$B$64:$AV$64,"&lt;="&amp;'High Level Dashboard'!P$64)+(IFERROR(SUMIF('High Level Dashboard'!$B$64:$AV$64,ROUNDDOWN('High Level Dashboard'!P$64-'High Level Dashboard'!$C$29,0)+1,'High Level Dashboard'!$B$65:$AV$65)*(1-('High Level Dashboard'!$C$29-ROUNDDOWN('High Level Dashboard'!$C$29,0))),"")))*'High Level Dashboard'!$C$28)
))</f>
        <v>10.014784497433366</v>
      </c>
      <c r="R100" s="434">
        <f ca="1">$B$84*'High Level Dashboard'!$C$27*
(-PMT('High Level Dashboard'!$C$28,'High Level Dashboard'!$C$30-'High Level Dashboard'!$C$29+1,
SUMIFS('High Level Dashboard'!$B$65:$AV$65,'High Level Dashboard'!$B$64:$AV$64,"&gt;="&amp;('High Level Dashboard'!Q$64-(ROUNDDOWN('High Level Dashboard'!$C$30,0))+1),'High Level Dashboard'!$B$64:$AV$64,"&lt;="&amp;('High Level Dashboard'!Q$64-(ROUNDUP('High Level Dashboard'!$C$29,0)))))
+
IFERROR(-PMT('High Level Dashboard'!$C$28,'High Level Dashboard'!$C$30-'High Level Dashboard'!$C$29+1,
(HLOOKUP('High Level Dashboard'!Q$64-(ROUNDUP('High Level Dashboard'!$C$30,0))+1,'High Level Dashboard'!$B$64:$AV$65,2,FALSE))*('High Level Dashboard'!$C$30-(ROUNDDOWN('High Level Dashboard'!$C$30,0)))),0)
+
IFERROR(-PMT('High Level Dashboard'!$C$28,'High Level Dashboard'!$C$30-'High Level Dashboard'!$C$29+1,
(HLOOKUP('High Level Dashboard'!Q$64-(ROUNDDOWN('High Level Dashboard'!$C$29,0)),'High Level Dashboard'!$B$64:$AV$65,2,FALSE)*('High Level Dashboard'!$C$29-ROUNDDOWN('High Level Dashboard'!$C$29,0)))),0)
+
(((SUMIFS('High Level Dashboard'!$B$65:$AV$65,'High Level Dashboard'!$B$64:$AV$64,"&gt;"&amp;'High Level Dashboard'!Q$64-ROUNDDOWN('High Level Dashboard'!$C$29,0),'High Level Dashboard'!$B$64:$AV$64,"&lt;="&amp;'High Level Dashboard'!Q$64)+(IFERROR(SUMIF('High Level Dashboard'!$B$64:$AV$64,ROUNDDOWN('High Level Dashboard'!Q$64-'High Level Dashboard'!$C$29,0)+1,'High Level Dashboard'!$B$65:$AV$65)*(1-('High Level Dashboard'!$C$29-ROUNDDOWN('High Level Dashboard'!$C$29,0))),"")))*'High Level Dashboard'!$C$28)
))</f>
        <v>11.359726664725189</v>
      </c>
      <c r="S100" s="434">
        <f ca="1">$B$84*'High Level Dashboard'!$C$27*
(-PMT('High Level Dashboard'!$C$28,'High Level Dashboard'!$C$30-'High Level Dashboard'!$C$29+1,
SUMIFS('High Level Dashboard'!$B$65:$AV$65,'High Level Dashboard'!$B$64:$AV$64,"&gt;="&amp;('High Level Dashboard'!R$64-(ROUNDDOWN('High Level Dashboard'!$C$30,0))+1),'High Level Dashboard'!$B$64:$AV$64,"&lt;="&amp;('High Level Dashboard'!R$64-(ROUNDUP('High Level Dashboard'!$C$29,0)))))
+
IFERROR(-PMT('High Level Dashboard'!$C$28,'High Level Dashboard'!$C$30-'High Level Dashboard'!$C$29+1,
(HLOOKUP('High Level Dashboard'!R$64-(ROUNDUP('High Level Dashboard'!$C$30,0))+1,'High Level Dashboard'!$B$64:$AV$65,2,FALSE))*('High Level Dashboard'!$C$30-(ROUNDDOWN('High Level Dashboard'!$C$30,0)))),0)
+
IFERROR(-PMT('High Level Dashboard'!$C$28,'High Level Dashboard'!$C$30-'High Level Dashboard'!$C$29+1,
(HLOOKUP('High Level Dashboard'!R$64-(ROUNDDOWN('High Level Dashboard'!$C$29,0)),'High Level Dashboard'!$B$64:$AV$65,2,FALSE)*('High Level Dashboard'!$C$29-ROUNDDOWN('High Level Dashboard'!$C$29,0)))),0)
+
(((SUMIFS('High Level Dashboard'!$B$65:$AV$65,'High Level Dashboard'!$B$64:$AV$64,"&gt;"&amp;'High Level Dashboard'!R$64-ROUNDDOWN('High Level Dashboard'!$C$29,0),'High Level Dashboard'!$B$64:$AV$64,"&lt;="&amp;'High Level Dashboard'!R$64)+(IFERROR(SUMIF('High Level Dashboard'!$B$64:$AV$64,ROUNDDOWN('High Level Dashboard'!R$64-'High Level Dashboard'!$C$29,0)+1,'High Level Dashboard'!$B$65:$AV$65)*(1-('High Level Dashboard'!$C$29-ROUNDDOWN('High Level Dashboard'!$C$29,0))),"")))*'High Level Dashboard'!$C$28)
))</f>
        <v>12.555278612325164</v>
      </c>
      <c r="T100" s="434">
        <f ca="1">$B$84*'High Level Dashboard'!$C$27*
(-PMT('High Level Dashboard'!$C$28,'High Level Dashboard'!$C$30-'High Level Dashboard'!$C$29+1,
SUMIFS('High Level Dashboard'!$B$65:$AV$65,'High Level Dashboard'!$B$64:$AV$64,"&gt;="&amp;('High Level Dashboard'!S$64-(ROUNDDOWN('High Level Dashboard'!$C$30,0))+1),'High Level Dashboard'!$B$64:$AV$64,"&lt;="&amp;('High Level Dashboard'!S$64-(ROUNDUP('High Level Dashboard'!$C$29,0)))))
+
IFERROR(-PMT('High Level Dashboard'!$C$28,'High Level Dashboard'!$C$30-'High Level Dashboard'!$C$29+1,
(HLOOKUP('High Level Dashboard'!S$64-(ROUNDUP('High Level Dashboard'!$C$30,0))+1,'High Level Dashboard'!$B$64:$AV$65,2,FALSE))*('High Level Dashboard'!$C$30-(ROUNDDOWN('High Level Dashboard'!$C$30,0)))),0)
+
IFERROR(-PMT('High Level Dashboard'!$C$28,'High Level Dashboard'!$C$30-'High Level Dashboard'!$C$29+1,
(HLOOKUP('High Level Dashboard'!S$64-(ROUNDDOWN('High Level Dashboard'!$C$29,0)),'High Level Dashboard'!$B$64:$AV$65,2,FALSE)*('High Level Dashboard'!$C$29-ROUNDDOWN('High Level Dashboard'!$C$29,0)))),0)
+
(((SUMIFS('High Level Dashboard'!$B$65:$AV$65,'High Level Dashboard'!$B$64:$AV$64,"&gt;"&amp;'High Level Dashboard'!S$64-ROUNDDOWN('High Level Dashboard'!$C$29,0),'High Level Dashboard'!$B$64:$AV$64,"&lt;="&amp;'High Level Dashboard'!S$64)+(IFERROR(SUMIF('High Level Dashboard'!$B$64:$AV$64,ROUNDDOWN('High Level Dashboard'!S$64-'High Level Dashboard'!$C$29,0)+1,'High Level Dashboard'!$B$65:$AV$65)*(1-('High Level Dashboard'!$C$29-ROUNDDOWN('High Level Dashboard'!$C$29,0))),"")))*'High Level Dashboard'!$C$28)
))</f>
        <v>13.40289796957566</v>
      </c>
      <c r="U100" s="434">
        <f ca="1">$B$84*'High Level Dashboard'!$C$27*
(-PMT('High Level Dashboard'!$C$28,'High Level Dashboard'!$C$30-'High Level Dashboard'!$C$29+1,
SUMIFS('High Level Dashboard'!$B$65:$AV$65,'High Level Dashboard'!$B$64:$AV$64,"&gt;="&amp;('High Level Dashboard'!T$64-(ROUNDDOWN('High Level Dashboard'!$C$30,0))+1),'High Level Dashboard'!$B$64:$AV$64,"&lt;="&amp;('High Level Dashboard'!T$64-(ROUNDUP('High Level Dashboard'!$C$29,0)))))
+
IFERROR(-PMT('High Level Dashboard'!$C$28,'High Level Dashboard'!$C$30-'High Level Dashboard'!$C$29+1,
(HLOOKUP('High Level Dashboard'!T$64-(ROUNDUP('High Level Dashboard'!$C$30,0))+1,'High Level Dashboard'!$B$64:$AV$65,2,FALSE))*('High Level Dashboard'!$C$30-(ROUNDDOWN('High Level Dashboard'!$C$30,0)))),0)
+
IFERROR(-PMT('High Level Dashboard'!$C$28,'High Level Dashboard'!$C$30-'High Level Dashboard'!$C$29+1,
(HLOOKUP('High Level Dashboard'!T$64-(ROUNDDOWN('High Level Dashboard'!$C$29,0)),'High Level Dashboard'!$B$64:$AV$65,2,FALSE)*('High Level Dashboard'!$C$29-ROUNDDOWN('High Level Dashboard'!$C$29,0)))),0)
+
(((SUMIFS('High Level Dashboard'!$B$65:$AV$65,'High Level Dashboard'!$B$64:$AV$64,"&gt;"&amp;'High Level Dashboard'!T$64-ROUNDDOWN('High Level Dashboard'!$C$29,0),'High Level Dashboard'!$B$64:$AV$64,"&lt;="&amp;'High Level Dashboard'!T$64)+(IFERROR(SUMIF('High Level Dashboard'!$B$64:$AV$64,ROUNDDOWN('High Level Dashboard'!T$64-'High Level Dashboard'!$C$29,0)+1,'High Level Dashboard'!$B$65:$AV$65)*(1-('High Level Dashboard'!$C$29-ROUNDDOWN('High Level Dashboard'!$C$29,0))),"")))*'High Level Dashboard'!$C$28)
))</f>
        <v>14.032019506460394</v>
      </c>
      <c r="V100" s="434">
        <f ca="1">$B$84*'High Level Dashboard'!$C$27*
(-PMT('High Level Dashboard'!$C$28,'High Level Dashboard'!$C$30-'High Level Dashboard'!$C$29+1,
SUMIFS('High Level Dashboard'!$B$65:$AV$65,'High Level Dashboard'!$B$64:$AV$64,"&gt;="&amp;('High Level Dashboard'!U$64-(ROUNDDOWN('High Level Dashboard'!$C$30,0))+1),'High Level Dashboard'!$B$64:$AV$64,"&lt;="&amp;('High Level Dashboard'!U$64-(ROUNDUP('High Level Dashboard'!$C$29,0)))))
+
IFERROR(-PMT('High Level Dashboard'!$C$28,'High Level Dashboard'!$C$30-'High Level Dashboard'!$C$29+1,
(HLOOKUP('High Level Dashboard'!U$64-(ROUNDUP('High Level Dashboard'!$C$30,0))+1,'High Level Dashboard'!$B$64:$AV$65,2,FALSE))*('High Level Dashboard'!$C$30-(ROUNDDOWN('High Level Dashboard'!$C$30,0)))),0)
+
IFERROR(-PMT('High Level Dashboard'!$C$28,'High Level Dashboard'!$C$30-'High Level Dashboard'!$C$29+1,
(HLOOKUP('High Level Dashboard'!U$64-(ROUNDDOWN('High Level Dashboard'!$C$29,0)),'High Level Dashboard'!$B$64:$AV$65,2,FALSE)*('High Level Dashboard'!$C$29-ROUNDDOWN('High Level Dashboard'!$C$29,0)))),0)
+
(((SUMIFS('High Level Dashboard'!$B$65:$AV$65,'High Level Dashboard'!$B$64:$AV$64,"&gt;"&amp;'High Level Dashboard'!U$64-ROUNDDOWN('High Level Dashboard'!$C$29,0),'High Level Dashboard'!$B$64:$AV$64,"&lt;="&amp;'High Level Dashboard'!U$64)+(IFERROR(SUMIF('High Level Dashboard'!$B$64:$AV$64,ROUNDDOWN('High Level Dashboard'!U$64-'High Level Dashboard'!$C$29,0)+1,'High Level Dashboard'!$B$65:$AV$65)*(1-('High Level Dashboard'!$C$29-ROUNDDOWN('High Level Dashboard'!$C$29,0))),"")))*'High Level Dashboard'!$C$28)
))</f>
        <v>14.416685176720669</v>
      </c>
      <c r="W100" s="434">
        <f ca="1">$B$84*'High Level Dashboard'!$C$27*
(-PMT('High Level Dashboard'!$C$28,'High Level Dashboard'!$C$30-'High Level Dashboard'!$C$29+1,
SUMIFS('High Level Dashboard'!$B$65:$AV$65,'High Level Dashboard'!$B$64:$AV$64,"&gt;="&amp;('High Level Dashboard'!V$64-(ROUNDDOWN('High Level Dashboard'!$C$30,0))+1),'High Level Dashboard'!$B$64:$AV$64,"&lt;="&amp;('High Level Dashboard'!V$64-(ROUNDUP('High Level Dashboard'!$C$29,0)))))
+
IFERROR(-PMT('High Level Dashboard'!$C$28,'High Level Dashboard'!$C$30-'High Level Dashboard'!$C$29+1,
(HLOOKUP('High Level Dashboard'!V$64-(ROUNDUP('High Level Dashboard'!$C$30,0))+1,'High Level Dashboard'!$B$64:$AV$65,2,FALSE))*('High Level Dashboard'!$C$30-(ROUNDDOWN('High Level Dashboard'!$C$30,0)))),0)
+
IFERROR(-PMT('High Level Dashboard'!$C$28,'High Level Dashboard'!$C$30-'High Level Dashboard'!$C$29+1,
(HLOOKUP('High Level Dashboard'!V$64-(ROUNDDOWN('High Level Dashboard'!$C$29,0)),'High Level Dashboard'!$B$64:$AV$65,2,FALSE)*('High Level Dashboard'!$C$29-ROUNDDOWN('High Level Dashboard'!$C$29,0)))),0)
+
(((SUMIFS('High Level Dashboard'!$B$65:$AV$65,'High Level Dashboard'!$B$64:$AV$64,"&gt;"&amp;'High Level Dashboard'!V$64-ROUNDDOWN('High Level Dashboard'!$C$29,0),'High Level Dashboard'!$B$64:$AV$64,"&lt;="&amp;'High Level Dashboard'!V$64)+(IFERROR(SUMIF('High Level Dashboard'!$B$64:$AV$64,ROUNDDOWN('High Level Dashboard'!V$64-'High Level Dashboard'!$C$29,0)+1,'High Level Dashboard'!$B$65:$AV$65)*(1-('High Level Dashboard'!$C$29-ROUNDDOWN('High Level Dashboard'!$C$29,0))),"")))*'High Level Dashboard'!$C$28)
))</f>
        <v>14.839721093973113</v>
      </c>
      <c r="X100" s="434">
        <f ca="1">$B$84*'High Level Dashboard'!$C$27*
(-PMT('High Level Dashboard'!$C$28,'High Level Dashboard'!$C$30-'High Level Dashboard'!$C$29+1,
SUMIFS('High Level Dashboard'!$B$65:$AV$65,'High Level Dashboard'!$B$64:$AV$64,"&gt;="&amp;('High Level Dashboard'!W$64-(ROUNDDOWN('High Level Dashboard'!$C$30,0))+1),'High Level Dashboard'!$B$64:$AV$64,"&lt;="&amp;('High Level Dashboard'!W$64-(ROUNDUP('High Level Dashboard'!$C$29,0)))))
+
IFERROR(-PMT('High Level Dashboard'!$C$28,'High Level Dashboard'!$C$30-'High Level Dashboard'!$C$29+1,
(HLOOKUP('High Level Dashboard'!W$64-(ROUNDUP('High Level Dashboard'!$C$30,0))+1,'High Level Dashboard'!$B$64:$AV$65,2,FALSE))*('High Level Dashboard'!$C$30-(ROUNDDOWN('High Level Dashboard'!$C$30,0)))),0)
+
IFERROR(-PMT('High Level Dashboard'!$C$28,'High Level Dashboard'!$C$30-'High Level Dashboard'!$C$29+1,
(HLOOKUP('High Level Dashboard'!W$64-(ROUNDDOWN('High Level Dashboard'!$C$29,0)),'High Level Dashboard'!$B$64:$AV$65,2,FALSE)*('High Level Dashboard'!$C$29-ROUNDDOWN('High Level Dashboard'!$C$29,0)))),0)
+
(((SUMIFS('High Level Dashboard'!$B$65:$AV$65,'High Level Dashboard'!$B$64:$AV$64,"&gt;"&amp;'High Level Dashboard'!W$64-ROUNDDOWN('High Level Dashboard'!$C$29,0),'High Level Dashboard'!$B$64:$AV$64,"&lt;="&amp;'High Level Dashboard'!W$64)+(IFERROR(SUMIF('High Level Dashboard'!$B$64:$AV$64,ROUNDDOWN('High Level Dashboard'!W$64-'High Level Dashboard'!$C$29,0)+1,'High Level Dashboard'!$B$65:$AV$65)*(1-('High Level Dashboard'!$C$29-ROUNDDOWN('High Level Dashboard'!$C$29,0))),"")))*'High Level Dashboard'!$C$28)
))</f>
        <v>15.386877600619471</v>
      </c>
      <c r="Y100" s="434">
        <f ca="1">$B$84*'High Level Dashboard'!$C$27*
(-PMT('High Level Dashboard'!$C$28,'High Level Dashboard'!$C$30-'High Level Dashboard'!$C$29+1,
SUMIFS('High Level Dashboard'!$B$65:$AV$65,'High Level Dashboard'!$B$64:$AV$64,"&gt;="&amp;('High Level Dashboard'!X$64-(ROUNDDOWN('High Level Dashboard'!$C$30,0))+1),'High Level Dashboard'!$B$64:$AV$64,"&lt;="&amp;('High Level Dashboard'!X$64-(ROUNDUP('High Level Dashboard'!$C$29,0)))))
+
IFERROR(-PMT('High Level Dashboard'!$C$28,'High Level Dashboard'!$C$30-'High Level Dashboard'!$C$29+1,
(HLOOKUP('High Level Dashboard'!X$64-(ROUNDUP('High Level Dashboard'!$C$30,0))+1,'High Level Dashboard'!$B$64:$AV$65,2,FALSE))*('High Level Dashboard'!$C$30-(ROUNDDOWN('High Level Dashboard'!$C$30,0)))),0)
+
IFERROR(-PMT('High Level Dashboard'!$C$28,'High Level Dashboard'!$C$30-'High Level Dashboard'!$C$29+1,
(HLOOKUP('High Level Dashboard'!X$64-(ROUNDDOWN('High Level Dashboard'!$C$29,0)),'High Level Dashboard'!$B$64:$AV$65,2,FALSE)*('High Level Dashboard'!$C$29-ROUNDDOWN('High Level Dashboard'!$C$29,0)))),0)
+
(((SUMIFS('High Level Dashboard'!$B$65:$AV$65,'High Level Dashboard'!$B$64:$AV$64,"&gt;"&amp;'High Level Dashboard'!X$64-ROUNDDOWN('High Level Dashboard'!$C$29,0),'High Level Dashboard'!$B$64:$AV$64,"&lt;="&amp;'High Level Dashboard'!X$64)+(IFERROR(SUMIF('High Level Dashboard'!$B$64:$AV$64,ROUNDDOWN('High Level Dashboard'!X$64-'High Level Dashboard'!$C$29,0)+1,'High Level Dashboard'!$B$65:$AV$65)*(1-('High Level Dashboard'!$C$29-ROUNDDOWN('High Level Dashboard'!$C$29,0))),"")))*'High Level Dashboard'!$C$28)
))</f>
        <v>15.835226875141023</v>
      </c>
      <c r="Z100" s="434">
        <f ca="1">$B$84*'High Level Dashboard'!$C$27*
(-PMT('High Level Dashboard'!$C$28,'High Level Dashboard'!$C$30-'High Level Dashboard'!$C$29+1,
SUMIFS('High Level Dashboard'!$B$65:$AV$65,'High Level Dashboard'!$B$64:$AV$64,"&gt;="&amp;('High Level Dashboard'!Y$64-(ROUNDDOWN('High Level Dashboard'!$C$30,0))+1),'High Level Dashboard'!$B$64:$AV$64,"&lt;="&amp;('High Level Dashboard'!Y$64-(ROUNDUP('High Level Dashboard'!$C$29,0)))))
+
IFERROR(-PMT('High Level Dashboard'!$C$28,'High Level Dashboard'!$C$30-'High Level Dashboard'!$C$29+1,
(HLOOKUP('High Level Dashboard'!Y$64-(ROUNDUP('High Level Dashboard'!$C$30,0))+1,'High Level Dashboard'!$B$64:$AV$65,2,FALSE))*('High Level Dashboard'!$C$30-(ROUNDDOWN('High Level Dashboard'!$C$30,0)))),0)
+
IFERROR(-PMT('High Level Dashboard'!$C$28,'High Level Dashboard'!$C$30-'High Level Dashboard'!$C$29+1,
(HLOOKUP('High Level Dashboard'!Y$64-(ROUNDDOWN('High Level Dashboard'!$C$29,0)),'High Level Dashboard'!$B$64:$AV$65,2,FALSE)*('High Level Dashboard'!$C$29-ROUNDDOWN('High Level Dashboard'!$C$29,0)))),0)
+
(((SUMIFS('High Level Dashboard'!$B$65:$AV$65,'High Level Dashboard'!$B$64:$AV$64,"&gt;"&amp;'High Level Dashboard'!Y$64-ROUNDDOWN('High Level Dashboard'!$C$29,0),'High Level Dashboard'!$B$64:$AV$64,"&lt;="&amp;'High Level Dashboard'!Y$64)+(IFERROR(SUMIF('High Level Dashboard'!$B$64:$AV$64,ROUNDDOWN('High Level Dashboard'!Y$64-'High Level Dashboard'!$C$29,0)+1,'High Level Dashboard'!$B$65:$AV$65)*(1-('High Level Dashboard'!$C$29-ROUNDDOWN('High Level Dashboard'!$C$29,0))),"")))*'High Level Dashboard'!$C$28)
))</f>
        <v>16.256924988185787</v>
      </c>
      <c r="AA100" s="434">
        <f ca="1">$B$84*'High Level Dashboard'!$C$27*
(-PMT('High Level Dashboard'!$C$28,'High Level Dashboard'!$C$30-'High Level Dashboard'!$C$29+1,
SUMIFS('High Level Dashboard'!$B$65:$AV$65,'High Level Dashboard'!$B$64:$AV$64,"&gt;="&amp;('High Level Dashboard'!Z$64-(ROUNDDOWN('High Level Dashboard'!$C$30,0))+1),'High Level Dashboard'!$B$64:$AV$64,"&lt;="&amp;('High Level Dashboard'!Z$64-(ROUNDUP('High Level Dashboard'!$C$29,0)))))
+
IFERROR(-PMT('High Level Dashboard'!$C$28,'High Level Dashboard'!$C$30-'High Level Dashboard'!$C$29+1,
(HLOOKUP('High Level Dashboard'!Z$64-(ROUNDUP('High Level Dashboard'!$C$30,0))+1,'High Level Dashboard'!$B$64:$AV$65,2,FALSE))*('High Level Dashboard'!$C$30-(ROUNDDOWN('High Level Dashboard'!$C$30,0)))),0)
+
IFERROR(-PMT('High Level Dashboard'!$C$28,'High Level Dashboard'!$C$30-'High Level Dashboard'!$C$29+1,
(HLOOKUP('High Level Dashboard'!Z$64-(ROUNDDOWN('High Level Dashboard'!$C$29,0)),'High Level Dashboard'!$B$64:$AV$65,2,FALSE)*('High Level Dashboard'!$C$29-ROUNDDOWN('High Level Dashboard'!$C$29,0)))),0)
+
(((SUMIFS('High Level Dashboard'!$B$65:$AV$65,'High Level Dashboard'!$B$64:$AV$64,"&gt;"&amp;'High Level Dashboard'!Z$64-ROUNDDOWN('High Level Dashboard'!$C$29,0),'High Level Dashboard'!$B$64:$AV$64,"&lt;="&amp;'High Level Dashboard'!Z$64)+(IFERROR(SUMIF('High Level Dashboard'!$B$64:$AV$64,ROUNDDOWN('High Level Dashboard'!Z$64-'High Level Dashboard'!$C$29,0)+1,'High Level Dashboard'!$B$65:$AV$65)*(1-('High Level Dashboard'!$C$29-ROUNDDOWN('High Level Dashboard'!$C$29,0))),"")))*'High Level Dashboard'!$C$28)
))</f>
        <v>16.916579787445613</v>
      </c>
      <c r="AB100" s="434">
        <f ca="1">$B$84*'High Level Dashboard'!$C$27*
(-PMT('High Level Dashboard'!$C$28,'High Level Dashboard'!$C$30-'High Level Dashboard'!$C$29+1,
SUMIFS('High Level Dashboard'!$B$65:$AV$65,'High Level Dashboard'!$B$64:$AV$64,"&gt;="&amp;('High Level Dashboard'!AA$64-(ROUNDDOWN('High Level Dashboard'!$C$30,0))+1),'High Level Dashboard'!$B$64:$AV$64,"&lt;="&amp;('High Level Dashboard'!AA$64-(ROUNDUP('High Level Dashboard'!$C$29,0)))))
+
IFERROR(-PMT('High Level Dashboard'!$C$28,'High Level Dashboard'!$C$30-'High Level Dashboard'!$C$29+1,
(HLOOKUP('High Level Dashboard'!AA$64-(ROUNDUP('High Level Dashboard'!$C$30,0))+1,'High Level Dashboard'!$B$64:$AV$65,2,FALSE))*('High Level Dashboard'!$C$30-(ROUNDDOWN('High Level Dashboard'!$C$30,0)))),0)
+
IFERROR(-PMT('High Level Dashboard'!$C$28,'High Level Dashboard'!$C$30-'High Level Dashboard'!$C$29+1,
(HLOOKUP('High Level Dashboard'!AA$64-(ROUNDDOWN('High Level Dashboard'!$C$29,0)),'High Level Dashboard'!$B$64:$AV$65,2,FALSE)*('High Level Dashboard'!$C$29-ROUNDDOWN('High Level Dashboard'!$C$29,0)))),0)
+
(((SUMIFS('High Level Dashboard'!$B$65:$AV$65,'High Level Dashboard'!$B$64:$AV$64,"&gt;"&amp;'High Level Dashboard'!AA$64-ROUNDDOWN('High Level Dashboard'!$C$29,0),'High Level Dashboard'!$B$64:$AV$64,"&lt;="&amp;'High Level Dashboard'!AA$64)+(IFERROR(SUMIF('High Level Dashboard'!$B$64:$AV$64,ROUNDDOWN('High Level Dashboard'!AA$64-'High Level Dashboard'!$C$29,0)+1,'High Level Dashboard'!$B$65:$AV$65)*(1-('High Level Dashboard'!$C$29-ROUNDDOWN('High Level Dashboard'!$C$29,0))),"")))*'High Level Dashboard'!$C$28)
))</f>
        <v>17.768454976381538</v>
      </c>
      <c r="AC100" s="434">
        <f ca="1">$B$84*'High Level Dashboard'!$C$27*
(-PMT('High Level Dashboard'!$C$28,'High Level Dashboard'!$C$30-'High Level Dashboard'!$C$29+1,
SUMIFS('High Level Dashboard'!$B$65:$AV$65,'High Level Dashboard'!$B$64:$AV$64,"&gt;="&amp;('High Level Dashboard'!AB$64-(ROUNDDOWN('High Level Dashboard'!$C$30,0))+1),'High Level Dashboard'!$B$64:$AV$64,"&lt;="&amp;('High Level Dashboard'!AB$64-(ROUNDUP('High Level Dashboard'!$C$29,0)))))
+
IFERROR(-PMT('High Level Dashboard'!$C$28,'High Level Dashboard'!$C$30-'High Level Dashboard'!$C$29+1,
(HLOOKUP('High Level Dashboard'!AB$64-(ROUNDUP('High Level Dashboard'!$C$30,0))+1,'High Level Dashboard'!$B$64:$AV$65,2,FALSE))*('High Level Dashboard'!$C$30-(ROUNDDOWN('High Level Dashboard'!$C$30,0)))),0)
+
IFERROR(-PMT('High Level Dashboard'!$C$28,'High Level Dashboard'!$C$30-'High Level Dashboard'!$C$29+1,
(HLOOKUP('High Level Dashboard'!AB$64-(ROUNDDOWN('High Level Dashboard'!$C$29,0)),'High Level Dashboard'!$B$64:$AV$65,2,FALSE)*('High Level Dashboard'!$C$29-ROUNDDOWN('High Level Dashboard'!$C$29,0)))),0)
+
(((SUMIFS('High Level Dashboard'!$B$65:$AV$65,'High Level Dashboard'!$B$64:$AV$64,"&gt;"&amp;'High Level Dashboard'!AB$64-ROUNDDOWN('High Level Dashboard'!$C$29,0),'High Level Dashboard'!$B$64:$AV$64,"&lt;="&amp;'High Level Dashboard'!AB$64)+(IFERROR(SUMIF('High Level Dashboard'!$B$64:$AV$64,ROUNDDOWN('High Level Dashboard'!AB$64-'High Level Dashboard'!$C$29,0)+1,'High Level Dashboard'!$B$65:$AV$65)*(1-('High Level Dashboard'!$C$29-ROUNDDOWN('High Level Dashboard'!$C$29,0))),"")))*'High Level Dashboard'!$C$28)
))</f>
        <v>18.718759872348347</v>
      </c>
      <c r="AD100" s="434">
        <f ca="1">$B$84*'High Level Dashboard'!$C$27*
(-PMT('High Level Dashboard'!$C$28,'High Level Dashboard'!$C$30-'High Level Dashboard'!$C$29+1,
SUMIFS('High Level Dashboard'!$B$65:$AV$65,'High Level Dashboard'!$B$64:$AV$64,"&gt;="&amp;('High Level Dashboard'!AC$64-(ROUNDDOWN('High Level Dashboard'!$C$30,0))+1),'High Level Dashboard'!$B$64:$AV$64,"&lt;="&amp;('High Level Dashboard'!AC$64-(ROUNDUP('High Level Dashboard'!$C$29,0)))))
+
IFERROR(-PMT('High Level Dashboard'!$C$28,'High Level Dashboard'!$C$30-'High Level Dashboard'!$C$29+1,
(HLOOKUP('High Level Dashboard'!AC$64-(ROUNDUP('High Level Dashboard'!$C$30,0))+1,'High Level Dashboard'!$B$64:$AV$65,2,FALSE))*('High Level Dashboard'!$C$30-(ROUNDDOWN('High Level Dashboard'!$C$30,0)))),0)
+
IFERROR(-PMT('High Level Dashboard'!$C$28,'High Level Dashboard'!$C$30-'High Level Dashboard'!$C$29+1,
(HLOOKUP('High Level Dashboard'!AC$64-(ROUNDDOWN('High Level Dashboard'!$C$29,0)),'High Level Dashboard'!$B$64:$AV$65,2,FALSE)*('High Level Dashboard'!$C$29-ROUNDDOWN('High Level Dashboard'!$C$29,0)))),0)
+
(((SUMIFS('High Level Dashboard'!$B$65:$AV$65,'High Level Dashboard'!$B$64:$AV$64,"&gt;"&amp;'High Level Dashboard'!AC$64-ROUNDDOWN('High Level Dashboard'!$C$29,0),'High Level Dashboard'!$B$64:$AV$64,"&lt;="&amp;'High Level Dashboard'!AC$64)+(IFERROR(SUMIF('High Level Dashboard'!$B$64:$AV$64,ROUNDDOWN('High Level Dashboard'!AC$64-'High Level Dashboard'!$C$29,0)+1,'High Level Dashboard'!$B$65:$AV$65)*(1-('High Level Dashboard'!$C$29-ROUNDDOWN('High Level Dashboard'!$C$29,0))),"")))*'High Level Dashboard'!$C$28)
))</f>
        <v>19.464153170615084</v>
      </c>
      <c r="AE100" s="434">
        <f ca="1">$B$84*'High Level Dashboard'!$C$27*
(-PMT('High Level Dashboard'!$C$28,'High Level Dashboard'!$C$30-'High Level Dashboard'!$C$29+1,
SUMIFS('High Level Dashboard'!$B$65:$AV$65,'High Level Dashboard'!$B$64:$AV$64,"&gt;="&amp;('High Level Dashboard'!AD$64-(ROUNDDOWN('High Level Dashboard'!$C$30,0))+1),'High Level Dashboard'!$B$64:$AV$64,"&lt;="&amp;('High Level Dashboard'!AD$64-(ROUNDUP('High Level Dashboard'!$C$29,0)))))
+
IFERROR(-PMT('High Level Dashboard'!$C$28,'High Level Dashboard'!$C$30-'High Level Dashboard'!$C$29+1,
(HLOOKUP('High Level Dashboard'!AD$64-(ROUNDUP('High Level Dashboard'!$C$30,0))+1,'High Level Dashboard'!$B$64:$AV$65,2,FALSE))*('High Level Dashboard'!$C$30-(ROUNDDOWN('High Level Dashboard'!$C$30,0)))),0)
+
IFERROR(-PMT('High Level Dashboard'!$C$28,'High Level Dashboard'!$C$30-'High Level Dashboard'!$C$29+1,
(HLOOKUP('High Level Dashboard'!AD$64-(ROUNDDOWN('High Level Dashboard'!$C$29,0)),'High Level Dashboard'!$B$64:$AV$65,2,FALSE)*('High Level Dashboard'!$C$29-ROUNDDOWN('High Level Dashboard'!$C$29,0)))),0)
+
(((SUMIFS('High Level Dashboard'!$B$65:$AV$65,'High Level Dashboard'!$B$64:$AV$64,"&gt;"&amp;'High Level Dashboard'!AD$64-ROUNDDOWN('High Level Dashboard'!$C$29,0),'High Level Dashboard'!$B$64:$AV$64,"&lt;="&amp;'High Level Dashboard'!AD$64)+(IFERROR(SUMIF('High Level Dashboard'!$B$64:$AV$64,ROUNDDOWN('High Level Dashboard'!AD$64-'High Level Dashboard'!$C$29,0)+1,'High Level Dashboard'!$B$65:$AV$65)*(1-('High Level Dashboard'!$C$29-ROUNDDOWN('High Level Dashboard'!$C$29,0))),"")))*'High Level Dashboard'!$C$28)
))</f>
        <v>20.144531723583224</v>
      </c>
      <c r="AF100" s="434">
        <f ca="1">$B$84*'High Level Dashboard'!$C$27*
(-PMT('High Level Dashboard'!$C$28,'High Level Dashboard'!$C$30-'High Level Dashboard'!$C$29+1,
SUMIFS('High Level Dashboard'!$B$65:$AV$65,'High Level Dashboard'!$B$64:$AV$64,"&gt;="&amp;('High Level Dashboard'!AE$64-(ROUNDDOWN('High Level Dashboard'!$C$30,0))+1),'High Level Dashboard'!$B$64:$AV$64,"&lt;="&amp;('High Level Dashboard'!AE$64-(ROUNDUP('High Level Dashboard'!$C$29,0)))))
+
IFERROR(-PMT('High Level Dashboard'!$C$28,'High Level Dashboard'!$C$30-'High Level Dashboard'!$C$29+1,
(HLOOKUP('High Level Dashboard'!AE$64-(ROUNDUP('High Level Dashboard'!$C$30,0))+1,'High Level Dashboard'!$B$64:$AV$65,2,FALSE))*('High Level Dashboard'!$C$30-(ROUNDDOWN('High Level Dashboard'!$C$30,0)))),0)
+
IFERROR(-PMT('High Level Dashboard'!$C$28,'High Level Dashboard'!$C$30-'High Level Dashboard'!$C$29+1,
(HLOOKUP('High Level Dashboard'!AE$64-(ROUNDDOWN('High Level Dashboard'!$C$29,0)),'High Level Dashboard'!$B$64:$AV$65,2,FALSE)*('High Level Dashboard'!$C$29-ROUNDDOWN('High Level Dashboard'!$C$29,0)))),0)
+
(((SUMIFS('High Level Dashboard'!$B$65:$AV$65,'High Level Dashboard'!$B$64:$AV$64,"&gt;"&amp;'High Level Dashboard'!AE$64-ROUNDDOWN('High Level Dashboard'!$C$29,0),'High Level Dashboard'!$B$64:$AV$64,"&lt;="&amp;'High Level Dashboard'!AE$64)+(IFERROR(SUMIF('High Level Dashboard'!$B$64:$AV$64,ROUNDDOWN('High Level Dashboard'!AE$64-'High Level Dashboard'!$C$29,0)+1,'High Level Dashboard'!$B$65:$AV$65)*(1-('High Level Dashboard'!$C$29-ROUNDDOWN('High Level Dashboard'!$C$29,0))),"")))*'High Level Dashboard'!$C$28)
))</f>
        <v>21.228104319710553</v>
      </c>
      <c r="AG100" s="434">
        <f ca="1">$B$84*'High Level Dashboard'!$C$27*
(-PMT('High Level Dashboard'!$C$28,'High Level Dashboard'!$C$30-'High Level Dashboard'!$C$29+1,
SUMIFS('High Level Dashboard'!$B$65:$AV$65,'High Level Dashboard'!$B$64:$AV$64,"&gt;="&amp;('High Level Dashboard'!AF$64-(ROUNDDOWN('High Level Dashboard'!$C$30,0))+1),'High Level Dashboard'!$B$64:$AV$64,"&lt;="&amp;('High Level Dashboard'!AF$64-(ROUNDUP('High Level Dashboard'!$C$29,0)))))
+
IFERROR(-PMT('High Level Dashboard'!$C$28,'High Level Dashboard'!$C$30-'High Level Dashboard'!$C$29+1,
(HLOOKUP('High Level Dashboard'!AF$64-(ROUNDUP('High Level Dashboard'!$C$30,0))+1,'High Level Dashboard'!$B$64:$AV$65,2,FALSE))*('High Level Dashboard'!$C$30-(ROUNDDOWN('High Level Dashboard'!$C$30,0)))),0)
+
IFERROR(-PMT('High Level Dashboard'!$C$28,'High Level Dashboard'!$C$30-'High Level Dashboard'!$C$29+1,
(HLOOKUP('High Level Dashboard'!AF$64-(ROUNDDOWN('High Level Dashboard'!$C$29,0)),'High Level Dashboard'!$B$64:$AV$65,2,FALSE)*('High Level Dashboard'!$C$29-ROUNDDOWN('High Level Dashboard'!$C$29,0)))),0)
+
(((SUMIFS('High Level Dashboard'!$B$65:$AV$65,'High Level Dashboard'!$B$64:$AV$64,"&gt;"&amp;'High Level Dashboard'!AF$64-ROUNDDOWN('High Level Dashboard'!$C$29,0),'High Level Dashboard'!$B$64:$AV$64,"&lt;="&amp;'High Level Dashboard'!AF$64)+(IFERROR(SUMIF('High Level Dashboard'!$B$64:$AV$64,ROUNDDOWN('High Level Dashboard'!AF$64-'High Level Dashboard'!$C$29,0)+1,'High Level Dashboard'!$B$65:$AV$65)*(1-('High Level Dashboard'!$C$29-ROUNDDOWN('High Level Dashboard'!$C$29,0))),"")))*'High Level Dashboard'!$C$28)
))</f>
        <v>21.691657707901623</v>
      </c>
      <c r="AH100" s="434">
        <f ca="1">$B$84*'High Level Dashboard'!$C$27*
(-PMT('High Level Dashboard'!$C$28,'High Level Dashboard'!$C$30-'High Level Dashboard'!$C$29+1,
SUMIFS('High Level Dashboard'!$B$65:$AV$65,'High Level Dashboard'!$B$64:$AV$64,"&gt;="&amp;('High Level Dashboard'!AG$64-(ROUNDDOWN('High Level Dashboard'!$C$30,0))+1),'High Level Dashboard'!$B$64:$AV$64,"&lt;="&amp;('High Level Dashboard'!AG$64-(ROUNDUP('High Level Dashboard'!$C$29,0)))))
+
IFERROR(-PMT('High Level Dashboard'!$C$28,'High Level Dashboard'!$C$30-'High Level Dashboard'!$C$29+1,
(HLOOKUP('High Level Dashboard'!AG$64-(ROUNDUP('High Level Dashboard'!$C$30,0))+1,'High Level Dashboard'!$B$64:$AV$65,2,FALSE))*('High Level Dashboard'!$C$30-(ROUNDDOWN('High Level Dashboard'!$C$30,0)))),0)
+
IFERROR(-PMT('High Level Dashboard'!$C$28,'High Level Dashboard'!$C$30-'High Level Dashboard'!$C$29+1,
(HLOOKUP('High Level Dashboard'!AG$64-(ROUNDDOWN('High Level Dashboard'!$C$29,0)),'High Level Dashboard'!$B$64:$AV$65,2,FALSE)*('High Level Dashboard'!$C$29-ROUNDDOWN('High Level Dashboard'!$C$29,0)))),0)
+
(((SUMIFS('High Level Dashboard'!$B$65:$AV$65,'High Level Dashboard'!$B$64:$AV$64,"&gt;"&amp;'High Level Dashboard'!AG$64-ROUNDDOWN('High Level Dashboard'!$C$29,0),'High Level Dashboard'!$B$64:$AV$64,"&lt;="&amp;'High Level Dashboard'!AG$64)+(IFERROR(SUMIF('High Level Dashboard'!$B$64:$AV$64,ROUNDDOWN('High Level Dashboard'!AG$64-'High Level Dashboard'!$C$29,0)+1,'High Level Dashboard'!$B$65:$AV$65)*(1-('High Level Dashboard'!$C$29-ROUNDDOWN('High Level Dashboard'!$C$29,0))),"")))*'High Level Dashboard'!$C$28)
))</f>
        <v>22.325584817156571</v>
      </c>
      <c r="AI100" s="434">
        <f ca="1">$B$84*'High Level Dashboard'!$C$27*
(-PMT('High Level Dashboard'!$C$28,'High Level Dashboard'!$C$30-'High Level Dashboard'!$C$29+1,
SUMIFS('High Level Dashboard'!$B$65:$AV$65,'High Level Dashboard'!$B$64:$AV$64,"&gt;="&amp;('High Level Dashboard'!AH$64-(ROUNDDOWN('High Level Dashboard'!$C$30,0))+1),'High Level Dashboard'!$B$64:$AV$64,"&lt;="&amp;('High Level Dashboard'!AH$64-(ROUNDUP('High Level Dashboard'!$C$29,0)))))
+
IFERROR(-PMT('High Level Dashboard'!$C$28,'High Level Dashboard'!$C$30-'High Level Dashboard'!$C$29+1,
(HLOOKUP('High Level Dashboard'!AH$64-(ROUNDUP('High Level Dashboard'!$C$30,0))+1,'High Level Dashboard'!$B$64:$AV$65,2,FALSE))*('High Level Dashboard'!$C$30-(ROUNDDOWN('High Level Dashboard'!$C$30,0)))),0)
+
IFERROR(-PMT('High Level Dashboard'!$C$28,'High Level Dashboard'!$C$30-'High Level Dashboard'!$C$29+1,
(HLOOKUP('High Level Dashboard'!AH$64-(ROUNDDOWN('High Level Dashboard'!$C$29,0)),'High Level Dashboard'!$B$64:$AV$65,2,FALSE)*('High Level Dashboard'!$C$29-ROUNDDOWN('High Level Dashboard'!$C$29,0)))),0)
+
(((SUMIFS('High Level Dashboard'!$B$65:$AV$65,'High Level Dashboard'!$B$64:$AV$64,"&gt;"&amp;'High Level Dashboard'!AH$64-ROUNDDOWN('High Level Dashboard'!$C$29,0),'High Level Dashboard'!$B$64:$AV$64,"&lt;="&amp;'High Level Dashboard'!AH$64)+(IFERROR(SUMIF('High Level Dashboard'!$B$64:$AV$64,ROUNDDOWN('High Level Dashboard'!AH$64-'High Level Dashboard'!$C$29,0)+1,'High Level Dashboard'!$B$65:$AV$65)*(1-('High Level Dashboard'!$C$29-ROUNDDOWN('High Level Dashboard'!$C$29,0))),"")))*'High Level Dashboard'!$C$28)
))</f>
        <v>22.704783569394564</v>
      </c>
      <c r="AJ100" s="434">
        <f ca="1">$B$84*'High Level Dashboard'!$C$27*
(-PMT('High Level Dashboard'!$C$28,'High Level Dashboard'!$C$30-'High Level Dashboard'!$C$29+1,
SUMIFS('High Level Dashboard'!$B$65:$AV$65,'High Level Dashboard'!$B$64:$AV$64,"&gt;="&amp;('High Level Dashboard'!AI$64-(ROUNDDOWN('High Level Dashboard'!$C$30,0))+1),'High Level Dashboard'!$B$64:$AV$64,"&lt;="&amp;('High Level Dashboard'!AI$64-(ROUNDUP('High Level Dashboard'!$C$29,0)))))
+
IFERROR(-PMT('High Level Dashboard'!$C$28,'High Level Dashboard'!$C$30-'High Level Dashboard'!$C$29+1,
(HLOOKUP('High Level Dashboard'!AI$64-(ROUNDUP('High Level Dashboard'!$C$30,0))+1,'High Level Dashboard'!$B$64:$AV$65,2,FALSE))*('High Level Dashboard'!$C$30-(ROUNDDOWN('High Level Dashboard'!$C$30,0)))),0)
+
IFERROR(-PMT('High Level Dashboard'!$C$28,'High Level Dashboard'!$C$30-'High Level Dashboard'!$C$29+1,
(HLOOKUP('High Level Dashboard'!AI$64-(ROUNDDOWN('High Level Dashboard'!$C$29,0)),'High Level Dashboard'!$B$64:$AV$65,2,FALSE)*('High Level Dashboard'!$C$29-ROUNDDOWN('High Level Dashboard'!$C$29,0)))),0)
+
(((SUMIFS('High Level Dashboard'!$B$65:$AV$65,'High Level Dashboard'!$B$64:$AV$64,"&gt;"&amp;'High Level Dashboard'!AI$64-ROUNDDOWN('High Level Dashboard'!$C$29,0),'High Level Dashboard'!$B$64:$AV$64,"&lt;="&amp;'High Level Dashboard'!AI$64)+(IFERROR(SUMIF('High Level Dashboard'!$B$64:$AV$64,ROUNDDOWN('High Level Dashboard'!AI$64-'High Level Dashboard'!$C$29,0)+1,'High Level Dashboard'!$B$65:$AV$65)*(1-('High Level Dashboard'!$C$29-ROUNDDOWN('High Level Dashboard'!$C$29,0))),"")))*'High Level Dashboard'!$C$28)
))</f>
        <v>22.730598208223586</v>
      </c>
      <c r="AK100" s="434">
        <f ca="1">$B$84*'High Level Dashboard'!$C$27*
(-PMT('High Level Dashboard'!$C$28,'High Level Dashboard'!$C$30-'High Level Dashboard'!$C$29+1,
SUMIFS('High Level Dashboard'!$B$65:$AV$65,'High Level Dashboard'!$B$64:$AV$64,"&gt;="&amp;('High Level Dashboard'!AJ$64-(ROUNDDOWN('High Level Dashboard'!$C$30,0))+1),'High Level Dashboard'!$B$64:$AV$64,"&lt;="&amp;('High Level Dashboard'!AJ$64-(ROUNDUP('High Level Dashboard'!$C$29,0)))))
+
IFERROR(-PMT('High Level Dashboard'!$C$28,'High Level Dashboard'!$C$30-'High Level Dashboard'!$C$29+1,
(HLOOKUP('High Level Dashboard'!AJ$64-(ROUNDUP('High Level Dashboard'!$C$30,0))+1,'High Level Dashboard'!$B$64:$AV$65,2,FALSE))*('High Level Dashboard'!$C$30-(ROUNDDOWN('High Level Dashboard'!$C$30,0)))),0)
+
IFERROR(-PMT('High Level Dashboard'!$C$28,'High Level Dashboard'!$C$30-'High Level Dashboard'!$C$29+1,
(HLOOKUP('High Level Dashboard'!AJ$64-(ROUNDDOWN('High Level Dashboard'!$C$29,0)),'High Level Dashboard'!$B$64:$AV$65,2,FALSE)*('High Level Dashboard'!$C$29-ROUNDDOWN('High Level Dashboard'!$C$29,0)))),0)
+
(((SUMIFS('High Level Dashboard'!$B$65:$AV$65,'High Level Dashboard'!$B$64:$AV$64,"&gt;"&amp;'High Level Dashboard'!AJ$64-ROUNDDOWN('High Level Dashboard'!$C$29,0),'High Level Dashboard'!$B$64:$AV$64,"&lt;="&amp;'High Level Dashboard'!AJ$64)+(IFERROR(SUMIF('High Level Dashboard'!$B$64:$AV$64,ROUNDDOWN('High Level Dashboard'!AJ$64-'High Level Dashboard'!$C$29,0)+1,'High Level Dashboard'!$B$65:$AV$65)*(1-('High Level Dashboard'!$C$29-ROUNDDOWN('High Level Dashboard'!$C$29,0))),"")))*'High Level Dashboard'!$C$28)
))</f>
        <v>22.892817152210455</v>
      </c>
      <c r="AL100" s="434">
        <f ca="1">$B$84*'High Level Dashboard'!$C$27*
(-PMT('High Level Dashboard'!$C$28,'High Level Dashboard'!$C$30-'High Level Dashboard'!$C$29+1,
SUMIFS('High Level Dashboard'!$B$65:$AV$65,'High Level Dashboard'!$B$64:$AV$64,"&gt;="&amp;('High Level Dashboard'!AK$64-(ROUNDDOWN('High Level Dashboard'!$C$30,0))+1),'High Level Dashboard'!$B$64:$AV$64,"&lt;="&amp;('High Level Dashboard'!AK$64-(ROUNDUP('High Level Dashboard'!$C$29,0)))))
+
IFERROR(-PMT('High Level Dashboard'!$C$28,'High Level Dashboard'!$C$30-'High Level Dashboard'!$C$29+1,
(HLOOKUP('High Level Dashboard'!AK$64-(ROUNDUP('High Level Dashboard'!$C$30,0))+1,'High Level Dashboard'!$B$64:$AV$65,2,FALSE))*('High Level Dashboard'!$C$30-(ROUNDDOWN('High Level Dashboard'!$C$30,0)))),0)
+
IFERROR(-PMT('High Level Dashboard'!$C$28,'High Level Dashboard'!$C$30-'High Level Dashboard'!$C$29+1,
(HLOOKUP('High Level Dashboard'!AK$64-(ROUNDDOWN('High Level Dashboard'!$C$29,0)),'High Level Dashboard'!$B$64:$AV$65,2,FALSE)*('High Level Dashboard'!$C$29-ROUNDDOWN('High Level Dashboard'!$C$29,0)))),0)
+
(((SUMIFS('High Level Dashboard'!$B$65:$AV$65,'High Level Dashboard'!$B$64:$AV$64,"&gt;"&amp;'High Level Dashboard'!AK$64-ROUNDDOWN('High Level Dashboard'!$C$29,0),'High Level Dashboard'!$B$64:$AV$64,"&lt;="&amp;'High Level Dashboard'!AK$64)+(IFERROR(SUMIF('High Level Dashboard'!$B$64:$AV$64,ROUNDDOWN('High Level Dashboard'!AK$64-'High Level Dashboard'!$C$29,0)+1,'High Level Dashboard'!$B$65:$AV$65)*(1-('High Level Dashboard'!$C$29-ROUNDDOWN('High Level Dashboard'!$C$29,0))),"")))*'High Level Dashboard'!$C$28)
))</f>
        <v>23.196925578913557</v>
      </c>
      <c r="AM100" s="434">
        <f ca="1">$B$84*'High Level Dashboard'!$C$27*
(-PMT('High Level Dashboard'!$C$28,'High Level Dashboard'!$C$30-'High Level Dashboard'!$C$29+1,
SUMIFS('High Level Dashboard'!$B$65:$AV$65,'High Level Dashboard'!$B$64:$AV$64,"&gt;="&amp;('High Level Dashboard'!AL$64-(ROUNDDOWN('High Level Dashboard'!$C$30,0))+1),'High Level Dashboard'!$B$64:$AV$64,"&lt;="&amp;('High Level Dashboard'!AL$64-(ROUNDUP('High Level Dashboard'!$C$29,0)))))
+
IFERROR(-PMT('High Level Dashboard'!$C$28,'High Level Dashboard'!$C$30-'High Level Dashboard'!$C$29+1,
(HLOOKUP('High Level Dashboard'!AL$64-(ROUNDUP('High Level Dashboard'!$C$30,0))+1,'High Level Dashboard'!$B$64:$AV$65,2,FALSE))*('High Level Dashboard'!$C$30-(ROUNDDOWN('High Level Dashboard'!$C$30,0)))),0)
+
IFERROR(-PMT('High Level Dashboard'!$C$28,'High Level Dashboard'!$C$30-'High Level Dashboard'!$C$29+1,
(HLOOKUP('High Level Dashboard'!AL$64-(ROUNDDOWN('High Level Dashboard'!$C$29,0)),'High Level Dashboard'!$B$64:$AV$65,2,FALSE)*('High Level Dashboard'!$C$29-ROUNDDOWN('High Level Dashboard'!$C$29,0)))),0)
+
(((SUMIFS('High Level Dashboard'!$B$65:$AV$65,'High Level Dashboard'!$B$64:$AV$64,"&gt;"&amp;'High Level Dashboard'!AL$64-ROUNDDOWN('High Level Dashboard'!$C$29,0),'High Level Dashboard'!$B$64:$AV$64,"&lt;="&amp;'High Level Dashboard'!AL$64)+(IFERROR(SUMIF('High Level Dashboard'!$B$64:$AV$64,ROUNDDOWN('High Level Dashboard'!AL$64-'High Level Dashboard'!$C$29,0)+1,'High Level Dashboard'!$B$65:$AV$65)*(1-('High Level Dashboard'!$C$29-ROUNDDOWN('High Level Dashboard'!$C$29,0))),"")))*'High Level Dashboard'!$C$28)
))</f>
        <v>24.023833327993522</v>
      </c>
      <c r="AN100" s="434">
        <f ca="1">$B$84*'High Level Dashboard'!$C$27*
(-PMT('High Level Dashboard'!$C$28,'High Level Dashboard'!$C$30-'High Level Dashboard'!$C$29+1,
SUMIFS('High Level Dashboard'!$B$65:$AV$65,'High Level Dashboard'!$B$64:$AV$64,"&gt;="&amp;('High Level Dashboard'!AM$64-(ROUNDDOWN('High Level Dashboard'!$C$30,0))+1),'High Level Dashboard'!$B$64:$AV$64,"&lt;="&amp;('High Level Dashboard'!AM$64-(ROUNDUP('High Level Dashboard'!$C$29,0)))))
+
IFERROR(-PMT('High Level Dashboard'!$C$28,'High Level Dashboard'!$C$30-'High Level Dashboard'!$C$29+1,
(HLOOKUP('High Level Dashboard'!AM$64-(ROUNDUP('High Level Dashboard'!$C$30,0))+1,'High Level Dashboard'!$B$64:$AV$65,2,FALSE))*('High Level Dashboard'!$C$30-(ROUNDDOWN('High Level Dashboard'!$C$30,0)))),0)
+
IFERROR(-PMT('High Level Dashboard'!$C$28,'High Level Dashboard'!$C$30-'High Level Dashboard'!$C$29+1,
(HLOOKUP('High Level Dashboard'!AM$64-(ROUNDDOWN('High Level Dashboard'!$C$29,0)),'High Level Dashboard'!$B$64:$AV$65,2,FALSE)*('High Level Dashboard'!$C$29-ROUNDDOWN('High Level Dashboard'!$C$29,0)))),0)
+
(((SUMIFS('High Level Dashboard'!$B$65:$AV$65,'High Level Dashboard'!$B$64:$AV$64,"&gt;"&amp;'High Level Dashboard'!AM$64-ROUNDDOWN('High Level Dashboard'!$C$29,0),'High Level Dashboard'!$B$64:$AV$64,"&lt;="&amp;'High Level Dashboard'!AM$64)+(IFERROR(SUMIF('High Level Dashboard'!$B$64:$AV$64,ROUNDDOWN('High Level Dashboard'!AM$64-'High Level Dashboard'!$C$29,0)+1,'High Level Dashboard'!$B$65:$AV$65)*(1-('High Level Dashboard'!$C$29-ROUNDDOWN('High Level Dashboard'!$C$29,0))),"")))*'High Level Dashboard'!$C$28)
))</f>
        <v>24.715010700898912</v>
      </c>
      <c r="AO100" s="434">
        <f ca="1">$B$84*'High Level Dashboard'!$C$27*
(-PMT('High Level Dashboard'!$C$28,'High Level Dashboard'!$C$30-'High Level Dashboard'!$C$29+1,
SUMIFS('High Level Dashboard'!$B$65:$AV$65,'High Level Dashboard'!$B$64:$AV$64,"&gt;="&amp;('High Level Dashboard'!AN$64-(ROUNDDOWN('High Level Dashboard'!$C$30,0))+1),'High Level Dashboard'!$B$64:$AV$64,"&lt;="&amp;('High Level Dashboard'!AN$64-(ROUNDUP('High Level Dashboard'!$C$29,0)))))
+
IFERROR(-PMT('High Level Dashboard'!$C$28,'High Level Dashboard'!$C$30-'High Level Dashboard'!$C$29+1,
(HLOOKUP('High Level Dashboard'!AN$64-(ROUNDUP('High Level Dashboard'!$C$30,0))+1,'High Level Dashboard'!$B$64:$AV$65,2,FALSE))*('High Level Dashboard'!$C$30-(ROUNDDOWN('High Level Dashboard'!$C$30,0)))),0)
+
IFERROR(-PMT('High Level Dashboard'!$C$28,'High Level Dashboard'!$C$30-'High Level Dashboard'!$C$29+1,
(HLOOKUP('High Level Dashboard'!AN$64-(ROUNDDOWN('High Level Dashboard'!$C$29,0)),'High Level Dashboard'!$B$64:$AV$65,2,FALSE)*('High Level Dashboard'!$C$29-ROUNDDOWN('High Level Dashboard'!$C$29,0)))),0)
+
(((SUMIFS('High Level Dashboard'!$B$65:$AV$65,'High Level Dashboard'!$B$64:$AV$64,"&gt;"&amp;'High Level Dashboard'!AN$64-ROUNDDOWN('High Level Dashboard'!$C$29,0),'High Level Dashboard'!$B$64:$AV$64,"&lt;="&amp;'High Level Dashboard'!AN$64)+(IFERROR(SUMIF('High Level Dashboard'!$B$64:$AV$64,ROUNDDOWN('High Level Dashboard'!AN$64-'High Level Dashboard'!$C$29,0)+1,'High Level Dashboard'!$B$65:$AV$65)*(1-('High Level Dashboard'!$C$29-ROUNDDOWN('High Level Dashboard'!$C$29,0))),"")))*'High Level Dashboard'!$C$28)
))</f>
        <v>25.271494640638576</v>
      </c>
      <c r="AP100" s="434">
        <f ca="1">$B$84*'High Level Dashboard'!$C$27*
(-PMT('High Level Dashboard'!$C$28,'High Level Dashboard'!$C$30-'High Level Dashboard'!$C$29+1,
SUMIFS('High Level Dashboard'!$B$65:$AV$65,'High Level Dashboard'!$B$64:$AV$64,"&gt;="&amp;('High Level Dashboard'!AO$64-(ROUNDDOWN('High Level Dashboard'!$C$30,0))+1),'High Level Dashboard'!$B$64:$AV$64,"&lt;="&amp;('High Level Dashboard'!AO$64-(ROUNDUP('High Level Dashboard'!$C$29,0)))))
+
IFERROR(-PMT('High Level Dashboard'!$C$28,'High Level Dashboard'!$C$30-'High Level Dashboard'!$C$29+1,
(HLOOKUP('High Level Dashboard'!AO$64-(ROUNDUP('High Level Dashboard'!$C$30,0))+1,'High Level Dashboard'!$B$64:$AV$65,2,FALSE))*('High Level Dashboard'!$C$30-(ROUNDDOWN('High Level Dashboard'!$C$30,0)))),0)
+
IFERROR(-PMT('High Level Dashboard'!$C$28,'High Level Dashboard'!$C$30-'High Level Dashboard'!$C$29+1,
(HLOOKUP('High Level Dashboard'!AO$64-(ROUNDDOWN('High Level Dashboard'!$C$29,0)),'High Level Dashboard'!$B$64:$AV$65,2,FALSE)*('High Level Dashboard'!$C$29-ROUNDDOWN('High Level Dashboard'!$C$29,0)))),0)
+
(((SUMIFS('High Level Dashboard'!$B$65:$AV$65,'High Level Dashboard'!$B$64:$AV$64,"&gt;"&amp;'High Level Dashboard'!AO$64-ROUNDDOWN('High Level Dashboard'!$C$29,0),'High Level Dashboard'!$B$64:$AV$64,"&lt;="&amp;'High Level Dashboard'!AO$64)+(IFERROR(SUMIF('High Level Dashboard'!$B$64:$AV$64,ROUNDDOWN('High Level Dashboard'!AO$64-'High Level Dashboard'!$C$29,0)+1,'High Level Dashboard'!$B$65:$AV$65)*(1-('High Level Dashboard'!$C$29-ROUNDDOWN('High Level Dashboard'!$C$29,0))),"")))*'High Level Dashboard'!$C$28)
))</f>
        <v>25.984410381436</v>
      </c>
      <c r="AQ100" s="434">
        <f ca="1">$B$84*'High Level Dashboard'!$C$27*
(-PMT('High Level Dashboard'!$C$28,'High Level Dashboard'!$C$30-'High Level Dashboard'!$C$29+1,
SUMIFS('High Level Dashboard'!$B$65:$AV$65,'High Level Dashboard'!$B$64:$AV$64,"&gt;="&amp;('High Level Dashboard'!AP$64-(ROUNDDOWN('High Level Dashboard'!$C$30,0))+1),'High Level Dashboard'!$B$64:$AV$64,"&lt;="&amp;('High Level Dashboard'!AP$64-(ROUNDUP('High Level Dashboard'!$C$29,0)))))
+
IFERROR(-PMT('High Level Dashboard'!$C$28,'High Level Dashboard'!$C$30-'High Level Dashboard'!$C$29+1,
(HLOOKUP('High Level Dashboard'!AP$64-(ROUNDUP('High Level Dashboard'!$C$30,0))+1,'High Level Dashboard'!$B$64:$AV$65,2,FALSE))*('High Level Dashboard'!$C$30-(ROUNDDOWN('High Level Dashboard'!$C$30,0)))),0)
+
IFERROR(-PMT('High Level Dashboard'!$C$28,'High Level Dashboard'!$C$30-'High Level Dashboard'!$C$29+1,
(HLOOKUP('High Level Dashboard'!AP$64-(ROUNDDOWN('High Level Dashboard'!$C$29,0)),'High Level Dashboard'!$B$64:$AV$65,2,FALSE)*('High Level Dashboard'!$C$29-ROUNDDOWN('High Level Dashboard'!$C$29,0)))),0)
+
(((SUMIFS('High Level Dashboard'!$B$65:$AV$65,'High Level Dashboard'!$B$64:$AV$64,"&gt;"&amp;'High Level Dashboard'!AP$64-ROUNDDOWN('High Level Dashboard'!$C$29,0),'High Level Dashboard'!$B$64:$AV$64,"&lt;="&amp;'High Level Dashboard'!AP$64)+(IFERROR(SUMIF('High Level Dashboard'!$B$64:$AV$64,ROUNDDOWN('High Level Dashboard'!AP$64-'High Level Dashboard'!$C$29,0)+1,'High Level Dashboard'!$B$65:$AV$65)*(1-('High Level Dashboard'!$C$29-ROUNDDOWN('High Level Dashboard'!$C$29,0))),"")))*'High Level Dashboard'!$C$28)
))</f>
        <v>26.859366016109433</v>
      </c>
      <c r="AR100" s="434">
        <f ca="1">$B$84*'High Level Dashboard'!$C$27*
(-PMT('High Level Dashboard'!$C$28,'High Level Dashboard'!$C$30-'High Level Dashboard'!$C$29+1,
SUMIFS('High Level Dashboard'!$B$65:$AV$65,'High Level Dashboard'!$B$64:$AV$64,"&gt;="&amp;('High Level Dashboard'!AQ$64-(ROUNDDOWN('High Level Dashboard'!$C$30,0))+1),'High Level Dashboard'!$B$64:$AV$64,"&lt;="&amp;('High Level Dashboard'!AQ$64-(ROUNDUP('High Level Dashboard'!$C$29,0)))))
+
IFERROR(-PMT('High Level Dashboard'!$C$28,'High Level Dashboard'!$C$30-'High Level Dashboard'!$C$29+1,
(HLOOKUP('High Level Dashboard'!AQ$64-(ROUNDUP('High Level Dashboard'!$C$30,0))+1,'High Level Dashboard'!$B$64:$AV$65,2,FALSE))*('High Level Dashboard'!$C$30-(ROUNDDOWN('High Level Dashboard'!$C$30,0)))),0)
+
IFERROR(-PMT('High Level Dashboard'!$C$28,'High Level Dashboard'!$C$30-'High Level Dashboard'!$C$29+1,
(HLOOKUP('High Level Dashboard'!AQ$64-(ROUNDDOWN('High Level Dashboard'!$C$29,0)),'High Level Dashboard'!$B$64:$AV$65,2,FALSE)*('High Level Dashboard'!$C$29-ROUNDDOWN('High Level Dashboard'!$C$29,0)))),0)
+
(((SUMIFS('High Level Dashboard'!$B$65:$AV$65,'High Level Dashboard'!$B$64:$AV$64,"&gt;"&amp;'High Level Dashboard'!AQ$64-ROUNDDOWN('High Level Dashboard'!$C$29,0),'High Level Dashboard'!$B$64:$AV$64,"&lt;="&amp;'High Level Dashboard'!AQ$64)+(IFERROR(SUMIF('High Level Dashboard'!$B$64:$AV$64,ROUNDDOWN('High Level Dashboard'!AQ$64-'High Level Dashboard'!$C$29,0)+1,'High Level Dashboard'!$B$65:$AV$65)*(1-('High Level Dashboard'!$C$29-ROUNDDOWN('High Level Dashboard'!$C$29,0))),"")))*'High Level Dashboard'!$C$28)
))</f>
        <v>27.466308690624746</v>
      </c>
      <c r="AS100" s="434">
        <f ca="1">$B$84*'High Level Dashboard'!$C$27*
(-PMT('High Level Dashboard'!$C$28,'High Level Dashboard'!$C$30-'High Level Dashboard'!$C$29+1,
SUMIFS('High Level Dashboard'!$B$65:$AV$65,'High Level Dashboard'!$B$64:$AV$64,"&gt;="&amp;('High Level Dashboard'!AR$64-(ROUNDDOWN('High Level Dashboard'!$C$30,0))+1),'High Level Dashboard'!$B$64:$AV$64,"&lt;="&amp;('High Level Dashboard'!AR$64-(ROUNDUP('High Level Dashboard'!$C$29,0)))))
+
IFERROR(-PMT('High Level Dashboard'!$C$28,'High Level Dashboard'!$C$30-'High Level Dashboard'!$C$29+1,
(HLOOKUP('High Level Dashboard'!AR$64-(ROUNDUP('High Level Dashboard'!$C$30,0))+1,'High Level Dashboard'!$B$64:$AV$65,2,FALSE))*('High Level Dashboard'!$C$30-(ROUNDDOWN('High Level Dashboard'!$C$30,0)))),0)
+
IFERROR(-PMT('High Level Dashboard'!$C$28,'High Level Dashboard'!$C$30-'High Level Dashboard'!$C$29+1,
(HLOOKUP('High Level Dashboard'!AR$64-(ROUNDDOWN('High Level Dashboard'!$C$29,0)),'High Level Dashboard'!$B$64:$AV$65,2,FALSE)*('High Level Dashboard'!$C$29-ROUNDDOWN('High Level Dashboard'!$C$29,0)))),0)
+
(((SUMIFS('High Level Dashboard'!$B$65:$AV$65,'High Level Dashboard'!$B$64:$AV$64,"&gt;"&amp;'High Level Dashboard'!AR$64-ROUNDDOWN('High Level Dashboard'!$C$29,0),'High Level Dashboard'!$B$64:$AV$64,"&lt;="&amp;'High Level Dashboard'!AR$64)+(IFERROR(SUMIF('High Level Dashboard'!$B$64:$AV$64,ROUNDDOWN('High Level Dashboard'!AR$64-'High Level Dashboard'!$C$29,0)+1,'High Level Dashboard'!$B$65:$AV$65)*(1-('High Level Dashboard'!$C$29-ROUNDDOWN('High Level Dashboard'!$C$29,0))),"")))*'High Level Dashboard'!$C$28)
))</f>
        <v>27.63923996297353</v>
      </c>
      <c r="AT100" s="434">
        <f ca="1">$B$84*'High Level Dashboard'!$C$27*
(-PMT('High Level Dashboard'!$C$28,'High Level Dashboard'!$C$30-'High Level Dashboard'!$C$29+1,
SUMIFS('High Level Dashboard'!$B$65:$AV$65,'High Level Dashboard'!$B$64:$AV$64,"&gt;="&amp;('High Level Dashboard'!AS$64-(ROUNDDOWN('High Level Dashboard'!$C$30,0))+1),'High Level Dashboard'!$B$64:$AV$64,"&lt;="&amp;('High Level Dashboard'!AS$64-(ROUNDUP('High Level Dashboard'!$C$29,0)))))
+
IFERROR(-PMT('High Level Dashboard'!$C$28,'High Level Dashboard'!$C$30-'High Level Dashboard'!$C$29+1,
(HLOOKUP('High Level Dashboard'!AS$64-(ROUNDUP('High Level Dashboard'!$C$30,0))+1,'High Level Dashboard'!$B$64:$AV$65,2,FALSE))*('High Level Dashboard'!$C$30-(ROUNDDOWN('High Level Dashboard'!$C$30,0)))),0)
+
IFERROR(-PMT('High Level Dashboard'!$C$28,'High Level Dashboard'!$C$30-'High Level Dashboard'!$C$29+1,
(HLOOKUP('High Level Dashboard'!AS$64-(ROUNDDOWN('High Level Dashboard'!$C$29,0)),'High Level Dashboard'!$B$64:$AV$65,2,FALSE)*('High Level Dashboard'!$C$29-ROUNDDOWN('High Level Dashboard'!$C$29,0)))),0)
+
(((SUMIFS('High Level Dashboard'!$B$65:$AV$65,'High Level Dashboard'!$B$64:$AV$64,"&gt;"&amp;'High Level Dashboard'!AS$64-ROUNDDOWN('High Level Dashboard'!$C$29,0),'High Level Dashboard'!$B$64:$AV$64,"&lt;="&amp;'High Level Dashboard'!AS$64)+(IFERROR(SUMIF('High Level Dashboard'!$B$64:$AV$64,ROUNDDOWN('High Level Dashboard'!AS$64-'High Level Dashboard'!$C$29,0)+1,'High Level Dashboard'!$B$65:$AV$65)*(1-('High Level Dashboard'!$C$29-ROUNDDOWN('High Level Dashboard'!$C$29,0))),"")))*'High Level Dashboard'!$C$28)
))</f>
        <v>27.641818896830511</v>
      </c>
      <c r="AU100" s="434">
        <f ca="1">$B$84*'High Level Dashboard'!$C$27*
(-PMT('High Level Dashboard'!$C$28,'High Level Dashboard'!$C$30-'High Level Dashboard'!$C$29+1,
SUMIFS('High Level Dashboard'!$B$65:$AV$65,'High Level Dashboard'!$B$64:$AV$64,"&gt;="&amp;('High Level Dashboard'!AT$64-(ROUNDDOWN('High Level Dashboard'!$C$30,0))+1),'High Level Dashboard'!$B$64:$AV$64,"&lt;="&amp;('High Level Dashboard'!AT$64-(ROUNDUP('High Level Dashboard'!$C$29,0)))))
+
IFERROR(-PMT('High Level Dashboard'!$C$28,'High Level Dashboard'!$C$30-'High Level Dashboard'!$C$29+1,
(HLOOKUP('High Level Dashboard'!AT$64-(ROUNDUP('High Level Dashboard'!$C$30,0))+1,'High Level Dashboard'!$B$64:$AV$65,2,FALSE))*('High Level Dashboard'!$C$30-(ROUNDDOWN('High Level Dashboard'!$C$30,0)))),0)
+
IFERROR(-PMT('High Level Dashboard'!$C$28,'High Level Dashboard'!$C$30-'High Level Dashboard'!$C$29+1,
(HLOOKUP('High Level Dashboard'!AT$64-(ROUNDDOWN('High Level Dashboard'!$C$29,0)),'High Level Dashboard'!$B$64:$AV$65,2,FALSE)*('High Level Dashboard'!$C$29-ROUNDDOWN('High Level Dashboard'!$C$29,0)))),0)
+
(((SUMIFS('High Level Dashboard'!$B$65:$AV$65,'High Level Dashboard'!$B$64:$AV$64,"&gt;"&amp;'High Level Dashboard'!AT$64-ROUNDDOWN('High Level Dashboard'!$C$29,0),'High Level Dashboard'!$B$64:$AV$64,"&lt;="&amp;'High Level Dashboard'!AT$64)+(IFERROR(SUMIF('High Level Dashboard'!$B$64:$AV$64,ROUNDDOWN('High Level Dashboard'!AT$64-'High Level Dashboard'!$C$29,0)+1,'High Level Dashboard'!$B$65:$AV$65)*(1-('High Level Dashboard'!$C$29-ROUNDDOWN('High Level Dashboard'!$C$29,0))),"")))*'High Level Dashboard'!$C$28)
))</f>
        <v>27.676376799729219</v>
      </c>
      <c r="AV100" s="434">
        <f ca="1">$B$84*'High Level Dashboard'!$C$27*
(-PMT('High Level Dashboard'!$C$28,'High Level Dashboard'!$C$30-'High Level Dashboard'!$C$29+1,
SUMIFS('High Level Dashboard'!$B$65:$AV$65,'High Level Dashboard'!$B$64:$AV$64,"&gt;="&amp;('High Level Dashboard'!AU$64-(ROUNDDOWN('High Level Dashboard'!$C$30,0))+1),'High Level Dashboard'!$B$64:$AV$64,"&lt;="&amp;('High Level Dashboard'!AU$64-(ROUNDUP('High Level Dashboard'!$C$29,0)))))
+
IFERROR(-PMT('High Level Dashboard'!$C$28,'High Level Dashboard'!$C$30-'High Level Dashboard'!$C$29+1,
(HLOOKUP('High Level Dashboard'!AU$64-(ROUNDUP('High Level Dashboard'!$C$30,0))+1,'High Level Dashboard'!$B$64:$AV$65,2,FALSE))*('High Level Dashboard'!$C$30-(ROUNDDOWN('High Level Dashboard'!$C$30,0)))),0)
+
IFERROR(-PMT('High Level Dashboard'!$C$28,'High Level Dashboard'!$C$30-'High Level Dashboard'!$C$29+1,
(HLOOKUP('High Level Dashboard'!AU$64-(ROUNDDOWN('High Level Dashboard'!$C$29,0)),'High Level Dashboard'!$B$64:$AV$65,2,FALSE)*('High Level Dashboard'!$C$29-ROUNDDOWN('High Level Dashboard'!$C$29,0)))),0)
+
(((SUMIFS('High Level Dashboard'!$B$65:$AV$65,'High Level Dashboard'!$B$64:$AV$64,"&gt;"&amp;'High Level Dashboard'!AU$64-ROUNDDOWN('High Level Dashboard'!$C$29,0),'High Level Dashboard'!$B$64:$AV$64,"&lt;="&amp;'High Level Dashboard'!AU$64)+(IFERROR(SUMIF('High Level Dashboard'!$B$64:$AV$64,ROUNDDOWN('High Level Dashboard'!AU$64-'High Level Dashboard'!$C$29,0)+1,'High Level Dashboard'!$B$65:$AV$65)*(1-('High Level Dashboard'!$C$29-ROUNDDOWN('High Level Dashboard'!$C$29,0))),"")))*'High Level Dashboard'!$C$28)
))</f>
        <v>27.855786087313732</v>
      </c>
    </row>
    <row r="101" spans="1:49" s="431" customFormat="1">
      <c r="A101" s="428" t="s">
        <v>264</v>
      </c>
      <c r="B101" s="428"/>
      <c r="C101" s="434">
        <f>$B$80*'High Level Dashboard'!$D$9*
(IFERROR(-PMT('High Level Dashboard'!$D$10,'High Level Dashboard'!$D$12+1,
SUMIFS('High Level Dashboard'!$B$65:$AV$65,'High Level Dashboard'!$B$64:$AV$64,"&gt;"&amp;'High Level Dashboard'!B$64-ROUNDDOWN('High Level Dashboard'!$D$12,0),'High Level Dashboard'!$B$64:$AV$64,"&lt;="&amp;'High Level Dashboard'!B$64)),"")+
IFERROR(-PMT('High Level Dashboard'!$D$10, 'High Level Dashboard'!$D$12+1, SUMIF('High Level Dashboard'!$B$64:$AV$64,ROUNDDOWN('High Level Dashboard'!B$64-'High Level Dashboard'!$D$12,0)+1,'High Level Dashboard'!$B$65:$AV$65)* (('High Level Dashboard'!$D$12-ROUNDDOWN('High Level Dashboard'!$D$12,0)))),"")
)</f>
        <v>2.35537192732833</v>
      </c>
      <c r="D101" s="434">
        <f>$B$80*'High Level Dashboard'!$D$9*
(IFERROR(-PMT('High Level Dashboard'!$D$10,'High Level Dashboard'!$D$12+1,
SUMIFS('High Level Dashboard'!$B$65:$AV$65,'High Level Dashboard'!$B$64:$AV$64,"&gt;"&amp;'High Level Dashboard'!C$64-ROUNDDOWN('High Level Dashboard'!$D$12,0),'High Level Dashboard'!$B$64:$AV$64,"&lt;="&amp;'High Level Dashboard'!C$64)),"")+
IFERROR(-PMT('High Level Dashboard'!$D$10, 'High Level Dashboard'!$D$12+1, SUMIF('High Level Dashboard'!$B$64:$AV$64,ROUNDDOWN('High Level Dashboard'!C$64-'High Level Dashboard'!$D$12,0)+1,'High Level Dashboard'!$B$65:$AV$65)* (('High Level Dashboard'!$D$12-ROUNDDOWN('High Level Dashboard'!$D$12,0)))),"")
)</f>
        <v>4.824372656460941</v>
      </c>
      <c r="E101" s="434">
        <f>$B$80*'High Level Dashboard'!$D$9*
(IFERROR(-PMT('High Level Dashboard'!$D$10,'High Level Dashboard'!$D$12+1,
SUMIFS('High Level Dashboard'!$B$65:$AV$65,'High Level Dashboard'!$B$64:$AV$64,"&gt;"&amp;'High Level Dashboard'!D$64-ROUNDDOWN('High Level Dashboard'!$D$12,0),'High Level Dashboard'!$B$64:$AV$64,"&lt;="&amp;'High Level Dashboard'!D$64)),"")+
IFERROR(-PMT('High Level Dashboard'!$D$10, 'High Level Dashboard'!$D$12+1, SUMIF('High Level Dashboard'!$B$64:$AV$64,ROUNDDOWN('High Level Dashboard'!D$64-'High Level Dashboard'!$D$12,0)+1,'High Level Dashboard'!$B$65:$AV$65)* (('High Level Dashboard'!$D$12-ROUNDDOWN('High Level Dashboard'!$D$12,0)))),"")
)</f>
        <v>7.2961656496086169</v>
      </c>
      <c r="F101" s="434">
        <f>$B$80*'High Level Dashboard'!$D$9*
(IFERROR(-PMT('High Level Dashboard'!$D$10,'High Level Dashboard'!$D$12+1,
SUMIFS('High Level Dashboard'!$B$65:$AV$65,'High Level Dashboard'!$B$64:$AV$64,"&gt;"&amp;'High Level Dashboard'!E$64-ROUNDDOWN('High Level Dashboard'!$D$12,0),'High Level Dashboard'!$B$64:$AV$64,"&lt;="&amp;'High Level Dashboard'!E$64)),"")+
IFERROR(-PMT('High Level Dashboard'!$D$10, 'High Level Dashboard'!$D$12+1, SUMIF('High Level Dashboard'!$B$64:$AV$64,ROUNDDOWN('High Level Dashboard'!E$64-'High Level Dashboard'!$D$12,0)+1,'High Level Dashboard'!$B$65:$AV$65)* (('High Level Dashboard'!$D$12-ROUNDDOWN('High Level Dashboard'!$D$12,0)))),"")
)</f>
        <v>9.4675996780374838</v>
      </c>
      <c r="G101" s="434">
        <f>$B$80*'High Level Dashboard'!$D$9*
(IFERROR(-PMT('High Level Dashboard'!$D$10,'High Level Dashboard'!$D$12+1,
SUMIFS('High Level Dashboard'!$B$65:$AV$65,'High Level Dashboard'!$B$64:$AV$64,"&gt;"&amp;'High Level Dashboard'!F$64-ROUNDDOWN('High Level Dashboard'!$D$12,0),'High Level Dashboard'!$B$64:$AV$64,"&lt;="&amp;'High Level Dashboard'!F$64)),"")+
IFERROR(-PMT('High Level Dashboard'!$D$10, 'High Level Dashboard'!$D$12+1, SUMIF('High Level Dashboard'!$B$64:$AV$64,ROUNDDOWN('High Level Dashboard'!F$64-'High Level Dashboard'!$D$12,0)+1,'High Level Dashboard'!$B$65:$AV$65)* (('High Level Dashboard'!$D$12-ROUNDDOWN('High Level Dashboard'!$D$12,0)))),"")
)</f>
        <v>14.003037552343631</v>
      </c>
      <c r="H101" s="434">
        <f>$B$80*'High Level Dashboard'!$D$9*
(IFERROR(-PMT('High Level Dashboard'!$D$10,'High Level Dashboard'!$D$12+1,
SUMIFS('High Level Dashboard'!$B$65:$AV$65,'High Level Dashboard'!$B$64:$AV$64,"&gt;"&amp;'High Level Dashboard'!G$64-ROUNDDOWN('High Level Dashboard'!$D$12,0),'High Level Dashboard'!$B$64:$AV$64,"&lt;="&amp;'High Level Dashboard'!G$64)),"")+
IFERROR(-PMT('High Level Dashboard'!$D$10, 'High Level Dashboard'!$D$12+1, SUMIF('High Level Dashboard'!$B$64:$AV$64,ROUNDDOWN('High Level Dashboard'!G$64-'High Level Dashboard'!$D$12,0)+1,'High Level Dashboard'!$B$65:$AV$65)* (('High Level Dashboard'!$D$12-ROUNDDOWN('High Level Dashboard'!$D$12,0)))),"")
)</f>
        <v>16.681557529310538</v>
      </c>
      <c r="I101" s="434">
        <f>$B$80*'High Level Dashboard'!$D$9*
(IFERROR(-PMT('High Level Dashboard'!$D$10,'High Level Dashboard'!$D$12+1,
SUMIFS('High Level Dashboard'!$B$65:$AV$65,'High Level Dashboard'!$B$64:$AV$64,"&gt;"&amp;'High Level Dashboard'!H$64-ROUNDDOWN('High Level Dashboard'!$D$12,0),'High Level Dashboard'!$B$64:$AV$64,"&lt;="&amp;'High Level Dashboard'!H$64)),"")+
IFERROR(-PMT('High Level Dashboard'!$D$10, 'High Level Dashboard'!$D$12+1, SUMIF('High Level Dashboard'!$B$64:$AV$64,ROUNDDOWN('High Level Dashboard'!H$64-'High Level Dashboard'!$D$12,0)+1,'High Level Dashboard'!$B$65:$AV$65)* (('High Level Dashboard'!$D$12-ROUNDDOWN('High Level Dashboard'!$D$12,0)))),"")
)</f>
        <v>19.730609002004186</v>
      </c>
      <c r="J101" s="434">
        <f>$B$80*'High Level Dashboard'!$D$9*
(IFERROR(-PMT('High Level Dashboard'!$D$10,'High Level Dashboard'!$D$12+1,
SUMIFS('High Level Dashboard'!$B$65:$AV$65,'High Level Dashboard'!$B$64:$AV$64,"&gt;"&amp;'High Level Dashboard'!I$64-ROUNDDOWN('High Level Dashboard'!$D$12,0),'High Level Dashboard'!$B$64:$AV$64,"&lt;="&amp;'High Level Dashboard'!I$64)),"")+
IFERROR(-PMT('High Level Dashboard'!$D$10, 'High Level Dashboard'!$D$12+1, SUMIF('High Level Dashboard'!$B$64:$AV$64,ROUNDDOWN('High Level Dashboard'!I$64-'High Level Dashboard'!$D$12,0)+1,'High Level Dashboard'!$B$65:$AV$65)* (('High Level Dashboard'!$D$12-ROUNDDOWN('High Level Dashboard'!$D$12,0)))),"")
)</f>
        <v>21.926165089007633</v>
      </c>
      <c r="K101" s="434">
        <f>$B$80*'High Level Dashboard'!$D$9*
(IFERROR(-PMT('High Level Dashboard'!$D$10,'High Level Dashboard'!$D$12+1,
SUMIFS('High Level Dashboard'!$B$65:$AV$65,'High Level Dashboard'!$B$64:$AV$64,"&gt;"&amp;'High Level Dashboard'!J$64-ROUNDDOWN('High Level Dashboard'!$D$12,0),'High Level Dashboard'!$B$64:$AV$64,"&lt;="&amp;'High Level Dashboard'!J$64)),"")+
IFERROR(-PMT('High Level Dashboard'!$D$10, 'High Level Dashboard'!$D$12+1, SUMIF('High Level Dashboard'!$B$64:$AV$64,ROUNDDOWN('High Level Dashboard'!J$64-'High Level Dashboard'!$D$12,0)+1,'High Level Dashboard'!$B$65:$AV$65)* (('High Level Dashboard'!$D$12-ROUNDDOWN('High Level Dashboard'!$D$12,0)))),"")
)</f>
        <v>24.027952906034574</v>
      </c>
      <c r="L101" s="434">
        <f>$B$80*'High Level Dashboard'!$D$9*
(IFERROR(-PMT('High Level Dashboard'!$D$10,'High Level Dashboard'!$D$12+1,
SUMIFS('High Level Dashboard'!$B$65:$AV$65,'High Level Dashboard'!$B$64:$AV$64,"&gt;"&amp;'High Level Dashboard'!K$64-ROUNDDOWN('High Level Dashboard'!$D$12,0),'High Level Dashboard'!$B$64:$AV$64,"&lt;="&amp;'High Level Dashboard'!K$64)),"")+
IFERROR(-PMT('High Level Dashboard'!$D$10, 'High Level Dashboard'!$D$12+1, SUMIF('High Level Dashboard'!$B$64:$AV$64,ROUNDDOWN('High Level Dashboard'!K$64-'High Level Dashboard'!$D$12,0)+1,'High Level Dashboard'!$B$65:$AV$65)* (('High Level Dashboard'!$D$12-ROUNDDOWN('High Level Dashboard'!$D$12,0)))),"")
)</f>
        <v>27.413163603048108</v>
      </c>
      <c r="M101" s="434">
        <f>$B$80*'High Level Dashboard'!$D$9*
(IFERROR(-PMT('High Level Dashboard'!$D$10,'High Level Dashboard'!$D$12+1,
SUMIFS('High Level Dashboard'!$B$65:$AV$65,'High Level Dashboard'!$B$64:$AV$64,"&gt;"&amp;'High Level Dashboard'!L$64-ROUNDDOWN('High Level Dashboard'!$D$12,0),'High Level Dashboard'!$B$64:$AV$64,"&lt;="&amp;'High Level Dashboard'!L$64)),"")+
IFERROR(-PMT('High Level Dashboard'!$D$10, 'High Level Dashboard'!$D$12+1, SUMIF('High Level Dashboard'!$B$64:$AV$64,ROUNDDOWN('High Level Dashboard'!L$64-'High Level Dashboard'!$D$12,0)+1,'High Level Dashboard'!$B$65:$AV$65)* (('High Level Dashboard'!$D$12-ROUNDDOWN('High Level Dashboard'!$D$12,0)))),"")
)</f>
        <v>30.083031439712784</v>
      </c>
      <c r="N101" s="434">
        <f>$B$80*'High Level Dashboard'!$D$9*
(IFERROR(-PMT('High Level Dashboard'!$D$10,'High Level Dashboard'!$D$12+1,
SUMIFS('High Level Dashboard'!$B$65:$AV$65,'High Level Dashboard'!$B$64:$AV$64,"&gt;"&amp;'High Level Dashboard'!M$64-ROUNDDOWN('High Level Dashboard'!$D$12,0),'High Level Dashboard'!$B$64:$AV$64,"&lt;="&amp;'High Level Dashboard'!M$64)),"")+
IFERROR(-PMT('High Level Dashboard'!$D$10, 'High Level Dashboard'!$D$12+1, SUMIF('High Level Dashboard'!$B$64:$AV$64,ROUNDDOWN('High Level Dashboard'!M$64-'High Level Dashboard'!$D$12,0)+1,'High Level Dashboard'!$B$65:$AV$65)* (('High Level Dashboard'!$D$12-ROUNDDOWN('High Level Dashboard'!$D$12,0)))),"")
)</f>
        <v>33.928971516428547</v>
      </c>
      <c r="O101" s="434">
        <f>$B$80*'High Level Dashboard'!$D$9*
(IFERROR(-PMT('High Level Dashboard'!$D$10,'High Level Dashboard'!$D$12+1,
SUMIFS('High Level Dashboard'!$B$65:$AV$65,'High Level Dashboard'!$B$64:$AV$64,"&gt;"&amp;'High Level Dashboard'!N$64-ROUNDDOWN('High Level Dashboard'!$D$12,0),'High Level Dashboard'!$B$64:$AV$64,"&lt;="&amp;'High Level Dashboard'!N$64)),"")+
IFERROR(-PMT('High Level Dashboard'!$D$10, 'High Level Dashboard'!$D$12+1, SUMIF('High Level Dashboard'!$B$64:$AV$64,ROUNDDOWN('High Level Dashboard'!N$64-'High Level Dashboard'!$D$12,0)+1,'High Level Dashboard'!$B$65:$AV$65)* (('High Level Dashboard'!$D$12-ROUNDDOWN('High Level Dashboard'!$D$12,0)))),"")
)</f>
        <v>37.543853407959695</v>
      </c>
      <c r="P101" s="434">
        <f>$B$80*'High Level Dashboard'!$D$9*
(IFERROR(-PMT('High Level Dashboard'!$D$10,'High Level Dashboard'!$D$12+1,
SUMIFS('High Level Dashboard'!$B$65:$AV$65,'High Level Dashboard'!$B$64:$AV$64,"&gt;"&amp;'High Level Dashboard'!O$64-ROUNDDOWN('High Level Dashboard'!$D$12,0),'High Level Dashboard'!$B$64:$AV$64,"&lt;="&amp;'High Level Dashboard'!O$64)),"")+
IFERROR(-PMT('High Level Dashboard'!$D$10, 'High Level Dashboard'!$D$12+1, SUMIF('High Level Dashboard'!$B$64:$AV$64,ROUNDDOWN('High Level Dashboard'!O$64-'High Level Dashboard'!$D$12,0)+1,'High Level Dashboard'!$B$65:$AV$65)* (('High Level Dashboard'!$D$12-ROUNDDOWN('High Level Dashboard'!$D$12,0)))),"")
)</f>
        <v>41.0548168174072</v>
      </c>
      <c r="Q101" s="434">
        <f>$B$80*'High Level Dashboard'!$D$9*
(IFERROR(-PMT('High Level Dashboard'!$D$10,'High Level Dashboard'!$D$12+1,
SUMIFS('High Level Dashboard'!$B$65:$AV$65,'High Level Dashboard'!$B$64:$AV$64,"&gt;"&amp;'High Level Dashboard'!P$64-ROUNDDOWN('High Level Dashboard'!$D$12,0),'High Level Dashboard'!$B$64:$AV$64,"&lt;="&amp;'High Level Dashboard'!P$64)),"")+
IFERROR(-PMT('High Level Dashboard'!$D$10, 'High Level Dashboard'!$D$12+1, SUMIF('High Level Dashboard'!$B$64:$AV$64,ROUNDDOWN('High Level Dashboard'!P$64-'High Level Dashboard'!$D$12,0)+1,'High Level Dashboard'!$B$65:$AV$65)* (('High Level Dashboard'!$D$12-ROUNDDOWN('High Level Dashboard'!$D$12,0)))),"")
)</f>
        <v>45.927971268046406</v>
      </c>
      <c r="R101" s="434">
        <f>$B$80*'High Level Dashboard'!$D$9*
(IFERROR(-PMT('High Level Dashboard'!$D$10,'High Level Dashboard'!$D$12+1,
SUMIFS('High Level Dashboard'!$B$65:$AV$65,'High Level Dashboard'!$B$64:$AV$64,"&gt;"&amp;'High Level Dashboard'!Q$64-ROUNDDOWN('High Level Dashboard'!$D$12,0),'High Level Dashboard'!$B$64:$AV$64,"&lt;="&amp;'High Level Dashboard'!Q$64)),"")+
IFERROR(-PMT('High Level Dashboard'!$D$10, 'High Level Dashboard'!$D$12+1, SUMIF('High Level Dashboard'!$B$64:$AV$64,ROUNDDOWN('High Level Dashboard'!Q$64-'High Level Dashboard'!$D$12,0)+1,'High Level Dashboard'!$B$65:$AV$65)* (('High Level Dashboard'!$D$12-ROUNDDOWN('High Level Dashboard'!$D$12,0)))),"")
)</f>
        <v>52.244402666421074</v>
      </c>
      <c r="S101" s="434">
        <f>$B$80*'High Level Dashboard'!$D$9*
(IFERROR(-PMT('High Level Dashboard'!$D$10,'High Level Dashboard'!$D$12+1,
SUMIFS('High Level Dashboard'!$B$65:$AV$65,'High Level Dashboard'!$B$64:$AV$64,"&gt;"&amp;'High Level Dashboard'!R$64-ROUNDDOWN('High Level Dashboard'!$D$12,0),'High Level Dashboard'!$B$64:$AV$64,"&lt;="&amp;'High Level Dashboard'!R$64)),"")+
IFERROR(-PMT('High Level Dashboard'!$D$10, 'High Level Dashboard'!$D$12+1, SUMIF('High Level Dashboard'!$B$64:$AV$64,ROUNDDOWN('High Level Dashboard'!R$64-'High Level Dashboard'!$D$12,0)+1,'High Level Dashboard'!$B$65:$AV$65)* (('High Level Dashboard'!$D$12-ROUNDDOWN('High Level Dashboard'!$D$12,0)))),"")
)</f>
        <v>57.664544185961191</v>
      </c>
      <c r="T101" s="434">
        <f>$B$80*'High Level Dashboard'!$D$9*
(IFERROR(-PMT('High Level Dashboard'!$D$10,'High Level Dashboard'!$D$12+1,
SUMIFS('High Level Dashboard'!$B$65:$AV$65,'High Level Dashboard'!$B$64:$AV$64,"&gt;"&amp;'High Level Dashboard'!S$64-ROUNDDOWN('High Level Dashboard'!$D$12,0),'High Level Dashboard'!$B$64:$AV$64,"&lt;="&amp;'High Level Dashboard'!S$64)),"")+
IFERROR(-PMT('High Level Dashboard'!$D$10, 'High Level Dashboard'!$D$12+1, SUMIF('High Level Dashboard'!$B$64:$AV$64,ROUNDDOWN('High Level Dashboard'!S$64-'High Level Dashboard'!$D$12,0)+1,'High Level Dashboard'!$B$65:$AV$65)* (('High Level Dashboard'!$D$12-ROUNDDOWN('High Level Dashboard'!$D$12,0)))),"")
)</f>
        <v>61.269433761266995</v>
      </c>
      <c r="U101" s="434">
        <f>$B$80*'High Level Dashboard'!$D$9*
(IFERROR(-PMT('High Level Dashboard'!$D$10,'High Level Dashboard'!$D$12+1,
SUMIFS('High Level Dashboard'!$B$65:$AV$65,'High Level Dashboard'!$B$64:$AV$64,"&gt;"&amp;'High Level Dashboard'!T$64-ROUNDDOWN('High Level Dashboard'!$D$12,0),'High Level Dashboard'!$B$64:$AV$64,"&lt;="&amp;'High Level Dashboard'!T$64)),"")+
IFERROR(-PMT('High Level Dashboard'!$D$10, 'High Level Dashboard'!$D$12+1, SUMIF('High Level Dashboard'!$B$64:$AV$64,ROUNDDOWN('High Level Dashboard'!T$64-'High Level Dashboard'!$D$12,0)+1,'High Level Dashboard'!$B$65:$AV$65)* (('High Level Dashboard'!$D$12-ROUNDDOWN('High Level Dashboard'!$D$12,0)))),"")
)</f>
        <v>65.034992368680079</v>
      </c>
      <c r="V101" s="434">
        <f>$B$80*'High Level Dashboard'!$D$9*
(IFERROR(-PMT('High Level Dashboard'!$D$10,'High Level Dashboard'!$D$12+1,
SUMIFS('High Level Dashboard'!$B$65:$AV$65,'High Level Dashboard'!$B$64:$AV$64,"&gt;"&amp;'High Level Dashboard'!U$64-ROUNDDOWN('High Level Dashboard'!$D$12,0),'High Level Dashboard'!$B$64:$AV$64,"&lt;="&amp;'High Level Dashboard'!U$64)),"")+
IFERROR(-PMT('High Level Dashboard'!$D$10, 'High Level Dashboard'!$D$12+1, SUMIF('High Level Dashboard'!$B$64:$AV$64,ROUNDDOWN('High Level Dashboard'!U$64-'High Level Dashboard'!$D$12,0)+1,'High Level Dashboard'!$B$65:$AV$65)* (('High Level Dashboard'!$D$12-ROUNDDOWN('High Level Dashboard'!$D$12,0)))),"")
)</f>
        <v>69.089655288563137</v>
      </c>
      <c r="W101" s="434">
        <f>$B$80*'High Level Dashboard'!$D$9*
(IFERROR(-PMT('High Level Dashboard'!$D$10,'High Level Dashboard'!$D$12+1,
SUMIFS('High Level Dashboard'!$B$65:$AV$65,'High Level Dashboard'!$B$64:$AV$64,"&gt;"&amp;'High Level Dashboard'!V$64-ROUNDDOWN('High Level Dashboard'!$D$12,0),'High Level Dashboard'!$B$64:$AV$64,"&lt;="&amp;'High Level Dashboard'!V$64)),"")+
IFERROR(-PMT('High Level Dashboard'!$D$10, 'High Level Dashboard'!$D$12+1, SUMIF('High Level Dashboard'!$B$64:$AV$64,ROUNDDOWN('High Level Dashboard'!V$64-'High Level Dashboard'!$D$12,0)+1,'High Level Dashboard'!$B$65:$AV$65)* (('High Level Dashboard'!$D$12-ROUNDDOWN('High Level Dashboard'!$D$12,0)))),"")
)</f>
        <v>73.452678893238343</v>
      </c>
      <c r="X101" s="434">
        <f>$B$80*'High Level Dashboard'!$D$9*
(IFERROR(-PMT('High Level Dashboard'!$D$10,'High Level Dashboard'!$D$12+1,
SUMIFS('High Level Dashboard'!$B$65:$AV$65,'High Level Dashboard'!$B$64:$AV$64,"&gt;"&amp;'High Level Dashboard'!W$64-ROUNDDOWN('High Level Dashboard'!$D$12,0),'High Level Dashboard'!$B$64:$AV$64,"&lt;="&amp;'High Level Dashboard'!W$64)),"")+
IFERROR(-PMT('High Level Dashboard'!$D$10, 'High Level Dashboard'!$D$12+1, SUMIF('High Level Dashboard'!$B$64:$AV$64,ROUNDDOWN('High Level Dashboard'!W$64-'High Level Dashboard'!$D$12,0)+1,'High Level Dashboard'!$B$65:$AV$65)* (('High Level Dashboard'!$D$12-ROUNDDOWN('High Level Dashboard'!$D$12,0)))),"")
)</f>
        <v>78.127333566531263</v>
      </c>
      <c r="Y101" s="434">
        <f>$B$80*'High Level Dashboard'!$D$9*
(IFERROR(-PMT('High Level Dashboard'!$D$10,'High Level Dashboard'!$D$12+1,
SUMIFS('High Level Dashboard'!$B$65:$AV$65,'High Level Dashboard'!$B$64:$AV$64,"&gt;"&amp;'High Level Dashboard'!X$64-ROUNDDOWN('High Level Dashboard'!$D$12,0),'High Level Dashboard'!$B$64:$AV$64,"&lt;="&amp;'High Level Dashboard'!X$64)),"")+
IFERROR(-PMT('High Level Dashboard'!$D$10, 'High Level Dashboard'!$D$12+1, SUMIF('High Level Dashboard'!$B$64:$AV$64,ROUNDDOWN('High Level Dashboard'!X$64-'High Level Dashboard'!$D$12,0)+1,'High Level Dashboard'!$B$65:$AV$65)* (('High Level Dashboard'!$D$12-ROUNDDOWN('High Level Dashboard'!$D$12,0)))),"")
)</f>
        <v>83.116255061626745</v>
      </c>
      <c r="Z101" s="434">
        <f>$B$80*'High Level Dashboard'!$D$9*
(IFERROR(-PMT('High Level Dashboard'!$D$10,'High Level Dashboard'!$D$12+1,
SUMIFS('High Level Dashboard'!$B$65:$AV$65,'High Level Dashboard'!$B$64:$AV$64,"&gt;"&amp;'High Level Dashboard'!Y$64-ROUNDDOWN('High Level Dashboard'!$D$12,0),'High Level Dashboard'!$B$64:$AV$64,"&lt;="&amp;'High Level Dashboard'!Y$64)),"")+
IFERROR(-PMT('High Level Dashboard'!$D$10, 'High Level Dashboard'!$D$12+1, SUMIF('High Level Dashboard'!$B$64:$AV$64,ROUNDDOWN('High Level Dashboard'!Y$64-'High Level Dashboard'!$D$12,0)+1,'High Level Dashboard'!$B$65:$AV$65)* (('High Level Dashboard'!$D$12-ROUNDDOWN('High Level Dashboard'!$D$12,0)))),"")
)</f>
        <v>88.441197552892959</v>
      </c>
      <c r="AA101" s="434">
        <f>$B$80*'High Level Dashboard'!$D$9*
(IFERROR(-PMT('High Level Dashboard'!$D$10,'High Level Dashboard'!$D$12+1,
SUMIFS('High Level Dashboard'!$B$65:$AV$65,'High Level Dashboard'!$B$64:$AV$64,"&gt;"&amp;'High Level Dashboard'!Z$64-ROUNDDOWN('High Level Dashboard'!$D$12,0),'High Level Dashboard'!$B$64:$AV$64,"&lt;="&amp;'High Level Dashboard'!Z$64)),"")+
IFERROR(-PMT('High Level Dashboard'!$D$10, 'High Level Dashboard'!$D$12+1, SUMIF('High Level Dashboard'!$B$64:$AV$64,ROUNDDOWN('High Level Dashboard'!Z$64-'High Level Dashboard'!$D$12,0)+1,'High Level Dashboard'!$B$65:$AV$65)* (('High Level Dashboard'!$D$12-ROUNDDOWN('High Level Dashboard'!$D$12,0)))),"")
)</f>
        <v>93.991658749979223</v>
      </c>
      <c r="AB101" s="434">
        <f>$B$80*'High Level Dashboard'!$D$9*
(IFERROR(-PMT('High Level Dashboard'!$D$10,'High Level Dashboard'!$D$12+1,
SUMIFS('High Level Dashboard'!$B$65:$AV$65,'High Level Dashboard'!$B$64:$AV$64,"&gt;"&amp;'High Level Dashboard'!AA$64-ROUNDDOWN('High Level Dashboard'!$D$12,0),'High Level Dashboard'!$B$64:$AV$64,"&lt;="&amp;'High Level Dashboard'!AA$64)),"")+
IFERROR(-PMT('High Level Dashboard'!$D$10, 'High Level Dashboard'!$D$12+1, SUMIF('High Level Dashboard'!$B$64:$AV$64,ROUNDDOWN('High Level Dashboard'!AA$64-'High Level Dashboard'!$D$12,0)+1,'High Level Dashboard'!$B$65:$AV$65)* (('High Level Dashboard'!$D$12-ROUNDDOWN('High Level Dashboard'!$D$12,0)))),"")
)</f>
        <v>98.355793946851563</v>
      </c>
      <c r="AC101" s="434">
        <f>$B$80*'High Level Dashboard'!$D$9*
(IFERROR(-PMT('High Level Dashboard'!$D$10,'High Level Dashboard'!$D$12+1,
SUMIFS('High Level Dashboard'!$B$65:$AV$65,'High Level Dashboard'!$B$64:$AV$64,"&gt;"&amp;'High Level Dashboard'!AB$64-ROUNDDOWN('High Level Dashboard'!$D$12,0),'High Level Dashboard'!$B$64:$AV$64,"&lt;="&amp;'High Level Dashboard'!AB$64)),"")+
IFERROR(-PMT('High Level Dashboard'!$D$10, 'High Level Dashboard'!$D$12+1, SUMIF('High Level Dashboard'!$B$64:$AV$64,ROUNDDOWN('High Level Dashboard'!AB$64-'High Level Dashboard'!$D$12,0)+1,'High Level Dashboard'!$B$65:$AV$65)* (('High Level Dashboard'!$D$12-ROUNDDOWN('High Level Dashboard'!$D$12,0)))),"")
)</f>
        <v>102.44626764427215</v>
      </c>
      <c r="AD101" s="434">
        <f>$B$80*'High Level Dashboard'!$D$9*
(IFERROR(-PMT('High Level Dashboard'!$D$10,'High Level Dashboard'!$D$12+1,
SUMIFS('High Level Dashboard'!$B$65:$AV$65,'High Level Dashboard'!$B$64:$AV$64,"&gt;"&amp;'High Level Dashboard'!AC$64-ROUNDDOWN('High Level Dashboard'!$D$12,0),'High Level Dashboard'!$B$64:$AV$64,"&lt;="&amp;'High Level Dashboard'!AC$64)),"")+
IFERROR(-PMT('High Level Dashboard'!$D$10, 'High Level Dashboard'!$D$12+1, SUMIF('High Level Dashboard'!$B$64:$AV$64,ROUNDDOWN('High Level Dashboard'!AC$64-'High Level Dashboard'!$D$12,0)+1,'High Level Dashboard'!$B$65:$AV$65)* (('High Level Dashboard'!$D$12-ROUNDDOWN('High Level Dashboard'!$D$12,0)))),"")
)</f>
        <v>106.12454499731155</v>
      </c>
      <c r="AE101" s="434">
        <f>$B$80*'High Level Dashboard'!$D$9*
(IFERROR(-PMT('High Level Dashboard'!$D$10,'High Level Dashboard'!$D$12+1,
SUMIFS('High Level Dashboard'!$B$65:$AV$65,'High Level Dashboard'!$B$64:$AV$64,"&gt;"&amp;'High Level Dashboard'!AD$64-ROUNDDOWN('High Level Dashboard'!$D$12,0),'High Level Dashboard'!$B$64:$AV$64,"&lt;="&amp;'High Level Dashboard'!AD$64)),"")+
IFERROR(-PMT('High Level Dashboard'!$D$10, 'High Level Dashboard'!$D$12+1, SUMIF('High Level Dashboard'!$B$64:$AV$64,ROUNDDOWN('High Level Dashboard'!AD$64-'High Level Dashboard'!$D$12,0)+1,'High Level Dashboard'!$B$65:$AV$65)* (('High Level Dashboard'!$D$12-ROUNDDOWN('High Level Dashboard'!$D$12,0)))),"")
)</f>
        <v>109.8518430924257</v>
      </c>
      <c r="AF101" s="434">
        <f>$B$80*'High Level Dashboard'!$D$9*
(IFERROR(-PMT('High Level Dashboard'!$D$10,'High Level Dashboard'!$D$12+1,
SUMIFS('High Level Dashboard'!$B$65:$AV$65,'High Level Dashboard'!$B$64:$AV$64,"&gt;"&amp;'High Level Dashboard'!AE$64-ROUNDDOWN('High Level Dashboard'!$D$12,0),'High Level Dashboard'!$B$64:$AV$64,"&lt;="&amp;'High Level Dashboard'!AE$64)),"")+
IFERROR(-PMT('High Level Dashboard'!$D$10, 'High Level Dashboard'!$D$12+1, SUMIF('High Level Dashboard'!$B$64:$AV$64,ROUNDDOWN('High Level Dashboard'!AE$64-'High Level Dashboard'!$D$12,0)+1,'High Level Dashboard'!$B$65:$AV$65)* (('High Level Dashboard'!$D$12-ROUNDDOWN('High Level Dashboard'!$D$12,0)))),"")
)</f>
        <v>113.8478282187927</v>
      </c>
      <c r="AG101" s="434">
        <f>$B$80*'High Level Dashboard'!$D$9*
(IFERROR(-PMT('High Level Dashboard'!$D$10,'High Level Dashboard'!$D$12+1,
SUMIFS('High Level Dashboard'!$B$65:$AV$65,'High Level Dashboard'!$B$64:$AV$64,"&gt;"&amp;'High Level Dashboard'!AF$64-ROUNDDOWN('High Level Dashboard'!$D$12,0),'High Level Dashboard'!$B$64:$AV$64,"&lt;="&amp;'High Level Dashboard'!AF$64)),"")+
IFERROR(-PMT('High Level Dashboard'!$D$10, 'High Level Dashboard'!$D$12+1, SUMIF('High Level Dashboard'!$B$64:$AV$64,ROUNDDOWN('High Level Dashboard'!AF$64-'High Level Dashboard'!$D$12,0)+1,'High Level Dashboard'!$B$65:$AV$65)* (('High Level Dashboard'!$D$12-ROUNDDOWN('High Level Dashboard'!$D$12,0)))),"")
)</f>
        <v>116.88961679662128</v>
      </c>
      <c r="AH101" s="434">
        <f>$B$80*'High Level Dashboard'!$D$9*
(IFERROR(-PMT('High Level Dashboard'!$D$10,'High Level Dashboard'!$D$12+1,
SUMIFS('High Level Dashboard'!$B$65:$AV$65,'High Level Dashboard'!$B$64:$AV$64,"&gt;"&amp;'High Level Dashboard'!AG$64-ROUNDDOWN('High Level Dashboard'!$D$12,0),'High Level Dashboard'!$B$64:$AV$64,"&lt;="&amp;'High Level Dashboard'!AG$64)),"")+
IFERROR(-PMT('High Level Dashboard'!$D$10, 'High Level Dashboard'!$D$12+1, SUMIF('High Level Dashboard'!$B$64:$AV$64,ROUNDDOWN('High Level Dashboard'!AG$64-'High Level Dashboard'!$D$12,0)+1,'High Level Dashboard'!$B$65:$AV$65)* (('High Level Dashboard'!$D$12-ROUNDDOWN('High Level Dashboard'!$D$12,0)))),"")
)</f>
        <v>120.2546675932862</v>
      </c>
      <c r="AI101" s="434">
        <f>$B$80*'High Level Dashboard'!$D$9*
(IFERROR(-PMT('High Level Dashboard'!$D$10,'High Level Dashboard'!$D$12+1,
SUMIFS('High Level Dashboard'!$B$65:$AV$65,'High Level Dashboard'!$B$64:$AV$64,"&gt;"&amp;'High Level Dashboard'!AH$64-ROUNDDOWN('High Level Dashboard'!$D$12,0),'High Level Dashboard'!$B$64:$AV$64,"&lt;="&amp;'High Level Dashboard'!AH$64)),"")+
IFERROR(-PMT('High Level Dashboard'!$D$10, 'High Level Dashboard'!$D$12+1, SUMIF('High Level Dashboard'!$B$64:$AV$64,ROUNDDOWN('High Level Dashboard'!AH$64-'High Level Dashboard'!$D$12,0)+1,'High Level Dashboard'!$B$65:$AV$65)* (('High Level Dashboard'!$D$12-ROUNDDOWN('High Level Dashboard'!$D$12,0)))),"")
)</f>
        <v>123.63601724107183</v>
      </c>
      <c r="AJ101" s="434">
        <f>$B$80*'High Level Dashboard'!$D$9*
(IFERROR(-PMT('High Level Dashboard'!$D$10,'High Level Dashboard'!$D$12+1,
SUMIFS('High Level Dashboard'!$B$65:$AV$65,'High Level Dashboard'!$B$64:$AV$64,"&gt;"&amp;'High Level Dashboard'!AI$64-ROUNDDOWN('High Level Dashboard'!$D$12,0),'High Level Dashboard'!$B$64:$AV$64,"&lt;="&amp;'High Level Dashboard'!AI$64)),"")+
IFERROR(-PMT('High Level Dashboard'!$D$10, 'High Level Dashboard'!$D$12+1, SUMIF('High Level Dashboard'!$B$64:$AV$64,ROUNDDOWN('High Level Dashboard'!AI$64-'High Level Dashboard'!$D$12,0)+1,'High Level Dashboard'!$B$65:$AV$65)* (('High Level Dashboard'!$D$12-ROUNDDOWN('High Level Dashboard'!$D$12,0)))),"")
)</f>
        <v>126.80516822491936</v>
      </c>
      <c r="AK101" s="434">
        <f>$B$80*'High Level Dashboard'!$D$9*
(IFERROR(-PMT('High Level Dashboard'!$D$10,'High Level Dashboard'!$D$12+1,
SUMIFS('High Level Dashboard'!$B$65:$AV$65,'High Level Dashboard'!$B$64:$AV$64,"&gt;"&amp;'High Level Dashboard'!AJ$64-ROUNDDOWN('High Level Dashboard'!$D$12,0),'High Level Dashboard'!$B$64:$AV$64,"&lt;="&amp;'High Level Dashboard'!AJ$64)),"")+
IFERROR(-PMT('High Level Dashboard'!$D$10, 'High Level Dashboard'!$D$12+1, SUMIF('High Level Dashboard'!$B$64:$AV$64,ROUNDDOWN('High Level Dashboard'!AJ$64-'High Level Dashboard'!$D$12,0)+1,'High Level Dashboard'!$B$65:$AV$65)* (('High Level Dashboard'!$D$12-ROUNDDOWN('High Level Dashboard'!$D$12,0)))),"")
)</f>
        <v>130.13001313299745</v>
      </c>
      <c r="AL101" s="434">
        <f>$B$80*'High Level Dashboard'!$D$9*
(IFERROR(-PMT('High Level Dashboard'!$D$10,'High Level Dashboard'!$D$12+1,
SUMIFS('High Level Dashboard'!$B$65:$AV$65,'High Level Dashboard'!$B$64:$AV$64,"&gt;"&amp;'High Level Dashboard'!AK$64-ROUNDDOWN('High Level Dashboard'!$D$12,0),'High Level Dashboard'!$B$64:$AV$64,"&lt;="&amp;'High Level Dashboard'!AK$64)),"")+
IFERROR(-PMT('High Level Dashboard'!$D$10, 'High Level Dashboard'!$D$12+1, SUMIF('High Level Dashboard'!$B$64:$AV$64,ROUNDDOWN('High Level Dashboard'!AK$64-'High Level Dashboard'!$D$12,0)+1,'High Level Dashboard'!$B$65:$AV$65)* (('High Level Dashboard'!$D$12-ROUNDDOWN('High Level Dashboard'!$D$12,0)))),"")
)</f>
        <v>133.1001231773983</v>
      </c>
      <c r="AM101" s="434">
        <f>$B$80*'High Level Dashboard'!$D$9*
(IFERROR(-PMT('High Level Dashboard'!$D$10,'High Level Dashboard'!$D$12+1,
SUMIFS('High Level Dashboard'!$B$65:$AV$65,'High Level Dashboard'!$B$64:$AV$64,"&gt;"&amp;'High Level Dashboard'!AL$64-ROUNDDOWN('High Level Dashboard'!$D$12,0),'High Level Dashboard'!$B$64:$AV$64,"&lt;="&amp;'High Level Dashboard'!AL$64)),"")+
IFERROR(-PMT('High Level Dashboard'!$D$10, 'High Level Dashboard'!$D$12+1, SUMIF('High Level Dashboard'!$B$64:$AV$64,ROUNDDOWN('High Level Dashboard'!AL$64-'High Level Dashboard'!$D$12,0)+1,'High Level Dashboard'!$B$65:$AV$65)* (('High Level Dashboard'!$D$12-ROUNDDOWN('High Level Dashboard'!$D$12,0)))),"")
)</f>
        <v>136.32474942699719</v>
      </c>
      <c r="AN101" s="434">
        <f>$B$80*'High Level Dashboard'!$D$9*
(IFERROR(-PMT('High Level Dashboard'!$D$10,'High Level Dashboard'!$D$12+1,
SUMIFS('High Level Dashboard'!$B$65:$AV$65,'High Level Dashboard'!$B$64:$AV$64,"&gt;"&amp;'High Level Dashboard'!AM$64-ROUNDDOWN('High Level Dashboard'!$D$12,0),'High Level Dashboard'!$B$64:$AV$64,"&lt;="&amp;'High Level Dashboard'!AM$64)),"")+
IFERROR(-PMT('High Level Dashboard'!$D$10, 'High Level Dashboard'!$D$12+1, SUMIF('High Level Dashboard'!$B$64:$AV$64,ROUNDDOWN('High Level Dashboard'!AM$64-'High Level Dashboard'!$D$12,0)+1,'High Level Dashboard'!$B$65:$AV$65)* (('High Level Dashboard'!$D$12-ROUNDDOWN('High Level Dashboard'!$D$12,0)))),"")
)</f>
        <v>139.41537975792519</v>
      </c>
      <c r="AO101" s="434">
        <f>$B$80*'High Level Dashboard'!$D$9*
(IFERROR(-PMT('High Level Dashboard'!$D$10,'High Level Dashboard'!$D$12+1,
SUMIFS('High Level Dashboard'!$B$65:$AV$65,'High Level Dashboard'!$B$64:$AV$64,"&gt;"&amp;'High Level Dashboard'!AN$64-ROUNDDOWN('High Level Dashboard'!$D$12,0),'High Level Dashboard'!$B$64:$AV$64,"&lt;="&amp;'High Level Dashboard'!AN$64)),"")+
IFERROR(-PMT('High Level Dashboard'!$D$10, 'High Level Dashboard'!$D$12+1, SUMIF('High Level Dashboard'!$B$64:$AV$64,ROUNDDOWN('High Level Dashboard'!AN$64-'High Level Dashboard'!$D$12,0)+1,'High Level Dashboard'!$B$65:$AV$65)* (('High Level Dashboard'!$D$12-ROUNDDOWN('High Level Dashboard'!$D$12,0)))),"")
)</f>
        <v>142.3416447183865</v>
      </c>
      <c r="AP101" s="434">
        <f>$B$80*'High Level Dashboard'!$D$9*
(IFERROR(-PMT('High Level Dashboard'!$D$10,'High Level Dashboard'!$D$12+1,
SUMIFS('High Level Dashboard'!$B$65:$AV$65,'High Level Dashboard'!$B$64:$AV$64,"&gt;"&amp;'High Level Dashboard'!AO$64-ROUNDDOWN('High Level Dashboard'!$D$12,0),'High Level Dashboard'!$B$64:$AV$64,"&lt;="&amp;'High Level Dashboard'!AO$64)),"")+
IFERROR(-PMT('High Level Dashboard'!$D$10, 'High Level Dashboard'!$D$12+1, SUMIF('High Level Dashboard'!$B$64:$AV$64,ROUNDDOWN('High Level Dashboard'!AO$64-'High Level Dashboard'!$D$12,0)+1,'High Level Dashboard'!$B$65:$AV$65)* (('High Level Dashboard'!$D$12-ROUNDDOWN('High Level Dashboard'!$D$12,0)))),"")
)</f>
        <v>145.09568022513875</v>
      </c>
      <c r="AQ101" s="434">
        <f>$B$80*'High Level Dashboard'!$D$9*
(IFERROR(-PMT('High Level Dashboard'!$D$10,'High Level Dashboard'!$D$12+1,
SUMIFS('High Level Dashboard'!$B$65:$AV$65,'High Level Dashboard'!$B$64:$AV$64,"&gt;"&amp;'High Level Dashboard'!AP$64-ROUNDDOWN('High Level Dashboard'!$D$12,0),'High Level Dashboard'!$B$64:$AV$64,"&lt;="&amp;'High Level Dashboard'!AP$64)),"")+
IFERROR(-PMT('High Level Dashboard'!$D$10, 'High Level Dashboard'!$D$12+1, SUMIF('High Level Dashboard'!$B$64:$AV$64,ROUNDDOWN('High Level Dashboard'!AP$64-'High Level Dashboard'!$D$12,0)+1,'High Level Dashboard'!$B$65:$AV$65)* (('High Level Dashboard'!$D$12-ROUNDDOWN('High Level Dashboard'!$D$12,0)))),"")
)</f>
        <v>147.97322154754625</v>
      </c>
      <c r="AR101" s="434">
        <f>$B$80*'High Level Dashboard'!$D$9*
(IFERROR(-PMT('High Level Dashboard'!$D$10,'High Level Dashboard'!$D$12+1,
SUMIFS('High Level Dashboard'!$B$65:$AV$65,'High Level Dashboard'!$B$64:$AV$64,"&gt;"&amp;'High Level Dashboard'!AQ$64-ROUNDDOWN('High Level Dashboard'!$D$12,0),'High Level Dashboard'!$B$64:$AV$64,"&lt;="&amp;'High Level Dashboard'!AQ$64)),"")+
IFERROR(-PMT('High Level Dashboard'!$D$10, 'High Level Dashboard'!$D$12+1, SUMIF('High Level Dashboard'!$B$64:$AV$64,ROUNDDOWN('High Level Dashboard'!AQ$64-'High Level Dashboard'!$D$12,0)+1,'High Level Dashboard'!$B$65:$AV$65)* (('High Level Dashboard'!$D$12-ROUNDDOWN('High Level Dashboard'!$D$12,0)))),"")
)</f>
        <v>150.76659806257638</v>
      </c>
      <c r="AS101" s="434">
        <f>$B$80*'High Level Dashboard'!$D$9*
(IFERROR(-PMT('High Level Dashboard'!$D$10,'High Level Dashboard'!$D$12+1,
SUMIFS('High Level Dashboard'!$B$65:$AV$65,'High Level Dashboard'!$B$64:$AV$64,"&gt;"&amp;'High Level Dashboard'!AR$64-ROUNDDOWN('High Level Dashboard'!$D$12,0),'High Level Dashboard'!$B$64:$AV$64,"&lt;="&amp;'High Level Dashboard'!AR$64)),"")+
IFERROR(-PMT('High Level Dashboard'!$D$10, 'High Level Dashboard'!$D$12+1, SUMIF('High Level Dashboard'!$B$64:$AV$64,ROUNDDOWN('High Level Dashboard'!AR$64-'High Level Dashboard'!$D$12,0)+1,'High Level Dashboard'!$B$65:$AV$65)* (('High Level Dashboard'!$D$12-ROUNDDOWN('High Level Dashboard'!$D$12,0)))),"")
)</f>
        <v>153.42533585814115</v>
      </c>
      <c r="AT101" s="434">
        <f>$B$80*'High Level Dashboard'!$D$9*
(IFERROR(-PMT('High Level Dashboard'!$D$10,'High Level Dashboard'!$D$12+1,
SUMIFS('High Level Dashboard'!$B$65:$AV$65,'High Level Dashboard'!$B$64:$AV$64,"&gt;"&amp;'High Level Dashboard'!AS$64-ROUNDDOWN('High Level Dashboard'!$D$12,0),'High Level Dashboard'!$B$64:$AV$64,"&lt;="&amp;'High Level Dashboard'!AS$64)),"")+
IFERROR(-PMT('High Level Dashboard'!$D$10, 'High Level Dashboard'!$D$12+1, SUMIF('High Level Dashboard'!$B$64:$AV$64,ROUNDDOWN('High Level Dashboard'!AS$64-'High Level Dashboard'!$D$12,0)+1,'High Level Dashboard'!$B$65:$AV$65)* (('High Level Dashboard'!$D$12-ROUNDDOWN('High Level Dashboard'!$D$12,0)))),"")
)</f>
        <v>155.83265554488821</v>
      </c>
      <c r="AU101" s="434">
        <f>$B$80*'High Level Dashboard'!$D$9*
(IFERROR(-PMT('High Level Dashboard'!$D$10,'High Level Dashboard'!$D$12+1,
SUMIFS('High Level Dashboard'!$B$65:$AV$65,'High Level Dashboard'!$B$64:$AV$64,"&gt;"&amp;'High Level Dashboard'!AT$64-ROUNDDOWN('High Level Dashboard'!$D$12,0),'High Level Dashboard'!$B$64:$AV$64,"&lt;="&amp;'High Level Dashboard'!AT$64)),"")+
IFERROR(-PMT('High Level Dashboard'!$D$10, 'High Level Dashboard'!$D$12+1, SUMIF('High Level Dashboard'!$B$64:$AV$64,ROUNDDOWN('High Level Dashboard'!AT$64-'High Level Dashboard'!$D$12,0)+1,'High Level Dashboard'!$B$65:$AV$65)* (('High Level Dashboard'!$D$12-ROUNDDOWN('High Level Dashboard'!$D$12,0)))),"")
)</f>
        <v>158.5237232079441</v>
      </c>
      <c r="AV101" s="434">
        <f>$B$80*'High Level Dashboard'!$D$9*
(IFERROR(-PMT('High Level Dashboard'!$D$10,'High Level Dashboard'!$D$12+1,
SUMIFS('High Level Dashboard'!$B$65:$AV$65,'High Level Dashboard'!$B$64:$AV$64,"&gt;"&amp;'High Level Dashboard'!AU$64-ROUNDDOWN('High Level Dashboard'!$D$12,0),'High Level Dashboard'!$B$64:$AV$64,"&lt;="&amp;'High Level Dashboard'!AU$64)),"")+
IFERROR(-PMT('High Level Dashboard'!$D$10, 'High Level Dashboard'!$D$12+1, SUMIF('High Level Dashboard'!$B$64:$AV$64,ROUNDDOWN('High Level Dashboard'!AU$64-'High Level Dashboard'!$D$12,0)+1,'High Level Dashboard'!$B$65:$AV$65)* (('High Level Dashboard'!$D$12-ROUNDDOWN('High Level Dashboard'!$D$12,0)))),"")
)</f>
        <v>161.3246706440475</v>
      </c>
    </row>
    <row r="102" spans="1:49" s="431" customFormat="1">
      <c r="A102" s="428" t="s">
        <v>265</v>
      </c>
      <c r="B102" s="428"/>
      <c r="C102" s="434">
        <f ca="1">$B$82*'High Level Dashboard'!$D$15*
(IFERROR(-PMT('High Level Dashboard'!$D$16,'High Level Dashboard'!$D$18+1,
SUMIFS('High Level Dashboard'!$B$65:$AV$65,'High Level Dashboard'!$B$64:$AV$64,"&gt;"&amp;'High Level Dashboard'!B$64-ROUNDDOWN('High Level Dashboard'!$D$18,0),'High Level Dashboard'!$B$64:$AV$64,"&lt;="&amp;'High Level Dashboard'!B$64)),"")+
IFERROR(-PMT('High Level Dashboard'!$D$16, 'High Level Dashboard'!$D$18+1, SUMIF('High Level Dashboard'!$B$64:$AV$64,ROUNDDOWN('High Level Dashboard'!B$64-'High Level Dashboard'!$D$18,0)+1,'High Level Dashboard'!$B$65:$AV$65)* (('High Level Dashboard'!$D$18-ROUNDDOWN('High Level Dashboard'!$D$18,0)))),"")
)</f>
        <v>12.008173286938801</v>
      </c>
      <c r="D102" s="434">
        <f ca="1">$B$82*'High Level Dashboard'!$D$15*
(IFERROR(-PMT('High Level Dashboard'!$D$16,'High Level Dashboard'!$D$18+1,
SUMIFS('High Level Dashboard'!$B$65:$AV$65,'High Level Dashboard'!$B$64:$AV$64,"&gt;"&amp;'High Level Dashboard'!C$64-ROUNDDOWN('High Level Dashboard'!$D$18,0),'High Level Dashboard'!$B$64:$AV$64,"&lt;="&amp;'High Level Dashboard'!C$64)),"")+
IFERROR(-PMT('High Level Dashboard'!$D$16, 'High Level Dashboard'!$D$18+1, SUMIF('High Level Dashboard'!$B$64:$AV$64,ROUNDDOWN('High Level Dashboard'!C$64-'High Level Dashboard'!$D$18,0)+1,'High Level Dashboard'!$B$65:$AV$65)* (('High Level Dashboard'!$D$18-ROUNDDOWN('High Level Dashboard'!$D$18,0)))),"")
)</f>
        <v>24.595649709243038</v>
      </c>
      <c r="E102" s="434">
        <f ca="1">$B$82*'High Level Dashboard'!$D$15*
(IFERROR(-PMT('High Level Dashboard'!$D$16,'High Level Dashboard'!$D$18+1,
SUMIFS('High Level Dashboard'!$B$65:$AV$65,'High Level Dashboard'!$B$64:$AV$64,"&gt;"&amp;'High Level Dashboard'!D$64-ROUNDDOWN('High Level Dashboard'!$D$18,0),'High Level Dashboard'!$B$64:$AV$64,"&lt;="&amp;'High Level Dashboard'!D$64)),"")+
IFERROR(-PMT('High Level Dashboard'!$D$16, 'High Level Dashboard'!$D$18+1, SUMIF('High Level Dashboard'!$B$64:$AV$64,ROUNDDOWN('High Level Dashboard'!D$64-'High Level Dashboard'!$D$18,0)+1,'High Level Dashboard'!$B$65:$AV$65)* (('High Level Dashboard'!$D$18-ROUNDDOWN('High Level Dashboard'!$D$18,0)))),"")
)</f>
        <v>37.19736167106727</v>
      </c>
      <c r="F102" s="434">
        <f ca="1">$B$82*'High Level Dashboard'!$D$15*
(IFERROR(-PMT('High Level Dashboard'!$D$16,'High Level Dashboard'!$D$18+1,
SUMIFS('High Level Dashboard'!$B$65:$AV$65,'High Level Dashboard'!$B$64:$AV$64,"&gt;"&amp;'High Level Dashboard'!E$64-ROUNDDOWN('High Level Dashboard'!$D$18,0),'High Level Dashboard'!$B$64:$AV$64,"&lt;="&amp;'High Level Dashboard'!E$64)),"")+
IFERROR(-PMT('High Level Dashboard'!$D$16, 'High Level Dashboard'!$D$18+1, SUMIF('High Level Dashboard'!$B$64:$AV$64,ROUNDDOWN('High Level Dashboard'!E$64-'High Level Dashboard'!$D$18,0)+1,'High Level Dashboard'!$B$65:$AV$65)* (('High Level Dashboard'!$D$18-ROUNDDOWN('High Level Dashboard'!$D$18,0)))),"")
)</f>
        <v>48.267781502429514</v>
      </c>
      <c r="G102" s="434">
        <f ca="1">$B$82*'High Level Dashboard'!$D$15*
(IFERROR(-PMT('High Level Dashboard'!$D$16,'High Level Dashboard'!$D$18+1,
SUMIFS('High Level Dashboard'!$B$65:$AV$65,'High Level Dashboard'!$B$64:$AV$64,"&gt;"&amp;'High Level Dashboard'!F$64-ROUNDDOWN('High Level Dashboard'!$D$18,0),'High Level Dashboard'!$B$64:$AV$64,"&lt;="&amp;'High Level Dashboard'!F$64)),"")+
IFERROR(-PMT('High Level Dashboard'!$D$16, 'High Level Dashboard'!$D$18+1, SUMIF('High Level Dashboard'!$B$64:$AV$64,ROUNDDOWN('High Level Dashboard'!F$64-'High Level Dashboard'!$D$18,0)+1,'High Level Dashboard'!$B$65:$AV$65)* (('High Level Dashboard'!$D$18-ROUNDDOWN('High Level Dashboard'!$D$18,0)))),"")
)</f>
        <v>71.390381926978819</v>
      </c>
      <c r="H102" s="434">
        <f ca="1">$B$82*'High Level Dashboard'!$D$15*
(IFERROR(-PMT('High Level Dashboard'!$D$16,'High Level Dashboard'!$D$18+1,
SUMIFS('High Level Dashboard'!$B$65:$AV$65,'High Level Dashboard'!$B$64:$AV$64,"&gt;"&amp;'High Level Dashboard'!G$64-ROUNDDOWN('High Level Dashboard'!$D$18,0),'High Level Dashboard'!$B$64:$AV$64,"&lt;="&amp;'High Level Dashboard'!G$64)),"")+
IFERROR(-PMT('High Level Dashboard'!$D$16, 'High Level Dashboard'!$D$18+1, SUMIF('High Level Dashboard'!$B$64:$AV$64,ROUNDDOWN('High Level Dashboard'!G$64-'High Level Dashboard'!$D$18,0)+1,'High Level Dashboard'!$B$65:$AV$65)* (('High Level Dashboard'!$D$18-ROUNDDOWN('High Level Dashboard'!$D$18,0)))),"")
)</f>
        <v>85.046030813152527</v>
      </c>
      <c r="I102" s="434">
        <f ca="1">$B$82*'High Level Dashboard'!$D$15*
(IFERROR(-PMT('High Level Dashboard'!$D$16,'High Level Dashboard'!$D$18+1,
SUMIFS('High Level Dashboard'!$B$65:$AV$65,'High Level Dashboard'!$B$64:$AV$64,"&gt;"&amp;'High Level Dashboard'!H$64-ROUNDDOWN('High Level Dashboard'!$D$18,0),'High Level Dashboard'!$B$64:$AV$64,"&lt;="&amp;'High Level Dashboard'!H$64)),"")+
IFERROR(-PMT('High Level Dashboard'!$D$16, 'High Level Dashboard'!$D$18+1, SUMIF('High Level Dashboard'!$B$64:$AV$64,ROUNDDOWN('High Level Dashboard'!H$64-'High Level Dashboard'!$D$18,0)+1,'High Level Dashboard'!$B$65:$AV$65)* (('High Level Dashboard'!$D$18-ROUNDDOWN('High Level Dashboard'!$D$18,0)))),"")
)</f>
        <v>100.5907259078383</v>
      </c>
      <c r="J102" s="434">
        <f ca="1">$B$82*'High Level Dashboard'!$D$15*
(IFERROR(-PMT('High Level Dashboard'!$D$16,'High Level Dashboard'!$D$18+1,
SUMIFS('High Level Dashboard'!$B$65:$AV$65,'High Level Dashboard'!$B$64:$AV$64,"&gt;"&amp;'High Level Dashboard'!I$64-ROUNDDOWN('High Level Dashboard'!$D$18,0),'High Level Dashboard'!$B$64:$AV$64,"&lt;="&amp;'High Level Dashboard'!I$64)),"")+
IFERROR(-PMT('High Level Dashboard'!$D$16, 'High Level Dashboard'!$D$18+1, SUMIF('High Level Dashboard'!$B$64:$AV$64,ROUNDDOWN('High Level Dashboard'!I$64-'High Level Dashboard'!$D$18,0)+1,'High Level Dashboard'!$B$65:$AV$65)* (('High Level Dashboard'!$D$18-ROUNDDOWN('High Level Dashboard'!$D$18,0)))),"")
)</f>
        <v>111.78412498338717</v>
      </c>
      <c r="K102" s="434">
        <f ca="1">$B$82*'High Level Dashboard'!$D$15*
(IFERROR(-PMT('High Level Dashboard'!$D$16,'High Level Dashboard'!$D$18+1,
SUMIFS('High Level Dashboard'!$B$65:$AV$65,'High Level Dashboard'!$B$64:$AV$64,"&gt;"&amp;'High Level Dashboard'!J$64-ROUNDDOWN('High Level Dashboard'!$D$18,0),'High Level Dashboard'!$B$64:$AV$64,"&lt;="&amp;'High Level Dashboard'!J$64)),"")+
IFERROR(-PMT('High Level Dashboard'!$D$16, 'High Level Dashboard'!$D$18+1, SUMIF('High Level Dashboard'!$B$64:$AV$64,ROUNDDOWN('High Level Dashboard'!J$64-'High Level Dashboard'!$D$18,0)+1,'High Level Dashboard'!$B$65:$AV$65)* (('High Level Dashboard'!$D$18-ROUNDDOWN('High Level Dashboard'!$D$18,0)))),"")
)</f>
        <v>122.49947402291838</v>
      </c>
      <c r="L102" s="434">
        <f ca="1">$B$82*'High Level Dashboard'!$D$15*
(IFERROR(-PMT('High Level Dashboard'!$D$16,'High Level Dashboard'!$D$18+1,
SUMIFS('High Level Dashboard'!$B$65:$AV$65,'High Level Dashboard'!$B$64:$AV$64,"&gt;"&amp;'High Level Dashboard'!K$64-ROUNDDOWN('High Level Dashboard'!$D$18,0),'High Level Dashboard'!$B$64:$AV$64,"&lt;="&amp;'High Level Dashboard'!K$64)),"")+
IFERROR(-PMT('High Level Dashboard'!$D$16, 'High Level Dashboard'!$D$18+1, SUMIF('High Level Dashboard'!$B$64:$AV$64,ROUNDDOWN('High Level Dashboard'!K$64-'High Level Dashboard'!$D$18,0)+1,'High Level Dashboard'!$B$65:$AV$65)* (('High Level Dashboard'!$D$18-ROUNDDOWN('High Level Dashboard'!$D$18,0)))),"")
)</f>
        <v>139.75797837668571</v>
      </c>
      <c r="M102" s="434">
        <f ca="1">$B$82*'High Level Dashboard'!$D$15*
(IFERROR(-PMT('High Level Dashboard'!$D$16,'High Level Dashboard'!$D$18+1,
SUMIFS('High Level Dashboard'!$B$65:$AV$65,'High Level Dashboard'!$B$64:$AV$64,"&gt;"&amp;'High Level Dashboard'!L$64-ROUNDDOWN('High Level Dashboard'!$D$18,0),'High Level Dashboard'!$B$64:$AV$64,"&lt;="&amp;'High Level Dashboard'!L$64)),"")+
IFERROR(-PMT('High Level Dashboard'!$D$16, 'High Level Dashboard'!$D$18+1, SUMIF('High Level Dashboard'!$B$64:$AV$64,ROUNDDOWN('High Level Dashboard'!L$64-'High Level Dashboard'!$D$18,0)+1,'High Level Dashboard'!$B$65:$AV$65)* (('High Level Dashboard'!$D$18-ROUNDDOWN('High Level Dashboard'!$D$18,0)))),"")
)</f>
        <v>153.36951686193012</v>
      </c>
      <c r="N102" s="434">
        <f ca="1">$B$82*'High Level Dashboard'!$D$15*
(IFERROR(-PMT('High Level Dashboard'!$D$16,'High Level Dashboard'!$D$18+1,
SUMIFS('High Level Dashboard'!$B$65:$AV$65,'High Level Dashboard'!$B$64:$AV$64,"&gt;"&amp;'High Level Dashboard'!M$64-ROUNDDOWN('High Level Dashboard'!$D$18,0),'High Level Dashboard'!$B$64:$AV$64,"&lt;="&amp;'High Level Dashboard'!M$64)),"")+
IFERROR(-PMT('High Level Dashboard'!$D$16, 'High Level Dashboard'!$D$18+1, SUMIF('High Level Dashboard'!$B$64:$AV$64,ROUNDDOWN('High Level Dashboard'!M$64-'High Level Dashboard'!$D$18,0)+1,'High Level Dashboard'!$B$65:$AV$65)* (('High Level Dashboard'!$D$18-ROUNDDOWN('High Level Dashboard'!$D$18,0)))),"")
)</f>
        <v>172.97691489387071</v>
      </c>
      <c r="O102" s="434">
        <f ca="1">$B$82*'High Level Dashboard'!$D$15*
(IFERROR(-PMT('High Level Dashboard'!$D$16,'High Level Dashboard'!$D$18+1,
SUMIFS('High Level Dashboard'!$B$65:$AV$65,'High Level Dashboard'!$B$64:$AV$64,"&gt;"&amp;'High Level Dashboard'!N$64-ROUNDDOWN('High Level Dashboard'!$D$18,0),'High Level Dashboard'!$B$64:$AV$64,"&lt;="&amp;'High Level Dashboard'!N$64)),"")+
IFERROR(-PMT('High Level Dashboard'!$D$16, 'High Level Dashboard'!$D$18+1, SUMIF('High Level Dashboard'!$B$64:$AV$64,ROUNDDOWN('High Level Dashboard'!N$64-'High Level Dashboard'!$D$18,0)+1,'High Level Dashboard'!$B$65:$AV$65)* (('High Level Dashboard'!$D$18-ROUNDDOWN('High Level Dashboard'!$D$18,0)))),"")
)</f>
        <v>191.40633050406711</v>
      </c>
      <c r="P102" s="434">
        <f ca="1">$B$82*'High Level Dashboard'!$D$15*
(IFERROR(-PMT('High Level Dashboard'!$D$16,'High Level Dashboard'!$D$18+1,
SUMIFS('High Level Dashboard'!$B$65:$AV$65,'High Level Dashboard'!$B$64:$AV$64,"&gt;"&amp;'High Level Dashboard'!O$64-ROUNDDOWN('High Level Dashboard'!$D$18,0),'High Level Dashboard'!$B$64:$AV$64,"&lt;="&amp;'High Level Dashboard'!O$64)),"")+
IFERROR(-PMT('High Level Dashboard'!$D$16, 'High Level Dashboard'!$D$18+1, SUMIF('High Level Dashboard'!$B$64:$AV$64,ROUNDDOWN('High Level Dashboard'!O$64-'High Level Dashboard'!$D$18,0)+1,'High Level Dashboard'!$B$65:$AV$65)* (('High Level Dashboard'!$D$18-ROUNDDOWN('High Level Dashboard'!$D$18,0)))),"")
)</f>
        <v>209.3059481973836</v>
      </c>
      <c r="Q102" s="434">
        <f ca="1">$B$82*'High Level Dashboard'!$D$15*
(IFERROR(-PMT('High Level Dashboard'!$D$16,'High Level Dashboard'!$D$18+1,
SUMIFS('High Level Dashboard'!$B$65:$AV$65,'High Level Dashboard'!$B$64:$AV$64,"&gt;"&amp;'High Level Dashboard'!P$64-ROUNDDOWN('High Level Dashboard'!$D$18,0),'High Level Dashboard'!$B$64:$AV$64,"&lt;="&amp;'High Level Dashboard'!P$64)),"")+
IFERROR(-PMT('High Level Dashboard'!$D$16, 'High Level Dashboard'!$D$18+1, SUMIF('High Level Dashboard'!$B$64:$AV$64,ROUNDDOWN('High Level Dashboard'!P$64-'High Level Dashboard'!$D$18,0)+1,'High Level Dashboard'!$B$65:$AV$65)* (('High Level Dashboard'!$D$18-ROUNDDOWN('High Level Dashboard'!$D$18,0)))),"")
)</f>
        <v>234.15029758371105</v>
      </c>
      <c r="R102" s="434">
        <f ca="1">$B$82*'High Level Dashboard'!$D$15*
(IFERROR(-PMT('High Level Dashboard'!$D$16,'High Level Dashboard'!$D$18+1,
SUMIFS('High Level Dashboard'!$B$65:$AV$65,'High Level Dashboard'!$B$64:$AV$64,"&gt;"&amp;'High Level Dashboard'!Q$64-ROUNDDOWN('High Level Dashboard'!$D$18,0),'High Level Dashboard'!$B$64:$AV$64,"&lt;="&amp;'High Level Dashboard'!Q$64)),"")+
IFERROR(-PMT('High Level Dashboard'!$D$16, 'High Level Dashboard'!$D$18+1, SUMIF('High Level Dashboard'!$B$64:$AV$64,ROUNDDOWN('High Level Dashboard'!Q$64-'High Level Dashboard'!$D$18,0)+1,'High Level Dashboard'!$B$65:$AV$65)* (('High Level Dashboard'!$D$18-ROUNDDOWN('High Level Dashboard'!$D$18,0)))),"")
)</f>
        <v>266.35277138697938</v>
      </c>
      <c r="S102" s="434">
        <f ca="1">$B$82*'High Level Dashboard'!$D$15*
(IFERROR(-PMT('High Level Dashboard'!$D$16,'High Level Dashboard'!$D$18+1,
SUMIFS('High Level Dashboard'!$B$65:$AV$65,'High Level Dashboard'!$B$64:$AV$64,"&gt;"&amp;'High Level Dashboard'!R$64-ROUNDDOWN('High Level Dashboard'!$D$18,0),'High Level Dashboard'!$B$64:$AV$64,"&lt;="&amp;'High Level Dashboard'!R$64)),"")+
IFERROR(-PMT('High Level Dashboard'!$D$16, 'High Level Dashboard'!$D$18+1, SUMIF('High Level Dashboard'!$B$64:$AV$64,ROUNDDOWN('High Level Dashboard'!R$64-'High Level Dashboard'!$D$18,0)+1,'High Level Dashboard'!$B$65:$AV$65)* (('High Level Dashboard'!$D$18-ROUNDDOWN('High Level Dashboard'!$D$18,0)))),"")
)</f>
        <v>293.98577399315201</v>
      </c>
      <c r="T102" s="434">
        <f ca="1">$B$82*'High Level Dashboard'!$D$15*
(IFERROR(-PMT('High Level Dashboard'!$D$16,'High Level Dashboard'!$D$18+1,
SUMIFS('High Level Dashboard'!$B$65:$AV$65,'High Level Dashboard'!$B$64:$AV$64,"&gt;"&amp;'High Level Dashboard'!S$64-ROUNDDOWN('High Level Dashboard'!$D$18,0),'High Level Dashboard'!$B$64:$AV$64,"&lt;="&amp;'High Level Dashboard'!S$64)),"")+
IFERROR(-PMT('High Level Dashboard'!$D$16, 'High Level Dashboard'!$D$18+1, SUMIF('High Level Dashboard'!$B$64:$AV$64,ROUNDDOWN('High Level Dashboard'!S$64-'High Level Dashboard'!$D$18,0)+1,'High Level Dashboard'!$B$65:$AV$65)* (('High Level Dashboard'!$D$18-ROUNDDOWN('High Level Dashboard'!$D$18,0)))),"")
)</f>
        <v>312.36424670835191</v>
      </c>
      <c r="U102" s="434">
        <f ca="1">$B$82*'High Level Dashboard'!$D$15*
(IFERROR(-PMT('High Level Dashboard'!$D$16,'High Level Dashboard'!$D$18+1,
SUMIFS('High Level Dashboard'!$B$65:$AV$65,'High Level Dashboard'!$B$64:$AV$64,"&gt;"&amp;'High Level Dashboard'!T$64-ROUNDDOWN('High Level Dashboard'!$D$18,0),'High Level Dashboard'!$B$64:$AV$64,"&lt;="&amp;'High Level Dashboard'!T$64)),"")+
IFERROR(-PMT('High Level Dashboard'!$D$16, 'High Level Dashboard'!$D$18+1, SUMIF('High Level Dashboard'!$B$64:$AV$64,ROUNDDOWN('High Level Dashboard'!T$64-'High Level Dashboard'!$D$18,0)+1,'High Level Dashboard'!$B$65:$AV$65)* (('High Level Dashboard'!$D$18-ROUNDDOWN('High Level Dashboard'!$D$18,0)))),"")
)</f>
        <v>331.56184338312829</v>
      </c>
      <c r="V102" s="434">
        <f ca="1">$B$82*'High Level Dashboard'!$D$15*
(IFERROR(-PMT('High Level Dashboard'!$D$16,'High Level Dashboard'!$D$18+1,
SUMIFS('High Level Dashboard'!$B$65:$AV$65,'High Level Dashboard'!$B$64:$AV$64,"&gt;"&amp;'High Level Dashboard'!U$64-ROUNDDOWN('High Level Dashboard'!$D$18,0),'High Level Dashboard'!$B$64:$AV$64,"&lt;="&amp;'High Level Dashboard'!U$64)),"")+
IFERROR(-PMT('High Level Dashboard'!$D$16, 'High Level Dashboard'!$D$18+1, SUMIF('High Level Dashboard'!$B$64:$AV$64,ROUNDDOWN('High Level Dashboard'!U$64-'High Level Dashboard'!$D$18,0)+1,'High Level Dashboard'!$B$65:$AV$65)* (('High Level Dashboard'!$D$18-ROUNDDOWN('High Level Dashboard'!$D$18,0)))),"")
)</f>
        <v>352.23335364321213</v>
      </c>
      <c r="W102" s="434">
        <f ca="1">$B$82*'High Level Dashboard'!$D$15*
(IFERROR(-PMT('High Level Dashboard'!$D$16,'High Level Dashboard'!$D$18+1,
SUMIFS('High Level Dashboard'!$B$65:$AV$65,'High Level Dashboard'!$B$64:$AV$64,"&gt;"&amp;'High Level Dashboard'!V$64-ROUNDDOWN('High Level Dashboard'!$D$18,0),'High Level Dashboard'!$B$64:$AV$64,"&lt;="&amp;'High Level Dashboard'!V$64)),"")+
IFERROR(-PMT('High Level Dashboard'!$D$16, 'High Level Dashboard'!$D$18+1, SUMIF('High Level Dashboard'!$B$64:$AV$64,ROUNDDOWN('High Level Dashboard'!V$64-'High Level Dashboard'!$D$18,0)+1,'High Level Dashboard'!$B$65:$AV$65)* (('High Level Dashboard'!$D$18-ROUNDDOWN('High Level Dashboard'!$D$18,0)))),"")
)</f>
        <v>374.47695045782291</v>
      </c>
      <c r="X102" s="434">
        <f ca="1">$B$82*'High Level Dashboard'!$D$15*
(IFERROR(-PMT('High Level Dashboard'!$D$16,'High Level Dashboard'!$D$18+1,
SUMIFS('High Level Dashboard'!$B$65:$AV$65,'High Level Dashboard'!$B$64:$AV$64,"&gt;"&amp;'High Level Dashboard'!W$64-ROUNDDOWN('High Level Dashboard'!$D$18,0),'High Level Dashboard'!$B$64:$AV$64,"&lt;="&amp;'High Level Dashboard'!W$64)),"")+
IFERROR(-PMT('High Level Dashboard'!$D$16, 'High Level Dashboard'!$D$18+1, SUMIF('High Level Dashboard'!$B$64:$AV$64,ROUNDDOWN('High Level Dashboard'!W$64-'High Level Dashboard'!$D$18,0)+1,'High Level Dashboard'!$B$65:$AV$65)* (('High Level Dashboard'!$D$18-ROUNDDOWN('High Level Dashboard'!$D$18,0)))),"")
)</f>
        <v>398.30930692017233</v>
      </c>
      <c r="Y102" s="434">
        <f ca="1">$B$82*'High Level Dashboard'!$D$15*
(IFERROR(-PMT('High Level Dashboard'!$D$16,'High Level Dashboard'!$D$18+1,
SUMIFS('High Level Dashboard'!$B$65:$AV$65,'High Level Dashboard'!$B$64:$AV$64,"&gt;"&amp;'High Level Dashboard'!X$64-ROUNDDOWN('High Level Dashboard'!$D$18,0),'High Level Dashboard'!$B$64:$AV$64,"&lt;="&amp;'High Level Dashboard'!X$64)),"")+
IFERROR(-PMT('High Level Dashboard'!$D$16, 'High Level Dashboard'!$D$18+1, SUMIF('High Level Dashboard'!$B$64:$AV$64,ROUNDDOWN('High Level Dashboard'!X$64-'High Level Dashboard'!$D$18,0)+1,'High Level Dashboard'!$B$65:$AV$65)* (('High Level Dashboard'!$D$18-ROUNDDOWN('High Level Dashboard'!$D$18,0)))),"")
)</f>
        <v>423.74386064519405</v>
      </c>
      <c r="Z102" s="434">
        <f ca="1">$B$82*'High Level Dashboard'!$D$15*
(IFERROR(-PMT('High Level Dashboard'!$D$16,'High Level Dashboard'!$D$18+1,
SUMIFS('High Level Dashboard'!$B$65:$AV$65,'High Level Dashboard'!$B$64:$AV$64,"&gt;"&amp;'High Level Dashboard'!Y$64-ROUNDDOWN('High Level Dashboard'!$D$18,0),'High Level Dashboard'!$B$64:$AV$64,"&lt;="&amp;'High Level Dashboard'!Y$64)),"")+
IFERROR(-PMT('High Level Dashboard'!$D$16, 'High Level Dashboard'!$D$18+1, SUMIF('High Level Dashboard'!$B$64:$AV$64,ROUNDDOWN('High Level Dashboard'!Y$64-'High Level Dashboard'!$D$18,0)+1,'High Level Dashboard'!$B$65:$AV$65)* (('High Level Dashboard'!$D$18-ROUNDDOWN('High Level Dashboard'!$D$18,0)))),"")
)</f>
        <v>450.89151891360092</v>
      </c>
      <c r="AA102" s="434">
        <f ca="1">$B$82*'High Level Dashboard'!$D$15*
(IFERROR(-PMT('High Level Dashboard'!$D$16,'High Level Dashboard'!$D$18+1,
SUMIFS('High Level Dashboard'!$B$65:$AV$65,'High Level Dashboard'!$B$64:$AV$64,"&gt;"&amp;'High Level Dashboard'!Z$64-ROUNDDOWN('High Level Dashboard'!$D$18,0),'High Level Dashboard'!$B$64:$AV$64,"&lt;="&amp;'High Level Dashboard'!Z$64)),"")+
IFERROR(-PMT('High Level Dashboard'!$D$16, 'High Level Dashboard'!$D$18+1, SUMIF('High Level Dashboard'!$B$64:$AV$64,ROUNDDOWN('High Level Dashboard'!Z$64-'High Level Dashboard'!$D$18,0)+1,'High Level Dashboard'!$B$65:$AV$65)* (('High Level Dashboard'!$D$18-ROUNDDOWN('High Level Dashboard'!$D$18,0)))),"")
)</f>
        <v>480.54463919880641</v>
      </c>
      <c r="AB102" s="434">
        <f ca="1">$B$82*'High Level Dashboard'!$D$15*
(IFERROR(-PMT('High Level Dashboard'!$D$16,'High Level Dashboard'!$D$18+1,
SUMIFS('High Level Dashboard'!$B$65:$AV$65,'High Level Dashboard'!$B$64:$AV$64,"&gt;"&amp;'High Level Dashboard'!AA$64-ROUNDDOWN('High Level Dashboard'!$D$18,0),'High Level Dashboard'!$B$64:$AV$64,"&lt;="&amp;'High Level Dashboard'!AA$64)),"")+
IFERROR(-PMT('High Level Dashboard'!$D$16, 'High Level Dashboard'!$D$18+1, SUMIF('High Level Dashboard'!$B$64:$AV$64,ROUNDDOWN('High Level Dashboard'!AA$64-'High Level Dashboard'!$D$18,0)+1,'High Level Dashboard'!$B$65:$AV$65)* (('High Level Dashboard'!$D$18-ROUNDDOWN('High Level Dashboard'!$D$18,0)))),"")
)</f>
        <v>514.86747966650728</v>
      </c>
      <c r="AC102" s="434">
        <f ca="1">$B$82*'High Level Dashboard'!$D$15*
(IFERROR(-PMT('High Level Dashboard'!$D$16,'High Level Dashboard'!$D$18+1,
SUMIFS('High Level Dashboard'!$B$65:$AV$65,'High Level Dashboard'!$B$64:$AV$64,"&gt;"&amp;'High Level Dashboard'!AB$64-ROUNDDOWN('High Level Dashboard'!$D$18,0),'High Level Dashboard'!$B$64:$AV$64,"&lt;="&amp;'High Level Dashboard'!AB$64)),"")+
IFERROR(-PMT('High Level Dashboard'!$D$16, 'High Level Dashboard'!$D$18+1, SUMIF('High Level Dashboard'!$B$64:$AV$64,ROUNDDOWN('High Level Dashboard'!AB$64-'High Level Dashboard'!$D$18,0)+1,'High Level Dashboard'!$B$65:$AV$65)* (('High Level Dashboard'!$D$18-ROUNDDOWN('High Level Dashboard'!$D$18,0)))),"")
)</f>
        <v>548.31064429045898</v>
      </c>
      <c r="AD102" s="434">
        <f ca="1">$B$82*'High Level Dashboard'!$D$15*
(IFERROR(-PMT('High Level Dashboard'!$D$16,'High Level Dashboard'!$D$18+1,
SUMIFS('High Level Dashboard'!$B$65:$AV$65,'High Level Dashboard'!$B$64:$AV$64,"&gt;"&amp;'High Level Dashboard'!AC$64-ROUNDDOWN('High Level Dashboard'!$D$18,0),'High Level Dashboard'!$B$64:$AV$64,"&lt;="&amp;'High Level Dashboard'!AC$64)),"")+
IFERROR(-PMT('High Level Dashboard'!$D$16, 'High Level Dashboard'!$D$18+1, SUMIF('High Level Dashboard'!$B$64:$AV$64,ROUNDDOWN('High Level Dashboard'!AC$64-'High Level Dashboard'!$D$18,0)+1,'High Level Dashboard'!$B$65:$AV$65)* (('High Level Dashboard'!$D$18-ROUNDDOWN('High Level Dashboard'!$D$18,0)))),"")
)</f>
        <v>579.4920923809824</v>
      </c>
      <c r="AE102" s="434">
        <f ca="1">$B$82*'High Level Dashboard'!$D$15*
(IFERROR(-PMT('High Level Dashboard'!$D$16,'High Level Dashboard'!$D$18+1,
SUMIFS('High Level Dashboard'!$B$65:$AV$65,'High Level Dashboard'!$B$64:$AV$64,"&gt;"&amp;'High Level Dashboard'!AD$64-ROUNDDOWN('High Level Dashboard'!$D$18,0),'High Level Dashboard'!$B$64:$AV$64,"&lt;="&amp;'High Level Dashboard'!AD$64)),"")+
IFERROR(-PMT('High Level Dashboard'!$D$16, 'High Level Dashboard'!$D$18+1, SUMIF('High Level Dashboard'!$B$64:$AV$64,ROUNDDOWN('High Level Dashboard'!AD$64-'High Level Dashboard'!$D$18,0)+1,'High Level Dashboard'!$B$65:$AV$65)* (('High Level Dashboard'!$D$18-ROUNDDOWN('High Level Dashboard'!$D$18,0)))),"")
)</f>
        <v>610.9257383064662</v>
      </c>
      <c r="AF102" s="434">
        <f ca="1">$B$82*'High Level Dashboard'!$D$15*
(IFERROR(-PMT('High Level Dashboard'!$D$16,'High Level Dashboard'!$D$18+1,
SUMIFS('High Level Dashboard'!$B$65:$AV$65,'High Level Dashboard'!$B$64:$AV$64,"&gt;"&amp;'High Level Dashboard'!AE$64-ROUNDDOWN('High Level Dashboard'!$D$18,0),'High Level Dashboard'!$B$64:$AV$64,"&lt;="&amp;'High Level Dashboard'!AE$64)),"")+
IFERROR(-PMT('High Level Dashboard'!$D$16, 'High Level Dashboard'!$D$18+1, SUMIF('High Level Dashboard'!$B$64:$AV$64,ROUNDDOWN('High Level Dashboard'!AE$64-'High Level Dashboard'!$D$18,0)+1,'High Level Dashboard'!$B$65:$AV$65)* (('High Level Dashboard'!$D$18-ROUNDDOWN('High Level Dashboard'!$D$18,0)))),"")
)</f>
        <v>653.35188001925542</v>
      </c>
      <c r="AG102" s="434">
        <f ca="1">$B$82*'High Level Dashboard'!$D$15*
(IFERROR(-PMT('High Level Dashboard'!$D$16,'High Level Dashboard'!$D$18+1,
SUMIFS('High Level Dashboard'!$B$65:$AV$65,'High Level Dashboard'!$B$64:$AV$64,"&gt;"&amp;'High Level Dashboard'!AF$64-ROUNDDOWN('High Level Dashboard'!$D$18,0),'High Level Dashboard'!$B$64:$AV$64,"&lt;="&amp;'High Level Dashboard'!AF$64)),"")+
IFERROR(-PMT('High Level Dashboard'!$D$16, 'High Level Dashboard'!$D$18+1, SUMIF('High Level Dashboard'!$B$64:$AV$64,ROUNDDOWN('High Level Dashboard'!AF$64-'High Level Dashboard'!$D$18,0)+1,'High Level Dashboard'!$B$65:$AV$65)* (('High Level Dashboard'!$D$18-ROUNDDOWN('High Level Dashboard'!$D$18,0)))),"")
)</f>
        <v>682.72846930026139</v>
      </c>
      <c r="AH102" s="434">
        <f ca="1">$B$82*'High Level Dashboard'!$D$15*
(IFERROR(-PMT('High Level Dashboard'!$D$16,'High Level Dashboard'!$D$18+1,
SUMIFS('High Level Dashboard'!$B$65:$AV$65,'High Level Dashboard'!$B$64:$AV$64,"&gt;"&amp;'High Level Dashboard'!AG$64-ROUNDDOWN('High Level Dashboard'!$D$18,0),'High Level Dashboard'!$B$64:$AV$64,"&lt;="&amp;'High Level Dashboard'!AG$64)),"")+
IFERROR(-PMT('High Level Dashboard'!$D$16, 'High Level Dashboard'!$D$18+1, SUMIF('High Level Dashboard'!$B$64:$AV$64,ROUNDDOWN('High Level Dashboard'!AG$64-'High Level Dashboard'!$D$18,0)+1,'High Level Dashboard'!$B$65:$AV$65)* (('High Level Dashboard'!$D$18-ROUNDDOWN('High Level Dashboard'!$D$18,0)))),"")
)</f>
        <v>714.93762872298294</v>
      </c>
      <c r="AI102" s="434">
        <f ca="1">$B$82*'High Level Dashboard'!$D$15*
(IFERROR(-PMT('High Level Dashboard'!$D$16,'High Level Dashboard'!$D$18+1,
SUMIFS('High Level Dashboard'!$B$65:$AV$65,'High Level Dashboard'!$B$64:$AV$64,"&gt;"&amp;'High Level Dashboard'!AH$64-ROUNDDOWN('High Level Dashboard'!$D$18,0),'High Level Dashboard'!$B$64:$AV$64,"&lt;="&amp;'High Level Dashboard'!AH$64)),"")+
IFERROR(-PMT('High Level Dashboard'!$D$16, 'High Level Dashboard'!$D$18+1, SUMIF('High Level Dashboard'!$B$64:$AV$64,ROUNDDOWN('High Level Dashboard'!AH$64-'High Level Dashboard'!$D$18,0)+1,'High Level Dashboard'!$B$65:$AV$65)* (('High Level Dashboard'!$D$18-ROUNDDOWN('High Level Dashboard'!$D$18,0)))),"")
)</f>
        <v>743.31587594558619</v>
      </c>
      <c r="AJ102" s="434">
        <f ca="1">$B$82*'High Level Dashboard'!$D$15*
(IFERROR(-PMT('High Level Dashboard'!$D$16,'High Level Dashboard'!$D$18+1,
SUMIFS('High Level Dashboard'!$B$65:$AV$65,'High Level Dashboard'!$B$64:$AV$64,"&gt;"&amp;'High Level Dashboard'!AI$64-ROUNDDOWN('High Level Dashboard'!$D$18,0),'High Level Dashboard'!$B$64:$AV$64,"&lt;="&amp;'High Level Dashboard'!AI$64)),"")+
IFERROR(-PMT('High Level Dashboard'!$D$16, 'High Level Dashboard'!$D$18+1, SUMIF('High Level Dashboard'!$B$64:$AV$64,ROUNDDOWN('High Level Dashboard'!AI$64-'High Level Dashboard'!$D$18,0)+1,'High Level Dashboard'!$B$65:$AV$65)* (('High Level Dashboard'!$D$18-ROUNDDOWN('High Level Dashboard'!$D$18,0)))),"")
)</f>
        <v>770.92693350725472</v>
      </c>
      <c r="AK102" s="434">
        <f ca="1">$B$82*'High Level Dashboard'!$D$15*
(IFERROR(-PMT('High Level Dashboard'!$D$16,'High Level Dashboard'!$D$18+1,
SUMIFS('High Level Dashboard'!$B$65:$AV$65,'High Level Dashboard'!$B$64:$AV$64,"&gt;"&amp;'High Level Dashboard'!AJ$64-ROUNDDOWN('High Level Dashboard'!$D$18,0),'High Level Dashboard'!$B$64:$AV$64,"&lt;="&amp;'High Level Dashboard'!AJ$64)),"")+
IFERROR(-PMT('High Level Dashboard'!$D$16, 'High Level Dashboard'!$D$18+1, SUMIF('High Level Dashboard'!$B$64:$AV$64,ROUNDDOWN('High Level Dashboard'!AJ$64-'High Level Dashboard'!$D$18,0)+1,'High Level Dashboard'!$B$65:$AV$65)* (('High Level Dashboard'!$D$18-ROUNDDOWN('High Level Dashboard'!$D$18,0)))),"")
)</f>
        <v>793.16863811148994</v>
      </c>
      <c r="AL102" s="434">
        <f ca="1">$B$82*'High Level Dashboard'!$D$15*
(IFERROR(-PMT('High Level Dashboard'!$D$16,'High Level Dashboard'!$D$18+1,
SUMIFS('High Level Dashboard'!$B$65:$AV$65,'High Level Dashboard'!$B$64:$AV$64,"&gt;"&amp;'High Level Dashboard'!AK$64-ROUNDDOWN('High Level Dashboard'!$D$18,0),'High Level Dashboard'!$B$64:$AV$64,"&lt;="&amp;'High Level Dashboard'!AK$64)),"")+
IFERROR(-PMT('High Level Dashboard'!$D$16, 'High Level Dashboard'!$D$18+1, SUMIF('High Level Dashboard'!$B$64:$AV$64,ROUNDDOWN('High Level Dashboard'!AK$64-'High Level Dashboard'!$D$18,0)+1,'High Level Dashboard'!$B$65:$AV$65)* (('High Level Dashboard'!$D$18-ROUNDDOWN('High Level Dashboard'!$D$18,0)))),"")
)</f>
        <v>810.03369054166797</v>
      </c>
      <c r="AM102" s="434">
        <f ca="1">$B$82*'High Level Dashboard'!$D$15*
(IFERROR(-PMT('High Level Dashboard'!$D$16,'High Level Dashboard'!$D$18+1,
SUMIFS('High Level Dashboard'!$B$65:$AV$65,'High Level Dashboard'!$B$64:$AV$64,"&gt;"&amp;'High Level Dashboard'!AL$64-ROUNDDOWN('High Level Dashboard'!$D$18,0),'High Level Dashboard'!$B$64:$AV$64,"&lt;="&amp;'High Level Dashboard'!AL$64)),"")+
IFERROR(-PMT('High Level Dashboard'!$D$16, 'High Level Dashboard'!$D$18+1, SUMIF('High Level Dashboard'!$B$64:$AV$64,ROUNDDOWN('High Level Dashboard'!AL$64-'High Level Dashboard'!$D$18,0)+1,'High Level Dashboard'!$B$65:$AV$65)* (('High Level Dashboard'!$D$18-ROUNDDOWN('High Level Dashboard'!$D$18,0)))),"")
)</f>
        <v>833.34673047027968</v>
      </c>
      <c r="AN102" s="434">
        <f ca="1">$B$82*'High Level Dashboard'!$D$15*
(IFERROR(-PMT('High Level Dashboard'!$D$16,'High Level Dashboard'!$D$18+1,
SUMIFS('High Level Dashboard'!$B$65:$AV$65,'High Level Dashboard'!$B$64:$AV$64,"&gt;"&amp;'High Level Dashboard'!AM$64-ROUNDDOWN('High Level Dashboard'!$D$18,0),'High Level Dashboard'!$B$64:$AV$64,"&lt;="&amp;'High Level Dashboard'!AM$64)),"")+
IFERROR(-PMT('High Level Dashboard'!$D$16, 'High Level Dashboard'!$D$18+1, SUMIF('High Level Dashboard'!$B$64:$AV$64,ROUNDDOWN('High Level Dashboard'!AM$64-'High Level Dashboard'!$D$18,0)+1,'High Level Dashboard'!$B$65:$AV$65)* (('High Level Dashboard'!$D$18-ROUNDDOWN('High Level Dashboard'!$D$18,0)))),"")
)</f>
        <v>856.34489846915801</v>
      </c>
      <c r="AO102" s="434">
        <f ca="1">$B$82*'High Level Dashboard'!$D$15*
(IFERROR(-PMT('High Level Dashboard'!$D$16,'High Level Dashboard'!$D$18+1,
SUMIFS('High Level Dashboard'!$B$65:$AV$65,'High Level Dashboard'!$B$64:$AV$64,"&gt;"&amp;'High Level Dashboard'!AN$64-ROUNDDOWN('High Level Dashboard'!$D$18,0),'High Level Dashboard'!$B$64:$AV$64,"&lt;="&amp;'High Level Dashboard'!AN$64)),"")+
IFERROR(-PMT('High Level Dashboard'!$D$16, 'High Level Dashboard'!$D$18+1, SUMIF('High Level Dashboard'!$B$64:$AV$64,ROUNDDOWN('High Level Dashboard'!AN$64-'High Level Dashboard'!$D$18,0)+1,'High Level Dashboard'!$B$65:$AV$65)* (('High Level Dashboard'!$D$18-ROUNDDOWN('High Level Dashboard'!$D$18,0)))),"")
)</f>
        <v>867.27870519224132</v>
      </c>
      <c r="AP102" s="434">
        <f ca="1">$B$82*'High Level Dashboard'!$D$15*
(IFERROR(-PMT('High Level Dashboard'!$D$16,'High Level Dashboard'!$D$18+1,
SUMIFS('High Level Dashboard'!$B$65:$AV$65,'High Level Dashboard'!$B$64:$AV$64,"&gt;"&amp;'High Level Dashboard'!AO$64-ROUNDDOWN('High Level Dashboard'!$D$18,0),'High Level Dashboard'!$B$64:$AV$64,"&lt;="&amp;'High Level Dashboard'!AO$64)),"")+
IFERROR(-PMT('High Level Dashboard'!$D$16, 'High Level Dashboard'!$D$18+1, SUMIF('High Level Dashboard'!$B$64:$AV$64,ROUNDDOWN('High Level Dashboard'!AO$64-'High Level Dashboard'!$D$18,0)+1,'High Level Dashboard'!$B$65:$AV$65)* (('High Level Dashboard'!$D$18-ROUNDDOWN('High Level Dashboard'!$D$18,0)))),"")
)</f>
        <v>892.98214332330133</v>
      </c>
      <c r="AQ102" s="434">
        <f ca="1">$B$82*'High Level Dashboard'!$D$15*
(IFERROR(-PMT('High Level Dashboard'!$D$16,'High Level Dashboard'!$D$18+1,
SUMIFS('High Level Dashboard'!$B$65:$AV$65,'High Level Dashboard'!$B$64:$AV$64,"&gt;"&amp;'High Level Dashboard'!AP$64-ROUNDDOWN('High Level Dashboard'!$D$18,0),'High Level Dashboard'!$B$64:$AV$64,"&lt;="&amp;'High Level Dashboard'!AP$64)),"")+
IFERROR(-PMT('High Level Dashboard'!$D$16, 'High Level Dashboard'!$D$18+1, SUMIF('High Level Dashboard'!$B$64:$AV$64,ROUNDDOWN('High Level Dashboard'!AP$64-'High Level Dashboard'!$D$18,0)+1,'High Level Dashboard'!$B$65:$AV$65)* (('High Level Dashboard'!$D$18-ROUNDDOWN('High Level Dashboard'!$D$18,0)))),"")
)</f>
        <v>923.8654938682489</v>
      </c>
      <c r="AR102" s="434">
        <f ca="1">$B$82*'High Level Dashboard'!$D$15*
(IFERROR(-PMT('High Level Dashboard'!$D$16,'High Level Dashboard'!$D$18+1,
SUMIFS('High Level Dashboard'!$B$65:$AV$65,'High Level Dashboard'!$B$64:$AV$64,"&gt;"&amp;'High Level Dashboard'!AQ$64-ROUNDDOWN('High Level Dashboard'!$D$18,0),'High Level Dashboard'!$B$64:$AV$64,"&lt;="&amp;'High Level Dashboard'!AQ$64)),"")+
IFERROR(-PMT('High Level Dashboard'!$D$16, 'High Level Dashboard'!$D$18+1, SUMIF('High Level Dashboard'!$B$64:$AV$64,ROUNDDOWN('High Level Dashboard'!AQ$64-'High Level Dashboard'!$D$18,0)+1,'High Level Dashboard'!$B$65:$AV$65)* (('High Level Dashboard'!$D$18-ROUNDDOWN('High Level Dashboard'!$D$18,0)))),"")
)</f>
        <v>953.33755285872826</v>
      </c>
      <c r="AS102" s="434">
        <f ca="1">$B$82*'High Level Dashboard'!$D$15*
(IFERROR(-PMT('High Level Dashboard'!$D$16,'High Level Dashboard'!$D$18+1,
SUMIFS('High Level Dashboard'!$B$65:$AV$65,'High Level Dashboard'!$B$64:$AV$64,"&gt;"&amp;'High Level Dashboard'!AR$64-ROUNDDOWN('High Level Dashboard'!$D$18,0),'High Level Dashboard'!$B$64:$AV$64,"&lt;="&amp;'High Level Dashboard'!AR$64)),"")+
IFERROR(-PMT('High Level Dashboard'!$D$16, 'High Level Dashboard'!$D$18+1, SUMIF('High Level Dashboard'!$B$64:$AV$64,ROUNDDOWN('High Level Dashboard'!AR$64-'High Level Dashboard'!$D$18,0)+1,'High Level Dashboard'!$B$65:$AV$65)* (('High Level Dashboard'!$D$18-ROUNDDOWN('High Level Dashboard'!$D$18,0)))),"")
)</f>
        <v>974.6299417825951</v>
      </c>
      <c r="AT102" s="434">
        <f ca="1">$B$82*'High Level Dashboard'!$D$15*
(IFERROR(-PMT('High Level Dashboard'!$D$16,'High Level Dashboard'!$D$18+1,
SUMIFS('High Level Dashboard'!$B$65:$AV$65,'High Level Dashboard'!$B$64:$AV$64,"&gt;"&amp;'High Level Dashboard'!AS$64-ROUNDDOWN('High Level Dashboard'!$D$18,0),'High Level Dashboard'!$B$64:$AV$64,"&lt;="&amp;'High Level Dashboard'!AS$64)),"")+
IFERROR(-PMT('High Level Dashboard'!$D$16, 'High Level Dashboard'!$D$18+1, SUMIF('High Level Dashboard'!$B$64:$AV$64,ROUNDDOWN('High Level Dashboard'!AS$64-'High Level Dashboard'!$D$18,0)+1,'High Level Dashboard'!$B$65:$AV$65)* (('High Level Dashboard'!$D$18-ROUNDDOWN('High Level Dashboard'!$D$18,0)))),"")
)</f>
        <v>989.25494426536409</v>
      </c>
      <c r="AU102" s="434">
        <f ca="1">$B$82*'High Level Dashboard'!$D$15*
(IFERROR(-PMT('High Level Dashboard'!$D$16,'High Level Dashboard'!$D$18+1,
SUMIFS('High Level Dashboard'!$B$65:$AV$65,'High Level Dashboard'!$B$64:$AV$64,"&gt;"&amp;'High Level Dashboard'!AT$64-ROUNDDOWN('High Level Dashboard'!$D$18,0),'High Level Dashboard'!$B$64:$AV$64,"&lt;="&amp;'High Level Dashboard'!AT$64)),"")+
IFERROR(-PMT('High Level Dashboard'!$D$16, 'High Level Dashboard'!$D$18+1, SUMIF('High Level Dashboard'!$B$64:$AV$64,ROUNDDOWN('High Level Dashboard'!AT$64-'High Level Dashboard'!$D$18,0)+1,'High Level Dashboard'!$B$65:$AV$65)* (('High Level Dashboard'!$D$18-ROUNDDOWN('High Level Dashboard'!$D$18,0)))),"")
)</f>
        <v>1010.0746365410631</v>
      </c>
      <c r="AV102" s="434">
        <f ca="1">$B$82*'High Level Dashboard'!$D$15*
(IFERROR(-PMT('High Level Dashboard'!$D$16,'High Level Dashboard'!$D$18+1,
SUMIFS('High Level Dashboard'!$B$65:$AV$65,'High Level Dashboard'!$B$64:$AV$64,"&gt;"&amp;'High Level Dashboard'!AU$64-ROUNDDOWN('High Level Dashboard'!$D$18,0),'High Level Dashboard'!$B$64:$AV$64,"&lt;="&amp;'High Level Dashboard'!AU$64)),"")+
IFERROR(-PMT('High Level Dashboard'!$D$16, 'High Level Dashboard'!$D$18+1, SUMIF('High Level Dashboard'!$B$64:$AV$64,ROUNDDOWN('High Level Dashboard'!AU$64-'High Level Dashboard'!$D$18,0)+1,'High Level Dashboard'!$B$65:$AV$65)* (('High Level Dashboard'!$D$18-ROUNDDOWN('High Level Dashboard'!$D$18,0)))),"")
)</f>
        <v>1027.3958897107304</v>
      </c>
    </row>
    <row r="103" spans="1:49" s="431" customFormat="1">
      <c r="A103" s="428" t="s">
        <v>266</v>
      </c>
      <c r="B103" s="428"/>
      <c r="C103" s="434">
        <f ca="1">$B$83*'High Level Dashboard'!$D$21*
(IFERROR(-PMT('High Level Dashboard'!$D$22,'High Level Dashboard'!$D$24+1,
SUMIFS('High Level Dashboard'!$B$65:$AV$65,'High Level Dashboard'!$B$64:$AV$64,"&gt;"&amp;'High Level Dashboard'!B$64-ROUNDDOWN('High Level Dashboard'!$D$24,0),'High Level Dashboard'!$B$64:$AV$64,"&lt;="&amp;'High Level Dashboard'!B$64)),"")+
IFERROR(-PMT('High Level Dashboard'!$D$22, 'High Level Dashboard'!$D$24+1, SUMIF('High Level Dashboard'!$B$64:$AV$64,ROUNDDOWN('High Level Dashboard'!B$64-'High Level Dashboard'!$D$24,0)+1,'High Level Dashboard'!$B$65:$AV$65)* (('High Level Dashboard'!$D$24-ROUNDDOWN('High Level Dashboard'!$D$24,0)))),"")
)</f>
        <v>6.2532473671618432</v>
      </c>
      <c r="D103" s="434">
        <f ca="1">$B$83*'High Level Dashboard'!$D$21*
(IFERROR(-PMT('High Level Dashboard'!$D$22,'High Level Dashboard'!$D$24+1,
SUMIFS('High Level Dashboard'!$B$65:$AV$65,'High Level Dashboard'!$B$64:$AV$64,"&gt;"&amp;'High Level Dashboard'!C$64-ROUNDDOWN('High Level Dashboard'!$D$24,0),'High Level Dashboard'!$B$64:$AV$64,"&lt;="&amp;'High Level Dashboard'!C$64)),"")+
IFERROR(-PMT('High Level Dashboard'!$D$22, 'High Level Dashboard'!$D$24+1, SUMIF('High Level Dashboard'!$B$64:$AV$64,ROUNDDOWN('High Level Dashboard'!C$64-'High Level Dashboard'!$D$24,0)+1,'High Level Dashboard'!$B$65:$AV$65)* (('High Level Dashboard'!$D$24-ROUNDDOWN('High Level Dashboard'!$D$24,0)))),"")
)</f>
        <v>12.808166414058082</v>
      </c>
      <c r="E103" s="434">
        <f ca="1">$B$83*'High Level Dashboard'!$D$21*
(IFERROR(-PMT('High Level Dashboard'!$D$22,'High Level Dashboard'!$D$24+1,
SUMIFS('High Level Dashboard'!$B$65:$AV$65,'High Level Dashboard'!$B$64:$AV$64,"&gt;"&amp;'High Level Dashboard'!D$64-ROUNDDOWN('High Level Dashboard'!$D$24,0),'High Level Dashboard'!$B$64:$AV$64,"&lt;="&amp;'High Level Dashboard'!D$64)),"")+
IFERROR(-PMT('High Level Dashboard'!$D$22, 'High Level Dashboard'!$D$24+1, SUMIF('High Level Dashboard'!$B$64:$AV$64,ROUNDDOWN('High Level Dashboard'!D$64-'High Level Dashboard'!$D$24,0)+1,'High Level Dashboard'!$B$65:$AV$65)* (('High Level Dashboard'!$D$24-ROUNDDOWN('High Level Dashboard'!$D$24,0)))),"")
)</f>
        <v>19.3704986076417</v>
      </c>
      <c r="F103" s="434">
        <f ca="1">$B$83*'High Level Dashboard'!$D$21*
(IFERROR(-PMT('High Level Dashboard'!$D$22,'High Level Dashboard'!$D$24+1,
SUMIFS('High Level Dashboard'!$B$65:$AV$65,'High Level Dashboard'!$B$64:$AV$64,"&gt;"&amp;'High Level Dashboard'!E$64-ROUNDDOWN('High Level Dashboard'!$D$24,0),'High Level Dashboard'!$B$64:$AV$64,"&lt;="&amp;'High Level Dashboard'!E$64)),"")+
IFERROR(-PMT('High Level Dashboard'!$D$22, 'High Level Dashboard'!$D$24+1, SUMIF('High Level Dashboard'!$B$64:$AV$64,ROUNDDOWN('High Level Dashboard'!E$64-'High Level Dashboard'!$D$24,0)+1,'High Level Dashboard'!$B$65:$AV$65)* (('High Level Dashboard'!$D$24-ROUNDDOWN('High Level Dashboard'!$D$24,0)))),"")
)</f>
        <v>25.135411555653445</v>
      </c>
      <c r="G103" s="434">
        <f ca="1">$B$83*'High Level Dashboard'!$D$21*
(IFERROR(-PMT('High Level Dashboard'!$D$22,'High Level Dashboard'!$D$24+1,
SUMIFS('High Level Dashboard'!$B$65:$AV$65,'High Level Dashboard'!$B$64:$AV$64,"&gt;"&amp;'High Level Dashboard'!F$64-ROUNDDOWN('High Level Dashboard'!$D$24,0),'High Level Dashboard'!$B$64:$AV$64,"&lt;="&amp;'High Level Dashboard'!F$64)),"")+
IFERROR(-PMT('High Level Dashboard'!$D$22, 'High Level Dashboard'!$D$24+1, SUMIF('High Level Dashboard'!$B$64:$AV$64,ROUNDDOWN('High Level Dashboard'!F$64-'High Level Dashboard'!$D$24,0)+1,'High Level Dashboard'!$B$65:$AV$65)* (('High Level Dashboard'!$D$24-ROUNDDOWN('High Level Dashboard'!$D$24,0)))),"")
)</f>
        <v>37.176488643041843</v>
      </c>
      <c r="H103" s="434">
        <f ca="1">$B$83*'High Level Dashboard'!$D$21*
(IFERROR(-PMT('High Level Dashboard'!$D$22,'High Level Dashboard'!$D$24+1,
SUMIFS('High Level Dashboard'!$B$65:$AV$65,'High Level Dashboard'!$B$64:$AV$64,"&gt;"&amp;'High Level Dashboard'!G$64-ROUNDDOWN('High Level Dashboard'!$D$24,0),'High Level Dashboard'!$B$64:$AV$64,"&lt;="&amp;'High Level Dashboard'!G$64)),"")+
IFERROR(-PMT('High Level Dashboard'!$D$22, 'High Level Dashboard'!$D$24+1, SUMIF('High Level Dashboard'!$B$64:$AV$64,ROUNDDOWN('High Level Dashboard'!G$64-'High Level Dashboard'!$D$24,0)+1,'High Level Dashboard'!$B$65:$AV$65)* (('High Level Dashboard'!$D$24-ROUNDDOWN('High Level Dashboard'!$D$24,0)))),"")
)</f>
        <v>44.287657711299104</v>
      </c>
      <c r="I103" s="434">
        <f ca="1">$B$83*'High Level Dashboard'!$D$21*
(IFERROR(-PMT('High Level Dashboard'!$D$22,'High Level Dashboard'!$D$24+1,
SUMIFS('High Level Dashboard'!$B$65:$AV$65,'High Level Dashboard'!$B$64:$AV$64,"&gt;"&amp;'High Level Dashboard'!H$64-ROUNDDOWN('High Level Dashboard'!$D$24,0),'High Level Dashboard'!$B$64:$AV$64,"&lt;="&amp;'High Level Dashboard'!H$64)),"")+
IFERROR(-PMT('High Level Dashboard'!$D$22, 'High Level Dashboard'!$D$24+1, SUMIF('High Level Dashboard'!$B$64:$AV$64,ROUNDDOWN('High Level Dashboard'!H$64-'High Level Dashboard'!$D$24,0)+1,'High Level Dashboard'!$B$65:$AV$65)* (('High Level Dashboard'!$D$24-ROUNDDOWN('High Level Dashboard'!$D$24,0)))),"")
)</f>
        <v>52.382546196952987</v>
      </c>
      <c r="J103" s="434">
        <f ca="1">$B$83*'High Level Dashboard'!$D$21*
(IFERROR(-PMT('High Level Dashboard'!$D$22,'High Level Dashboard'!$D$24+1,
SUMIFS('High Level Dashboard'!$B$65:$AV$65,'High Level Dashboard'!$B$64:$AV$64,"&gt;"&amp;'High Level Dashboard'!I$64-ROUNDDOWN('High Level Dashboard'!$D$24,0),'High Level Dashboard'!$B$64:$AV$64,"&lt;="&amp;'High Level Dashboard'!I$64)),"")+
IFERROR(-PMT('High Level Dashboard'!$D$22, 'High Level Dashboard'!$D$24+1, SUMIF('High Level Dashboard'!$B$64:$AV$64,ROUNDDOWN('High Level Dashboard'!I$64-'High Level Dashboard'!$D$24,0)+1,'High Level Dashboard'!$B$65:$AV$65)* (('High Level Dashboard'!$D$24-ROUNDDOWN('High Level Dashboard'!$D$24,0)))),"")
)</f>
        <v>58.211500495514038</v>
      </c>
      <c r="K103" s="434">
        <f ca="1">$B$83*'High Level Dashboard'!$D$21*
(IFERROR(-PMT('High Level Dashboard'!$D$22,'High Level Dashboard'!$D$24+1,
SUMIFS('High Level Dashboard'!$B$65:$AV$65,'High Level Dashboard'!$B$64:$AV$64,"&gt;"&amp;'High Level Dashboard'!J$64-ROUNDDOWN('High Level Dashboard'!$D$24,0),'High Level Dashboard'!$B$64:$AV$64,"&lt;="&amp;'High Level Dashboard'!J$64)),"")+
IFERROR(-PMT('High Level Dashboard'!$D$22, 'High Level Dashboard'!$D$24+1, SUMIF('High Level Dashboard'!$B$64:$AV$64,ROUNDDOWN('High Level Dashboard'!J$64-'High Level Dashboard'!$D$24,0)+1,'High Level Dashboard'!$B$65:$AV$65)* (('High Level Dashboard'!$D$24-ROUNDDOWN('High Level Dashboard'!$D$24,0)))),"")
)</f>
        <v>63.791510591017101</v>
      </c>
      <c r="L103" s="434">
        <f ca="1">$B$83*'High Level Dashboard'!$D$21*
(IFERROR(-PMT('High Level Dashboard'!$D$22,'High Level Dashboard'!$D$24+1,
SUMIFS('High Level Dashboard'!$B$65:$AV$65,'High Level Dashboard'!$B$64:$AV$64,"&gt;"&amp;'High Level Dashboard'!K$64-ROUNDDOWN('High Level Dashboard'!$D$24,0),'High Level Dashboard'!$B$64:$AV$64,"&lt;="&amp;'High Level Dashboard'!K$64)),"")+
IFERROR(-PMT('High Level Dashboard'!$D$22, 'High Level Dashboard'!$D$24+1, SUMIF('High Level Dashboard'!$B$64:$AV$64,ROUNDDOWN('High Level Dashboard'!K$64-'High Level Dashboard'!$D$24,0)+1,'High Level Dashboard'!$B$65:$AV$65)* (('High Level Dashboard'!$D$24-ROUNDDOWN('High Level Dashboard'!$D$24,0)))),"")
)</f>
        <v>72.778863982122161</v>
      </c>
      <c r="M103" s="434">
        <f ca="1">$B$83*'High Level Dashboard'!$D$21*
(IFERROR(-PMT('High Level Dashboard'!$D$22,'High Level Dashboard'!$D$24+1,
SUMIFS('High Level Dashboard'!$B$65:$AV$65,'High Level Dashboard'!$B$64:$AV$64,"&gt;"&amp;'High Level Dashboard'!L$64-ROUNDDOWN('High Level Dashboard'!$D$24,0),'High Level Dashboard'!$B$64:$AV$64,"&lt;="&amp;'High Level Dashboard'!L$64)),"")+
IFERROR(-PMT('High Level Dashboard'!$D$22, 'High Level Dashboard'!$D$24+1, SUMIF('High Level Dashboard'!$B$64:$AV$64,ROUNDDOWN('High Level Dashboard'!L$64-'High Level Dashboard'!$D$24,0)+1,'High Level Dashboard'!$B$65:$AV$65)* (('High Level Dashboard'!$D$24-ROUNDDOWN('High Level Dashboard'!$D$24,0)))),"")
)</f>
        <v>79.867062591685624</v>
      </c>
      <c r="N103" s="434">
        <f ca="1">$B$83*'High Level Dashboard'!$D$21*
(IFERROR(-PMT('High Level Dashboard'!$D$22,'High Level Dashboard'!$D$24+1,
SUMIFS('High Level Dashboard'!$B$65:$AV$65,'High Level Dashboard'!$B$64:$AV$64,"&gt;"&amp;'High Level Dashboard'!M$64-ROUNDDOWN('High Level Dashboard'!$D$24,0),'High Level Dashboard'!$B$64:$AV$64,"&lt;="&amp;'High Level Dashboard'!M$64)),"")+
IFERROR(-PMT('High Level Dashboard'!$D$22, 'High Level Dashboard'!$D$24+1, SUMIF('High Level Dashboard'!$B$64:$AV$64,ROUNDDOWN('High Level Dashboard'!M$64-'High Level Dashboard'!$D$24,0)+1,'High Level Dashboard'!$B$65:$AV$65)* (('High Level Dashboard'!$D$24-ROUNDDOWN('High Level Dashboard'!$D$24,0)))),"")
)</f>
        <v>90.077600630263788</v>
      </c>
      <c r="O103" s="434">
        <f ca="1">$B$83*'High Level Dashboard'!$D$21*
(IFERROR(-PMT('High Level Dashboard'!$D$22,'High Level Dashboard'!$D$24+1,
SUMIFS('High Level Dashboard'!$B$65:$AV$65,'High Level Dashboard'!$B$64:$AV$64,"&gt;"&amp;'High Level Dashboard'!N$64-ROUNDDOWN('High Level Dashboard'!$D$24,0),'High Level Dashboard'!$B$64:$AV$64,"&lt;="&amp;'High Level Dashboard'!N$64)),"")+
IFERROR(-PMT('High Level Dashboard'!$D$22, 'High Level Dashboard'!$D$24+1, SUMIF('High Level Dashboard'!$B$64:$AV$64,ROUNDDOWN('High Level Dashboard'!N$64-'High Level Dashboard'!$D$24,0)+1,'High Level Dashboard'!$B$65:$AV$65)* (('High Level Dashboard'!$D$24-ROUNDDOWN('High Level Dashboard'!$D$24,0)))),"")
)</f>
        <v>99.67470519304868</v>
      </c>
      <c r="P103" s="434">
        <f ca="1">$B$83*'High Level Dashboard'!$D$21*
(IFERROR(-PMT('High Level Dashboard'!$D$22,'High Level Dashboard'!$D$24+1,
SUMIFS('High Level Dashboard'!$B$65:$AV$65,'High Level Dashboard'!$B$64:$AV$64,"&gt;"&amp;'High Level Dashboard'!O$64-ROUNDDOWN('High Level Dashboard'!$D$24,0),'High Level Dashboard'!$B$64:$AV$64,"&lt;="&amp;'High Level Dashboard'!O$64)),"")+
IFERROR(-PMT('High Level Dashboard'!$D$22, 'High Level Dashboard'!$D$24+1, SUMIF('High Level Dashboard'!$B$64:$AV$64,ROUNDDOWN('High Level Dashboard'!O$64-'High Level Dashboard'!$D$24,0)+1,'High Level Dashboard'!$B$65:$AV$65)* (('High Level Dashboard'!$D$24-ROUNDDOWN('High Level Dashboard'!$D$24,0)))),"")
)</f>
        <v>108.99591788204951</v>
      </c>
      <c r="Q103" s="434">
        <f ca="1">$B$83*'High Level Dashboard'!$D$21*
(IFERROR(-PMT('High Level Dashboard'!$D$22,'High Level Dashboard'!$D$24+1,
SUMIFS('High Level Dashboard'!$B$65:$AV$65,'High Level Dashboard'!$B$64:$AV$64,"&gt;"&amp;'High Level Dashboard'!P$64-ROUNDDOWN('High Level Dashboard'!$D$24,0),'High Level Dashboard'!$B$64:$AV$64,"&lt;="&amp;'High Level Dashboard'!P$64)),"")+
IFERROR(-PMT('High Level Dashboard'!$D$22, 'High Level Dashboard'!$D$24+1, SUMIF('High Level Dashboard'!$B$64:$AV$64,ROUNDDOWN('High Level Dashboard'!P$64-'High Level Dashboard'!$D$24,0)+1,'High Level Dashboard'!$B$65:$AV$65)* (('High Level Dashboard'!$D$24-ROUNDDOWN('High Level Dashboard'!$D$24,0)))),"")
)</f>
        <v>121.93359446920226</v>
      </c>
      <c r="R103" s="434">
        <f ca="1">$B$83*'High Level Dashboard'!$D$21*
(IFERROR(-PMT('High Level Dashboard'!$D$22,'High Level Dashboard'!$D$24+1,
SUMIFS('High Level Dashboard'!$B$65:$AV$65,'High Level Dashboard'!$B$64:$AV$64,"&gt;"&amp;'High Level Dashboard'!Q$64-ROUNDDOWN('High Level Dashboard'!$D$24,0),'High Level Dashboard'!$B$64:$AV$64,"&lt;="&amp;'High Level Dashboard'!Q$64)),"")+
IFERROR(-PMT('High Level Dashboard'!$D$22, 'High Level Dashboard'!$D$24+1, SUMIF('High Level Dashboard'!$B$64:$AV$64,ROUNDDOWN('High Level Dashboard'!Q$64-'High Level Dashboard'!$D$24,0)+1,'High Level Dashboard'!$B$65:$AV$65)* (('High Level Dashboard'!$D$24-ROUNDDOWN('High Level Dashboard'!$D$24,0)))),"")
)</f>
        <v>138.70300891006605</v>
      </c>
      <c r="S103" s="434">
        <f ca="1">$B$83*'High Level Dashboard'!$D$21*
(IFERROR(-PMT('High Level Dashboard'!$D$22,'High Level Dashboard'!$D$24+1,
SUMIFS('High Level Dashboard'!$B$65:$AV$65,'High Level Dashboard'!$B$64:$AV$64,"&gt;"&amp;'High Level Dashboard'!R$64-ROUNDDOWN('High Level Dashboard'!$D$24,0),'High Level Dashboard'!$B$64:$AV$64,"&lt;="&amp;'High Level Dashboard'!R$64)),"")+
IFERROR(-PMT('High Level Dashboard'!$D$22, 'High Level Dashboard'!$D$24+1, SUMIF('High Level Dashboard'!$B$64:$AV$64,ROUNDDOWN('High Level Dashboard'!R$64-'High Level Dashboard'!$D$24,0)+1,'High Level Dashboard'!$B$65:$AV$65)* (('High Level Dashboard'!$D$24-ROUNDDOWN('High Level Dashboard'!$D$24,0)))),"")
)</f>
        <v>153.09287460110946</v>
      </c>
      <c r="T103" s="434">
        <f ca="1">$B$83*'High Level Dashboard'!$D$21*
(IFERROR(-PMT('High Level Dashboard'!$D$22,'High Level Dashboard'!$D$24+1,
SUMIFS('High Level Dashboard'!$B$65:$AV$65,'High Level Dashboard'!$B$64:$AV$64,"&gt;"&amp;'High Level Dashboard'!S$64-ROUNDDOWN('High Level Dashboard'!$D$24,0),'High Level Dashboard'!$B$64:$AV$64,"&lt;="&amp;'High Level Dashboard'!S$64)),"")+
IFERROR(-PMT('High Level Dashboard'!$D$22, 'High Level Dashboard'!$D$24+1, SUMIF('High Level Dashboard'!$B$64:$AV$64,ROUNDDOWN('High Level Dashboard'!S$64-'High Level Dashboard'!$D$24,0)+1,'High Level Dashboard'!$B$65:$AV$65)* (('High Level Dashboard'!$D$24-ROUNDDOWN('High Level Dashboard'!$D$24,0)))),"")
)</f>
        <v>162.66345068896308</v>
      </c>
      <c r="U103" s="434">
        <f ca="1">$B$83*'High Level Dashboard'!$D$21*
(IFERROR(-PMT('High Level Dashboard'!$D$22,'High Level Dashboard'!$D$24+1,
SUMIFS('High Level Dashboard'!$B$65:$AV$65,'High Level Dashboard'!$B$64:$AV$64,"&gt;"&amp;'High Level Dashboard'!T$64-ROUNDDOWN('High Level Dashboard'!$D$24,0),'High Level Dashboard'!$B$64:$AV$64,"&lt;="&amp;'High Level Dashboard'!T$64)),"")+
IFERROR(-PMT('High Level Dashboard'!$D$22, 'High Level Dashboard'!$D$24+1, SUMIF('High Level Dashboard'!$B$64:$AV$64,ROUNDDOWN('High Level Dashboard'!T$64-'High Level Dashboard'!$D$24,0)+1,'High Level Dashboard'!$B$65:$AV$65)* (('High Level Dashboard'!$D$24-ROUNDDOWN('High Level Dashboard'!$D$24,0)))),"")
)</f>
        <v>172.66058497357204</v>
      </c>
      <c r="V103" s="434">
        <f ca="1">$B$83*'High Level Dashboard'!$D$21*
(IFERROR(-PMT('High Level Dashboard'!$D$22,'High Level Dashboard'!$D$24+1,
SUMIFS('High Level Dashboard'!$B$65:$AV$65,'High Level Dashboard'!$B$64:$AV$64,"&gt;"&amp;'High Level Dashboard'!U$64-ROUNDDOWN('High Level Dashboard'!$D$24,0),'High Level Dashboard'!$B$64:$AV$64,"&lt;="&amp;'High Level Dashboard'!U$64)),"")+
IFERROR(-PMT('High Level Dashboard'!$D$22, 'High Level Dashboard'!$D$24+1, SUMIF('High Level Dashboard'!$B$64:$AV$64,ROUNDDOWN('High Level Dashboard'!U$64-'High Level Dashboard'!$D$24,0)+1,'High Level Dashboard'!$B$65:$AV$65)* (('High Level Dashboard'!$D$24-ROUNDDOWN('High Level Dashboard'!$D$24,0)))),"")
)</f>
        <v>183.42525866875664</v>
      </c>
      <c r="W103" s="434">
        <f ca="1">$B$83*'High Level Dashboard'!$D$21*
(IFERROR(-PMT('High Level Dashboard'!$D$22,'High Level Dashboard'!$D$24+1,
SUMIFS('High Level Dashboard'!$B$65:$AV$65,'High Level Dashboard'!$B$64:$AV$64,"&gt;"&amp;'High Level Dashboard'!V$64-ROUNDDOWN('High Level Dashboard'!$D$24,0),'High Level Dashboard'!$B$64:$AV$64,"&lt;="&amp;'High Level Dashboard'!V$64)),"")+
IFERROR(-PMT('High Level Dashboard'!$D$22, 'High Level Dashboard'!$D$24+1, SUMIF('High Level Dashboard'!$B$64:$AV$64,ROUNDDOWN('High Level Dashboard'!V$64-'High Level Dashboard'!$D$24,0)+1,'High Level Dashboard'!$B$65:$AV$65)* (('High Level Dashboard'!$D$24-ROUNDDOWN('High Level Dashboard'!$D$24,0)))),"")
)</f>
        <v>195.00859527570475</v>
      </c>
      <c r="X103" s="434">
        <f ca="1">$B$83*'High Level Dashboard'!$D$21*
(IFERROR(-PMT('High Level Dashboard'!$D$22,'High Level Dashboard'!$D$24+1,
SUMIFS('High Level Dashboard'!$B$65:$AV$65,'High Level Dashboard'!$B$64:$AV$64,"&gt;"&amp;'High Level Dashboard'!W$64-ROUNDDOWN('High Level Dashboard'!$D$24,0),'High Level Dashboard'!$B$64:$AV$64,"&lt;="&amp;'High Level Dashboard'!W$64)),"")+
IFERROR(-PMT('High Level Dashboard'!$D$22, 'High Level Dashboard'!$D$24+1, SUMIF('High Level Dashboard'!$B$64:$AV$64,ROUNDDOWN('High Level Dashboard'!W$64-'High Level Dashboard'!$D$24,0)+1,'High Level Dashboard'!$B$65:$AV$65)* (('High Level Dashboard'!$D$24-ROUNDDOWN('High Level Dashboard'!$D$24,0)))),"")
)</f>
        <v>207.41927729538773</v>
      </c>
      <c r="Y103" s="434">
        <f ca="1">$B$83*'High Level Dashboard'!$D$21*
(IFERROR(-PMT('High Level Dashboard'!$D$22,'High Level Dashboard'!$D$24+1,
SUMIFS('High Level Dashboard'!$B$65:$AV$65,'High Level Dashboard'!$B$64:$AV$64,"&gt;"&amp;'High Level Dashboard'!X$64-ROUNDDOWN('High Level Dashboard'!$D$24,0),'High Level Dashboard'!$B$64:$AV$64,"&lt;="&amp;'High Level Dashboard'!X$64)),"")+
IFERROR(-PMT('High Level Dashboard'!$D$22, 'High Level Dashboard'!$D$24+1, SUMIF('High Level Dashboard'!$B$64:$AV$64,ROUNDDOWN('High Level Dashboard'!X$64-'High Level Dashboard'!$D$24,0)+1,'High Level Dashboard'!$B$65:$AV$65)* (('High Level Dashboard'!$D$24-ROUNDDOWN('High Level Dashboard'!$D$24,0)))),"")
)</f>
        <v>220.66430235585418</v>
      </c>
      <c r="Z103" s="434">
        <f ca="1">$B$83*'High Level Dashboard'!$D$21*
(IFERROR(-PMT('High Level Dashboard'!$D$22,'High Level Dashboard'!$D$24+1,
SUMIFS('High Level Dashboard'!$B$65:$AV$65,'High Level Dashboard'!$B$64:$AV$64,"&gt;"&amp;'High Level Dashboard'!Y$64-ROUNDDOWN('High Level Dashboard'!$D$24,0),'High Level Dashboard'!$B$64:$AV$64,"&lt;="&amp;'High Level Dashboard'!Y$64)),"")+
IFERROR(-PMT('High Level Dashboard'!$D$22, 'High Level Dashboard'!$D$24+1, SUMIF('High Level Dashboard'!$B$64:$AV$64,ROUNDDOWN('High Level Dashboard'!Y$64-'High Level Dashboard'!$D$24,0)+1,'High Level Dashboard'!$B$65:$AV$65)* (('High Level Dashboard'!$D$24-ROUNDDOWN('High Level Dashboard'!$D$24,0)))),"")
)</f>
        <v>234.80142534159361</v>
      </c>
      <c r="AA103" s="434">
        <f ca="1">$B$83*'High Level Dashboard'!$D$21*
(IFERROR(-PMT('High Level Dashboard'!$D$22,'High Level Dashboard'!$D$24+1,
SUMIFS('High Level Dashboard'!$B$65:$AV$65,'High Level Dashboard'!$B$64:$AV$64,"&gt;"&amp;'High Level Dashboard'!Z$64-ROUNDDOWN('High Level Dashboard'!$D$24,0),'High Level Dashboard'!$B$64:$AV$64,"&lt;="&amp;'High Level Dashboard'!Z$64)),"")+
IFERROR(-PMT('High Level Dashboard'!$D$22, 'High Level Dashboard'!$D$24+1, SUMIF('High Level Dashboard'!$B$64:$AV$64,ROUNDDOWN('High Level Dashboard'!Z$64-'High Level Dashboard'!$D$24,0)+1,'High Level Dashboard'!$B$65:$AV$65)* (('High Level Dashboard'!$D$24-ROUNDDOWN('High Level Dashboard'!$D$24,0)))),"")
)</f>
        <v>250.24326582146773</v>
      </c>
      <c r="AB103" s="434">
        <f ca="1">$B$83*'High Level Dashboard'!$D$21*
(IFERROR(-PMT('High Level Dashboard'!$D$22,'High Level Dashboard'!$D$24+1,
SUMIFS('High Level Dashboard'!$B$65:$AV$65,'High Level Dashboard'!$B$64:$AV$64,"&gt;"&amp;'High Level Dashboard'!AA$64-ROUNDDOWN('High Level Dashboard'!$D$24,0),'High Level Dashboard'!$B$64:$AV$64,"&lt;="&amp;'High Level Dashboard'!AA$64)),"")+
IFERROR(-PMT('High Level Dashboard'!$D$22, 'High Level Dashboard'!$D$24+1, SUMIF('High Level Dashboard'!$B$64:$AV$64,ROUNDDOWN('High Level Dashboard'!AA$64-'High Level Dashboard'!$D$24,0)+1,'High Level Dashboard'!$B$65:$AV$65)* (('High Level Dashboard'!$D$24-ROUNDDOWN('High Level Dashboard'!$D$24,0)))),"")
)</f>
        <v>265.45713208304835</v>
      </c>
      <c r="AC103" s="434">
        <f ca="1">$B$83*'High Level Dashboard'!$D$21*
(IFERROR(-PMT('High Level Dashboard'!$D$22,'High Level Dashboard'!$D$24+1,
SUMIFS('High Level Dashboard'!$B$65:$AV$65,'High Level Dashboard'!$B$64:$AV$64,"&gt;"&amp;'High Level Dashboard'!AB$64-ROUNDDOWN('High Level Dashboard'!$D$24,0),'High Level Dashboard'!$B$64:$AV$64,"&lt;="&amp;'High Level Dashboard'!AB$64)),"")+
IFERROR(-PMT('High Level Dashboard'!$D$22, 'High Level Dashboard'!$D$24+1, SUMIF('High Level Dashboard'!$B$64:$AV$64,ROUNDDOWN('High Level Dashboard'!AB$64-'High Level Dashboard'!$D$24,0)+1,'High Level Dashboard'!$B$65:$AV$65)* (('High Level Dashboard'!$D$24-ROUNDDOWN('High Level Dashboard'!$D$24,0)))),"")
)</f>
        <v>276.49107633638846</v>
      </c>
      <c r="AD103" s="434">
        <f ca="1">$B$83*'High Level Dashboard'!$D$21*
(IFERROR(-PMT('High Level Dashboard'!$D$22,'High Level Dashboard'!$D$24+1,
SUMIFS('High Level Dashboard'!$B$65:$AV$65,'High Level Dashboard'!$B$64:$AV$64,"&gt;"&amp;'High Level Dashboard'!AC$64-ROUNDDOWN('High Level Dashboard'!$D$24,0),'High Level Dashboard'!$B$64:$AV$64,"&lt;="&amp;'High Level Dashboard'!AC$64)),"")+
IFERROR(-PMT('High Level Dashboard'!$D$22, 'High Level Dashboard'!$D$24+1, SUMIF('High Level Dashboard'!$B$64:$AV$64,ROUNDDOWN('High Level Dashboard'!AC$64-'High Level Dashboard'!$D$24,0)+1,'High Level Dashboard'!$B$65:$AV$65)* (('High Level Dashboard'!$D$24-ROUNDDOWN('High Level Dashboard'!$D$24,0)))),"")
)</f>
        <v>286.1707202709996</v>
      </c>
      <c r="AE103" s="434">
        <f ca="1">$B$83*'High Level Dashboard'!$D$21*
(IFERROR(-PMT('High Level Dashboard'!$D$22,'High Level Dashboard'!$D$24+1,
SUMIFS('High Level Dashboard'!$B$65:$AV$65,'High Level Dashboard'!$B$64:$AV$64,"&gt;"&amp;'High Level Dashboard'!AD$64-ROUNDDOWN('High Level Dashboard'!$D$24,0),'High Level Dashboard'!$B$64:$AV$64,"&lt;="&amp;'High Level Dashboard'!AD$64)),"")+
IFERROR(-PMT('High Level Dashboard'!$D$22, 'High Level Dashboard'!$D$24+1, SUMIF('High Level Dashboard'!$B$64:$AV$64,ROUNDDOWN('High Level Dashboard'!AD$64-'High Level Dashboard'!$D$24,0)+1,'High Level Dashboard'!$B$65:$AV$65)* (('High Level Dashboard'!$D$24-ROUNDDOWN('High Level Dashboard'!$D$24,0)))),"")
)</f>
        <v>296.31660661332251</v>
      </c>
      <c r="AF103" s="434">
        <f ca="1">$B$83*'High Level Dashboard'!$D$21*
(IFERROR(-PMT('High Level Dashboard'!$D$22,'High Level Dashboard'!$D$24+1,
SUMIFS('High Level Dashboard'!$B$65:$AV$65,'High Level Dashboard'!$B$64:$AV$64,"&gt;"&amp;'High Level Dashboard'!AE$64-ROUNDDOWN('High Level Dashboard'!$D$24,0),'High Level Dashboard'!$B$64:$AV$64,"&lt;="&amp;'High Level Dashboard'!AE$64)),"")+
IFERROR(-PMT('High Level Dashboard'!$D$22, 'High Level Dashboard'!$D$24+1, SUMIF('High Level Dashboard'!$B$64:$AV$64,ROUNDDOWN('High Level Dashboard'!AE$64-'High Level Dashboard'!$D$24,0)+1,'High Level Dashboard'!$B$65:$AV$65)* (('High Level Dashboard'!$D$24-ROUNDDOWN('High Level Dashboard'!$D$24,0)))),"")
)</f>
        <v>309.97560074851958</v>
      </c>
      <c r="AG103" s="434">
        <f ca="1">$B$83*'High Level Dashboard'!$D$21*
(IFERROR(-PMT('High Level Dashboard'!$D$22,'High Level Dashboard'!$D$24+1,
SUMIFS('High Level Dashboard'!$B$65:$AV$65,'High Level Dashboard'!$B$64:$AV$64,"&gt;"&amp;'High Level Dashboard'!AF$64-ROUNDDOWN('High Level Dashboard'!$D$24,0),'High Level Dashboard'!$B$64:$AV$64,"&lt;="&amp;'High Level Dashboard'!AF$64)),"")+
IFERROR(-PMT('High Level Dashboard'!$D$22, 'High Level Dashboard'!$D$24+1, SUMIF('High Level Dashboard'!$B$64:$AV$64,ROUNDDOWN('High Level Dashboard'!AF$64-'High Level Dashboard'!$D$24,0)+1,'High Level Dashboard'!$B$65:$AV$65)* (('High Level Dashboard'!$D$24-ROUNDDOWN('High Level Dashboard'!$D$24,0)))),"")
)</f>
        <v>315.32922528958017</v>
      </c>
      <c r="AH103" s="434">
        <f ca="1">$B$83*'High Level Dashboard'!$D$21*
(IFERROR(-PMT('High Level Dashboard'!$D$22,'High Level Dashboard'!$D$24+1,
SUMIFS('High Level Dashboard'!$B$65:$AV$65,'High Level Dashboard'!$B$64:$AV$64,"&gt;"&amp;'High Level Dashboard'!AG$64-ROUNDDOWN('High Level Dashboard'!$D$24,0),'High Level Dashboard'!$B$64:$AV$64,"&lt;="&amp;'High Level Dashboard'!AG$64)),"")+
IFERROR(-PMT('High Level Dashboard'!$D$22, 'High Level Dashboard'!$D$24+1, SUMIF('High Level Dashboard'!$B$64:$AV$64,ROUNDDOWN('High Level Dashboard'!AG$64-'High Level Dashboard'!$D$24,0)+1,'High Level Dashboard'!$B$65:$AV$65)* (('High Level Dashboard'!$D$24-ROUNDDOWN('High Level Dashboard'!$D$24,0)))),"")
)</f>
        <v>324.57254148863683</v>
      </c>
      <c r="AI103" s="434">
        <f ca="1">$B$83*'High Level Dashboard'!$D$21*
(IFERROR(-PMT('High Level Dashboard'!$D$22,'High Level Dashboard'!$D$24+1,
SUMIFS('High Level Dashboard'!$B$65:$AV$65,'High Level Dashboard'!$B$64:$AV$64,"&gt;"&amp;'High Level Dashboard'!AH$64-ROUNDDOWN('High Level Dashboard'!$D$24,0),'High Level Dashboard'!$B$64:$AV$64,"&lt;="&amp;'High Level Dashboard'!AH$64)),"")+
IFERROR(-PMT('High Level Dashboard'!$D$22, 'High Level Dashboard'!$D$24+1, SUMIF('High Level Dashboard'!$B$64:$AV$64,ROUNDDOWN('High Level Dashboard'!AH$64-'High Level Dashboard'!$D$24,0)+1,'High Level Dashboard'!$B$65:$AV$65)* (('High Level Dashboard'!$D$24-ROUNDDOWN('High Level Dashboard'!$D$24,0)))),"")
)</f>
        <v>332.2193863313334</v>
      </c>
      <c r="AJ103" s="434">
        <f ca="1">$B$83*'High Level Dashboard'!$D$21*
(IFERROR(-PMT('High Level Dashboard'!$D$22,'High Level Dashboard'!$D$24+1,
SUMIFS('High Level Dashboard'!$B$65:$AV$65,'High Level Dashboard'!$B$64:$AV$64,"&gt;"&amp;'High Level Dashboard'!AI$64-ROUNDDOWN('High Level Dashboard'!$D$24,0),'High Level Dashboard'!$B$64:$AV$64,"&lt;="&amp;'High Level Dashboard'!AI$64)),"")+
IFERROR(-PMT('High Level Dashboard'!$D$22, 'High Level Dashboard'!$D$24+1, SUMIF('High Level Dashboard'!$B$64:$AV$64,ROUNDDOWN('High Level Dashboard'!AI$64-'High Level Dashboard'!$D$24,0)+1,'High Level Dashboard'!$B$65:$AV$65)* (('High Level Dashboard'!$D$24-ROUNDDOWN('High Level Dashboard'!$D$24,0)))),"")
)</f>
        <v>340.87475464359295</v>
      </c>
      <c r="AK103" s="434">
        <f ca="1">$B$83*'High Level Dashboard'!$D$21*
(IFERROR(-PMT('High Level Dashboard'!$D$22,'High Level Dashboard'!$D$24+1,
SUMIFS('High Level Dashboard'!$B$65:$AV$65,'High Level Dashboard'!$B$64:$AV$64,"&gt;"&amp;'High Level Dashboard'!AJ$64-ROUNDDOWN('High Level Dashboard'!$D$24,0),'High Level Dashboard'!$B$64:$AV$64,"&lt;="&amp;'High Level Dashboard'!AJ$64)),"")+
IFERROR(-PMT('High Level Dashboard'!$D$22, 'High Level Dashboard'!$D$24+1, SUMIF('High Level Dashboard'!$B$64:$AV$64,ROUNDDOWN('High Level Dashboard'!AJ$64-'High Level Dashboard'!$D$24,0)+1,'High Level Dashboard'!$B$65:$AV$65)* (('High Level Dashboard'!$D$24-ROUNDDOWN('High Level Dashboard'!$D$24,0)))),"")
)</f>
        <v>351.44550888923675</v>
      </c>
      <c r="AL103" s="434">
        <f ca="1">$B$83*'High Level Dashboard'!$D$21*
(IFERROR(-PMT('High Level Dashboard'!$D$22,'High Level Dashboard'!$D$24+1,
SUMIFS('High Level Dashboard'!$B$65:$AV$65,'High Level Dashboard'!$B$64:$AV$64,"&gt;"&amp;'High Level Dashboard'!AK$64-ROUNDDOWN('High Level Dashboard'!$D$24,0),'High Level Dashboard'!$B$64:$AV$64,"&lt;="&amp;'High Level Dashboard'!AK$64)),"")+
IFERROR(-PMT('High Level Dashboard'!$D$22, 'High Level Dashboard'!$D$24+1, SUMIF('High Level Dashboard'!$B$64:$AV$64,ROUNDDOWN('High Level Dashboard'!AK$64-'High Level Dashboard'!$D$24,0)+1,'High Level Dashboard'!$B$65:$AV$65)* (('High Level Dashboard'!$D$24-ROUNDDOWN('High Level Dashboard'!$D$24,0)))),"")
)</f>
        <v>358.5919514346304</v>
      </c>
      <c r="AM103" s="434">
        <f ca="1">$B$83*'High Level Dashboard'!$D$21*
(IFERROR(-PMT('High Level Dashboard'!$D$22,'High Level Dashboard'!$D$24+1,
SUMIFS('High Level Dashboard'!$B$65:$AV$65,'High Level Dashboard'!$B$64:$AV$64,"&gt;"&amp;'High Level Dashboard'!AL$64-ROUNDDOWN('High Level Dashboard'!$D$24,0),'High Level Dashboard'!$B$64:$AV$64,"&lt;="&amp;'High Level Dashboard'!AL$64)),"")+
IFERROR(-PMT('High Level Dashboard'!$D$22, 'High Level Dashboard'!$D$24+1, SUMIF('High Level Dashboard'!$B$64:$AV$64,ROUNDDOWN('High Level Dashboard'!AL$64-'High Level Dashboard'!$D$24,0)+1,'High Level Dashboard'!$B$65:$AV$65)* (('High Level Dashboard'!$D$24-ROUNDDOWN('High Level Dashboard'!$D$24,0)))),"")
)</f>
        <v>368.87801253978324</v>
      </c>
      <c r="AN103" s="434">
        <f ca="1">$B$83*'High Level Dashboard'!$D$21*
(IFERROR(-PMT('High Level Dashboard'!$D$22,'High Level Dashboard'!$D$24+1,
SUMIFS('High Level Dashboard'!$B$65:$AV$65,'High Level Dashboard'!$B$64:$AV$64,"&gt;"&amp;'High Level Dashboard'!AM$64-ROUNDDOWN('High Level Dashboard'!$D$24,0),'High Level Dashboard'!$B$64:$AV$64,"&lt;="&amp;'High Level Dashboard'!AM$64)),"")+
IFERROR(-PMT('High Level Dashboard'!$D$22, 'High Level Dashboard'!$D$24+1, SUMIF('High Level Dashboard'!$B$64:$AV$64,ROUNDDOWN('High Level Dashboard'!AM$64-'High Level Dashboard'!$D$24,0)+1,'High Level Dashboard'!$B$65:$AV$65)* (('High Level Dashboard'!$D$24-ROUNDDOWN('High Level Dashboard'!$D$24,0)))),"")
)</f>
        <v>376.69962156727399</v>
      </c>
      <c r="AO103" s="434">
        <f ca="1">$B$83*'High Level Dashboard'!$D$21*
(IFERROR(-PMT('High Level Dashboard'!$D$22,'High Level Dashboard'!$D$24+1,
SUMIFS('High Level Dashboard'!$B$65:$AV$65,'High Level Dashboard'!$B$64:$AV$64,"&gt;"&amp;'High Level Dashboard'!AN$64-ROUNDDOWN('High Level Dashboard'!$D$24,0),'High Level Dashboard'!$B$64:$AV$64,"&lt;="&amp;'High Level Dashboard'!AN$64)),"")+
IFERROR(-PMT('High Level Dashboard'!$D$22, 'High Level Dashboard'!$D$24+1, SUMIF('High Level Dashboard'!$B$64:$AV$64,ROUNDDOWN('High Level Dashboard'!AN$64-'High Level Dashboard'!$D$24,0)+1,'High Level Dashboard'!$B$65:$AV$65)* (('High Level Dashboard'!$D$24-ROUNDDOWN('High Level Dashboard'!$D$24,0)))),"")
)</f>
        <v>384.7182786379139</v>
      </c>
      <c r="AP103" s="434">
        <f ca="1">$B$83*'High Level Dashboard'!$D$21*
(IFERROR(-PMT('High Level Dashboard'!$D$22,'High Level Dashboard'!$D$24+1,
SUMIFS('High Level Dashboard'!$B$65:$AV$65,'High Level Dashboard'!$B$64:$AV$64,"&gt;"&amp;'High Level Dashboard'!AO$64-ROUNDDOWN('High Level Dashboard'!$D$24,0),'High Level Dashboard'!$B$64:$AV$64,"&lt;="&amp;'High Level Dashboard'!AO$64)),"")+
IFERROR(-PMT('High Level Dashboard'!$D$22, 'High Level Dashboard'!$D$24+1, SUMIF('High Level Dashboard'!$B$64:$AV$64,ROUNDDOWN('High Level Dashboard'!AO$64-'High Level Dashboard'!$D$24,0)+1,'High Level Dashboard'!$B$65:$AV$65)* (('High Level Dashboard'!$D$24-ROUNDDOWN('High Level Dashboard'!$D$24,0)))),"")
)</f>
        <v>394.54078931274586</v>
      </c>
      <c r="AQ103" s="434">
        <f ca="1">$B$83*'High Level Dashboard'!$D$21*
(IFERROR(-PMT('High Level Dashboard'!$D$22,'High Level Dashboard'!$D$24+1,
SUMIFS('High Level Dashboard'!$B$65:$AV$65,'High Level Dashboard'!$B$64:$AV$64,"&gt;"&amp;'High Level Dashboard'!AP$64-ROUNDDOWN('High Level Dashboard'!$D$24,0),'High Level Dashboard'!$B$64:$AV$64,"&lt;="&amp;'High Level Dashboard'!AP$64)),"")+
IFERROR(-PMT('High Level Dashboard'!$D$22, 'High Level Dashboard'!$D$24+1, SUMIF('High Level Dashboard'!$B$64:$AV$64,ROUNDDOWN('High Level Dashboard'!AP$64-'High Level Dashboard'!$D$24,0)+1,'High Level Dashboard'!$B$65:$AV$65)* (('High Level Dashboard'!$D$24-ROUNDDOWN('High Level Dashboard'!$D$24,0)))),"")
)</f>
        <v>404.11365099761537</v>
      </c>
      <c r="AR103" s="434">
        <f ca="1">$B$83*'High Level Dashboard'!$D$21*
(IFERROR(-PMT('High Level Dashboard'!$D$22,'High Level Dashboard'!$D$24+1,
SUMIFS('High Level Dashboard'!$B$65:$AV$65,'High Level Dashboard'!$B$64:$AV$64,"&gt;"&amp;'High Level Dashboard'!AQ$64-ROUNDDOWN('High Level Dashboard'!$D$24,0),'High Level Dashboard'!$B$64:$AV$64,"&lt;="&amp;'High Level Dashboard'!AQ$64)),"")+
IFERROR(-PMT('High Level Dashboard'!$D$22, 'High Level Dashboard'!$D$24+1, SUMIF('High Level Dashboard'!$B$64:$AV$64,ROUNDDOWN('High Level Dashboard'!AQ$64-'High Level Dashboard'!$D$24,0)+1,'High Level Dashboard'!$B$65:$AV$65)* (('High Level Dashboard'!$D$24-ROUNDDOWN('High Level Dashboard'!$D$24,0)))),"")
)</f>
        <v>409.61821175738385</v>
      </c>
      <c r="AS103" s="434">
        <f ca="1">$B$83*'High Level Dashboard'!$D$21*
(IFERROR(-PMT('High Level Dashboard'!$D$22,'High Level Dashboard'!$D$24+1,
SUMIFS('High Level Dashboard'!$B$65:$AV$65,'High Level Dashboard'!$B$64:$AV$64,"&gt;"&amp;'High Level Dashboard'!AR$64-ROUNDDOWN('High Level Dashboard'!$D$24,0),'High Level Dashboard'!$B$64:$AV$64,"&lt;="&amp;'High Level Dashboard'!AR$64)),"")+
IFERROR(-PMT('High Level Dashboard'!$D$22, 'High Level Dashboard'!$D$24+1, SUMIF('High Level Dashboard'!$B$64:$AV$64,ROUNDDOWN('High Level Dashboard'!AR$64-'High Level Dashboard'!$D$24,0)+1,'High Level Dashboard'!$B$65:$AV$65)* (('High Level Dashboard'!$D$24-ROUNDDOWN('High Level Dashboard'!$D$24,0)))),"")
)</f>
        <v>413.95554465036508</v>
      </c>
      <c r="AT103" s="434">
        <f ca="1">$B$83*'High Level Dashboard'!$D$21*
(IFERROR(-PMT('High Level Dashboard'!$D$22,'High Level Dashboard'!$D$24+1,
SUMIFS('High Level Dashboard'!$B$65:$AV$65,'High Level Dashboard'!$B$64:$AV$64,"&gt;"&amp;'High Level Dashboard'!AS$64-ROUNDDOWN('High Level Dashboard'!$D$24,0),'High Level Dashboard'!$B$64:$AV$64,"&lt;="&amp;'High Level Dashboard'!AS$64)),"")+
IFERROR(-PMT('High Level Dashboard'!$D$22, 'High Level Dashboard'!$D$24+1, SUMIF('High Level Dashboard'!$B$64:$AV$64,ROUNDDOWN('High Level Dashboard'!AS$64-'High Level Dashboard'!$D$24,0)+1,'High Level Dashboard'!$B$65:$AV$65)* (('High Level Dashboard'!$D$24-ROUNDDOWN('High Level Dashboard'!$D$24,0)))),"")
)</f>
        <v>420.67849044897974</v>
      </c>
      <c r="AU103" s="434">
        <f ca="1">$B$83*'High Level Dashboard'!$D$21*
(IFERROR(-PMT('High Level Dashboard'!$D$22,'High Level Dashboard'!$D$24+1,
SUMIFS('High Level Dashboard'!$B$65:$AV$65,'High Level Dashboard'!$B$64:$AV$64,"&gt;"&amp;'High Level Dashboard'!AT$64-ROUNDDOWN('High Level Dashboard'!$D$24,0),'High Level Dashboard'!$B$64:$AV$64,"&lt;="&amp;'High Level Dashboard'!AT$64)),"")+
IFERROR(-PMT('High Level Dashboard'!$D$22, 'High Level Dashboard'!$D$24+1, SUMIF('High Level Dashboard'!$B$64:$AV$64,ROUNDDOWN('High Level Dashboard'!AT$64-'High Level Dashboard'!$D$24,0)+1,'High Level Dashboard'!$B$65:$AV$65)* (('High Level Dashboard'!$D$24-ROUNDDOWN('High Level Dashboard'!$D$24,0)))),"")
)</f>
        <v>428.35647685264911</v>
      </c>
      <c r="AV103" s="434">
        <f ca="1">$B$83*'High Level Dashboard'!$D$21*
(IFERROR(-PMT('High Level Dashboard'!$D$22,'High Level Dashboard'!$D$24+1,
SUMIFS('High Level Dashboard'!$B$65:$AV$65,'High Level Dashboard'!$B$64:$AV$64,"&gt;"&amp;'High Level Dashboard'!AU$64-ROUNDDOWN('High Level Dashboard'!$D$24,0),'High Level Dashboard'!$B$64:$AV$64,"&lt;="&amp;'High Level Dashboard'!AU$64)),"")+
IFERROR(-PMT('High Level Dashboard'!$D$22, 'High Level Dashboard'!$D$24+1, SUMIF('High Level Dashboard'!$B$64:$AV$64,ROUNDDOWN('High Level Dashboard'!AU$64-'High Level Dashboard'!$D$24,0)+1,'High Level Dashboard'!$B$65:$AV$65)* (('High Level Dashboard'!$D$24-ROUNDDOWN('High Level Dashboard'!$D$24,0)))),"")
)</f>
        <v>436.35654080543219</v>
      </c>
    </row>
    <row r="104" spans="1:49" s="431" customFormat="1">
      <c r="A104" s="428" t="s">
        <v>267</v>
      </c>
      <c r="B104" s="428"/>
      <c r="C104" s="434">
        <f ca="1">$B$84*'High Level Dashboard'!$D$27*
(IFERROR(-PMT('High Level Dashboard'!$D$28,'High Level Dashboard'!$D$30+1,
SUMIFS('High Level Dashboard'!$B$65:$AV$65,'High Level Dashboard'!$B$64:$AV$64,"&gt;"&amp;'High Level Dashboard'!B$64-ROUNDDOWN('High Level Dashboard'!$D$30,0),'High Level Dashboard'!$B$64:$AV$64,"&lt;="&amp;'High Level Dashboard'!B$64)),"")+
IFERROR(-PMT('High Level Dashboard'!$D$28, 'High Level Dashboard'!$D$30+1, SUMIF('High Level Dashboard'!$B$64:$AV$64,ROUNDDOWN('High Level Dashboard'!B$64-'High Level Dashboard'!$D$30,0)+1,'High Level Dashboard'!$B$65:$AV$65)* (('High Level Dashboard'!$D$30-ROUNDDOWN('High Level Dashboard'!$D$30,0)))),"")
)</f>
        <v>1.7480389656338915</v>
      </c>
      <c r="D104" s="434">
        <f ca="1">$B$84*'High Level Dashboard'!$D$27*
(IFERROR(-PMT('High Level Dashboard'!$D$28,'High Level Dashboard'!$D$30+1,
SUMIFS('High Level Dashboard'!$B$65:$AV$65,'High Level Dashboard'!$B$64:$AV$64,"&gt;"&amp;'High Level Dashboard'!C$64-ROUNDDOWN('High Level Dashboard'!$D$30,0),'High Level Dashboard'!$B$64:$AV$64,"&lt;="&amp;'High Level Dashboard'!C$64)),"")+
IFERROR(-PMT('High Level Dashboard'!$D$28, 'High Level Dashboard'!$D$30+1, SUMIF('High Level Dashboard'!$B$64:$AV$64,ROUNDDOWN('High Level Dashboard'!C$64-'High Level Dashboard'!$D$30,0)+1,'High Level Dashboard'!$B$65:$AV$65)* (('High Level Dashboard'!$D$30-ROUNDDOWN('High Level Dashboard'!$D$30,0)))),"")
)</f>
        <v>3.5804075315604531</v>
      </c>
      <c r="E104" s="434">
        <f ca="1">$B$84*'High Level Dashboard'!$D$27*
(IFERROR(-PMT('High Level Dashboard'!$D$28,'High Level Dashboard'!$D$30+1,
SUMIFS('High Level Dashboard'!$B$65:$AV$65,'High Level Dashboard'!$B$64:$AV$64,"&gt;"&amp;'High Level Dashboard'!D$64-ROUNDDOWN('High Level Dashboard'!$D$30,0),'High Level Dashboard'!$B$64:$AV$64,"&lt;="&amp;'High Level Dashboard'!D$64)),"")+
IFERROR(-PMT('High Level Dashboard'!$D$28, 'High Level Dashboard'!$D$30+1, SUMIF('High Level Dashboard'!$B$64:$AV$64,ROUNDDOWN('High Level Dashboard'!D$64-'High Level Dashboard'!$D$30,0)+1,'High Level Dashboard'!$B$65:$AV$65)* (('High Level Dashboard'!$D$30-ROUNDDOWN('High Level Dashboard'!$D$30,0)))),"")
)</f>
        <v>5.4148483758580177</v>
      </c>
      <c r="F104" s="434">
        <f ca="1">$B$84*'High Level Dashboard'!$D$27*
(IFERROR(-PMT('High Level Dashboard'!$D$28,'High Level Dashboard'!$D$30+1,
SUMIFS('High Level Dashboard'!$B$65:$AV$65,'High Level Dashboard'!$B$64:$AV$64,"&gt;"&amp;'High Level Dashboard'!E$64-ROUNDDOWN('High Level Dashboard'!$D$30,0),'High Level Dashboard'!$B$64:$AV$64,"&lt;="&amp;'High Level Dashboard'!E$64)),"")+
IFERROR(-PMT('High Level Dashboard'!$D$28, 'High Level Dashboard'!$D$30+1, SUMIF('High Level Dashboard'!$B$64:$AV$64,ROUNDDOWN('High Level Dashboard'!E$64-'High Level Dashboard'!$D$30,0)+1,'High Level Dashboard'!$B$65:$AV$65)* (('High Level Dashboard'!$D$30-ROUNDDOWN('High Level Dashboard'!$D$30,0)))),"")
)</f>
        <v>7.026377854050665</v>
      </c>
      <c r="G104" s="434">
        <f ca="1">$B$84*'High Level Dashboard'!$D$27*
(IFERROR(-PMT('High Level Dashboard'!$D$28,'High Level Dashboard'!$D$30+1,
SUMIFS('High Level Dashboard'!$B$65:$AV$65,'High Level Dashboard'!$B$64:$AV$64,"&gt;"&amp;'High Level Dashboard'!F$64-ROUNDDOWN('High Level Dashboard'!$D$30,0),'High Level Dashboard'!$B$64:$AV$64,"&lt;="&amp;'High Level Dashboard'!F$64)),"")+
IFERROR(-PMT('High Level Dashboard'!$D$28, 'High Level Dashboard'!$D$30+1, SUMIF('High Level Dashboard'!$B$64:$AV$64,ROUNDDOWN('High Level Dashboard'!F$64-'High Level Dashboard'!$D$30,0)+1,'High Level Dashboard'!$B$65:$AV$65)* (('High Level Dashboard'!$D$30-ROUNDDOWN('High Level Dashboard'!$D$30,0)))),"")
)</f>
        <v>10.392352475091371</v>
      </c>
      <c r="H104" s="434">
        <f ca="1">$B$84*'High Level Dashboard'!$D$27*
(IFERROR(-PMT('High Level Dashboard'!$D$28,'High Level Dashboard'!$D$30+1,
SUMIFS('High Level Dashboard'!$B$65:$AV$65,'High Level Dashboard'!$B$64:$AV$64,"&gt;"&amp;'High Level Dashboard'!G$64-ROUNDDOWN('High Level Dashboard'!$D$30,0),'High Level Dashboard'!$B$64:$AV$64,"&lt;="&amp;'High Level Dashboard'!G$64)),"")+
IFERROR(-PMT('High Level Dashboard'!$D$28, 'High Level Dashboard'!$D$30+1, SUMIF('High Level Dashboard'!$B$64:$AV$64,ROUNDDOWN('High Level Dashboard'!G$64-'High Level Dashboard'!$D$30,0)+1,'High Level Dashboard'!$B$65:$AV$65)* (('High Level Dashboard'!$D$30-ROUNDDOWN('High Level Dashboard'!$D$30,0)))),"")
)</f>
        <v>12.380215723201768</v>
      </c>
      <c r="I104" s="434">
        <f ca="1">$B$84*'High Level Dashboard'!$D$27*
(IFERROR(-PMT('High Level Dashboard'!$D$28,'High Level Dashboard'!$D$30+1,
SUMIFS('High Level Dashboard'!$B$65:$AV$65,'High Level Dashboard'!$B$64:$AV$64,"&gt;"&amp;'High Level Dashboard'!H$64-ROUNDDOWN('High Level Dashboard'!$D$30,0),'High Level Dashboard'!$B$64:$AV$64,"&lt;="&amp;'High Level Dashboard'!H$64)),"")+
IFERROR(-PMT('High Level Dashboard'!$D$28, 'High Level Dashboard'!$D$30+1, SUMIF('High Level Dashboard'!$B$64:$AV$64,ROUNDDOWN('High Level Dashboard'!H$64-'High Level Dashboard'!$D$30,0)+1,'High Level Dashboard'!$B$65:$AV$65)* (('High Level Dashboard'!$D$30-ROUNDDOWN('High Level Dashboard'!$D$30,0)))),"")
)</f>
        <v>14.643068872062001</v>
      </c>
      <c r="J104" s="434">
        <f ca="1">$B$84*'High Level Dashboard'!$D$27*
(IFERROR(-PMT('High Level Dashboard'!$D$28,'High Level Dashboard'!$D$30+1,
SUMIFS('High Level Dashboard'!$B$65:$AV$65,'High Level Dashboard'!$B$64:$AV$64,"&gt;"&amp;'High Level Dashboard'!I$64-ROUNDDOWN('High Level Dashboard'!$D$30,0),'High Level Dashboard'!$B$64:$AV$64,"&lt;="&amp;'High Level Dashboard'!I$64)),"")+
IFERROR(-PMT('High Level Dashboard'!$D$28, 'High Level Dashboard'!$D$30+1, SUMIF('High Level Dashboard'!$B$64:$AV$64,ROUNDDOWN('High Level Dashboard'!I$64-'High Level Dashboard'!$D$30,0)+1,'High Level Dashboard'!$B$65:$AV$65)* (('High Level Dashboard'!$D$30-ROUNDDOWN('High Level Dashboard'!$D$30,0)))),"")
)</f>
        <v>16.272500532848586</v>
      </c>
      <c r="K104" s="434">
        <f ca="1">$B$84*'High Level Dashboard'!$D$27*
(IFERROR(-PMT('High Level Dashboard'!$D$28,'High Level Dashboard'!$D$30+1,
SUMIFS('High Level Dashboard'!$B$65:$AV$65,'High Level Dashboard'!$B$64:$AV$64,"&gt;"&amp;'High Level Dashboard'!J$64-ROUNDDOWN('High Level Dashboard'!$D$30,0),'High Level Dashboard'!$B$64:$AV$64,"&lt;="&amp;'High Level Dashboard'!J$64)),"")+
IFERROR(-PMT('High Level Dashboard'!$D$28, 'High Level Dashboard'!$D$30+1, SUMIF('High Level Dashboard'!$B$64:$AV$64,ROUNDDOWN('High Level Dashboard'!J$64-'High Level Dashboard'!$D$30,0)+1,'High Level Dashboard'!$B$65:$AV$65)* (('High Level Dashboard'!$D$30-ROUNDDOWN('High Level Dashboard'!$D$30,0)))),"")
)</f>
        <v>17.832342084422596</v>
      </c>
      <c r="L104" s="434">
        <f ca="1">$B$84*'High Level Dashboard'!$D$27*
(IFERROR(-PMT('High Level Dashboard'!$D$28,'High Level Dashboard'!$D$30+1,
SUMIFS('High Level Dashboard'!$B$65:$AV$65,'High Level Dashboard'!$B$64:$AV$64,"&gt;"&amp;'High Level Dashboard'!K$64-ROUNDDOWN('High Level Dashboard'!$D$30,0),'High Level Dashboard'!$B$64:$AV$64,"&lt;="&amp;'High Level Dashboard'!K$64)),"")+
IFERROR(-PMT('High Level Dashboard'!$D$28, 'High Level Dashboard'!$D$30+1, SUMIF('High Level Dashboard'!$B$64:$AV$64,ROUNDDOWN('High Level Dashboard'!K$64-'High Level Dashboard'!$D$30,0)+1,'High Level Dashboard'!$B$65:$AV$65)* (('High Level Dashboard'!$D$30-ROUNDDOWN('High Level Dashboard'!$D$30,0)))),"")
)</f>
        <v>20.344675757335327</v>
      </c>
      <c r="M104" s="434">
        <f ca="1">$B$84*'High Level Dashboard'!$D$27*
(IFERROR(-PMT('High Level Dashboard'!$D$28,'High Level Dashboard'!$D$30+1,
SUMIFS('High Level Dashboard'!$B$65:$AV$65,'High Level Dashboard'!$B$64:$AV$64,"&gt;"&amp;'High Level Dashboard'!L$64-ROUNDDOWN('High Level Dashboard'!$D$30,0),'High Level Dashboard'!$B$64:$AV$64,"&lt;="&amp;'High Level Dashboard'!L$64)),"")+
IFERROR(-PMT('High Level Dashboard'!$D$28, 'High Level Dashboard'!$D$30+1, SUMIF('High Level Dashboard'!$B$64:$AV$64,ROUNDDOWN('High Level Dashboard'!L$64-'High Level Dashboard'!$D$30,0)+1,'High Level Dashboard'!$B$65:$AV$65)* (('High Level Dashboard'!$D$30-ROUNDDOWN('High Level Dashboard'!$D$30,0)))),"")
)</f>
        <v>22.32611782066002</v>
      </c>
      <c r="N104" s="434">
        <f ca="1">$B$84*'High Level Dashboard'!$D$27*
(IFERROR(-PMT('High Level Dashboard'!$D$28,'High Level Dashboard'!$D$30+1,
SUMIFS('High Level Dashboard'!$B$65:$AV$65,'High Level Dashboard'!$B$64:$AV$64,"&gt;"&amp;'High Level Dashboard'!M$64-ROUNDDOWN('High Level Dashboard'!$D$30,0),'High Level Dashboard'!$B$64:$AV$64,"&lt;="&amp;'High Level Dashboard'!M$64)),"")+
IFERROR(-PMT('High Level Dashboard'!$D$28, 'High Level Dashboard'!$D$30+1, SUMIF('High Level Dashboard'!$B$64:$AV$64,ROUNDDOWN('High Level Dashboard'!M$64-'High Level Dashboard'!$D$30,0)+1,'High Level Dashboard'!$B$65:$AV$65)* (('High Level Dashboard'!$D$30-ROUNDDOWN('High Level Dashboard'!$D$30,0)))),"")
)</f>
        <v>25.180381742034776</v>
      </c>
      <c r="O104" s="434">
        <f ca="1">$B$84*'High Level Dashboard'!$D$27*
(IFERROR(-PMT('High Level Dashboard'!$D$28,'High Level Dashboard'!$D$30+1,
SUMIFS('High Level Dashboard'!$B$65:$AV$65,'High Level Dashboard'!$B$64:$AV$64,"&gt;"&amp;'High Level Dashboard'!N$64-ROUNDDOWN('High Level Dashboard'!$D$30,0),'High Level Dashboard'!$B$64:$AV$64,"&lt;="&amp;'High Level Dashboard'!N$64)),"")+
IFERROR(-PMT('High Level Dashboard'!$D$28, 'High Level Dashboard'!$D$30+1, SUMIF('High Level Dashboard'!$B$64:$AV$64,ROUNDDOWN('High Level Dashboard'!N$64-'High Level Dashboard'!$D$30,0)+1,'High Level Dashboard'!$B$65:$AV$65)* (('High Level Dashboard'!$D$30-ROUNDDOWN('High Level Dashboard'!$D$30,0)))),"")
)</f>
        <v>27.863165861708097</v>
      </c>
      <c r="P104" s="434">
        <f ca="1">$B$84*'High Level Dashboard'!$D$27*
(IFERROR(-PMT('High Level Dashboard'!$D$28,'High Level Dashboard'!$D$30+1,
SUMIFS('High Level Dashboard'!$B$65:$AV$65,'High Level Dashboard'!$B$64:$AV$64,"&gt;"&amp;'High Level Dashboard'!O$64-ROUNDDOWN('High Level Dashboard'!$D$30,0),'High Level Dashboard'!$B$64:$AV$64,"&lt;="&amp;'High Level Dashboard'!O$64)),"")+
IFERROR(-PMT('High Level Dashboard'!$D$28, 'High Level Dashboard'!$D$30+1, SUMIF('High Level Dashboard'!$B$64:$AV$64,ROUNDDOWN('High Level Dashboard'!O$64-'High Level Dashboard'!$D$30,0)+1,'High Level Dashboard'!$B$65:$AV$65)* (('High Level Dashboard'!$D$30-ROUNDDOWN('High Level Dashboard'!$D$30,0)))),"")
)</f>
        <v>30.468826893590446</v>
      </c>
      <c r="Q104" s="434">
        <f ca="1">$B$84*'High Level Dashboard'!$D$27*
(IFERROR(-PMT('High Level Dashboard'!$D$28,'High Level Dashboard'!$D$30+1,
SUMIFS('High Level Dashboard'!$B$65:$AV$65,'High Level Dashboard'!$B$64:$AV$64,"&gt;"&amp;'High Level Dashboard'!P$64-ROUNDDOWN('High Level Dashboard'!$D$30,0),'High Level Dashboard'!$B$64:$AV$64,"&lt;="&amp;'High Level Dashboard'!P$64)),"")+
IFERROR(-PMT('High Level Dashboard'!$D$28, 'High Level Dashboard'!$D$30+1, SUMIF('High Level Dashboard'!$B$64:$AV$64,ROUNDDOWN('High Level Dashboard'!P$64-'High Level Dashboard'!$D$30,0)+1,'High Level Dashboard'!$B$65:$AV$65)* (('High Level Dashboard'!$D$30-ROUNDDOWN('High Level Dashboard'!$D$30,0)))),"")
)</f>
        <v>34.085437827275101</v>
      </c>
      <c r="R104" s="434">
        <f ca="1">$B$84*'High Level Dashboard'!$D$27*
(IFERROR(-PMT('High Level Dashboard'!$D$28,'High Level Dashboard'!$D$30+1,
SUMIFS('High Level Dashboard'!$B$65:$AV$65,'High Level Dashboard'!$B$64:$AV$64,"&gt;"&amp;'High Level Dashboard'!Q$64-ROUNDDOWN('High Level Dashboard'!$D$30,0),'High Level Dashboard'!$B$64:$AV$64,"&lt;="&amp;'High Level Dashboard'!Q$64)),"")+
IFERROR(-PMT('High Level Dashboard'!$D$28, 'High Level Dashboard'!$D$30+1, SUMIF('High Level Dashboard'!$B$64:$AV$64,ROUNDDOWN('High Level Dashboard'!Q$64-'High Level Dashboard'!$D$30,0)+1,'High Level Dashboard'!$B$65:$AV$65)* (('High Level Dashboard'!$D$30-ROUNDDOWN('High Level Dashboard'!$D$30,0)))),"")
)</f>
        <v>38.773176557623465</v>
      </c>
      <c r="S104" s="434">
        <f ca="1">$B$84*'High Level Dashboard'!$D$27*
(IFERROR(-PMT('High Level Dashboard'!$D$28,'High Level Dashboard'!$D$30+1,
SUMIFS('High Level Dashboard'!$B$65:$AV$65,'High Level Dashboard'!$B$64:$AV$64,"&gt;"&amp;'High Level Dashboard'!R$64-ROUNDDOWN('High Level Dashboard'!$D$30,0),'High Level Dashboard'!$B$64:$AV$64,"&lt;="&amp;'High Level Dashboard'!R$64)),"")+
IFERROR(-PMT('High Level Dashboard'!$D$28, 'High Level Dashboard'!$D$30+1, SUMIF('High Level Dashboard'!$B$64:$AV$64,ROUNDDOWN('High Level Dashboard'!R$64-'High Level Dashboard'!$D$30,0)+1,'High Level Dashboard'!$B$65:$AV$65)* (('High Level Dashboard'!$D$30-ROUNDDOWN('High Level Dashboard'!$D$30,0)))),"")
)</f>
        <v>42.795733872447698</v>
      </c>
      <c r="T104" s="434">
        <f ca="1">$B$84*'High Level Dashboard'!$D$27*
(IFERROR(-PMT('High Level Dashboard'!$D$28,'High Level Dashboard'!$D$30+1,
SUMIFS('High Level Dashboard'!$B$65:$AV$65,'High Level Dashboard'!$B$64:$AV$64,"&gt;"&amp;'High Level Dashboard'!S$64-ROUNDDOWN('High Level Dashboard'!$D$30,0),'High Level Dashboard'!$B$64:$AV$64,"&lt;="&amp;'High Level Dashboard'!S$64)),"")+
IFERROR(-PMT('High Level Dashboard'!$D$28, 'High Level Dashboard'!$D$30+1, SUMIF('High Level Dashboard'!$B$64:$AV$64,ROUNDDOWN('High Level Dashboard'!S$64-'High Level Dashboard'!$D$30,0)+1,'High Level Dashboard'!$B$65:$AV$65)* (('High Level Dashboard'!$D$30-ROUNDDOWN('High Level Dashboard'!$D$30,0)))),"")
)</f>
        <v>45.4711021959505</v>
      </c>
      <c r="U104" s="434">
        <f ca="1">$B$84*'High Level Dashboard'!$D$27*
(IFERROR(-PMT('High Level Dashboard'!$D$28,'High Level Dashboard'!$D$30+1,
SUMIFS('High Level Dashboard'!$B$65:$AV$65,'High Level Dashboard'!$B$64:$AV$64,"&gt;"&amp;'High Level Dashboard'!T$64-ROUNDDOWN('High Level Dashboard'!$D$30,0),'High Level Dashboard'!$B$64:$AV$64,"&lt;="&amp;'High Level Dashboard'!T$64)),"")+
IFERROR(-PMT('High Level Dashboard'!$D$28, 'High Level Dashboard'!$D$30+1, SUMIF('High Level Dashboard'!$B$64:$AV$64,ROUNDDOWN('High Level Dashboard'!T$64-'High Level Dashboard'!$D$30,0)+1,'High Level Dashboard'!$B$65:$AV$65)* (('High Level Dashboard'!$D$30-ROUNDDOWN('High Level Dashboard'!$D$30,0)))),"")
)</f>
        <v>48.265711020469539</v>
      </c>
      <c r="V104" s="434">
        <f ca="1">$B$84*'High Level Dashboard'!$D$27*
(IFERROR(-PMT('High Level Dashboard'!$D$28,'High Level Dashboard'!$D$30+1,
SUMIFS('High Level Dashboard'!$B$65:$AV$65,'High Level Dashboard'!$B$64:$AV$64,"&gt;"&amp;'High Level Dashboard'!U$64-ROUNDDOWN('High Level Dashboard'!$D$30,0),'High Level Dashboard'!$B$64:$AV$64,"&lt;="&amp;'High Level Dashboard'!U$64)),"")+
IFERROR(-PMT('High Level Dashboard'!$D$28, 'High Level Dashboard'!$D$30+1, SUMIF('High Level Dashboard'!$B$64:$AV$64,ROUNDDOWN('High Level Dashboard'!U$64-'High Level Dashboard'!$D$30,0)+1,'High Level Dashboard'!$B$65:$AV$65)* (('High Level Dashboard'!$D$30-ROUNDDOWN('High Level Dashboard'!$D$30,0)))),"")
)</f>
        <v>51.274878572409406</v>
      </c>
      <c r="W104" s="434">
        <f ca="1">$B$84*'High Level Dashboard'!$D$27*
(IFERROR(-PMT('High Level Dashboard'!$D$28,'High Level Dashboard'!$D$30+1,
SUMIFS('High Level Dashboard'!$B$65:$AV$65,'High Level Dashboard'!$B$64:$AV$64,"&gt;"&amp;'High Level Dashboard'!V$64-ROUNDDOWN('High Level Dashboard'!$D$30,0),'High Level Dashboard'!$B$64:$AV$64,"&lt;="&amp;'High Level Dashboard'!V$64)),"")+
IFERROR(-PMT('High Level Dashboard'!$D$28, 'High Level Dashboard'!$D$30+1, SUMIF('High Level Dashboard'!$B$64:$AV$64,ROUNDDOWN('High Level Dashboard'!V$64-'High Level Dashboard'!$D$30,0)+1,'High Level Dashboard'!$B$65:$AV$65)* (('High Level Dashboard'!$D$30-ROUNDDOWN('High Level Dashboard'!$D$30,0)))),"")
)</f>
        <v>54.51289596595268</v>
      </c>
      <c r="X104" s="434">
        <f ca="1">$B$84*'High Level Dashboard'!$D$27*
(IFERROR(-PMT('High Level Dashboard'!$D$28,'High Level Dashboard'!$D$30+1,
SUMIFS('High Level Dashboard'!$B$65:$AV$65,'High Level Dashboard'!$B$64:$AV$64,"&gt;"&amp;'High Level Dashboard'!W$64-ROUNDDOWN('High Level Dashboard'!$D$30,0),'High Level Dashboard'!$B$64:$AV$64,"&lt;="&amp;'High Level Dashboard'!W$64)),"")+
IFERROR(-PMT('High Level Dashboard'!$D$28, 'High Level Dashboard'!$D$30+1, SUMIF('High Level Dashboard'!$B$64:$AV$64,ROUNDDOWN('High Level Dashboard'!W$64-'High Level Dashboard'!$D$30,0)+1,'High Level Dashboard'!$B$65:$AV$65)* (('High Level Dashboard'!$D$30-ROUNDDOWN('High Level Dashboard'!$D$30,0)))),"")
)</f>
        <v>57.982190316024777</v>
      </c>
      <c r="Y104" s="434">
        <f ca="1">$B$84*'High Level Dashboard'!$D$27*
(IFERROR(-PMT('High Level Dashboard'!$D$28,'High Level Dashboard'!$D$30+1,
SUMIFS('High Level Dashboard'!$B$65:$AV$65,'High Level Dashboard'!$B$64:$AV$64,"&gt;"&amp;'High Level Dashboard'!X$64-ROUNDDOWN('High Level Dashboard'!$D$30,0),'High Level Dashboard'!$B$64:$AV$64,"&lt;="&amp;'High Level Dashboard'!X$64)),"")+
IFERROR(-PMT('High Level Dashboard'!$D$28, 'High Level Dashboard'!$D$30+1, SUMIF('High Level Dashboard'!$B$64:$AV$64,ROUNDDOWN('High Level Dashboard'!X$64-'High Level Dashboard'!$D$30,0)+1,'High Level Dashboard'!$B$65:$AV$65)* (('High Level Dashboard'!$D$30-ROUNDDOWN('High Level Dashboard'!$D$30,0)))),"")
)</f>
        <v>61.684717746504653</v>
      </c>
      <c r="Z104" s="434">
        <f ca="1">$B$84*'High Level Dashboard'!$D$27*
(IFERROR(-PMT('High Level Dashboard'!$D$28,'High Level Dashboard'!$D$30+1,
SUMIFS('High Level Dashboard'!$B$65:$AV$65,'High Level Dashboard'!$B$64:$AV$64,"&gt;"&amp;'High Level Dashboard'!Y$64-ROUNDDOWN('High Level Dashboard'!$D$30,0),'High Level Dashboard'!$B$64:$AV$64,"&lt;="&amp;'High Level Dashboard'!Y$64)),"")+
IFERROR(-PMT('High Level Dashboard'!$D$28, 'High Level Dashboard'!$D$30+1, SUMIF('High Level Dashboard'!$B$64:$AV$64,ROUNDDOWN('High Level Dashboard'!Y$64-'High Level Dashboard'!$D$30,0)+1,'High Level Dashboard'!$B$65:$AV$65)* (('High Level Dashboard'!$D$30-ROUNDDOWN('High Level Dashboard'!$D$30,0)))),"")
)</f>
        <v>65.63662311503434</v>
      </c>
      <c r="AA104" s="434">
        <f ca="1">$B$84*'High Level Dashboard'!$D$27*
(IFERROR(-PMT('High Level Dashboard'!$D$28,'High Level Dashboard'!$D$30+1,
SUMIFS('High Level Dashboard'!$B$65:$AV$65,'High Level Dashboard'!$B$64:$AV$64,"&gt;"&amp;'High Level Dashboard'!Z$64-ROUNDDOWN('High Level Dashboard'!$D$30,0),'High Level Dashboard'!$B$64:$AV$64,"&lt;="&amp;'High Level Dashboard'!Z$64)),"")+
IFERROR(-PMT('High Level Dashboard'!$D$28, 'High Level Dashboard'!$D$30+1, SUMIF('High Level Dashboard'!$B$64:$AV$64,ROUNDDOWN('High Level Dashboard'!Z$64-'High Level Dashboard'!$D$30,0)+1,'High Level Dashboard'!$B$65:$AV$65)* (('High Level Dashboard'!$D$30-ROUNDDOWN('High Level Dashboard'!$D$30,0)))),"")
)</f>
        <v>69.953250504776335</v>
      </c>
      <c r="AB104" s="434">
        <f ca="1">$B$84*'High Level Dashboard'!$D$27*
(IFERROR(-PMT('High Level Dashboard'!$D$28,'High Level Dashboard'!$D$30+1,
SUMIFS('High Level Dashboard'!$B$65:$AV$65,'High Level Dashboard'!$B$64:$AV$64,"&gt;"&amp;'High Level Dashboard'!AA$64-ROUNDDOWN('High Level Dashboard'!$D$30,0),'High Level Dashboard'!$B$64:$AV$64,"&lt;="&amp;'High Level Dashboard'!AA$64)),"")+
IFERROR(-PMT('High Level Dashboard'!$D$28, 'High Level Dashboard'!$D$30+1, SUMIF('High Level Dashboard'!$B$64:$AV$64,ROUNDDOWN('High Level Dashboard'!AA$64-'High Level Dashboard'!$D$30,0)+1,'High Level Dashboard'!$B$65:$AV$65)* (('High Level Dashboard'!$D$30-ROUNDDOWN('High Level Dashboard'!$D$30,0)))),"")
)</f>
        <v>74.949652631487467</v>
      </c>
      <c r="AC104" s="434">
        <f ca="1">$B$84*'High Level Dashboard'!$D$27*
(IFERROR(-PMT('High Level Dashboard'!$D$28,'High Level Dashboard'!$D$30+1,
SUMIFS('High Level Dashboard'!$B$65:$AV$65,'High Level Dashboard'!$B$64:$AV$64,"&gt;"&amp;'High Level Dashboard'!AB$64-ROUNDDOWN('High Level Dashboard'!$D$30,0),'High Level Dashboard'!$B$64:$AV$64,"&lt;="&amp;'High Level Dashboard'!AB$64)),"")+
IFERROR(-PMT('High Level Dashboard'!$D$28, 'High Level Dashboard'!$D$30+1, SUMIF('High Level Dashboard'!$B$64:$AV$64,ROUNDDOWN('High Level Dashboard'!AB$64-'High Level Dashboard'!$D$30,0)+1,'High Level Dashboard'!$B$65:$AV$65)* (('High Level Dashboard'!$D$30-ROUNDDOWN('High Level Dashboard'!$D$30,0)))),"")
)</f>
        <v>79.81799967311143</v>
      </c>
      <c r="AD104" s="434">
        <f ca="1">$B$84*'High Level Dashboard'!$D$27*
(IFERROR(-PMT('High Level Dashboard'!$D$28,'High Level Dashboard'!$D$30+1,
SUMIFS('High Level Dashboard'!$B$65:$AV$65,'High Level Dashboard'!$B$64:$AV$64,"&gt;"&amp;'High Level Dashboard'!AC$64-ROUNDDOWN('High Level Dashboard'!$D$30,0),'High Level Dashboard'!$B$64:$AV$64,"&lt;="&amp;'High Level Dashboard'!AC$64)),"")+
IFERROR(-PMT('High Level Dashboard'!$D$28, 'High Level Dashboard'!$D$30+1, SUMIF('High Level Dashboard'!$B$64:$AV$64,ROUNDDOWN('High Level Dashboard'!AC$64-'High Level Dashboard'!$D$30,0)+1,'High Level Dashboard'!$B$65:$AV$65)* (('High Level Dashboard'!$D$30-ROUNDDOWN('High Level Dashboard'!$D$30,0)))),"")
)</f>
        <v>84.357106909880869</v>
      </c>
      <c r="AE104" s="434">
        <f ca="1">$B$84*'High Level Dashboard'!$D$27*
(IFERROR(-PMT('High Level Dashboard'!$D$28,'High Level Dashboard'!$D$30+1,
SUMIFS('High Level Dashboard'!$B$65:$AV$65,'High Level Dashboard'!$B$64:$AV$64,"&gt;"&amp;'High Level Dashboard'!AD$64-ROUNDDOWN('High Level Dashboard'!$D$30,0),'High Level Dashboard'!$B$64:$AV$64,"&lt;="&amp;'High Level Dashboard'!AD$64)),"")+
IFERROR(-PMT('High Level Dashboard'!$D$28, 'High Level Dashboard'!$D$30+1, SUMIF('High Level Dashboard'!$B$64:$AV$64,ROUNDDOWN('High Level Dashboard'!AD$64-'High Level Dashboard'!$D$30,0)+1,'High Level Dashboard'!$B$65:$AV$65)* (('High Level Dashboard'!$D$30-ROUNDDOWN('High Level Dashboard'!$D$30,0)))),"")
)</f>
        <v>88.932926778290877</v>
      </c>
      <c r="AF104" s="434">
        <f ca="1">$B$84*'High Level Dashboard'!$D$27*
(IFERROR(-PMT('High Level Dashboard'!$D$28,'High Level Dashboard'!$D$30+1,
SUMIFS('High Level Dashboard'!$B$65:$AV$65,'High Level Dashboard'!$B$64:$AV$64,"&gt;"&amp;'High Level Dashboard'!AE$64-ROUNDDOWN('High Level Dashboard'!$D$30,0),'High Level Dashboard'!$B$64:$AV$64,"&lt;="&amp;'High Level Dashboard'!AE$64)),"")+
IFERROR(-PMT('High Level Dashboard'!$D$28, 'High Level Dashboard'!$D$30+1, SUMIF('High Level Dashboard'!$B$64:$AV$64,ROUNDDOWN('High Level Dashboard'!AE$64-'High Level Dashboard'!$D$30,0)+1,'High Level Dashboard'!$B$65:$AV$65)* (('High Level Dashboard'!$D$30-ROUNDDOWN('High Level Dashboard'!$D$30,0)))),"")
)</f>
        <v>95.108932662227176</v>
      </c>
      <c r="AG104" s="434">
        <f ca="1">$B$84*'High Level Dashboard'!$D$27*
(IFERROR(-PMT('High Level Dashboard'!$D$28,'High Level Dashboard'!$D$30+1,
SUMIFS('High Level Dashboard'!$B$65:$AV$65,'High Level Dashboard'!$B$64:$AV$64,"&gt;"&amp;'High Level Dashboard'!AF$64-ROUNDDOWN('High Level Dashboard'!$D$30,0),'High Level Dashboard'!$B$64:$AV$64,"&lt;="&amp;'High Level Dashboard'!AF$64)),"")+
IFERROR(-PMT('High Level Dashboard'!$D$28, 'High Level Dashboard'!$D$30+1, SUMIF('High Level Dashboard'!$B$64:$AV$64,ROUNDDOWN('High Level Dashboard'!AF$64-'High Level Dashboard'!$D$30,0)+1,'High Level Dashboard'!$B$65:$AV$65)* (('High Level Dashboard'!$D$30-ROUNDDOWN('High Level Dashboard'!$D$30,0)))),"")
)</f>
        <v>98.01222873710698</v>
      </c>
      <c r="AH104" s="434">
        <f ca="1">$B$84*'High Level Dashboard'!$D$27*
(IFERROR(-PMT('High Level Dashboard'!$D$28,'High Level Dashboard'!$D$30+1,
SUMIFS('High Level Dashboard'!$B$65:$AV$65,'High Level Dashboard'!$B$64:$AV$64,"&gt;"&amp;'High Level Dashboard'!AG$64-ROUNDDOWN('High Level Dashboard'!$D$30,0),'High Level Dashboard'!$B$64:$AV$64,"&lt;="&amp;'High Level Dashboard'!AG$64)),"")+
IFERROR(-PMT('High Level Dashboard'!$D$28, 'High Level Dashboard'!$D$30+1, SUMIF('High Level Dashboard'!$B$64:$AV$64,ROUNDDOWN('High Level Dashboard'!AG$64-'High Level Dashboard'!$D$30,0)+1,'High Level Dashboard'!$B$65:$AV$65)* (('High Level Dashboard'!$D$30-ROUNDDOWN('High Level Dashboard'!$D$30,0)))),"")
)</f>
        <v>100.8866612233674</v>
      </c>
      <c r="AI104" s="434">
        <f ca="1">$B$84*'High Level Dashboard'!$D$27*
(IFERROR(-PMT('High Level Dashboard'!$D$28,'High Level Dashboard'!$D$30+1,
SUMIFS('High Level Dashboard'!$B$65:$AV$65,'High Level Dashboard'!$B$64:$AV$64,"&gt;"&amp;'High Level Dashboard'!AH$64-ROUNDDOWN('High Level Dashboard'!$D$30,0),'High Level Dashboard'!$B$64:$AV$64,"&lt;="&amp;'High Level Dashboard'!AH$64)),"")+
IFERROR(-PMT('High Level Dashboard'!$D$28, 'High Level Dashboard'!$D$30+1, SUMIF('High Level Dashboard'!$B$64:$AV$64,ROUNDDOWN('High Level Dashboard'!AH$64-'High Level Dashboard'!$D$30,0)+1,'High Level Dashboard'!$B$65:$AV$65)* (('High Level Dashboard'!$D$30-ROUNDDOWN('High Level Dashboard'!$D$30,0)))),"")
)</f>
        <v>103.18370803578723</v>
      </c>
      <c r="AJ104" s="434">
        <f ca="1">$B$84*'High Level Dashboard'!$D$27*
(IFERROR(-PMT('High Level Dashboard'!$D$28,'High Level Dashboard'!$D$30+1,
SUMIFS('High Level Dashboard'!$B$65:$AV$65,'High Level Dashboard'!$B$64:$AV$64,"&gt;"&amp;'High Level Dashboard'!AI$64-ROUNDDOWN('High Level Dashboard'!$D$30,0),'High Level Dashboard'!$B$64:$AV$64,"&lt;="&amp;'High Level Dashboard'!AI$64)),"")+
IFERROR(-PMT('High Level Dashboard'!$D$28, 'High Level Dashboard'!$D$30+1, SUMIF('High Level Dashboard'!$B$64:$AV$64,ROUNDDOWN('High Level Dashboard'!AI$64-'High Level Dashboard'!$D$30,0)+1,'High Level Dashboard'!$B$65:$AV$65)* (('High Level Dashboard'!$D$30-ROUNDDOWN('High Level Dashboard'!$D$30,0)))),"")
)</f>
        <v>105.54372579171732</v>
      </c>
      <c r="AK104" s="434">
        <f ca="1">$B$84*'High Level Dashboard'!$D$27*
(IFERROR(-PMT('High Level Dashboard'!$D$28,'High Level Dashboard'!$D$30+1,
SUMIFS('High Level Dashboard'!$B$65:$AV$65,'High Level Dashboard'!$B$64:$AV$64,"&gt;"&amp;'High Level Dashboard'!AJ$64-ROUNDDOWN('High Level Dashboard'!$D$30,0),'High Level Dashboard'!$B$64:$AV$64,"&lt;="&amp;'High Level Dashboard'!AJ$64)),"")+
IFERROR(-PMT('High Level Dashboard'!$D$28, 'High Level Dashboard'!$D$30+1, SUMIF('High Level Dashboard'!$B$64:$AV$64,ROUNDDOWN('High Level Dashboard'!AJ$64-'High Level Dashboard'!$D$30,0)+1,'High Level Dashboard'!$B$65:$AV$65)* (('High Level Dashboard'!$D$30-ROUNDDOWN('High Level Dashboard'!$D$30,0)))),"")
)</f>
        <v>107.47401710440907</v>
      </c>
      <c r="AL104" s="434">
        <f ca="1">$B$84*'High Level Dashboard'!$D$27*
(IFERROR(-PMT('High Level Dashboard'!$D$28,'High Level Dashboard'!$D$30+1,
SUMIFS('High Level Dashboard'!$B$65:$AV$65,'High Level Dashboard'!$B$64:$AV$64,"&gt;"&amp;'High Level Dashboard'!AK$64-ROUNDDOWN('High Level Dashboard'!$D$30,0),'High Level Dashboard'!$B$64:$AV$64,"&lt;="&amp;'High Level Dashboard'!AK$64)),"")+
IFERROR(-PMT('High Level Dashboard'!$D$28, 'High Level Dashboard'!$D$30+1, SUMIF('High Level Dashboard'!$B$64:$AV$64,ROUNDDOWN('High Level Dashboard'!AK$64-'High Level Dashboard'!$D$30,0)+1,'High Level Dashboard'!$B$65:$AV$65)* (('High Level Dashboard'!$D$30-ROUNDDOWN('High Level Dashboard'!$D$30,0)))),"")
)</f>
        <v>109.47479286496572</v>
      </c>
      <c r="AM104" s="434">
        <f ca="1">$B$84*'High Level Dashboard'!$D$27*
(IFERROR(-PMT('High Level Dashboard'!$D$28,'High Level Dashboard'!$D$30+1,
SUMIFS('High Level Dashboard'!$B$65:$AV$65,'High Level Dashboard'!$B$64:$AV$64,"&gt;"&amp;'High Level Dashboard'!AL$64-ROUNDDOWN('High Level Dashboard'!$D$30,0),'High Level Dashboard'!$B$64:$AV$64,"&lt;="&amp;'High Level Dashboard'!AL$64)),"")+
IFERROR(-PMT('High Level Dashboard'!$D$28, 'High Level Dashboard'!$D$30+1, SUMIF('High Level Dashboard'!$B$64:$AV$64,ROUNDDOWN('High Level Dashboard'!AL$64-'High Level Dashboard'!$D$30,0)+1,'High Level Dashboard'!$B$65:$AV$65)* (('High Level Dashboard'!$D$30-ROUNDDOWN('High Level Dashboard'!$D$30,0)))),"")
)</f>
        <v>112.49898615084182</v>
      </c>
      <c r="AN104" s="434">
        <f ca="1">$B$84*'High Level Dashboard'!$D$27*
(IFERROR(-PMT('High Level Dashboard'!$D$28,'High Level Dashboard'!$D$30+1,
SUMIFS('High Level Dashboard'!$B$65:$AV$65,'High Level Dashboard'!$B$64:$AV$64,"&gt;"&amp;'High Level Dashboard'!AM$64-ROUNDDOWN('High Level Dashboard'!$D$30,0),'High Level Dashboard'!$B$64:$AV$64,"&lt;="&amp;'High Level Dashboard'!AM$64)),"")+
IFERROR(-PMT('High Level Dashboard'!$D$28, 'High Level Dashboard'!$D$30+1, SUMIF('High Level Dashboard'!$B$64:$AV$64,ROUNDDOWN('High Level Dashboard'!AM$64-'High Level Dashboard'!$D$30,0)+1,'High Level Dashboard'!$B$65:$AV$65)* (('High Level Dashboard'!$D$30-ROUNDDOWN('High Level Dashboard'!$D$30,0)))),"")
)</f>
        <v>115.70147046501648</v>
      </c>
      <c r="AO104" s="434">
        <f ca="1">$B$84*'High Level Dashboard'!$D$27*
(IFERROR(-PMT('High Level Dashboard'!$D$28,'High Level Dashboard'!$D$30+1,
SUMIFS('High Level Dashboard'!$B$65:$AV$65,'High Level Dashboard'!$B$64:$AV$64,"&gt;"&amp;'High Level Dashboard'!AN$64-ROUNDDOWN('High Level Dashboard'!$D$30,0),'High Level Dashboard'!$B$64:$AV$64,"&lt;="&amp;'High Level Dashboard'!AN$64)),"")+
IFERROR(-PMT('High Level Dashboard'!$D$28, 'High Level Dashboard'!$D$30+1, SUMIF('High Level Dashboard'!$B$64:$AV$64,ROUNDDOWN('High Level Dashboard'!AN$64-'High Level Dashboard'!$D$30,0)+1,'High Level Dashboard'!$B$65:$AV$65)* (('High Level Dashboard'!$D$30-ROUNDDOWN('High Level Dashboard'!$D$30,0)))),"")
)</f>
        <v>119.01822579448439</v>
      </c>
      <c r="AP104" s="434">
        <f ca="1">$B$84*'High Level Dashboard'!$D$27*
(IFERROR(-PMT('High Level Dashboard'!$D$28,'High Level Dashboard'!$D$30+1,
SUMIFS('High Level Dashboard'!$B$65:$AV$65,'High Level Dashboard'!$B$64:$AV$64,"&gt;"&amp;'High Level Dashboard'!AO$64-ROUNDDOWN('High Level Dashboard'!$D$30,0),'High Level Dashboard'!$B$64:$AV$64,"&lt;="&amp;'High Level Dashboard'!AO$64)),"")+
IFERROR(-PMT('High Level Dashboard'!$D$28, 'High Level Dashboard'!$D$30+1, SUMIF('High Level Dashboard'!$B$64:$AV$64,ROUNDDOWN('High Level Dashboard'!AO$64-'High Level Dashboard'!$D$30,0)+1,'High Level Dashboard'!$B$65:$AV$65)* (('High Level Dashboard'!$D$30-ROUNDDOWN('High Level Dashboard'!$D$30,0)))),"")
)</f>
        <v>122.49165430115224</v>
      </c>
      <c r="AQ104" s="434">
        <f ca="1">$B$84*'High Level Dashboard'!$D$27*
(IFERROR(-PMT('High Level Dashboard'!$D$28,'High Level Dashboard'!$D$30+1,
SUMIFS('High Level Dashboard'!$B$65:$AV$65,'High Level Dashboard'!$B$64:$AV$64,"&gt;"&amp;'High Level Dashboard'!AP$64-ROUNDDOWN('High Level Dashboard'!$D$30,0),'High Level Dashboard'!$B$64:$AV$64,"&lt;="&amp;'High Level Dashboard'!AP$64)),"")+
IFERROR(-PMT('High Level Dashboard'!$D$28, 'High Level Dashboard'!$D$30+1, SUMIF('High Level Dashboard'!$B$64:$AV$64,ROUNDDOWN('High Level Dashboard'!AP$64-'High Level Dashboard'!$D$30,0)+1,'High Level Dashboard'!$B$65:$AV$65)* (('High Level Dashboard'!$D$30-ROUNDDOWN('High Level Dashboard'!$D$30,0)))),"")
)</f>
        <v>127.14454028006348</v>
      </c>
      <c r="AR104" s="434">
        <f ca="1">$B$84*'High Level Dashboard'!$D$27*
(IFERROR(-PMT('High Level Dashboard'!$D$28,'High Level Dashboard'!$D$30+1,
SUMIFS('High Level Dashboard'!$B$65:$AV$65,'High Level Dashboard'!$B$64:$AV$64,"&gt;"&amp;'High Level Dashboard'!AQ$64-ROUNDDOWN('High Level Dashboard'!$D$30,0),'High Level Dashboard'!$B$64:$AV$64,"&lt;="&amp;'High Level Dashboard'!AQ$64)),"")+
IFERROR(-PMT('High Level Dashboard'!$D$28, 'High Level Dashboard'!$D$30+1, SUMIF('High Level Dashboard'!$B$64:$AV$64,ROUNDDOWN('High Level Dashboard'!AQ$64-'High Level Dashboard'!$D$30,0)+1,'High Level Dashboard'!$B$65:$AV$65)* (('High Level Dashboard'!$D$30-ROUNDDOWN('High Level Dashboard'!$D$30,0)))),"")
)</f>
        <v>130.42106459041531</v>
      </c>
      <c r="AS104" s="434">
        <f ca="1">$B$84*'High Level Dashboard'!$D$27*
(IFERROR(-PMT('High Level Dashboard'!$D$28,'High Level Dashboard'!$D$30+1,
SUMIFS('High Level Dashboard'!$B$65:$AV$65,'High Level Dashboard'!$B$64:$AV$64,"&gt;"&amp;'High Level Dashboard'!AR$64-ROUNDDOWN('High Level Dashboard'!$D$30,0),'High Level Dashboard'!$B$64:$AV$64,"&lt;="&amp;'High Level Dashboard'!AR$64)),"")+
IFERROR(-PMT('High Level Dashboard'!$D$28, 'High Level Dashboard'!$D$30+1, SUMIF('High Level Dashboard'!$B$64:$AV$64,ROUNDDOWN('High Level Dashboard'!AR$64-'High Level Dashboard'!$D$30,0)+1,'High Level Dashboard'!$B$65:$AV$65)* (('High Level Dashboard'!$D$30-ROUNDDOWN('High Level Dashboard'!$D$30,0)))),"")
)</f>
        <v>132.36350971989418</v>
      </c>
      <c r="AT104" s="434">
        <f ca="1">$B$84*'High Level Dashboard'!$D$27*
(IFERROR(-PMT('High Level Dashboard'!$D$28,'High Level Dashboard'!$D$30+1,
SUMIFS('High Level Dashboard'!$B$65:$AV$65,'High Level Dashboard'!$B$64:$AV$64,"&gt;"&amp;'High Level Dashboard'!AS$64-ROUNDDOWN('High Level Dashboard'!$D$30,0),'High Level Dashboard'!$B$64:$AV$64,"&lt;="&amp;'High Level Dashboard'!AS$64)),"")+
IFERROR(-PMT('High Level Dashboard'!$D$28, 'High Level Dashboard'!$D$30+1, SUMIF('High Level Dashboard'!$B$64:$AV$64,ROUNDDOWN('High Level Dashboard'!AS$64-'High Level Dashboard'!$D$30,0)+1,'High Level Dashboard'!$B$65:$AV$65)* (('High Level Dashboard'!$D$30-ROUNDDOWN('High Level Dashboard'!$D$30,0)))),"")
)</f>
        <v>134.34672988921326</v>
      </c>
      <c r="AU104" s="434">
        <f ca="1">$B$84*'High Level Dashboard'!$D$27*
(IFERROR(-PMT('High Level Dashboard'!$D$28,'High Level Dashboard'!$D$30+1,
SUMIFS('High Level Dashboard'!$B$65:$AV$65,'High Level Dashboard'!$B$64:$AV$64,"&gt;"&amp;'High Level Dashboard'!AT$64-ROUNDDOWN('High Level Dashboard'!$D$30,0),'High Level Dashboard'!$B$64:$AV$64,"&lt;="&amp;'High Level Dashboard'!AT$64)),"")+
IFERROR(-PMT('High Level Dashboard'!$D$28, 'High Level Dashboard'!$D$30+1, SUMIF('High Level Dashboard'!$B$64:$AV$64,ROUNDDOWN('High Level Dashboard'!AT$64-'High Level Dashboard'!$D$30,0)+1,'High Level Dashboard'!$B$65:$AV$65)* (('High Level Dashboard'!$D$30-ROUNDDOWN('High Level Dashboard'!$D$30,0)))),"")
)</f>
        <v>135.97915258413718</v>
      </c>
      <c r="AV104" s="434">
        <f ca="1">$B$84*'High Level Dashboard'!$D$27*
(IFERROR(-PMT('High Level Dashboard'!$D$28,'High Level Dashboard'!$D$30+1,
SUMIFS('High Level Dashboard'!$B$65:$AV$65,'High Level Dashboard'!$B$64:$AV$64,"&gt;"&amp;'High Level Dashboard'!AU$64-ROUNDDOWN('High Level Dashboard'!$D$30,0),'High Level Dashboard'!$B$64:$AV$64,"&lt;="&amp;'High Level Dashboard'!AU$64)),"")+
IFERROR(-PMT('High Level Dashboard'!$D$28, 'High Level Dashboard'!$D$30+1, SUMIF('High Level Dashboard'!$B$64:$AV$64,ROUNDDOWN('High Level Dashboard'!AU$64-'High Level Dashboard'!$D$30,0)+1,'High Level Dashboard'!$B$65:$AV$65)* (('High Level Dashboard'!$D$30-ROUNDDOWN('High Level Dashboard'!$D$30,0)))),"")
)</f>
        <v>136.86402704208203</v>
      </c>
    </row>
    <row r="105" spans="1:49" s="340" customFormat="1">
      <c r="C105" s="436"/>
      <c r="D105" s="436"/>
      <c r="E105" s="436"/>
      <c r="F105" s="436"/>
      <c r="G105" s="436"/>
      <c r="H105" s="436"/>
      <c r="I105" s="436"/>
      <c r="J105" s="436"/>
      <c r="K105" s="436"/>
      <c r="L105" s="436"/>
      <c r="M105" s="436"/>
      <c r="N105" s="436"/>
      <c r="O105" s="436"/>
      <c r="P105" s="436"/>
      <c r="Q105" s="436"/>
      <c r="R105" s="436"/>
      <c r="S105" s="436"/>
      <c r="T105" s="436"/>
      <c r="U105" s="436"/>
      <c r="V105" s="436"/>
      <c r="W105" s="436"/>
      <c r="X105" s="436"/>
      <c r="Y105" s="436"/>
      <c r="Z105" s="436"/>
      <c r="AA105" s="436"/>
      <c r="AB105" s="436"/>
      <c r="AC105" s="436"/>
      <c r="AD105" s="436"/>
      <c r="AE105" s="436"/>
      <c r="AF105" s="436"/>
      <c r="AG105" s="436"/>
      <c r="AH105" s="436"/>
      <c r="AI105" s="436"/>
      <c r="AJ105" s="436"/>
      <c r="AK105" s="436"/>
      <c r="AL105" s="436"/>
      <c r="AM105" s="436"/>
      <c r="AN105" s="436"/>
      <c r="AO105" s="436"/>
      <c r="AP105" s="436"/>
      <c r="AQ105" s="436"/>
      <c r="AR105" s="436"/>
      <c r="AS105" s="436"/>
      <c r="AT105" s="436"/>
      <c r="AU105" s="436"/>
      <c r="AV105" s="436"/>
    </row>
    <row r="106" spans="1:49" s="430" customFormat="1" ht="21">
      <c r="A106" s="437" t="str">
        <f>'OSeMOSYS (Input)'!$C$5&amp;" Financing Requirements"</f>
        <v>LeastCost Financing Requirements</v>
      </c>
      <c r="B106" s="437"/>
      <c r="C106" s="438">
        <f ca="1">SUM(C108:C115)</f>
        <v>29.706212795173546</v>
      </c>
      <c r="D106" s="438">
        <f t="shared" ref="D106:AV106" ca="1" si="119">SUM(D108:D115)</f>
        <v>77.821865704983082</v>
      </c>
      <c r="E106" s="438">
        <f t="shared" ca="1" si="119"/>
        <v>124.96780076189538</v>
      </c>
      <c r="F106" s="438">
        <f t="shared" ca="1" si="119"/>
        <v>168.62624720624981</v>
      </c>
      <c r="G106" s="438">
        <f t="shared" ca="1" si="119"/>
        <v>258.4135506502202</v>
      </c>
      <c r="H106" s="438">
        <f t="shared" ca="1" si="119"/>
        <v>314.94864542686622</v>
      </c>
      <c r="I106" s="438">
        <f t="shared" ca="1" si="119"/>
        <v>399.45291444852541</v>
      </c>
      <c r="J106" s="438">
        <f t="shared" ca="1" si="119"/>
        <v>466.41895961377924</v>
      </c>
      <c r="K106" s="438">
        <f t="shared" ca="1" si="119"/>
        <v>535.00680770414874</v>
      </c>
      <c r="L106" s="438">
        <f t="shared" ca="1" si="119"/>
        <v>630.49809048945008</v>
      </c>
      <c r="M106" s="438">
        <f t="shared" ca="1" si="119"/>
        <v>728.14359010019052</v>
      </c>
      <c r="N106" s="438">
        <f t="shared" ca="1" si="119"/>
        <v>837.04582825443788</v>
      </c>
      <c r="O106" s="438">
        <f t="shared" ca="1" si="119"/>
        <v>949.21222582214023</v>
      </c>
      <c r="P106" s="438">
        <f t="shared" ca="1" si="119"/>
        <v>1046.7420649697747</v>
      </c>
      <c r="Q106" s="438">
        <f t="shared" ca="1" si="119"/>
        <v>1166.6156682286444</v>
      </c>
      <c r="R106" s="438">
        <f t="shared" ca="1" si="119"/>
        <v>1322.2940833310568</v>
      </c>
      <c r="S106" s="438">
        <f t="shared" ca="1" si="119"/>
        <v>1456.0501038908772</v>
      </c>
      <c r="T106" s="438">
        <f t="shared" ca="1" si="119"/>
        <v>1565.0763082438268</v>
      </c>
      <c r="U106" s="438">
        <f t="shared" ca="1" si="119"/>
        <v>1675.4699940359767</v>
      </c>
      <c r="V106" s="438">
        <f t="shared" ca="1" si="119"/>
        <v>1788.4770626282675</v>
      </c>
      <c r="W106" s="438">
        <f t="shared" ca="1" si="119"/>
        <v>1914.5156003686461</v>
      </c>
      <c r="X106" s="438">
        <f t="shared" ca="1" si="119"/>
        <v>2061.1243559574523</v>
      </c>
      <c r="Y106" s="438">
        <f t="shared" ca="1" si="119"/>
        <v>2211.2152167324916</v>
      </c>
      <c r="Z106" s="438">
        <f t="shared" ca="1" si="119"/>
        <v>2361.7499799341867</v>
      </c>
      <c r="AA106" s="438">
        <f t="shared" ca="1" si="119"/>
        <v>2513.6548069670835</v>
      </c>
      <c r="AB106" s="438">
        <f t="shared" ca="1" si="119"/>
        <v>2680.4135742836265</v>
      </c>
      <c r="AC106" s="438">
        <f t="shared" ca="1" si="119"/>
        <v>2860.4740271530709</v>
      </c>
      <c r="AD106" s="438">
        <f t="shared" ca="1" si="119"/>
        <v>2989.6583547449386</v>
      </c>
      <c r="AE106" s="438">
        <f t="shared" ca="1" si="119"/>
        <v>3098.3960766705491</v>
      </c>
      <c r="AF106" s="438">
        <f t="shared" ca="1" si="119"/>
        <v>3250.9603543819467</v>
      </c>
      <c r="AG106" s="438">
        <f t="shared" ca="1" si="119"/>
        <v>3356.7596084762972</v>
      </c>
      <c r="AH106" s="438">
        <f t="shared" ca="1" si="119"/>
        <v>3466.0318893645349</v>
      </c>
      <c r="AI106" s="438">
        <f t="shared" ca="1" si="119"/>
        <v>3569.6744113947971</v>
      </c>
      <c r="AJ106" s="438">
        <f t="shared" ca="1" si="119"/>
        <v>3667.0677680424051</v>
      </c>
      <c r="AK106" s="438">
        <f t="shared" ca="1" si="119"/>
        <v>3782.0995075970727</v>
      </c>
      <c r="AL106" s="438">
        <f t="shared" ca="1" si="119"/>
        <v>3892.6525557778677</v>
      </c>
      <c r="AM106" s="438">
        <f t="shared" ca="1" si="119"/>
        <v>3992.2897448247163</v>
      </c>
      <c r="AN106" s="438">
        <f t="shared" ca="1" si="119"/>
        <v>4095.6300732205614</v>
      </c>
      <c r="AO106" s="438">
        <f t="shared" ca="1" si="119"/>
        <v>4157.3434927551616</v>
      </c>
      <c r="AP106" s="438">
        <f t="shared" ca="1" si="119"/>
        <v>4245.8077469479795</v>
      </c>
      <c r="AQ106" s="438">
        <f t="shared" ca="1" si="119"/>
        <v>4358.5627079036258</v>
      </c>
      <c r="AR106" s="438">
        <f t="shared" ca="1" si="119"/>
        <v>4444.0715563059339</v>
      </c>
      <c r="AS106" s="438">
        <f t="shared" ca="1" si="119"/>
        <v>4492.8692743876627</v>
      </c>
      <c r="AT106" s="438">
        <f t="shared" ca="1" si="119"/>
        <v>4533.3810280290008</v>
      </c>
      <c r="AU106" s="438">
        <f t="shared" ca="1" si="119"/>
        <v>4608.6441380989618</v>
      </c>
      <c r="AV106" s="438">
        <f t="shared" ca="1" si="119"/>
        <v>4695.0479182753797</v>
      </c>
      <c r="AW106" s="447"/>
    </row>
    <row r="107" spans="1:49" s="431" customFormat="1">
      <c r="A107" s="428" t="s">
        <v>259</v>
      </c>
      <c r="B107" s="428"/>
      <c r="C107" s="435">
        <f>'Investment Needs'!C7</f>
        <v>550.28309999999999</v>
      </c>
      <c r="D107" s="435">
        <f>'Investment Needs'!D7</f>
        <v>891.30279999999993</v>
      </c>
      <c r="E107" s="435">
        <f>'Investment Needs'!E7</f>
        <v>859.85770000000014</v>
      </c>
      <c r="F107" s="435">
        <f>'Investment Needs'!F7</f>
        <v>783.88200000000006</v>
      </c>
      <c r="G107" s="435">
        <f>'Investment Needs'!G7</f>
        <v>1637.2811999999999</v>
      </c>
      <c r="H107" s="435">
        <f>'Investment Needs'!H7</f>
        <v>1023.3453000000001</v>
      </c>
      <c r="I107" s="435">
        <f>'Investment Needs'!I7</f>
        <v>1265.5083</v>
      </c>
      <c r="J107" s="435">
        <f>'Investment Needs'!J7</f>
        <v>769.26179999999999</v>
      </c>
      <c r="K107" s="435">
        <f>'Investment Needs'!K7</f>
        <v>787.60719999999992</v>
      </c>
      <c r="L107" s="435">
        <f>'Investment Needs'!L7</f>
        <v>1327.6976</v>
      </c>
      <c r="M107" s="435">
        <f>'Investment Needs'!M7</f>
        <v>977.47140000000002</v>
      </c>
      <c r="N107" s="435">
        <f>'Investment Needs'!N7</f>
        <v>1422.614</v>
      </c>
      <c r="O107" s="435">
        <f>'Investment Needs'!O7</f>
        <v>1388.1181000000001</v>
      </c>
      <c r="P107" s="435">
        <f>'Investment Needs'!P7</f>
        <v>1338.3447999999999</v>
      </c>
      <c r="Q107" s="435">
        <f>'Investment Needs'!Q7</f>
        <v>1759.1960000000001</v>
      </c>
      <c r="R107" s="435">
        <f>'Investment Needs'!R7</f>
        <v>2194.2011999999995</v>
      </c>
      <c r="S107" s="435">
        <f>'Investment Needs'!S7</f>
        <v>1972.2902000000001</v>
      </c>
      <c r="T107" s="435">
        <f>'Investment Needs'!T7</f>
        <v>1328.5142000000001</v>
      </c>
      <c r="U107" s="435">
        <f>'Investment Needs'!U7</f>
        <v>1359.3568</v>
      </c>
      <c r="V107" s="435">
        <f>'Investment Needs'!V7</f>
        <v>1463.7227</v>
      </c>
      <c r="W107" s="435">
        <f>'Investment Needs'!W7</f>
        <v>1575.0400999999999</v>
      </c>
      <c r="X107" s="435">
        <f>'Investment Needs'!X7</f>
        <v>1687.5381</v>
      </c>
      <c r="Y107" s="435">
        <f>'Investment Needs'!Y7</f>
        <v>1845.2716999999998</v>
      </c>
      <c r="Z107" s="435">
        <f>'Investment Needs'!Z7</f>
        <v>2124.9576999999999</v>
      </c>
      <c r="AA107" s="435">
        <f>'Investment Needs'!AA7</f>
        <v>2198.3962999999999</v>
      </c>
      <c r="AB107" s="435">
        <f>'Investment Needs'!AB7</f>
        <v>2514.3019000000004</v>
      </c>
      <c r="AC107" s="435">
        <f>'Investment Needs'!AC7</f>
        <v>2764.5448999999999</v>
      </c>
      <c r="AD107" s="435">
        <f>'Investment Needs'!AD7</f>
        <v>2166.1093000000001</v>
      </c>
      <c r="AE107" s="435">
        <f>'Investment Needs'!AE7</f>
        <v>2026.9261000000001</v>
      </c>
      <c r="AF107" s="435">
        <f>'Investment Needs'!AF7</f>
        <v>2803.8788</v>
      </c>
      <c r="AG107" s="435">
        <f>'Investment Needs'!AG7</f>
        <v>1955.2348999999999</v>
      </c>
      <c r="AH107" s="435">
        <f>'Investment Needs'!AH7</f>
        <v>2339.9332999999997</v>
      </c>
      <c r="AI107" s="435">
        <f>'Investment Needs'!AI7</f>
        <v>1887.2440000000001</v>
      </c>
      <c r="AJ107" s="435">
        <f>'Investment Needs'!AJ7</f>
        <v>1969.2959000000001</v>
      </c>
      <c r="AK107" s="435">
        <f>'Investment Needs'!AK7</f>
        <v>2395.5834999999997</v>
      </c>
      <c r="AL107" s="435">
        <f>'Investment Needs'!AL7</f>
        <v>2030.2130999999999</v>
      </c>
      <c r="AM107" s="435">
        <f>'Investment Needs'!AM7</f>
        <v>2513.4224999999997</v>
      </c>
      <c r="AN107" s="435">
        <f>'Investment Needs'!AN7</f>
        <v>2355.2791000000002</v>
      </c>
      <c r="AO107" s="435">
        <f>'Investment Needs'!AO7</f>
        <v>2286.4155999999998</v>
      </c>
      <c r="AP107" s="435">
        <f>'Investment Needs'!AP7</f>
        <v>2718.3445999999999</v>
      </c>
      <c r="AQ107" s="435">
        <f>'Investment Needs'!AQ7</f>
        <v>3075.9814000000001</v>
      </c>
      <c r="AR107" s="435">
        <f>'Investment Needs'!AR7</f>
        <v>2853.1113</v>
      </c>
      <c r="AS107" s="435">
        <f>'Investment Needs'!AS7</f>
        <v>2238.9319</v>
      </c>
      <c r="AT107" s="435">
        <f>'Investment Needs'!AT7</f>
        <v>2167.7793000000001</v>
      </c>
      <c r="AU107" s="435">
        <f>'Investment Needs'!AU7</f>
        <v>2364.3987999999999</v>
      </c>
      <c r="AV107" s="435">
        <f>'Investment Needs'!AV7</f>
        <v>2501.8254000000002</v>
      </c>
    </row>
    <row r="108" spans="1:49" s="433" customFormat="1">
      <c r="A108" s="427" t="s">
        <v>260</v>
      </c>
      <c r="B108" s="427"/>
      <c r="C108" s="434">
        <f>'High Level Dashboard'!$C$53*'High Level Dashboard'!$C$9*
(-PMT('High Level Dashboard'!$C$10,'High Level Dashboard'!$C$12-'High Level Dashboard'!$C$11+1,
SUMIFS('High Level Dashboard'!$B$112:$AV$112,'High Level Dashboard'!$B$64:$AV$64,"&gt;="&amp;('High Level Dashboard'!B$64-(ROUNDDOWN('High Level Dashboard'!$C$12,0))+1),'High Level Dashboard'!$B$64:$AV$64,"&lt;="&amp;('High Level Dashboard'!B$64-(ROUNDUP('High Level Dashboard'!$C$11,0)))))
+
IFERROR(-PMT('High Level Dashboard'!$C$10,'High Level Dashboard'!$C$12-'High Level Dashboard'!$C$11+1,
(_xlfn.XLOOKUP('High Level Dashboard'!B$64-(ROUNDUP('High Level Dashboard'!$C$12,0))+1,'High Level Dashboard'!$B$64:$AV$64,'High Level Dashboard'!$B$112:$AV$112,""))*('High Level Dashboard'!$C$12-(ROUNDDOWN('High Level Dashboard'!$C$12,0)))),0)
+
IFERROR(-PMT('High Level Dashboard'!$C$10,'High Level Dashboard'!$C$12-'High Level Dashboard'!$C$11+1,
(_xlfn.XLOOKUP('High Level Dashboard'!B$64-(ROUNDDOWN('High Level Dashboard'!$C$11,0)),'High Level Dashboard'!$B$64:$AV$64,'High Level Dashboard'!$B$112:$AV$112,"")*('High Level Dashboard'!$C$11-ROUNDDOWN('High Level Dashboard'!$C$11,0)))),0)
+
(((SUMIFS('High Level Dashboard'!$B$112:$AV$112,'High Level Dashboard'!$B$64:$AV$64,"&gt;"&amp;'High Level Dashboard'!B$64-ROUNDDOWN('High Level Dashboard'!$C$11,0),'High Level Dashboard'!$B$64:$AV$64,"&lt;="&amp;'High Level Dashboard'!B$64)+(IFERROR(SUMIF('High Level Dashboard'!$B$64:$AV$64,ROUNDDOWN('High Level Dashboard'!B$64-'High Level Dashboard'!$C$11,0)+1,'High Level Dashboard'!$B$112:$AV$112)*(1-('High Level Dashboard'!$C$11-ROUNDDOWN('High Level Dashboard'!$C$11,0))),"")))*'High Level Dashboard'!$C$10)
))</f>
        <v>9.6316327955673238</v>
      </c>
      <c r="D108" s="434">
        <f>'High Level Dashboard'!$C$53*'High Level Dashboard'!$C$9*
(-PMT('High Level Dashboard'!$C$10,'High Level Dashboard'!$C$12-'High Level Dashboard'!$C$11+1,
SUMIFS('High Level Dashboard'!$B$112:$AV$112,'High Level Dashboard'!$B$64:$AV$64,"&gt;="&amp;('High Level Dashboard'!C$64-(ROUNDDOWN('High Level Dashboard'!$C$12,0))+1),'High Level Dashboard'!$B$64:$AV$64,"&lt;="&amp;('High Level Dashboard'!C$64-(ROUNDUP('High Level Dashboard'!$C$11,0)))))
+
IFERROR(-PMT('High Level Dashboard'!$C$10,'High Level Dashboard'!$C$12-'High Level Dashboard'!$C$11+1,
(_xlfn.XLOOKUP('High Level Dashboard'!C$64-(ROUNDUP('High Level Dashboard'!$C$12,0))+1,'High Level Dashboard'!$B$64:$AV$64,'High Level Dashboard'!$B$112:$AV$112,""))*('High Level Dashboard'!$C$12-(ROUNDDOWN('High Level Dashboard'!$C$12,0)))),0)
+
IFERROR(-PMT('High Level Dashboard'!$C$10,'High Level Dashboard'!$C$12-'High Level Dashboard'!$C$11+1,
(_xlfn.XLOOKUP('High Level Dashboard'!C$64-(ROUNDDOWN('High Level Dashboard'!$C$11,0)),'High Level Dashboard'!$B$64:$AV$64,'High Level Dashboard'!$B$112:$AV$112,"")*('High Level Dashboard'!$C$11-ROUNDDOWN('High Level Dashboard'!$C$11,0)))),0)
+
(((SUMIFS('High Level Dashboard'!$B$112:$AV$112,'High Level Dashboard'!$B$64:$AV$64,"&gt;"&amp;'High Level Dashboard'!C$64-ROUNDDOWN('High Level Dashboard'!$C$11,0),'High Level Dashboard'!$B$64:$AV$64,"&lt;="&amp;'High Level Dashboard'!C$64)+(IFERROR(SUMIF('High Level Dashboard'!$B$64:$AV$64,ROUNDDOWN('High Level Dashboard'!C$64-'High Level Dashboard'!$C$11,0)+1,'High Level Dashboard'!$B$112:$AV$112)*(1-('High Level Dashboard'!$C$11-ROUNDDOWN('High Level Dashboard'!$C$11,0))),"")))*'High Level Dashboard'!$C$10)
))</f>
        <v>25.23215056407772</v>
      </c>
      <c r="E108" s="434">
        <f>'High Level Dashboard'!$C$53*'High Level Dashboard'!$C$9*
(-PMT('High Level Dashboard'!$C$10,'High Level Dashboard'!$C$12-'High Level Dashboard'!$C$11+1,
SUMIFS('High Level Dashboard'!$B$112:$AV$112,'High Level Dashboard'!$B$64:$AV$64,"&gt;="&amp;('High Level Dashboard'!D$64-(ROUNDDOWN('High Level Dashboard'!$C$12,0))+1),'High Level Dashboard'!$B$64:$AV$64,"&lt;="&amp;('High Level Dashboard'!D$64-(ROUNDUP('High Level Dashboard'!$C$11,0)))))
+
IFERROR(-PMT('High Level Dashboard'!$C$10,'High Level Dashboard'!$C$12-'High Level Dashboard'!$C$11+1,
(_xlfn.XLOOKUP('High Level Dashboard'!D$64-(ROUNDUP('High Level Dashboard'!$C$12,0))+1,'High Level Dashboard'!$B$64:$AV$64,'High Level Dashboard'!$B$112:$AV$112,""))*('High Level Dashboard'!$C$12-(ROUNDDOWN('High Level Dashboard'!$C$12,0)))),0)
+
IFERROR(-PMT('High Level Dashboard'!$C$10,'High Level Dashboard'!$C$12-'High Level Dashboard'!$C$11+1,
(_xlfn.XLOOKUP('High Level Dashboard'!D$64-(ROUNDDOWN('High Level Dashboard'!$C$11,0)),'High Level Dashboard'!$B$64:$AV$64,'High Level Dashboard'!$B$112:$AV$112,"")*('High Level Dashboard'!$C$11-ROUNDDOWN('High Level Dashboard'!$C$11,0)))),0)
+
(((SUMIFS('High Level Dashboard'!$B$112:$AV$112,'High Level Dashboard'!$B$64:$AV$64,"&gt;"&amp;'High Level Dashboard'!D$64-ROUNDDOWN('High Level Dashboard'!$C$11,0),'High Level Dashboard'!$B$64:$AV$64,"&lt;="&amp;'High Level Dashboard'!D$64)+(IFERROR(SUMIF('High Level Dashboard'!$B$64:$AV$64,ROUNDDOWN('High Level Dashboard'!D$64-'High Level Dashboard'!$C$11,0)+1,'High Level Dashboard'!$B$112:$AV$112)*(1-('High Level Dashboard'!$C$11-ROUNDDOWN('High Level Dashboard'!$C$11,0))),"")))*'High Level Dashboard'!$C$10)
))</f>
        <v>40.282283164626577</v>
      </c>
      <c r="F108" s="434">
        <f>'High Level Dashboard'!$C$53*'High Level Dashboard'!$C$9*
(-PMT('High Level Dashboard'!$C$10,'High Level Dashboard'!$C$12-'High Level Dashboard'!$C$11+1,
SUMIFS('High Level Dashboard'!$B$112:$AV$112,'High Level Dashboard'!$B$64:$AV$64,"&gt;="&amp;('High Level Dashboard'!E$64-(ROUNDDOWN('High Level Dashboard'!$C$12,0))+1),'High Level Dashboard'!$B$64:$AV$64,"&lt;="&amp;('High Level Dashboard'!E$64-(ROUNDUP('High Level Dashboard'!$C$11,0)))))
+
IFERROR(-PMT('High Level Dashboard'!$C$10,'High Level Dashboard'!$C$12-'High Level Dashboard'!$C$11+1,
(_xlfn.XLOOKUP('High Level Dashboard'!E$64-(ROUNDUP('High Level Dashboard'!$C$12,0))+1,'High Level Dashboard'!$B$64:$AV$64,'High Level Dashboard'!$B$112:$AV$112,""))*('High Level Dashboard'!$C$12-(ROUNDDOWN('High Level Dashboard'!$C$12,0)))),0)
+
IFERROR(-PMT('High Level Dashboard'!$C$10,'High Level Dashboard'!$C$12-'High Level Dashboard'!$C$11+1,
(_xlfn.XLOOKUP('High Level Dashboard'!E$64-(ROUNDDOWN('High Level Dashboard'!$C$11,0)),'High Level Dashboard'!$B$64:$AV$64,'High Level Dashboard'!$B$112:$AV$112,"")*('High Level Dashboard'!$C$11-ROUNDDOWN('High Level Dashboard'!$C$11,0)))),0)
+
(((SUMIFS('High Level Dashboard'!$B$112:$AV$112,'High Level Dashboard'!$B$64:$AV$64,"&gt;"&amp;'High Level Dashboard'!E$64-ROUNDDOWN('High Level Dashboard'!$C$11,0),'High Level Dashboard'!$B$64:$AV$64,"&lt;="&amp;'High Level Dashboard'!E$64)+(IFERROR(SUMIF('High Level Dashboard'!$B$64:$AV$64,ROUNDDOWN('High Level Dashboard'!E$64-'High Level Dashboard'!$C$11,0)+1,'High Level Dashboard'!$B$112:$AV$112)*(1-('High Level Dashboard'!$C$11-ROUNDDOWN('High Level Dashboard'!$C$11,0))),"")))*'High Level Dashboard'!$C$10)
))</f>
        <v>54.002609264146813</v>
      </c>
      <c r="G108" s="434">
        <f>'High Level Dashboard'!$C$53*'High Level Dashboard'!$C$9*
(-PMT('High Level Dashboard'!$C$10,'High Level Dashboard'!$C$12-'High Level Dashboard'!$C$11+1,
SUMIFS('High Level Dashboard'!$B$112:$AV$112,'High Level Dashboard'!$B$64:$AV$64,"&gt;="&amp;('High Level Dashboard'!F$64-(ROUNDDOWN('High Level Dashboard'!$C$12,0))+1),'High Level Dashboard'!$B$64:$AV$64,"&lt;="&amp;('High Level Dashboard'!F$64-(ROUNDUP('High Level Dashboard'!$C$11,0)))))
+
IFERROR(-PMT('High Level Dashboard'!$C$10,'High Level Dashboard'!$C$12-'High Level Dashboard'!$C$11+1,
(_xlfn.XLOOKUP('High Level Dashboard'!F$64-(ROUNDUP('High Level Dashboard'!$C$12,0))+1,'High Level Dashboard'!$B$64:$AV$64,'High Level Dashboard'!$B$112:$AV$112,""))*('High Level Dashboard'!$C$12-(ROUNDDOWN('High Level Dashboard'!$C$12,0)))),0)
+
IFERROR(-PMT('High Level Dashboard'!$C$10,'High Level Dashboard'!$C$12-'High Level Dashboard'!$C$11+1,
(_xlfn.XLOOKUP('High Level Dashboard'!F$64-(ROUNDDOWN('High Level Dashboard'!$C$11,0)),'High Level Dashboard'!$B$64:$AV$64,'High Level Dashboard'!$B$112:$AV$112,"")*('High Level Dashboard'!$C$11-ROUNDDOWN('High Level Dashboard'!$C$11,0)))),0)
+
(((SUMIFS('High Level Dashboard'!$B$112:$AV$112,'High Level Dashboard'!$B$64:$AV$64,"&gt;"&amp;'High Level Dashboard'!F$64-ROUNDDOWN('High Level Dashboard'!$C$11,0),'High Level Dashboard'!$B$64:$AV$64,"&lt;="&amp;'High Level Dashboard'!F$64)+(IFERROR(SUMIF('High Level Dashboard'!$B$64:$AV$64,ROUNDDOWN('High Level Dashboard'!F$64-'High Level Dashboard'!$C$11,0)+1,'High Level Dashboard'!$B$112:$AV$112)*(1-('High Level Dashboard'!$C$11-ROUNDDOWN('High Level Dashboard'!$C$11,0))),"")))*'High Level Dashboard'!$C$10)
))</f>
        <v>82.660024513653511</v>
      </c>
      <c r="H108" s="434">
        <f>'High Level Dashboard'!$C$53*'High Level Dashboard'!$C$9*
(-PMT('High Level Dashboard'!$C$10,'High Level Dashboard'!$C$12-'High Level Dashboard'!$C$11+1,
SUMIFS('High Level Dashboard'!$B$112:$AV$112,'High Level Dashboard'!$B$64:$AV$64,"&gt;="&amp;('High Level Dashboard'!G$64-(ROUNDDOWN('High Level Dashboard'!$C$12,0))+1),'High Level Dashboard'!$B$64:$AV$64,"&lt;="&amp;('High Level Dashboard'!G$64-(ROUNDUP('High Level Dashboard'!$C$11,0)))))
+
IFERROR(-PMT('High Level Dashboard'!$C$10,'High Level Dashboard'!$C$12-'High Level Dashboard'!$C$11+1,
(_xlfn.XLOOKUP('High Level Dashboard'!G$64-(ROUNDUP('High Level Dashboard'!$C$12,0))+1,'High Level Dashboard'!$B$64:$AV$64,'High Level Dashboard'!$B$112:$AV$112,""))*('High Level Dashboard'!$C$12-(ROUNDDOWN('High Level Dashboard'!$C$12,0)))),0)
+
IFERROR(-PMT('High Level Dashboard'!$C$10,'High Level Dashboard'!$C$12-'High Level Dashboard'!$C$11+1,
(_xlfn.XLOOKUP('High Level Dashboard'!G$64-(ROUNDDOWN('High Level Dashboard'!$C$11,0)),'High Level Dashboard'!$B$64:$AV$64,'High Level Dashboard'!$B$112:$AV$112,"")*('High Level Dashboard'!$C$11-ROUNDDOWN('High Level Dashboard'!$C$11,0)))),0)
+
(((SUMIFS('High Level Dashboard'!$B$112:$AV$112,'High Level Dashboard'!$B$64:$AV$64,"&gt;"&amp;'High Level Dashboard'!G$64-ROUNDDOWN('High Level Dashboard'!$C$11,0),'High Level Dashboard'!$B$64:$AV$64,"&lt;="&amp;'High Level Dashboard'!G$64)+(IFERROR(SUMIF('High Level Dashboard'!$B$64:$AV$64,ROUNDDOWN('High Level Dashboard'!G$64-'High Level Dashboard'!$C$11,0)+1,'High Level Dashboard'!$B$112:$AV$112)*(1-('High Level Dashboard'!$C$11-ROUNDDOWN('High Level Dashboard'!$C$11,0))),"")))*'High Level Dashboard'!$C$10)
))</f>
        <v>100.57168880548744</v>
      </c>
      <c r="I108" s="434">
        <f>'High Level Dashboard'!$C$53*'High Level Dashboard'!$C$9*
(-PMT('High Level Dashboard'!$C$10,'High Level Dashboard'!$C$12-'High Level Dashboard'!$C$11+1,
SUMIFS('High Level Dashboard'!$B$112:$AV$112,'High Level Dashboard'!$B$64:$AV$64,"&gt;="&amp;('High Level Dashboard'!H$64-(ROUNDDOWN('High Level Dashboard'!$C$12,0))+1),'High Level Dashboard'!$B$64:$AV$64,"&lt;="&amp;('High Level Dashboard'!H$64-(ROUNDUP('High Level Dashboard'!$C$11,0)))))
+
IFERROR(-PMT('High Level Dashboard'!$C$10,'High Level Dashboard'!$C$12-'High Level Dashboard'!$C$11+1,
(_xlfn.XLOOKUP('High Level Dashboard'!H$64-(ROUNDUP('High Level Dashboard'!$C$12,0))+1,'High Level Dashboard'!$B$64:$AV$64,'High Level Dashboard'!$B$112:$AV$112,""))*('High Level Dashboard'!$C$12-(ROUNDDOWN('High Level Dashboard'!$C$12,0)))),0)
+
IFERROR(-PMT('High Level Dashboard'!$C$10,'High Level Dashboard'!$C$12-'High Level Dashboard'!$C$11+1,
(_xlfn.XLOOKUP('High Level Dashboard'!H$64-(ROUNDDOWN('High Level Dashboard'!$C$11,0)),'High Level Dashboard'!$B$64:$AV$64,'High Level Dashboard'!$B$112:$AV$112,"")*('High Level Dashboard'!$C$11-ROUNDDOWN('High Level Dashboard'!$C$11,0)))),0)
+
(((SUMIFS('High Level Dashboard'!$B$112:$AV$112,'High Level Dashboard'!$B$64:$AV$64,"&gt;"&amp;'High Level Dashboard'!H$64-ROUNDDOWN('High Level Dashboard'!$C$11,0),'High Level Dashboard'!$B$64:$AV$64,"&lt;="&amp;'High Level Dashboard'!H$64)+(IFERROR(SUMIF('High Level Dashboard'!$B$64:$AV$64,ROUNDDOWN('High Level Dashboard'!H$64-'High Level Dashboard'!$C$11,0)+1,'High Level Dashboard'!$B$112:$AV$112)*(1-('High Level Dashboard'!$C$11-ROUNDDOWN('High Level Dashboard'!$C$11,0))),"")))*'High Level Dashboard'!$C$10)
))</f>
        <v>137.57846048936329</v>
      </c>
      <c r="J108" s="434">
        <f>'High Level Dashboard'!$C$53*'High Level Dashboard'!$C$9*
(-PMT('High Level Dashboard'!$C$10,'High Level Dashboard'!$C$12-'High Level Dashboard'!$C$11+1,
SUMIFS('High Level Dashboard'!$B$112:$AV$112,'High Level Dashboard'!$B$64:$AV$64,"&gt;="&amp;('High Level Dashboard'!I$64-(ROUNDDOWN('High Level Dashboard'!$C$12,0))+1),'High Level Dashboard'!$B$64:$AV$64,"&lt;="&amp;('High Level Dashboard'!I$64-(ROUNDUP('High Level Dashboard'!$C$11,0)))))
+
IFERROR(-PMT('High Level Dashboard'!$C$10,'High Level Dashboard'!$C$12-'High Level Dashboard'!$C$11+1,
(_xlfn.XLOOKUP('High Level Dashboard'!I$64-(ROUNDUP('High Level Dashboard'!$C$12,0))+1,'High Level Dashboard'!$B$64:$AV$64,'High Level Dashboard'!$B$112:$AV$112,""))*('High Level Dashboard'!$C$12-(ROUNDDOWN('High Level Dashboard'!$C$12,0)))),0)
+
IFERROR(-PMT('High Level Dashboard'!$C$10,'High Level Dashboard'!$C$12-'High Level Dashboard'!$C$11+1,
(_xlfn.XLOOKUP('High Level Dashboard'!I$64-(ROUNDDOWN('High Level Dashboard'!$C$11,0)),'High Level Dashboard'!$B$64:$AV$64,'High Level Dashboard'!$B$112:$AV$112,"")*('High Level Dashboard'!$C$11-ROUNDDOWN('High Level Dashboard'!$C$11,0)))),0)
+
(((SUMIFS('High Level Dashboard'!$B$112:$AV$112,'High Level Dashboard'!$B$64:$AV$64,"&gt;"&amp;'High Level Dashboard'!I$64-ROUNDDOWN('High Level Dashboard'!$C$11,0),'High Level Dashboard'!$B$64:$AV$64,"&lt;="&amp;'High Level Dashboard'!I$64)+(IFERROR(SUMIF('High Level Dashboard'!$B$64:$AV$64,ROUNDDOWN('High Level Dashboard'!I$64-'High Level Dashboard'!$C$11,0)+1,'High Level Dashboard'!$B$112:$AV$112)*(1-('High Level Dashboard'!$C$11-ROUNDDOWN('High Level Dashboard'!$C$11,0))),"")))*'High Level Dashboard'!$C$10)
))</f>
        <v>176.36524329669115</v>
      </c>
      <c r="K108" s="434">
        <f>'High Level Dashboard'!$C$53*'High Level Dashboard'!$C$9*
(-PMT('High Level Dashboard'!$C$10,'High Level Dashboard'!$C$12-'High Level Dashboard'!$C$11+1,
SUMIFS('High Level Dashboard'!$B$112:$AV$112,'High Level Dashboard'!$B$64:$AV$64,"&gt;="&amp;('High Level Dashboard'!J$64-(ROUNDDOWN('High Level Dashboard'!$C$12,0))+1),'High Level Dashboard'!$B$64:$AV$64,"&lt;="&amp;('High Level Dashboard'!J$64-(ROUNDUP('High Level Dashboard'!$C$11,0)))))
+
IFERROR(-PMT('High Level Dashboard'!$C$10,'High Level Dashboard'!$C$12-'High Level Dashboard'!$C$11+1,
(_xlfn.XLOOKUP('High Level Dashboard'!J$64-(ROUNDUP('High Level Dashboard'!$C$12,0))+1,'High Level Dashboard'!$B$64:$AV$64,'High Level Dashboard'!$B$112:$AV$112,""))*('High Level Dashboard'!$C$12-(ROUNDDOWN('High Level Dashboard'!$C$12,0)))),0)
+
IFERROR(-PMT('High Level Dashboard'!$C$10,'High Level Dashboard'!$C$12-'High Level Dashboard'!$C$11+1,
(_xlfn.XLOOKUP('High Level Dashboard'!J$64-(ROUNDDOWN('High Level Dashboard'!$C$11,0)),'High Level Dashboard'!$B$64:$AV$64,'High Level Dashboard'!$B$112:$AV$112,"")*('High Level Dashboard'!$C$11-ROUNDDOWN('High Level Dashboard'!$C$11,0)))),0)
+
(((SUMIFS('High Level Dashboard'!$B$112:$AV$112,'High Level Dashboard'!$B$64:$AV$64,"&gt;"&amp;'High Level Dashboard'!J$64-ROUNDDOWN('High Level Dashboard'!$C$11,0),'High Level Dashboard'!$B$64:$AV$64,"&lt;="&amp;'High Level Dashboard'!J$64)+(IFERROR(SUMIF('High Level Dashboard'!$B$64:$AV$64,ROUNDDOWN('High Level Dashboard'!J$64-'High Level Dashboard'!$C$11,0)+1,'High Level Dashboard'!$B$112:$AV$112)*(1-('High Level Dashboard'!$C$11-ROUNDDOWN('High Level Dashboard'!$C$11,0))),"")))*'High Level Dashboard'!$C$10)
))</f>
        <v>215.40440013813577</v>
      </c>
      <c r="L108" s="434">
        <f>'High Level Dashboard'!$C$53*'High Level Dashboard'!$C$9*
(-PMT('High Level Dashboard'!$C$10,'High Level Dashboard'!$C$12-'High Level Dashboard'!$C$11+1,
SUMIFS('High Level Dashboard'!$B$112:$AV$112,'High Level Dashboard'!$B$64:$AV$64,"&gt;="&amp;('High Level Dashboard'!K$64-(ROUNDDOWN('High Level Dashboard'!$C$12,0))+1),'High Level Dashboard'!$B$64:$AV$64,"&lt;="&amp;('High Level Dashboard'!K$64-(ROUNDUP('High Level Dashboard'!$C$11,0)))))
+
IFERROR(-PMT('High Level Dashboard'!$C$10,'High Level Dashboard'!$C$12-'High Level Dashboard'!$C$11+1,
(_xlfn.XLOOKUP('High Level Dashboard'!K$64-(ROUNDUP('High Level Dashboard'!$C$12,0))+1,'High Level Dashboard'!$B$64:$AV$64,'High Level Dashboard'!$B$112:$AV$112,""))*('High Level Dashboard'!$C$12-(ROUNDDOWN('High Level Dashboard'!$C$12,0)))),0)
+
IFERROR(-PMT('High Level Dashboard'!$C$10,'High Level Dashboard'!$C$12-'High Level Dashboard'!$C$11+1,
(_xlfn.XLOOKUP('High Level Dashboard'!K$64-(ROUNDDOWN('High Level Dashboard'!$C$11,0)),'High Level Dashboard'!$B$64:$AV$64,'High Level Dashboard'!$B$112:$AV$112,"")*('High Level Dashboard'!$C$11-ROUNDDOWN('High Level Dashboard'!$C$11,0)))),0)
+
(((SUMIFS('High Level Dashboard'!$B$112:$AV$112,'High Level Dashboard'!$B$64:$AV$64,"&gt;"&amp;'High Level Dashboard'!K$64-ROUNDDOWN('High Level Dashboard'!$C$11,0),'High Level Dashboard'!$B$64:$AV$64,"&lt;="&amp;'High Level Dashboard'!K$64)+(IFERROR(SUMIF('High Level Dashboard'!$B$64:$AV$64,ROUNDDOWN('High Level Dashboard'!K$64-'High Level Dashboard'!$C$11,0)+1,'High Level Dashboard'!$B$112:$AV$112)*(1-('High Level Dashboard'!$C$11-ROUNDDOWN('High Level Dashboard'!$C$11,0))),"")))*'High Level Dashboard'!$C$10)
))</f>
        <v>261.7736542316706</v>
      </c>
      <c r="M108" s="434">
        <f>'High Level Dashboard'!$C$53*'High Level Dashboard'!$C$9*
(-PMT('High Level Dashboard'!$C$10,'High Level Dashboard'!$C$12-'High Level Dashboard'!$C$11+1,
SUMIFS('High Level Dashboard'!$B$112:$AV$112,'High Level Dashboard'!$B$64:$AV$64,"&gt;="&amp;('High Level Dashboard'!L$64-(ROUNDDOWN('High Level Dashboard'!$C$12,0))+1),'High Level Dashboard'!$B$64:$AV$64,"&lt;="&amp;('High Level Dashboard'!L$64-(ROUNDUP('High Level Dashboard'!$C$11,0)))))
+
IFERROR(-PMT('High Level Dashboard'!$C$10,'High Level Dashboard'!$C$12-'High Level Dashboard'!$C$11+1,
(_xlfn.XLOOKUP('High Level Dashboard'!L$64-(ROUNDUP('High Level Dashboard'!$C$12,0))+1,'High Level Dashboard'!$B$64:$AV$64,'High Level Dashboard'!$B$112:$AV$112,""))*('High Level Dashboard'!$C$12-(ROUNDDOWN('High Level Dashboard'!$C$12,0)))),0)
+
IFERROR(-PMT('High Level Dashboard'!$C$10,'High Level Dashboard'!$C$12-'High Level Dashboard'!$C$11+1,
(_xlfn.XLOOKUP('High Level Dashboard'!L$64-(ROUNDDOWN('High Level Dashboard'!$C$11,0)),'High Level Dashboard'!$B$64:$AV$64,'High Level Dashboard'!$B$112:$AV$112,"")*('High Level Dashboard'!$C$11-ROUNDDOWN('High Level Dashboard'!$C$11,0)))),0)
+
(((SUMIFS('High Level Dashboard'!$B$112:$AV$112,'High Level Dashboard'!$B$64:$AV$64,"&gt;"&amp;'High Level Dashboard'!L$64-ROUNDDOWN('High Level Dashboard'!$C$11,0),'High Level Dashboard'!$B$64:$AV$64,"&lt;="&amp;'High Level Dashboard'!L$64)+(IFERROR(SUMIF('High Level Dashboard'!$B$64:$AV$64,ROUNDDOWN('High Level Dashboard'!L$64-'High Level Dashboard'!$C$11,0)+1,'High Level Dashboard'!$B$112:$AV$112)*(1-('High Level Dashboard'!$C$11-ROUNDDOWN('High Level Dashboard'!$C$11,0))),"")))*'High Level Dashboard'!$C$10)
))</f>
        <v>324.87908481555354</v>
      </c>
      <c r="N108" s="434">
        <f>'High Level Dashboard'!$C$53*'High Level Dashboard'!$C$9*
(-PMT('High Level Dashboard'!$C$10,'High Level Dashboard'!$C$12-'High Level Dashboard'!$C$11+1,
SUMIFS('High Level Dashboard'!$B$112:$AV$112,'High Level Dashboard'!$B$64:$AV$64,"&gt;="&amp;('High Level Dashboard'!M$64-(ROUNDDOWN('High Level Dashboard'!$C$12,0))+1),'High Level Dashboard'!$B$64:$AV$64,"&lt;="&amp;('High Level Dashboard'!M$64-(ROUNDUP('High Level Dashboard'!$C$11,0)))))
+
IFERROR(-PMT('High Level Dashboard'!$C$10,'High Level Dashboard'!$C$12-'High Level Dashboard'!$C$11+1,
(_xlfn.XLOOKUP('High Level Dashboard'!M$64-(ROUNDUP('High Level Dashboard'!$C$12,0))+1,'High Level Dashboard'!$B$64:$AV$64,'High Level Dashboard'!$B$112:$AV$112,""))*('High Level Dashboard'!$C$12-(ROUNDDOWN('High Level Dashboard'!$C$12,0)))),0)
+
IFERROR(-PMT('High Level Dashboard'!$C$10,'High Level Dashboard'!$C$12-'High Level Dashboard'!$C$11+1,
(_xlfn.XLOOKUP('High Level Dashboard'!M$64-(ROUNDDOWN('High Level Dashboard'!$C$11,0)),'High Level Dashboard'!$B$64:$AV$64,'High Level Dashboard'!$B$112:$AV$112,"")*('High Level Dashboard'!$C$11-ROUNDDOWN('High Level Dashboard'!$C$11,0)))),0)
+
(((SUMIFS('High Level Dashboard'!$B$112:$AV$112,'High Level Dashboard'!$B$64:$AV$64,"&gt;"&amp;'High Level Dashboard'!M$64-ROUNDDOWN('High Level Dashboard'!$C$11,0),'High Level Dashboard'!$B$64:$AV$64,"&lt;="&amp;'High Level Dashboard'!M$64)+(IFERROR(SUMIF('High Level Dashboard'!$B$64:$AV$64,ROUNDDOWN('High Level Dashboard'!M$64-'High Level Dashboard'!$C$11,0)+1,'High Level Dashboard'!$B$112:$AV$112)*(1-('High Level Dashboard'!$C$11-ROUNDDOWN('High Level Dashboard'!$C$11,0))),"")))*'High Level Dashboard'!$C$10)
))</f>
        <v>381.15336907188441</v>
      </c>
      <c r="O108" s="434">
        <f>'High Level Dashboard'!$C$53*'High Level Dashboard'!$C$9*
(-PMT('High Level Dashboard'!$C$10,'High Level Dashboard'!$C$12-'High Level Dashboard'!$C$11+1,
SUMIFS('High Level Dashboard'!$B$112:$AV$112,'High Level Dashboard'!$B$64:$AV$64,"&gt;="&amp;('High Level Dashboard'!N$64-(ROUNDDOWN('High Level Dashboard'!$C$12,0))+1),'High Level Dashboard'!$B$64:$AV$64,"&lt;="&amp;('High Level Dashboard'!N$64-(ROUNDUP('High Level Dashboard'!$C$11,0)))))
+
IFERROR(-PMT('High Level Dashboard'!$C$10,'High Level Dashboard'!$C$12-'High Level Dashboard'!$C$11+1,
(_xlfn.XLOOKUP('High Level Dashboard'!N$64-(ROUNDUP('High Level Dashboard'!$C$12,0))+1,'High Level Dashboard'!$B$64:$AV$64,'High Level Dashboard'!$B$112:$AV$112,""))*('High Level Dashboard'!$C$12-(ROUNDDOWN('High Level Dashboard'!$C$12,0)))),0)
+
IFERROR(-PMT('High Level Dashboard'!$C$10,'High Level Dashboard'!$C$12-'High Level Dashboard'!$C$11+1,
(_xlfn.XLOOKUP('High Level Dashboard'!N$64-(ROUNDDOWN('High Level Dashboard'!$C$11,0)),'High Level Dashboard'!$B$64:$AV$64,'High Level Dashboard'!$B$112:$AV$112,"")*('High Level Dashboard'!$C$11-ROUNDDOWN('High Level Dashboard'!$C$11,0)))),0)
+
(((SUMIFS('High Level Dashboard'!$B$112:$AV$112,'High Level Dashboard'!$B$64:$AV$64,"&gt;"&amp;'High Level Dashboard'!N$64-ROUNDDOWN('High Level Dashboard'!$C$11,0),'High Level Dashboard'!$B$64:$AV$64,"&lt;="&amp;'High Level Dashboard'!N$64)+(IFERROR(SUMIF('High Level Dashboard'!$B$64:$AV$64,ROUNDDOWN('High Level Dashboard'!N$64-'High Level Dashboard'!$C$11,0)+1,'High Level Dashboard'!$B$112:$AV$112)*(1-('High Level Dashboard'!$C$11-ROUNDDOWN('High Level Dashboard'!$C$11,0))),"")))*'High Level Dashboard'!$C$10)
))</f>
        <v>441.95713656001817</v>
      </c>
      <c r="P108" s="434">
        <f>'High Level Dashboard'!$C$53*'High Level Dashboard'!$C$9*
(-PMT('High Level Dashboard'!$C$10,'High Level Dashboard'!$C$12-'High Level Dashboard'!$C$11+1,
SUMIFS('High Level Dashboard'!$B$112:$AV$112,'High Level Dashboard'!$B$64:$AV$64,"&gt;="&amp;('High Level Dashboard'!O$64-(ROUNDDOWN('High Level Dashboard'!$C$12,0))+1),'High Level Dashboard'!$B$64:$AV$64,"&lt;="&amp;('High Level Dashboard'!O$64-(ROUNDUP('High Level Dashboard'!$C$11,0)))))
+
IFERROR(-PMT('High Level Dashboard'!$C$10,'High Level Dashboard'!$C$12-'High Level Dashboard'!$C$11+1,
(_xlfn.XLOOKUP('High Level Dashboard'!O$64-(ROUNDUP('High Level Dashboard'!$C$12,0))+1,'High Level Dashboard'!$B$64:$AV$64,'High Level Dashboard'!$B$112:$AV$112,""))*('High Level Dashboard'!$C$12-(ROUNDDOWN('High Level Dashboard'!$C$12,0)))),0)
+
IFERROR(-PMT('High Level Dashboard'!$C$10,'High Level Dashboard'!$C$12-'High Level Dashboard'!$C$11+1,
(_xlfn.XLOOKUP('High Level Dashboard'!O$64-(ROUNDDOWN('High Level Dashboard'!$C$11,0)),'High Level Dashboard'!$B$64:$AV$64,'High Level Dashboard'!$B$112:$AV$112,"")*('High Level Dashboard'!$C$11-ROUNDDOWN('High Level Dashboard'!$C$11,0)))),0)
+
(((SUMIFS('High Level Dashboard'!$B$112:$AV$112,'High Level Dashboard'!$B$64:$AV$64,"&gt;"&amp;'High Level Dashboard'!O$64-ROUNDDOWN('High Level Dashboard'!$C$11,0),'High Level Dashboard'!$B$64:$AV$64,"&lt;="&amp;'High Level Dashboard'!O$64)+(IFERROR(SUMIF('High Level Dashboard'!$B$64:$AV$64,ROUNDDOWN('High Level Dashboard'!O$64-'High Level Dashboard'!$C$11,0)+1,'High Level Dashboard'!$B$112:$AV$112)*(1-('High Level Dashboard'!$C$11-ROUNDDOWN('High Level Dashboard'!$C$11,0))),"")))*'High Level Dashboard'!$C$10)
))</f>
        <v>489.04613106126664</v>
      </c>
      <c r="Q108" s="434">
        <f>'High Level Dashboard'!$C$53*'High Level Dashboard'!$C$9*
(-PMT('High Level Dashboard'!$C$10,'High Level Dashboard'!$C$12-'High Level Dashboard'!$C$11+1,
SUMIFS('High Level Dashboard'!$B$112:$AV$112,'High Level Dashboard'!$B$64:$AV$64,"&gt;="&amp;('High Level Dashboard'!P$64-(ROUNDDOWN('High Level Dashboard'!$C$12,0))+1),'High Level Dashboard'!$B$64:$AV$64,"&lt;="&amp;('High Level Dashboard'!P$64-(ROUNDUP('High Level Dashboard'!$C$11,0)))))
+
IFERROR(-PMT('High Level Dashboard'!$C$10,'High Level Dashboard'!$C$12-'High Level Dashboard'!$C$11+1,
(_xlfn.XLOOKUP('High Level Dashboard'!P$64-(ROUNDUP('High Level Dashboard'!$C$12,0))+1,'High Level Dashboard'!$B$64:$AV$64,'High Level Dashboard'!$B$112:$AV$112,""))*('High Level Dashboard'!$C$12-(ROUNDDOWN('High Level Dashboard'!$C$12,0)))),0)
+
IFERROR(-PMT('High Level Dashboard'!$C$10,'High Level Dashboard'!$C$12-'High Level Dashboard'!$C$11+1,
(_xlfn.XLOOKUP('High Level Dashboard'!P$64-(ROUNDDOWN('High Level Dashboard'!$C$11,0)),'High Level Dashboard'!$B$64:$AV$64,'High Level Dashboard'!$B$112:$AV$112,"")*('High Level Dashboard'!$C$11-ROUNDDOWN('High Level Dashboard'!$C$11,0)))),0)
+
(((SUMIFS('High Level Dashboard'!$B$112:$AV$112,'High Level Dashboard'!$B$64:$AV$64,"&gt;"&amp;'High Level Dashboard'!P$64-ROUNDDOWN('High Level Dashboard'!$C$11,0),'High Level Dashboard'!$B$64:$AV$64,"&lt;="&amp;'High Level Dashboard'!P$64)+(IFERROR(SUMIF('High Level Dashboard'!$B$64:$AV$64,ROUNDDOWN('High Level Dashboard'!P$64-'High Level Dashboard'!$C$11,0)+1,'High Level Dashboard'!$B$112:$AV$112)*(1-('High Level Dashboard'!$C$11-ROUNDDOWN('High Level Dashboard'!$C$11,0))),"")))*'High Level Dashboard'!$C$10)
))</f>
        <v>542.86121968352859</v>
      </c>
      <c r="R108" s="434">
        <f>'High Level Dashboard'!$C$53*'High Level Dashboard'!$C$9*
(-PMT('High Level Dashboard'!$C$10,'High Level Dashboard'!$C$12-'High Level Dashboard'!$C$11+1,
SUMIFS('High Level Dashboard'!$B$112:$AV$112,'High Level Dashboard'!$B$64:$AV$64,"&gt;="&amp;('High Level Dashboard'!Q$64-(ROUNDDOWN('High Level Dashboard'!$C$12,0))+1),'High Level Dashboard'!$B$64:$AV$64,"&lt;="&amp;('High Level Dashboard'!Q$64-(ROUNDUP('High Level Dashboard'!$C$11,0)))))
+
IFERROR(-PMT('High Level Dashboard'!$C$10,'High Level Dashboard'!$C$12-'High Level Dashboard'!$C$11+1,
(_xlfn.XLOOKUP('High Level Dashboard'!Q$64-(ROUNDUP('High Level Dashboard'!$C$12,0))+1,'High Level Dashboard'!$B$64:$AV$64,'High Level Dashboard'!$B$112:$AV$112,""))*('High Level Dashboard'!$C$12-(ROUNDDOWN('High Level Dashboard'!$C$12,0)))),0)
+
IFERROR(-PMT('High Level Dashboard'!$C$10,'High Level Dashboard'!$C$12-'High Level Dashboard'!$C$11+1,
(_xlfn.XLOOKUP('High Level Dashboard'!Q$64-(ROUNDDOWN('High Level Dashboard'!$C$11,0)),'High Level Dashboard'!$B$64:$AV$64,'High Level Dashboard'!$B$112:$AV$112,"")*('High Level Dashboard'!$C$11-ROUNDDOWN('High Level Dashboard'!$C$11,0)))),0)
+
(((SUMIFS('High Level Dashboard'!$B$112:$AV$112,'High Level Dashboard'!$B$64:$AV$64,"&gt;"&amp;'High Level Dashboard'!Q$64-ROUNDDOWN('High Level Dashboard'!$C$11,0),'High Level Dashboard'!$B$64:$AV$64,"&lt;="&amp;'High Level Dashboard'!Q$64)+(IFERROR(SUMIF('High Level Dashboard'!$B$64:$AV$64,ROUNDDOWN('High Level Dashboard'!Q$64-'High Level Dashboard'!$C$11,0)+1,'High Level Dashboard'!$B$112:$AV$112)*(1-('High Level Dashboard'!$C$11-ROUNDDOWN('High Level Dashboard'!$C$11,0))),"")))*'High Level Dashboard'!$C$10)
))</f>
        <v>618.91353327864874</v>
      </c>
      <c r="S108" s="434">
        <f>'High Level Dashboard'!$C$53*'High Level Dashboard'!$C$9*
(-PMT('High Level Dashboard'!$C$10,'High Level Dashboard'!$C$12-'High Level Dashboard'!$C$11+1,
SUMIFS('High Level Dashboard'!$B$112:$AV$112,'High Level Dashboard'!$B$64:$AV$64,"&gt;="&amp;('High Level Dashboard'!R$64-(ROUNDDOWN('High Level Dashboard'!$C$12,0))+1),'High Level Dashboard'!$B$64:$AV$64,"&lt;="&amp;('High Level Dashboard'!R$64-(ROUNDUP('High Level Dashboard'!$C$11,0)))))
+
IFERROR(-PMT('High Level Dashboard'!$C$10,'High Level Dashboard'!$C$12-'High Level Dashboard'!$C$11+1,
(_xlfn.XLOOKUP('High Level Dashboard'!R$64-(ROUNDUP('High Level Dashboard'!$C$12,0))+1,'High Level Dashboard'!$B$64:$AV$64,'High Level Dashboard'!$B$112:$AV$112,""))*('High Level Dashboard'!$C$12-(ROUNDDOWN('High Level Dashboard'!$C$12,0)))),0)
+
IFERROR(-PMT('High Level Dashboard'!$C$10,'High Level Dashboard'!$C$12-'High Level Dashboard'!$C$11+1,
(_xlfn.XLOOKUP('High Level Dashboard'!R$64-(ROUNDDOWN('High Level Dashboard'!$C$11,0)),'High Level Dashboard'!$B$64:$AV$64,'High Level Dashboard'!$B$112:$AV$112,"")*('High Level Dashboard'!$C$11-ROUNDDOWN('High Level Dashboard'!$C$11,0)))),0)
+
(((SUMIFS('High Level Dashboard'!$B$112:$AV$112,'High Level Dashboard'!$B$64:$AV$64,"&gt;"&amp;'High Level Dashboard'!R$64-ROUNDDOWN('High Level Dashboard'!$C$11,0),'High Level Dashboard'!$B$64:$AV$64,"&lt;="&amp;'High Level Dashboard'!R$64)+(IFERROR(SUMIF('High Level Dashboard'!$B$64:$AV$64,ROUNDDOWN('High Level Dashboard'!R$64-'High Level Dashboard'!$C$11,0)+1,'High Level Dashboard'!$B$112:$AV$112)*(1-('High Level Dashboard'!$C$11-ROUNDDOWN('High Level Dashboard'!$C$11,0))),"")))*'High Level Dashboard'!$C$10)
))</f>
        <v>682.8620229541408</v>
      </c>
      <c r="T108" s="434">
        <f>'High Level Dashboard'!$C$53*'High Level Dashboard'!$C$9*
(-PMT('High Level Dashboard'!$C$10,'High Level Dashboard'!$C$12-'High Level Dashboard'!$C$11+1,
SUMIFS('High Level Dashboard'!$B$112:$AV$112,'High Level Dashboard'!$B$64:$AV$64,"&gt;="&amp;('High Level Dashboard'!S$64-(ROUNDDOWN('High Level Dashboard'!$C$12,0))+1),'High Level Dashboard'!$B$64:$AV$64,"&lt;="&amp;('High Level Dashboard'!S$64-(ROUNDUP('High Level Dashboard'!$C$11,0)))))
+
IFERROR(-PMT('High Level Dashboard'!$C$10,'High Level Dashboard'!$C$12-'High Level Dashboard'!$C$11+1,
(_xlfn.XLOOKUP('High Level Dashboard'!S$64-(ROUNDUP('High Level Dashboard'!$C$12,0))+1,'High Level Dashboard'!$B$64:$AV$64,'High Level Dashboard'!$B$112:$AV$112,""))*('High Level Dashboard'!$C$12-(ROUNDDOWN('High Level Dashboard'!$C$12,0)))),0)
+
IFERROR(-PMT('High Level Dashboard'!$C$10,'High Level Dashboard'!$C$12-'High Level Dashboard'!$C$11+1,
(_xlfn.XLOOKUP('High Level Dashboard'!S$64-(ROUNDDOWN('High Level Dashboard'!$C$11,0)),'High Level Dashboard'!$B$64:$AV$64,'High Level Dashboard'!$B$112:$AV$112,"")*('High Level Dashboard'!$C$11-ROUNDDOWN('High Level Dashboard'!$C$11,0)))),0)
+
(((SUMIFS('High Level Dashboard'!$B$112:$AV$112,'High Level Dashboard'!$B$64:$AV$64,"&gt;"&amp;'High Level Dashboard'!S$64-ROUNDDOWN('High Level Dashboard'!$C$11,0),'High Level Dashboard'!$B$64:$AV$64,"&lt;="&amp;'High Level Dashboard'!S$64)+(IFERROR(SUMIF('High Level Dashboard'!$B$64:$AV$64,ROUNDDOWN('High Level Dashboard'!S$64-'High Level Dashboard'!$C$11,0)+1,'High Level Dashboard'!$B$112:$AV$112)*(1-('High Level Dashboard'!$C$11-ROUNDDOWN('High Level Dashboard'!$C$11,0))),"")))*'High Level Dashboard'!$C$10)
))</f>
        <v>746.75911642878566</v>
      </c>
      <c r="U108" s="434">
        <f>'High Level Dashboard'!$C$53*'High Level Dashboard'!$C$9*
(-PMT('High Level Dashboard'!$C$10,'High Level Dashboard'!$C$12-'High Level Dashboard'!$C$11+1,
SUMIFS('High Level Dashboard'!$B$112:$AV$112,'High Level Dashboard'!$B$64:$AV$64,"&gt;="&amp;('High Level Dashboard'!T$64-(ROUNDDOWN('High Level Dashboard'!$C$12,0))+1),'High Level Dashboard'!$B$64:$AV$64,"&lt;="&amp;('High Level Dashboard'!T$64-(ROUNDUP('High Level Dashboard'!$C$11,0)))))
+
IFERROR(-PMT('High Level Dashboard'!$C$10,'High Level Dashboard'!$C$12-'High Level Dashboard'!$C$11+1,
(_xlfn.XLOOKUP('High Level Dashboard'!T$64-(ROUNDUP('High Level Dashboard'!$C$12,0))+1,'High Level Dashboard'!$B$64:$AV$64,'High Level Dashboard'!$B$112:$AV$112,""))*('High Level Dashboard'!$C$12-(ROUNDDOWN('High Level Dashboard'!$C$12,0)))),0)
+
IFERROR(-PMT('High Level Dashboard'!$C$10,'High Level Dashboard'!$C$12-'High Level Dashboard'!$C$11+1,
(_xlfn.XLOOKUP('High Level Dashboard'!T$64-(ROUNDDOWN('High Level Dashboard'!$C$11,0)),'High Level Dashboard'!$B$64:$AV$64,'High Level Dashboard'!$B$112:$AV$112,"")*('High Level Dashboard'!$C$11-ROUNDDOWN('High Level Dashboard'!$C$11,0)))),0)
+
(((SUMIFS('High Level Dashboard'!$B$112:$AV$112,'High Level Dashboard'!$B$64:$AV$64,"&gt;"&amp;'High Level Dashboard'!T$64-ROUNDDOWN('High Level Dashboard'!$C$11,0),'High Level Dashboard'!$B$64:$AV$64,"&lt;="&amp;'High Level Dashboard'!T$64)+(IFERROR(SUMIF('High Level Dashboard'!$B$64:$AV$64,ROUNDDOWN('High Level Dashboard'!T$64-'High Level Dashboard'!$C$11,0)+1,'High Level Dashboard'!$B$112:$AV$112)*(1-('High Level Dashboard'!$C$11-ROUNDDOWN('High Level Dashboard'!$C$11,0))),"")))*'High Level Dashboard'!$C$10)
))</f>
        <v>811.28318289619915</v>
      </c>
      <c r="V108" s="434">
        <f>'High Level Dashboard'!$C$53*'High Level Dashboard'!$C$9*
(-PMT('High Level Dashboard'!$C$10,'High Level Dashboard'!$C$12-'High Level Dashboard'!$C$11+1,
SUMIFS('High Level Dashboard'!$B$112:$AV$112,'High Level Dashboard'!$B$64:$AV$64,"&gt;="&amp;('High Level Dashboard'!U$64-(ROUNDDOWN('High Level Dashboard'!$C$12,0))+1),'High Level Dashboard'!$B$64:$AV$64,"&lt;="&amp;('High Level Dashboard'!U$64-(ROUNDUP('High Level Dashboard'!$C$11,0)))))
+
IFERROR(-PMT('High Level Dashboard'!$C$10,'High Level Dashboard'!$C$12-'High Level Dashboard'!$C$11+1,
(_xlfn.XLOOKUP('High Level Dashboard'!U$64-(ROUNDUP('High Level Dashboard'!$C$12,0))+1,'High Level Dashboard'!$B$64:$AV$64,'High Level Dashboard'!$B$112:$AV$112,""))*('High Level Dashboard'!$C$12-(ROUNDDOWN('High Level Dashboard'!$C$12,0)))),0)
+
IFERROR(-PMT('High Level Dashboard'!$C$10,'High Level Dashboard'!$C$12-'High Level Dashboard'!$C$11+1,
(_xlfn.XLOOKUP('High Level Dashboard'!U$64-(ROUNDDOWN('High Level Dashboard'!$C$11,0)),'High Level Dashboard'!$B$64:$AV$64,'High Level Dashboard'!$B$112:$AV$112,"")*('High Level Dashboard'!$C$11-ROUNDDOWN('High Level Dashboard'!$C$11,0)))),0)
+
(((SUMIFS('High Level Dashboard'!$B$112:$AV$112,'High Level Dashboard'!$B$64:$AV$64,"&gt;"&amp;'High Level Dashboard'!U$64-ROUNDDOWN('High Level Dashboard'!$C$11,0),'High Level Dashboard'!$B$64:$AV$64,"&lt;="&amp;'High Level Dashboard'!U$64)+(IFERROR(SUMIF('High Level Dashboard'!$B$64:$AV$64,ROUNDDOWN('High Level Dashboard'!U$64-'High Level Dashboard'!$C$11,0)+1,'High Level Dashboard'!$B$112:$AV$112)*(1-('High Level Dashboard'!$C$11-ROUNDDOWN('High Level Dashboard'!$C$11,0))),"")))*'High Level Dashboard'!$C$10)
))</f>
        <v>876.21126987942819</v>
      </c>
      <c r="W108" s="434">
        <f>'High Level Dashboard'!$C$53*'High Level Dashboard'!$C$9*
(-PMT('High Level Dashboard'!$C$10,'High Level Dashboard'!$C$12-'High Level Dashboard'!$C$11+1,
SUMIFS('High Level Dashboard'!$B$112:$AV$112,'High Level Dashboard'!$B$64:$AV$64,"&gt;="&amp;('High Level Dashboard'!V$64-(ROUNDDOWN('High Level Dashboard'!$C$12,0))+1),'High Level Dashboard'!$B$64:$AV$64,"&lt;="&amp;('High Level Dashboard'!V$64-(ROUNDUP('High Level Dashboard'!$C$11,0)))))
+
IFERROR(-PMT('High Level Dashboard'!$C$10,'High Level Dashboard'!$C$12-'High Level Dashboard'!$C$11+1,
(_xlfn.XLOOKUP('High Level Dashboard'!V$64-(ROUNDUP('High Level Dashboard'!$C$12,0))+1,'High Level Dashboard'!$B$64:$AV$64,'High Level Dashboard'!$B$112:$AV$112,""))*('High Level Dashboard'!$C$12-(ROUNDDOWN('High Level Dashboard'!$C$12,0)))),0)
+
IFERROR(-PMT('High Level Dashboard'!$C$10,'High Level Dashboard'!$C$12-'High Level Dashboard'!$C$11+1,
(_xlfn.XLOOKUP('High Level Dashboard'!V$64-(ROUNDDOWN('High Level Dashboard'!$C$11,0)),'High Level Dashboard'!$B$64:$AV$64,'High Level Dashboard'!$B$112:$AV$112,"")*('High Level Dashboard'!$C$11-ROUNDDOWN('High Level Dashboard'!$C$11,0)))),0)
+
(((SUMIFS('High Level Dashboard'!$B$112:$AV$112,'High Level Dashboard'!$B$64:$AV$64,"&gt;"&amp;'High Level Dashboard'!V$64-ROUNDDOWN('High Level Dashboard'!$C$11,0),'High Level Dashboard'!$B$64:$AV$64,"&lt;="&amp;'High Level Dashboard'!V$64)+(IFERROR(SUMIF('High Level Dashboard'!$B$64:$AV$64,ROUNDDOWN('High Level Dashboard'!V$64-'High Level Dashboard'!$C$11,0)+1,'High Level Dashboard'!$B$112:$AV$112)*(1-('High Level Dashboard'!$C$11-ROUNDDOWN('High Level Dashboard'!$C$11,0))),"")))*'High Level Dashboard'!$C$10)
))</f>
        <v>954.33599354535079</v>
      </c>
      <c r="X108" s="434">
        <f>'High Level Dashboard'!$C$53*'High Level Dashboard'!$C$9*
(-PMT('High Level Dashboard'!$C$10,'High Level Dashboard'!$C$12-'High Level Dashboard'!$C$11+1,
SUMIFS('High Level Dashboard'!$B$112:$AV$112,'High Level Dashboard'!$B$64:$AV$64,"&gt;="&amp;('High Level Dashboard'!W$64-(ROUNDDOWN('High Level Dashboard'!$C$12,0))+1),'High Level Dashboard'!$B$64:$AV$64,"&lt;="&amp;('High Level Dashboard'!W$64-(ROUNDUP('High Level Dashboard'!$C$11,0)))))
+
IFERROR(-PMT('High Level Dashboard'!$C$10,'High Level Dashboard'!$C$12-'High Level Dashboard'!$C$11+1,
(_xlfn.XLOOKUP('High Level Dashboard'!W$64-(ROUNDUP('High Level Dashboard'!$C$12,0))+1,'High Level Dashboard'!$B$64:$AV$64,'High Level Dashboard'!$B$112:$AV$112,""))*('High Level Dashboard'!$C$12-(ROUNDDOWN('High Level Dashboard'!$C$12,0)))),0)
+
IFERROR(-PMT('High Level Dashboard'!$C$10,'High Level Dashboard'!$C$12-'High Level Dashboard'!$C$11+1,
(_xlfn.XLOOKUP('High Level Dashboard'!W$64-(ROUNDDOWN('High Level Dashboard'!$C$11,0)),'High Level Dashboard'!$B$64:$AV$64,'High Level Dashboard'!$B$112:$AV$112,"")*('High Level Dashboard'!$C$11-ROUNDDOWN('High Level Dashboard'!$C$11,0)))),0)
+
(((SUMIFS('High Level Dashboard'!$B$112:$AV$112,'High Level Dashboard'!$B$64:$AV$64,"&gt;"&amp;'High Level Dashboard'!W$64-ROUNDDOWN('High Level Dashboard'!$C$11,0),'High Level Dashboard'!$B$64:$AV$64,"&lt;="&amp;'High Level Dashboard'!W$64)+(IFERROR(SUMIF('High Level Dashboard'!$B$64:$AV$64,ROUNDDOWN('High Level Dashboard'!W$64-'High Level Dashboard'!$C$11,0)+1,'High Level Dashboard'!$B$112:$AV$112)*(1-('High Level Dashboard'!$C$11-ROUNDDOWN('High Level Dashboard'!$C$11,0))),"")))*'High Level Dashboard'!$C$10)
))</f>
        <v>1047.1368996555495</v>
      </c>
      <c r="Y108" s="434">
        <f>'High Level Dashboard'!$C$53*'High Level Dashboard'!$C$9*
(-PMT('High Level Dashboard'!$C$10,'High Level Dashboard'!$C$12-'High Level Dashboard'!$C$11+1,
SUMIFS('High Level Dashboard'!$B$112:$AV$112,'High Level Dashboard'!$B$64:$AV$64,"&gt;="&amp;('High Level Dashboard'!X$64-(ROUNDDOWN('High Level Dashboard'!$C$12,0))+1),'High Level Dashboard'!$B$64:$AV$64,"&lt;="&amp;('High Level Dashboard'!X$64-(ROUNDUP('High Level Dashboard'!$C$11,0)))))
+
IFERROR(-PMT('High Level Dashboard'!$C$10,'High Level Dashboard'!$C$12-'High Level Dashboard'!$C$11+1,
(_xlfn.XLOOKUP('High Level Dashboard'!X$64-(ROUNDUP('High Level Dashboard'!$C$12,0))+1,'High Level Dashboard'!$B$64:$AV$64,'High Level Dashboard'!$B$112:$AV$112,""))*('High Level Dashboard'!$C$12-(ROUNDDOWN('High Level Dashboard'!$C$12,0)))),0)
+
IFERROR(-PMT('High Level Dashboard'!$C$10,'High Level Dashboard'!$C$12-'High Level Dashboard'!$C$11+1,
(_xlfn.XLOOKUP('High Level Dashboard'!X$64-(ROUNDDOWN('High Level Dashboard'!$C$11,0)),'High Level Dashboard'!$B$64:$AV$64,'High Level Dashboard'!$B$112:$AV$112,"")*('High Level Dashboard'!$C$11-ROUNDDOWN('High Level Dashboard'!$C$11,0)))),0)
+
(((SUMIFS('High Level Dashboard'!$B$112:$AV$112,'High Level Dashboard'!$B$64:$AV$64,"&gt;"&amp;'High Level Dashboard'!X$64-ROUNDDOWN('High Level Dashboard'!$C$11,0),'High Level Dashboard'!$B$64:$AV$64,"&lt;="&amp;'High Level Dashboard'!X$64)+(IFERROR(SUMIF('High Level Dashboard'!$B$64:$AV$64,ROUNDDOWN('High Level Dashboard'!X$64-'High Level Dashboard'!$C$11,0)+1,'High Level Dashboard'!$B$112:$AV$112)*(1-('High Level Dashboard'!$C$11-ROUNDDOWN('High Level Dashboard'!$C$11,0))),"")))*'High Level Dashboard'!$C$10)
))</f>
        <v>1137.7027410247922</v>
      </c>
      <c r="Z108" s="434">
        <f>'High Level Dashboard'!$C$53*'High Level Dashboard'!$C$9*
(-PMT('High Level Dashboard'!$C$10,'High Level Dashboard'!$C$12-'High Level Dashboard'!$C$11+1,
SUMIFS('High Level Dashboard'!$B$112:$AV$112,'High Level Dashboard'!$B$64:$AV$64,"&gt;="&amp;('High Level Dashboard'!Y$64-(ROUNDDOWN('High Level Dashboard'!$C$12,0))+1),'High Level Dashboard'!$B$64:$AV$64,"&lt;="&amp;('High Level Dashboard'!Y$64-(ROUNDUP('High Level Dashboard'!$C$11,0)))))
+
IFERROR(-PMT('High Level Dashboard'!$C$10,'High Level Dashboard'!$C$12-'High Level Dashboard'!$C$11+1,
(_xlfn.XLOOKUP('High Level Dashboard'!Y$64-(ROUNDUP('High Level Dashboard'!$C$12,0))+1,'High Level Dashboard'!$B$64:$AV$64,'High Level Dashboard'!$B$112:$AV$112,""))*('High Level Dashboard'!$C$12-(ROUNDDOWN('High Level Dashboard'!$C$12,0)))),0)
+
IFERROR(-PMT('High Level Dashboard'!$C$10,'High Level Dashboard'!$C$12-'High Level Dashboard'!$C$11+1,
(_xlfn.XLOOKUP('High Level Dashboard'!Y$64-(ROUNDDOWN('High Level Dashboard'!$C$11,0)),'High Level Dashboard'!$B$64:$AV$64,'High Level Dashboard'!$B$112:$AV$112,"")*('High Level Dashboard'!$C$11-ROUNDDOWN('High Level Dashboard'!$C$11,0)))),0)
+
(((SUMIFS('High Level Dashboard'!$B$112:$AV$112,'High Level Dashboard'!$B$64:$AV$64,"&gt;"&amp;'High Level Dashboard'!Y$64-ROUNDDOWN('High Level Dashboard'!$C$11,0),'High Level Dashboard'!$B$64:$AV$64,"&lt;="&amp;'High Level Dashboard'!Y$64)+(IFERROR(SUMIF('High Level Dashboard'!$B$64:$AV$64,ROUNDDOWN('High Level Dashboard'!Y$64-'High Level Dashboard'!$C$11,0)+1,'High Level Dashboard'!$B$112:$AV$112)*(1-('High Level Dashboard'!$C$11-ROUNDDOWN('High Level Dashboard'!$C$11,0))),"")))*'High Level Dashboard'!$C$10)
))</f>
        <v>1215.275592272428</v>
      </c>
      <c r="AA108" s="434">
        <f>'High Level Dashboard'!$C$53*'High Level Dashboard'!$C$9*
(-PMT('High Level Dashboard'!$C$10,'High Level Dashboard'!$C$12-'High Level Dashboard'!$C$11+1,
SUMIFS('High Level Dashboard'!$B$112:$AV$112,'High Level Dashboard'!$B$64:$AV$64,"&gt;="&amp;('High Level Dashboard'!Z$64-(ROUNDDOWN('High Level Dashboard'!$C$12,0))+1),'High Level Dashboard'!$B$64:$AV$64,"&lt;="&amp;('High Level Dashboard'!Z$64-(ROUNDUP('High Level Dashboard'!$C$11,0)))))
+
IFERROR(-PMT('High Level Dashboard'!$C$10,'High Level Dashboard'!$C$12-'High Level Dashboard'!$C$11+1,
(_xlfn.XLOOKUP('High Level Dashboard'!Z$64-(ROUNDUP('High Level Dashboard'!$C$12,0))+1,'High Level Dashboard'!$B$64:$AV$64,'High Level Dashboard'!$B$112:$AV$112,""))*('High Level Dashboard'!$C$12-(ROUNDDOWN('High Level Dashboard'!$C$12,0)))),0)
+
IFERROR(-PMT('High Level Dashboard'!$C$10,'High Level Dashboard'!$C$12-'High Level Dashboard'!$C$11+1,
(_xlfn.XLOOKUP('High Level Dashboard'!Z$64-(ROUNDDOWN('High Level Dashboard'!$C$11,0)),'High Level Dashboard'!$B$64:$AV$64,'High Level Dashboard'!$B$112:$AV$112,"")*('High Level Dashboard'!$C$11-ROUNDDOWN('High Level Dashboard'!$C$11,0)))),0)
+
(((SUMIFS('High Level Dashboard'!$B$112:$AV$112,'High Level Dashboard'!$B$64:$AV$64,"&gt;"&amp;'High Level Dashboard'!Z$64-ROUNDDOWN('High Level Dashboard'!$C$11,0),'High Level Dashboard'!$B$64:$AV$64,"&lt;="&amp;'High Level Dashboard'!Z$64)+(IFERROR(SUMIF('High Level Dashboard'!$B$64:$AV$64,ROUNDDOWN('High Level Dashboard'!Z$64-'High Level Dashboard'!$C$11,0)+1,'High Level Dashboard'!$B$112:$AV$112)*(1-('High Level Dashboard'!$C$11-ROUNDDOWN('High Level Dashboard'!$C$11,0))),"")))*'High Level Dashboard'!$C$10)
))</f>
        <v>1293.4936200622701</v>
      </c>
      <c r="AB108" s="434">
        <f>'High Level Dashboard'!$C$53*'High Level Dashboard'!$C$9*
(-PMT('High Level Dashboard'!$C$10,'High Level Dashboard'!$C$12-'High Level Dashboard'!$C$11+1,
SUMIFS('High Level Dashboard'!$B$112:$AV$112,'High Level Dashboard'!$B$64:$AV$64,"&gt;="&amp;('High Level Dashboard'!AA$64-(ROUNDDOWN('High Level Dashboard'!$C$12,0))+1),'High Level Dashboard'!$B$64:$AV$64,"&lt;="&amp;('High Level Dashboard'!AA$64-(ROUNDUP('High Level Dashboard'!$C$11,0)))))
+
IFERROR(-PMT('High Level Dashboard'!$C$10,'High Level Dashboard'!$C$12-'High Level Dashboard'!$C$11+1,
(_xlfn.XLOOKUP('High Level Dashboard'!AA$64-(ROUNDUP('High Level Dashboard'!$C$12,0))+1,'High Level Dashboard'!$B$64:$AV$64,'High Level Dashboard'!$B$112:$AV$112,""))*('High Level Dashboard'!$C$12-(ROUNDDOWN('High Level Dashboard'!$C$12,0)))),0)
+
IFERROR(-PMT('High Level Dashboard'!$C$10,'High Level Dashboard'!$C$12-'High Level Dashboard'!$C$11+1,
(_xlfn.XLOOKUP('High Level Dashboard'!AA$64-(ROUNDDOWN('High Level Dashboard'!$C$11,0)),'High Level Dashboard'!$B$64:$AV$64,'High Level Dashboard'!$B$112:$AV$112,"")*('High Level Dashboard'!$C$11-ROUNDDOWN('High Level Dashboard'!$C$11,0)))),0)
+
(((SUMIFS('High Level Dashboard'!$B$112:$AV$112,'High Level Dashboard'!$B$64:$AV$64,"&gt;"&amp;'High Level Dashboard'!AA$64-ROUNDDOWN('High Level Dashboard'!$C$11,0),'High Level Dashboard'!$B$64:$AV$64,"&lt;="&amp;'High Level Dashboard'!AA$64)+(IFERROR(SUMIF('High Level Dashboard'!$B$64:$AV$64,ROUNDDOWN('High Level Dashboard'!AA$64-'High Level Dashboard'!$C$11,0)+1,'High Level Dashboard'!$B$112:$AV$112)*(1-('High Level Dashboard'!$C$11-ROUNDDOWN('High Level Dashboard'!$C$11,0))),"")))*'High Level Dashboard'!$C$10)
))</f>
        <v>1380.1291904282382</v>
      </c>
      <c r="AC108" s="434">
        <f>'High Level Dashboard'!$C$53*'High Level Dashboard'!$C$9*
(-PMT('High Level Dashboard'!$C$10,'High Level Dashboard'!$C$12-'High Level Dashboard'!$C$11+1,
SUMIFS('High Level Dashboard'!$B$112:$AV$112,'High Level Dashboard'!$B$64:$AV$64,"&gt;="&amp;('High Level Dashboard'!AB$64-(ROUNDDOWN('High Level Dashboard'!$C$12,0))+1),'High Level Dashboard'!$B$64:$AV$64,"&lt;="&amp;('High Level Dashboard'!AB$64-(ROUNDUP('High Level Dashboard'!$C$11,0)))))
+
IFERROR(-PMT('High Level Dashboard'!$C$10,'High Level Dashboard'!$C$12-'High Level Dashboard'!$C$11+1,
(_xlfn.XLOOKUP('High Level Dashboard'!AB$64-(ROUNDUP('High Level Dashboard'!$C$12,0))+1,'High Level Dashboard'!$B$64:$AV$64,'High Level Dashboard'!$B$112:$AV$112,""))*('High Level Dashboard'!$C$12-(ROUNDDOWN('High Level Dashboard'!$C$12,0)))),0)
+
IFERROR(-PMT('High Level Dashboard'!$C$10,'High Level Dashboard'!$C$12-'High Level Dashboard'!$C$11+1,
(_xlfn.XLOOKUP('High Level Dashboard'!AB$64-(ROUNDDOWN('High Level Dashboard'!$C$11,0)),'High Level Dashboard'!$B$64:$AV$64,'High Level Dashboard'!$B$112:$AV$112,"")*('High Level Dashboard'!$C$11-ROUNDDOWN('High Level Dashboard'!$C$11,0)))),0)
+
(((SUMIFS('High Level Dashboard'!$B$112:$AV$112,'High Level Dashboard'!$B$64:$AV$64,"&gt;"&amp;'High Level Dashboard'!AB$64-ROUNDDOWN('High Level Dashboard'!$C$11,0),'High Level Dashboard'!$B$64:$AV$64,"&lt;="&amp;'High Level Dashboard'!AB$64)+(IFERROR(SUMIF('High Level Dashboard'!$B$64:$AV$64,ROUNDDOWN('High Level Dashboard'!AB$64-'High Level Dashboard'!$C$11,0)+1,'High Level Dashboard'!$B$112:$AV$112)*(1-('High Level Dashboard'!$C$11-ROUNDDOWN('High Level Dashboard'!$C$11,0))),"")))*'High Level Dashboard'!$C$10)
))</f>
        <v>1474.3888994904135</v>
      </c>
      <c r="AD108" s="434">
        <f>'High Level Dashboard'!$C$53*'High Level Dashboard'!$C$9*
(-PMT('High Level Dashboard'!$C$10,'High Level Dashboard'!$C$12-'High Level Dashboard'!$C$11+1,
SUMIFS('High Level Dashboard'!$B$112:$AV$112,'High Level Dashboard'!$B$64:$AV$64,"&gt;="&amp;('High Level Dashboard'!AC$64-(ROUNDDOWN('High Level Dashboard'!$C$12,0))+1),'High Level Dashboard'!$B$64:$AV$64,"&lt;="&amp;('High Level Dashboard'!AC$64-(ROUNDUP('High Level Dashboard'!$C$11,0)))))
+
IFERROR(-PMT('High Level Dashboard'!$C$10,'High Level Dashboard'!$C$12-'High Level Dashboard'!$C$11+1,
(_xlfn.XLOOKUP('High Level Dashboard'!AC$64-(ROUNDUP('High Level Dashboard'!$C$12,0))+1,'High Level Dashboard'!$B$64:$AV$64,'High Level Dashboard'!$B$112:$AV$112,""))*('High Level Dashboard'!$C$12-(ROUNDDOWN('High Level Dashboard'!$C$12,0)))),0)
+
IFERROR(-PMT('High Level Dashboard'!$C$10,'High Level Dashboard'!$C$12-'High Level Dashboard'!$C$11+1,
(_xlfn.XLOOKUP('High Level Dashboard'!AC$64-(ROUNDDOWN('High Level Dashboard'!$C$11,0)),'High Level Dashboard'!$B$64:$AV$64,'High Level Dashboard'!$B$112:$AV$112,"")*('High Level Dashboard'!$C$11-ROUNDDOWN('High Level Dashboard'!$C$11,0)))),0)
+
(((SUMIFS('High Level Dashboard'!$B$112:$AV$112,'High Level Dashboard'!$B$64:$AV$64,"&gt;"&amp;'High Level Dashboard'!AC$64-ROUNDDOWN('High Level Dashboard'!$C$11,0),'High Level Dashboard'!$B$64:$AV$64,"&lt;="&amp;'High Level Dashboard'!AC$64)+(IFERROR(SUMIF('High Level Dashboard'!$B$64:$AV$64,ROUNDDOWN('High Level Dashboard'!AC$64-'High Level Dashboard'!$C$11,0)+1,'High Level Dashboard'!$B$112:$AV$112)*(1-('High Level Dashboard'!$C$11-ROUNDDOWN('High Level Dashboard'!$C$11,0))),"")))*'High Level Dashboard'!$C$10)
))</f>
        <v>1542.1649936012468</v>
      </c>
      <c r="AE108" s="434">
        <f>'High Level Dashboard'!$C$53*'High Level Dashboard'!$C$9*
(-PMT('High Level Dashboard'!$C$10,'High Level Dashboard'!$C$12-'High Level Dashboard'!$C$11+1,
SUMIFS('High Level Dashboard'!$B$112:$AV$112,'High Level Dashboard'!$B$64:$AV$64,"&gt;="&amp;('High Level Dashboard'!AD$64-(ROUNDDOWN('High Level Dashboard'!$C$12,0))+1),'High Level Dashboard'!$B$64:$AV$64,"&lt;="&amp;('High Level Dashboard'!AD$64-(ROUNDUP('High Level Dashboard'!$C$11,0)))))
+
IFERROR(-PMT('High Level Dashboard'!$C$10,'High Level Dashboard'!$C$12-'High Level Dashboard'!$C$11+1,
(_xlfn.XLOOKUP('High Level Dashboard'!AD$64-(ROUNDUP('High Level Dashboard'!$C$12,0))+1,'High Level Dashboard'!$B$64:$AV$64,'High Level Dashboard'!$B$112:$AV$112,""))*('High Level Dashboard'!$C$12-(ROUNDDOWN('High Level Dashboard'!$C$12,0)))),0)
+
IFERROR(-PMT('High Level Dashboard'!$C$10,'High Level Dashboard'!$C$12-'High Level Dashboard'!$C$11+1,
(_xlfn.XLOOKUP('High Level Dashboard'!AD$64-(ROUNDDOWN('High Level Dashboard'!$C$11,0)),'High Level Dashboard'!$B$64:$AV$64,'High Level Dashboard'!$B$112:$AV$112,"")*('High Level Dashboard'!$C$11-ROUNDDOWN('High Level Dashboard'!$C$11,0)))),0)
+
(((SUMIFS('High Level Dashboard'!$B$112:$AV$112,'High Level Dashboard'!$B$64:$AV$64,"&gt;"&amp;'High Level Dashboard'!AD$64-ROUNDDOWN('High Level Dashboard'!$C$11,0),'High Level Dashboard'!$B$64:$AV$64,"&lt;="&amp;'High Level Dashboard'!AD$64)+(IFERROR(SUMIF('High Level Dashboard'!$B$64:$AV$64,ROUNDDOWN('High Level Dashboard'!AD$64-'High Level Dashboard'!$C$11,0)+1,'High Level Dashboard'!$B$112:$AV$112)*(1-('High Level Dashboard'!$C$11-ROUNDDOWN('High Level Dashboard'!$C$11,0))),"")))*'High Level Dashboard'!$C$10)
))</f>
        <v>1593.6135446660019</v>
      </c>
      <c r="AF108" s="434">
        <f>'High Level Dashboard'!$C$53*'High Level Dashboard'!$C$9*
(-PMT('High Level Dashboard'!$C$10,'High Level Dashboard'!$C$12-'High Level Dashboard'!$C$11+1,
SUMIFS('High Level Dashboard'!$B$112:$AV$112,'High Level Dashboard'!$B$64:$AV$64,"&gt;="&amp;('High Level Dashboard'!AE$64-(ROUNDDOWN('High Level Dashboard'!$C$12,0))+1),'High Level Dashboard'!$B$64:$AV$64,"&lt;="&amp;('High Level Dashboard'!AE$64-(ROUNDUP('High Level Dashboard'!$C$11,0)))))
+
IFERROR(-PMT('High Level Dashboard'!$C$10,'High Level Dashboard'!$C$12-'High Level Dashboard'!$C$11+1,
(_xlfn.XLOOKUP('High Level Dashboard'!AE$64-(ROUNDUP('High Level Dashboard'!$C$12,0))+1,'High Level Dashboard'!$B$64:$AV$64,'High Level Dashboard'!$B$112:$AV$112,""))*('High Level Dashboard'!$C$12-(ROUNDDOWN('High Level Dashboard'!$C$12,0)))),0)
+
IFERROR(-PMT('High Level Dashboard'!$C$10,'High Level Dashboard'!$C$12-'High Level Dashboard'!$C$11+1,
(_xlfn.XLOOKUP('High Level Dashboard'!AE$64-(ROUNDDOWN('High Level Dashboard'!$C$11,0)),'High Level Dashboard'!$B$64:$AV$64,'High Level Dashboard'!$B$112:$AV$112,"")*('High Level Dashboard'!$C$11-ROUNDDOWN('High Level Dashboard'!$C$11,0)))),0)
+
(((SUMIFS('High Level Dashboard'!$B$112:$AV$112,'High Level Dashboard'!$B$64:$AV$64,"&gt;"&amp;'High Level Dashboard'!AE$64-ROUNDDOWN('High Level Dashboard'!$C$11,0),'High Level Dashboard'!$B$64:$AV$64,"&lt;="&amp;'High Level Dashboard'!AE$64)+(IFERROR(SUMIF('High Level Dashboard'!$B$64:$AV$64,ROUNDDOWN('High Level Dashboard'!AE$64-'High Level Dashboard'!$C$11,0)+1,'High Level Dashboard'!$B$112:$AV$112)*(1-('High Level Dashboard'!$C$11-ROUNDDOWN('High Level Dashboard'!$C$11,0))),"")))*'High Level Dashboard'!$C$10)
))</f>
        <v>1663.6811512509498</v>
      </c>
      <c r="AG108" s="434">
        <f>'High Level Dashboard'!$C$53*'High Level Dashboard'!$C$9*
(-PMT('High Level Dashboard'!$C$10,'High Level Dashboard'!$C$12-'High Level Dashboard'!$C$11+1,
SUMIFS('High Level Dashboard'!$B$112:$AV$112,'High Level Dashboard'!$B$64:$AV$64,"&gt;="&amp;('High Level Dashboard'!AF$64-(ROUNDDOWN('High Level Dashboard'!$C$12,0))+1),'High Level Dashboard'!$B$64:$AV$64,"&lt;="&amp;('High Level Dashboard'!AF$64-(ROUNDUP('High Level Dashboard'!$C$11,0)))))
+
IFERROR(-PMT('High Level Dashboard'!$C$10,'High Level Dashboard'!$C$12-'High Level Dashboard'!$C$11+1,
(_xlfn.XLOOKUP('High Level Dashboard'!AF$64-(ROUNDUP('High Level Dashboard'!$C$12,0))+1,'High Level Dashboard'!$B$64:$AV$64,'High Level Dashboard'!$B$112:$AV$112,""))*('High Level Dashboard'!$C$12-(ROUNDDOWN('High Level Dashboard'!$C$12,0)))),0)
+
IFERROR(-PMT('High Level Dashboard'!$C$10,'High Level Dashboard'!$C$12-'High Level Dashboard'!$C$11+1,
(_xlfn.XLOOKUP('High Level Dashboard'!AF$64-(ROUNDDOWN('High Level Dashboard'!$C$11,0)),'High Level Dashboard'!$B$64:$AV$64,'High Level Dashboard'!$B$112:$AV$112,"")*('High Level Dashboard'!$C$11-ROUNDDOWN('High Level Dashboard'!$C$11,0)))),0)
+
(((SUMIFS('High Level Dashboard'!$B$112:$AV$112,'High Level Dashboard'!$B$64:$AV$64,"&gt;"&amp;'High Level Dashboard'!AF$64-ROUNDDOWN('High Level Dashboard'!$C$11,0),'High Level Dashboard'!$B$64:$AV$64,"&lt;="&amp;'High Level Dashboard'!AF$64)+(IFERROR(SUMIF('High Level Dashboard'!$B$64:$AV$64,ROUNDDOWN('High Level Dashboard'!AF$64-'High Level Dashboard'!$C$11,0)+1,'High Level Dashboard'!$B$112:$AV$112)*(1-('High Level Dashboard'!$C$11-ROUNDDOWN('High Level Dashboard'!$C$11,0))),"")))*'High Level Dashboard'!$C$10)
))</f>
        <v>1724.5506768659736</v>
      </c>
      <c r="AH108" s="434">
        <f>'High Level Dashboard'!$C$53*'High Level Dashboard'!$C$9*
(-PMT('High Level Dashboard'!$C$10,'High Level Dashboard'!$C$12-'High Level Dashboard'!$C$11+1,
SUMIFS('High Level Dashboard'!$B$112:$AV$112,'High Level Dashboard'!$B$64:$AV$64,"&gt;="&amp;('High Level Dashboard'!AG$64-(ROUNDDOWN('High Level Dashboard'!$C$12,0))+1),'High Level Dashboard'!$B$64:$AV$64,"&lt;="&amp;('High Level Dashboard'!AG$64-(ROUNDUP('High Level Dashboard'!$C$11,0)))))
+
IFERROR(-PMT('High Level Dashboard'!$C$10,'High Level Dashboard'!$C$12-'High Level Dashboard'!$C$11+1,
(_xlfn.XLOOKUP('High Level Dashboard'!AG$64-(ROUNDUP('High Level Dashboard'!$C$12,0))+1,'High Level Dashboard'!$B$64:$AV$64,'High Level Dashboard'!$B$112:$AV$112,""))*('High Level Dashboard'!$C$12-(ROUNDDOWN('High Level Dashboard'!$C$12,0)))),0)
+
IFERROR(-PMT('High Level Dashboard'!$C$10,'High Level Dashboard'!$C$12-'High Level Dashboard'!$C$11+1,
(_xlfn.XLOOKUP('High Level Dashboard'!AG$64-(ROUNDDOWN('High Level Dashboard'!$C$11,0)),'High Level Dashboard'!$B$64:$AV$64,'High Level Dashboard'!$B$112:$AV$112,"")*('High Level Dashboard'!$C$11-ROUNDDOWN('High Level Dashboard'!$C$11,0)))),0)
+
(((SUMIFS('High Level Dashboard'!$B$112:$AV$112,'High Level Dashboard'!$B$64:$AV$64,"&gt;"&amp;'High Level Dashboard'!AG$64-ROUNDDOWN('High Level Dashboard'!$C$11,0),'High Level Dashboard'!$B$64:$AV$64,"&lt;="&amp;'High Level Dashboard'!AG$64)+(IFERROR(SUMIF('High Level Dashboard'!$B$64:$AV$64,ROUNDDOWN('High Level Dashboard'!AG$64-'High Level Dashboard'!$C$11,0)+1,'High Level Dashboard'!$B$112:$AV$112)*(1-('High Level Dashboard'!$C$11-ROUNDDOWN('High Level Dashboard'!$C$11,0))),"")))*'High Level Dashboard'!$C$10)
))</f>
        <v>1771.8076096698462</v>
      </c>
      <c r="AI108" s="434">
        <f>'High Level Dashboard'!$C$53*'High Level Dashboard'!$C$9*
(-PMT('High Level Dashboard'!$C$10,'High Level Dashboard'!$C$12-'High Level Dashboard'!$C$11+1,
SUMIFS('High Level Dashboard'!$B$112:$AV$112,'High Level Dashboard'!$B$64:$AV$64,"&gt;="&amp;('High Level Dashboard'!AH$64-(ROUNDDOWN('High Level Dashboard'!$C$12,0))+1),'High Level Dashboard'!$B$64:$AV$64,"&lt;="&amp;('High Level Dashboard'!AH$64-(ROUNDUP('High Level Dashboard'!$C$11,0)))))
+
IFERROR(-PMT('High Level Dashboard'!$C$10,'High Level Dashboard'!$C$12-'High Level Dashboard'!$C$11+1,
(_xlfn.XLOOKUP('High Level Dashboard'!AH$64-(ROUNDUP('High Level Dashboard'!$C$12,0))+1,'High Level Dashboard'!$B$64:$AV$64,'High Level Dashboard'!$B$112:$AV$112,""))*('High Level Dashboard'!$C$12-(ROUNDDOWN('High Level Dashboard'!$C$12,0)))),0)
+
IFERROR(-PMT('High Level Dashboard'!$C$10,'High Level Dashboard'!$C$12-'High Level Dashboard'!$C$11+1,
(_xlfn.XLOOKUP('High Level Dashboard'!AH$64-(ROUNDDOWN('High Level Dashboard'!$C$11,0)),'High Level Dashboard'!$B$64:$AV$64,'High Level Dashboard'!$B$112:$AV$112,"")*('High Level Dashboard'!$C$11-ROUNDDOWN('High Level Dashboard'!$C$11,0)))),0)
+
(((SUMIFS('High Level Dashboard'!$B$112:$AV$112,'High Level Dashboard'!$B$64:$AV$64,"&gt;"&amp;'High Level Dashboard'!AH$64-ROUNDDOWN('High Level Dashboard'!$C$11,0),'High Level Dashboard'!$B$64:$AV$64,"&lt;="&amp;'High Level Dashboard'!AH$64)+(IFERROR(SUMIF('High Level Dashboard'!$B$64:$AV$64,ROUNDDOWN('High Level Dashboard'!AH$64-'High Level Dashboard'!$C$11,0)+1,'High Level Dashboard'!$B$112:$AV$112)*(1-('High Level Dashboard'!$C$11-ROUNDDOWN('High Level Dashboard'!$C$11,0))),"")))*'High Level Dashboard'!$C$10)
))</f>
        <v>1830.156763951853</v>
      </c>
      <c r="AJ108" s="434">
        <f>'High Level Dashboard'!$C$53*'High Level Dashboard'!$C$9*
(-PMT('High Level Dashboard'!$C$10,'High Level Dashboard'!$C$12-'High Level Dashboard'!$C$11+1,
SUMIFS('High Level Dashboard'!$B$112:$AV$112,'High Level Dashboard'!$B$64:$AV$64,"&gt;="&amp;('High Level Dashboard'!AI$64-(ROUNDDOWN('High Level Dashboard'!$C$12,0))+1),'High Level Dashboard'!$B$64:$AV$64,"&lt;="&amp;('High Level Dashboard'!AI$64-(ROUNDUP('High Level Dashboard'!$C$11,0)))))
+
IFERROR(-PMT('High Level Dashboard'!$C$10,'High Level Dashboard'!$C$12-'High Level Dashboard'!$C$11+1,
(_xlfn.XLOOKUP('High Level Dashboard'!AI$64-(ROUNDUP('High Level Dashboard'!$C$12,0))+1,'High Level Dashboard'!$B$64:$AV$64,'High Level Dashboard'!$B$112:$AV$112,""))*('High Level Dashboard'!$C$12-(ROUNDDOWN('High Level Dashboard'!$C$12,0)))),0)
+
IFERROR(-PMT('High Level Dashboard'!$C$10,'High Level Dashboard'!$C$12-'High Level Dashboard'!$C$11+1,
(_xlfn.XLOOKUP('High Level Dashboard'!AI$64-(ROUNDDOWN('High Level Dashboard'!$C$11,0)),'High Level Dashboard'!$B$64:$AV$64,'High Level Dashboard'!$B$112:$AV$112,"")*('High Level Dashboard'!$C$11-ROUNDDOWN('High Level Dashboard'!$C$11,0)))),0)
+
(((SUMIFS('High Level Dashboard'!$B$112:$AV$112,'High Level Dashboard'!$B$64:$AV$64,"&gt;"&amp;'High Level Dashboard'!AI$64-ROUNDDOWN('High Level Dashboard'!$C$11,0),'High Level Dashboard'!$B$64:$AV$64,"&lt;="&amp;'High Level Dashboard'!AI$64)+(IFERROR(SUMIF('High Level Dashboard'!$B$64:$AV$64,ROUNDDOWN('High Level Dashboard'!AI$64-'High Level Dashboard'!$C$11,0)+1,'High Level Dashboard'!$B$112:$AV$112)*(1-('High Level Dashboard'!$C$11-ROUNDDOWN('High Level Dashboard'!$C$11,0))),"")))*'High Level Dashboard'!$C$10)
))</f>
        <v>1873.0559843427839</v>
      </c>
      <c r="AK108" s="434">
        <f>'High Level Dashboard'!$C$53*'High Level Dashboard'!$C$9*
(-PMT('High Level Dashboard'!$C$10,'High Level Dashboard'!$C$12-'High Level Dashboard'!$C$11+1,
SUMIFS('High Level Dashboard'!$B$112:$AV$112,'High Level Dashboard'!$B$64:$AV$64,"&gt;="&amp;('High Level Dashboard'!AJ$64-(ROUNDDOWN('High Level Dashboard'!$C$12,0))+1),'High Level Dashboard'!$B$64:$AV$64,"&lt;="&amp;('High Level Dashboard'!AJ$64-(ROUNDUP('High Level Dashboard'!$C$11,0)))))
+
IFERROR(-PMT('High Level Dashboard'!$C$10,'High Level Dashboard'!$C$12-'High Level Dashboard'!$C$11+1,
(_xlfn.XLOOKUP('High Level Dashboard'!AJ$64-(ROUNDUP('High Level Dashboard'!$C$12,0))+1,'High Level Dashboard'!$B$64:$AV$64,'High Level Dashboard'!$B$112:$AV$112,""))*('High Level Dashboard'!$C$12-(ROUNDDOWN('High Level Dashboard'!$C$12,0)))),0)
+
IFERROR(-PMT('High Level Dashboard'!$C$10,'High Level Dashboard'!$C$12-'High Level Dashboard'!$C$11+1,
(_xlfn.XLOOKUP('High Level Dashboard'!AJ$64-(ROUNDDOWN('High Level Dashboard'!$C$11,0)),'High Level Dashboard'!$B$64:$AV$64,'High Level Dashboard'!$B$112:$AV$112,"")*('High Level Dashboard'!$C$11-ROUNDDOWN('High Level Dashboard'!$C$11,0)))),0)
+
(((SUMIFS('High Level Dashboard'!$B$112:$AV$112,'High Level Dashboard'!$B$64:$AV$64,"&gt;"&amp;'High Level Dashboard'!AJ$64-ROUNDDOWN('High Level Dashboard'!$C$11,0),'High Level Dashboard'!$B$64:$AV$64,"&lt;="&amp;'High Level Dashboard'!AJ$64)+(IFERROR(SUMIF('High Level Dashboard'!$B$64:$AV$64,ROUNDDOWN('High Level Dashboard'!AJ$64-'High Level Dashboard'!$C$11,0)+1,'High Level Dashboard'!$B$112:$AV$112)*(1-('High Level Dashboard'!$C$11-ROUNDDOWN('High Level Dashboard'!$C$11,0))),"")))*'High Level Dashboard'!$C$10)
))</f>
        <v>1932.8587187209225</v>
      </c>
      <c r="AL108" s="434">
        <f>'High Level Dashboard'!$C$53*'High Level Dashboard'!$C$9*
(-PMT('High Level Dashboard'!$C$10,'High Level Dashboard'!$C$12-'High Level Dashboard'!$C$11+1,
SUMIFS('High Level Dashboard'!$B$112:$AV$112,'High Level Dashboard'!$B$64:$AV$64,"&gt;="&amp;('High Level Dashboard'!AK$64-(ROUNDDOWN('High Level Dashboard'!$C$12,0))+1),'High Level Dashboard'!$B$64:$AV$64,"&lt;="&amp;('High Level Dashboard'!AK$64-(ROUNDUP('High Level Dashboard'!$C$11,0)))))
+
IFERROR(-PMT('High Level Dashboard'!$C$10,'High Level Dashboard'!$C$12-'High Level Dashboard'!$C$11+1,
(_xlfn.XLOOKUP('High Level Dashboard'!AK$64-(ROUNDUP('High Level Dashboard'!$C$12,0))+1,'High Level Dashboard'!$B$64:$AV$64,'High Level Dashboard'!$B$112:$AV$112,""))*('High Level Dashboard'!$C$12-(ROUNDDOWN('High Level Dashboard'!$C$12,0)))),0)
+
IFERROR(-PMT('High Level Dashboard'!$C$10,'High Level Dashboard'!$C$12-'High Level Dashboard'!$C$11+1,
(_xlfn.XLOOKUP('High Level Dashboard'!AK$64-(ROUNDDOWN('High Level Dashboard'!$C$11,0)),'High Level Dashboard'!$B$64:$AV$64,'High Level Dashboard'!$B$112:$AV$112,"")*('High Level Dashboard'!$C$11-ROUNDDOWN('High Level Dashboard'!$C$11,0)))),0)
+
(((SUMIFS('High Level Dashboard'!$B$112:$AV$112,'High Level Dashboard'!$B$64:$AV$64,"&gt;"&amp;'High Level Dashboard'!AK$64-ROUNDDOWN('High Level Dashboard'!$C$11,0),'High Level Dashboard'!$B$64:$AV$64,"&lt;="&amp;'High Level Dashboard'!AK$64)+(IFERROR(SUMIF('High Level Dashboard'!$B$64:$AV$64,ROUNDDOWN('High Level Dashboard'!AK$64-'High Level Dashboard'!$C$11,0)+1,'High Level Dashboard'!$B$112:$AV$112)*(1-('High Level Dashboard'!$C$11-ROUNDDOWN('High Level Dashboard'!$C$11,0))),"")))*'High Level Dashboard'!$C$10)
))</f>
        <v>2012.0936810486915</v>
      </c>
      <c r="AM108" s="434">
        <f>'High Level Dashboard'!$C$53*'High Level Dashboard'!$C$9*
(-PMT('High Level Dashboard'!$C$10,'High Level Dashboard'!$C$12-'High Level Dashboard'!$C$11+1,
SUMIFS('High Level Dashboard'!$B$112:$AV$112,'High Level Dashboard'!$B$64:$AV$64,"&gt;="&amp;('High Level Dashboard'!AL$64-(ROUNDDOWN('High Level Dashboard'!$C$12,0))+1),'High Level Dashboard'!$B$64:$AV$64,"&lt;="&amp;('High Level Dashboard'!AL$64-(ROUNDUP('High Level Dashboard'!$C$11,0)))))
+
IFERROR(-PMT('High Level Dashboard'!$C$10,'High Level Dashboard'!$C$12-'High Level Dashboard'!$C$11+1,
(_xlfn.XLOOKUP('High Level Dashboard'!AL$64-(ROUNDUP('High Level Dashboard'!$C$12,0))+1,'High Level Dashboard'!$B$64:$AV$64,'High Level Dashboard'!$B$112:$AV$112,""))*('High Level Dashboard'!$C$12-(ROUNDDOWN('High Level Dashboard'!$C$12,0)))),0)
+
IFERROR(-PMT('High Level Dashboard'!$C$10,'High Level Dashboard'!$C$12-'High Level Dashboard'!$C$11+1,
(_xlfn.XLOOKUP('High Level Dashboard'!AL$64-(ROUNDDOWN('High Level Dashboard'!$C$11,0)),'High Level Dashboard'!$B$64:$AV$64,'High Level Dashboard'!$B$112:$AV$112,"")*('High Level Dashboard'!$C$11-ROUNDDOWN('High Level Dashboard'!$C$11,0)))),0)
+
(((SUMIFS('High Level Dashboard'!$B$112:$AV$112,'High Level Dashboard'!$B$64:$AV$64,"&gt;"&amp;'High Level Dashboard'!AL$64-ROUNDDOWN('High Level Dashboard'!$C$11,0),'High Level Dashboard'!$B$64:$AV$64,"&lt;="&amp;'High Level Dashboard'!AL$64)+(IFERROR(SUMIF('High Level Dashboard'!$B$64:$AV$64,ROUNDDOWN('High Level Dashboard'!AL$64-'High Level Dashboard'!$C$11,0)+1,'High Level Dashboard'!$B$112:$AV$112)*(1-('High Level Dashboard'!$C$11-ROUNDDOWN('High Level Dashboard'!$C$11,0))),"")))*'High Level Dashboard'!$C$10)
))</f>
        <v>2059.4937821854205</v>
      </c>
      <c r="AN108" s="434">
        <f>'High Level Dashboard'!$C$53*'High Level Dashboard'!$C$9*
(-PMT('High Level Dashboard'!$C$10,'High Level Dashboard'!$C$12-'High Level Dashboard'!$C$11+1,
SUMIFS('High Level Dashboard'!$B$112:$AV$112,'High Level Dashboard'!$B$64:$AV$64,"&gt;="&amp;('High Level Dashboard'!AM$64-(ROUNDDOWN('High Level Dashboard'!$C$12,0))+1),'High Level Dashboard'!$B$64:$AV$64,"&lt;="&amp;('High Level Dashboard'!AM$64-(ROUNDUP('High Level Dashboard'!$C$11,0)))))
+
IFERROR(-PMT('High Level Dashboard'!$C$10,'High Level Dashboard'!$C$12-'High Level Dashboard'!$C$11+1,
(_xlfn.XLOOKUP('High Level Dashboard'!AM$64-(ROUNDUP('High Level Dashboard'!$C$12,0))+1,'High Level Dashboard'!$B$64:$AV$64,'High Level Dashboard'!$B$112:$AV$112,""))*('High Level Dashboard'!$C$12-(ROUNDDOWN('High Level Dashboard'!$C$12,0)))),0)
+
IFERROR(-PMT('High Level Dashboard'!$C$10,'High Level Dashboard'!$C$12-'High Level Dashboard'!$C$11+1,
(_xlfn.XLOOKUP('High Level Dashboard'!AM$64-(ROUNDDOWN('High Level Dashboard'!$C$11,0)),'High Level Dashboard'!$B$64:$AV$64,'High Level Dashboard'!$B$112:$AV$112,"")*('High Level Dashboard'!$C$11-ROUNDDOWN('High Level Dashboard'!$C$11,0)))),0)
+
(((SUMIFS('High Level Dashboard'!$B$112:$AV$112,'High Level Dashboard'!$B$64:$AV$64,"&gt;"&amp;'High Level Dashboard'!AM$64-ROUNDDOWN('High Level Dashboard'!$C$11,0),'High Level Dashboard'!$B$64:$AV$64,"&lt;="&amp;'High Level Dashboard'!AM$64)+(IFERROR(SUMIF('High Level Dashboard'!$B$64:$AV$64,ROUNDDOWN('High Level Dashboard'!AM$64-'High Level Dashboard'!$C$11,0)+1,'High Level Dashboard'!$B$112:$AV$112)*(1-('High Level Dashboard'!$C$11-ROUNDDOWN('High Level Dashboard'!$C$11,0))),"")))*'High Level Dashboard'!$C$10)
))</f>
        <v>2118.5277525362594</v>
      </c>
      <c r="AO108" s="434">
        <f>'High Level Dashboard'!$C$53*'High Level Dashboard'!$C$9*
(-PMT('High Level Dashboard'!$C$10,'High Level Dashboard'!$C$12-'High Level Dashboard'!$C$11+1,
SUMIFS('High Level Dashboard'!$B$112:$AV$112,'High Level Dashboard'!$B$64:$AV$64,"&gt;="&amp;('High Level Dashboard'!AN$64-(ROUNDDOWN('High Level Dashboard'!$C$12,0))+1),'High Level Dashboard'!$B$64:$AV$64,"&lt;="&amp;('High Level Dashboard'!AN$64-(ROUNDUP('High Level Dashboard'!$C$11,0)))))
+
IFERROR(-PMT('High Level Dashboard'!$C$10,'High Level Dashboard'!$C$12-'High Level Dashboard'!$C$11+1,
(_xlfn.XLOOKUP('High Level Dashboard'!AN$64-(ROUNDUP('High Level Dashboard'!$C$12,0))+1,'High Level Dashboard'!$B$64:$AV$64,'High Level Dashboard'!$B$112:$AV$112,""))*('High Level Dashboard'!$C$12-(ROUNDDOWN('High Level Dashboard'!$C$12,0)))),0)
+
IFERROR(-PMT('High Level Dashboard'!$C$10,'High Level Dashboard'!$C$12-'High Level Dashboard'!$C$11+1,
(_xlfn.XLOOKUP('High Level Dashboard'!AN$64-(ROUNDDOWN('High Level Dashboard'!$C$11,0)),'High Level Dashboard'!$B$64:$AV$64,'High Level Dashboard'!$B$112:$AV$112,"")*('High Level Dashboard'!$C$11-ROUNDDOWN('High Level Dashboard'!$C$11,0)))),0)
+
(((SUMIFS('High Level Dashboard'!$B$112:$AV$112,'High Level Dashboard'!$B$64:$AV$64,"&gt;"&amp;'High Level Dashboard'!AN$64-ROUNDDOWN('High Level Dashboard'!$C$11,0),'High Level Dashboard'!$B$64:$AV$64,"&lt;="&amp;'High Level Dashboard'!AN$64)+(IFERROR(SUMIF('High Level Dashboard'!$B$64:$AV$64,ROUNDDOWN('High Level Dashboard'!AN$64-'High Level Dashboard'!$C$11,0)+1,'High Level Dashboard'!$B$112:$AV$112)*(1-('High Level Dashboard'!$C$11-ROUNDDOWN('High Level Dashboard'!$C$11,0))),"")))*'High Level Dashboard'!$C$10)
))</f>
        <v>2153.5041868927633</v>
      </c>
      <c r="AP108" s="434">
        <f>'High Level Dashboard'!$C$53*'High Level Dashboard'!$C$9*
(-PMT('High Level Dashboard'!$C$10,'High Level Dashboard'!$C$12-'High Level Dashboard'!$C$11+1,
SUMIFS('High Level Dashboard'!$B$112:$AV$112,'High Level Dashboard'!$B$64:$AV$64,"&gt;="&amp;('High Level Dashboard'!AO$64-(ROUNDDOWN('High Level Dashboard'!$C$12,0))+1),'High Level Dashboard'!$B$64:$AV$64,"&lt;="&amp;('High Level Dashboard'!AO$64-(ROUNDUP('High Level Dashboard'!$C$11,0)))))
+
IFERROR(-PMT('High Level Dashboard'!$C$10,'High Level Dashboard'!$C$12-'High Level Dashboard'!$C$11+1,
(_xlfn.XLOOKUP('High Level Dashboard'!AO$64-(ROUNDUP('High Level Dashboard'!$C$12,0))+1,'High Level Dashboard'!$B$64:$AV$64,'High Level Dashboard'!$B$112:$AV$112,""))*('High Level Dashboard'!$C$12-(ROUNDDOWN('High Level Dashboard'!$C$12,0)))),0)
+
IFERROR(-PMT('High Level Dashboard'!$C$10,'High Level Dashboard'!$C$12-'High Level Dashboard'!$C$11+1,
(_xlfn.XLOOKUP('High Level Dashboard'!AO$64-(ROUNDDOWN('High Level Dashboard'!$C$11,0)),'High Level Dashboard'!$B$64:$AV$64,'High Level Dashboard'!$B$112:$AV$112,"")*('High Level Dashboard'!$C$11-ROUNDDOWN('High Level Dashboard'!$C$11,0)))),0)
+
(((SUMIFS('High Level Dashboard'!$B$112:$AV$112,'High Level Dashboard'!$B$64:$AV$64,"&gt;"&amp;'High Level Dashboard'!AO$64-ROUNDDOWN('High Level Dashboard'!$C$11,0),'High Level Dashboard'!$B$64:$AV$64,"&lt;="&amp;'High Level Dashboard'!AO$64)+(IFERROR(SUMIF('High Level Dashboard'!$B$64:$AV$64,ROUNDDOWN('High Level Dashboard'!AO$64-'High Level Dashboard'!$C$11,0)+1,'High Level Dashboard'!$B$112:$AV$112)*(1-('High Level Dashboard'!$C$11-ROUNDDOWN('High Level Dashboard'!$C$11,0))),"")))*'High Level Dashboard'!$C$10)
))</f>
        <v>2193.2156903669206</v>
      </c>
      <c r="AQ108" s="434">
        <f>'High Level Dashboard'!$C$53*'High Level Dashboard'!$C$9*
(-PMT('High Level Dashboard'!$C$10,'High Level Dashboard'!$C$12-'High Level Dashboard'!$C$11+1,
SUMIFS('High Level Dashboard'!$B$112:$AV$112,'High Level Dashboard'!$B$64:$AV$64,"&gt;="&amp;('High Level Dashboard'!AP$64-(ROUNDDOWN('High Level Dashboard'!$C$12,0))+1),'High Level Dashboard'!$B$64:$AV$64,"&lt;="&amp;('High Level Dashboard'!AP$64-(ROUNDUP('High Level Dashboard'!$C$11,0)))))
+
IFERROR(-PMT('High Level Dashboard'!$C$10,'High Level Dashboard'!$C$12-'High Level Dashboard'!$C$11+1,
(_xlfn.XLOOKUP('High Level Dashboard'!AP$64-(ROUNDUP('High Level Dashboard'!$C$12,0))+1,'High Level Dashboard'!$B$64:$AV$64,'High Level Dashboard'!$B$112:$AV$112,""))*('High Level Dashboard'!$C$12-(ROUNDDOWN('High Level Dashboard'!$C$12,0)))),0)
+
IFERROR(-PMT('High Level Dashboard'!$C$10,'High Level Dashboard'!$C$12-'High Level Dashboard'!$C$11+1,
(_xlfn.XLOOKUP('High Level Dashboard'!AP$64-(ROUNDDOWN('High Level Dashboard'!$C$11,0)),'High Level Dashboard'!$B$64:$AV$64,'High Level Dashboard'!$B$112:$AV$112,"")*('High Level Dashboard'!$C$11-ROUNDDOWN('High Level Dashboard'!$C$11,0)))),0)
+
(((SUMIFS('High Level Dashboard'!$B$112:$AV$112,'High Level Dashboard'!$B$64:$AV$64,"&gt;"&amp;'High Level Dashboard'!AP$64-ROUNDDOWN('High Level Dashboard'!$C$11,0),'High Level Dashboard'!$B$64:$AV$64,"&lt;="&amp;'High Level Dashboard'!AP$64)+(IFERROR(SUMIF('High Level Dashboard'!$B$64:$AV$64,ROUNDDOWN('High Level Dashboard'!AP$64-'High Level Dashboard'!$C$11,0)+1,'High Level Dashboard'!$B$112:$AV$112)*(1-('High Level Dashboard'!$C$11-ROUNDDOWN('High Level Dashboard'!$C$11,0))),"")))*'High Level Dashboard'!$C$10)
))</f>
        <v>2253.0334267145358</v>
      </c>
      <c r="AR108" s="434">
        <f>'High Level Dashboard'!$C$53*'High Level Dashboard'!$C$9*
(-PMT('High Level Dashboard'!$C$10,'High Level Dashboard'!$C$12-'High Level Dashboard'!$C$11+1,
SUMIFS('High Level Dashboard'!$B$112:$AV$112,'High Level Dashboard'!$B$64:$AV$64,"&gt;="&amp;('High Level Dashboard'!AQ$64-(ROUNDDOWN('High Level Dashboard'!$C$12,0))+1),'High Level Dashboard'!$B$64:$AV$64,"&lt;="&amp;('High Level Dashboard'!AQ$64-(ROUNDUP('High Level Dashboard'!$C$11,0)))))
+
IFERROR(-PMT('High Level Dashboard'!$C$10,'High Level Dashboard'!$C$12-'High Level Dashboard'!$C$11+1,
(_xlfn.XLOOKUP('High Level Dashboard'!AQ$64-(ROUNDUP('High Level Dashboard'!$C$12,0))+1,'High Level Dashboard'!$B$64:$AV$64,'High Level Dashboard'!$B$112:$AV$112,""))*('High Level Dashboard'!$C$12-(ROUNDDOWN('High Level Dashboard'!$C$12,0)))),0)
+
IFERROR(-PMT('High Level Dashboard'!$C$10,'High Level Dashboard'!$C$12-'High Level Dashboard'!$C$11+1,
(_xlfn.XLOOKUP('High Level Dashboard'!AQ$64-(ROUNDDOWN('High Level Dashboard'!$C$11,0)),'High Level Dashboard'!$B$64:$AV$64,'High Level Dashboard'!$B$112:$AV$112,"")*('High Level Dashboard'!$C$11-ROUNDDOWN('High Level Dashboard'!$C$11,0)))),0)
+
(((SUMIFS('High Level Dashboard'!$B$112:$AV$112,'High Level Dashboard'!$B$64:$AV$64,"&gt;"&amp;'High Level Dashboard'!AQ$64-ROUNDDOWN('High Level Dashboard'!$C$11,0),'High Level Dashboard'!$B$64:$AV$64,"&lt;="&amp;'High Level Dashboard'!AQ$64)+(IFERROR(SUMIF('High Level Dashboard'!$B$64:$AV$64,ROUNDDOWN('High Level Dashboard'!AQ$64-'High Level Dashboard'!$C$11,0)+1,'High Level Dashboard'!$B$112:$AV$112)*(1-('High Level Dashboard'!$C$11-ROUNDDOWN('High Level Dashboard'!$C$11,0))),"")))*'High Level Dashboard'!$C$10)
))</f>
        <v>2285.8830982165446</v>
      </c>
      <c r="AS108" s="434">
        <f>'High Level Dashboard'!$C$53*'High Level Dashboard'!$C$9*
(-PMT('High Level Dashboard'!$C$10,'High Level Dashboard'!$C$12-'High Level Dashboard'!$C$11+1,
SUMIFS('High Level Dashboard'!$B$112:$AV$112,'High Level Dashboard'!$B$64:$AV$64,"&gt;="&amp;('High Level Dashboard'!AR$64-(ROUNDDOWN('High Level Dashboard'!$C$12,0))+1),'High Level Dashboard'!$B$64:$AV$64,"&lt;="&amp;('High Level Dashboard'!AR$64-(ROUNDUP('High Level Dashboard'!$C$11,0)))))
+
IFERROR(-PMT('High Level Dashboard'!$C$10,'High Level Dashboard'!$C$12-'High Level Dashboard'!$C$11+1,
(_xlfn.XLOOKUP('High Level Dashboard'!AR$64-(ROUNDUP('High Level Dashboard'!$C$12,0))+1,'High Level Dashboard'!$B$64:$AV$64,'High Level Dashboard'!$B$112:$AV$112,""))*('High Level Dashboard'!$C$12-(ROUNDDOWN('High Level Dashboard'!$C$12,0)))),0)
+
IFERROR(-PMT('High Level Dashboard'!$C$10,'High Level Dashboard'!$C$12-'High Level Dashboard'!$C$11+1,
(_xlfn.XLOOKUP('High Level Dashboard'!AR$64-(ROUNDDOWN('High Level Dashboard'!$C$11,0)),'High Level Dashboard'!$B$64:$AV$64,'High Level Dashboard'!$B$112:$AV$112,"")*('High Level Dashboard'!$C$11-ROUNDDOWN('High Level Dashboard'!$C$11,0)))),0)
+
(((SUMIFS('High Level Dashboard'!$B$112:$AV$112,'High Level Dashboard'!$B$64:$AV$64,"&gt;"&amp;'High Level Dashboard'!AR$64-ROUNDDOWN('High Level Dashboard'!$C$11,0),'High Level Dashboard'!$B$64:$AV$64,"&lt;="&amp;'High Level Dashboard'!AR$64)+(IFERROR(SUMIF('High Level Dashboard'!$B$64:$AV$64,ROUNDDOWN('High Level Dashboard'!AR$64-'High Level Dashboard'!$C$11,0)+1,'High Level Dashboard'!$B$112:$AV$112)*(1-('High Level Dashboard'!$C$11-ROUNDDOWN('High Level Dashboard'!$C$11,0))),"")))*'High Level Dashboard'!$C$10)
))</f>
        <v>2300.0048574447619</v>
      </c>
      <c r="AT108" s="434">
        <f>'High Level Dashboard'!$C$53*'High Level Dashboard'!$C$9*
(-PMT('High Level Dashboard'!$C$10,'High Level Dashboard'!$C$12-'High Level Dashboard'!$C$11+1,
SUMIFS('High Level Dashboard'!$B$112:$AV$112,'High Level Dashboard'!$B$64:$AV$64,"&gt;="&amp;('High Level Dashboard'!AS$64-(ROUNDDOWN('High Level Dashboard'!$C$12,0))+1),'High Level Dashboard'!$B$64:$AV$64,"&lt;="&amp;('High Level Dashboard'!AS$64-(ROUNDUP('High Level Dashboard'!$C$11,0)))))
+
IFERROR(-PMT('High Level Dashboard'!$C$10,'High Level Dashboard'!$C$12-'High Level Dashboard'!$C$11+1,
(_xlfn.XLOOKUP('High Level Dashboard'!AS$64-(ROUNDUP('High Level Dashboard'!$C$12,0))+1,'High Level Dashboard'!$B$64:$AV$64,'High Level Dashboard'!$B$112:$AV$112,""))*('High Level Dashboard'!$C$12-(ROUNDDOWN('High Level Dashboard'!$C$12,0)))),0)
+
IFERROR(-PMT('High Level Dashboard'!$C$10,'High Level Dashboard'!$C$12-'High Level Dashboard'!$C$11+1,
(_xlfn.XLOOKUP('High Level Dashboard'!AS$64-(ROUNDDOWN('High Level Dashboard'!$C$11,0)),'High Level Dashboard'!$B$64:$AV$64,'High Level Dashboard'!$B$112:$AV$112,"")*('High Level Dashboard'!$C$11-ROUNDDOWN('High Level Dashboard'!$C$11,0)))),0)
+
(((SUMIFS('High Level Dashboard'!$B$112:$AV$112,'High Level Dashboard'!$B$64:$AV$64,"&gt;"&amp;'High Level Dashboard'!AS$64-ROUNDDOWN('High Level Dashboard'!$C$11,0),'High Level Dashboard'!$B$64:$AV$64,"&lt;="&amp;'High Level Dashboard'!AS$64)+(IFERROR(SUMIF('High Level Dashboard'!$B$64:$AV$64,ROUNDDOWN('High Level Dashboard'!AS$64-'High Level Dashboard'!$C$11,0)+1,'High Level Dashboard'!$B$112:$AV$112)*(1-('High Level Dashboard'!$C$11-ROUNDDOWN('High Level Dashboard'!$C$11,0))),"")))*'High Level Dashboard'!$C$10)
))</f>
        <v>2312.4050037832048</v>
      </c>
      <c r="AU108" s="434">
        <f>'High Level Dashboard'!$C$53*'High Level Dashboard'!$C$9*
(-PMT('High Level Dashboard'!$C$10,'High Level Dashboard'!$C$12-'High Level Dashboard'!$C$11+1,
SUMIFS('High Level Dashboard'!$B$112:$AV$112,'High Level Dashboard'!$B$64:$AV$64,"&gt;="&amp;('High Level Dashboard'!AT$64-(ROUNDDOWN('High Level Dashboard'!$C$12,0))+1),'High Level Dashboard'!$B$64:$AV$64,"&lt;="&amp;('High Level Dashboard'!AT$64-(ROUNDUP('High Level Dashboard'!$C$11,0)))))
+
IFERROR(-PMT('High Level Dashboard'!$C$10,'High Level Dashboard'!$C$12-'High Level Dashboard'!$C$11+1,
(_xlfn.XLOOKUP('High Level Dashboard'!AT$64-(ROUNDUP('High Level Dashboard'!$C$12,0))+1,'High Level Dashboard'!$B$64:$AV$64,'High Level Dashboard'!$B$112:$AV$112,""))*('High Level Dashboard'!$C$12-(ROUNDDOWN('High Level Dashboard'!$C$12,0)))),0)
+
IFERROR(-PMT('High Level Dashboard'!$C$10,'High Level Dashboard'!$C$12-'High Level Dashboard'!$C$11+1,
(_xlfn.XLOOKUP('High Level Dashboard'!AT$64-(ROUNDDOWN('High Level Dashboard'!$C$11,0)),'High Level Dashboard'!$B$64:$AV$64,'High Level Dashboard'!$B$112:$AV$112,"")*('High Level Dashboard'!$C$11-ROUNDDOWN('High Level Dashboard'!$C$11,0)))),0)
+
(((SUMIFS('High Level Dashboard'!$B$112:$AV$112,'High Level Dashboard'!$B$64:$AV$64,"&gt;"&amp;'High Level Dashboard'!AT$64-ROUNDDOWN('High Level Dashboard'!$C$11,0),'High Level Dashboard'!$B$64:$AV$64,"&lt;="&amp;'High Level Dashboard'!AT$64)+(IFERROR(SUMIF('High Level Dashboard'!$B$64:$AV$64,ROUNDDOWN('High Level Dashboard'!AT$64-'High Level Dashboard'!$C$11,0)+1,'High Level Dashboard'!$B$112:$AV$112)*(1-('High Level Dashboard'!$C$11-ROUNDDOWN('High Level Dashboard'!$C$11,0))),"")))*'High Level Dashboard'!$C$10)
))</f>
        <v>2351.2054037791636</v>
      </c>
      <c r="AV108" s="434">
        <f>'High Level Dashboard'!$C$53*'High Level Dashboard'!$C$9*
(-PMT('High Level Dashboard'!$C$10,'High Level Dashboard'!$C$12-'High Level Dashboard'!$C$11+1,
SUMIFS('High Level Dashboard'!$B$112:$AV$112,'High Level Dashboard'!$B$64:$AV$64,"&gt;="&amp;('High Level Dashboard'!AU$64-(ROUNDDOWN('High Level Dashboard'!$C$12,0))+1),'High Level Dashboard'!$B$64:$AV$64,"&lt;="&amp;('High Level Dashboard'!AU$64-(ROUNDUP('High Level Dashboard'!$C$11,0)))))
+
IFERROR(-PMT('High Level Dashboard'!$C$10,'High Level Dashboard'!$C$12-'High Level Dashboard'!$C$11+1,
(_xlfn.XLOOKUP('High Level Dashboard'!AU$64-(ROUNDUP('High Level Dashboard'!$C$12,0))+1,'High Level Dashboard'!$B$64:$AV$64,'High Level Dashboard'!$B$112:$AV$112,""))*('High Level Dashboard'!$C$12-(ROUNDDOWN('High Level Dashboard'!$C$12,0)))),0)
+
IFERROR(-PMT('High Level Dashboard'!$C$10,'High Level Dashboard'!$C$12-'High Level Dashboard'!$C$11+1,
(_xlfn.XLOOKUP('High Level Dashboard'!AU$64-(ROUNDDOWN('High Level Dashboard'!$C$11,0)),'High Level Dashboard'!$B$64:$AV$64,'High Level Dashboard'!$B$112:$AV$112,"")*('High Level Dashboard'!$C$11-ROUNDDOWN('High Level Dashboard'!$C$11,0)))),0)
+
(((SUMIFS('High Level Dashboard'!$B$112:$AV$112,'High Level Dashboard'!$B$64:$AV$64,"&gt;"&amp;'High Level Dashboard'!AU$64-ROUNDDOWN('High Level Dashboard'!$C$11,0),'High Level Dashboard'!$B$64:$AV$64,"&lt;="&amp;'High Level Dashboard'!AU$64)+(IFERROR(SUMIF('High Level Dashboard'!$B$64:$AV$64,ROUNDDOWN('High Level Dashboard'!AU$64-'High Level Dashboard'!$C$11,0)+1,'High Level Dashboard'!$B$112:$AV$112)*(1-('High Level Dashboard'!$C$11-ROUNDDOWN('High Level Dashboard'!$C$11,0))),"")))*'High Level Dashboard'!$C$10)
))</f>
        <v>2410.3743087349753</v>
      </c>
    </row>
    <row r="109" spans="1:49" s="433" customFormat="1">
      <c r="A109" s="427" t="s">
        <v>261</v>
      </c>
      <c r="B109" s="427"/>
      <c r="C109" s="434">
        <f ca="1">'High Level Dashboard'!$C$54*'High Level Dashboard'!$C$15*
(-PMT('High Level Dashboard'!$C$16,'High Level Dashboard'!$C$18-'High Level Dashboard'!$C$17+1,
SUMIFS('High Level Dashboard'!$B$112:$AV$112,'High Level Dashboard'!$B$64:$AV$64,"&gt;="&amp;('High Level Dashboard'!B$64-(ROUNDDOWN('High Level Dashboard'!$C$18,0))+1),'High Level Dashboard'!$B$64:$AV$64,"&lt;="&amp;('High Level Dashboard'!B$64-(ROUNDUP('High Level Dashboard'!$C$17,0)))))
+
IFERROR(-PMT('High Level Dashboard'!$C$16,'High Level Dashboard'!$C$18-'High Level Dashboard'!$C$17+1,
(_xlfn.XLOOKUP('High Level Dashboard'!B$64-(ROUNDUP('High Level Dashboard'!$C$18,0))+1,'High Level Dashboard'!$B$64:$AV$64,'High Level Dashboard'!$B$112:$AV$112,""))*('High Level Dashboard'!$C$18-(ROUNDDOWN('High Level Dashboard'!$C$18,0)))),0)
+
IFERROR(-PMT('High Level Dashboard'!$C$16,'High Level Dashboard'!$C$18-'High Level Dashboard'!$C$17+1,
(_xlfn.XLOOKUP('High Level Dashboard'!B$64-(ROUNDDOWN('High Level Dashboard'!$C$17,0)),'High Level Dashboard'!$B$64:$AV$64,'High Level Dashboard'!$B$112:$AV$112,"")*('High Level Dashboard'!$C$17-ROUNDDOWN('High Level Dashboard'!$C$17,0)))),0)
+
(((SUMIFS('High Level Dashboard'!$B$112:$AV$112,'High Level Dashboard'!$B$64:$AV$64,"&gt;"&amp;'High Level Dashboard'!B$64-ROUNDDOWN('High Level Dashboard'!$C$17,0),'High Level Dashboard'!$B$64:$AV$64,"&lt;="&amp;'High Level Dashboard'!B$64)+(IFERROR(SUMIF('High Level Dashboard'!$B$64:$AV$64,ROUNDDOWN('High Level Dashboard'!B$64-'High Level Dashboard'!$C$17,0)+1,'High Level Dashboard'!$B$112:$AV$112)*(1-('High Level Dashboard'!$C$17-ROUNDDOWN('High Level Dashboard'!$C$17,0))),"")))*'High Level Dashboard'!$C$16)
))</f>
        <v>0.27359940749817324</v>
      </c>
      <c r="D109" s="434">
        <f ca="1">'High Level Dashboard'!$C$54*'High Level Dashboard'!$C$15*
(-PMT('High Level Dashboard'!$C$16,'High Level Dashboard'!$C$18-'High Level Dashboard'!$C$17+1,
SUMIFS('High Level Dashboard'!$B$112:$AV$112,'High Level Dashboard'!$B$64:$AV$64,"&gt;="&amp;('High Level Dashboard'!C$64-(ROUNDDOWN('High Level Dashboard'!$C$18,0))+1),'High Level Dashboard'!$B$64:$AV$64,"&lt;="&amp;('High Level Dashboard'!C$64-(ROUNDUP('High Level Dashboard'!$C$17,0)))))
+
IFERROR(-PMT('High Level Dashboard'!$C$16,'High Level Dashboard'!$C$18-'High Level Dashboard'!$C$17+1,
(_xlfn.XLOOKUP('High Level Dashboard'!C$64-(ROUNDUP('High Level Dashboard'!$C$18,0))+1,'High Level Dashboard'!$B$64:$AV$64,'High Level Dashboard'!$B$112:$AV$112,""))*('High Level Dashboard'!$C$18-(ROUNDDOWN('High Level Dashboard'!$C$18,0)))),0)
+
IFERROR(-PMT('High Level Dashboard'!$C$16,'High Level Dashboard'!$C$18-'High Level Dashboard'!$C$17+1,
(_xlfn.XLOOKUP('High Level Dashboard'!C$64-(ROUNDDOWN('High Level Dashboard'!$C$17,0)),'High Level Dashboard'!$B$64:$AV$64,'High Level Dashboard'!$B$112:$AV$112,"")*('High Level Dashboard'!$C$17-ROUNDDOWN('High Level Dashboard'!$C$17,0)))),0)
+
(((SUMIFS('High Level Dashboard'!$B$112:$AV$112,'High Level Dashboard'!$B$64:$AV$64,"&gt;"&amp;'High Level Dashboard'!C$64-ROUNDDOWN('High Level Dashboard'!$C$17,0),'High Level Dashboard'!$B$64:$AV$64,"&lt;="&amp;'High Level Dashboard'!C$64)+(IFERROR(SUMIF('High Level Dashboard'!$B$64:$AV$64,ROUNDDOWN('High Level Dashboard'!C$64-'High Level Dashboard'!$C$17,0)+1,'High Level Dashboard'!$B$112:$AV$112)*(1-('High Level Dashboard'!$C$17-ROUNDDOWN('High Level Dashboard'!$C$17,0))),"")))*'High Level Dashboard'!$C$16)
))</f>
        <v>0.71675297332903898</v>
      </c>
      <c r="E109" s="434">
        <f ca="1">'High Level Dashboard'!$C$54*'High Level Dashboard'!$C$15*
(-PMT('High Level Dashboard'!$C$16,'High Level Dashboard'!$C$18-'High Level Dashboard'!$C$17+1,
SUMIFS('High Level Dashboard'!$B$112:$AV$112,'High Level Dashboard'!$B$64:$AV$64,"&gt;="&amp;('High Level Dashboard'!D$64-(ROUNDDOWN('High Level Dashboard'!$C$18,0))+1),'High Level Dashboard'!$B$64:$AV$64,"&lt;="&amp;('High Level Dashboard'!D$64-(ROUNDUP('High Level Dashboard'!$C$17,0)))))
+
IFERROR(-PMT('High Level Dashboard'!$C$16,'High Level Dashboard'!$C$18-'High Level Dashboard'!$C$17+1,
(_xlfn.XLOOKUP('High Level Dashboard'!D$64-(ROUNDUP('High Level Dashboard'!$C$18,0))+1,'High Level Dashboard'!$B$64:$AV$64,'High Level Dashboard'!$B$112:$AV$112,""))*('High Level Dashboard'!$C$18-(ROUNDDOWN('High Level Dashboard'!$C$18,0)))),0)
+
IFERROR(-PMT('High Level Dashboard'!$C$16,'High Level Dashboard'!$C$18-'High Level Dashboard'!$C$17+1,
(_xlfn.XLOOKUP('High Level Dashboard'!D$64-(ROUNDDOWN('High Level Dashboard'!$C$17,0)),'High Level Dashboard'!$B$64:$AV$64,'High Level Dashboard'!$B$112:$AV$112,"")*('High Level Dashboard'!$C$17-ROUNDDOWN('High Level Dashboard'!$C$17,0)))),0)
+
(((SUMIFS('High Level Dashboard'!$B$112:$AV$112,'High Level Dashboard'!$B$64:$AV$64,"&gt;"&amp;'High Level Dashboard'!D$64-ROUNDDOWN('High Level Dashboard'!$C$17,0),'High Level Dashboard'!$B$64:$AV$64,"&lt;="&amp;'High Level Dashboard'!D$64)+(IFERROR(SUMIF('High Level Dashboard'!$B$64:$AV$64,ROUNDDOWN('High Level Dashboard'!D$64-'High Level Dashboard'!$C$17,0)+1,'High Level Dashboard'!$B$112:$AV$112)*(1-('High Level Dashboard'!$C$17-ROUNDDOWN('High Level Dashboard'!$C$17,0))),"")))*'High Level Dashboard'!$C$16)
))</f>
        <v>1.1442721125734425</v>
      </c>
      <c r="F109" s="434">
        <f ca="1">'High Level Dashboard'!$C$54*'High Level Dashboard'!$C$15*
(-PMT('High Level Dashboard'!$C$16,'High Level Dashboard'!$C$18-'High Level Dashboard'!$C$17+1,
SUMIFS('High Level Dashboard'!$B$112:$AV$112,'High Level Dashboard'!$B$64:$AV$64,"&gt;="&amp;('High Level Dashboard'!E$64-(ROUNDDOWN('High Level Dashboard'!$C$18,0))+1),'High Level Dashboard'!$B$64:$AV$64,"&lt;="&amp;('High Level Dashboard'!E$64-(ROUNDUP('High Level Dashboard'!$C$17,0)))))
+
IFERROR(-PMT('High Level Dashboard'!$C$16,'High Level Dashboard'!$C$18-'High Level Dashboard'!$C$17+1,
(_xlfn.XLOOKUP('High Level Dashboard'!E$64-(ROUNDUP('High Level Dashboard'!$C$18,0))+1,'High Level Dashboard'!$B$64:$AV$64,'High Level Dashboard'!$B$112:$AV$112,""))*('High Level Dashboard'!$C$18-(ROUNDDOWN('High Level Dashboard'!$C$18,0)))),0)
+
IFERROR(-PMT('High Level Dashboard'!$C$16,'High Level Dashboard'!$C$18-'High Level Dashboard'!$C$17+1,
(_xlfn.XLOOKUP('High Level Dashboard'!E$64-(ROUNDDOWN('High Level Dashboard'!$C$17,0)),'High Level Dashboard'!$B$64:$AV$64,'High Level Dashboard'!$B$112:$AV$112,"")*('High Level Dashboard'!$C$17-ROUNDDOWN('High Level Dashboard'!$C$17,0)))),0)
+
(((SUMIFS('High Level Dashboard'!$B$112:$AV$112,'High Level Dashboard'!$B$64:$AV$64,"&gt;"&amp;'High Level Dashboard'!E$64-ROUNDDOWN('High Level Dashboard'!$C$17,0),'High Level Dashboard'!$B$64:$AV$64,"&lt;="&amp;'High Level Dashboard'!E$64)+(IFERROR(SUMIF('High Level Dashboard'!$B$64:$AV$64,ROUNDDOWN('High Level Dashboard'!E$64-'High Level Dashboard'!$C$17,0)+1,'High Level Dashboard'!$B$112:$AV$112)*(1-('High Level Dashboard'!$C$17-ROUNDDOWN('High Level Dashboard'!$C$17,0))),"")))*'High Level Dashboard'!$C$16)
))</f>
        <v>1.5340163201431156</v>
      </c>
      <c r="G109" s="434">
        <f ca="1">'High Level Dashboard'!$C$54*'High Level Dashboard'!$C$15*
(-PMT('High Level Dashboard'!$C$16,'High Level Dashboard'!$C$18-'High Level Dashboard'!$C$17+1,
SUMIFS('High Level Dashboard'!$B$112:$AV$112,'High Level Dashboard'!$B$64:$AV$64,"&gt;="&amp;('High Level Dashboard'!F$64-(ROUNDDOWN('High Level Dashboard'!$C$18,0))+1),'High Level Dashboard'!$B$64:$AV$64,"&lt;="&amp;('High Level Dashboard'!F$64-(ROUNDUP('High Level Dashboard'!$C$17,0)))))
+
IFERROR(-PMT('High Level Dashboard'!$C$16,'High Level Dashboard'!$C$18-'High Level Dashboard'!$C$17+1,
(_xlfn.XLOOKUP('High Level Dashboard'!F$64-(ROUNDUP('High Level Dashboard'!$C$18,0))+1,'High Level Dashboard'!$B$64:$AV$64,'High Level Dashboard'!$B$112:$AV$112,""))*('High Level Dashboard'!$C$18-(ROUNDDOWN('High Level Dashboard'!$C$18,0)))),0)
+
IFERROR(-PMT('High Level Dashboard'!$C$16,'High Level Dashboard'!$C$18-'High Level Dashboard'!$C$17+1,
(_xlfn.XLOOKUP('High Level Dashboard'!F$64-(ROUNDDOWN('High Level Dashboard'!$C$17,0)),'High Level Dashboard'!$B$64:$AV$64,'High Level Dashboard'!$B$112:$AV$112,"")*('High Level Dashboard'!$C$17-ROUNDDOWN('High Level Dashboard'!$C$17,0)))),0)
+
(((SUMIFS('High Level Dashboard'!$B$112:$AV$112,'High Level Dashboard'!$B$64:$AV$64,"&gt;"&amp;'High Level Dashboard'!F$64-ROUNDDOWN('High Level Dashboard'!$C$17,0),'High Level Dashboard'!$B$64:$AV$64,"&lt;="&amp;'High Level Dashboard'!F$64)+(IFERROR(SUMIF('High Level Dashboard'!$B$64:$AV$64,ROUNDDOWN('High Level Dashboard'!F$64-'High Level Dashboard'!$C$17,0)+1,'High Level Dashboard'!$B$112:$AV$112)*(1-('High Level Dashboard'!$C$17-ROUNDDOWN('High Level Dashboard'!$C$17,0))),"")))*'High Level Dashboard'!$C$16)
))</f>
        <v>2.3480685165996267</v>
      </c>
      <c r="H109" s="434">
        <f ca="1">'High Level Dashboard'!$C$54*'High Level Dashboard'!$C$15*
(-PMT('High Level Dashboard'!$C$16,'High Level Dashboard'!$C$18-'High Level Dashboard'!$C$17+1,
SUMIFS('High Level Dashboard'!$B$112:$AV$112,'High Level Dashboard'!$B$64:$AV$64,"&gt;="&amp;('High Level Dashboard'!G$64-(ROUNDDOWN('High Level Dashboard'!$C$18,0))+1),'High Level Dashboard'!$B$64:$AV$64,"&lt;="&amp;('High Level Dashboard'!G$64-(ROUNDUP('High Level Dashboard'!$C$17,0)))))
+
IFERROR(-PMT('High Level Dashboard'!$C$16,'High Level Dashboard'!$C$18-'High Level Dashboard'!$C$17+1,
(_xlfn.XLOOKUP('High Level Dashboard'!G$64-(ROUNDUP('High Level Dashboard'!$C$18,0))+1,'High Level Dashboard'!$B$64:$AV$64,'High Level Dashboard'!$B$112:$AV$112,""))*('High Level Dashboard'!$C$18-(ROUNDDOWN('High Level Dashboard'!$C$18,0)))),0)
+
IFERROR(-PMT('High Level Dashboard'!$C$16,'High Level Dashboard'!$C$18-'High Level Dashboard'!$C$17+1,
(_xlfn.XLOOKUP('High Level Dashboard'!G$64-(ROUNDDOWN('High Level Dashboard'!$C$17,0)),'High Level Dashboard'!$B$64:$AV$64,'High Level Dashboard'!$B$112:$AV$112,"")*('High Level Dashboard'!$C$17-ROUNDDOWN('High Level Dashboard'!$C$17,0)))),0)
+
(((SUMIFS('High Level Dashboard'!$B$112:$AV$112,'High Level Dashboard'!$B$64:$AV$64,"&gt;"&amp;'High Level Dashboard'!G$64-ROUNDDOWN('High Level Dashboard'!$C$17,0),'High Level Dashboard'!$B$64:$AV$64,"&lt;="&amp;'High Level Dashboard'!G$64)+(IFERROR(SUMIF('High Level Dashboard'!$B$64:$AV$64,ROUNDDOWN('High Level Dashboard'!G$64-'High Level Dashboard'!$C$17,0)+1,'High Level Dashboard'!$B$112:$AV$112)*(1-('High Level Dashboard'!$C$17-ROUNDDOWN('High Level Dashboard'!$C$17,0))),"")))*'High Level Dashboard'!$C$16)
))</f>
        <v>2.8568732895356668</v>
      </c>
      <c r="I109" s="434">
        <f ca="1">'High Level Dashboard'!$C$54*'High Level Dashboard'!$C$15*
(-PMT('High Level Dashboard'!$C$16,'High Level Dashboard'!$C$18-'High Level Dashboard'!$C$17+1,
SUMIFS('High Level Dashboard'!$B$112:$AV$112,'High Level Dashboard'!$B$64:$AV$64,"&gt;="&amp;('High Level Dashboard'!H$64-(ROUNDDOWN('High Level Dashboard'!$C$18,0))+1),'High Level Dashboard'!$B$64:$AV$64,"&lt;="&amp;('High Level Dashboard'!H$64-(ROUNDUP('High Level Dashboard'!$C$17,0)))))
+
IFERROR(-PMT('High Level Dashboard'!$C$16,'High Level Dashboard'!$C$18-'High Level Dashboard'!$C$17+1,
(_xlfn.XLOOKUP('High Level Dashboard'!H$64-(ROUNDUP('High Level Dashboard'!$C$18,0))+1,'High Level Dashboard'!$B$64:$AV$64,'High Level Dashboard'!$B$112:$AV$112,""))*('High Level Dashboard'!$C$18-(ROUNDDOWN('High Level Dashboard'!$C$18,0)))),0)
+
IFERROR(-PMT('High Level Dashboard'!$C$16,'High Level Dashboard'!$C$18-'High Level Dashboard'!$C$17+1,
(_xlfn.XLOOKUP('High Level Dashboard'!H$64-(ROUNDDOWN('High Level Dashboard'!$C$17,0)),'High Level Dashboard'!$B$64:$AV$64,'High Level Dashboard'!$B$112:$AV$112,"")*('High Level Dashboard'!$C$17-ROUNDDOWN('High Level Dashboard'!$C$17,0)))),0)
+
(((SUMIFS('High Level Dashboard'!$B$112:$AV$112,'High Level Dashboard'!$B$64:$AV$64,"&gt;"&amp;'High Level Dashboard'!H$64-ROUNDDOWN('High Level Dashboard'!$C$17,0),'High Level Dashboard'!$B$64:$AV$64,"&lt;="&amp;'High Level Dashboard'!H$64)+(IFERROR(SUMIF('High Level Dashboard'!$B$64:$AV$64,ROUNDDOWN('High Level Dashboard'!H$64-'High Level Dashboard'!$C$17,0)+1,'High Level Dashboard'!$B$112:$AV$112)*(1-('High Level Dashboard'!$C$17-ROUNDDOWN('High Level Dashboard'!$C$17,0))),"")))*'High Level Dashboard'!$C$16)
))</f>
        <v>3.4860809120558218</v>
      </c>
      <c r="J109" s="434">
        <f ca="1">'High Level Dashboard'!$C$54*'High Level Dashboard'!$C$15*
(-PMT('High Level Dashboard'!$C$16,'High Level Dashboard'!$C$18-'High Level Dashboard'!$C$17+1,
SUMIFS('High Level Dashboard'!$B$112:$AV$112,'High Level Dashboard'!$B$64:$AV$64,"&gt;="&amp;('High Level Dashboard'!I$64-(ROUNDDOWN('High Level Dashboard'!$C$18,0))+1),'High Level Dashboard'!$B$64:$AV$64,"&lt;="&amp;('High Level Dashboard'!I$64-(ROUNDUP('High Level Dashboard'!$C$17,0)))))
+
IFERROR(-PMT('High Level Dashboard'!$C$16,'High Level Dashboard'!$C$18-'High Level Dashboard'!$C$17+1,
(_xlfn.XLOOKUP('High Level Dashboard'!I$64-(ROUNDUP('High Level Dashboard'!$C$18,0))+1,'High Level Dashboard'!$B$64:$AV$64,'High Level Dashboard'!$B$112:$AV$112,""))*('High Level Dashboard'!$C$18-(ROUNDDOWN('High Level Dashboard'!$C$18,0)))),0)
+
IFERROR(-PMT('High Level Dashboard'!$C$16,'High Level Dashboard'!$C$18-'High Level Dashboard'!$C$17+1,
(_xlfn.XLOOKUP('High Level Dashboard'!I$64-(ROUNDDOWN('High Level Dashboard'!$C$17,0)),'High Level Dashboard'!$B$64:$AV$64,'High Level Dashboard'!$B$112:$AV$112,"")*('High Level Dashboard'!$C$17-ROUNDDOWN('High Level Dashboard'!$C$17,0)))),0)
+
(((SUMIFS('High Level Dashboard'!$B$112:$AV$112,'High Level Dashboard'!$B$64:$AV$64,"&gt;"&amp;'High Level Dashboard'!I$64-ROUNDDOWN('High Level Dashboard'!$C$17,0),'High Level Dashboard'!$B$64:$AV$64,"&lt;="&amp;'High Level Dashboard'!I$64)+(IFERROR(SUMIF('High Level Dashboard'!$B$64:$AV$64,ROUNDDOWN('High Level Dashboard'!I$64-'High Level Dashboard'!$C$17,0)+1,'High Level Dashboard'!$B$112:$AV$112)*(1-('High Level Dashboard'!$C$17-ROUNDDOWN('High Level Dashboard'!$C$17,0))),"")))*'High Level Dashboard'!$C$16)
))</f>
        <v>3.918456232553384</v>
      </c>
      <c r="K109" s="434">
        <f ca="1">'High Level Dashboard'!$C$54*'High Level Dashboard'!$C$15*
(-PMT('High Level Dashboard'!$C$16,'High Level Dashboard'!$C$18-'High Level Dashboard'!$C$17+1,
SUMIFS('High Level Dashboard'!$B$112:$AV$112,'High Level Dashboard'!$B$64:$AV$64,"&gt;="&amp;('High Level Dashboard'!J$64-(ROUNDDOWN('High Level Dashboard'!$C$18,0))+1),'High Level Dashboard'!$B$64:$AV$64,"&lt;="&amp;('High Level Dashboard'!J$64-(ROUNDUP('High Level Dashboard'!$C$17,0)))))
+
IFERROR(-PMT('High Level Dashboard'!$C$16,'High Level Dashboard'!$C$18-'High Level Dashboard'!$C$17+1,
(_xlfn.XLOOKUP('High Level Dashboard'!J$64-(ROUNDUP('High Level Dashboard'!$C$18,0))+1,'High Level Dashboard'!$B$64:$AV$64,'High Level Dashboard'!$B$112:$AV$112,""))*('High Level Dashboard'!$C$18-(ROUNDDOWN('High Level Dashboard'!$C$18,0)))),0)
+
IFERROR(-PMT('High Level Dashboard'!$C$16,'High Level Dashboard'!$C$18-'High Level Dashboard'!$C$17+1,
(_xlfn.XLOOKUP('High Level Dashboard'!J$64-(ROUNDDOWN('High Level Dashboard'!$C$17,0)),'High Level Dashboard'!$B$64:$AV$64,'High Level Dashboard'!$B$112:$AV$112,"")*('High Level Dashboard'!$C$17-ROUNDDOWN('High Level Dashboard'!$C$17,0)))),0)
+
(((SUMIFS('High Level Dashboard'!$B$112:$AV$112,'High Level Dashboard'!$B$64:$AV$64,"&gt;"&amp;'High Level Dashboard'!J$64-ROUNDDOWN('High Level Dashboard'!$C$17,0),'High Level Dashboard'!$B$64:$AV$64,"&lt;="&amp;'High Level Dashboard'!J$64)+(IFERROR(SUMIF('High Level Dashboard'!$B$64:$AV$64,ROUNDDOWN('High Level Dashboard'!J$64-'High Level Dashboard'!$C$17,0)+1,'High Level Dashboard'!$B$112:$AV$112)*(1-('High Level Dashboard'!$C$17-ROUNDDOWN('High Level Dashboard'!$C$17,0))),"")))*'High Level Dashboard'!$C$16)
))</f>
        <v>4.8460850542140044</v>
      </c>
      <c r="L109" s="434">
        <f ca="1">'High Level Dashboard'!$C$54*'High Level Dashboard'!$C$15*
(-PMT('High Level Dashboard'!$C$16,'High Level Dashboard'!$C$18-'High Level Dashboard'!$C$17+1,
SUMIFS('High Level Dashboard'!$B$112:$AV$112,'High Level Dashboard'!$B$64:$AV$64,"&gt;="&amp;('High Level Dashboard'!K$64-(ROUNDDOWN('High Level Dashboard'!$C$18,0))+1),'High Level Dashboard'!$B$64:$AV$64,"&lt;="&amp;('High Level Dashboard'!K$64-(ROUNDUP('High Level Dashboard'!$C$17,0)))))
+
IFERROR(-PMT('High Level Dashboard'!$C$16,'High Level Dashboard'!$C$18-'High Level Dashboard'!$C$17+1,
(_xlfn.XLOOKUP('High Level Dashboard'!K$64-(ROUNDUP('High Level Dashboard'!$C$18,0))+1,'High Level Dashboard'!$B$64:$AV$64,'High Level Dashboard'!$B$112:$AV$112,""))*('High Level Dashboard'!$C$18-(ROUNDDOWN('High Level Dashboard'!$C$18,0)))),0)
+
IFERROR(-PMT('High Level Dashboard'!$C$16,'High Level Dashboard'!$C$18-'High Level Dashboard'!$C$17+1,
(_xlfn.XLOOKUP('High Level Dashboard'!K$64-(ROUNDDOWN('High Level Dashboard'!$C$17,0)),'High Level Dashboard'!$B$64:$AV$64,'High Level Dashboard'!$B$112:$AV$112,"")*('High Level Dashboard'!$C$17-ROUNDDOWN('High Level Dashboard'!$C$17,0)))),0)
+
(((SUMIFS('High Level Dashboard'!$B$112:$AV$112,'High Level Dashboard'!$B$64:$AV$64,"&gt;"&amp;'High Level Dashboard'!K$64-ROUNDDOWN('High Level Dashboard'!$C$17,0),'High Level Dashboard'!$B$64:$AV$64,"&lt;="&amp;'High Level Dashboard'!K$64)+(IFERROR(SUMIF('High Level Dashboard'!$B$64:$AV$64,ROUNDDOWN('High Level Dashboard'!K$64-'High Level Dashboard'!$C$17,0)+1,'High Level Dashboard'!$B$112:$AV$112)*(1-('High Level Dashboard'!$C$17-ROUNDDOWN('High Level Dashboard'!$C$17,0))),"")))*'High Level Dashboard'!$C$16)
))</f>
        <v>6.321494204273586</v>
      </c>
      <c r="M109" s="434">
        <f ca="1">'High Level Dashboard'!$C$54*'High Level Dashboard'!$C$15*
(-PMT('High Level Dashboard'!$C$16,'High Level Dashboard'!$C$18-'High Level Dashboard'!$C$17+1,
SUMIFS('High Level Dashboard'!$B$112:$AV$112,'High Level Dashboard'!$B$64:$AV$64,"&gt;="&amp;('High Level Dashboard'!L$64-(ROUNDDOWN('High Level Dashboard'!$C$18,0))+1),'High Level Dashboard'!$B$64:$AV$64,"&lt;="&amp;('High Level Dashboard'!L$64-(ROUNDUP('High Level Dashboard'!$C$17,0)))))
+
IFERROR(-PMT('High Level Dashboard'!$C$16,'High Level Dashboard'!$C$18-'High Level Dashboard'!$C$17+1,
(_xlfn.XLOOKUP('High Level Dashboard'!L$64-(ROUNDUP('High Level Dashboard'!$C$18,0))+1,'High Level Dashboard'!$B$64:$AV$64,'High Level Dashboard'!$B$112:$AV$112,""))*('High Level Dashboard'!$C$18-(ROUNDDOWN('High Level Dashboard'!$C$18,0)))),0)
+
IFERROR(-PMT('High Level Dashboard'!$C$16,'High Level Dashboard'!$C$18-'High Level Dashboard'!$C$17+1,
(_xlfn.XLOOKUP('High Level Dashboard'!L$64-(ROUNDDOWN('High Level Dashboard'!$C$17,0)),'High Level Dashboard'!$B$64:$AV$64,'High Level Dashboard'!$B$112:$AV$112,"")*('High Level Dashboard'!$C$17-ROUNDDOWN('High Level Dashboard'!$C$17,0)))),0)
+
(((SUMIFS('High Level Dashboard'!$B$112:$AV$112,'High Level Dashboard'!$B$64:$AV$64,"&gt;"&amp;'High Level Dashboard'!L$64-ROUNDDOWN('High Level Dashboard'!$C$17,0),'High Level Dashboard'!$B$64:$AV$64,"&lt;="&amp;'High Level Dashboard'!L$64)+(IFERROR(SUMIF('High Level Dashboard'!$B$64:$AV$64,ROUNDDOWN('High Level Dashboard'!L$64-'High Level Dashboard'!$C$17,0)+1,'High Level Dashboard'!$B$112:$AV$112)*(1-('High Level Dashboard'!$C$17-ROUNDDOWN('High Level Dashboard'!$C$17,0))),"")))*'High Level Dashboard'!$C$16)
))</f>
        <v>7.5898700042220399</v>
      </c>
      <c r="N109" s="434">
        <f ca="1">'High Level Dashboard'!$C$54*'High Level Dashboard'!$C$15*
(-PMT('High Level Dashboard'!$C$16,'High Level Dashboard'!$C$18-'High Level Dashboard'!$C$17+1,
SUMIFS('High Level Dashboard'!$B$112:$AV$112,'High Level Dashboard'!$B$64:$AV$64,"&gt;="&amp;('High Level Dashboard'!M$64-(ROUNDDOWN('High Level Dashboard'!$C$18,0))+1),'High Level Dashboard'!$B$64:$AV$64,"&lt;="&amp;('High Level Dashboard'!M$64-(ROUNDUP('High Level Dashboard'!$C$17,0)))))
+
IFERROR(-PMT('High Level Dashboard'!$C$16,'High Level Dashboard'!$C$18-'High Level Dashboard'!$C$17+1,
(_xlfn.XLOOKUP('High Level Dashboard'!M$64-(ROUNDUP('High Level Dashboard'!$C$18,0))+1,'High Level Dashboard'!$B$64:$AV$64,'High Level Dashboard'!$B$112:$AV$112,""))*('High Level Dashboard'!$C$18-(ROUNDDOWN('High Level Dashboard'!$C$18,0)))),0)
+
IFERROR(-PMT('High Level Dashboard'!$C$16,'High Level Dashboard'!$C$18-'High Level Dashboard'!$C$17+1,
(_xlfn.XLOOKUP('High Level Dashboard'!M$64-(ROUNDDOWN('High Level Dashboard'!$C$17,0)),'High Level Dashboard'!$B$64:$AV$64,'High Level Dashboard'!$B$112:$AV$112,"")*('High Level Dashboard'!$C$17-ROUNDDOWN('High Level Dashboard'!$C$17,0)))),0)
+
(((SUMIFS('High Level Dashboard'!$B$112:$AV$112,'High Level Dashboard'!$B$64:$AV$64,"&gt;"&amp;'High Level Dashboard'!M$64-ROUNDDOWN('High Level Dashboard'!$C$17,0),'High Level Dashboard'!$B$64:$AV$64,"&lt;="&amp;'High Level Dashboard'!M$64)+(IFERROR(SUMIF('High Level Dashboard'!$B$64:$AV$64,ROUNDDOWN('High Level Dashboard'!M$64-'High Level Dashboard'!$C$17,0)+1,'High Level Dashboard'!$B$112:$AV$112)*(1-('High Level Dashboard'!$C$17-ROUNDDOWN('High Level Dashboard'!$C$17,0))),"")))*'High Level Dashboard'!$C$16)
))</f>
        <v>9.0941077009535398</v>
      </c>
      <c r="O109" s="434">
        <f ca="1">'High Level Dashboard'!$C$54*'High Level Dashboard'!$C$15*
(-PMT('High Level Dashboard'!$C$16,'High Level Dashboard'!$C$18-'High Level Dashboard'!$C$17+1,
SUMIFS('High Level Dashboard'!$B$112:$AV$112,'High Level Dashboard'!$B$64:$AV$64,"&gt;="&amp;('High Level Dashboard'!N$64-(ROUNDDOWN('High Level Dashboard'!$C$18,0))+1),'High Level Dashboard'!$B$64:$AV$64,"&lt;="&amp;('High Level Dashboard'!N$64-(ROUNDUP('High Level Dashboard'!$C$17,0)))))
+
IFERROR(-PMT('High Level Dashboard'!$C$16,'High Level Dashboard'!$C$18-'High Level Dashboard'!$C$17+1,
(_xlfn.XLOOKUP('High Level Dashboard'!N$64-(ROUNDUP('High Level Dashboard'!$C$18,0))+1,'High Level Dashboard'!$B$64:$AV$64,'High Level Dashboard'!$B$112:$AV$112,""))*('High Level Dashboard'!$C$18-(ROUNDDOWN('High Level Dashboard'!$C$18,0)))),0)
+
IFERROR(-PMT('High Level Dashboard'!$C$16,'High Level Dashboard'!$C$18-'High Level Dashboard'!$C$17+1,
(_xlfn.XLOOKUP('High Level Dashboard'!N$64-(ROUNDDOWN('High Level Dashboard'!$C$17,0)),'High Level Dashboard'!$B$64:$AV$64,'High Level Dashboard'!$B$112:$AV$112,"")*('High Level Dashboard'!$C$17-ROUNDDOWN('High Level Dashboard'!$C$17,0)))),0)
+
(((SUMIFS('High Level Dashboard'!$B$112:$AV$112,'High Level Dashboard'!$B$64:$AV$64,"&gt;"&amp;'High Level Dashboard'!N$64-ROUNDDOWN('High Level Dashboard'!$C$17,0),'High Level Dashboard'!$B$64:$AV$64,"&lt;="&amp;'High Level Dashboard'!N$64)+(IFERROR(SUMIF('High Level Dashboard'!$B$64:$AV$64,ROUNDDOWN('High Level Dashboard'!N$64-'High Level Dashboard'!$C$17,0)+1,'High Level Dashboard'!$B$112:$AV$112)*(1-('High Level Dashboard'!$C$17-ROUNDDOWN('High Level Dashboard'!$C$17,0))),"")))*'High Level Dashboard'!$C$16)
))</f>
        <v>11.231475330183425</v>
      </c>
      <c r="P109" s="434">
        <f ca="1">'High Level Dashboard'!$C$54*'High Level Dashboard'!$C$15*
(-PMT('High Level Dashboard'!$C$16,'High Level Dashboard'!$C$18-'High Level Dashboard'!$C$17+1,
SUMIFS('High Level Dashboard'!$B$112:$AV$112,'High Level Dashboard'!$B$64:$AV$64,"&gt;="&amp;('High Level Dashboard'!O$64-(ROUNDDOWN('High Level Dashboard'!$C$18,0))+1),'High Level Dashboard'!$B$64:$AV$64,"&lt;="&amp;('High Level Dashboard'!O$64-(ROUNDUP('High Level Dashboard'!$C$17,0)))))
+
IFERROR(-PMT('High Level Dashboard'!$C$16,'High Level Dashboard'!$C$18-'High Level Dashboard'!$C$17+1,
(_xlfn.XLOOKUP('High Level Dashboard'!O$64-(ROUNDUP('High Level Dashboard'!$C$18,0))+1,'High Level Dashboard'!$B$64:$AV$64,'High Level Dashboard'!$B$112:$AV$112,""))*('High Level Dashboard'!$C$18-(ROUNDDOWN('High Level Dashboard'!$C$18,0)))),0)
+
IFERROR(-PMT('High Level Dashboard'!$C$16,'High Level Dashboard'!$C$18-'High Level Dashboard'!$C$17+1,
(_xlfn.XLOOKUP('High Level Dashboard'!O$64-(ROUNDDOWN('High Level Dashboard'!$C$17,0)),'High Level Dashboard'!$B$64:$AV$64,'High Level Dashboard'!$B$112:$AV$112,"")*('High Level Dashboard'!$C$17-ROUNDDOWN('High Level Dashboard'!$C$17,0)))),0)
+
(((SUMIFS('High Level Dashboard'!$B$112:$AV$112,'High Level Dashboard'!$B$64:$AV$64,"&gt;"&amp;'High Level Dashboard'!O$64-ROUNDDOWN('High Level Dashboard'!$C$17,0),'High Level Dashboard'!$B$64:$AV$64,"&lt;="&amp;'High Level Dashboard'!O$64)+(IFERROR(SUMIF('High Level Dashboard'!$B$64:$AV$64,ROUNDDOWN('High Level Dashboard'!O$64-'High Level Dashboard'!$C$17,0)+1,'High Level Dashboard'!$B$112:$AV$112)*(1-('High Level Dashboard'!$C$17-ROUNDDOWN('High Level Dashboard'!$C$17,0))),"")))*'High Level Dashboard'!$C$16)
))</f>
        <v>12.858191976519976</v>
      </c>
      <c r="Q109" s="434">
        <f ca="1">'High Level Dashboard'!$C$54*'High Level Dashboard'!$C$15*
(-PMT('High Level Dashboard'!$C$16,'High Level Dashboard'!$C$18-'High Level Dashboard'!$C$17+1,
SUMIFS('High Level Dashboard'!$B$112:$AV$112,'High Level Dashboard'!$B$64:$AV$64,"&gt;="&amp;('High Level Dashboard'!P$64-(ROUNDDOWN('High Level Dashboard'!$C$18,0))+1),'High Level Dashboard'!$B$64:$AV$64,"&lt;="&amp;('High Level Dashboard'!P$64-(ROUNDUP('High Level Dashboard'!$C$17,0)))))
+
IFERROR(-PMT('High Level Dashboard'!$C$16,'High Level Dashboard'!$C$18-'High Level Dashboard'!$C$17+1,
(_xlfn.XLOOKUP('High Level Dashboard'!P$64-(ROUNDUP('High Level Dashboard'!$C$18,0))+1,'High Level Dashboard'!$B$64:$AV$64,'High Level Dashboard'!$B$112:$AV$112,""))*('High Level Dashboard'!$C$18-(ROUNDDOWN('High Level Dashboard'!$C$18,0)))),0)
+
IFERROR(-PMT('High Level Dashboard'!$C$16,'High Level Dashboard'!$C$18-'High Level Dashboard'!$C$17+1,
(_xlfn.XLOOKUP('High Level Dashboard'!P$64-(ROUNDDOWN('High Level Dashboard'!$C$17,0)),'High Level Dashboard'!$B$64:$AV$64,'High Level Dashboard'!$B$112:$AV$112,"")*('High Level Dashboard'!$C$17-ROUNDDOWN('High Level Dashboard'!$C$17,0)))),0)
+
(((SUMIFS('High Level Dashboard'!$B$112:$AV$112,'High Level Dashboard'!$B$64:$AV$64,"&gt;"&amp;'High Level Dashboard'!P$64-ROUNDDOWN('High Level Dashboard'!$C$17,0),'High Level Dashboard'!$B$64:$AV$64,"&lt;="&amp;'High Level Dashboard'!P$64)+(IFERROR(SUMIF('High Level Dashboard'!$B$64:$AV$64,ROUNDDOWN('High Level Dashboard'!P$64-'High Level Dashboard'!$C$17,0)+1,'High Level Dashboard'!$B$112:$AV$112)*(1-('High Level Dashboard'!$C$17-ROUNDDOWN('High Level Dashboard'!$C$17,0))),"")))*'High Level Dashboard'!$C$16)
))</f>
        <v>14.849478062140012</v>
      </c>
      <c r="R109" s="434">
        <f ca="1">'High Level Dashboard'!$C$54*'High Level Dashboard'!$C$15*
(-PMT('High Level Dashboard'!$C$16,'High Level Dashboard'!$C$18-'High Level Dashboard'!$C$17+1,
SUMIFS('High Level Dashboard'!$B$112:$AV$112,'High Level Dashboard'!$B$64:$AV$64,"&gt;="&amp;('High Level Dashboard'!Q$64-(ROUNDDOWN('High Level Dashboard'!$C$18,0))+1),'High Level Dashboard'!$B$64:$AV$64,"&lt;="&amp;('High Level Dashboard'!Q$64-(ROUNDUP('High Level Dashboard'!$C$17,0)))))
+
IFERROR(-PMT('High Level Dashboard'!$C$16,'High Level Dashboard'!$C$18-'High Level Dashboard'!$C$17+1,
(_xlfn.XLOOKUP('High Level Dashboard'!Q$64-(ROUNDUP('High Level Dashboard'!$C$18,0))+1,'High Level Dashboard'!$B$64:$AV$64,'High Level Dashboard'!$B$112:$AV$112,""))*('High Level Dashboard'!$C$18-(ROUNDDOWN('High Level Dashboard'!$C$18,0)))),0)
+
IFERROR(-PMT('High Level Dashboard'!$C$16,'High Level Dashboard'!$C$18-'High Level Dashboard'!$C$17+1,
(_xlfn.XLOOKUP('High Level Dashboard'!Q$64-(ROUNDDOWN('High Level Dashboard'!$C$17,0)),'High Level Dashboard'!$B$64:$AV$64,'High Level Dashboard'!$B$112:$AV$112,"")*('High Level Dashboard'!$C$17-ROUNDDOWN('High Level Dashboard'!$C$17,0)))),0)
+
(((SUMIFS('High Level Dashboard'!$B$112:$AV$112,'High Level Dashboard'!$B$64:$AV$64,"&gt;"&amp;'High Level Dashboard'!Q$64-ROUNDDOWN('High Level Dashboard'!$C$17,0),'High Level Dashboard'!$B$64:$AV$64,"&lt;="&amp;'High Level Dashboard'!Q$64)+(IFERROR(SUMIF('High Level Dashboard'!$B$64:$AV$64,ROUNDDOWN('High Level Dashboard'!Q$64-'High Level Dashboard'!$C$17,0)+1,'High Level Dashboard'!$B$112:$AV$112)*(1-('High Level Dashboard'!$C$17-ROUNDDOWN('High Level Dashboard'!$C$17,0))),"")))*'High Level Dashboard'!$C$16)
))</f>
        <v>16.648203503380362</v>
      </c>
      <c r="S109" s="434">
        <f ca="1">'High Level Dashboard'!$C$54*'High Level Dashboard'!$C$15*
(-PMT('High Level Dashboard'!$C$16,'High Level Dashboard'!$C$18-'High Level Dashboard'!$C$17+1,
SUMIFS('High Level Dashboard'!$B$112:$AV$112,'High Level Dashboard'!$B$64:$AV$64,"&gt;="&amp;('High Level Dashboard'!R$64-(ROUNDDOWN('High Level Dashboard'!$C$18,0))+1),'High Level Dashboard'!$B$64:$AV$64,"&lt;="&amp;('High Level Dashboard'!R$64-(ROUNDUP('High Level Dashboard'!$C$17,0)))))
+
IFERROR(-PMT('High Level Dashboard'!$C$16,'High Level Dashboard'!$C$18-'High Level Dashboard'!$C$17+1,
(_xlfn.XLOOKUP('High Level Dashboard'!R$64-(ROUNDUP('High Level Dashboard'!$C$18,0))+1,'High Level Dashboard'!$B$64:$AV$64,'High Level Dashboard'!$B$112:$AV$112,""))*('High Level Dashboard'!$C$18-(ROUNDDOWN('High Level Dashboard'!$C$18,0)))),0)
+
IFERROR(-PMT('High Level Dashboard'!$C$16,'High Level Dashboard'!$C$18-'High Level Dashboard'!$C$17+1,
(_xlfn.XLOOKUP('High Level Dashboard'!R$64-(ROUNDDOWN('High Level Dashboard'!$C$17,0)),'High Level Dashboard'!$B$64:$AV$64,'High Level Dashboard'!$B$112:$AV$112,"")*('High Level Dashboard'!$C$17-ROUNDDOWN('High Level Dashboard'!$C$17,0)))),0)
+
(((SUMIFS('High Level Dashboard'!$B$112:$AV$112,'High Level Dashboard'!$B$64:$AV$64,"&gt;"&amp;'High Level Dashboard'!R$64-ROUNDDOWN('High Level Dashboard'!$C$17,0),'High Level Dashboard'!$B$64:$AV$64,"&lt;="&amp;'High Level Dashboard'!R$64)+(IFERROR(SUMIF('High Level Dashboard'!$B$64:$AV$64,ROUNDDOWN('High Level Dashboard'!R$64-'High Level Dashboard'!$C$17,0)+1,'High Level Dashboard'!$B$112:$AV$112)*(1-('High Level Dashboard'!$C$17-ROUNDDOWN('High Level Dashboard'!$C$17,0))),"")))*'High Level Dashboard'!$C$16)
))</f>
        <v>18.40074707776774</v>
      </c>
      <c r="T109" s="434">
        <f ca="1">'High Level Dashboard'!$C$54*'High Level Dashboard'!$C$15*
(-PMT('High Level Dashboard'!$C$16,'High Level Dashboard'!$C$18-'High Level Dashboard'!$C$17+1,
SUMIFS('High Level Dashboard'!$B$112:$AV$112,'High Level Dashboard'!$B$64:$AV$64,"&gt;="&amp;('High Level Dashboard'!S$64-(ROUNDDOWN('High Level Dashboard'!$C$18,0))+1),'High Level Dashboard'!$B$64:$AV$64,"&lt;="&amp;('High Level Dashboard'!S$64-(ROUNDUP('High Level Dashboard'!$C$17,0)))))
+
IFERROR(-PMT('High Level Dashboard'!$C$16,'High Level Dashboard'!$C$18-'High Level Dashboard'!$C$17+1,
(_xlfn.XLOOKUP('High Level Dashboard'!S$64-(ROUNDUP('High Level Dashboard'!$C$18,0))+1,'High Level Dashboard'!$B$64:$AV$64,'High Level Dashboard'!$B$112:$AV$112,""))*('High Level Dashboard'!$C$18-(ROUNDDOWN('High Level Dashboard'!$C$18,0)))),0)
+
IFERROR(-PMT('High Level Dashboard'!$C$16,'High Level Dashboard'!$C$18-'High Level Dashboard'!$C$17+1,
(_xlfn.XLOOKUP('High Level Dashboard'!S$64-(ROUNDDOWN('High Level Dashboard'!$C$17,0)),'High Level Dashboard'!$B$64:$AV$64,'High Level Dashboard'!$B$112:$AV$112,"")*('High Level Dashboard'!$C$17-ROUNDDOWN('High Level Dashboard'!$C$17,0)))),0)
+
(((SUMIFS('High Level Dashboard'!$B$112:$AV$112,'High Level Dashboard'!$B$64:$AV$64,"&gt;"&amp;'High Level Dashboard'!S$64-ROUNDDOWN('High Level Dashboard'!$C$17,0),'High Level Dashboard'!$B$64:$AV$64,"&lt;="&amp;'High Level Dashboard'!S$64)+(IFERROR(SUMIF('High Level Dashboard'!$B$64:$AV$64,ROUNDDOWN('High Level Dashboard'!S$64-'High Level Dashboard'!$C$17,0)+1,'High Level Dashboard'!$B$112:$AV$112)*(1-('High Level Dashboard'!$C$17-ROUNDDOWN('High Level Dashboard'!$C$17,0))),"")))*'High Level Dashboard'!$C$16)
))</f>
        <v>20.248224463413482</v>
      </c>
      <c r="U109" s="434">
        <f ca="1">'High Level Dashboard'!$C$54*'High Level Dashboard'!$C$15*
(-PMT('High Level Dashboard'!$C$16,'High Level Dashboard'!$C$18-'High Level Dashboard'!$C$17+1,
SUMIFS('High Level Dashboard'!$B$112:$AV$112,'High Level Dashboard'!$B$64:$AV$64,"&gt;="&amp;('High Level Dashboard'!T$64-(ROUNDDOWN('High Level Dashboard'!$C$18,0))+1),'High Level Dashboard'!$B$64:$AV$64,"&lt;="&amp;('High Level Dashboard'!T$64-(ROUNDUP('High Level Dashboard'!$C$17,0)))))
+
IFERROR(-PMT('High Level Dashboard'!$C$16,'High Level Dashboard'!$C$18-'High Level Dashboard'!$C$17+1,
(_xlfn.XLOOKUP('High Level Dashboard'!T$64-(ROUNDUP('High Level Dashboard'!$C$18,0))+1,'High Level Dashboard'!$B$64:$AV$64,'High Level Dashboard'!$B$112:$AV$112,""))*('High Level Dashboard'!$C$18-(ROUNDDOWN('High Level Dashboard'!$C$18,0)))),0)
+
IFERROR(-PMT('High Level Dashboard'!$C$16,'High Level Dashboard'!$C$18-'High Level Dashboard'!$C$17+1,
(_xlfn.XLOOKUP('High Level Dashboard'!T$64-(ROUNDDOWN('High Level Dashboard'!$C$17,0)),'High Level Dashboard'!$B$64:$AV$64,'High Level Dashboard'!$B$112:$AV$112,"")*('High Level Dashboard'!$C$17-ROUNDDOWN('High Level Dashboard'!$C$17,0)))),0)
+
(((SUMIFS('High Level Dashboard'!$B$112:$AV$112,'High Level Dashboard'!$B$64:$AV$64,"&gt;"&amp;'High Level Dashboard'!T$64-ROUNDDOWN('High Level Dashboard'!$C$17,0),'High Level Dashboard'!$B$64:$AV$64,"&lt;="&amp;'High Level Dashboard'!T$64)+(IFERROR(SUMIF('High Level Dashboard'!$B$64:$AV$64,ROUNDDOWN('High Level Dashboard'!T$64-'High Level Dashboard'!$C$17,0)+1,'High Level Dashboard'!$B$112:$AV$112)*(1-('High Level Dashboard'!$C$17-ROUNDDOWN('High Level Dashboard'!$C$17,0))),"")))*'High Level Dashboard'!$C$16)
))</f>
        <v>21.861686673591503</v>
      </c>
      <c r="V109" s="434">
        <f ca="1">'High Level Dashboard'!$C$54*'High Level Dashboard'!$C$15*
(-PMT('High Level Dashboard'!$C$16,'High Level Dashboard'!$C$18-'High Level Dashboard'!$C$17+1,
SUMIFS('High Level Dashboard'!$B$112:$AV$112,'High Level Dashboard'!$B$64:$AV$64,"&gt;="&amp;('High Level Dashboard'!U$64-(ROUNDDOWN('High Level Dashboard'!$C$18,0))+1),'High Level Dashboard'!$B$64:$AV$64,"&lt;="&amp;('High Level Dashboard'!U$64-(ROUNDUP('High Level Dashboard'!$C$17,0)))))
+
IFERROR(-PMT('High Level Dashboard'!$C$16,'High Level Dashboard'!$C$18-'High Level Dashboard'!$C$17+1,
(_xlfn.XLOOKUP('High Level Dashboard'!U$64-(ROUNDUP('High Level Dashboard'!$C$18,0))+1,'High Level Dashboard'!$B$64:$AV$64,'High Level Dashboard'!$B$112:$AV$112,""))*('High Level Dashboard'!$C$18-(ROUNDDOWN('High Level Dashboard'!$C$18,0)))),0)
+
IFERROR(-PMT('High Level Dashboard'!$C$16,'High Level Dashboard'!$C$18-'High Level Dashboard'!$C$17+1,
(_xlfn.XLOOKUP('High Level Dashboard'!U$64-(ROUNDDOWN('High Level Dashboard'!$C$17,0)),'High Level Dashboard'!$B$64:$AV$64,'High Level Dashboard'!$B$112:$AV$112,"")*('High Level Dashboard'!$C$17-ROUNDDOWN('High Level Dashboard'!$C$17,0)))),0)
+
(((SUMIFS('High Level Dashboard'!$B$112:$AV$112,'High Level Dashboard'!$B$64:$AV$64,"&gt;"&amp;'High Level Dashboard'!U$64-ROUNDDOWN('High Level Dashboard'!$C$17,0),'High Level Dashboard'!$B$64:$AV$64,"&lt;="&amp;'High Level Dashboard'!U$64)+(IFERROR(SUMIF('High Level Dashboard'!$B$64:$AV$64,ROUNDDOWN('High Level Dashboard'!U$64-'High Level Dashboard'!$C$17,0)+1,'High Level Dashboard'!$B$112:$AV$112)*(1-('High Level Dashboard'!$C$17-ROUNDDOWN('High Level Dashboard'!$C$17,0))),"")))*'High Level Dashboard'!$C$16)
))</f>
        <v>23.892144524441452</v>
      </c>
      <c r="W109" s="434">
        <f ca="1">'High Level Dashboard'!$C$54*'High Level Dashboard'!$C$15*
(-PMT('High Level Dashboard'!$C$16,'High Level Dashboard'!$C$18-'High Level Dashboard'!$C$17+1,
SUMIFS('High Level Dashboard'!$B$112:$AV$112,'High Level Dashboard'!$B$64:$AV$64,"&gt;="&amp;('High Level Dashboard'!V$64-(ROUNDDOWN('High Level Dashboard'!$C$18,0))+1),'High Level Dashboard'!$B$64:$AV$64,"&lt;="&amp;('High Level Dashboard'!V$64-(ROUNDUP('High Level Dashboard'!$C$17,0)))))
+
IFERROR(-PMT('High Level Dashboard'!$C$16,'High Level Dashboard'!$C$18-'High Level Dashboard'!$C$17+1,
(_xlfn.XLOOKUP('High Level Dashboard'!V$64-(ROUNDUP('High Level Dashboard'!$C$18,0))+1,'High Level Dashboard'!$B$64:$AV$64,'High Level Dashboard'!$B$112:$AV$112,""))*('High Level Dashboard'!$C$18-(ROUNDDOWN('High Level Dashboard'!$C$18,0)))),0)
+
IFERROR(-PMT('High Level Dashboard'!$C$16,'High Level Dashboard'!$C$18-'High Level Dashboard'!$C$17+1,
(_xlfn.XLOOKUP('High Level Dashboard'!V$64-(ROUNDDOWN('High Level Dashboard'!$C$17,0)),'High Level Dashboard'!$B$64:$AV$64,'High Level Dashboard'!$B$112:$AV$112,"")*('High Level Dashboard'!$C$17-ROUNDDOWN('High Level Dashboard'!$C$17,0)))),0)
+
(((SUMIFS('High Level Dashboard'!$B$112:$AV$112,'High Level Dashboard'!$B$64:$AV$64,"&gt;"&amp;'High Level Dashboard'!V$64-ROUNDDOWN('High Level Dashboard'!$C$17,0),'High Level Dashboard'!$B$64:$AV$64,"&lt;="&amp;'High Level Dashboard'!V$64)+(IFERROR(SUMIF('High Level Dashboard'!$B$64:$AV$64,ROUNDDOWN('High Level Dashboard'!V$64-'High Level Dashboard'!$C$17,0)+1,'High Level Dashboard'!$B$112:$AV$112)*(1-('High Level Dashboard'!$C$17-ROUNDDOWN('High Level Dashboard'!$C$17,0))),"")))*'High Level Dashboard'!$C$16)
))</f>
        <v>25.944899732224169</v>
      </c>
      <c r="X109" s="434">
        <f ca="1">'High Level Dashboard'!$C$54*'High Level Dashboard'!$C$15*
(-PMT('High Level Dashboard'!$C$16,'High Level Dashboard'!$C$18-'High Level Dashboard'!$C$17+1,
SUMIFS('High Level Dashboard'!$B$112:$AV$112,'High Level Dashboard'!$B$64:$AV$64,"&gt;="&amp;('High Level Dashboard'!W$64-(ROUNDDOWN('High Level Dashboard'!$C$18,0))+1),'High Level Dashboard'!$B$64:$AV$64,"&lt;="&amp;('High Level Dashboard'!W$64-(ROUNDUP('High Level Dashboard'!$C$17,0)))))
+
IFERROR(-PMT('High Level Dashboard'!$C$16,'High Level Dashboard'!$C$18-'High Level Dashboard'!$C$17+1,
(_xlfn.XLOOKUP('High Level Dashboard'!W$64-(ROUNDUP('High Level Dashboard'!$C$18,0))+1,'High Level Dashboard'!$B$64:$AV$64,'High Level Dashboard'!$B$112:$AV$112,""))*('High Level Dashboard'!$C$18-(ROUNDDOWN('High Level Dashboard'!$C$18,0)))),0)
+
IFERROR(-PMT('High Level Dashboard'!$C$16,'High Level Dashboard'!$C$18-'High Level Dashboard'!$C$17+1,
(_xlfn.XLOOKUP('High Level Dashboard'!W$64-(ROUNDDOWN('High Level Dashboard'!$C$17,0)),'High Level Dashboard'!$B$64:$AV$64,'High Level Dashboard'!$B$112:$AV$112,"")*('High Level Dashboard'!$C$17-ROUNDDOWN('High Level Dashboard'!$C$17,0)))),0)
+
(((SUMIFS('High Level Dashboard'!$B$112:$AV$112,'High Level Dashboard'!$B$64:$AV$64,"&gt;"&amp;'High Level Dashboard'!W$64-ROUNDDOWN('High Level Dashboard'!$C$17,0),'High Level Dashboard'!$B$64:$AV$64,"&lt;="&amp;'High Level Dashboard'!W$64)+(IFERROR(SUMIF('High Level Dashboard'!$B$64:$AV$64,ROUNDDOWN('High Level Dashboard'!W$64-'High Level Dashboard'!$C$17,0)+1,'High Level Dashboard'!$B$112:$AV$112)*(1-('High Level Dashboard'!$C$17-ROUNDDOWN('High Level Dashboard'!$C$17,0))),"")))*'High Level Dashboard'!$C$16)
))</f>
        <v>28.05057815030667</v>
      </c>
      <c r="Y109" s="434">
        <f ca="1">'High Level Dashboard'!$C$54*'High Level Dashboard'!$C$15*
(-PMT('High Level Dashboard'!$C$16,'High Level Dashboard'!$C$18-'High Level Dashboard'!$C$17+1,
SUMIFS('High Level Dashboard'!$B$112:$AV$112,'High Level Dashboard'!$B$64:$AV$64,"&gt;="&amp;('High Level Dashboard'!X$64-(ROUNDDOWN('High Level Dashboard'!$C$18,0))+1),'High Level Dashboard'!$B$64:$AV$64,"&lt;="&amp;('High Level Dashboard'!X$64-(ROUNDUP('High Level Dashboard'!$C$17,0)))))
+
IFERROR(-PMT('High Level Dashboard'!$C$16,'High Level Dashboard'!$C$18-'High Level Dashboard'!$C$17+1,
(_xlfn.XLOOKUP('High Level Dashboard'!X$64-(ROUNDUP('High Level Dashboard'!$C$18,0))+1,'High Level Dashboard'!$B$64:$AV$64,'High Level Dashboard'!$B$112:$AV$112,""))*('High Level Dashboard'!$C$18-(ROUNDDOWN('High Level Dashboard'!$C$18,0)))),0)
+
IFERROR(-PMT('High Level Dashboard'!$C$16,'High Level Dashboard'!$C$18-'High Level Dashboard'!$C$17+1,
(_xlfn.XLOOKUP('High Level Dashboard'!X$64-(ROUNDDOWN('High Level Dashboard'!$C$17,0)),'High Level Dashboard'!$B$64:$AV$64,'High Level Dashboard'!$B$112:$AV$112,"")*('High Level Dashboard'!$C$17-ROUNDDOWN('High Level Dashboard'!$C$17,0)))),0)
+
(((SUMIFS('High Level Dashboard'!$B$112:$AV$112,'High Level Dashboard'!$B$64:$AV$64,"&gt;"&amp;'High Level Dashboard'!X$64-ROUNDDOWN('High Level Dashboard'!$C$17,0),'High Level Dashboard'!$B$64:$AV$64,"&lt;="&amp;'High Level Dashboard'!X$64)+(IFERROR(SUMIF('High Level Dashboard'!$B$64:$AV$64,ROUNDDOWN('High Level Dashboard'!X$64-'High Level Dashboard'!$C$17,0)+1,'High Level Dashboard'!$B$112:$AV$112)*(1-('High Level Dashboard'!$C$17-ROUNDDOWN('High Level Dashboard'!$C$17,0))),"")))*'High Level Dashboard'!$C$16)
))</f>
        <v>30.343280939068837</v>
      </c>
      <c r="Z109" s="434">
        <f ca="1">'High Level Dashboard'!$C$54*'High Level Dashboard'!$C$15*
(-PMT('High Level Dashboard'!$C$16,'High Level Dashboard'!$C$18-'High Level Dashboard'!$C$17+1,
SUMIFS('High Level Dashboard'!$B$112:$AV$112,'High Level Dashboard'!$B$64:$AV$64,"&gt;="&amp;('High Level Dashboard'!Y$64-(ROUNDDOWN('High Level Dashboard'!$C$18,0))+1),'High Level Dashboard'!$B$64:$AV$64,"&lt;="&amp;('High Level Dashboard'!Y$64-(ROUNDUP('High Level Dashboard'!$C$17,0)))))
+
IFERROR(-PMT('High Level Dashboard'!$C$16,'High Level Dashboard'!$C$18-'High Level Dashboard'!$C$17+1,
(_xlfn.XLOOKUP('High Level Dashboard'!Y$64-(ROUNDUP('High Level Dashboard'!$C$18,0))+1,'High Level Dashboard'!$B$64:$AV$64,'High Level Dashboard'!$B$112:$AV$112,""))*('High Level Dashboard'!$C$18-(ROUNDDOWN('High Level Dashboard'!$C$18,0)))),0)
+
IFERROR(-PMT('High Level Dashboard'!$C$16,'High Level Dashboard'!$C$18-'High Level Dashboard'!$C$17+1,
(_xlfn.XLOOKUP('High Level Dashboard'!Y$64-(ROUNDDOWN('High Level Dashboard'!$C$17,0)),'High Level Dashboard'!$B$64:$AV$64,'High Level Dashboard'!$B$112:$AV$112,"")*('High Level Dashboard'!$C$17-ROUNDDOWN('High Level Dashboard'!$C$17,0)))),0)
+
(((SUMIFS('High Level Dashboard'!$B$112:$AV$112,'High Level Dashboard'!$B$64:$AV$64,"&gt;"&amp;'High Level Dashboard'!Y$64-ROUNDDOWN('High Level Dashboard'!$C$17,0),'High Level Dashboard'!$B$64:$AV$64,"&lt;="&amp;'High Level Dashboard'!Y$64)+(IFERROR(SUMIF('High Level Dashboard'!$B$64:$AV$64,ROUNDDOWN('High Level Dashboard'!Y$64-'High Level Dashboard'!$C$17,0)+1,'High Level Dashboard'!$B$112:$AV$112)*(1-('High Level Dashboard'!$C$17-ROUNDDOWN('High Level Dashboard'!$C$17,0))),"")))*'High Level Dashboard'!$C$16)
))</f>
        <v>32.44215299620992</v>
      </c>
      <c r="AA109" s="434">
        <f ca="1">'High Level Dashboard'!$C$54*'High Level Dashboard'!$C$15*
(-PMT('High Level Dashboard'!$C$16,'High Level Dashboard'!$C$18-'High Level Dashboard'!$C$17+1,
SUMIFS('High Level Dashboard'!$B$112:$AV$112,'High Level Dashboard'!$B$64:$AV$64,"&gt;="&amp;('High Level Dashboard'!Z$64-(ROUNDDOWN('High Level Dashboard'!$C$18,0))+1),'High Level Dashboard'!$B$64:$AV$64,"&lt;="&amp;('High Level Dashboard'!Z$64-(ROUNDUP('High Level Dashboard'!$C$17,0)))))
+
IFERROR(-PMT('High Level Dashboard'!$C$16,'High Level Dashboard'!$C$18-'High Level Dashboard'!$C$17+1,
(_xlfn.XLOOKUP('High Level Dashboard'!Z$64-(ROUNDUP('High Level Dashboard'!$C$18,0))+1,'High Level Dashboard'!$B$64:$AV$64,'High Level Dashboard'!$B$112:$AV$112,""))*('High Level Dashboard'!$C$18-(ROUNDDOWN('High Level Dashboard'!$C$18,0)))),0)
+
IFERROR(-PMT('High Level Dashboard'!$C$16,'High Level Dashboard'!$C$18-'High Level Dashboard'!$C$17+1,
(_xlfn.XLOOKUP('High Level Dashboard'!Z$64-(ROUNDDOWN('High Level Dashboard'!$C$17,0)),'High Level Dashboard'!$B$64:$AV$64,'High Level Dashboard'!$B$112:$AV$112,"")*('High Level Dashboard'!$C$17-ROUNDDOWN('High Level Dashboard'!$C$17,0)))),0)
+
(((SUMIFS('High Level Dashboard'!$B$112:$AV$112,'High Level Dashboard'!$B$64:$AV$64,"&gt;"&amp;'High Level Dashboard'!Z$64-ROUNDDOWN('High Level Dashboard'!$C$17,0),'High Level Dashboard'!$B$64:$AV$64,"&lt;="&amp;'High Level Dashboard'!Z$64)+(IFERROR(SUMIF('High Level Dashboard'!$B$64:$AV$64,ROUNDDOWN('High Level Dashboard'!Z$64-'High Level Dashboard'!$C$17,0)+1,'High Level Dashboard'!$B$112:$AV$112)*(1-('High Level Dashboard'!$C$17-ROUNDDOWN('High Level Dashboard'!$C$17,0))),"")))*'High Level Dashboard'!$C$16)
))</f>
        <v>34.041845998452629</v>
      </c>
      <c r="AB109" s="434">
        <f ca="1">'High Level Dashboard'!$C$54*'High Level Dashboard'!$C$15*
(-PMT('High Level Dashboard'!$C$16,'High Level Dashboard'!$C$18-'High Level Dashboard'!$C$17+1,
SUMIFS('High Level Dashboard'!$B$112:$AV$112,'High Level Dashboard'!$B$64:$AV$64,"&gt;="&amp;('High Level Dashboard'!AA$64-(ROUNDDOWN('High Level Dashboard'!$C$18,0))+1),'High Level Dashboard'!$B$64:$AV$64,"&lt;="&amp;('High Level Dashboard'!AA$64-(ROUNDUP('High Level Dashboard'!$C$17,0)))))
+
IFERROR(-PMT('High Level Dashboard'!$C$16,'High Level Dashboard'!$C$18-'High Level Dashboard'!$C$17+1,
(_xlfn.XLOOKUP('High Level Dashboard'!AA$64-(ROUNDUP('High Level Dashboard'!$C$18,0))+1,'High Level Dashboard'!$B$64:$AV$64,'High Level Dashboard'!$B$112:$AV$112,""))*('High Level Dashboard'!$C$18-(ROUNDDOWN('High Level Dashboard'!$C$18,0)))),0)
+
IFERROR(-PMT('High Level Dashboard'!$C$16,'High Level Dashboard'!$C$18-'High Level Dashboard'!$C$17+1,
(_xlfn.XLOOKUP('High Level Dashboard'!AA$64-(ROUNDDOWN('High Level Dashboard'!$C$17,0)),'High Level Dashboard'!$B$64:$AV$64,'High Level Dashboard'!$B$112:$AV$112,"")*('High Level Dashboard'!$C$17-ROUNDDOWN('High Level Dashboard'!$C$17,0)))),0)
+
(((SUMIFS('High Level Dashboard'!$B$112:$AV$112,'High Level Dashboard'!$B$64:$AV$64,"&gt;"&amp;'High Level Dashboard'!AA$64-ROUNDDOWN('High Level Dashboard'!$C$17,0),'High Level Dashboard'!$B$64:$AV$64,"&lt;="&amp;'High Level Dashboard'!AA$64)+(IFERROR(SUMIF('High Level Dashboard'!$B$64:$AV$64,ROUNDDOWN('High Level Dashboard'!AA$64-'High Level Dashboard'!$C$17,0)+1,'High Level Dashboard'!$B$112:$AV$112)*(1-('High Level Dashboard'!$C$17-ROUNDDOWN('High Level Dashboard'!$C$17,0))),"")))*'High Level Dashboard'!$C$16)
))</f>
        <v>35.335929915010006</v>
      </c>
      <c r="AC109" s="434">
        <f ca="1">'High Level Dashboard'!$C$54*'High Level Dashboard'!$C$15*
(-PMT('High Level Dashboard'!$C$16,'High Level Dashboard'!$C$18-'High Level Dashboard'!$C$17+1,
SUMIFS('High Level Dashboard'!$B$112:$AV$112,'High Level Dashboard'!$B$64:$AV$64,"&gt;="&amp;('High Level Dashboard'!AB$64-(ROUNDDOWN('High Level Dashboard'!$C$18,0))+1),'High Level Dashboard'!$B$64:$AV$64,"&lt;="&amp;('High Level Dashboard'!AB$64-(ROUNDUP('High Level Dashboard'!$C$17,0)))))
+
IFERROR(-PMT('High Level Dashboard'!$C$16,'High Level Dashboard'!$C$18-'High Level Dashboard'!$C$17+1,
(_xlfn.XLOOKUP('High Level Dashboard'!AB$64-(ROUNDUP('High Level Dashboard'!$C$18,0))+1,'High Level Dashboard'!$B$64:$AV$64,'High Level Dashboard'!$B$112:$AV$112,""))*('High Level Dashboard'!$C$18-(ROUNDDOWN('High Level Dashboard'!$C$18,0)))),0)
+
IFERROR(-PMT('High Level Dashboard'!$C$16,'High Level Dashboard'!$C$18-'High Level Dashboard'!$C$17+1,
(_xlfn.XLOOKUP('High Level Dashboard'!AB$64-(ROUNDDOWN('High Level Dashboard'!$C$17,0)),'High Level Dashboard'!$B$64:$AV$64,'High Level Dashboard'!$B$112:$AV$112,"")*('High Level Dashboard'!$C$17-ROUNDDOWN('High Level Dashboard'!$C$17,0)))),0)
+
(((SUMIFS('High Level Dashboard'!$B$112:$AV$112,'High Level Dashboard'!$B$64:$AV$64,"&gt;"&amp;'High Level Dashboard'!AB$64-ROUNDDOWN('High Level Dashboard'!$C$17,0),'High Level Dashboard'!$B$64:$AV$64,"&lt;="&amp;'High Level Dashboard'!AB$64)+(IFERROR(SUMIF('High Level Dashboard'!$B$64:$AV$64,ROUNDDOWN('High Level Dashboard'!AB$64-'High Level Dashboard'!$C$17,0)+1,'High Level Dashboard'!$B$112:$AV$112)*(1-('High Level Dashboard'!$C$17-ROUNDDOWN('High Level Dashboard'!$C$17,0))),"")))*'High Level Dashboard'!$C$16)
))</f>
        <v>36.425745097136669</v>
      </c>
      <c r="AD109" s="434">
        <f ca="1">'High Level Dashboard'!$C$54*'High Level Dashboard'!$C$15*
(-PMT('High Level Dashboard'!$C$16,'High Level Dashboard'!$C$18-'High Level Dashboard'!$C$17+1,
SUMIFS('High Level Dashboard'!$B$112:$AV$112,'High Level Dashboard'!$B$64:$AV$64,"&gt;="&amp;('High Level Dashboard'!AC$64-(ROUNDDOWN('High Level Dashboard'!$C$18,0))+1),'High Level Dashboard'!$B$64:$AV$64,"&lt;="&amp;('High Level Dashboard'!AC$64-(ROUNDUP('High Level Dashboard'!$C$17,0)))))
+
IFERROR(-PMT('High Level Dashboard'!$C$16,'High Level Dashboard'!$C$18-'High Level Dashboard'!$C$17+1,
(_xlfn.XLOOKUP('High Level Dashboard'!AC$64-(ROUNDUP('High Level Dashboard'!$C$18,0))+1,'High Level Dashboard'!$B$64:$AV$64,'High Level Dashboard'!$B$112:$AV$112,""))*('High Level Dashboard'!$C$18-(ROUNDDOWN('High Level Dashboard'!$C$18,0)))),0)
+
IFERROR(-PMT('High Level Dashboard'!$C$16,'High Level Dashboard'!$C$18-'High Level Dashboard'!$C$17+1,
(_xlfn.XLOOKUP('High Level Dashboard'!AC$64-(ROUNDDOWN('High Level Dashboard'!$C$17,0)),'High Level Dashboard'!$B$64:$AV$64,'High Level Dashboard'!$B$112:$AV$112,"")*('High Level Dashboard'!$C$17-ROUNDDOWN('High Level Dashboard'!$C$17,0)))),0)
+
(((SUMIFS('High Level Dashboard'!$B$112:$AV$112,'High Level Dashboard'!$B$64:$AV$64,"&gt;"&amp;'High Level Dashboard'!AC$64-ROUNDDOWN('High Level Dashboard'!$C$17,0),'High Level Dashboard'!$B$64:$AV$64,"&lt;="&amp;'High Level Dashboard'!AC$64)+(IFERROR(SUMIF('High Level Dashboard'!$B$64:$AV$64,ROUNDDOWN('High Level Dashboard'!AC$64-'High Level Dashboard'!$C$17,0)+1,'High Level Dashboard'!$B$112:$AV$112)*(1-('High Level Dashboard'!$C$17-ROUNDDOWN('High Level Dashboard'!$C$17,0))),"")))*'High Level Dashboard'!$C$16)
))</f>
        <v>36.850718064263233</v>
      </c>
      <c r="AE109" s="434">
        <f ca="1">'High Level Dashboard'!$C$54*'High Level Dashboard'!$C$15*
(-PMT('High Level Dashboard'!$C$16,'High Level Dashboard'!$C$18-'High Level Dashboard'!$C$17+1,
SUMIFS('High Level Dashboard'!$B$112:$AV$112,'High Level Dashboard'!$B$64:$AV$64,"&gt;="&amp;('High Level Dashboard'!AD$64-(ROUNDDOWN('High Level Dashboard'!$C$18,0))+1),'High Level Dashboard'!$B$64:$AV$64,"&lt;="&amp;('High Level Dashboard'!AD$64-(ROUNDUP('High Level Dashboard'!$C$17,0)))))
+
IFERROR(-PMT('High Level Dashboard'!$C$16,'High Level Dashboard'!$C$18-'High Level Dashboard'!$C$17+1,
(_xlfn.XLOOKUP('High Level Dashboard'!AD$64-(ROUNDUP('High Level Dashboard'!$C$18,0))+1,'High Level Dashboard'!$B$64:$AV$64,'High Level Dashboard'!$B$112:$AV$112,""))*('High Level Dashboard'!$C$18-(ROUNDDOWN('High Level Dashboard'!$C$18,0)))),0)
+
IFERROR(-PMT('High Level Dashboard'!$C$16,'High Level Dashboard'!$C$18-'High Level Dashboard'!$C$17+1,
(_xlfn.XLOOKUP('High Level Dashboard'!AD$64-(ROUNDDOWN('High Level Dashboard'!$C$17,0)),'High Level Dashboard'!$B$64:$AV$64,'High Level Dashboard'!$B$112:$AV$112,"")*('High Level Dashboard'!$C$17-ROUNDDOWN('High Level Dashboard'!$C$17,0)))),0)
+
(((SUMIFS('High Level Dashboard'!$B$112:$AV$112,'High Level Dashboard'!$B$64:$AV$64,"&gt;"&amp;'High Level Dashboard'!AD$64-ROUNDDOWN('High Level Dashboard'!$C$17,0),'High Level Dashboard'!$B$64:$AV$64,"&lt;="&amp;'High Level Dashboard'!AD$64)+(IFERROR(SUMIF('High Level Dashboard'!$B$64:$AV$64,ROUNDDOWN('High Level Dashboard'!AD$64-'High Level Dashboard'!$C$17,0)+1,'High Level Dashboard'!$B$112:$AV$112)*(1-('High Level Dashboard'!$C$17-ROUNDDOWN('High Level Dashboard'!$C$17,0))),"")))*'High Level Dashboard'!$C$16)
))</f>
        <v>37.743528354490209</v>
      </c>
      <c r="AF109" s="434">
        <f ca="1">'High Level Dashboard'!$C$54*'High Level Dashboard'!$C$15*
(-PMT('High Level Dashboard'!$C$16,'High Level Dashboard'!$C$18-'High Level Dashboard'!$C$17+1,
SUMIFS('High Level Dashboard'!$B$112:$AV$112,'High Level Dashboard'!$B$64:$AV$64,"&gt;="&amp;('High Level Dashboard'!AE$64-(ROUNDDOWN('High Level Dashboard'!$C$18,0))+1),'High Level Dashboard'!$B$64:$AV$64,"&lt;="&amp;('High Level Dashboard'!AE$64-(ROUNDUP('High Level Dashboard'!$C$17,0)))))
+
IFERROR(-PMT('High Level Dashboard'!$C$16,'High Level Dashboard'!$C$18-'High Level Dashboard'!$C$17+1,
(_xlfn.XLOOKUP('High Level Dashboard'!AE$64-(ROUNDUP('High Level Dashboard'!$C$18,0))+1,'High Level Dashboard'!$B$64:$AV$64,'High Level Dashboard'!$B$112:$AV$112,""))*('High Level Dashboard'!$C$18-(ROUNDDOWN('High Level Dashboard'!$C$18,0)))),0)
+
IFERROR(-PMT('High Level Dashboard'!$C$16,'High Level Dashboard'!$C$18-'High Level Dashboard'!$C$17+1,
(_xlfn.XLOOKUP('High Level Dashboard'!AE$64-(ROUNDDOWN('High Level Dashboard'!$C$17,0)),'High Level Dashboard'!$B$64:$AV$64,'High Level Dashboard'!$B$112:$AV$112,"")*('High Level Dashboard'!$C$17-ROUNDDOWN('High Level Dashboard'!$C$17,0)))),0)
+
(((SUMIFS('High Level Dashboard'!$B$112:$AV$112,'High Level Dashboard'!$B$64:$AV$64,"&gt;"&amp;'High Level Dashboard'!AE$64-ROUNDDOWN('High Level Dashboard'!$C$17,0),'High Level Dashboard'!$B$64:$AV$64,"&lt;="&amp;'High Level Dashboard'!AE$64)+(IFERROR(SUMIF('High Level Dashboard'!$B$64:$AV$64,ROUNDDOWN('High Level Dashboard'!AE$64-'High Level Dashboard'!$C$17,0)+1,'High Level Dashboard'!$B$112:$AV$112)*(1-('High Level Dashboard'!$C$17-ROUNDDOWN('High Level Dashboard'!$C$17,0))),"")))*'High Level Dashboard'!$C$16)
))</f>
        <v>39.161679865751807</v>
      </c>
      <c r="AG109" s="434">
        <f ca="1">'High Level Dashboard'!$C$54*'High Level Dashboard'!$C$15*
(-PMT('High Level Dashboard'!$C$16,'High Level Dashboard'!$C$18-'High Level Dashboard'!$C$17+1,
SUMIFS('High Level Dashboard'!$B$112:$AV$112,'High Level Dashboard'!$B$64:$AV$64,"&gt;="&amp;('High Level Dashboard'!AF$64-(ROUNDDOWN('High Level Dashboard'!$C$18,0))+1),'High Level Dashboard'!$B$64:$AV$64,"&lt;="&amp;('High Level Dashboard'!AF$64-(ROUNDUP('High Level Dashboard'!$C$17,0)))))
+
IFERROR(-PMT('High Level Dashboard'!$C$16,'High Level Dashboard'!$C$18-'High Level Dashboard'!$C$17+1,
(_xlfn.XLOOKUP('High Level Dashboard'!AF$64-(ROUNDUP('High Level Dashboard'!$C$18,0))+1,'High Level Dashboard'!$B$64:$AV$64,'High Level Dashboard'!$B$112:$AV$112,""))*('High Level Dashboard'!$C$18-(ROUNDDOWN('High Level Dashboard'!$C$18,0)))),0)
+
IFERROR(-PMT('High Level Dashboard'!$C$16,'High Level Dashboard'!$C$18-'High Level Dashboard'!$C$17+1,
(_xlfn.XLOOKUP('High Level Dashboard'!AF$64-(ROUNDDOWN('High Level Dashboard'!$C$17,0)),'High Level Dashboard'!$B$64:$AV$64,'High Level Dashboard'!$B$112:$AV$112,"")*('High Level Dashboard'!$C$17-ROUNDDOWN('High Level Dashboard'!$C$17,0)))),0)
+
(((SUMIFS('High Level Dashboard'!$B$112:$AV$112,'High Level Dashboard'!$B$64:$AV$64,"&gt;"&amp;'High Level Dashboard'!AF$64-ROUNDDOWN('High Level Dashboard'!$C$17,0),'High Level Dashboard'!$B$64:$AV$64,"&lt;="&amp;'High Level Dashboard'!AF$64)+(IFERROR(SUMIF('High Level Dashboard'!$B$64:$AV$64,ROUNDDOWN('High Level Dashboard'!AF$64-'High Level Dashboard'!$C$17,0)+1,'High Level Dashboard'!$B$112:$AV$112)*(1-('High Level Dashboard'!$C$17-ROUNDDOWN('High Level Dashboard'!$C$17,0))),"")))*'High Level Dashboard'!$C$16)
))</f>
        <v>40.755080615043262</v>
      </c>
      <c r="AH109" s="434">
        <f ca="1">'High Level Dashboard'!$C$54*'High Level Dashboard'!$C$15*
(-PMT('High Level Dashboard'!$C$16,'High Level Dashboard'!$C$18-'High Level Dashboard'!$C$17+1,
SUMIFS('High Level Dashboard'!$B$112:$AV$112,'High Level Dashboard'!$B$64:$AV$64,"&gt;="&amp;('High Level Dashboard'!AG$64-(ROUNDDOWN('High Level Dashboard'!$C$18,0))+1),'High Level Dashboard'!$B$64:$AV$64,"&lt;="&amp;('High Level Dashboard'!AG$64-(ROUNDUP('High Level Dashboard'!$C$17,0)))))
+
IFERROR(-PMT('High Level Dashboard'!$C$16,'High Level Dashboard'!$C$18-'High Level Dashboard'!$C$17+1,
(_xlfn.XLOOKUP('High Level Dashboard'!AG$64-(ROUNDUP('High Level Dashboard'!$C$18,0))+1,'High Level Dashboard'!$B$64:$AV$64,'High Level Dashboard'!$B$112:$AV$112,""))*('High Level Dashboard'!$C$18-(ROUNDDOWN('High Level Dashboard'!$C$18,0)))),0)
+
IFERROR(-PMT('High Level Dashboard'!$C$16,'High Level Dashboard'!$C$18-'High Level Dashboard'!$C$17+1,
(_xlfn.XLOOKUP('High Level Dashboard'!AG$64-(ROUNDDOWN('High Level Dashboard'!$C$17,0)),'High Level Dashboard'!$B$64:$AV$64,'High Level Dashboard'!$B$112:$AV$112,"")*('High Level Dashboard'!$C$17-ROUNDDOWN('High Level Dashboard'!$C$17,0)))),0)
+
(((SUMIFS('High Level Dashboard'!$B$112:$AV$112,'High Level Dashboard'!$B$64:$AV$64,"&gt;"&amp;'High Level Dashboard'!AG$64-ROUNDDOWN('High Level Dashboard'!$C$17,0),'High Level Dashboard'!$B$64:$AV$64,"&lt;="&amp;'High Level Dashboard'!AG$64)+(IFERROR(SUMIF('High Level Dashboard'!$B$64:$AV$64,ROUNDDOWN('High Level Dashboard'!AG$64-'High Level Dashboard'!$C$17,0)+1,'High Level Dashboard'!$B$112:$AV$112)*(1-('High Level Dashboard'!$C$17-ROUNDDOWN('High Level Dashboard'!$C$17,0))),"")))*'High Level Dashboard'!$C$16)
))</f>
        <v>42.487297168413214</v>
      </c>
      <c r="AI109" s="434">
        <f ca="1">'High Level Dashboard'!$C$54*'High Level Dashboard'!$C$15*
(-PMT('High Level Dashboard'!$C$16,'High Level Dashboard'!$C$18-'High Level Dashboard'!$C$17+1,
SUMIFS('High Level Dashboard'!$B$112:$AV$112,'High Level Dashboard'!$B$64:$AV$64,"&gt;="&amp;('High Level Dashboard'!AH$64-(ROUNDDOWN('High Level Dashboard'!$C$18,0))+1),'High Level Dashboard'!$B$64:$AV$64,"&lt;="&amp;('High Level Dashboard'!AH$64-(ROUNDUP('High Level Dashboard'!$C$17,0)))))
+
IFERROR(-PMT('High Level Dashboard'!$C$16,'High Level Dashboard'!$C$18-'High Level Dashboard'!$C$17+1,
(_xlfn.XLOOKUP('High Level Dashboard'!AH$64-(ROUNDUP('High Level Dashboard'!$C$18,0))+1,'High Level Dashboard'!$B$64:$AV$64,'High Level Dashboard'!$B$112:$AV$112,""))*('High Level Dashboard'!$C$18-(ROUNDDOWN('High Level Dashboard'!$C$18,0)))),0)
+
IFERROR(-PMT('High Level Dashboard'!$C$16,'High Level Dashboard'!$C$18-'High Level Dashboard'!$C$17+1,
(_xlfn.XLOOKUP('High Level Dashboard'!AH$64-(ROUNDDOWN('High Level Dashboard'!$C$17,0)),'High Level Dashboard'!$B$64:$AV$64,'High Level Dashboard'!$B$112:$AV$112,"")*('High Level Dashboard'!$C$17-ROUNDDOWN('High Level Dashboard'!$C$17,0)))),0)
+
(((SUMIFS('High Level Dashboard'!$B$112:$AV$112,'High Level Dashboard'!$B$64:$AV$64,"&gt;"&amp;'High Level Dashboard'!AH$64-ROUNDDOWN('High Level Dashboard'!$C$17,0),'High Level Dashboard'!$B$64:$AV$64,"&lt;="&amp;'High Level Dashboard'!AH$64)+(IFERROR(SUMIF('High Level Dashboard'!$B$64:$AV$64,ROUNDDOWN('High Level Dashboard'!AH$64-'High Level Dashboard'!$C$17,0)+1,'High Level Dashboard'!$B$112:$AV$112)*(1-('High Level Dashboard'!$C$17-ROUNDDOWN('High Level Dashboard'!$C$17,0))),"")))*'High Level Dashboard'!$C$16)
))</f>
        <v>43.770928761087497</v>
      </c>
      <c r="AJ109" s="434">
        <f ca="1">'High Level Dashboard'!$C$54*'High Level Dashboard'!$C$15*
(-PMT('High Level Dashboard'!$C$16,'High Level Dashboard'!$C$18-'High Level Dashboard'!$C$17+1,
SUMIFS('High Level Dashboard'!$B$112:$AV$112,'High Level Dashboard'!$B$64:$AV$64,"&gt;="&amp;('High Level Dashboard'!AI$64-(ROUNDDOWN('High Level Dashboard'!$C$18,0))+1),'High Level Dashboard'!$B$64:$AV$64,"&lt;="&amp;('High Level Dashboard'!AI$64-(ROUNDUP('High Level Dashboard'!$C$17,0)))))
+
IFERROR(-PMT('High Level Dashboard'!$C$16,'High Level Dashboard'!$C$18-'High Level Dashboard'!$C$17+1,
(_xlfn.XLOOKUP('High Level Dashboard'!AI$64-(ROUNDUP('High Level Dashboard'!$C$18,0))+1,'High Level Dashboard'!$B$64:$AV$64,'High Level Dashboard'!$B$112:$AV$112,""))*('High Level Dashboard'!$C$18-(ROUNDDOWN('High Level Dashboard'!$C$18,0)))),0)
+
IFERROR(-PMT('High Level Dashboard'!$C$16,'High Level Dashboard'!$C$18-'High Level Dashboard'!$C$17+1,
(_xlfn.XLOOKUP('High Level Dashboard'!AI$64-(ROUNDDOWN('High Level Dashboard'!$C$17,0)),'High Level Dashboard'!$B$64:$AV$64,'High Level Dashboard'!$B$112:$AV$112,"")*('High Level Dashboard'!$C$17-ROUNDDOWN('High Level Dashboard'!$C$17,0)))),0)
+
(((SUMIFS('High Level Dashboard'!$B$112:$AV$112,'High Level Dashboard'!$B$64:$AV$64,"&gt;"&amp;'High Level Dashboard'!AI$64-ROUNDDOWN('High Level Dashboard'!$C$17,0),'High Level Dashboard'!$B$64:$AV$64,"&lt;="&amp;'High Level Dashboard'!AI$64)+(IFERROR(SUMIF('High Level Dashboard'!$B$64:$AV$64,ROUNDDOWN('High Level Dashboard'!AI$64-'High Level Dashboard'!$C$17,0)+1,'High Level Dashboard'!$B$112:$AV$112)*(1-('High Level Dashboard'!$C$17-ROUNDDOWN('High Level Dashboard'!$C$17,0))),"")))*'High Level Dashboard'!$C$16)
))</f>
        <v>45.471739313122669</v>
      </c>
      <c r="AK109" s="434">
        <f ca="1">'High Level Dashboard'!$C$54*'High Level Dashboard'!$C$15*
(-PMT('High Level Dashboard'!$C$16,'High Level Dashboard'!$C$18-'High Level Dashboard'!$C$17+1,
SUMIFS('High Level Dashboard'!$B$112:$AV$112,'High Level Dashboard'!$B$64:$AV$64,"&gt;="&amp;('High Level Dashboard'!AJ$64-(ROUNDDOWN('High Level Dashboard'!$C$18,0))+1),'High Level Dashboard'!$B$64:$AV$64,"&lt;="&amp;('High Level Dashboard'!AJ$64-(ROUNDUP('High Level Dashboard'!$C$17,0)))))
+
IFERROR(-PMT('High Level Dashboard'!$C$16,'High Level Dashboard'!$C$18-'High Level Dashboard'!$C$17+1,
(_xlfn.XLOOKUP('High Level Dashboard'!AJ$64-(ROUNDUP('High Level Dashboard'!$C$18,0))+1,'High Level Dashboard'!$B$64:$AV$64,'High Level Dashboard'!$B$112:$AV$112,""))*('High Level Dashboard'!$C$18-(ROUNDDOWN('High Level Dashboard'!$C$18,0)))),0)
+
IFERROR(-PMT('High Level Dashboard'!$C$16,'High Level Dashboard'!$C$18-'High Level Dashboard'!$C$17+1,
(_xlfn.XLOOKUP('High Level Dashboard'!AJ$64-(ROUNDDOWN('High Level Dashboard'!$C$17,0)),'High Level Dashboard'!$B$64:$AV$64,'High Level Dashboard'!$B$112:$AV$112,"")*('High Level Dashboard'!$C$17-ROUNDDOWN('High Level Dashboard'!$C$17,0)))),0)
+
(((SUMIFS('High Level Dashboard'!$B$112:$AV$112,'High Level Dashboard'!$B$64:$AV$64,"&gt;"&amp;'High Level Dashboard'!AJ$64-ROUNDDOWN('High Level Dashboard'!$C$17,0),'High Level Dashboard'!$B$64:$AV$64,"&lt;="&amp;'High Level Dashboard'!AJ$64)+(IFERROR(SUMIF('High Level Dashboard'!$B$64:$AV$64,ROUNDDOWN('High Level Dashboard'!AJ$64-'High Level Dashboard'!$C$17,0)+1,'High Level Dashboard'!$B$112:$AV$112)*(1-('High Level Dashboard'!$C$17-ROUNDDOWN('High Level Dashboard'!$C$17,0))),"")))*'High Level Dashboard'!$C$16)
))</f>
        <v>47.150486645017537</v>
      </c>
      <c r="AL109" s="434">
        <f ca="1">'High Level Dashboard'!$C$54*'High Level Dashboard'!$C$15*
(-PMT('High Level Dashboard'!$C$16,'High Level Dashboard'!$C$18-'High Level Dashboard'!$C$17+1,
SUMIFS('High Level Dashboard'!$B$112:$AV$112,'High Level Dashboard'!$B$64:$AV$64,"&gt;="&amp;('High Level Dashboard'!AK$64-(ROUNDDOWN('High Level Dashboard'!$C$18,0))+1),'High Level Dashboard'!$B$64:$AV$64,"&lt;="&amp;('High Level Dashboard'!AK$64-(ROUNDUP('High Level Dashboard'!$C$17,0)))))
+
IFERROR(-PMT('High Level Dashboard'!$C$16,'High Level Dashboard'!$C$18-'High Level Dashboard'!$C$17+1,
(_xlfn.XLOOKUP('High Level Dashboard'!AK$64-(ROUNDUP('High Level Dashboard'!$C$18,0))+1,'High Level Dashboard'!$B$64:$AV$64,'High Level Dashboard'!$B$112:$AV$112,""))*('High Level Dashboard'!$C$18-(ROUNDDOWN('High Level Dashboard'!$C$18,0)))),0)
+
IFERROR(-PMT('High Level Dashboard'!$C$16,'High Level Dashboard'!$C$18-'High Level Dashboard'!$C$17+1,
(_xlfn.XLOOKUP('High Level Dashboard'!AK$64-(ROUNDDOWN('High Level Dashboard'!$C$17,0)),'High Level Dashboard'!$B$64:$AV$64,'High Level Dashboard'!$B$112:$AV$112,"")*('High Level Dashboard'!$C$17-ROUNDDOWN('High Level Dashboard'!$C$17,0)))),0)
+
(((SUMIFS('High Level Dashboard'!$B$112:$AV$112,'High Level Dashboard'!$B$64:$AV$64,"&gt;"&amp;'High Level Dashboard'!AK$64-ROUNDDOWN('High Level Dashboard'!$C$17,0),'High Level Dashboard'!$B$64:$AV$64,"&lt;="&amp;'High Level Dashboard'!AK$64)+(IFERROR(SUMIF('High Level Dashboard'!$B$64:$AV$64,ROUNDDOWN('High Level Dashboard'!AK$64-'High Level Dashboard'!$C$17,0)+1,'High Level Dashboard'!$B$112:$AV$112)*(1-('High Level Dashboard'!$C$17-ROUNDDOWN('High Level Dashboard'!$C$17,0))),"")))*'High Level Dashboard'!$C$16)
))</f>
        <v>48.196470983976184</v>
      </c>
      <c r="AM109" s="434">
        <f ca="1">'High Level Dashboard'!$C$54*'High Level Dashboard'!$C$15*
(-PMT('High Level Dashboard'!$C$16,'High Level Dashboard'!$C$18-'High Level Dashboard'!$C$17+1,
SUMIFS('High Level Dashboard'!$B$112:$AV$112,'High Level Dashboard'!$B$64:$AV$64,"&gt;="&amp;('High Level Dashboard'!AL$64-(ROUNDDOWN('High Level Dashboard'!$C$18,0))+1),'High Level Dashboard'!$B$64:$AV$64,"&lt;="&amp;('High Level Dashboard'!AL$64-(ROUNDUP('High Level Dashboard'!$C$17,0)))))
+
IFERROR(-PMT('High Level Dashboard'!$C$16,'High Level Dashboard'!$C$18-'High Level Dashboard'!$C$17+1,
(_xlfn.XLOOKUP('High Level Dashboard'!AL$64-(ROUNDUP('High Level Dashboard'!$C$18,0))+1,'High Level Dashboard'!$B$64:$AV$64,'High Level Dashboard'!$B$112:$AV$112,""))*('High Level Dashboard'!$C$18-(ROUNDDOWN('High Level Dashboard'!$C$18,0)))),0)
+
IFERROR(-PMT('High Level Dashboard'!$C$16,'High Level Dashboard'!$C$18-'High Level Dashboard'!$C$17+1,
(_xlfn.XLOOKUP('High Level Dashboard'!AL$64-(ROUNDDOWN('High Level Dashboard'!$C$17,0)),'High Level Dashboard'!$B$64:$AV$64,'High Level Dashboard'!$B$112:$AV$112,"")*('High Level Dashboard'!$C$17-ROUNDDOWN('High Level Dashboard'!$C$17,0)))),0)
+
(((SUMIFS('High Level Dashboard'!$B$112:$AV$112,'High Level Dashboard'!$B$64:$AV$64,"&gt;"&amp;'High Level Dashboard'!AL$64-ROUNDDOWN('High Level Dashboard'!$C$17,0),'High Level Dashboard'!$B$64:$AV$64,"&lt;="&amp;'High Level Dashboard'!AL$64)+(IFERROR(SUMIF('High Level Dashboard'!$B$64:$AV$64,ROUNDDOWN('High Level Dashboard'!AL$64-'High Level Dashboard'!$C$17,0)+1,'High Level Dashboard'!$B$112:$AV$112)*(1-('High Level Dashboard'!$C$17-ROUNDDOWN('High Level Dashboard'!$C$17,0))),"")))*'High Level Dashboard'!$C$16)
))</f>
        <v>49.269859107448035</v>
      </c>
      <c r="AN109" s="434">
        <f ca="1">'High Level Dashboard'!$C$54*'High Level Dashboard'!$C$15*
(-PMT('High Level Dashboard'!$C$16,'High Level Dashboard'!$C$18-'High Level Dashboard'!$C$17+1,
SUMIFS('High Level Dashboard'!$B$112:$AV$112,'High Level Dashboard'!$B$64:$AV$64,"&gt;="&amp;('High Level Dashboard'!AM$64-(ROUNDDOWN('High Level Dashboard'!$C$18,0))+1),'High Level Dashboard'!$B$64:$AV$64,"&lt;="&amp;('High Level Dashboard'!AM$64-(ROUNDUP('High Level Dashboard'!$C$17,0)))))
+
IFERROR(-PMT('High Level Dashboard'!$C$16,'High Level Dashboard'!$C$18-'High Level Dashboard'!$C$17+1,
(_xlfn.XLOOKUP('High Level Dashboard'!AM$64-(ROUNDUP('High Level Dashboard'!$C$18,0))+1,'High Level Dashboard'!$B$64:$AV$64,'High Level Dashboard'!$B$112:$AV$112,""))*('High Level Dashboard'!$C$18-(ROUNDDOWN('High Level Dashboard'!$C$18,0)))),0)
+
IFERROR(-PMT('High Level Dashboard'!$C$16,'High Level Dashboard'!$C$18-'High Level Dashboard'!$C$17+1,
(_xlfn.XLOOKUP('High Level Dashboard'!AM$64-(ROUNDDOWN('High Level Dashboard'!$C$17,0)),'High Level Dashboard'!$B$64:$AV$64,'High Level Dashboard'!$B$112:$AV$112,"")*('High Level Dashboard'!$C$17-ROUNDDOWN('High Level Dashboard'!$C$17,0)))),0)
+
(((SUMIFS('High Level Dashboard'!$B$112:$AV$112,'High Level Dashboard'!$B$64:$AV$64,"&gt;"&amp;'High Level Dashboard'!AM$64-ROUNDDOWN('High Level Dashboard'!$C$17,0),'High Level Dashboard'!$B$64:$AV$64,"&lt;="&amp;'High Level Dashboard'!AM$64)+(IFERROR(SUMIF('High Level Dashboard'!$B$64:$AV$64,ROUNDDOWN('High Level Dashboard'!AM$64-'High Level Dashboard'!$C$17,0)+1,'High Level Dashboard'!$B$112:$AV$112)*(1-('High Level Dashboard'!$C$17-ROUNDDOWN('High Level Dashboard'!$C$17,0))),"")))*'High Level Dashboard'!$C$16)
))</f>
        <v>50.227653754547454</v>
      </c>
      <c r="AO109" s="434">
        <f ca="1">'High Level Dashboard'!$C$54*'High Level Dashboard'!$C$15*
(-PMT('High Level Dashboard'!$C$16,'High Level Dashboard'!$C$18-'High Level Dashboard'!$C$17+1,
SUMIFS('High Level Dashboard'!$B$112:$AV$112,'High Level Dashboard'!$B$64:$AV$64,"&gt;="&amp;('High Level Dashboard'!AN$64-(ROUNDDOWN('High Level Dashboard'!$C$18,0))+1),'High Level Dashboard'!$B$64:$AV$64,"&lt;="&amp;('High Level Dashboard'!AN$64-(ROUNDUP('High Level Dashboard'!$C$17,0)))))
+
IFERROR(-PMT('High Level Dashboard'!$C$16,'High Level Dashboard'!$C$18-'High Level Dashboard'!$C$17+1,
(_xlfn.XLOOKUP('High Level Dashboard'!AN$64-(ROUNDUP('High Level Dashboard'!$C$18,0))+1,'High Level Dashboard'!$B$64:$AV$64,'High Level Dashboard'!$B$112:$AV$112,""))*('High Level Dashboard'!$C$18-(ROUNDDOWN('High Level Dashboard'!$C$18,0)))),0)
+
IFERROR(-PMT('High Level Dashboard'!$C$16,'High Level Dashboard'!$C$18-'High Level Dashboard'!$C$17+1,
(_xlfn.XLOOKUP('High Level Dashboard'!AN$64-(ROUNDDOWN('High Level Dashboard'!$C$17,0)),'High Level Dashboard'!$B$64:$AV$64,'High Level Dashboard'!$B$112:$AV$112,"")*('High Level Dashboard'!$C$17-ROUNDDOWN('High Level Dashboard'!$C$17,0)))),0)
+
(((SUMIFS('High Level Dashboard'!$B$112:$AV$112,'High Level Dashboard'!$B$64:$AV$64,"&gt;"&amp;'High Level Dashboard'!AN$64-ROUNDDOWN('High Level Dashboard'!$C$17,0),'High Level Dashboard'!$B$64:$AV$64,"&lt;="&amp;'High Level Dashboard'!AN$64)+(IFERROR(SUMIF('High Level Dashboard'!$B$64:$AV$64,ROUNDDOWN('High Level Dashboard'!AN$64-'High Level Dashboard'!$C$17,0)+1,'High Level Dashboard'!$B$112:$AV$112)*(1-('High Level Dashboard'!$C$17-ROUNDDOWN('High Level Dashboard'!$C$17,0))),"")))*'High Level Dashboard'!$C$16)
))</f>
        <v>50.20154447201044</v>
      </c>
      <c r="AP109" s="434">
        <f ca="1">'High Level Dashboard'!$C$54*'High Level Dashboard'!$C$15*
(-PMT('High Level Dashboard'!$C$16,'High Level Dashboard'!$C$18-'High Level Dashboard'!$C$17+1,
SUMIFS('High Level Dashboard'!$B$112:$AV$112,'High Level Dashboard'!$B$64:$AV$64,"&gt;="&amp;('High Level Dashboard'!AO$64-(ROUNDDOWN('High Level Dashboard'!$C$18,0))+1),'High Level Dashboard'!$B$64:$AV$64,"&lt;="&amp;('High Level Dashboard'!AO$64-(ROUNDUP('High Level Dashboard'!$C$17,0)))))
+
IFERROR(-PMT('High Level Dashboard'!$C$16,'High Level Dashboard'!$C$18-'High Level Dashboard'!$C$17+1,
(_xlfn.XLOOKUP('High Level Dashboard'!AO$64-(ROUNDUP('High Level Dashboard'!$C$18,0))+1,'High Level Dashboard'!$B$64:$AV$64,'High Level Dashboard'!$B$112:$AV$112,""))*('High Level Dashboard'!$C$18-(ROUNDDOWN('High Level Dashboard'!$C$18,0)))),0)
+
IFERROR(-PMT('High Level Dashboard'!$C$16,'High Level Dashboard'!$C$18-'High Level Dashboard'!$C$17+1,
(_xlfn.XLOOKUP('High Level Dashboard'!AO$64-(ROUNDDOWN('High Level Dashboard'!$C$17,0)),'High Level Dashboard'!$B$64:$AV$64,'High Level Dashboard'!$B$112:$AV$112,"")*('High Level Dashboard'!$C$17-ROUNDDOWN('High Level Dashboard'!$C$17,0)))),0)
+
(((SUMIFS('High Level Dashboard'!$B$112:$AV$112,'High Level Dashboard'!$B$64:$AV$64,"&gt;"&amp;'High Level Dashboard'!AO$64-ROUNDDOWN('High Level Dashboard'!$C$17,0),'High Level Dashboard'!$B$64:$AV$64,"&lt;="&amp;'High Level Dashboard'!AO$64)+(IFERROR(SUMIF('High Level Dashboard'!$B$64:$AV$64,ROUNDDOWN('High Level Dashboard'!AO$64-'High Level Dashboard'!$C$17,0)+1,'High Level Dashboard'!$B$112:$AV$112)*(1-('High Level Dashboard'!$C$17-ROUNDDOWN('High Level Dashboard'!$C$17,0))),"")))*'High Level Dashboard'!$C$16)
))</f>
        <v>51.195278097823071</v>
      </c>
      <c r="AQ109" s="434">
        <f ca="1">'High Level Dashboard'!$C$54*'High Level Dashboard'!$C$15*
(-PMT('High Level Dashboard'!$C$16,'High Level Dashboard'!$C$18-'High Level Dashboard'!$C$17+1,
SUMIFS('High Level Dashboard'!$B$112:$AV$112,'High Level Dashboard'!$B$64:$AV$64,"&gt;="&amp;('High Level Dashboard'!AP$64-(ROUNDDOWN('High Level Dashboard'!$C$18,0))+1),'High Level Dashboard'!$B$64:$AV$64,"&lt;="&amp;('High Level Dashboard'!AP$64-(ROUNDUP('High Level Dashboard'!$C$17,0)))))
+
IFERROR(-PMT('High Level Dashboard'!$C$16,'High Level Dashboard'!$C$18-'High Level Dashboard'!$C$17+1,
(_xlfn.XLOOKUP('High Level Dashboard'!AP$64-(ROUNDUP('High Level Dashboard'!$C$18,0))+1,'High Level Dashboard'!$B$64:$AV$64,'High Level Dashboard'!$B$112:$AV$112,""))*('High Level Dashboard'!$C$18-(ROUNDDOWN('High Level Dashboard'!$C$18,0)))),0)
+
IFERROR(-PMT('High Level Dashboard'!$C$16,'High Level Dashboard'!$C$18-'High Level Dashboard'!$C$17+1,
(_xlfn.XLOOKUP('High Level Dashboard'!AP$64-(ROUNDDOWN('High Level Dashboard'!$C$17,0)),'High Level Dashboard'!$B$64:$AV$64,'High Level Dashboard'!$B$112:$AV$112,"")*('High Level Dashboard'!$C$17-ROUNDDOWN('High Level Dashboard'!$C$17,0)))),0)
+
(((SUMIFS('High Level Dashboard'!$B$112:$AV$112,'High Level Dashboard'!$B$64:$AV$64,"&gt;"&amp;'High Level Dashboard'!AP$64-ROUNDDOWN('High Level Dashboard'!$C$17,0),'High Level Dashboard'!$B$64:$AV$64,"&lt;="&amp;'High Level Dashboard'!AP$64)+(IFERROR(SUMIF('High Level Dashboard'!$B$64:$AV$64,ROUNDDOWN('High Level Dashboard'!AP$64-'High Level Dashboard'!$C$17,0)+1,'High Level Dashboard'!$B$112:$AV$112)*(1-('High Level Dashboard'!$C$17-ROUNDDOWN('High Level Dashboard'!$C$17,0))),"")))*'High Level Dashboard'!$C$16)
))</f>
        <v>52.568779997250388</v>
      </c>
      <c r="AR109" s="434">
        <f ca="1">'High Level Dashboard'!$C$54*'High Level Dashboard'!$C$15*
(-PMT('High Level Dashboard'!$C$16,'High Level Dashboard'!$C$18-'High Level Dashboard'!$C$17+1,
SUMIFS('High Level Dashboard'!$B$112:$AV$112,'High Level Dashboard'!$B$64:$AV$64,"&gt;="&amp;('High Level Dashboard'!AQ$64-(ROUNDDOWN('High Level Dashboard'!$C$18,0))+1),'High Level Dashboard'!$B$64:$AV$64,"&lt;="&amp;('High Level Dashboard'!AQ$64-(ROUNDUP('High Level Dashboard'!$C$17,0)))))
+
IFERROR(-PMT('High Level Dashboard'!$C$16,'High Level Dashboard'!$C$18-'High Level Dashboard'!$C$17+1,
(_xlfn.XLOOKUP('High Level Dashboard'!AQ$64-(ROUNDUP('High Level Dashboard'!$C$18,0))+1,'High Level Dashboard'!$B$64:$AV$64,'High Level Dashboard'!$B$112:$AV$112,""))*('High Level Dashboard'!$C$18-(ROUNDDOWN('High Level Dashboard'!$C$18,0)))),0)
+
IFERROR(-PMT('High Level Dashboard'!$C$16,'High Level Dashboard'!$C$18-'High Level Dashboard'!$C$17+1,
(_xlfn.XLOOKUP('High Level Dashboard'!AQ$64-(ROUNDDOWN('High Level Dashboard'!$C$17,0)),'High Level Dashboard'!$B$64:$AV$64,'High Level Dashboard'!$B$112:$AV$112,"")*('High Level Dashboard'!$C$17-ROUNDDOWN('High Level Dashboard'!$C$17,0)))),0)
+
(((SUMIFS('High Level Dashboard'!$B$112:$AV$112,'High Level Dashboard'!$B$64:$AV$64,"&gt;"&amp;'High Level Dashboard'!AQ$64-ROUNDDOWN('High Level Dashboard'!$C$17,0),'High Level Dashboard'!$B$64:$AV$64,"&lt;="&amp;'High Level Dashboard'!AQ$64)+(IFERROR(SUMIF('High Level Dashboard'!$B$64:$AV$64,ROUNDDOWN('High Level Dashboard'!AQ$64-'High Level Dashboard'!$C$17,0)+1,'High Level Dashboard'!$B$112:$AV$112)*(1-('High Level Dashboard'!$C$17-ROUNDDOWN('High Level Dashboard'!$C$17,0))),"")))*'High Level Dashboard'!$C$16)
))</f>
        <v>53.857082264396908</v>
      </c>
      <c r="AS109" s="434">
        <f ca="1">'High Level Dashboard'!$C$54*'High Level Dashboard'!$C$15*
(-PMT('High Level Dashboard'!$C$16,'High Level Dashboard'!$C$18-'High Level Dashboard'!$C$17+1,
SUMIFS('High Level Dashboard'!$B$112:$AV$112,'High Level Dashboard'!$B$64:$AV$64,"&gt;="&amp;('High Level Dashboard'!AR$64-(ROUNDDOWN('High Level Dashboard'!$C$18,0))+1),'High Level Dashboard'!$B$64:$AV$64,"&lt;="&amp;('High Level Dashboard'!AR$64-(ROUNDUP('High Level Dashboard'!$C$17,0)))))
+
IFERROR(-PMT('High Level Dashboard'!$C$16,'High Level Dashboard'!$C$18-'High Level Dashboard'!$C$17+1,
(_xlfn.XLOOKUP('High Level Dashboard'!AR$64-(ROUNDUP('High Level Dashboard'!$C$18,0))+1,'High Level Dashboard'!$B$64:$AV$64,'High Level Dashboard'!$B$112:$AV$112,""))*('High Level Dashboard'!$C$18-(ROUNDDOWN('High Level Dashboard'!$C$18,0)))),0)
+
IFERROR(-PMT('High Level Dashboard'!$C$16,'High Level Dashboard'!$C$18-'High Level Dashboard'!$C$17+1,
(_xlfn.XLOOKUP('High Level Dashboard'!AR$64-(ROUNDDOWN('High Level Dashboard'!$C$17,0)),'High Level Dashboard'!$B$64:$AV$64,'High Level Dashboard'!$B$112:$AV$112,"")*('High Level Dashboard'!$C$17-ROUNDDOWN('High Level Dashboard'!$C$17,0)))),0)
+
(((SUMIFS('High Level Dashboard'!$B$112:$AV$112,'High Level Dashboard'!$B$64:$AV$64,"&gt;"&amp;'High Level Dashboard'!AR$64-ROUNDDOWN('High Level Dashboard'!$C$17,0),'High Level Dashboard'!$B$64:$AV$64,"&lt;="&amp;'High Level Dashboard'!AR$64)+(IFERROR(SUMIF('High Level Dashboard'!$B$64:$AV$64,ROUNDDOWN('High Level Dashboard'!AR$64-'High Level Dashboard'!$C$17,0)+1,'High Level Dashboard'!$B$112:$AV$112)*(1-('High Level Dashboard'!$C$17-ROUNDDOWN('High Level Dashboard'!$C$17,0))),"")))*'High Level Dashboard'!$C$16)
))</f>
        <v>55.008306911508818</v>
      </c>
      <c r="AT109" s="434">
        <f ca="1">'High Level Dashboard'!$C$54*'High Level Dashboard'!$C$15*
(-PMT('High Level Dashboard'!$C$16,'High Level Dashboard'!$C$18-'High Level Dashboard'!$C$17+1,
SUMIFS('High Level Dashboard'!$B$112:$AV$112,'High Level Dashboard'!$B$64:$AV$64,"&gt;="&amp;('High Level Dashboard'!AS$64-(ROUNDDOWN('High Level Dashboard'!$C$18,0))+1),'High Level Dashboard'!$B$64:$AV$64,"&lt;="&amp;('High Level Dashboard'!AS$64-(ROUNDUP('High Level Dashboard'!$C$17,0)))))
+
IFERROR(-PMT('High Level Dashboard'!$C$16,'High Level Dashboard'!$C$18-'High Level Dashboard'!$C$17+1,
(_xlfn.XLOOKUP('High Level Dashboard'!AS$64-(ROUNDUP('High Level Dashboard'!$C$18,0))+1,'High Level Dashboard'!$B$64:$AV$64,'High Level Dashboard'!$B$112:$AV$112,""))*('High Level Dashboard'!$C$18-(ROUNDDOWN('High Level Dashboard'!$C$18,0)))),0)
+
IFERROR(-PMT('High Level Dashboard'!$C$16,'High Level Dashboard'!$C$18-'High Level Dashboard'!$C$17+1,
(_xlfn.XLOOKUP('High Level Dashboard'!AS$64-(ROUNDDOWN('High Level Dashboard'!$C$17,0)),'High Level Dashboard'!$B$64:$AV$64,'High Level Dashboard'!$B$112:$AV$112,"")*('High Level Dashboard'!$C$17-ROUNDDOWN('High Level Dashboard'!$C$17,0)))),0)
+
(((SUMIFS('High Level Dashboard'!$B$112:$AV$112,'High Level Dashboard'!$B$64:$AV$64,"&gt;"&amp;'High Level Dashboard'!AS$64-ROUNDDOWN('High Level Dashboard'!$C$17,0),'High Level Dashboard'!$B$64:$AV$64,"&lt;="&amp;'High Level Dashboard'!AS$64)+(IFERROR(SUMIF('High Level Dashboard'!$B$64:$AV$64,ROUNDDOWN('High Level Dashboard'!AS$64-'High Level Dashboard'!$C$17,0)+1,'High Level Dashboard'!$B$112:$AV$112)*(1-('High Level Dashboard'!$C$17-ROUNDDOWN('High Level Dashboard'!$C$17,0))),"")))*'High Level Dashboard'!$C$16)
))</f>
        <v>55.707604637525371</v>
      </c>
      <c r="AU109" s="434">
        <f ca="1">'High Level Dashboard'!$C$54*'High Level Dashboard'!$C$15*
(-PMT('High Level Dashboard'!$C$16,'High Level Dashboard'!$C$18-'High Level Dashboard'!$C$17+1,
SUMIFS('High Level Dashboard'!$B$112:$AV$112,'High Level Dashboard'!$B$64:$AV$64,"&gt;="&amp;('High Level Dashboard'!AT$64-(ROUNDDOWN('High Level Dashboard'!$C$18,0))+1),'High Level Dashboard'!$B$64:$AV$64,"&lt;="&amp;('High Level Dashboard'!AT$64-(ROUNDUP('High Level Dashboard'!$C$17,0)))))
+
IFERROR(-PMT('High Level Dashboard'!$C$16,'High Level Dashboard'!$C$18-'High Level Dashboard'!$C$17+1,
(_xlfn.XLOOKUP('High Level Dashboard'!AT$64-(ROUNDUP('High Level Dashboard'!$C$18,0))+1,'High Level Dashboard'!$B$64:$AV$64,'High Level Dashboard'!$B$112:$AV$112,""))*('High Level Dashboard'!$C$18-(ROUNDDOWN('High Level Dashboard'!$C$18,0)))),0)
+
IFERROR(-PMT('High Level Dashboard'!$C$16,'High Level Dashboard'!$C$18-'High Level Dashboard'!$C$17+1,
(_xlfn.XLOOKUP('High Level Dashboard'!AT$64-(ROUNDDOWN('High Level Dashboard'!$C$17,0)),'High Level Dashboard'!$B$64:$AV$64,'High Level Dashboard'!$B$112:$AV$112,"")*('High Level Dashboard'!$C$17-ROUNDDOWN('High Level Dashboard'!$C$17,0)))),0)
+
(((SUMIFS('High Level Dashboard'!$B$112:$AV$112,'High Level Dashboard'!$B$64:$AV$64,"&gt;"&amp;'High Level Dashboard'!AT$64-ROUNDDOWN('High Level Dashboard'!$C$17,0),'High Level Dashboard'!$B$64:$AV$64,"&lt;="&amp;'High Level Dashboard'!AT$64)+(IFERROR(SUMIF('High Level Dashboard'!$B$64:$AV$64,ROUNDDOWN('High Level Dashboard'!AT$64-'High Level Dashboard'!$C$17,0)+1,'High Level Dashboard'!$B$112:$AV$112)*(1-('High Level Dashboard'!$C$17-ROUNDDOWN('High Level Dashboard'!$C$17,0))),"")))*'High Level Dashboard'!$C$16)
))</f>
        <v>56.707913410778545</v>
      </c>
      <c r="AV109" s="434">
        <f ca="1">'High Level Dashboard'!$C$54*'High Level Dashboard'!$C$15*
(-PMT('High Level Dashboard'!$C$16,'High Level Dashboard'!$C$18-'High Level Dashboard'!$C$17+1,
SUMIFS('High Level Dashboard'!$B$112:$AV$112,'High Level Dashboard'!$B$64:$AV$64,"&gt;="&amp;('High Level Dashboard'!AU$64-(ROUNDDOWN('High Level Dashboard'!$C$18,0))+1),'High Level Dashboard'!$B$64:$AV$64,"&lt;="&amp;('High Level Dashboard'!AU$64-(ROUNDUP('High Level Dashboard'!$C$17,0)))))
+
IFERROR(-PMT('High Level Dashboard'!$C$16,'High Level Dashboard'!$C$18-'High Level Dashboard'!$C$17+1,
(_xlfn.XLOOKUP('High Level Dashboard'!AU$64-(ROUNDUP('High Level Dashboard'!$C$18,0))+1,'High Level Dashboard'!$B$64:$AV$64,'High Level Dashboard'!$B$112:$AV$112,""))*('High Level Dashboard'!$C$18-(ROUNDDOWN('High Level Dashboard'!$C$18,0)))),0)
+
IFERROR(-PMT('High Level Dashboard'!$C$16,'High Level Dashboard'!$C$18-'High Level Dashboard'!$C$17+1,
(_xlfn.XLOOKUP('High Level Dashboard'!AU$64-(ROUNDDOWN('High Level Dashboard'!$C$17,0)),'High Level Dashboard'!$B$64:$AV$64,'High Level Dashboard'!$B$112:$AV$112,"")*('High Level Dashboard'!$C$17-ROUNDDOWN('High Level Dashboard'!$C$17,0)))),0)
+
(((SUMIFS('High Level Dashboard'!$B$112:$AV$112,'High Level Dashboard'!$B$64:$AV$64,"&gt;"&amp;'High Level Dashboard'!AU$64-ROUNDDOWN('High Level Dashboard'!$C$17,0),'High Level Dashboard'!$B$64:$AV$64,"&lt;="&amp;'High Level Dashboard'!AU$64)+(IFERROR(SUMIF('High Level Dashboard'!$B$64:$AV$64,ROUNDDOWN('High Level Dashboard'!AU$64-'High Level Dashboard'!$C$17,0)+1,'High Level Dashboard'!$B$112:$AV$112)*(1-('High Level Dashboard'!$C$17-ROUNDDOWN('High Level Dashboard'!$C$17,0))),"")))*'High Level Dashboard'!$C$16)
))</f>
        <v>57.354447850982183</v>
      </c>
    </row>
    <row r="110" spans="1:49" s="433" customFormat="1">
      <c r="A110" s="427" t="s">
        <v>262</v>
      </c>
      <c r="B110" s="427"/>
      <c r="C110" s="434">
        <f ca="1">'High Level Dashboard'!$C$55*'High Level Dashboard'!$C$21*
(-PMT('High Level Dashboard'!$C$22,'High Level Dashboard'!$C$24-'High Level Dashboard'!$C$23+1,
SUMIFS('High Level Dashboard'!$B$112:$AV$112,'High Level Dashboard'!$B$64:$AV$64,"&gt;="&amp;('High Level Dashboard'!B$64-(ROUNDDOWN('High Level Dashboard'!$C$24,0))+1),'High Level Dashboard'!$B$64:$AV$64,"&lt;="&amp;('High Level Dashboard'!B$64-(ROUNDUP('High Level Dashboard'!$C$23,0)))))
+
IFERROR(-PMT('High Level Dashboard'!$C$22,'High Level Dashboard'!$C$24-'High Level Dashboard'!$C$23+1,
(_xlfn.XLOOKUP('High Level Dashboard'!B$64-(ROUNDUP('High Level Dashboard'!$C$24,0))+1,'High Level Dashboard'!$B$64:$AV$64,'High Level Dashboard'!$B$112:$AV$112,""))*('High Level Dashboard'!$C$24-(ROUNDDOWN('High Level Dashboard'!$C$24,0)))),0)
+
IFERROR(-PMT('High Level Dashboard'!$C$22,'High Level Dashboard'!$C$24-'High Level Dashboard'!$C$23+1,
(_xlfn.XLOOKUP('High Level Dashboard'!B$64-(ROUNDDOWN('High Level Dashboard'!$C$23,0)),'High Level Dashboard'!$B$64:$AV$64,'High Level Dashboard'!$B$112:$AV$112,"")*('High Level Dashboard'!$C$23-ROUNDDOWN('High Level Dashboard'!$C$23,0)))),0)
+
(((SUMIFS('High Level Dashboard'!$B$112:$AV$112,'High Level Dashboard'!$B$64:$AV$64,"&gt;"&amp;'High Level Dashboard'!B$64-ROUNDDOWN('High Level Dashboard'!$C$23,0),'High Level Dashboard'!$B$64:$AV$64,"&lt;="&amp;'High Level Dashboard'!B$64)+(IFERROR(SUMIF('High Level Dashboard'!$B$64:$AV$64,ROUNDDOWN('High Level Dashboard'!B$64-'High Level Dashboard'!$C$23,0)+1,'High Level Dashboard'!$B$112:$AV$112)*(1-('High Level Dashboard'!$C$23-ROUNDDOWN('High Level Dashboard'!$C$23,0))),"")))*'High Level Dashboard'!$C$22)
))</f>
        <v>2.3525116343616004</v>
      </c>
      <c r="D110" s="434">
        <f ca="1">'High Level Dashboard'!$C$55*'High Level Dashboard'!$C$21*
(-PMT('High Level Dashboard'!$C$22,'High Level Dashboard'!$C$24-'High Level Dashboard'!$C$23+1,
SUMIFS('High Level Dashboard'!$B$112:$AV$112,'High Level Dashboard'!$B$64:$AV$64,"&gt;="&amp;('High Level Dashboard'!C$64-(ROUNDDOWN('High Level Dashboard'!$C$24,0))+1),'High Level Dashboard'!$B$64:$AV$64,"&lt;="&amp;('High Level Dashboard'!C$64-(ROUNDUP('High Level Dashboard'!$C$23,0)))))
+
IFERROR(-PMT('High Level Dashboard'!$C$22,'High Level Dashboard'!$C$24-'High Level Dashboard'!$C$23+1,
(_xlfn.XLOOKUP('High Level Dashboard'!C$64-(ROUNDUP('High Level Dashboard'!$C$24,0))+1,'High Level Dashboard'!$B$64:$AV$64,'High Level Dashboard'!$B$112:$AV$112,""))*('High Level Dashboard'!$C$24-(ROUNDDOWN('High Level Dashboard'!$C$24,0)))),0)
+
IFERROR(-PMT('High Level Dashboard'!$C$22,'High Level Dashboard'!$C$24-'High Level Dashboard'!$C$23+1,
(_xlfn.XLOOKUP('High Level Dashboard'!C$64-(ROUNDDOWN('High Level Dashboard'!$C$23,0)),'High Level Dashboard'!$B$64:$AV$64,'High Level Dashboard'!$B$112:$AV$112,"")*('High Level Dashboard'!$C$23-ROUNDDOWN('High Level Dashboard'!$C$23,0)))),0)
+
(((SUMIFS('High Level Dashboard'!$B$112:$AV$112,'High Level Dashboard'!$B$64:$AV$64,"&gt;"&amp;'High Level Dashboard'!C$64-ROUNDDOWN('High Level Dashboard'!$C$23,0),'High Level Dashboard'!$B$64:$AV$64,"&lt;="&amp;'High Level Dashboard'!C$64)+(IFERROR(SUMIF('High Level Dashboard'!$B$64:$AV$64,ROUNDDOWN('High Level Dashboard'!C$64-'High Level Dashboard'!$C$23,0)+1,'High Level Dashboard'!$B$112:$AV$112)*(1-('High Level Dashboard'!$C$23-ROUNDDOWN('High Level Dashboard'!$C$23,0))),"")))*'High Level Dashboard'!$C$22)
))</f>
        <v>6.1629143284277461</v>
      </c>
      <c r="E110" s="434">
        <f ca="1">'High Level Dashboard'!$C$55*'High Level Dashboard'!$C$21*
(-PMT('High Level Dashboard'!$C$22,'High Level Dashboard'!$C$24-'High Level Dashboard'!$C$23+1,
SUMIFS('High Level Dashboard'!$B$112:$AV$112,'High Level Dashboard'!$B$64:$AV$64,"&gt;="&amp;('High Level Dashboard'!D$64-(ROUNDDOWN('High Level Dashboard'!$C$24,0))+1),'High Level Dashboard'!$B$64:$AV$64,"&lt;="&amp;('High Level Dashboard'!D$64-(ROUNDUP('High Level Dashboard'!$C$23,0)))))
+
IFERROR(-PMT('High Level Dashboard'!$C$22,'High Level Dashboard'!$C$24-'High Level Dashboard'!$C$23+1,
(_xlfn.XLOOKUP('High Level Dashboard'!D$64-(ROUNDUP('High Level Dashboard'!$C$24,0))+1,'High Level Dashboard'!$B$64:$AV$64,'High Level Dashboard'!$B$112:$AV$112,""))*('High Level Dashboard'!$C$24-(ROUNDDOWN('High Level Dashboard'!$C$24,0)))),0)
+
IFERROR(-PMT('High Level Dashboard'!$C$22,'High Level Dashboard'!$C$24-'High Level Dashboard'!$C$23+1,
(_xlfn.XLOOKUP('High Level Dashboard'!D$64-(ROUNDDOWN('High Level Dashboard'!$C$23,0)),'High Level Dashboard'!$B$64:$AV$64,'High Level Dashboard'!$B$112:$AV$112,"")*('High Level Dashboard'!$C$23-ROUNDDOWN('High Level Dashboard'!$C$23,0)))),0)
+
(((SUMIFS('High Level Dashboard'!$B$112:$AV$112,'High Level Dashboard'!$B$64:$AV$64,"&gt;"&amp;'High Level Dashboard'!D$64-ROUNDDOWN('High Level Dashboard'!$C$23,0),'High Level Dashboard'!$B$64:$AV$64,"&lt;="&amp;'High Level Dashboard'!D$64)+(IFERROR(SUMIF('High Level Dashboard'!$B$64:$AV$64,ROUNDDOWN('High Level Dashboard'!D$64-'High Level Dashboard'!$C$23,0)+1,'High Level Dashboard'!$B$112:$AV$112)*(1-('High Level Dashboard'!$C$23-ROUNDDOWN('High Level Dashboard'!$C$23,0))),"")))*'High Level Dashboard'!$C$22)
))</f>
        <v>10.566685276314908</v>
      </c>
      <c r="F110" s="434">
        <f ca="1">'High Level Dashboard'!$C$55*'High Level Dashboard'!$C$21*
(-PMT('High Level Dashboard'!$C$22,'High Level Dashboard'!$C$24-'High Level Dashboard'!$C$23+1,
SUMIFS('High Level Dashboard'!$B$112:$AV$112,'High Level Dashboard'!$B$64:$AV$64,"&gt;="&amp;('High Level Dashboard'!E$64-(ROUNDDOWN('High Level Dashboard'!$C$24,0))+1),'High Level Dashboard'!$B$64:$AV$64,"&lt;="&amp;('High Level Dashboard'!E$64-(ROUNDUP('High Level Dashboard'!$C$23,0)))))
+
IFERROR(-PMT('High Level Dashboard'!$C$22,'High Level Dashboard'!$C$24-'High Level Dashboard'!$C$23+1,
(_xlfn.XLOOKUP('High Level Dashboard'!E$64-(ROUNDUP('High Level Dashboard'!$C$24,0))+1,'High Level Dashboard'!$B$64:$AV$64,'High Level Dashboard'!$B$112:$AV$112,""))*('High Level Dashboard'!$C$24-(ROUNDDOWN('High Level Dashboard'!$C$24,0)))),0)
+
IFERROR(-PMT('High Level Dashboard'!$C$22,'High Level Dashboard'!$C$24-'High Level Dashboard'!$C$23+1,
(_xlfn.XLOOKUP('High Level Dashboard'!E$64-(ROUNDDOWN('High Level Dashboard'!$C$23,0)),'High Level Dashboard'!$B$64:$AV$64,'High Level Dashboard'!$B$112:$AV$112,"")*('High Level Dashboard'!$C$23-ROUNDDOWN('High Level Dashboard'!$C$23,0)))),0)
+
(((SUMIFS('High Level Dashboard'!$B$112:$AV$112,'High Level Dashboard'!$B$64:$AV$64,"&gt;"&amp;'High Level Dashboard'!E$64-ROUNDDOWN('High Level Dashboard'!$C$23,0),'High Level Dashboard'!$B$64:$AV$64,"&lt;="&amp;'High Level Dashboard'!E$64)+(IFERROR(SUMIF('High Level Dashboard'!$B$64:$AV$64,ROUNDDOWN('High Level Dashboard'!E$64-'High Level Dashboard'!$C$23,0)+1,'High Level Dashboard'!$B$112:$AV$112)*(1-('High Level Dashboard'!$C$23-ROUNDDOWN('High Level Dashboard'!$C$23,0))),"")))*'High Level Dashboard'!$C$22)
))</f>
        <v>15.259599300466727</v>
      </c>
      <c r="G110" s="434">
        <f ca="1">'High Level Dashboard'!$C$55*'High Level Dashboard'!$C$21*
(-PMT('High Level Dashboard'!$C$22,'High Level Dashboard'!$C$24-'High Level Dashboard'!$C$23+1,
SUMIFS('High Level Dashboard'!$B$112:$AV$112,'High Level Dashboard'!$B$64:$AV$64,"&gt;="&amp;('High Level Dashboard'!F$64-(ROUNDDOWN('High Level Dashboard'!$C$24,0))+1),'High Level Dashboard'!$B$64:$AV$64,"&lt;="&amp;('High Level Dashboard'!F$64-(ROUNDUP('High Level Dashboard'!$C$23,0)))))
+
IFERROR(-PMT('High Level Dashboard'!$C$22,'High Level Dashboard'!$C$24-'High Level Dashboard'!$C$23+1,
(_xlfn.XLOOKUP('High Level Dashboard'!F$64-(ROUNDUP('High Level Dashboard'!$C$24,0))+1,'High Level Dashboard'!$B$64:$AV$64,'High Level Dashboard'!$B$112:$AV$112,""))*('High Level Dashboard'!$C$24-(ROUNDDOWN('High Level Dashboard'!$C$24,0)))),0)
+
IFERROR(-PMT('High Level Dashboard'!$C$22,'High Level Dashboard'!$C$24-'High Level Dashboard'!$C$23+1,
(_xlfn.XLOOKUP('High Level Dashboard'!F$64-(ROUNDDOWN('High Level Dashboard'!$C$23,0)),'High Level Dashboard'!$B$64:$AV$64,'High Level Dashboard'!$B$112:$AV$112,"")*('High Level Dashboard'!$C$23-ROUNDDOWN('High Level Dashboard'!$C$23,0)))),0)
+
(((SUMIFS('High Level Dashboard'!$B$112:$AV$112,'High Level Dashboard'!$B$64:$AV$64,"&gt;"&amp;'High Level Dashboard'!F$64-ROUNDDOWN('High Level Dashboard'!$C$23,0),'High Level Dashboard'!$B$64:$AV$64,"&lt;="&amp;'High Level Dashboard'!F$64)+(IFERROR(SUMIF('High Level Dashboard'!$B$64:$AV$64,ROUNDDOWN('High Level Dashboard'!F$64-'High Level Dashboard'!$C$23,0)+1,'High Level Dashboard'!$B$112:$AV$112)*(1-('High Level Dashboard'!$C$23-ROUNDDOWN('High Level Dashboard'!$C$23,0))),"")))*'High Level Dashboard'!$C$22)
))</f>
        <v>23.660248018868462</v>
      </c>
      <c r="H110" s="434">
        <f ca="1">'High Level Dashboard'!$C$55*'High Level Dashboard'!$C$21*
(-PMT('High Level Dashboard'!$C$22,'High Level Dashboard'!$C$24-'High Level Dashboard'!$C$23+1,
SUMIFS('High Level Dashboard'!$B$112:$AV$112,'High Level Dashboard'!$B$64:$AV$64,"&gt;="&amp;('High Level Dashboard'!G$64-(ROUNDDOWN('High Level Dashboard'!$C$24,0))+1),'High Level Dashboard'!$B$64:$AV$64,"&lt;="&amp;('High Level Dashboard'!G$64-(ROUNDUP('High Level Dashboard'!$C$23,0)))))
+
IFERROR(-PMT('High Level Dashboard'!$C$22,'High Level Dashboard'!$C$24-'High Level Dashboard'!$C$23+1,
(_xlfn.XLOOKUP('High Level Dashboard'!G$64-(ROUNDUP('High Level Dashboard'!$C$24,0))+1,'High Level Dashboard'!$B$64:$AV$64,'High Level Dashboard'!$B$112:$AV$112,""))*('High Level Dashboard'!$C$24-(ROUNDDOWN('High Level Dashboard'!$C$24,0)))),0)
+
IFERROR(-PMT('High Level Dashboard'!$C$22,'High Level Dashboard'!$C$24-'High Level Dashboard'!$C$23+1,
(_xlfn.XLOOKUP('High Level Dashboard'!G$64-(ROUNDDOWN('High Level Dashboard'!$C$23,0)),'High Level Dashboard'!$B$64:$AV$64,'High Level Dashboard'!$B$112:$AV$112,"")*('High Level Dashboard'!$C$23-ROUNDDOWN('High Level Dashboard'!$C$23,0)))),0)
+
(((SUMIFS('High Level Dashboard'!$B$112:$AV$112,'High Level Dashboard'!$B$64:$AV$64,"&gt;"&amp;'High Level Dashboard'!G$64-ROUNDDOWN('High Level Dashboard'!$C$23,0),'High Level Dashboard'!$B$64:$AV$64,"&lt;="&amp;'High Level Dashboard'!G$64)+(IFERROR(SUMIF('High Level Dashboard'!$B$64:$AV$64,ROUNDDOWN('High Level Dashboard'!G$64-'High Level Dashboard'!$C$23,0)+1,'High Level Dashboard'!$B$112:$AV$112)*(1-('High Level Dashboard'!$C$23-ROUNDDOWN('High Level Dashboard'!$C$23,0))),"")))*'High Level Dashboard'!$C$22)
))</f>
        <v>29.326469082108719</v>
      </c>
      <c r="I110" s="434">
        <f ca="1">'High Level Dashboard'!$C$55*'High Level Dashboard'!$C$21*
(-PMT('High Level Dashboard'!$C$22,'High Level Dashboard'!$C$24-'High Level Dashboard'!$C$23+1,
SUMIFS('High Level Dashboard'!$B$112:$AV$112,'High Level Dashboard'!$B$64:$AV$64,"&gt;="&amp;('High Level Dashboard'!H$64-(ROUNDDOWN('High Level Dashboard'!$C$24,0))+1),'High Level Dashboard'!$B$64:$AV$64,"&lt;="&amp;('High Level Dashboard'!H$64-(ROUNDUP('High Level Dashboard'!$C$23,0)))))
+
IFERROR(-PMT('High Level Dashboard'!$C$22,'High Level Dashboard'!$C$24-'High Level Dashboard'!$C$23+1,
(_xlfn.XLOOKUP('High Level Dashboard'!H$64-(ROUNDUP('High Level Dashboard'!$C$24,0))+1,'High Level Dashboard'!$B$64:$AV$64,'High Level Dashboard'!$B$112:$AV$112,""))*('High Level Dashboard'!$C$24-(ROUNDDOWN('High Level Dashboard'!$C$24,0)))),0)
+
IFERROR(-PMT('High Level Dashboard'!$C$22,'High Level Dashboard'!$C$24-'High Level Dashboard'!$C$23+1,
(_xlfn.XLOOKUP('High Level Dashboard'!H$64-(ROUNDDOWN('High Level Dashboard'!$C$23,0)),'High Level Dashboard'!$B$64:$AV$64,'High Level Dashboard'!$B$112:$AV$112,"")*('High Level Dashboard'!$C$23-ROUNDDOWN('High Level Dashboard'!$C$23,0)))),0)
+
(((SUMIFS('High Level Dashboard'!$B$112:$AV$112,'High Level Dashboard'!$B$64:$AV$64,"&gt;"&amp;'High Level Dashboard'!H$64-ROUNDDOWN('High Level Dashboard'!$C$23,0),'High Level Dashboard'!$B$64:$AV$64,"&lt;="&amp;'High Level Dashboard'!H$64)+(IFERROR(SUMIF('High Level Dashboard'!$B$64:$AV$64,ROUNDDOWN('High Level Dashboard'!H$64-'High Level Dashboard'!$C$23,0)+1,'High Level Dashboard'!$B$112:$AV$112)*(1-('High Level Dashboard'!$C$23-ROUNDDOWN('High Level Dashboard'!$C$23,0))),"")))*'High Level Dashboard'!$C$22)
))</f>
        <v>37.134163542643186</v>
      </c>
      <c r="J110" s="434">
        <f ca="1">'High Level Dashboard'!$C$55*'High Level Dashboard'!$C$21*
(-PMT('High Level Dashboard'!$C$22,'High Level Dashboard'!$C$24-'High Level Dashboard'!$C$23+1,
SUMIFS('High Level Dashboard'!$B$112:$AV$112,'High Level Dashboard'!$B$64:$AV$64,"&gt;="&amp;('High Level Dashboard'!I$64-(ROUNDDOWN('High Level Dashboard'!$C$24,0))+1),'High Level Dashboard'!$B$64:$AV$64,"&lt;="&amp;('High Level Dashboard'!I$64-(ROUNDUP('High Level Dashboard'!$C$23,0)))))
+
IFERROR(-PMT('High Level Dashboard'!$C$22,'High Level Dashboard'!$C$24-'High Level Dashboard'!$C$23+1,
(_xlfn.XLOOKUP('High Level Dashboard'!I$64-(ROUNDUP('High Level Dashboard'!$C$24,0))+1,'High Level Dashboard'!$B$64:$AV$64,'High Level Dashboard'!$B$112:$AV$112,""))*('High Level Dashboard'!$C$24-(ROUNDDOWN('High Level Dashboard'!$C$24,0)))),0)
+
IFERROR(-PMT('High Level Dashboard'!$C$22,'High Level Dashboard'!$C$24-'High Level Dashboard'!$C$23+1,
(_xlfn.XLOOKUP('High Level Dashboard'!I$64-(ROUNDDOWN('High Level Dashboard'!$C$23,0)),'High Level Dashboard'!$B$64:$AV$64,'High Level Dashboard'!$B$112:$AV$112,"")*('High Level Dashboard'!$C$23-ROUNDDOWN('High Level Dashboard'!$C$23,0)))),0)
+
(((SUMIFS('High Level Dashboard'!$B$112:$AV$112,'High Level Dashboard'!$B$64:$AV$64,"&gt;"&amp;'High Level Dashboard'!I$64-ROUNDDOWN('High Level Dashboard'!$C$23,0),'High Level Dashboard'!$B$64:$AV$64,"&lt;="&amp;'High Level Dashboard'!I$64)+(IFERROR(SUMIF('High Level Dashboard'!$B$64:$AV$64,ROUNDDOWN('High Level Dashboard'!I$64-'High Level Dashboard'!$C$23,0)+1,'High Level Dashboard'!$B$112:$AV$112)*(1-('High Level Dashboard'!$C$23-ROUNDDOWN('High Level Dashboard'!$C$23,0))),"")))*'High Level Dashboard'!$C$22)
))</f>
        <v>42.261029978965382</v>
      </c>
      <c r="K110" s="434">
        <f ca="1">'High Level Dashboard'!$C$55*'High Level Dashboard'!$C$21*
(-PMT('High Level Dashboard'!$C$22,'High Level Dashboard'!$C$24-'High Level Dashboard'!$C$23+1,
SUMIFS('High Level Dashboard'!$B$112:$AV$112,'High Level Dashboard'!$B$64:$AV$64,"&gt;="&amp;('High Level Dashboard'!J$64-(ROUNDDOWN('High Level Dashboard'!$C$24,0))+1),'High Level Dashboard'!$B$64:$AV$64,"&lt;="&amp;('High Level Dashboard'!J$64-(ROUNDUP('High Level Dashboard'!$C$23,0)))))
+
IFERROR(-PMT('High Level Dashboard'!$C$22,'High Level Dashboard'!$C$24-'High Level Dashboard'!$C$23+1,
(_xlfn.XLOOKUP('High Level Dashboard'!J$64-(ROUNDUP('High Level Dashboard'!$C$24,0))+1,'High Level Dashboard'!$B$64:$AV$64,'High Level Dashboard'!$B$112:$AV$112,""))*('High Level Dashboard'!$C$24-(ROUNDDOWN('High Level Dashboard'!$C$24,0)))),0)
+
IFERROR(-PMT('High Level Dashboard'!$C$22,'High Level Dashboard'!$C$24-'High Level Dashboard'!$C$23+1,
(_xlfn.XLOOKUP('High Level Dashboard'!J$64-(ROUNDDOWN('High Level Dashboard'!$C$23,0)),'High Level Dashboard'!$B$64:$AV$64,'High Level Dashboard'!$B$112:$AV$112,"")*('High Level Dashboard'!$C$23-ROUNDDOWN('High Level Dashboard'!$C$23,0)))),0)
+
(((SUMIFS('High Level Dashboard'!$B$112:$AV$112,'High Level Dashboard'!$B$64:$AV$64,"&gt;"&amp;'High Level Dashboard'!J$64-ROUNDDOWN('High Level Dashboard'!$C$23,0),'High Level Dashboard'!$B$64:$AV$64,"&lt;="&amp;'High Level Dashboard'!J$64)+(IFERROR(SUMIF('High Level Dashboard'!$B$64:$AV$64,ROUNDDOWN('High Level Dashboard'!J$64-'High Level Dashboard'!$C$23,0)+1,'High Level Dashboard'!$B$112:$AV$112)*(1-('High Level Dashboard'!$C$23-ROUNDDOWN('High Level Dashboard'!$C$23,0))),"")))*'High Level Dashboard'!$C$22)
))</f>
        <v>47.604845034270028</v>
      </c>
      <c r="L110" s="434">
        <f ca="1">'High Level Dashboard'!$C$55*'High Level Dashboard'!$C$21*
(-PMT('High Level Dashboard'!$C$22,'High Level Dashboard'!$C$24-'High Level Dashboard'!$C$23+1,
SUMIFS('High Level Dashboard'!$B$112:$AV$112,'High Level Dashboard'!$B$64:$AV$64,"&gt;="&amp;('High Level Dashboard'!K$64-(ROUNDDOWN('High Level Dashboard'!$C$24,0))+1),'High Level Dashboard'!$B$64:$AV$64,"&lt;="&amp;('High Level Dashboard'!K$64-(ROUNDUP('High Level Dashboard'!$C$23,0)))))
+
IFERROR(-PMT('High Level Dashboard'!$C$22,'High Level Dashboard'!$C$24-'High Level Dashboard'!$C$23+1,
(_xlfn.XLOOKUP('High Level Dashboard'!K$64-(ROUNDUP('High Level Dashboard'!$C$24,0))+1,'High Level Dashboard'!$B$64:$AV$64,'High Level Dashboard'!$B$112:$AV$112,""))*('High Level Dashboard'!$C$24-(ROUNDDOWN('High Level Dashboard'!$C$24,0)))),0)
+
IFERROR(-PMT('High Level Dashboard'!$C$22,'High Level Dashboard'!$C$24-'High Level Dashboard'!$C$23+1,
(_xlfn.XLOOKUP('High Level Dashboard'!K$64-(ROUNDDOWN('High Level Dashboard'!$C$23,0)),'High Level Dashboard'!$B$64:$AV$64,'High Level Dashboard'!$B$112:$AV$112,"")*('High Level Dashboard'!$C$23-ROUNDDOWN('High Level Dashboard'!$C$23,0)))),0)
+
(((SUMIFS('High Level Dashboard'!$B$112:$AV$112,'High Level Dashboard'!$B$64:$AV$64,"&gt;"&amp;'High Level Dashboard'!K$64-ROUNDDOWN('High Level Dashboard'!$C$23,0),'High Level Dashboard'!$B$64:$AV$64,"&lt;="&amp;'High Level Dashboard'!K$64)+(IFERROR(SUMIF('High Level Dashboard'!$B$64:$AV$64,ROUNDDOWN('High Level Dashboard'!K$64-'High Level Dashboard'!$C$23,0)+1,'High Level Dashboard'!$B$112:$AV$112)*(1-('High Level Dashboard'!$C$23-ROUNDDOWN('High Level Dashboard'!$C$23,0))),"")))*'High Level Dashboard'!$C$22)
))</f>
        <v>54.672961120544777</v>
      </c>
      <c r="M110" s="434">
        <f ca="1">'High Level Dashboard'!$C$55*'High Level Dashboard'!$C$21*
(-PMT('High Level Dashboard'!$C$22,'High Level Dashboard'!$C$24-'High Level Dashboard'!$C$23+1,
SUMIFS('High Level Dashboard'!$B$112:$AV$112,'High Level Dashboard'!$B$64:$AV$64,"&gt;="&amp;('High Level Dashboard'!L$64-(ROUNDDOWN('High Level Dashboard'!$C$24,0))+1),'High Level Dashboard'!$B$64:$AV$64,"&lt;="&amp;('High Level Dashboard'!L$64-(ROUNDUP('High Level Dashboard'!$C$23,0)))))
+
IFERROR(-PMT('High Level Dashboard'!$C$22,'High Level Dashboard'!$C$24-'High Level Dashboard'!$C$23+1,
(_xlfn.XLOOKUP('High Level Dashboard'!L$64-(ROUNDUP('High Level Dashboard'!$C$24,0))+1,'High Level Dashboard'!$B$64:$AV$64,'High Level Dashboard'!$B$112:$AV$112,""))*('High Level Dashboard'!$C$24-(ROUNDDOWN('High Level Dashboard'!$C$24,0)))),0)
+
IFERROR(-PMT('High Level Dashboard'!$C$22,'High Level Dashboard'!$C$24-'High Level Dashboard'!$C$23+1,
(_xlfn.XLOOKUP('High Level Dashboard'!L$64-(ROUNDDOWN('High Level Dashboard'!$C$23,0)),'High Level Dashboard'!$B$64:$AV$64,'High Level Dashboard'!$B$112:$AV$112,"")*('High Level Dashboard'!$C$23-ROUNDDOWN('High Level Dashboard'!$C$23,0)))),0)
+
(((SUMIFS('High Level Dashboard'!$B$112:$AV$112,'High Level Dashboard'!$B$64:$AV$64,"&gt;"&amp;'High Level Dashboard'!L$64-ROUNDDOWN('High Level Dashboard'!$C$23,0),'High Level Dashboard'!$B$64:$AV$64,"&lt;="&amp;'High Level Dashboard'!L$64)+(IFERROR(SUMIF('High Level Dashboard'!$B$64:$AV$64,ROUNDDOWN('High Level Dashboard'!L$64-'High Level Dashboard'!$C$23,0)+1,'High Level Dashboard'!$B$112:$AV$112)*(1-('High Level Dashboard'!$C$23-ROUNDDOWN('High Level Dashboard'!$C$23,0))),"")))*'High Level Dashboard'!$C$22)
))</f>
        <v>60.121172037725003</v>
      </c>
      <c r="N110" s="434">
        <f ca="1">'High Level Dashboard'!$C$55*'High Level Dashboard'!$C$21*
(-PMT('High Level Dashboard'!$C$22,'High Level Dashboard'!$C$24-'High Level Dashboard'!$C$23+1,
SUMIFS('High Level Dashboard'!$B$112:$AV$112,'High Level Dashboard'!$B$64:$AV$64,"&gt;="&amp;('High Level Dashboard'!M$64-(ROUNDDOWN('High Level Dashboard'!$C$24,0))+1),'High Level Dashboard'!$B$64:$AV$64,"&lt;="&amp;('High Level Dashboard'!M$64-(ROUNDUP('High Level Dashboard'!$C$23,0)))))
+
IFERROR(-PMT('High Level Dashboard'!$C$22,'High Level Dashboard'!$C$24-'High Level Dashboard'!$C$23+1,
(_xlfn.XLOOKUP('High Level Dashboard'!M$64-(ROUNDUP('High Level Dashboard'!$C$24,0))+1,'High Level Dashboard'!$B$64:$AV$64,'High Level Dashboard'!$B$112:$AV$112,""))*('High Level Dashboard'!$C$24-(ROUNDDOWN('High Level Dashboard'!$C$24,0)))),0)
+
IFERROR(-PMT('High Level Dashboard'!$C$22,'High Level Dashboard'!$C$24-'High Level Dashboard'!$C$23+1,
(_xlfn.XLOOKUP('High Level Dashboard'!M$64-(ROUNDDOWN('High Level Dashboard'!$C$23,0)),'High Level Dashboard'!$B$64:$AV$64,'High Level Dashboard'!$B$112:$AV$112,"")*('High Level Dashboard'!$C$23-ROUNDDOWN('High Level Dashboard'!$C$23,0)))),0)
+
(((SUMIFS('High Level Dashboard'!$B$112:$AV$112,'High Level Dashboard'!$B$64:$AV$64,"&gt;"&amp;'High Level Dashboard'!M$64-ROUNDDOWN('High Level Dashboard'!$C$23,0),'High Level Dashboard'!$B$64:$AV$64,"&lt;="&amp;'High Level Dashboard'!M$64)+(IFERROR(SUMIF('High Level Dashboard'!$B$64:$AV$64,ROUNDDOWN('High Level Dashboard'!M$64-'High Level Dashboard'!$C$23,0)+1,'High Level Dashboard'!$B$112:$AV$112)*(1-('High Level Dashboard'!$C$23-ROUNDDOWN('High Level Dashboard'!$C$23,0))),"")))*'High Level Dashboard'!$C$22)
))</f>
        <v>68.192158707896979</v>
      </c>
      <c r="O110" s="434">
        <f ca="1">'High Level Dashboard'!$C$55*'High Level Dashboard'!$C$21*
(-PMT('High Level Dashboard'!$C$22,'High Level Dashboard'!$C$24-'High Level Dashboard'!$C$23+1,
SUMIFS('High Level Dashboard'!$B$112:$AV$112,'High Level Dashboard'!$B$64:$AV$64,"&gt;="&amp;('High Level Dashboard'!N$64-(ROUNDDOWN('High Level Dashboard'!$C$24,0))+1),'High Level Dashboard'!$B$64:$AV$64,"&lt;="&amp;('High Level Dashboard'!N$64-(ROUNDUP('High Level Dashboard'!$C$23,0)))))
+
IFERROR(-PMT('High Level Dashboard'!$C$22,'High Level Dashboard'!$C$24-'High Level Dashboard'!$C$23+1,
(_xlfn.XLOOKUP('High Level Dashboard'!N$64-(ROUNDUP('High Level Dashboard'!$C$24,0))+1,'High Level Dashboard'!$B$64:$AV$64,'High Level Dashboard'!$B$112:$AV$112,""))*('High Level Dashboard'!$C$24-(ROUNDDOWN('High Level Dashboard'!$C$24,0)))),0)
+
IFERROR(-PMT('High Level Dashboard'!$C$22,'High Level Dashboard'!$C$24-'High Level Dashboard'!$C$23+1,
(_xlfn.XLOOKUP('High Level Dashboard'!N$64-(ROUNDDOWN('High Level Dashboard'!$C$23,0)),'High Level Dashboard'!$B$64:$AV$64,'High Level Dashboard'!$B$112:$AV$112,"")*('High Level Dashboard'!$C$23-ROUNDDOWN('High Level Dashboard'!$C$23,0)))),0)
+
(((SUMIFS('High Level Dashboard'!$B$112:$AV$112,'High Level Dashboard'!$B$64:$AV$64,"&gt;"&amp;'High Level Dashboard'!N$64-ROUNDDOWN('High Level Dashboard'!$C$23,0),'High Level Dashboard'!$B$64:$AV$64,"&lt;="&amp;'High Level Dashboard'!N$64)+(IFERROR(SUMIF('High Level Dashboard'!$B$64:$AV$64,ROUNDDOWN('High Level Dashboard'!N$64-'High Level Dashboard'!$C$23,0)+1,'High Level Dashboard'!$B$112:$AV$112)*(1-('High Level Dashboard'!$C$23-ROUNDDOWN('High Level Dashboard'!$C$23,0))),"")))*'High Level Dashboard'!$C$22)
))</f>
        <v>75.812365818894946</v>
      </c>
      <c r="P110" s="434">
        <f ca="1">'High Level Dashboard'!$C$55*'High Level Dashboard'!$C$21*
(-PMT('High Level Dashboard'!$C$22,'High Level Dashboard'!$C$24-'High Level Dashboard'!$C$23+1,
SUMIFS('High Level Dashboard'!$B$112:$AV$112,'High Level Dashboard'!$B$64:$AV$64,"&gt;="&amp;('High Level Dashboard'!O$64-(ROUNDDOWN('High Level Dashboard'!$C$24,0))+1),'High Level Dashboard'!$B$64:$AV$64,"&lt;="&amp;('High Level Dashboard'!O$64-(ROUNDUP('High Level Dashboard'!$C$23,0)))))
+
IFERROR(-PMT('High Level Dashboard'!$C$22,'High Level Dashboard'!$C$24-'High Level Dashboard'!$C$23+1,
(_xlfn.XLOOKUP('High Level Dashboard'!O$64-(ROUNDUP('High Level Dashboard'!$C$24,0))+1,'High Level Dashboard'!$B$64:$AV$64,'High Level Dashboard'!$B$112:$AV$112,""))*('High Level Dashboard'!$C$24-(ROUNDDOWN('High Level Dashboard'!$C$24,0)))),0)
+
IFERROR(-PMT('High Level Dashboard'!$C$22,'High Level Dashboard'!$C$24-'High Level Dashboard'!$C$23+1,
(_xlfn.XLOOKUP('High Level Dashboard'!O$64-(ROUNDDOWN('High Level Dashboard'!$C$23,0)),'High Level Dashboard'!$B$64:$AV$64,'High Level Dashboard'!$B$112:$AV$112,"")*('High Level Dashboard'!$C$23-ROUNDDOWN('High Level Dashboard'!$C$23,0)))),0)
+
(((SUMIFS('High Level Dashboard'!$B$112:$AV$112,'High Level Dashboard'!$B$64:$AV$64,"&gt;"&amp;'High Level Dashboard'!O$64-ROUNDDOWN('High Level Dashboard'!$C$23,0),'High Level Dashboard'!$B$64:$AV$64,"&lt;="&amp;'High Level Dashboard'!O$64)+(IFERROR(SUMIF('High Level Dashboard'!$B$64:$AV$64,ROUNDDOWN('High Level Dashboard'!O$64-'High Level Dashboard'!$C$23,0)+1,'High Level Dashboard'!$B$112:$AV$112)*(1-('High Level Dashboard'!$C$23-ROUNDDOWN('High Level Dashboard'!$C$23,0))),"")))*'High Level Dashboard'!$C$22)
))</f>
        <v>83.704840543066467</v>
      </c>
      <c r="Q110" s="434">
        <f ca="1">'High Level Dashboard'!$C$55*'High Level Dashboard'!$C$21*
(-PMT('High Level Dashboard'!$C$22,'High Level Dashboard'!$C$24-'High Level Dashboard'!$C$23+1,
SUMIFS('High Level Dashboard'!$B$112:$AV$112,'High Level Dashboard'!$B$64:$AV$64,"&gt;="&amp;('High Level Dashboard'!P$64-(ROUNDDOWN('High Level Dashboard'!$C$24,0))+1),'High Level Dashboard'!$B$64:$AV$64,"&lt;="&amp;('High Level Dashboard'!P$64-(ROUNDUP('High Level Dashboard'!$C$23,0)))))
+
IFERROR(-PMT('High Level Dashboard'!$C$22,'High Level Dashboard'!$C$24-'High Level Dashboard'!$C$23+1,
(_xlfn.XLOOKUP('High Level Dashboard'!P$64-(ROUNDUP('High Level Dashboard'!$C$24,0))+1,'High Level Dashboard'!$B$64:$AV$64,'High Level Dashboard'!$B$112:$AV$112,""))*('High Level Dashboard'!$C$24-(ROUNDDOWN('High Level Dashboard'!$C$24,0)))),0)
+
IFERROR(-PMT('High Level Dashboard'!$C$22,'High Level Dashboard'!$C$24-'High Level Dashboard'!$C$23+1,
(_xlfn.XLOOKUP('High Level Dashboard'!P$64-(ROUNDDOWN('High Level Dashboard'!$C$23,0)),'High Level Dashboard'!$B$64:$AV$64,'High Level Dashboard'!$B$112:$AV$112,"")*('High Level Dashboard'!$C$23-ROUNDDOWN('High Level Dashboard'!$C$23,0)))),0)
+
(((SUMIFS('High Level Dashboard'!$B$112:$AV$112,'High Level Dashboard'!$B$64:$AV$64,"&gt;"&amp;'High Level Dashboard'!P$64-ROUNDDOWN('High Level Dashboard'!$C$23,0),'High Level Dashboard'!$B$64:$AV$64,"&lt;="&amp;'High Level Dashboard'!P$64)+(IFERROR(SUMIF('High Level Dashboard'!$B$64:$AV$64,ROUNDDOWN('High Level Dashboard'!P$64-'High Level Dashboard'!$C$23,0)+1,'High Level Dashboard'!$B$112:$AV$112)*(1-('High Level Dashboard'!$C$23-ROUNDDOWN('High Level Dashboard'!$C$23,0))),"")))*'High Level Dashboard'!$C$22)
))</f>
        <v>93.482658576104001</v>
      </c>
      <c r="R110" s="434">
        <f ca="1">'High Level Dashboard'!$C$55*'High Level Dashboard'!$C$21*
(-PMT('High Level Dashboard'!$C$22,'High Level Dashboard'!$C$24-'High Level Dashboard'!$C$23+1,
SUMIFS('High Level Dashboard'!$B$112:$AV$112,'High Level Dashboard'!$B$64:$AV$64,"&gt;="&amp;('High Level Dashboard'!Q$64-(ROUNDDOWN('High Level Dashboard'!$C$24,0))+1),'High Level Dashboard'!$B$64:$AV$64,"&lt;="&amp;('High Level Dashboard'!Q$64-(ROUNDUP('High Level Dashboard'!$C$23,0)))))
+
IFERROR(-PMT('High Level Dashboard'!$C$22,'High Level Dashboard'!$C$24-'High Level Dashboard'!$C$23+1,
(_xlfn.XLOOKUP('High Level Dashboard'!Q$64-(ROUNDUP('High Level Dashboard'!$C$24,0))+1,'High Level Dashboard'!$B$64:$AV$64,'High Level Dashboard'!$B$112:$AV$112,""))*('High Level Dashboard'!$C$24-(ROUNDDOWN('High Level Dashboard'!$C$24,0)))),0)
+
IFERROR(-PMT('High Level Dashboard'!$C$22,'High Level Dashboard'!$C$24-'High Level Dashboard'!$C$23+1,
(_xlfn.XLOOKUP('High Level Dashboard'!Q$64-(ROUNDDOWN('High Level Dashboard'!$C$23,0)),'High Level Dashboard'!$B$64:$AV$64,'High Level Dashboard'!$B$112:$AV$112,"")*('High Level Dashboard'!$C$23-ROUNDDOWN('High Level Dashboard'!$C$23,0)))),0)
+
(((SUMIFS('High Level Dashboard'!$B$112:$AV$112,'High Level Dashboard'!$B$64:$AV$64,"&gt;"&amp;'High Level Dashboard'!Q$64-ROUNDDOWN('High Level Dashboard'!$C$23,0),'High Level Dashboard'!$B$64:$AV$64,"&lt;="&amp;'High Level Dashboard'!Q$64)+(IFERROR(SUMIF('High Level Dashboard'!$B$64:$AV$64,ROUNDDOWN('High Level Dashboard'!Q$64-'High Level Dashboard'!$C$23,0)+1,'High Level Dashboard'!$B$112:$AV$112)*(1-('High Level Dashboard'!$C$23-ROUNDDOWN('High Level Dashboard'!$C$23,0))),"")))*'High Level Dashboard'!$C$22)
))</f>
        <v>104.3136217779503</v>
      </c>
      <c r="S110" s="434">
        <f ca="1">'High Level Dashboard'!$C$55*'High Level Dashboard'!$C$21*
(-PMT('High Level Dashboard'!$C$22,'High Level Dashboard'!$C$24-'High Level Dashboard'!$C$23+1,
SUMIFS('High Level Dashboard'!$B$112:$AV$112,'High Level Dashboard'!$B$64:$AV$64,"&gt;="&amp;('High Level Dashboard'!R$64-(ROUNDDOWN('High Level Dashboard'!$C$24,0))+1),'High Level Dashboard'!$B$64:$AV$64,"&lt;="&amp;('High Level Dashboard'!R$64-(ROUNDUP('High Level Dashboard'!$C$23,0)))))
+
IFERROR(-PMT('High Level Dashboard'!$C$22,'High Level Dashboard'!$C$24-'High Level Dashboard'!$C$23+1,
(_xlfn.XLOOKUP('High Level Dashboard'!R$64-(ROUNDUP('High Level Dashboard'!$C$24,0))+1,'High Level Dashboard'!$B$64:$AV$64,'High Level Dashboard'!$B$112:$AV$112,""))*('High Level Dashboard'!$C$24-(ROUNDDOWN('High Level Dashboard'!$C$24,0)))),0)
+
IFERROR(-PMT('High Level Dashboard'!$C$22,'High Level Dashboard'!$C$24-'High Level Dashboard'!$C$23+1,
(_xlfn.XLOOKUP('High Level Dashboard'!R$64-(ROUNDDOWN('High Level Dashboard'!$C$23,0)),'High Level Dashboard'!$B$64:$AV$64,'High Level Dashboard'!$B$112:$AV$112,"")*('High Level Dashboard'!$C$23-ROUNDDOWN('High Level Dashboard'!$C$23,0)))),0)
+
(((SUMIFS('High Level Dashboard'!$B$112:$AV$112,'High Level Dashboard'!$B$64:$AV$64,"&gt;"&amp;'High Level Dashboard'!R$64-ROUNDDOWN('High Level Dashboard'!$C$23,0),'High Level Dashboard'!$B$64:$AV$64,"&lt;="&amp;'High Level Dashboard'!R$64)+(IFERROR(SUMIF('High Level Dashboard'!$B$64:$AV$64,ROUNDDOWN('High Level Dashboard'!R$64-'High Level Dashboard'!$C$23,0)+1,'High Level Dashboard'!$B$112:$AV$112)*(1-('High Level Dashboard'!$C$23-ROUNDDOWN('High Level Dashboard'!$C$23,0))),"")))*'High Level Dashboard'!$C$22)
))</f>
        <v>111.77234175145504</v>
      </c>
      <c r="T110" s="434">
        <f ca="1">'High Level Dashboard'!$C$55*'High Level Dashboard'!$C$21*
(-PMT('High Level Dashboard'!$C$22,'High Level Dashboard'!$C$24-'High Level Dashboard'!$C$23+1,
SUMIFS('High Level Dashboard'!$B$112:$AV$112,'High Level Dashboard'!$B$64:$AV$64,"&gt;="&amp;('High Level Dashboard'!S$64-(ROUNDDOWN('High Level Dashboard'!$C$24,0))+1),'High Level Dashboard'!$B$64:$AV$64,"&lt;="&amp;('High Level Dashboard'!S$64-(ROUNDUP('High Level Dashboard'!$C$23,0)))))
+
IFERROR(-PMT('High Level Dashboard'!$C$22,'High Level Dashboard'!$C$24-'High Level Dashboard'!$C$23+1,
(_xlfn.XLOOKUP('High Level Dashboard'!S$64-(ROUNDUP('High Level Dashboard'!$C$24,0))+1,'High Level Dashboard'!$B$64:$AV$64,'High Level Dashboard'!$B$112:$AV$112,""))*('High Level Dashboard'!$C$24-(ROUNDDOWN('High Level Dashboard'!$C$24,0)))),0)
+
IFERROR(-PMT('High Level Dashboard'!$C$22,'High Level Dashboard'!$C$24-'High Level Dashboard'!$C$23+1,
(_xlfn.XLOOKUP('High Level Dashboard'!S$64-(ROUNDDOWN('High Level Dashboard'!$C$23,0)),'High Level Dashboard'!$B$64:$AV$64,'High Level Dashboard'!$B$112:$AV$112,"")*('High Level Dashboard'!$C$23-ROUNDDOWN('High Level Dashboard'!$C$23,0)))),0)
+
(((SUMIFS('High Level Dashboard'!$B$112:$AV$112,'High Level Dashboard'!$B$64:$AV$64,"&gt;"&amp;'High Level Dashboard'!S$64-ROUNDDOWN('High Level Dashboard'!$C$23,0),'High Level Dashboard'!$B$64:$AV$64,"&lt;="&amp;'High Level Dashboard'!S$64)+(IFERROR(SUMIF('High Level Dashboard'!$B$64:$AV$64,ROUNDDOWN('High Level Dashboard'!S$64-'High Level Dashboard'!$C$23,0)+1,'High Level Dashboard'!$B$112:$AV$112)*(1-('High Level Dashboard'!$C$23-ROUNDDOWN('High Level Dashboard'!$C$23,0))),"")))*'High Level Dashboard'!$C$22)
))</f>
        <v>115.6633539510175</v>
      </c>
      <c r="U110" s="434">
        <f ca="1">'High Level Dashboard'!$C$55*'High Level Dashboard'!$C$21*
(-PMT('High Level Dashboard'!$C$22,'High Level Dashboard'!$C$24-'High Level Dashboard'!$C$23+1,
SUMIFS('High Level Dashboard'!$B$112:$AV$112,'High Level Dashboard'!$B$64:$AV$64,"&gt;="&amp;('High Level Dashboard'!T$64-(ROUNDDOWN('High Level Dashboard'!$C$24,0))+1),'High Level Dashboard'!$B$64:$AV$64,"&lt;="&amp;('High Level Dashboard'!T$64-(ROUNDUP('High Level Dashboard'!$C$23,0)))))
+
IFERROR(-PMT('High Level Dashboard'!$C$22,'High Level Dashboard'!$C$24-'High Level Dashboard'!$C$23+1,
(_xlfn.XLOOKUP('High Level Dashboard'!T$64-(ROUNDUP('High Level Dashboard'!$C$24,0))+1,'High Level Dashboard'!$B$64:$AV$64,'High Level Dashboard'!$B$112:$AV$112,""))*('High Level Dashboard'!$C$24-(ROUNDDOWN('High Level Dashboard'!$C$24,0)))),0)
+
IFERROR(-PMT('High Level Dashboard'!$C$22,'High Level Dashboard'!$C$24-'High Level Dashboard'!$C$23+1,
(_xlfn.XLOOKUP('High Level Dashboard'!T$64-(ROUNDDOWN('High Level Dashboard'!$C$23,0)),'High Level Dashboard'!$B$64:$AV$64,'High Level Dashboard'!$B$112:$AV$112,"")*('High Level Dashboard'!$C$23-ROUNDDOWN('High Level Dashboard'!$C$23,0)))),0)
+
(((SUMIFS('High Level Dashboard'!$B$112:$AV$112,'High Level Dashboard'!$B$64:$AV$64,"&gt;"&amp;'High Level Dashboard'!T$64-ROUNDDOWN('High Level Dashboard'!$C$23,0),'High Level Dashboard'!$B$64:$AV$64,"&lt;="&amp;'High Level Dashboard'!T$64)+(IFERROR(SUMIF('High Level Dashboard'!$B$64:$AV$64,ROUNDDOWN('High Level Dashboard'!T$64-'High Level Dashboard'!$C$23,0)+1,'High Level Dashboard'!$B$112:$AV$112)*(1-('High Level Dashboard'!$C$23-ROUNDDOWN('High Level Dashboard'!$C$23,0))),"")))*'High Level Dashboard'!$C$22)
))</f>
        <v>119.76595531671039</v>
      </c>
      <c r="V110" s="434">
        <f ca="1">'High Level Dashboard'!$C$55*'High Level Dashboard'!$C$21*
(-PMT('High Level Dashboard'!$C$22,'High Level Dashboard'!$C$24-'High Level Dashboard'!$C$23+1,
SUMIFS('High Level Dashboard'!$B$112:$AV$112,'High Level Dashboard'!$B$64:$AV$64,"&gt;="&amp;('High Level Dashboard'!U$64-(ROUNDDOWN('High Level Dashboard'!$C$24,0))+1),'High Level Dashboard'!$B$64:$AV$64,"&lt;="&amp;('High Level Dashboard'!U$64-(ROUNDUP('High Level Dashboard'!$C$23,0)))))
+
IFERROR(-PMT('High Level Dashboard'!$C$22,'High Level Dashboard'!$C$24-'High Level Dashboard'!$C$23+1,
(_xlfn.XLOOKUP('High Level Dashboard'!U$64-(ROUNDUP('High Level Dashboard'!$C$24,0))+1,'High Level Dashboard'!$B$64:$AV$64,'High Level Dashboard'!$B$112:$AV$112,""))*('High Level Dashboard'!$C$24-(ROUNDDOWN('High Level Dashboard'!$C$24,0)))),0)
+
IFERROR(-PMT('High Level Dashboard'!$C$22,'High Level Dashboard'!$C$24-'High Level Dashboard'!$C$23+1,
(_xlfn.XLOOKUP('High Level Dashboard'!U$64-(ROUNDDOWN('High Level Dashboard'!$C$23,0)),'High Level Dashboard'!$B$64:$AV$64,'High Level Dashboard'!$B$112:$AV$112,"")*('High Level Dashboard'!$C$23-ROUNDDOWN('High Level Dashboard'!$C$23,0)))),0)
+
(((SUMIFS('High Level Dashboard'!$B$112:$AV$112,'High Level Dashboard'!$B$64:$AV$64,"&gt;"&amp;'High Level Dashboard'!U$64-ROUNDDOWN('High Level Dashboard'!$C$23,0),'High Level Dashboard'!$B$64:$AV$64,"&lt;="&amp;'High Level Dashboard'!U$64)+(IFERROR(SUMIF('High Level Dashboard'!$B$64:$AV$64,ROUNDDOWN('High Level Dashboard'!U$64-'High Level Dashboard'!$C$23,0)+1,'High Level Dashboard'!$B$112:$AV$112)*(1-('High Level Dashboard'!$C$23-ROUNDDOWN('High Level Dashboard'!$C$23,0))),"")))*'High Level Dashboard'!$C$22)
))</f>
        <v>122.61161710578604</v>
      </c>
      <c r="W110" s="434">
        <f ca="1">'High Level Dashboard'!$C$55*'High Level Dashboard'!$C$21*
(-PMT('High Level Dashboard'!$C$22,'High Level Dashboard'!$C$24-'High Level Dashboard'!$C$23+1,
SUMIFS('High Level Dashboard'!$B$112:$AV$112,'High Level Dashboard'!$B$64:$AV$64,"&gt;="&amp;('High Level Dashboard'!V$64-(ROUNDDOWN('High Level Dashboard'!$C$24,0))+1),'High Level Dashboard'!$B$64:$AV$64,"&lt;="&amp;('High Level Dashboard'!V$64-(ROUNDUP('High Level Dashboard'!$C$23,0)))))
+
IFERROR(-PMT('High Level Dashboard'!$C$22,'High Level Dashboard'!$C$24-'High Level Dashboard'!$C$23+1,
(_xlfn.XLOOKUP('High Level Dashboard'!V$64-(ROUNDUP('High Level Dashboard'!$C$24,0))+1,'High Level Dashboard'!$B$64:$AV$64,'High Level Dashboard'!$B$112:$AV$112,""))*('High Level Dashboard'!$C$24-(ROUNDDOWN('High Level Dashboard'!$C$24,0)))),0)
+
IFERROR(-PMT('High Level Dashboard'!$C$22,'High Level Dashboard'!$C$24-'High Level Dashboard'!$C$23+1,
(_xlfn.XLOOKUP('High Level Dashboard'!V$64-(ROUNDDOWN('High Level Dashboard'!$C$23,0)),'High Level Dashboard'!$B$64:$AV$64,'High Level Dashboard'!$B$112:$AV$112,"")*('High Level Dashboard'!$C$23-ROUNDDOWN('High Level Dashboard'!$C$23,0)))),0)
+
(((SUMIFS('High Level Dashboard'!$B$112:$AV$112,'High Level Dashboard'!$B$64:$AV$64,"&gt;"&amp;'High Level Dashboard'!V$64-ROUNDDOWN('High Level Dashboard'!$C$23,0),'High Level Dashboard'!$B$64:$AV$64,"&lt;="&amp;'High Level Dashboard'!V$64)+(IFERROR(SUMIF('High Level Dashboard'!$B$64:$AV$64,ROUNDDOWN('High Level Dashboard'!V$64-'High Level Dashboard'!$C$23,0)+1,'High Level Dashboard'!$B$112:$AV$112)*(1-('High Level Dashboard'!$C$23-ROUNDDOWN('High Level Dashboard'!$C$23,0))),"")))*'High Level Dashboard'!$C$22)
))</f>
        <v>122.70153601258093</v>
      </c>
      <c r="X110" s="434">
        <f ca="1">'High Level Dashboard'!$C$55*'High Level Dashboard'!$C$21*
(-PMT('High Level Dashboard'!$C$22,'High Level Dashboard'!$C$24-'High Level Dashboard'!$C$23+1,
SUMIFS('High Level Dashboard'!$B$112:$AV$112,'High Level Dashboard'!$B$64:$AV$64,"&gt;="&amp;('High Level Dashboard'!W$64-(ROUNDDOWN('High Level Dashboard'!$C$24,0))+1),'High Level Dashboard'!$B$64:$AV$64,"&lt;="&amp;('High Level Dashboard'!W$64-(ROUNDUP('High Level Dashboard'!$C$23,0)))))
+
IFERROR(-PMT('High Level Dashboard'!$C$22,'High Level Dashboard'!$C$24-'High Level Dashboard'!$C$23+1,
(_xlfn.XLOOKUP('High Level Dashboard'!W$64-(ROUNDUP('High Level Dashboard'!$C$24,0))+1,'High Level Dashboard'!$B$64:$AV$64,'High Level Dashboard'!$B$112:$AV$112,""))*('High Level Dashboard'!$C$24-(ROUNDDOWN('High Level Dashboard'!$C$24,0)))),0)
+
IFERROR(-PMT('High Level Dashboard'!$C$22,'High Level Dashboard'!$C$24-'High Level Dashboard'!$C$23+1,
(_xlfn.XLOOKUP('High Level Dashboard'!W$64-(ROUNDDOWN('High Level Dashboard'!$C$23,0)),'High Level Dashboard'!$B$64:$AV$64,'High Level Dashboard'!$B$112:$AV$112,"")*('High Level Dashboard'!$C$23-ROUNDDOWN('High Level Dashboard'!$C$23,0)))),0)
+
(((SUMIFS('High Level Dashboard'!$B$112:$AV$112,'High Level Dashboard'!$B$64:$AV$64,"&gt;"&amp;'High Level Dashboard'!W$64-ROUNDDOWN('High Level Dashboard'!$C$23,0),'High Level Dashboard'!$B$64:$AV$64,"&lt;="&amp;'High Level Dashboard'!W$64)+(IFERROR(SUMIF('High Level Dashboard'!$B$64:$AV$64,ROUNDDOWN('High Level Dashboard'!W$64-'High Level Dashboard'!$C$23,0)+1,'High Level Dashboard'!$B$112:$AV$112)*(1-('High Level Dashboard'!$C$23-ROUNDDOWN('High Level Dashboard'!$C$23,0))),"")))*'High Level Dashboard'!$C$22)
))</f>
        <v>125.90146964475012</v>
      </c>
      <c r="Y110" s="434">
        <f ca="1">'High Level Dashboard'!$C$55*'High Level Dashboard'!$C$21*
(-PMT('High Level Dashboard'!$C$22,'High Level Dashboard'!$C$24-'High Level Dashboard'!$C$23+1,
SUMIFS('High Level Dashboard'!$B$112:$AV$112,'High Level Dashboard'!$B$64:$AV$64,"&gt;="&amp;('High Level Dashboard'!X$64-(ROUNDDOWN('High Level Dashboard'!$C$24,0))+1),'High Level Dashboard'!$B$64:$AV$64,"&lt;="&amp;('High Level Dashboard'!X$64-(ROUNDUP('High Level Dashboard'!$C$23,0)))))
+
IFERROR(-PMT('High Level Dashboard'!$C$22,'High Level Dashboard'!$C$24-'High Level Dashboard'!$C$23+1,
(_xlfn.XLOOKUP('High Level Dashboard'!X$64-(ROUNDUP('High Level Dashboard'!$C$24,0))+1,'High Level Dashboard'!$B$64:$AV$64,'High Level Dashboard'!$B$112:$AV$112,""))*('High Level Dashboard'!$C$24-(ROUNDDOWN('High Level Dashboard'!$C$24,0)))),0)
+
IFERROR(-PMT('High Level Dashboard'!$C$22,'High Level Dashboard'!$C$24-'High Level Dashboard'!$C$23+1,
(_xlfn.XLOOKUP('High Level Dashboard'!X$64-(ROUNDDOWN('High Level Dashboard'!$C$23,0)),'High Level Dashboard'!$B$64:$AV$64,'High Level Dashboard'!$B$112:$AV$112,"")*('High Level Dashboard'!$C$23-ROUNDDOWN('High Level Dashboard'!$C$23,0)))),0)
+
(((SUMIFS('High Level Dashboard'!$B$112:$AV$112,'High Level Dashboard'!$B$64:$AV$64,"&gt;"&amp;'High Level Dashboard'!X$64-ROUNDDOWN('High Level Dashboard'!$C$23,0),'High Level Dashboard'!$B$64:$AV$64,"&lt;="&amp;'High Level Dashboard'!X$64)+(IFERROR(SUMIF('High Level Dashboard'!$B$64:$AV$64,ROUNDDOWN('High Level Dashboard'!X$64-'High Level Dashboard'!$C$23,0)+1,'High Level Dashboard'!$B$112:$AV$112)*(1-('High Level Dashboard'!$C$23-ROUNDDOWN('High Level Dashboard'!$C$23,0))),"")))*'High Level Dashboard'!$C$22)
))</f>
        <v>129.50684605448677</v>
      </c>
      <c r="Z110" s="434">
        <f ca="1">'High Level Dashboard'!$C$55*'High Level Dashboard'!$C$21*
(-PMT('High Level Dashboard'!$C$22,'High Level Dashboard'!$C$24-'High Level Dashboard'!$C$23+1,
SUMIFS('High Level Dashboard'!$B$112:$AV$112,'High Level Dashboard'!$B$64:$AV$64,"&gt;="&amp;('High Level Dashboard'!Y$64-(ROUNDDOWN('High Level Dashboard'!$C$24,0))+1),'High Level Dashboard'!$B$64:$AV$64,"&lt;="&amp;('High Level Dashboard'!Y$64-(ROUNDUP('High Level Dashboard'!$C$23,0)))))
+
IFERROR(-PMT('High Level Dashboard'!$C$22,'High Level Dashboard'!$C$24-'High Level Dashboard'!$C$23+1,
(_xlfn.XLOOKUP('High Level Dashboard'!Y$64-(ROUNDUP('High Level Dashboard'!$C$24,0))+1,'High Level Dashboard'!$B$64:$AV$64,'High Level Dashboard'!$B$112:$AV$112,""))*('High Level Dashboard'!$C$24-(ROUNDDOWN('High Level Dashboard'!$C$24,0)))),0)
+
IFERROR(-PMT('High Level Dashboard'!$C$22,'High Level Dashboard'!$C$24-'High Level Dashboard'!$C$23+1,
(_xlfn.XLOOKUP('High Level Dashboard'!Y$64-(ROUNDDOWN('High Level Dashboard'!$C$23,0)),'High Level Dashboard'!$B$64:$AV$64,'High Level Dashboard'!$B$112:$AV$112,"")*('High Level Dashboard'!$C$23-ROUNDDOWN('High Level Dashboard'!$C$23,0)))),0)
+
(((SUMIFS('High Level Dashboard'!$B$112:$AV$112,'High Level Dashboard'!$B$64:$AV$64,"&gt;"&amp;'High Level Dashboard'!Y$64-ROUNDDOWN('High Level Dashboard'!$C$23,0),'High Level Dashboard'!$B$64:$AV$64,"&lt;="&amp;'High Level Dashboard'!Y$64)+(IFERROR(SUMIF('High Level Dashboard'!$B$64:$AV$64,ROUNDDOWN('High Level Dashboard'!Y$64-'High Level Dashboard'!$C$23,0)+1,'High Level Dashboard'!$B$112:$AV$112)*(1-('High Level Dashboard'!$C$23-ROUNDDOWN('High Level Dashboard'!$C$23,0))),"")))*'High Level Dashboard'!$C$22)
))</f>
        <v>136.73128127775348</v>
      </c>
      <c r="AA110" s="434">
        <f ca="1">'High Level Dashboard'!$C$55*'High Level Dashboard'!$C$21*
(-PMT('High Level Dashboard'!$C$22,'High Level Dashboard'!$C$24-'High Level Dashboard'!$C$23+1,
SUMIFS('High Level Dashboard'!$B$112:$AV$112,'High Level Dashboard'!$B$64:$AV$64,"&gt;="&amp;('High Level Dashboard'!Z$64-(ROUNDDOWN('High Level Dashboard'!$C$24,0))+1),'High Level Dashboard'!$B$64:$AV$64,"&lt;="&amp;('High Level Dashboard'!Z$64-(ROUNDUP('High Level Dashboard'!$C$23,0)))))
+
IFERROR(-PMT('High Level Dashboard'!$C$22,'High Level Dashboard'!$C$24-'High Level Dashboard'!$C$23+1,
(_xlfn.XLOOKUP('High Level Dashboard'!Z$64-(ROUNDUP('High Level Dashboard'!$C$24,0))+1,'High Level Dashboard'!$B$64:$AV$64,'High Level Dashboard'!$B$112:$AV$112,""))*('High Level Dashboard'!$C$24-(ROUNDDOWN('High Level Dashboard'!$C$24,0)))),0)
+
IFERROR(-PMT('High Level Dashboard'!$C$22,'High Level Dashboard'!$C$24-'High Level Dashboard'!$C$23+1,
(_xlfn.XLOOKUP('High Level Dashboard'!Z$64-(ROUNDDOWN('High Level Dashboard'!$C$23,0)),'High Level Dashboard'!$B$64:$AV$64,'High Level Dashboard'!$B$112:$AV$112,"")*('High Level Dashboard'!$C$23-ROUNDDOWN('High Level Dashboard'!$C$23,0)))),0)
+
(((SUMIFS('High Level Dashboard'!$B$112:$AV$112,'High Level Dashboard'!$B$64:$AV$64,"&gt;"&amp;'High Level Dashboard'!Z$64-ROUNDDOWN('High Level Dashboard'!$C$23,0),'High Level Dashboard'!$B$64:$AV$64,"&lt;="&amp;'High Level Dashboard'!Z$64)+(IFERROR(SUMIF('High Level Dashboard'!$B$64:$AV$64,ROUNDDOWN('High Level Dashboard'!Z$64-'High Level Dashboard'!$C$23,0)+1,'High Level Dashboard'!$B$112:$AV$112)*(1-('High Level Dashboard'!$C$23-ROUNDDOWN('High Level Dashboard'!$C$23,0))),"")))*'High Level Dashboard'!$C$22)
))</f>
        <v>143.71085753858938</v>
      </c>
      <c r="AB110" s="434">
        <f ca="1">'High Level Dashboard'!$C$55*'High Level Dashboard'!$C$21*
(-PMT('High Level Dashboard'!$C$22,'High Level Dashboard'!$C$24-'High Level Dashboard'!$C$23+1,
SUMIFS('High Level Dashboard'!$B$112:$AV$112,'High Level Dashboard'!$B$64:$AV$64,"&gt;="&amp;('High Level Dashboard'!AA$64-(ROUNDDOWN('High Level Dashboard'!$C$24,0))+1),'High Level Dashboard'!$B$64:$AV$64,"&lt;="&amp;('High Level Dashboard'!AA$64-(ROUNDUP('High Level Dashboard'!$C$23,0)))))
+
IFERROR(-PMT('High Level Dashboard'!$C$22,'High Level Dashboard'!$C$24-'High Level Dashboard'!$C$23+1,
(_xlfn.XLOOKUP('High Level Dashboard'!AA$64-(ROUNDUP('High Level Dashboard'!$C$24,0))+1,'High Level Dashboard'!$B$64:$AV$64,'High Level Dashboard'!$B$112:$AV$112,""))*('High Level Dashboard'!$C$24-(ROUNDDOWN('High Level Dashboard'!$C$24,0)))),0)
+
IFERROR(-PMT('High Level Dashboard'!$C$22,'High Level Dashboard'!$C$24-'High Level Dashboard'!$C$23+1,
(_xlfn.XLOOKUP('High Level Dashboard'!AA$64-(ROUNDDOWN('High Level Dashboard'!$C$23,0)),'High Level Dashboard'!$B$64:$AV$64,'High Level Dashboard'!$B$112:$AV$112,"")*('High Level Dashboard'!$C$23-ROUNDDOWN('High Level Dashboard'!$C$23,0)))),0)
+
(((SUMIFS('High Level Dashboard'!$B$112:$AV$112,'High Level Dashboard'!$B$64:$AV$64,"&gt;"&amp;'High Level Dashboard'!AA$64-ROUNDDOWN('High Level Dashboard'!$C$23,0),'High Level Dashboard'!$B$64:$AV$64,"&lt;="&amp;'High Level Dashboard'!AA$64)+(IFERROR(SUMIF('High Level Dashboard'!$B$64:$AV$64,ROUNDDOWN('High Level Dashboard'!AA$64-'High Level Dashboard'!$C$23,0)+1,'High Level Dashboard'!$B$112:$AV$112)*(1-('High Level Dashboard'!$C$23-ROUNDDOWN('High Level Dashboard'!$C$23,0))),"")))*'High Level Dashboard'!$C$22)
))</f>
        <v>150.45630806354836</v>
      </c>
      <c r="AC110" s="434">
        <f ca="1">'High Level Dashboard'!$C$55*'High Level Dashboard'!$C$21*
(-PMT('High Level Dashboard'!$C$22,'High Level Dashboard'!$C$24-'High Level Dashboard'!$C$23+1,
SUMIFS('High Level Dashboard'!$B$112:$AV$112,'High Level Dashboard'!$B$64:$AV$64,"&gt;="&amp;('High Level Dashboard'!AB$64-(ROUNDDOWN('High Level Dashboard'!$C$24,0))+1),'High Level Dashboard'!$B$64:$AV$64,"&lt;="&amp;('High Level Dashboard'!AB$64-(ROUNDUP('High Level Dashboard'!$C$23,0)))))
+
IFERROR(-PMT('High Level Dashboard'!$C$22,'High Level Dashboard'!$C$24-'High Level Dashboard'!$C$23+1,
(_xlfn.XLOOKUP('High Level Dashboard'!AB$64-(ROUNDUP('High Level Dashboard'!$C$24,0))+1,'High Level Dashboard'!$B$64:$AV$64,'High Level Dashboard'!$B$112:$AV$112,""))*('High Level Dashboard'!$C$24-(ROUNDDOWN('High Level Dashboard'!$C$24,0)))),0)
+
IFERROR(-PMT('High Level Dashboard'!$C$22,'High Level Dashboard'!$C$24-'High Level Dashboard'!$C$23+1,
(_xlfn.XLOOKUP('High Level Dashboard'!AB$64-(ROUNDDOWN('High Level Dashboard'!$C$23,0)),'High Level Dashboard'!$B$64:$AV$64,'High Level Dashboard'!$B$112:$AV$112,"")*('High Level Dashboard'!$C$23-ROUNDDOWN('High Level Dashboard'!$C$23,0)))),0)
+
(((SUMIFS('High Level Dashboard'!$B$112:$AV$112,'High Level Dashboard'!$B$64:$AV$64,"&gt;"&amp;'High Level Dashboard'!AB$64-ROUNDDOWN('High Level Dashboard'!$C$23,0),'High Level Dashboard'!$B$64:$AV$64,"&lt;="&amp;'High Level Dashboard'!AB$64)+(IFERROR(SUMIF('High Level Dashboard'!$B$64:$AV$64,ROUNDDOWN('High Level Dashboard'!AB$64-'High Level Dashboard'!$C$23,0)+1,'High Level Dashboard'!$B$112:$AV$112)*(1-('High Level Dashboard'!$C$23-ROUNDDOWN('High Level Dashboard'!$C$23,0))),"")))*'High Level Dashboard'!$C$22)
))</f>
        <v>159.45979628479719</v>
      </c>
      <c r="AD110" s="434">
        <f ca="1">'High Level Dashboard'!$C$55*'High Level Dashboard'!$C$21*
(-PMT('High Level Dashboard'!$C$22,'High Level Dashboard'!$C$24-'High Level Dashboard'!$C$23+1,
SUMIFS('High Level Dashboard'!$B$112:$AV$112,'High Level Dashboard'!$B$64:$AV$64,"&gt;="&amp;('High Level Dashboard'!AC$64-(ROUNDDOWN('High Level Dashboard'!$C$24,0))+1),'High Level Dashboard'!$B$64:$AV$64,"&lt;="&amp;('High Level Dashboard'!AC$64-(ROUNDUP('High Level Dashboard'!$C$23,0)))))
+
IFERROR(-PMT('High Level Dashboard'!$C$22,'High Level Dashboard'!$C$24-'High Level Dashboard'!$C$23+1,
(_xlfn.XLOOKUP('High Level Dashboard'!AC$64-(ROUNDUP('High Level Dashboard'!$C$24,0))+1,'High Level Dashboard'!$B$64:$AV$64,'High Level Dashboard'!$B$112:$AV$112,""))*('High Level Dashboard'!$C$24-(ROUNDDOWN('High Level Dashboard'!$C$24,0)))),0)
+
IFERROR(-PMT('High Level Dashboard'!$C$22,'High Level Dashboard'!$C$24-'High Level Dashboard'!$C$23+1,
(_xlfn.XLOOKUP('High Level Dashboard'!AC$64-(ROUNDDOWN('High Level Dashboard'!$C$23,0)),'High Level Dashboard'!$B$64:$AV$64,'High Level Dashboard'!$B$112:$AV$112,"")*('High Level Dashboard'!$C$23-ROUNDDOWN('High Level Dashboard'!$C$23,0)))),0)
+
(((SUMIFS('High Level Dashboard'!$B$112:$AV$112,'High Level Dashboard'!$B$64:$AV$64,"&gt;"&amp;'High Level Dashboard'!AC$64-ROUNDDOWN('High Level Dashboard'!$C$23,0),'High Level Dashboard'!$B$64:$AV$64,"&lt;="&amp;'High Level Dashboard'!AC$64)+(IFERROR(SUMIF('High Level Dashboard'!$B$64:$AV$64,ROUNDDOWN('High Level Dashboard'!AC$64-'High Level Dashboard'!$C$23,0)+1,'High Level Dashboard'!$B$112:$AV$112)*(1-('High Level Dashboard'!$C$23-ROUNDDOWN('High Level Dashboard'!$C$23,0))),"")))*'High Level Dashboard'!$C$22)
))</f>
        <v>164.35763538360717</v>
      </c>
      <c r="AE110" s="434">
        <f ca="1">'High Level Dashboard'!$C$55*'High Level Dashboard'!$C$21*
(-PMT('High Level Dashboard'!$C$22,'High Level Dashboard'!$C$24-'High Level Dashboard'!$C$23+1,
SUMIFS('High Level Dashboard'!$B$112:$AV$112,'High Level Dashboard'!$B$64:$AV$64,"&gt;="&amp;('High Level Dashboard'!AD$64-(ROUNDDOWN('High Level Dashboard'!$C$24,0))+1),'High Level Dashboard'!$B$64:$AV$64,"&lt;="&amp;('High Level Dashboard'!AD$64-(ROUNDUP('High Level Dashboard'!$C$23,0)))))
+
IFERROR(-PMT('High Level Dashboard'!$C$22,'High Level Dashboard'!$C$24-'High Level Dashboard'!$C$23+1,
(_xlfn.XLOOKUP('High Level Dashboard'!AD$64-(ROUNDUP('High Level Dashboard'!$C$24,0))+1,'High Level Dashboard'!$B$64:$AV$64,'High Level Dashboard'!$B$112:$AV$112,""))*('High Level Dashboard'!$C$24-(ROUNDDOWN('High Level Dashboard'!$C$24,0)))),0)
+
IFERROR(-PMT('High Level Dashboard'!$C$22,'High Level Dashboard'!$C$24-'High Level Dashboard'!$C$23+1,
(_xlfn.XLOOKUP('High Level Dashboard'!AD$64-(ROUNDDOWN('High Level Dashboard'!$C$23,0)),'High Level Dashboard'!$B$64:$AV$64,'High Level Dashboard'!$B$112:$AV$112,"")*('High Level Dashboard'!$C$23-ROUNDDOWN('High Level Dashboard'!$C$23,0)))),0)
+
(((SUMIFS('High Level Dashboard'!$B$112:$AV$112,'High Level Dashboard'!$B$64:$AV$64,"&gt;"&amp;'High Level Dashboard'!AD$64-ROUNDDOWN('High Level Dashboard'!$C$23,0),'High Level Dashboard'!$B$64:$AV$64,"&lt;="&amp;'High Level Dashboard'!AD$64)+(IFERROR(SUMIF('High Level Dashboard'!$B$64:$AV$64,ROUNDDOWN('High Level Dashboard'!AD$64-'High Level Dashboard'!$C$23,0)+1,'High Level Dashboard'!$B$112:$AV$112)*(1-('High Level Dashboard'!$C$23-ROUNDDOWN('High Level Dashboard'!$C$23,0))),"")))*'High Level Dashboard'!$C$22)
))</f>
        <v>169.30854007300471</v>
      </c>
      <c r="AF110" s="434">
        <f ca="1">'High Level Dashboard'!$C$55*'High Level Dashboard'!$C$21*
(-PMT('High Level Dashboard'!$C$22,'High Level Dashboard'!$C$24-'High Level Dashboard'!$C$23+1,
SUMIFS('High Level Dashboard'!$B$112:$AV$112,'High Level Dashboard'!$B$64:$AV$64,"&gt;="&amp;('High Level Dashboard'!AE$64-(ROUNDDOWN('High Level Dashboard'!$C$24,0))+1),'High Level Dashboard'!$B$64:$AV$64,"&lt;="&amp;('High Level Dashboard'!AE$64-(ROUNDUP('High Level Dashboard'!$C$23,0)))))
+
IFERROR(-PMT('High Level Dashboard'!$C$22,'High Level Dashboard'!$C$24-'High Level Dashboard'!$C$23+1,
(_xlfn.XLOOKUP('High Level Dashboard'!AE$64-(ROUNDUP('High Level Dashboard'!$C$24,0))+1,'High Level Dashboard'!$B$64:$AV$64,'High Level Dashboard'!$B$112:$AV$112,""))*('High Level Dashboard'!$C$24-(ROUNDDOWN('High Level Dashboard'!$C$24,0)))),0)
+
IFERROR(-PMT('High Level Dashboard'!$C$22,'High Level Dashboard'!$C$24-'High Level Dashboard'!$C$23+1,
(_xlfn.XLOOKUP('High Level Dashboard'!AE$64-(ROUNDDOWN('High Level Dashboard'!$C$23,0)),'High Level Dashboard'!$B$64:$AV$64,'High Level Dashboard'!$B$112:$AV$112,"")*('High Level Dashboard'!$C$23-ROUNDDOWN('High Level Dashboard'!$C$23,0)))),0)
+
(((SUMIFS('High Level Dashboard'!$B$112:$AV$112,'High Level Dashboard'!$B$64:$AV$64,"&gt;"&amp;'High Level Dashboard'!AE$64-ROUNDDOWN('High Level Dashboard'!$C$23,0),'High Level Dashboard'!$B$64:$AV$64,"&lt;="&amp;'High Level Dashboard'!AE$64)+(IFERROR(SUMIF('High Level Dashboard'!$B$64:$AV$64,ROUNDDOWN('High Level Dashboard'!AE$64-'High Level Dashboard'!$C$23,0)+1,'High Level Dashboard'!$B$112:$AV$112)*(1-('High Level Dashboard'!$C$23-ROUNDDOWN('High Level Dashboard'!$C$23,0))),"")))*'High Level Dashboard'!$C$22)
))</f>
        <v>176.53218975268865</v>
      </c>
      <c r="AG110" s="434">
        <f ca="1">'High Level Dashboard'!$C$55*'High Level Dashboard'!$C$21*
(-PMT('High Level Dashboard'!$C$22,'High Level Dashboard'!$C$24-'High Level Dashboard'!$C$23+1,
SUMIFS('High Level Dashboard'!$B$112:$AV$112,'High Level Dashboard'!$B$64:$AV$64,"&gt;="&amp;('High Level Dashboard'!AF$64-(ROUNDDOWN('High Level Dashboard'!$C$24,0))+1),'High Level Dashboard'!$B$64:$AV$64,"&lt;="&amp;('High Level Dashboard'!AF$64-(ROUNDUP('High Level Dashboard'!$C$23,0)))))
+
IFERROR(-PMT('High Level Dashboard'!$C$22,'High Level Dashboard'!$C$24-'High Level Dashboard'!$C$23+1,
(_xlfn.XLOOKUP('High Level Dashboard'!AF$64-(ROUNDUP('High Level Dashboard'!$C$24,0))+1,'High Level Dashboard'!$B$64:$AV$64,'High Level Dashboard'!$B$112:$AV$112,""))*('High Level Dashboard'!$C$24-(ROUNDDOWN('High Level Dashboard'!$C$24,0)))),0)
+
IFERROR(-PMT('High Level Dashboard'!$C$22,'High Level Dashboard'!$C$24-'High Level Dashboard'!$C$23+1,
(_xlfn.XLOOKUP('High Level Dashboard'!AF$64-(ROUNDDOWN('High Level Dashboard'!$C$23,0)),'High Level Dashboard'!$B$64:$AV$64,'High Level Dashboard'!$B$112:$AV$112,"")*('High Level Dashboard'!$C$23-ROUNDDOWN('High Level Dashboard'!$C$23,0)))),0)
+
(((SUMIFS('High Level Dashboard'!$B$112:$AV$112,'High Level Dashboard'!$B$64:$AV$64,"&gt;"&amp;'High Level Dashboard'!AF$64-ROUNDDOWN('High Level Dashboard'!$C$23,0),'High Level Dashboard'!$B$64:$AV$64,"&lt;="&amp;'High Level Dashboard'!AF$64)+(IFERROR(SUMIF('High Level Dashboard'!$B$64:$AV$64,ROUNDDOWN('High Level Dashboard'!AF$64-'High Level Dashboard'!$C$23,0)+1,'High Level Dashboard'!$B$112:$AV$112)*(1-('High Level Dashboard'!$C$23-ROUNDDOWN('High Level Dashboard'!$C$23,0))),"")))*'High Level Dashboard'!$C$22)
))</f>
        <v>177.26737356394651</v>
      </c>
      <c r="AH110" s="434">
        <f ca="1">'High Level Dashboard'!$C$55*'High Level Dashboard'!$C$21*
(-PMT('High Level Dashboard'!$C$22,'High Level Dashboard'!$C$24-'High Level Dashboard'!$C$23+1,
SUMIFS('High Level Dashboard'!$B$112:$AV$112,'High Level Dashboard'!$B$64:$AV$64,"&gt;="&amp;('High Level Dashboard'!AG$64-(ROUNDDOWN('High Level Dashboard'!$C$24,0))+1),'High Level Dashboard'!$B$64:$AV$64,"&lt;="&amp;('High Level Dashboard'!AG$64-(ROUNDUP('High Level Dashboard'!$C$23,0)))))
+
IFERROR(-PMT('High Level Dashboard'!$C$22,'High Level Dashboard'!$C$24-'High Level Dashboard'!$C$23+1,
(_xlfn.XLOOKUP('High Level Dashboard'!AG$64-(ROUNDUP('High Level Dashboard'!$C$24,0))+1,'High Level Dashboard'!$B$64:$AV$64,'High Level Dashboard'!$B$112:$AV$112,""))*('High Level Dashboard'!$C$24-(ROUNDDOWN('High Level Dashboard'!$C$24,0)))),0)
+
IFERROR(-PMT('High Level Dashboard'!$C$22,'High Level Dashboard'!$C$24-'High Level Dashboard'!$C$23+1,
(_xlfn.XLOOKUP('High Level Dashboard'!AG$64-(ROUNDDOWN('High Level Dashboard'!$C$23,0)),'High Level Dashboard'!$B$64:$AV$64,'High Level Dashboard'!$B$112:$AV$112,"")*('High Level Dashboard'!$C$23-ROUNDDOWN('High Level Dashboard'!$C$23,0)))),0)
+
(((SUMIFS('High Level Dashboard'!$B$112:$AV$112,'High Level Dashboard'!$B$64:$AV$64,"&gt;"&amp;'High Level Dashboard'!AG$64-ROUNDDOWN('High Level Dashboard'!$C$23,0),'High Level Dashboard'!$B$64:$AV$64,"&lt;="&amp;'High Level Dashboard'!AG$64)+(IFERROR(SUMIF('High Level Dashboard'!$B$64:$AV$64,ROUNDDOWN('High Level Dashboard'!AG$64-'High Level Dashboard'!$C$23,0)+1,'High Level Dashboard'!$B$112:$AV$112)*(1-('High Level Dashboard'!$C$23-ROUNDDOWN('High Level Dashboard'!$C$23,0))),"")))*'High Level Dashboard'!$C$22)
))</f>
        <v>178.94180852633446</v>
      </c>
      <c r="AI110" s="434">
        <f ca="1">'High Level Dashboard'!$C$55*'High Level Dashboard'!$C$21*
(-PMT('High Level Dashboard'!$C$22,'High Level Dashboard'!$C$24-'High Level Dashboard'!$C$23+1,
SUMIFS('High Level Dashboard'!$B$112:$AV$112,'High Level Dashboard'!$B$64:$AV$64,"&gt;="&amp;('High Level Dashboard'!AH$64-(ROUNDDOWN('High Level Dashboard'!$C$24,0))+1),'High Level Dashboard'!$B$64:$AV$64,"&lt;="&amp;('High Level Dashboard'!AH$64-(ROUNDUP('High Level Dashboard'!$C$23,0)))))
+
IFERROR(-PMT('High Level Dashboard'!$C$22,'High Level Dashboard'!$C$24-'High Level Dashboard'!$C$23+1,
(_xlfn.XLOOKUP('High Level Dashboard'!AH$64-(ROUNDUP('High Level Dashboard'!$C$24,0))+1,'High Level Dashboard'!$B$64:$AV$64,'High Level Dashboard'!$B$112:$AV$112,""))*('High Level Dashboard'!$C$24-(ROUNDDOWN('High Level Dashboard'!$C$24,0)))),0)
+
IFERROR(-PMT('High Level Dashboard'!$C$22,'High Level Dashboard'!$C$24-'High Level Dashboard'!$C$23+1,
(_xlfn.XLOOKUP('High Level Dashboard'!AH$64-(ROUNDDOWN('High Level Dashboard'!$C$23,0)),'High Level Dashboard'!$B$64:$AV$64,'High Level Dashboard'!$B$112:$AV$112,"")*('High Level Dashboard'!$C$23-ROUNDDOWN('High Level Dashboard'!$C$23,0)))),0)
+
(((SUMIFS('High Level Dashboard'!$B$112:$AV$112,'High Level Dashboard'!$B$64:$AV$64,"&gt;"&amp;'High Level Dashboard'!AH$64-ROUNDDOWN('High Level Dashboard'!$C$23,0),'High Level Dashboard'!$B$64:$AV$64,"&lt;="&amp;'High Level Dashboard'!AH$64)+(IFERROR(SUMIF('High Level Dashboard'!$B$64:$AV$64,ROUNDDOWN('High Level Dashboard'!AH$64-'High Level Dashboard'!$C$23,0)+1,'High Level Dashboard'!$B$112:$AV$112)*(1-('High Level Dashboard'!$C$23-ROUNDDOWN('High Level Dashboard'!$C$23,0))),"")))*'High Level Dashboard'!$C$22)
))</f>
        <v>179.6564831576612</v>
      </c>
      <c r="AJ110" s="434">
        <f ca="1">'High Level Dashboard'!$C$55*'High Level Dashboard'!$C$21*
(-PMT('High Level Dashboard'!$C$22,'High Level Dashboard'!$C$24-'High Level Dashboard'!$C$23+1,
SUMIFS('High Level Dashboard'!$B$112:$AV$112,'High Level Dashboard'!$B$64:$AV$64,"&gt;="&amp;('High Level Dashboard'!AI$64-(ROUNDDOWN('High Level Dashboard'!$C$24,0))+1),'High Level Dashboard'!$B$64:$AV$64,"&lt;="&amp;('High Level Dashboard'!AI$64-(ROUNDUP('High Level Dashboard'!$C$23,0)))))
+
IFERROR(-PMT('High Level Dashboard'!$C$22,'High Level Dashboard'!$C$24-'High Level Dashboard'!$C$23+1,
(_xlfn.XLOOKUP('High Level Dashboard'!AI$64-(ROUNDUP('High Level Dashboard'!$C$24,0))+1,'High Level Dashboard'!$B$64:$AV$64,'High Level Dashboard'!$B$112:$AV$112,""))*('High Level Dashboard'!$C$24-(ROUNDDOWN('High Level Dashboard'!$C$24,0)))),0)
+
IFERROR(-PMT('High Level Dashboard'!$C$22,'High Level Dashboard'!$C$24-'High Level Dashboard'!$C$23+1,
(_xlfn.XLOOKUP('High Level Dashboard'!AI$64-(ROUNDDOWN('High Level Dashboard'!$C$23,0)),'High Level Dashboard'!$B$64:$AV$64,'High Level Dashboard'!$B$112:$AV$112,"")*('High Level Dashboard'!$C$23-ROUNDDOWN('High Level Dashboard'!$C$23,0)))),0)
+
(((SUMIFS('High Level Dashboard'!$B$112:$AV$112,'High Level Dashboard'!$B$64:$AV$64,"&gt;"&amp;'High Level Dashboard'!AI$64-ROUNDDOWN('High Level Dashboard'!$C$23,0),'High Level Dashboard'!$B$64:$AV$64,"&lt;="&amp;'High Level Dashboard'!AI$64)+(IFERROR(SUMIF('High Level Dashboard'!$B$64:$AV$64,ROUNDDOWN('High Level Dashboard'!AI$64-'High Level Dashboard'!$C$23,0)+1,'High Level Dashboard'!$B$112:$AV$112)*(1-('High Level Dashboard'!$C$23-ROUNDDOWN('High Level Dashboard'!$C$23,0))),"")))*'High Level Dashboard'!$C$22)
))</f>
        <v>183.87818129775604</v>
      </c>
      <c r="AK110" s="434">
        <f ca="1">'High Level Dashboard'!$C$55*'High Level Dashboard'!$C$21*
(-PMT('High Level Dashboard'!$C$22,'High Level Dashboard'!$C$24-'High Level Dashboard'!$C$23+1,
SUMIFS('High Level Dashboard'!$B$112:$AV$112,'High Level Dashboard'!$B$64:$AV$64,"&gt;="&amp;('High Level Dashboard'!AJ$64-(ROUNDDOWN('High Level Dashboard'!$C$24,0))+1),'High Level Dashboard'!$B$64:$AV$64,"&lt;="&amp;('High Level Dashboard'!AJ$64-(ROUNDUP('High Level Dashboard'!$C$23,0)))))
+
IFERROR(-PMT('High Level Dashboard'!$C$22,'High Level Dashboard'!$C$24-'High Level Dashboard'!$C$23+1,
(_xlfn.XLOOKUP('High Level Dashboard'!AJ$64-(ROUNDUP('High Level Dashboard'!$C$24,0))+1,'High Level Dashboard'!$B$64:$AV$64,'High Level Dashboard'!$B$112:$AV$112,""))*('High Level Dashboard'!$C$24-(ROUNDDOWN('High Level Dashboard'!$C$24,0)))),0)
+
IFERROR(-PMT('High Level Dashboard'!$C$22,'High Level Dashboard'!$C$24-'High Level Dashboard'!$C$23+1,
(_xlfn.XLOOKUP('High Level Dashboard'!AJ$64-(ROUNDDOWN('High Level Dashboard'!$C$23,0)),'High Level Dashboard'!$B$64:$AV$64,'High Level Dashboard'!$B$112:$AV$112,"")*('High Level Dashboard'!$C$23-ROUNDDOWN('High Level Dashboard'!$C$23,0)))),0)
+
(((SUMIFS('High Level Dashboard'!$B$112:$AV$112,'High Level Dashboard'!$B$64:$AV$64,"&gt;"&amp;'High Level Dashboard'!AJ$64-ROUNDDOWN('High Level Dashboard'!$C$23,0),'High Level Dashboard'!$B$64:$AV$64,"&lt;="&amp;'High Level Dashboard'!AJ$64)+(IFERROR(SUMIF('High Level Dashboard'!$B$64:$AV$64,ROUNDDOWN('High Level Dashboard'!AJ$64-'High Level Dashboard'!$C$23,0)+1,'High Level Dashboard'!$B$112:$AV$112)*(1-('High Level Dashboard'!$C$23-ROUNDDOWN('High Level Dashboard'!$C$23,0))),"")))*'High Level Dashboard'!$C$22)
))</f>
        <v>189.15808980034009</v>
      </c>
      <c r="AL110" s="434">
        <f ca="1">'High Level Dashboard'!$C$55*'High Level Dashboard'!$C$21*
(-PMT('High Level Dashboard'!$C$22,'High Level Dashboard'!$C$24-'High Level Dashboard'!$C$23+1,
SUMIFS('High Level Dashboard'!$B$112:$AV$112,'High Level Dashboard'!$B$64:$AV$64,"&gt;="&amp;('High Level Dashboard'!AK$64-(ROUNDDOWN('High Level Dashboard'!$C$24,0))+1),'High Level Dashboard'!$B$64:$AV$64,"&lt;="&amp;('High Level Dashboard'!AK$64-(ROUNDUP('High Level Dashboard'!$C$23,0)))))
+
IFERROR(-PMT('High Level Dashboard'!$C$22,'High Level Dashboard'!$C$24-'High Level Dashboard'!$C$23+1,
(_xlfn.XLOOKUP('High Level Dashboard'!AK$64-(ROUNDUP('High Level Dashboard'!$C$24,0))+1,'High Level Dashboard'!$B$64:$AV$64,'High Level Dashboard'!$B$112:$AV$112,""))*('High Level Dashboard'!$C$24-(ROUNDDOWN('High Level Dashboard'!$C$24,0)))),0)
+
IFERROR(-PMT('High Level Dashboard'!$C$22,'High Level Dashboard'!$C$24-'High Level Dashboard'!$C$23+1,
(_xlfn.XLOOKUP('High Level Dashboard'!AK$64-(ROUNDDOWN('High Level Dashboard'!$C$23,0)),'High Level Dashboard'!$B$64:$AV$64,'High Level Dashboard'!$B$112:$AV$112,"")*('High Level Dashboard'!$C$23-ROUNDDOWN('High Level Dashboard'!$C$23,0)))),0)
+
(((SUMIFS('High Level Dashboard'!$B$112:$AV$112,'High Level Dashboard'!$B$64:$AV$64,"&gt;"&amp;'High Level Dashboard'!AK$64-ROUNDDOWN('High Level Dashboard'!$C$23,0),'High Level Dashboard'!$B$64:$AV$64,"&lt;="&amp;'High Level Dashboard'!AK$64)+(IFERROR(SUMIF('High Level Dashboard'!$B$64:$AV$64,ROUNDDOWN('High Level Dashboard'!AK$64-'High Level Dashboard'!$C$23,0)+1,'High Level Dashboard'!$B$112:$AV$112)*(1-('High Level Dashboard'!$C$23-ROUNDDOWN('High Level Dashboard'!$C$23,0))),"")))*'High Level Dashboard'!$C$22)
))</f>
        <v>192.22616942442201</v>
      </c>
      <c r="AM110" s="434">
        <f ca="1">'High Level Dashboard'!$C$55*'High Level Dashboard'!$C$21*
(-PMT('High Level Dashboard'!$C$22,'High Level Dashboard'!$C$24-'High Level Dashboard'!$C$23+1,
SUMIFS('High Level Dashboard'!$B$112:$AV$112,'High Level Dashboard'!$B$64:$AV$64,"&gt;="&amp;('High Level Dashboard'!AL$64-(ROUNDDOWN('High Level Dashboard'!$C$24,0))+1),'High Level Dashboard'!$B$64:$AV$64,"&lt;="&amp;('High Level Dashboard'!AL$64-(ROUNDUP('High Level Dashboard'!$C$23,0)))))
+
IFERROR(-PMT('High Level Dashboard'!$C$22,'High Level Dashboard'!$C$24-'High Level Dashboard'!$C$23+1,
(_xlfn.XLOOKUP('High Level Dashboard'!AL$64-(ROUNDUP('High Level Dashboard'!$C$24,0))+1,'High Level Dashboard'!$B$64:$AV$64,'High Level Dashboard'!$B$112:$AV$112,""))*('High Level Dashboard'!$C$24-(ROUNDDOWN('High Level Dashboard'!$C$24,0)))),0)
+
IFERROR(-PMT('High Level Dashboard'!$C$22,'High Level Dashboard'!$C$24-'High Level Dashboard'!$C$23+1,
(_xlfn.XLOOKUP('High Level Dashboard'!AL$64-(ROUNDDOWN('High Level Dashboard'!$C$23,0)),'High Level Dashboard'!$B$64:$AV$64,'High Level Dashboard'!$B$112:$AV$112,"")*('High Level Dashboard'!$C$23-ROUNDDOWN('High Level Dashboard'!$C$23,0)))),0)
+
(((SUMIFS('High Level Dashboard'!$B$112:$AV$112,'High Level Dashboard'!$B$64:$AV$64,"&gt;"&amp;'High Level Dashboard'!AL$64-ROUNDDOWN('High Level Dashboard'!$C$23,0),'High Level Dashboard'!$B$64:$AV$64,"&lt;="&amp;'High Level Dashboard'!AL$64)+(IFERROR(SUMIF('High Level Dashboard'!$B$64:$AV$64,ROUNDDOWN('High Level Dashboard'!AL$64-'High Level Dashboard'!$C$23,0)+1,'High Level Dashboard'!$B$112:$AV$112)*(1-('High Level Dashboard'!$C$23-ROUNDDOWN('High Level Dashboard'!$C$23,0))),"")))*'High Level Dashboard'!$C$22)
))</f>
        <v>197.29046694976518</v>
      </c>
      <c r="AN110" s="434">
        <f ca="1">'High Level Dashboard'!$C$55*'High Level Dashboard'!$C$21*
(-PMT('High Level Dashboard'!$C$22,'High Level Dashboard'!$C$24-'High Level Dashboard'!$C$23+1,
SUMIFS('High Level Dashboard'!$B$112:$AV$112,'High Level Dashboard'!$B$64:$AV$64,"&gt;="&amp;('High Level Dashboard'!AM$64-(ROUNDDOWN('High Level Dashboard'!$C$24,0))+1),'High Level Dashboard'!$B$64:$AV$64,"&lt;="&amp;('High Level Dashboard'!AM$64-(ROUNDUP('High Level Dashboard'!$C$23,0)))))
+
IFERROR(-PMT('High Level Dashboard'!$C$22,'High Level Dashboard'!$C$24-'High Level Dashboard'!$C$23+1,
(_xlfn.XLOOKUP('High Level Dashboard'!AM$64-(ROUNDUP('High Level Dashboard'!$C$24,0))+1,'High Level Dashboard'!$B$64:$AV$64,'High Level Dashboard'!$B$112:$AV$112,""))*('High Level Dashboard'!$C$24-(ROUNDDOWN('High Level Dashboard'!$C$24,0)))),0)
+
IFERROR(-PMT('High Level Dashboard'!$C$22,'High Level Dashboard'!$C$24-'High Level Dashboard'!$C$23+1,
(_xlfn.XLOOKUP('High Level Dashboard'!AM$64-(ROUNDDOWN('High Level Dashboard'!$C$23,0)),'High Level Dashboard'!$B$64:$AV$64,'High Level Dashboard'!$B$112:$AV$112,"")*('High Level Dashboard'!$C$23-ROUNDDOWN('High Level Dashboard'!$C$23,0)))),0)
+
(((SUMIFS('High Level Dashboard'!$B$112:$AV$112,'High Level Dashboard'!$B$64:$AV$64,"&gt;"&amp;'High Level Dashboard'!AM$64-ROUNDDOWN('High Level Dashboard'!$C$23,0),'High Level Dashboard'!$B$64:$AV$64,"&lt;="&amp;'High Level Dashboard'!AM$64)+(IFERROR(SUMIF('High Level Dashboard'!$B$64:$AV$64,ROUNDDOWN('High Level Dashboard'!AM$64-'High Level Dashboard'!$C$23,0)+1,'High Level Dashboard'!$B$112:$AV$112)*(1-('High Level Dashboard'!$C$23-ROUNDDOWN('High Level Dashboard'!$C$23,0))),"")))*'High Level Dashboard'!$C$22)
))</f>
        <v>200.59857364602564</v>
      </c>
      <c r="AO110" s="434">
        <f ca="1">'High Level Dashboard'!$C$55*'High Level Dashboard'!$C$21*
(-PMT('High Level Dashboard'!$C$22,'High Level Dashboard'!$C$24-'High Level Dashboard'!$C$23+1,
SUMIFS('High Level Dashboard'!$B$112:$AV$112,'High Level Dashboard'!$B$64:$AV$64,"&gt;="&amp;('High Level Dashboard'!AN$64-(ROUNDDOWN('High Level Dashboard'!$C$24,0))+1),'High Level Dashboard'!$B$64:$AV$64,"&lt;="&amp;('High Level Dashboard'!AN$64-(ROUNDUP('High Level Dashboard'!$C$23,0)))))
+
IFERROR(-PMT('High Level Dashboard'!$C$22,'High Level Dashboard'!$C$24-'High Level Dashboard'!$C$23+1,
(_xlfn.XLOOKUP('High Level Dashboard'!AN$64-(ROUNDUP('High Level Dashboard'!$C$24,0))+1,'High Level Dashboard'!$B$64:$AV$64,'High Level Dashboard'!$B$112:$AV$112,""))*('High Level Dashboard'!$C$24-(ROUNDDOWN('High Level Dashboard'!$C$24,0)))),0)
+
IFERROR(-PMT('High Level Dashboard'!$C$22,'High Level Dashboard'!$C$24-'High Level Dashboard'!$C$23+1,
(_xlfn.XLOOKUP('High Level Dashboard'!AN$64-(ROUNDDOWN('High Level Dashboard'!$C$23,0)),'High Level Dashboard'!$B$64:$AV$64,'High Level Dashboard'!$B$112:$AV$112,"")*('High Level Dashboard'!$C$23-ROUNDDOWN('High Level Dashboard'!$C$23,0)))),0)
+
(((SUMIFS('High Level Dashboard'!$B$112:$AV$112,'High Level Dashboard'!$B$64:$AV$64,"&gt;"&amp;'High Level Dashboard'!AN$64-ROUNDDOWN('High Level Dashboard'!$C$23,0),'High Level Dashboard'!$B$64:$AV$64,"&lt;="&amp;'High Level Dashboard'!AN$64)+(IFERROR(SUMIF('High Level Dashboard'!$B$64:$AV$64,ROUNDDOWN('High Level Dashboard'!AN$64-'High Level Dashboard'!$C$23,0)+1,'High Level Dashboard'!$B$112:$AV$112)*(1-('High Level Dashboard'!$C$23-ROUNDDOWN('High Level Dashboard'!$C$23,0))),"")))*'High Level Dashboard'!$C$22)
))</f>
        <v>203.05166565152754</v>
      </c>
      <c r="AP110" s="434">
        <f ca="1">'High Level Dashboard'!$C$55*'High Level Dashboard'!$C$21*
(-PMT('High Level Dashboard'!$C$22,'High Level Dashboard'!$C$24-'High Level Dashboard'!$C$23+1,
SUMIFS('High Level Dashboard'!$B$112:$AV$112,'High Level Dashboard'!$B$64:$AV$64,"&gt;="&amp;('High Level Dashboard'!AO$64-(ROUNDDOWN('High Level Dashboard'!$C$24,0))+1),'High Level Dashboard'!$B$64:$AV$64,"&lt;="&amp;('High Level Dashboard'!AO$64-(ROUNDUP('High Level Dashboard'!$C$23,0)))))
+
IFERROR(-PMT('High Level Dashboard'!$C$22,'High Level Dashboard'!$C$24-'High Level Dashboard'!$C$23+1,
(_xlfn.XLOOKUP('High Level Dashboard'!AO$64-(ROUNDUP('High Level Dashboard'!$C$24,0))+1,'High Level Dashboard'!$B$64:$AV$64,'High Level Dashboard'!$B$112:$AV$112,""))*('High Level Dashboard'!$C$24-(ROUNDDOWN('High Level Dashboard'!$C$24,0)))),0)
+
IFERROR(-PMT('High Level Dashboard'!$C$22,'High Level Dashboard'!$C$24-'High Level Dashboard'!$C$23+1,
(_xlfn.XLOOKUP('High Level Dashboard'!AO$64-(ROUNDDOWN('High Level Dashboard'!$C$23,0)),'High Level Dashboard'!$B$64:$AV$64,'High Level Dashboard'!$B$112:$AV$112,"")*('High Level Dashboard'!$C$23-ROUNDDOWN('High Level Dashboard'!$C$23,0)))),0)
+
(((SUMIFS('High Level Dashboard'!$B$112:$AV$112,'High Level Dashboard'!$B$64:$AV$64,"&gt;"&amp;'High Level Dashboard'!AO$64-ROUNDDOWN('High Level Dashboard'!$C$23,0),'High Level Dashboard'!$B$64:$AV$64,"&lt;="&amp;'High Level Dashboard'!AO$64)+(IFERROR(SUMIF('High Level Dashboard'!$B$64:$AV$64,ROUNDDOWN('High Level Dashboard'!AO$64-'High Level Dashboard'!$C$23,0)+1,'High Level Dashboard'!$B$112:$AV$112)*(1-('High Level Dashboard'!$C$23-ROUNDDOWN('High Level Dashboard'!$C$23,0))),"")))*'High Level Dashboard'!$C$22)
))</f>
        <v>205.91059023373006</v>
      </c>
      <c r="AQ110" s="434">
        <f ca="1">'High Level Dashboard'!$C$55*'High Level Dashboard'!$C$21*
(-PMT('High Level Dashboard'!$C$22,'High Level Dashboard'!$C$24-'High Level Dashboard'!$C$23+1,
SUMIFS('High Level Dashboard'!$B$112:$AV$112,'High Level Dashboard'!$B$64:$AV$64,"&gt;="&amp;('High Level Dashboard'!AP$64-(ROUNDDOWN('High Level Dashboard'!$C$24,0))+1),'High Level Dashboard'!$B$64:$AV$64,"&lt;="&amp;('High Level Dashboard'!AP$64-(ROUNDUP('High Level Dashboard'!$C$23,0)))))
+
IFERROR(-PMT('High Level Dashboard'!$C$22,'High Level Dashboard'!$C$24-'High Level Dashboard'!$C$23+1,
(_xlfn.XLOOKUP('High Level Dashboard'!AP$64-(ROUNDUP('High Level Dashboard'!$C$24,0))+1,'High Level Dashboard'!$B$64:$AV$64,'High Level Dashboard'!$B$112:$AV$112,""))*('High Level Dashboard'!$C$24-(ROUNDDOWN('High Level Dashboard'!$C$24,0)))),0)
+
IFERROR(-PMT('High Level Dashboard'!$C$22,'High Level Dashboard'!$C$24-'High Level Dashboard'!$C$23+1,
(_xlfn.XLOOKUP('High Level Dashboard'!AP$64-(ROUNDDOWN('High Level Dashboard'!$C$23,0)),'High Level Dashboard'!$B$64:$AV$64,'High Level Dashboard'!$B$112:$AV$112,"")*('High Level Dashboard'!$C$23-ROUNDDOWN('High Level Dashboard'!$C$23,0)))),0)
+
(((SUMIFS('High Level Dashboard'!$B$112:$AV$112,'High Level Dashboard'!$B$64:$AV$64,"&gt;"&amp;'High Level Dashboard'!AP$64-ROUNDDOWN('High Level Dashboard'!$C$23,0),'High Level Dashboard'!$B$64:$AV$64,"&lt;="&amp;'High Level Dashboard'!AP$64)+(IFERROR(SUMIF('High Level Dashboard'!$B$64:$AV$64,ROUNDDOWN('High Level Dashboard'!AP$64-'High Level Dashboard'!$C$23,0)+1,'High Level Dashboard'!$B$112:$AV$112)*(1-('High Level Dashboard'!$C$23-ROUNDDOWN('High Level Dashboard'!$C$23,0))),"")))*'High Level Dashboard'!$C$22)
))</f>
        <v>209.40584441686605</v>
      </c>
      <c r="AR110" s="434">
        <f ca="1">'High Level Dashboard'!$C$55*'High Level Dashboard'!$C$21*
(-PMT('High Level Dashboard'!$C$22,'High Level Dashboard'!$C$24-'High Level Dashboard'!$C$23+1,
SUMIFS('High Level Dashboard'!$B$112:$AV$112,'High Level Dashboard'!$B$64:$AV$64,"&gt;="&amp;('High Level Dashboard'!AQ$64-(ROUNDDOWN('High Level Dashboard'!$C$24,0))+1),'High Level Dashboard'!$B$64:$AV$64,"&lt;="&amp;('High Level Dashboard'!AQ$64-(ROUNDUP('High Level Dashboard'!$C$23,0)))))
+
IFERROR(-PMT('High Level Dashboard'!$C$22,'High Level Dashboard'!$C$24-'High Level Dashboard'!$C$23+1,
(_xlfn.XLOOKUP('High Level Dashboard'!AQ$64-(ROUNDUP('High Level Dashboard'!$C$24,0))+1,'High Level Dashboard'!$B$64:$AV$64,'High Level Dashboard'!$B$112:$AV$112,""))*('High Level Dashboard'!$C$24-(ROUNDDOWN('High Level Dashboard'!$C$24,0)))),0)
+
IFERROR(-PMT('High Level Dashboard'!$C$22,'High Level Dashboard'!$C$24-'High Level Dashboard'!$C$23+1,
(_xlfn.XLOOKUP('High Level Dashboard'!AQ$64-(ROUNDDOWN('High Level Dashboard'!$C$23,0)),'High Level Dashboard'!$B$64:$AV$64,'High Level Dashboard'!$B$112:$AV$112,"")*('High Level Dashboard'!$C$23-ROUNDDOWN('High Level Dashboard'!$C$23,0)))),0)
+
(((SUMIFS('High Level Dashboard'!$B$112:$AV$112,'High Level Dashboard'!$B$64:$AV$64,"&gt;"&amp;'High Level Dashboard'!AQ$64-ROUNDDOWN('High Level Dashboard'!$C$23,0),'High Level Dashboard'!$B$64:$AV$64,"&lt;="&amp;'High Level Dashboard'!AQ$64)+(IFERROR(SUMIF('High Level Dashboard'!$B$64:$AV$64,ROUNDDOWN('High Level Dashboard'!AQ$64-'High Level Dashboard'!$C$23,0)+1,'High Level Dashboard'!$B$112:$AV$112)*(1-('High Level Dashboard'!$C$23-ROUNDDOWN('High Level Dashboard'!$C$23,0))),"")))*'High Level Dashboard'!$C$22)
))</f>
        <v>210.72448572817407</v>
      </c>
      <c r="AS110" s="434">
        <f ca="1">'High Level Dashboard'!$C$55*'High Level Dashboard'!$C$21*
(-PMT('High Level Dashboard'!$C$22,'High Level Dashboard'!$C$24-'High Level Dashboard'!$C$23+1,
SUMIFS('High Level Dashboard'!$B$112:$AV$112,'High Level Dashboard'!$B$64:$AV$64,"&gt;="&amp;('High Level Dashboard'!AR$64-(ROUNDDOWN('High Level Dashboard'!$C$24,0))+1),'High Level Dashboard'!$B$64:$AV$64,"&lt;="&amp;('High Level Dashboard'!AR$64-(ROUNDUP('High Level Dashboard'!$C$23,0)))))
+
IFERROR(-PMT('High Level Dashboard'!$C$22,'High Level Dashboard'!$C$24-'High Level Dashboard'!$C$23+1,
(_xlfn.XLOOKUP('High Level Dashboard'!AR$64-(ROUNDUP('High Level Dashboard'!$C$24,0))+1,'High Level Dashboard'!$B$64:$AV$64,'High Level Dashboard'!$B$112:$AV$112,""))*('High Level Dashboard'!$C$24-(ROUNDDOWN('High Level Dashboard'!$C$24,0)))),0)
+
IFERROR(-PMT('High Level Dashboard'!$C$22,'High Level Dashboard'!$C$24-'High Level Dashboard'!$C$23+1,
(_xlfn.XLOOKUP('High Level Dashboard'!AR$64-(ROUNDDOWN('High Level Dashboard'!$C$23,0)),'High Level Dashboard'!$B$64:$AV$64,'High Level Dashboard'!$B$112:$AV$112,"")*('High Level Dashboard'!$C$23-ROUNDDOWN('High Level Dashboard'!$C$23,0)))),0)
+
(((SUMIFS('High Level Dashboard'!$B$112:$AV$112,'High Level Dashboard'!$B$64:$AV$64,"&gt;"&amp;'High Level Dashboard'!AR$64-ROUNDDOWN('High Level Dashboard'!$C$23,0),'High Level Dashboard'!$B$64:$AV$64,"&lt;="&amp;'High Level Dashboard'!AR$64)+(IFERROR(SUMIF('High Level Dashboard'!$B$64:$AV$64,ROUNDDOWN('High Level Dashboard'!AR$64-'High Level Dashboard'!$C$23,0)+1,'High Level Dashboard'!$B$112:$AV$112)*(1-('High Level Dashboard'!$C$23-ROUNDDOWN('High Level Dashboard'!$C$23,0))),"")))*'High Level Dashboard'!$C$22)
))</f>
        <v>209.67008835766185</v>
      </c>
      <c r="AT110" s="434">
        <f ca="1">'High Level Dashboard'!$C$55*'High Level Dashboard'!$C$21*
(-PMT('High Level Dashboard'!$C$22,'High Level Dashboard'!$C$24-'High Level Dashboard'!$C$23+1,
SUMIFS('High Level Dashboard'!$B$112:$AV$112,'High Level Dashboard'!$B$64:$AV$64,"&gt;="&amp;('High Level Dashboard'!AS$64-(ROUNDDOWN('High Level Dashboard'!$C$24,0))+1),'High Level Dashboard'!$B$64:$AV$64,"&lt;="&amp;('High Level Dashboard'!AS$64-(ROUNDUP('High Level Dashboard'!$C$23,0)))))
+
IFERROR(-PMT('High Level Dashboard'!$C$22,'High Level Dashboard'!$C$24-'High Level Dashboard'!$C$23+1,
(_xlfn.XLOOKUP('High Level Dashboard'!AS$64-(ROUNDUP('High Level Dashboard'!$C$24,0))+1,'High Level Dashboard'!$B$64:$AV$64,'High Level Dashboard'!$B$112:$AV$112,""))*('High Level Dashboard'!$C$24-(ROUNDDOWN('High Level Dashboard'!$C$24,0)))),0)
+
IFERROR(-PMT('High Level Dashboard'!$C$22,'High Level Dashboard'!$C$24-'High Level Dashboard'!$C$23+1,
(_xlfn.XLOOKUP('High Level Dashboard'!AS$64-(ROUNDDOWN('High Level Dashboard'!$C$23,0)),'High Level Dashboard'!$B$64:$AV$64,'High Level Dashboard'!$B$112:$AV$112,"")*('High Level Dashboard'!$C$23-ROUNDDOWN('High Level Dashboard'!$C$23,0)))),0)
+
(((SUMIFS('High Level Dashboard'!$B$112:$AV$112,'High Level Dashboard'!$B$64:$AV$64,"&gt;"&amp;'High Level Dashboard'!AS$64-ROUNDDOWN('High Level Dashboard'!$C$23,0),'High Level Dashboard'!$B$64:$AV$64,"&lt;="&amp;'High Level Dashboard'!AS$64)+(IFERROR(SUMIF('High Level Dashboard'!$B$64:$AV$64,ROUNDDOWN('High Level Dashboard'!AS$64-'High Level Dashboard'!$C$23,0)+1,'High Level Dashboard'!$B$112:$AV$112)*(1-('High Level Dashboard'!$C$23-ROUNDDOWN('High Level Dashboard'!$C$23,0))),"")))*'High Level Dashboard'!$C$22)
))</f>
        <v>211.03999239147799</v>
      </c>
      <c r="AU110" s="434">
        <f ca="1">'High Level Dashboard'!$C$55*'High Level Dashboard'!$C$21*
(-PMT('High Level Dashboard'!$C$22,'High Level Dashboard'!$C$24-'High Level Dashboard'!$C$23+1,
SUMIFS('High Level Dashboard'!$B$112:$AV$112,'High Level Dashboard'!$B$64:$AV$64,"&gt;="&amp;('High Level Dashboard'!AT$64-(ROUNDDOWN('High Level Dashboard'!$C$24,0))+1),'High Level Dashboard'!$B$64:$AV$64,"&lt;="&amp;('High Level Dashboard'!AT$64-(ROUNDUP('High Level Dashboard'!$C$23,0)))))
+
IFERROR(-PMT('High Level Dashboard'!$C$22,'High Level Dashboard'!$C$24-'High Level Dashboard'!$C$23+1,
(_xlfn.XLOOKUP('High Level Dashboard'!AT$64-(ROUNDUP('High Level Dashboard'!$C$24,0))+1,'High Level Dashboard'!$B$64:$AV$64,'High Level Dashboard'!$B$112:$AV$112,""))*('High Level Dashboard'!$C$24-(ROUNDDOWN('High Level Dashboard'!$C$24,0)))),0)
+
IFERROR(-PMT('High Level Dashboard'!$C$22,'High Level Dashboard'!$C$24-'High Level Dashboard'!$C$23+1,
(_xlfn.XLOOKUP('High Level Dashboard'!AT$64-(ROUNDDOWN('High Level Dashboard'!$C$23,0)),'High Level Dashboard'!$B$64:$AV$64,'High Level Dashboard'!$B$112:$AV$112,"")*('High Level Dashboard'!$C$23-ROUNDDOWN('High Level Dashboard'!$C$23,0)))),0)
+
(((SUMIFS('High Level Dashboard'!$B$112:$AV$112,'High Level Dashboard'!$B$64:$AV$64,"&gt;"&amp;'High Level Dashboard'!AT$64-ROUNDDOWN('High Level Dashboard'!$C$23,0),'High Level Dashboard'!$B$64:$AV$64,"&lt;="&amp;'High Level Dashboard'!AT$64)+(IFERROR(SUMIF('High Level Dashboard'!$B$64:$AV$64,ROUNDDOWN('High Level Dashboard'!AT$64-'High Level Dashboard'!$C$23,0)+1,'High Level Dashboard'!$B$112:$AV$112)*(1-('High Level Dashboard'!$C$23-ROUNDDOWN('High Level Dashboard'!$C$23,0))),"")))*'High Level Dashboard'!$C$22)
))</f>
        <v>211.97631339166256</v>
      </c>
      <c r="AV110" s="434">
        <f ca="1">'High Level Dashboard'!$C$55*'High Level Dashboard'!$C$21*
(-PMT('High Level Dashboard'!$C$22,'High Level Dashboard'!$C$24-'High Level Dashboard'!$C$23+1,
SUMIFS('High Level Dashboard'!$B$112:$AV$112,'High Level Dashboard'!$B$64:$AV$64,"&gt;="&amp;('High Level Dashboard'!AU$64-(ROUNDDOWN('High Level Dashboard'!$C$24,0))+1),'High Level Dashboard'!$B$64:$AV$64,"&lt;="&amp;('High Level Dashboard'!AU$64-(ROUNDUP('High Level Dashboard'!$C$23,0)))))
+
IFERROR(-PMT('High Level Dashboard'!$C$22,'High Level Dashboard'!$C$24-'High Level Dashboard'!$C$23+1,
(_xlfn.XLOOKUP('High Level Dashboard'!AU$64-(ROUNDUP('High Level Dashboard'!$C$24,0))+1,'High Level Dashboard'!$B$64:$AV$64,'High Level Dashboard'!$B$112:$AV$112,""))*('High Level Dashboard'!$C$24-(ROUNDDOWN('High Level Dashboard'!$C$24,0)))),0)
+
IFERROR(-PMT('High Level Dashboard'!$C$22,'High Level Dashboard'!$C$24-'High Level Dashboard'!$C$23+1,
(_xlfn.XLOOKUP('High Level Dashboard'!AU$64-(ROUNDDOWN('High Level Dashboard'!$C$23,0)),'High Level Dashboard'!$B$64:$AV$64,'High Level Dashboard'!$B$112:$AV$112,"")*('High Level Dashboard'!$C$23-ROUNDDOWN('High Level Dashboard'!$C$23,0)))),0)
+
(((SUMIFS('High Level Dashboard'!$B$112:$AV$112,'High Level Dashboard'!$B$64:$AV$64,"&gt;"&amp;'High Level Dashboard'!AU$64-ROUNDDOWN('High Level Dashboard'!$C$23,0),'High Level Dashboard'!$B$64:$AV$64,"&lt;="&amp;'High Level Dashboard'!AU$64)+(IFERROR(SUMIF('High Level Dashboard'!$B$64:$AV$64,ROUNDDOWN('High Level Dashboard'!AU$64-'High Level Dashboard'!$C$23,0)+1,'High Level Dashboard'!$B$112:$AV$112)*(1-('High Level Dashboard'!$C$23-ROUNDDOWN('High Level Dashboard'!$C$23,0))),"")))*'High Level Dashboard'!$C$22)
))</f>
        <v>210.80302334694809</v>
      </c>
    </row>
    <row r="111" spans="1:49" s="433" customFormat="1">
      <c r="A111" s="427" t="s">
        <v>263</v>
      </c>
      <c r="B111" s="427"/>
      <c r="C111" s="434">
        <f ca="1">'High Level Dashboard'!$C$56*'High Level Dashboard'!$C$27*
(-PMT('High Level Dashboard'!$C$28,'High Level Dashboard'!$C$30-'High Level Dashboard'!$C$29+1,
SUMIFS('High Level Dashboard'!$B$112:$AV$112,'High Level Dashboard'!$B$64:$AV$64,"&gt;="&amp;('High Level Dashboard'!B$64-(ROUNDDOWN('High Level Dashboard'!$C$30,0))+1),'High Level Dashboard'!$B$64:$AV$64,"&lt;="&amp;('High Level Dashboard'!B$64-(ROUNDUP('High Level Dashboard'!$C$29,0)))))
+
IFERROR(-PMT('High Level Dashboard'!$C$28,'High Level Dashboard'!$C$30-'High Level Dashboard'!$C$29+1,
(_xlfn.XLOOKUP('High Level Dashboard'!B$64-(ROUNDUP('High Level Dashboard'!$C$30,0))+1,'High Level Dashboard'!$B$64:$AV$64,'High Level Dashboard'!$B$112:$AV$112,""))*('High Level Dashboard'!$C$30-(ROUNDDOWN('High Level Dashboard'!$C$30,0)))),0)
+
IFERROR(-PMT('High Level Dashboard'!$C$28,'High Level Dashboard'!$C$30-'High Level Dashboard'!$C$29+1,
(_xlfn.XLOOKUP('High Level Dashboard'!B$64-(ROUNDDOWN('High Level Dashboard'!$C$29,0)),'High Level Dashboard'!$B$64:$AV$64,'High Level Dashboard'!$B$112:$AV$112,"")*('High Level Dashboard'!$C$29-ROUNDDOWN('High Level Dashboard'!$C$29,0)))),0)
+
(((SUMIFS('High Level Dashboard'!$B$112:$AV$112,'High Level Dashboard'!$B$64:$AV$64,"&gt;"&amp;'High Level Dashboard'!B$64-ROUNDDOWN('High Level Dashboard'!$C$29,0),'High Level Dashboard'!$B$64:$AV$64,"&lt;="&amp;'High Level Dashboard'!B$64)+(IFERROR(SUMIF('High Level Dashboard'!$B$64:$AV$64,ROUNDDOWN('High Level Dashboard'!B$64-'High Level Dashboard'!$C$29,0)+1,'High Level Dashboard'!$B$112:$AV$112)*(1-('High Level Dashboard'!$C$29-ROUNDDOWN('High Level Dashboard'!$C$29,0))),"")))*'High Level Dashboard'!$C$28)
))</f>
        <v>0.38864141132127678</v>
      </c>
      <c r="D111" s="434">
        <f ca="1">'High Level Dashboard'!$C$56*'High Level Dashboard'!$C$27*
(-PMT('High Level Dashboard'!$C$28,'High Level Dashboard'!$C$30-'High Level Dashboard'!$C$29+1,
SUMIFS('High Level Dashboard'!$B$112:$AV$112,'High Level Dashboard'!$B$64:$AV$64,"&gt;="&amp;('High Level Dashboard'!C$64-(ROUNDDOWN('High Level Dashboard'!$C$30,0))+1),'High Level Dashboard'!$B$64:$AV$64,"&lt;="&amp;('High Level Dashboard'!C$64-(ROUNDUP('High Level Dashboard'!$C$29,0)))))
+
IFERROR(-PMT('High Level Dashboard'!$C$28,'High Level Dashboard'!$C$30-'High Level Dashboard'!$C$29+1,
(_xlfn.XLOOKUP('High Level Dashboard'!C$64-(ROUNDUP('High Level Dashboard'!$C$30,0))+1,'High Level Dashboard'!$B$64:$AV$64,'High Level Dashboard'!$B$112:$AV$112,""))*('High Level Dashboard'!$C$30-(ROUNDDOWN('High Level Dashboard'!$C$30,0)))),0)
+
IFERROR(-PMT('High Level Dashboard'!$C$28,'High Level Dashboard'!$C$30-'High Level Dashboard'!$C$29+1,
(_xlfn.XLOOKUP('High Level Dashboard'!C$64-(ROUNDDOWN('High Level Dashboard'!$C$29,0)),'High Level Dashboard'!$B$64:$AV$64,'High Level Dashboard'!$B$112:$AV$112,"")*('High Level Dashboard'!$C$29-ROUNDDOWN('High Level Dashboard'!$C$29,0)))),0)
+
(((SUMIFS('High Level Dashboard'!$B$112:$AV$112,'High Level Dashboard'!$B$64:$AV$64,"&gt;"&amp;'High Level Dashboard'!C$64-ROUNDDOWN('High Level Dashboard'!$C$29,0),'High Level Dashboard'!$B$64:$AV$64,"&lt;="&amp;'High Level Dashboard'!C$64)+(IFERROR(SUMIF('High Level Dashboard'!$B$64:$AV$64,ROUNDDOWN('High Level Dashboard'!C$64-'High Level Dashboard'!$C$29,0)+1,'High Level Dashboard'!$B$112:$AV$112)*(1-('High Level Dashboard'!$C$29-ROUNDDOWN('High Level Dashboard'!$C$29,0))),"")))*'High Level Dashboard'!$C$28)
))</f>
        <v>1.0181304472495212</v>
      </c>
      <c r="E111" s="434">
        <f ca="1">'High Level Dashboard'!$C$56*'High Level Dashboard'!$C$27*
(-PMT('High Level Dashboard'!$C$28,'High Level Dashboard'!$C$30-'High Level Dashboard'!$C$29+1,
SUMIFS('High Level Dashboard'!$B$112:$AV$112,'High Level Dashboard'!$B$64:$AV$64,"&gt;="&amp;('High Level Dashboard'!D$64-(ROUNDDOWN('High Level Dashboard'!$C$30,0))+1),'High Level Dashboard'!$B$64:$AV$64,"&lt;="&amp;('High Level Dashboard'!D$64-(ROUNDUP('High Level Dashboard'!$C$29,0)))))
+
IFERROR(-PMT('High Level Dashboard'!$C$28,'High Level Dashboard'!$C$30-'High Level Dashboard'!$C$29+1,
(_xlfn.XLOOKUP('High Level Dashboard'!D$64-(ROUNDUP('High Level Dashboard'!$C$30,0))+1,'High Level Dashboard'!$B$64:$AV$64,'High Level Dashboard'!$B$112:$AV$112,""))*('High Level Dashboard'!$C$30-(ROUNDDOWN('High Level Dashboard'!$C$30,0)))),0)
+
IFERROR(-PMT('High Level Dashboard'!$C$28,'High Level Dashboard'!$C$30-'High Level Dashboard'!$C$29+1,
(_xlfn.XLOOKUP('High Level Dashboard'!D$64-(ROUNDDOWN('High Level Dashboard'!$C$29,0)),'High Level Dashboard'!$B$64:$AV$64,'High Level Dashboard'!$B$112:$AV$112,"")*('High Level Dashboard'!$C$29-ROUNDDOWN('High Level Dashboard'!$C$29,0)))),0)
+
(((SUMIFS('High Level Dashboard'!$B$112:$AV$112,'High Level Dashboard'!$B$64:$AV$64,"&gt;"&amp;'High Level Dashboard'!D$64-ROUNDDOWN('High Level Dashboard'!$C$29,0),'High Level Dashboard'!$B$64:$AV$64,"&lt;="&amp;'High Level Dashboard'!D$64)+(IFERROR(SUMIF('High Level Dashboard'!$B$64:$AV$64,ROUNDDOWN('High Level Dashboard'!D$64-'High Level Dashboard'!$C$29,0)+1,'High Level Dashboard'!$B$112:$AV$112)*(1-('High Level Dashboard'!$C$29-ROUNDDOWN('High Level Dashboard'!$C$29,0))),"")))*'High Level Dashboard'!$C$28)
))</f>
        <v>1.6254111543318701</v>
      </c>
      <c r="F111" s="434">
        <f ca="1">'High Level Dashboard'!$C$56*'High Level Dashboard'!$C$27*
(-PMT('High Level Dashboard'!$C$28,'High Level Dashboard'!$C$30-'High Level Dashboard'!$C$29+1,
SUMIFS('High Level Dashboard'!$B$112:$AV$112,'High Level Dashboard'!$B$64:$AV$64,"&gt;="&amp;('High Level Dashboard'!E$64-(ROUNDDOWN('High Level Dashboard'!$C$30,0))+1),'High Level Dashboard'!$B$64:$AV$64,"&lt;="&amp;('High Level Dashboard'!E$64-(ROUNDUP('High Level Dashboard'!$C$29,0)))))
+
IFERROR(-PMT('High Level Dashboard'!$C$28,'High Level Dashboard'!$C$30-'High Level Dashboard'!$C$29+1,
(_xlfn.XLOOKUP('High Level Dashboard'!E$64-(ROUNDUP('High Level Dashboard'!$C$30,0))+1,'High Level Dashboard'!$B$64:$AV$64,'High Level Dashboard'!$B$112:$AV$112,""))*('High Level Dashboard'!$C$30-(ROUNDDOWN('High Level Dashboard'!$C$30,0)))),0)
+
IFERROR(-PMT('High Level Dashboard'!$C$28,'High Level Dashboard'!$C$30-'High Level Dashboard'!$C$29+1,
(_xlfn.XLOOKUP('High Level Dashboard'!E$64-(ROUNDDOWN('High Level Dashboard'!$C$29,0)),'High Level Dashboard'!$B$64:$AV$64,'High Level Dashboard'!$B$112:$AV$112,"")*('High Level Dashboard'!$C$29-ROUNDDOWN('High Level Dashboard'!$C$29,0)))),0)
+
(((SUMIFS('High Level Dashboard'!$B$112:$AV$112,'High Level Dashboard'!$B$64:$AV$64,"&gt;"&amp;'High Level Dashboard'!E$64-ROUNDDOWN('High Level Dashboard'!$C$29,0),'High Level Dashboard'!$B$64:$AV$64,"&lt;="&amp;'High Level Dashboard'!E$64)+(IFERROR(SUMIF('High Level Dashboard'!$B$64:$AV$64,ROUNDDOWN('High Level Dashboard'!E$64-'High Level Dashboard'!$C$29,0)+1,'High Level Dashboard'!$B$112:$AV$112)*(1-('High Level Dashboard'!$C$29-ROUNDDOWN('High Level Dashboard'!$C$29,0))),"")))*'High Level Dashboard'!$C$28)
))</f>
        <v>2.1790334748962219</v>
      </c>
      <c r="G111" s="434">
        <f ca="1">'High Level Dashboard'!$C$56*'High Level Dashboard'!$C$27*
(-PMT('High Level Dashboard'!$C$28,'High Level Dashboard'!$C$30-'High Level Dashboard'!$C$29+1,
SUMIFS('High Level Dashboard'!$B$112:$AV$112,'High Level Dashboard'!$B$64:$AV$64,"&gt;="&amp;('High Level Dashboard'!F$64-(ROUNDDOWN('High Level Dashboard'!$C$30,0))+1),'High Level Dashboard'!$B$64:$AV$64,"&lt;="&amp;('High Level Dashboard'!F$64-(ROUNDUP('High Level Dashboard'!$C$29,0)))))
+
IFERROR(-PMT('High Level Dashboard'!$C$28,'High Level Dashboard'!$C$30-'High Level Dashboard'!$C$29+1,
(_xlfn.XLOOKUP('High Level Dashboard'!F$64-(ROUNDUP('High Level Dashboard'!$C$30,0))+1,'High Level Dashboard'!$B$64:$AV$64,'High Level Dashboard'!$B$112:$AV$112,""))*('High Level Dashboard'!$C$30-(ROUNDDOWN('High Level Dashboard'!$C$30,0)))),0)
+
IFERROR(-PMT('High Level Dashboard'!$C$28,'High Level Dashboard'!$C$30-'High Level Dashboard'!$C$29+1,
(_xlfn.XLOOKUP('High Level Dashboard'!F$64-(ROUNDDOWN('High Level Dashboard'!$C$29,0)),'High Level Dashboard'!$B$64:$AV$64,'High Level Dashboard'!$B$112:$AV$112,"")*('High Level Dashboard'!$C$29-ROUNDDOWN('High Level Dashboard'!$C$29,0)))),0)
+
(((SUMIFS('High Level Dashboard'!$B$112:$AV$112,'High Level Dashboard'!$B$64:$AV$64,"&gt;"&amp;'High Level Dashboard'!F$64-ROUNDDOWN('High Level Dashboard'!$C$29,0),'High Level Dashboard'!$B$64:$AV$64,"&lt;="&amp;'High Level Dashboard'!F$64)+(IFERROR(SUMIF('High Level Dashboard'!$B$64:$AV$64,ROUNDDOWN('High Level Dashboard'!F$64-'High Level Dashboard'!$C$29,0)+1,'High Level Dashboard'!$B$112:$AV$112)*(1-('High Level Dashboard'!$C$29-ROUNDDOWN('High Level Dashboard'!$C$29,0))),"")))*'High Level Dashboard'!$C$28)
))</f>
        <v>3.3353751403004352</v>
      </c>
      <c r="H111" s="434">
        <f ca="1">'High Level Dashboard'!$C$56*'High Level Dashboard'!$C$27*
(-PMT('High Level Dashboard'!$C$28,'High Level Dashboard'!$C$30-'High Level Dashboard'!$C$29+1,
SUMIFS('High Level Dashboard'!$B$112:$AV$112,'High Level Dashboard'!$B$64:$AV$64,"&gt;="&amp;('High Level Dashboard'!G$64-(ROUNDDOWN('High Level Dashboard'!$C$30,0))+1),'High Level Dashboard'!$B$64:$AV$64,"&lt;="&amp;('High Level Dashboard'!G$64-(ROUNDUP('High Level Dashboard'!$C$29,0)))))
+
IFERROR(-PMT('High Level Dashboard'!$C$28,'High Level Dashboard'!$C$30-'High Level Dashboard'!$C$29+1,
(_xlfn.XLOOKUP('High Level Dashboard'!G$64-(ROUNDUP('High Level Dashboard'!$C$30,0))+1,'High Level Dashboard'!$B$64:$AV$64,'High Level Dashboard'!$B$112:$AV$112,""))*('High Level Dashboard'!$C$30-(ROUNDDOWN('High Level Dashboard'!$C$30,0)))),0)
+
IFERROR(-PMT('High Level Dashboard'!$C$28,'High Level Dashboard'!$C$30-'High Level Dashboard'!$C$29+1,
(_xlfn.XLOOKUP('High Level Dashboard'!G$64-(ROUNDDOWN('High Level Dashboard'!$C$29,0)),'High Level Dashboard'!$B$64:$AV$64,'High Level Dashboard'!$B$112:$AV$112,"")*('High Level Dashboard'!$C$29-ROUNDDOWN('High Level Dashboard'!$C$29,0)))),0)
+
(((SUMIFS('High Level Dashboard'!$B$112:$AV$112,'High Level Dashboard'!$B$64:$AV$64,"&gt;"&amp;'High Level Dashboard'!G$64-ROUNDDOWN('High Level Dashboard'!$C$29,0),'High Level Dashboard'!$B$64:$AV$64,"&lt;="&amp;'High Level Dashboard'!G$64)+(IFERROR(SUMIF('High Level Dashboard'!$B$64:$AV$64,ROUNDDOWN('High Level Dashboard'!G$64-'High Level Dashboard'!$C$29,0)+1,'High Level Dashboard'!$B$112:$AV$112)*(1-('High Level Dashboard'!$C$29-ROUNDDOWN('High Level Dashboard'!$C$29,0))),"")))*'High Level Dashboard'!$C$28)
))</f>
        <v>4.0581201449371314</v>
      </c>
      <c r="I111" s="434">
        <f ca="1">'High Level Dashboard'!$C$56*'High Level Dashboard'!$C$27*
(-PMT('High Level Dashboard'!$C$28,'High Level Dashboard'!$C$30-'High Level Dashboard'!$C$29+1,
SUMIFS('High Level Dashboard'!$B$112:$AV$112,'High Level Dashboard'!$B$64:$AV$64,"&gt;="&amp;('High Level Dashboard'!H$64-(ROUNDDOWN('High Level Dashboard'!$C$30,0))+1),'High Level Dashboard'!$B$64:$AV$64,"&lt;="&amp;('High Level Dashboard'!H$64-(ROUNDUP('High Level Dashboard'!$C$29,0)))))
+
IFERROR(-PMT('High Level Dashboard'!$C$28,'High Level Dashboard'!$C$30-'High Level Dashboard'!$C$29+1,
(_xlfn.XLOOKUP('High Level Dashboard'!H$64-(ROUNDUP('High Level Dashboard'!$C$30,0))+1,'High Level Dashboard'!$B$64:$AV$64,'High Level Dashboard'!$B$112:$AV$112,""))*('High Level Dashboard'!$C$30-(ROUNDDOWN('High Level Dashboard'!$C$30,0)))),0)
+
IFERROR(-PMT('High Level Dashboard'!$C$28,'High Level Dashboard'!$C$30-'High Level Dashboard'!$C$29+1,
(_xlfn.XLOOKUP('High Level Dashboard'!H$64-(ROUNDDOWN('High Level Dashboard'!$C$29,0)),'High Level Dashboard'!$B$64:$AV$64,'High Level Dashboard'!$B$112:$AV$112,"")*('High Level Dashboard'!$C$29-ROUNDDOWN('High Level Dashboard'!$C$29,0)))),0)
+
(((SUMIFS('High Level Dashboard'!$B$112:$AV$112,'High Level Dashboard'!$B$64:$AV$64,"&gt;"&amp;'High Level Dashboard'!H$64-ROUNDDOWN('High Level Dashboard'!$C$29,0),'High Level Dashboard'!$B$64:$AV$64,"&lt;="&amp;'High Level Dashboard'!H$64)+(IFERROR(SUMIF('High Level Dashboard'!$B$64:$AV$64,ROUNDDOWN('High Level Dashboard'!H$64-'High Level Dashboard'!$C$29,0)+1,'High Level Dashboard'!$B$112:$AV$112)*(1-('High Level Dashboard'!$C$29-ROUNDDOWN('High Level Dashboard'!$C$29,0))),"")))*'High Level Dashboard'!$C$28)
))</f>
        <v>4.95189451625762</v>
      </c>
      <c r="J111" s="434">
        <f ca="1">'High Level Dashboard'!$C$56*'High Level Dashboard'!$C$27*
(-PMT('High Level Dashboard'!$C$28,'High Level Dashboard'!$C$30-'High Level Dashboard'!$C$29+1,
SUMIFS('High Level Dashboard'!$B$112:$AV$112,'High Level Dashboard'!$B$64:$AV$64,"&gt;="&amp;('High Level Dashboard'!I$64-(ROUNDDOWN('High Level Dashboard'!$C$30,0))+1),'High Level Dashboard'!$B$64:$AV$64,"&lt;="&amp;('High Level Dashboard'!I$64-(ROUNDUP('High Level Dashboard'!$C$29,0)))))
+
IFERROR(-PMT('High Level Dashboard'!$C$28,'High Level Dashboard'!$C$30-'High Level Dashboard'!$C$29+1,
(_xlfn.XLOOKUP('High Level Dashboard'!I$64-(ROUNDUP('High Level Dashboard'!$C$30,0))+1,'High Level Dashboard'!$B$64:$AV$64,'High Level Dashboard'!$B$112:$AV$112,""))*('High Level Dashboard'!$C$30-(ROUNDDOWN('High Level Dashboard'!$C$30,0)))),0)
+
IFERROR(-PMT('High Level Dashboard'!$C$28,'High Level Dashboard'!$C$30-'High Level Dashboard'!$C$29+1,
(_xlfn.XLOOKUP('High Level Dashboard'!I$64-(ROUNDDOWN('High Level Dashboard'!$C$29,0)),'High Level Dashboard'!$B$64:$AV$64,'High Level Dashboard'!$B$112:$AV$112,"")*('High Level Dashboard'!$C$29-ROUNDDOWN('High Level Dashboard'!$C$29,0)))),0)
+
(((SUMIFS('High Level Dashboard'!$B$112:$AV$112,'High Level Dashboard'!$B$64:$AV$64,"&gt;"&amp;'High Level Dashboard'!I$64-ROUNDDOWN('High Level Dashboard'!$C$29,0),'High Level Dashboard'!$B$64:$AV$64,"&lt;="&amp;'High Level Dashboard'!I$64)+(IFERROR(SUMIF('High Level Dashboard'!$B$64:$AV$64,ROUNDDOWN('High Level Dashboard'!I$64-'High Level Dashboard'!$C$29,0)+1,'High Level Dashboard'!$B$112:$AV$112)*(1-('High Level Dashboard'!$C$29-ROUNDDOWN('High Level Dashboard'!$C$29,0))),"")))*'High Level Dashboard'!$C$28)
))</f>
        <v>5.5408892337967739</v>
      </c>
      <c r="K111" s="434">
        <f ca="1">'High Level Dashboard'!$C$56*'High Level Dashboard'!$C$27*
(-PMT('High Level Dashboard'!$C$28,'High Level Dashboard'!$C$30-'High Level Dashboard'!$C$29+1,
SUMIFS('High Level Dashboard'!$B$112:$AV$112,'High Level Dashboard'!$B$64:$AV$64,"&gt;="&amp;('High Level Dashboard'!J$64-(ROUNDDOWN('High Level Dashboard'!$C$30,0))+1),'High Level Dashboard'!$B$64:$AV$64,"&lt;="&amp;('High Level Dashboard'!J$64-(ROUNDUP('High Level Dashboard'!$C$29,0)))))
+
IFERROR(-PMT('High Level Dashboard'!$C$28,'High Level Dashboard'!$C$30-'High Level Dashboard'!$C$29+1,
(_xlfn.XLOOKUP('High Level Dashboard'!J$64-(ROUNDUP('High Level Dashboard'!$C$30,0))+1,'High Level Dashboard'!$B$64:$AV$64,'High Level Dashboard'!$B$112:$AV$112,""))*('High Level Dashboard'!$C$30-(ROUNDDOWN('High Level Dashboard'!$C$30,0)))),0)
+
IFERROR(-PMT('High Level Dashboard'!$C$28,'High Level Dashboard'!$C$30-'High Level Dashboard'!$C$29+1,
(_xlfn.XLOOKUP('High Level Dashboard'!J$64-(ROUNDDOWN('High Level Dashboard'!$C$29,0)),'High Level Dashboard'!$B$64:$AV$64,'High Level Dashboard'!$B$112:$AV$112,"")*('High Level Dashboard'!$C$29-ROUNDDOWN('High Level Dashboard'!$C$29,0)))),0)
+
(((SUMIFS('High Level Dashboard'!$B$112:$AV$112,'High Level Dashboard'!$B$64:$AV$64,"&gt;"&amp;'High Level Dashboard'!J$64-ROUNDDOWN('High Level Dashboard'!$C$29,0),'High Level Dashboard'!$B$64:$AV$64,"&lt;="&amp;'High Level Dashboard'!J$64)+(IFERROR(SUMIF('High Level Dashboard'!$B$64:$AV$64,ROUNDDOWN('High Level Dashboard'!J$64-'High Level Dashboard'!$C$29,0)+1,'High Level Dashboard'!$B$112:$AV$112)*(1-('High Level Dashboard'!$C$29-ROUNDDOWN('High Level Dashboard'!$C$29,0))),"")))*'High Level Dashboard'!$C$28)
))</f>
        <v>6.2134353001482916</v>
      </c>
      <c r="L111" s="434">
        <f ca="1">'High Level Dashboard'!$C$56*'High Level Dashboard'!$C$27*
(-PMT('High Level Dashboard'!$C$28,'High Level Dashboard'!$C$30-'High Level Dashboard'!$C$29+1,
SUMIFS('High Level Dashboard'!$B$112:$AV$112,'High Level Dashboard'!$B$64:$AV$64,"&gt;="&amp;('High Level Dashboard'!K$64-(ROUNDDOWN('High Level Dashboard'!$C$30,0))+1),'High Level Dashboard'!$B$64:$AV$64,"&lt;="&amp;('High Level Dashboard'!K$64-(ROUNDUP('High Level Dashboard'!$C$29,0)))))
+
IFERROR(-PMT('High Level Dashboard'!$C$28,'High Level Dashboard'!$C$30-'High Level Dashboard'!$C$29+1,
(_xlfn.XLOOKUP('High Level Dashboard'!K$64-(ROUNDUP('High Level Dashboard'!$C$30,0))+1,'High Level Dashboard'!$B$64:$AV$64,'High Level Dashboard'!$B$112:$AV$112,""))*('High Level Dashboard'!$C$30-(ROUNDDOWN('High Level Dashboard'!$C$30,0)))),0)
+
IFERROR(-PMT('High Level Dashboard'!$C$28,'High Level Dashboard'!$C$30-'High Level Dashboard'!$C$29+1,
(_xlfn.XLOOKUP('High Level Dashboard'!K$64-(ROUNDDOWN('High Level Dashboard'!$C$29,0)),'High Level Dashboard'!$B$64:$AV$64,'High Level Dashboard'!$B$112:$AV$112,"")*('High Level Dashboard'!$C$29-ROUNDDOWN('High Level Dashboard'!$C$29,0)))),0)
+
(((SUMIFS('High Level Dashboard'!$B$112:$AV$112,'High Level Dashboard'!$B$64:$AV$64,"&gt;"&amp;'High Level Dashboard'!K$64-ROUNDDOWN('High Level Dashboard'!$C$29,0),'High Level Dashboard'!$B$64:$AV$64,"&lt;="&amp;'High Level Dashboard'!K$64)+(IFERROR(SUMIF('High Level Dashboard'!$B$64:$AV$64,ROUNDDOWN('High Level Dashboard'!K$64-'High Level Dashboard'!$C$29,0)+1,'High Level Dashboard'!$B$112:$AV$112)*(1-('High Level Dashboard'!$C$29-ROUNDDOWN('High Level Dashboard'!$C$29,0))),"")))*'High Level Dashboard'!$C$28)
))</f>
        <v>7.2910112611013451</v>
      </c>
      <c r="M111" s="434">
        <f ca="1">'High Level Dashboard'!$C$56*'High Level Dashboard'!$C$27*
(-PMT('High Level Dashboard'!$C$28,'High Level Dashboard'!$C$30-'High Level Dashboard'!$C$29+1,
SUMIFS('High Level Dashboard'!$B$112:$AV$112,'High Level Dashboard'!$B$64:$AV$64,"&gt;="&amp;('High Level Dashboard'!L$64-(ROUNDDOWN('High Level Dashboard'!$C$30,0))+1),'High Level Dashboard'!$B$64:$AV$64,"&lt;="&amp;('High Level Dashboard'!L$64-(ROUNDUP('High Level Dashboard'!$C$29,0)))))
+
IFERROR(-PMT('High Level Dashboard'!$C$28,'High Level Dashboard'!$C$30-'High Level Dashboard'!$C$29+1,
(_xlfn.XLOOKUP('High Level Dashboard'!L$64-(ROUNDUP('High Level Dashboard'!$C$30,0))+1,'High Level Dashboard'!$B$64:$AV$64,'High Level Dashboard'!$B$112:$AV$112,""))*('High Level Dashboard'!$C$30-(ROUNDDOWN('High Level Dashboard'!$C$30,0)))),0)
+
IFERROR(-PMT('High Level Dashboard'!$C$28,'High Level Dashboard'!$C$30-'High Level Dashboard'!$C$29+1,
(_xlfn.XLOOKUP('High Level Dashboard'!L$64-(ROUNDDOWN('High Level Dashboard'!$C$29,0)),'High Level Dashboard'!$B$64:$AV$64,'High Level Dashboard'!$B$112:$AV$112,"")*('High Level Dashboard'!$C$29-ROUNDDOWN('High Level Dashboard'!$C$29,0)))),0)
+
(((SUMIFS('High Level Dashboard'!$B$112:$AV$112,'High Level Dashboard'!$B$64:$AV$64,"&gt;"&amp;'High Level Dashboard'!L$64-ROUNDDOWN('High Level Dashboard'!$C$29,0),'High Level Dashboard'!$B$64:$AV$64,"&lt;="&amp;'High Level Dashboard'!L$64)+(IFERROR(SUMIF('High Level Dashboard'!$B$64:$AV$64,ROUNDDOWN('High Level Dashboard'!L$64-'High Level Dashboard'!$C$29,0)+1,'High Level Dashboard'!$B$112:$AV$112)*(1-('High Level Dashboard'!$C$29-ROUNDDOWN('High Level Dashboard'!$C$29,0))),"")))*'High Level Dashboard'!$C$28)
))</f>
        <v>8.1125123334680271</v>
      </c>
      <c r="N111" s="434">
        <f ca="1">'High Level Dashboard'!$C$56*'High Level Dashboard'!$C$27*
(-PMT('High Level Dashboard'!$C$28,'High Level Dashboard'!$C$30-'High Level Dashboard'!$C$29+1,
SUMIFS('High Level Dashboard'!$B$112:$AV$112,'High Level Dashboard'!$B$64:$AV$64,"&gt;="&amp;('High Level Dashboard'!M$64-(ROUNDDOWN('High Level Dashboard'!$C$30,0))+1),'High Level Dashboard'!$B$64:$AV$64,"&lt;="&amp;('High Level Dashboard'!M$64-(ROUNDUP('High Level Dashboard'!$C$29,0)))))
+
IFERROR(-PMT('High Level Dashboard'!$C$28,'High Level Dashboard'!$C$30-'High Level Dashboard'!$C$29+1,
(_xlfn.XLOOKUP('High Level Dashboard'!M$64-(ROUNDUP('High Level Dashboard'!$C$30,0))+1,'High Level Dashboard'!$B$64:$AV$64,'High Level Dashboard'!$B$112:$AV$112,""))*('High Level Dashboard'!$C$30-(ROUNDDOWN('High Level Dashboard'!$C$30,0)))),0)
+
IFERROR(-PMT('High Level Dashboard'!$C$28,'High Level Dashboard'!$C$30-'High Level Dashboard'!$C$29+1,
(_xlfn.XLOOKUP('High Level Dashboard'!M$64-(ROUNDDOWN('High Level Dashboard'!$C$29,0)),'High Level Dashboard'!$B$64:$AV$64,'High Level Dashboard'!$B$112:$AV$112,"")*('High Level Dashboard'!$C$29-ROUNDDOWN('High Level Dashboard'!$C$29,0)))),0)
+
(((SUMIFS('High Level Dashboard'!$B$112:$AV$112,'High Level Dashboard'!$B$64:$AV$64,"&gt;"&amp;'High Level Dashboard'!M$64-ROUNDDOWN('High Level Dashboard'!$C$29,0),'High Level Dashboard'!$B$64:$AV$64,"&lt;="&amp;'High Level Dashboard'!M$64)+(IFERROR(SUMIF('High Level Dashboard'!$B$64:$AV$64,ROUNDDOWN('High Level Dashboard'!M$64-'High Level Dashboard'!$C$29,0)+1,'High Level Dashboard'!$B$112:$AV$112)*(1-('High Level Dashboard'!$C$29-ROUNDDOWN('High Level Dashboard'!$C$29,0))),"")))*'High Level Dashboard'!$C$28)
))</f>
        <v>9.313431985689256</v>
      </c>
      <c r="O111" s="434">
        <f ca="1">'High Level Dashboard'!$C$56*'High Level Dashboard'!$C$27*
(-PMT('High Level Dashboard'!$C$28,'High Level Dashboard'!$C$30-'High Level Dashboard'!$C$29+1,
SUMIFS('High Level Dashboard'!$B$112:$AV$112,'High Level Dashboard'!$B$64:$AV$64,"&gt;="&amp;('High Level Dashboard'!N$64-(ROUNDDOWN('High Level Dashboard'!$C$30,0))+1),'High Level Dashboard'!$B$64:$AV$64,"&lt;="&amp;('High Level Dashboard'!N$64-(ROUNDUP('High Level Dashboard'!$C$29,0)))))
+
IFERROR(-PMT('High Level Dashboard'!$C$28,'High Level Dashboard'!$C$30-'High Level Dashboard'!$C$29+1,
(_xlfn.XLOOKUP('High Level Dashboard'!N$64-(ROUNDUP('High Level Dashboard'!$C$30,0))+1,'High Level Dashboard'!$B$64:$AV$64,'High Level Dashboard'!$B$112:$AV$112,""))*('High Level Dashboard'!$C$30-(ROUNDDOWN('High Level Dashboard'!$C$30,0)))),0)
+
IFERROR(-PMT('High Level Dashboard'!$C$28,'High Level Dashboard'!$C$30-'High Level Dashboard'!$C$29+1,
(_xlfn.XLOOKUP('High Level Dashboard'!N$64-(ROUNDDOWN('High Level Dashboard'!$C$29,0)),'High Level Dashboard'!$B$64:$AV$64,'High Level Dashboard'!$B$112:$AV$112,"")*('High Level Dashboard'!$C$29-ROUNDDOWN('High Level Dashboard'!$C$29,0)))),0)
+
(((SUMIFS('High Level Dashboard'!$B$112:$AV$112,'High Level Dashboard'!$B$64:$AV$64,"&gt;"&amp;'High Level Dashboard'!N$64-ROUNDDOWN('High Level Dashboard'!$C$29,0),'High Level Dashboard'!$B$64:$AV$64,"&lt;="&amp;'High Level Dashboard'!N$64)+(IFERROR(SUMIF('High Level Dashboard'!$B$64:$AV$64,ROUNDDOWN('High Level Dashboard'!N$64-'High Level Dashboard'!$C$29,0)+1,'High Level Dashboard'!$B$112:$AV$112)*(1-('High Level Dashboard'!$C$29-ROUNDDOWN('High Level Dashboard'!$C$29,0))),"")))*'High Level Dashboard'!$C$28)
))</f>
        <v>10.504566157898784</v>
      </c>
      <c r="P111" s="434">
        <f ca="1">'High Level Dashboard'!$C$56*'High Level Dashboard'!$C$27*
(-PMT('High Level Dashboard'!$C$28,'High Level Dashboard'!$C$30-'High Level Dashboard'!$C$29+1,
SUMIFS('High Level Dashboard'!$B$112:$AV$112,'High Level Dashboard'!$B$64:$AV$64,"&gt;="&amp;('High Level Dashboard'!O$64-(ROUNDDOWN('High Level Dashboard'!$C$30,0))+1),'High Level Dashboard'!$B$64:$AV$64,"&lt;="&amp;('High Level Dashboard'!O$64-(ROUNDUP('High Level Dashboard'!$C$29,0)))))
+
IFERROR(-PMT('High Level Dashboard'!$C$28,'High Level Dashboard'!$C$30-'High Level Dashboard'!$C$29+1,
(_xlfn.XLOOKUP('High Level Dashboard'!O$64-(ROUNDUP('High Level Dashboard'!$C$30,0))+1,'High Level Dashboard'!$B$64:$AV$64,'High Level Dashboard'!$B$112:$AV$112,""))*('High Level Dashboard'!$C$30-(ROUNDDOWN('High Level Dashboard'!$C$30,0)))),0)
+
IFERROR(-PMT('High Level Dashboard'!$C$28,'High Level Dashboard'!$C$30-'High Level Dashboard'!$C$29+1,
(_xlfn.XLOOKUP('High Level Dashboard'!O$64-(ROUNDDOWN('High Level Dashboard'!$C$29,0)),'High Level Dashboard'!$B$64:$AV$64,'High Level Dashboard'!$B$112:$AV$112,"")*('High Level Dashboard'!$C$29-ROUNDDOWN('High Level Dashboard'!$C$29,0)))),0)
+
(((SUMIFS('High Level Dashboard'!$B$112:$AV$112,'High Level Dashboard'!$B$64:$AV$64,"&gt;"&amp;'High Level Dashboard'!O$64-ROUNDDOWN('High Level Dashboard'!$C$29,0),'High Level Dashboard'!$B$64:$AV$64,"&lt;="&amp;'High Level Dashboard'!O$64)+(IFERROR(SUMIF('High Level Dashboard'!$B$64:$AV$64,ROUNDDOWN('High Level Dashboard'!O$64-'High Level Dashboard'!$C$29,0)+1,'High Level Dashboard'!$B$112:$AV$112)*(1-('High Level Dashboard'!$C$29-ROUNDDOWN('High Level Dashboard'!$C$29,0))),"")))*'High Level Dashboard'!$C$28)
))</f>
        <v>11.633492889287577</v>
      </c>
      <c r="Q111" s="434">
        <f ca="1">'High Level Dashboard'!$C$56*'High Level Dashboard'!$C$27*
(-PMT('High Level Dashboard'!$C$28,'High Level Dashboard'!$C$30-'High Level Dashboard'!$C$29+1,
SUMIFS('High Level Dashboard'!$B$112:$AV$112,'High Level Dashboard'!$B$64:$AV$64,"&gt;="&amp;('High Level Dashboard'!P$64-(ROUNDDOWN('High Level Dashboard'!$C$30,0))+1),'High Level Dashboard'!$B$64:$AV$64,"&lt;="&amp;('High Level Dashboard'!P$64-(ROUNDUP('High Level Dashboard'!$C$29,0)))))
+
IFERROR(-PMT('High Level Dashboard'!$C$28,'High Level Dashboard'!$C$30-'High Level Dashboard'!$C$29+1,
(_xlfn.XLOOKUP('High Level Dashboard'!P$64-(ROUNDUP('High Level Dashboard'!$C$30,0))+1,'High Level Dashboard'!$B$64:$AV$64,'High Level Dashboard'!$B$112:$AV$112,""))*('High Level Dashboard'!$C$30-(ROUNDDOWN('High Level Dashboard'!$C$30,0)))),0)
+
IFERROR(-PMT('High Level Dashboard'!$C$28,'High Level Dashboard'!$C$30-'High Level Dashboard'!$C$29+1,
(_xlfn.XLOOKUP('High Level Dashboard'!P$64-(ROUNDDOWN('High Level Dashboard'!$C$29,0)),'High Level Dashboard'!$B$64:$AV$64,'High Level Dashboard'!$B$112:$AV$112,"")*('High Level Dashboard'!$C$29-ROUNDDOWN('High Level Dashboard'!$C$29,0)))),0)
+
(((SUMIFS('High Level Dashboard'!$B$112:$AV$112,'High Level Dashboard'!$B$64:$AV$64,"&gt;"&amp;'High Level Dashboard'!P$64-ROUNDDOWN('High Level Dashboard'!$C$29,0),'High Level Dashboard'!$B$64:$AV$64,"&lt;="&amp;'High Level Dashboard'!P$64)+(IFERROR(SUMIF('High Level Dashboard'!$B$64:$AV$64,ROUNDDOWN('High Level Dashboard'!P$64-'High Level Dashboard'!$C$29,0)+1,'High Level Dashboard'!$B$112:$AV$112)*(1-('High Level Dashboard'!$C$29-ROUNDDOWN('High Level Dashboard'!$C$29,0))),"")))*'High Level Dashboard'!$C$28)
))</f>
        <v>13.037042174511935</v>
      </c>
      <c r="R111" s="434">
        <f ca="1">'High Level Dashboard'!$C$56*'High Level Dashboard'!$C$27*
(-PMT('High Level Dashboard'!$C$28,'High Level Dashboard'!$C$30-'High Level Dashboard'!$C$29+1,
SUMIFS('High Level Dashboard'!$B$112:$AV$112,'High Level Dashboard'!$B$64:$AV$64,"&gt;="&amp;('High Level Dashboard'!Q$64-(ROUNDDOWN('High Level Dashboard'!$C$30,0))+1),'High Level Dashboard'!$B$64:$AV$64,"&lt;="&amp;('High Level Dashboard'!Q$64-(ROUNDUP('High Level Dashboard'!$C$29,0)))))
+
IFERROR(-PMT('High Level Dashboard'!$C$28,'High Level Dashboard'!$C$30-'High Level Dashboard'!$C$29+1,
(_xlfn.XLOOKUP('High Level Dashboard'!Q$64-(ROUNDUP('High Level Dashboard'!$C$30,0))+1,'High Level Dashboard'!$B$64:$AV$64,'High Level Dashboard'!$B$112:$AV$112,""))*('High Level Dashboard'!$C$30-(ROUNDDOWN('High Level Dashboard'!$C$30,0)))),0)
+
IFERROR(-PMT('High Level Dashboard'!$C$28,'High Level Dashboard'!$C$30-'High Level Dashboard'!$C$29+1,
(_xlfn.XLOOKUP('High Level Dashboard'!Q$64-(ROUNDDOWN('High Level Dashboard'!$C$29,0)),'High Level Dashboard'!$B$64:$AV$64,'High Level Dashboard'!$B$112:$AV$112,"")*('High Level Dashboard'!$C$29-ROUNDDOWN('High Level Dashboard'!$C$29,0)))),0)
+
(((SUMIFS('High Level Dashboard'!$B$112:$AV$112,'High Level Dashboard'!$B$64:$AV$64,"&gt;"&amp;'High Level Dashboard'!Q$64-ROUNDDOWN('High Level Dashboard'!$C$29,0),'High Level Dashboard'!$B$64:$AV$64,"&lt;="&amp;'High Level Dashboard'!Q$64)+(IFERROR(SUMIF('High Level Dashboard'!$B$64:$AV$64,ROUNDDOWN('High Level Dashboard'!Q$64-'High Level Dashboard'!$C$29,0)+1,'High Level Dashboard'!$B$112:$AV$112)*(1-('High Level Dashboard'!$C$29-ROUNDDOWN('High Level Dashboard'!$C$29,0))),"")))*'High Level Dashboard'!$C$28)
))</f>
        <v>14.711216869111954</v>
      </c>
      <c r="S111" s="434">
        <f ca="1">'High Level Dashboard'!$C$56*'High Level Dashboard'!$C$27*
(-PMT('High Level Dashboard'!$C$28,'High Level Dashboard'!$C$30-'High Level Dashboard'!$C$29+1,
SUMIFS('High Level Dashboard'!$B$112:$AV$112,'High Level Dashboard'!$B$64:$AV$64,"&gt;="&amp;('High Level Dashboard'!R$64-(ROUNDDOWN('High Level Dashboard'!$C$30,0))+1),'High Level Dashboard'!$B$64:$AV$64,"&lt;="&amp;('High Level Dashboard'!R$64-(ROUNDUP('High Level Dashboard'!$C$29,0)))))
+
IFERROR(-PMT('High Level Dashboard'!$C$28,'High Level Dashboard'!$C$30-'High Level Dashboard'!$C$29+1,
(_xlfn.XLOOKUP('High Level Dashboard'!R$64-(ROUNDUP('High Level Dashboard'!$C$30,0))+1,'High Level Dashboard'!$B$64:$AV$64,'High Level Dashboard'!$B$112:$AV$112,""))*('High Level Dashboard'!$C$30-(ROUNDDOWN('High Level Dashboard'!$C$30,0)))),0)
+
IFERROR(-PMT('High Level Dashboard'!$C$28,'High Level Dashboard'!$C$30-'High Level Dashboard'!$C$29+1,
(_xlfn.XLOOKUP('High Level Dashboard'!R$64-(ROUNDDOWN('High Level Dashboard'!$C$29,0)),'High Level Dashboard'!$B$64:$AV$64,'High Level Dashboard'!$B$112:$AV$112,"")*('High Level Dashboard'!$C$29-ROUNDDOWN('High Level Dashboard'!$C$29,0)))),0)
+
(((SUMIFS('High Level Dashboard'!$B$112:$AV$112,'High Level Dashboard'!$B$64:$AV$64,"&gt;"&amp;'High Level Dashboard'!R$64-ROUNDDOWN('High Level Dashboard'!$C$29,0),'High Level Dashboard'!$B$64:$AV$64,"&lt;="&amp;'High Level Dashboard'!R$64)+(IFERROR(SUMIF('High Level Dashboard'!$B$64:$AV$64,ROUNDDOWN('High Level Dashboard'!R$64-'High Level Dashboard'!$C$29,0)+1,'High Level Dashboard'!$B$112:$AV$112)*(1-('High Level Dashboard'!$C$29-ROUNDDOWN('High Level Dashboard'!$C$29,0))),"")))*'High Level Dashboard'!$C$28)
))</f>
        <v>16.274926255578492</v>
      </c>
      <c r="T111" s="434">
        <f ca="1">'High Level Dashboard'!$C$56*'High Level Dashboard'!$C$27*
(-PMT('High Level Dashboard'!$C$28,'High Level Dashboard'!$C$30-'High Level Dashboard'!$C$29+1,
SUMIFS('High Level Dashboard'!$B$112:$AV$112,'High Level Dashboard'!$B$64:$AV$64,"&gt;="&amp;('High Level Dashboard'!S$64-(ROUNDDOWN('High Level Dashboard'!$C$30,0))+1),'High Level Dashboard'!$B$64:$AV$64,"&lt;="&amp;('High Level Dashboard'!S$64-(ROUNDUP('High Level Dashboard'!$C$29,0)))))
+
IFERROR(-PMT('High Level Dashboard'!$C$28,'High Level Dashboard'!$C$30-'High Level Dashboard'!$C$29+1,
(_xlfn.XLOOKUP('High Level Dashboard'!S$64-(ROUNDUP('High Level Dashboard'!$C$30,0))+1,'High Level Dashboard'!$B$64:$AV$64,'High Level Dashboard'!$B$112:$AV$112,""))*('High Level Dashboard'!$C$30-(ROUNDDOWN('High Level Dashboard'!$C$30,0)))),0)
+
IFERROR(-PMT('High Level Dashboard'!$C$28,'High Level Dashboard'!$C$30-'High Level Dashboard'!$C$29+1,
(_xlfn.XLOOKUP('High Level Dashboard'!S$64-(ROUNDDOWN('High Level Dashboard'!$C$29,0)),'High Level Dashboard'!$B$64:$AV$64,'High Level Dashboard'!$B$112:$AV$112,"")*('High Level Dashboard'!$C$29-ROUNDDOWN('High Level Dashboard'!$C$29,0)))),0)
+
(((SUMIFS('High Level Dashboard'!$B$112:$AV$112,'High Level Dashboard'!$B$64:$AV$64,"&gt;"&amp;'High Level Dashboard'!S$64-ROUNDDOWN('High Level Dashboard'!$C$29,0),'High Level Dashboard'!$B$64:$AV$64,"&lt;="&amp;'High Level Dashboard'!S$64)+(IFERROR(SUMIF('High Level Dashboard'!$B$64:$AV$64,ROUNDDOWN('High Level Dashboard'!S$64-'High Level Dashboard'!$C$29,0)+1,'High Level Dashboard'!$B$112:$AV$112)*(1-('High Level Dashboard'!$C$29-ROUNDDOWN('High Level Dashboard'!$C$29,0))),"")))*'High Level Dashboard'!$C$28)
))</f>
        <v>17.396371716305993</v>
      </c>
      <c r="U111" s="434">
        <f ca="1">'High Level Dashboard'!$C$56*'High Level Dashboard'!$C$27*
(-PMT('High Level Dashboard'!$C$28,'High Level Dashboard'!$C$30-'High Level Dashboard'!$C$29+1,
SUMIFS('High Level Dashboard'!$B$112:$AV$112,'High Level Dashboard'!$B$64:$AV$64,"&gt;="&amp;('High Level Dashboard'!T$64-(ROUNDDOWN('High Level Dashboard'!$C$30,0))+1),'High Level Dashboard'!$B$64:$AV$64,"&lt;="&amp;('High Level Dashboard'!T$64-(ROUNDUP('High Level Dashboard'!$C$29,0)))))
+
IFERROR(-PMT('High Level Dashboard'!$C$28,'High Level Dashboard'!$C$30-'High Level Dashboard'!$C$29+1,
(_xlfn.XLOOKUP('High Level Dashboard'!T$64-(ROUNDUP('High Level Dashboard'!$C$30,0))+1,'High Level Dashboard'!$B$64:$AV$64,'High Level Dashboard'!$B$112:$AV$112,""))*('High Level Dashboard'!$C$30-(ROUNDDOWN('High Level Dashboard'!$C$30,0)))),0)
+
IFERROR(-PMT('High Level Dashboard'!$C$28,'High Level Dashboard'!$C$30-'High Level Dashboard'!$C$29+1,
(_xlfn.XLOOKUP('High Level Dashboard'!T$64-(ROUNDDOWN('High Level Dashboard'!$C$29,0)),'High Level Dashboard'!$B$64:$AV$64,'High Level Dashboard'!$B$112:$AV$112,"")*('High Level Dashboard'!$C$29-ROUNDDOWN('High Level Dashboard'!$C$29,0)))),0)
+
(((SUMIFS('High Level Dashboard'!$B$112:$AV$112,'High Level Dashboard'!$B$64:$AV$64,"&gt;"&amp;'High Level Dashboard'!T$64-ROUNDDOWN('High Level Dashboard'!$C$29,0),'High Level Dashboard'!$B$64:$AV$64,"&lt;="&amp;'High Level Dashboard'!T$64)+(IFERROR(SUMIF('High Level Dashboard'!$B$64:$AV$64,ROUNDDOWN('High Level Dashboard'!T$64-'High Level Dashboard'!$C$29,0)+1,'High Level Dashboard'!$B$112:$AV$112)*(1-('High Level Dashboard'!$C$29-ROUNDDOWN('High Level Dashboard'!$C$29,0))),"")))*'High Level Dashboard'!$C$28)
))</f>
        <v>18.330826265720891</v>
      </c>
      <c r="V111" s="434">
        <f ca="1">'High Level Dashboard'!$C$56*'High Level Dashboard'!$C$27*
(-PMT('High Level Dashboard'!$C$28,'High Level Dashboard'!$C$30-'High Level Dashboard'!$C$29+1,
SUMIFS('High Level Dashboard'!$B$112:$AV$112,'High Level Dashboard'!$B$64:$AV$64,"&gt;="&amp;('High Level Dashboard'!U$64-(ROUNDDOWN('High Level Dashboard'!$C$30,0))+1),'High Level Dashboard'!$B$64:$AV$64,"&lt;="&amp;('High Level Dashboard'!U$64-(ROUNDUP('High Level Dashboard'!$C$29,0)))))
+
IFERROR(-PMT('High Level Dashboard'!$C$28,'High Level Dashboard'!$C$30-'High Level Dashboard'!$C$29+1,
(_xlfn.XLOOKUP('High Level Dashboard'!U$64-(ROUNDUP('High Level Dashboard'!$C$30,0))+1,'High Level Dashboard'!$B$64:$AV$64,'High Level Dashboard'!$B$112:$AV$112,""))*('High Level Dashboard'!$C$30-(ROUNDDOWN('High Level Dashboard'!$C$30,0)))),0)
+
IFERROR(-PMT('High Level Dashboard'!$C$28,'High Level Dashboard'!$C$30-'High Level Dashboard'!$C$29+1,
(_xlfn.XLOOKUP('High Level Dashboard'!U$64-(ROUNDDOWN('High Level Dashboard'!$C$29,0)),'High Level Dashboard'!$B$64:$AV$64,'High Level Dashboard'!$B$112:$AV$112,"")*('High Level Dashboard'!$C$29-ROUNDDOWN('High Level Dashboard'!$C$29,0)))),0)
+
(((SUMIFS('High Level Dashboard'!$B$112:$AV$112,'High Level Dashboard'!$B$64:$AV$64,"&gt;"&amp;'High Level Dashboard'!U$64-ROUNDDOWN('High Level Dashboard'!$C$29,0),'High Level Dashboard'!$B$64:$AV$64,"&lt;="&amp;'High Level Dashboard'!U$64)+(IFERROR(SUMIF('High Level Dashboard'!$B$64:$AV$64,ROUNDDOWN('High Level Dashboard'!U$64-'High Level Dashboard'!$C$29,0)+1,'High Level Dashboard'!$B$112:$AV$112)*(1-('High Level Dashboard'!$C$29-ROUNDDOWN('High Level Dashboard'!$C$29,0))),"")))*'High Level Dashboard'!$C$28)
))</f>
        <v>18.976927666045704</v>
      </c>
      <c r="W111" s="434">
        <f ca="1">'High Level Dashboard'!$C$56*'High Level Dashboard'!$C$27*
(-PMT('High Level Dashboard'!$C$28,'High Level Dashboard'!$C$30-'High Level Dashboard'!$C$29+1,
SUMIFS('High Level Dashboard'!$B$112:$AV$112,'High Level Dashboard'!$B$64:$AV$64,"&gt;="&amp;('High Level Dashboard'!V$64-(ROUNDDOWN('High Level Dashboard'!$C$30,0))+1),'High Level Dashboard'!$B$64:$AV$64,"&lt;="&amp;('High Level Dashboard'!V$64-(ROUNDUP('High Level Dashboard'!$C$29,0)))))
+
IFERROR(-PMT('High Level Dashboard'!$C$28,'High Level Dashboard'!$C$30-'High Level Dashboard'!$C$29+1,
(_xlfn.XLOOKUP('High Level Dashboard'!V$64-(ROUNDUP('High Level Dashboard'!$C$30,0))+1,'High Level Dashboard'!$B$64:$AV$64,'High Level Dashboard'!$B$112:$AV$112,""))*('High Level Dashboard'!$C$30-(ROUNDDOWN('High Level Dashboard'!$C$30,0)))),0)
+
IFERROR(-PMT('High Level Dashboard'!$C$28,'High Level Dashboard'!$C$30-'High Level Dashboard'!$C$29+1,
(_xlfn.XLOOKUP('High Level Dashboard'!V$64-(ROUNDDOWN('High Level Dashboard'!$C$29,0)),'High Level Dashboard'!$B$64:$AV$64,'High Level Dashboard'!$B$112:$AV$112,"")*('High Level Dashboard'!$C$29-ROUNDDOWN('High Level Dashboard'!$C$29,0)))),0)
+
(((SUMIFS('High Level Dashboard'!$B$112:$AV$112,'High Level Dashboard'!$B$64:$AV$64,"&gt;"&amp;'High Level Dashboard'!V$64-ROUNDDOWN('High Level Dashboard'!$C$29,0),'High Level Dashboard'!$B$64:$AV$64,"&lt;="&amp;'High Level Dashboard'!V$64)+(IFERROR(SUMIF('High Level Dashboard'!$B$64:$AV$64,ROUNDDOWN('High Level Dashboard'!V$64-'High Level Dashboard'!$C$29,0)+1,'High Level Dashboard'!$B$112:$AV$112)*(1-('High Level Dashboard'!$C$29-ROUNDDOWN('High Level Dashboard'!$C$29,0))),"")))*'High Level Dashboard'!$C$28)
))</f>
        <v>19.547618787418564</v>
      </c>
      <c r="X111" s="434">
        <f ca="1">'High Level Dashboard'!$C$56*'High Level Dashboard'!$C$27*
(-PMT('High Level Dashboard'!$C$28,'High Level Dashboard'!$C$30-'High Level Dashboard'!$C$29+1,
SUMIFS('High Level Dashboard'!$B$112:$AV$112,'High Level Dashboard'!$B$64:$AV$64,"&gt;="&amp;('High Level Dashboard'!W$64-(ROUNDDOWN('High Level Dashboard'!$C$30,0))+1),'High Level Dashboard'!$B$64:$AV$64,"&lt;="&amp;('High Level Dashboard'!W$64-(ROUNDUP('High Level Dashboard'!$C$29,0)))))
+
IFERROR(-PMT('High Level Dashboard'!$C$28,'High Level Dashboard'!$C$30-'High Level Dashboard'!$C$29+1,
(_xlfn.XLOOKUP('High Level Dashboard'!W$64-(ROUNDUP('High Level Dashboard'!$C$30,0))+1,'High Level Dashboard'!$B$64:$AV$64,'High Level Dashboard'!$B$112:$AV$112,""))*('High Level Dashboard'!$C$30-(ROUNDDOWN('High Level Dashboard'!$C$30,0)))),0)
+
IFERROR(-PMT('High Level Dashboard'!$C$28,'High Level Dashboard'!$C$30-'High Level Dashboard'!$C$29+1,
(_xlfn.XLOOKUP('High Level Dashboard'!W$64-(ROUNDDOWN('High Level Dashboard'!$C$29,0)),'High Level Dashboard'!$B$64:$AV$64,'High Level Dashboard'!$B$112:$AV$112,"")*('High Level Dashboard'!$C$29-ROUNDDOWN('High Level Dashboard'!$C$29,0)))),0)
+
(((SUMIFS('High Level Dashboard'!$B$112:$AV$112,'High Level Dashboard'!$B$64:$AV$64,"&gt;"&amp;'High Level Dashboard'!W$64-ROUNDDOWN('High Level Dashboard'!$C$29,0),'High Level Dashboard'!$B$64:$AV$64,"&lt;="&amp;'High Level Dashboard'!W$64)+(IFERROR(SUMIF('High Level Dashboard'!$B$64:$AV$64,ROUNDDOWN('High Level Dashboard'!W$64-'High Level Dashboard'!$C$29,0)+1,'High Level Dashboard'!$B$112:$AV$112)*(1-('High Level Dashboard'!$C$29-ROUNDDOWN('High Level Dashboard'!$C$29,0))),"")))*'High Level Dashboard'!$C$28)
))</f>
        <v>20.273832234356373</v>
      </c>
      <c r="Y111" s="434">
        <f ca="1">'High Level Dashboard'!$C$56*'High Level Dashboard'!$C$27*
(-PMT('High Level Dashboard'!$C$28,'High Level Dashboard'!$C$30-'High Level Dashboard'!$C$29+1,
SUMIFS('High Level Dashboard'!$B$112:$AV$112,'High Level Dashboard'!$B$64:$AV$64,"&gt;="&amp;('High Level Dashboard'!X$64-(ROUNDDOWN('High Level Dashboard'!$C$30,0))+1),'High Level Dashboard'!$B$64:$AV$64,"&lt;="&amp;('High Level Dashboard'!X$64-(ROUNDUP('High Level Dashboard'!$C$29,0)))))
+
IFERROR(-PMT('High Level Dashboard'!$C$28,'High Level Dashboard'!$C$30-'High Level Dashboard'!$C$29+1,
(_xlfn.XLOOKUP('High Level Dashboard'!X$64-(ROUNDUP('High Level Dashboard'!$C$30,0))+1,'High Level Dashboard'!$B$64:$AV$64,'High Level Dashboard'!$B$112:$AV$112,""))*('High Level Dashboard'!$C$30-(ROUNDDOWN('High Level Dashboard'!$C$30,0)))),0)
+
IFERROR(-PMT('High Level Dashboard'!$C$28,'High Level Dashboard'!$C$30-'High Level Dashboard'!$C$29+1,
(_xlfn.XLOOKUP('High Level Dashboard'!X$64-(ROUNDDOWN('High Level Dashboard'!$C$29,0)),'High Level Dashboard'!$B$64:$AV$64,'High Level Dashboard'!$B$112:$AV$112,"")*('High Level Dashboard'!$C$29-ROUNDDOWN('High Level Dashboard'!$C$29,0)))),0)
+
(((SUMIFS('High Level Dashboard'!$B$112:$AV$112,'High Level Dashboard'!$B$64:$AV$64,"&gt;"&amp;'High Level Dashboard'!X$64-ROUNDDOWN('High Level Dashboard'!$C$29,0),'High Level Dashboard'!$B$64:$AV$64,"&lt;="&amp;'High Level Dashboard'!X$64)+(IFERROR(SUMIF('High Level Dashboard'!$B$64:$AV$64,ROUNDDOWN('High Level Dashboard'!X$64-'High Level Dashboard'!$C$29,0)+1,'High Level Dashboard'!$B$112:$AV$112)*(1-('High Level Dashboard'!$C$29-ROUNDDOWN('High Level Dashboard'!$C$29,0))),"")))*'High Level Dashboard'!$C$28)
))</f>
        <v>20.876116485081965</v>
      </c>
      <c r="Z111" s="434">
        <f ca="1">'High Level Dashboard'!$C$56*'High Level Dashboard'!$C$27*
(-PMT('High Level Dashboard'!$C$28,'High Level Dashboard'!$C$30-'High Level Dashboard'!$C$29+1,
SUMIFS('High Level Dashboard'!$B$112:$AV$112,'High Level Dashboard'!$B$64:$AV$64,"&gt;="&amp;('High Level Dashboard'!Y$64-(ROUNDDOWN('High Level Dashboard'!$C$30,0))+1),'High Level Dashboard'!$B$64:$AV$64,"&lt;="&amp;('High Level Dashboard'!Y$64-(ROUNDUP('High Level Dashboard'!$C$29,0)))))
+
IFERROR(-PMT('High Level Dashboard'!$C$28,'High Level Dashboard'!$C$30-'High Level Dashboard'!$C$29+1,
(_xlfn.XLOOKUP('High Level Dashboard'!Y$64-(ROUNDUP('High Level Dashboard'!$C$30,0))+1,'High Level Dashboard'!$B$64:$AV$64,'High Level Dashboard'!$B$112:$AV$112,""))*('High Level Dashboard'!$C$30-(ROUNDDOWN('High Level Dashboard'!$C$30,0)))),0)
+
IFERROR(-PMT('High Level Dashboard'!$C$28,'High Level Dashboard'!$C$30-'High Level Dashboard'!$C$29+1,
(_xlfn.XLOOKUP('High Level Dashboard'!Y$64-(ROUNDDOWN('High Level Dashboard'!$C$29,0)),'High Level Dashboard'!$B$64:$AV$64,'High Level Dashboard'!$B$112:$AV$112,"")*('High Level Dashboard'!$C$29-ROUNDDOWN('High Level Dashboard'!$C$29,0)))),0)
+
(((SUMIFS('High Level Dashboard'!$B$112:$AV$112,'High Level Dashboard'!$B$64:$AV$64,"&gt;"&amp;'High Level Dashboard'!Y$64-ROUNDDOWN('High Level Dashboard'!$C$29,0),'High Level Dashboard'!$B$64:$AV$64,"&lt;="&amp;'High Level Dashboard'!Y$64)+(IFERROR(SUMIF('High Level Dashboard'!$B$64:$AV$64,ROUNDDOWN('High Level Dashboard'!Y$64-'High Level Dashboard'!$C$29,0)+1,'High Level Dashboard'!$B$112:$AV$112)*(1-('High Level Dashboard'!$C$29-ROUNDDOWN('High Level Dashboard'!$C$29,0))),"")))*'High Level Dashboard'!$C$28)
))</f>
        <v>21.535294862459928</v>
      </c>
      <c r="AA111" s="434">
        <f ca="1">'High Level Dashboard'!$C$56*'High Level Dashboard'!$C$27*
(-PMT('High Level Dashboard'!$C$28,'High Level Dashboard'!$C$30-'High Level Dashboard'!$C$29+1,
SUMIFS('High Level Dashboard'!$B$112:$AV$112,'High Level Dashboard'!$B$64:$AV$64,"&gt;="&amp;('High Level Dashboard'!Z$64-(ROUNDDOWN('High Level Dashboard'!$C$30,0))+1),'High Level Dashboard'!$B$64:$AV$64,"&lt;="&amp;('High Level Dashboard'!Z$64-(ROUNDUP('High Level Dashboard'!$C$29,0)))))
+
IFERROR(-PMT('High Level Dashboard'!$C$28,'High Level Dashboard'!$C$30-'High Level Dashboard'!$C$29+1,
(_xlfn.XLOOKUP('High Level Dashboard'!Z$64-(ROUNDUP('High Level Dashboard'!$C$30,0))+1,'High Level Dashboard'!$B$64:$AV$64,'High Level Dashboard'!$B$112:$AV$112,""))*('High Level Dashboard'!$C$30-(ROUNDDOWN('High Level Dashboard'!$C$30,0)))),0)
+
IFERROR(-PMT('High Level Dashboard'!$C$28,'High Level Dashboard'!$C$30-'High Level Dashboard'!$C$29+1,
(_xlfn.XLOOKUP('High Level Dashboard'!Z$64-(ROUNDDOWN('High Level Dashboard'!$C$29,0)),'High Level Dashboard'!$B$64:$AV$64,'High Level Dashboard'!$B$112:$AV$112,"")*('High Level Dashboard'!$C$29-ROUNDDOWN('High Level Dashboard'!$C$29,0)))),0)
+
(((SUMIFS('High Level Dashboard'!$B$112:$AV$112,'High Level Dashboard'!$B$64:$AV$64,"&gt;"&amp;'High Level Dashboard'!Z$64-ROUNDDOWN('High Level Dashboard'!$C$29,0),'High Level Dashboard'!$B$64:$AV$64,"&lt;="&amp;'High Level Dashboard'!Z$64)+(IFERROR(SUMIF('High Level Dashboard'!$B$64:$AV$64,ROUNDDOWN('High Level Dashboard'!Z$64-'High Level Dashboard'!$C$29,0)+1,'High Level Dashboard'!$B$112:$AV$112)*(1-('High Level Dashboard'!$C$29-ROUNDDOWN('High Level Dashboard'!$C$29,0))),"")))*'High Level Dashboard'!$C$28)
))</f>
        <v>22.367124952309815</v>
      </c>
      <c r="AB111" s="434">
        <f ca="1">'High Level Dashboard'!$C$56*'High Level Dashboard'!$C$27*
(-PMT('High Level Dashboard'!$C$28,'High Level Dashboard'!$C$30-'High Level Dashboard'!$C$29+1,
SUMIFS('High Level Dashboard'!$B$112:$AV$112,'High Level Dashboard'!$B$64:$AV$64,"&gt;="&amp;('High Level Dashboard'!AA$64-(ROUNDDOWN('High Level Dashboard'!$C$30,0))+1),'High Level Dashboard'!$B$64:$AV$64,"&lt;="&amp;('High Level Dashboard'!AA$64-(ROUNDUP('High Level Dashboard'!$C$29,0)))))
+
IFERROR(-PMT('High Level Dashboard'!$C$28,'High Level Dashboard'!$C$30-'High Level Dashboard'!$C$29+1,
(_xlfn.XLOOKUP('High Level Dashboard'!AA$64-(ROUNDUP('High Level Dashboard'!$C$30,0))+1,'High Level Dashboard'!$B$64:$AV$64,'High Level Dashboard'!$B$112:$AV$112,""))*('High Level Dashboard'!$C$30-(ROUNDDOWN('High Level Dashboard'!$C$30,0)))),0)
+
IFERROR(-PMT('High Level Dashboard'!$C$28,'High Level Dashboard'!$C$30-'High Level Dashboard'!$C$29+1,
(_xlfn.XLOOKUP('High Level Dashboard'!AA$64-(ROUNDDOWN('High Level Dashboard'!$C$29,0)),'High Level Dashboard'!$B$64:$AV$64,'High Level Dashboard'!$B$112:$AV$112,"")*('High Level Dashboard'!$C$29-ROUNDDOWN('High Level Dashboard'!$C$29,0)))),0)
+
(((SUMIFS('High Level Dashboard'!$B$112:$AV$112,'High Level Dashboard'!$B$64:$AV$64,"&gt;"&amp;'High Level Dashboard'!AA$64-ROUNDDOWN('High Level Dashboard'!$C$29,0),'High Level Dashboard'!$B$64:$AV$64,"&lt;="&amp;'High Level Dashboard'!AA$64)+(IFERROR(SUMIF('High Level Dashboard'!$B$64:$AV$64,ROUNDDOWN('High Level Dashboard'!AA$64-'High Level Dashboard'!$C$29,0)+1,'High Level Dashboard'!$B$112:$AV$112)*(1-('High Level Dashboard'!$C$29-ROUNDDOWN('High Level Dashboard'!$C$29,0))),"")))*'High Level Dashboard'!$C$28)
))</f>
        <v>23.45907395298736</v>
      </c>
      <c r="AC111" s="434">
        <f ca="1">'High Level Dashboard'!$C$56*'High Level Dashboard'!$C$27*
(-PMT('High Level Dashboard'!$C$28,'High Level Dashboard'!$C$30-'High Level Dashboard'!$C$29+1,
SUMIFS('High Level Dashboard'!$B$112:$AV$112,'High Level Dashboard'!$B$64:$AV$64,"&gt;="&amp;('High Level Dashboard'!AB$64-(ROUNDDOWN('High Level Dashboard'!$C$30,0))+1),'High Level Dashboard'!$B$64:$AV$64,"&lt;="&amp;('High Level Dashboard'!AB$64-(ROUNDUP('High Level Dashboard'!$C$29,0)))))
+
IFERROR(-PMT('High Level Dashboard'!$C$28,'High Level Dashboard'!$C$30-'High Level Dashboard'!$C$29+1,
(_xlfn.XLOOKUP('High Level Dashboard'!AB$64-(ROUNDUP('High Level Dashboard'!$C$30,0))+1,'High Level Dashboard'!$B$64:$AV$64,'High Level Dashboard'!$B$112:$AV$112,""))*('High Level Dashboard'!$C$30-(ROUNDDOWN('High Level Dashboard'!$C$30,0)))),0)
+
IFERROR(-PMT('High Level Dashboard'!$C$28,'High Level Dashboard'!$C$30-'High Level Dashboard'!$C$29+1,
(_xlfn.XLOOKUP('High Level Dashboard'!AB$64-(ROUNDDOWN('High Level Dashboard'!$C$29,0)),'High Level Dashboard'!$B$64:$AV$64,'High Level Dashboard'!$B$112:$AV$112,"")*('High Level Dashboard'!$C$29-ROUNDDOWN('High Level Dashboard'!$C$29,0)))),0)
+
(((SUMIFS('High Level Dashboard'!$B$112:$AV$112,'High Level Dashboard'!$B$64:$AV$64,"&gt;"&amp;'High Level Dashboard'!AB$64-ROUNDDOWN('High Level Dashboard'!$C$29,0),'High Level Dashboard'!$B$64:$AV$64,"&lt;="&amp;'High Level Dashboard'!AB$64)+(IFERROR(SUMIF('High Level Dashboard'!$B$64:$AV$64,ROUNDDOWN('High Level Dashboard'!AB$64-'High Level Dashboard'!$C$29,0)+1,'High Level Dashboard'!$B$112:$AV$112)*(1-('High Level Dashboard'!$C$29-ROUNDDOWN('High Level Dashboard'!$C$29,0))),"")))*'High Level Dashboard'!$C$28)
))</f>
        <v>24.96396616756072</v>
      </c>
      <c r="AD111" s="434">
        <f ca="1">'High Level Dashboard'!$C$56*'High Level Dashboard'!$C$27*
(-PMT('High Level Dashboard'!$C$28,'High Level Dashboard'!$C$30-'High Level Dashboard'!$C$29+1,
SUMIFS('High Level Dashboard'!$B$112:$AV$112,'High Level Dashboard'!$B$64:$AV$64,"&gt;="&amp;('High Level Dashboard'!AC$64-(ROUNDDOWN('High Level Dashboard'!$C$30,0))+1),'High Level Dashboard'!$B$64:$AV$64,"&lt;="&amp;('High Level Dashboard'!AC$64-(ROUNDUP('High Level Dashboard'!$C$29,0)))))
+
IFERROR(-PMT('High Level Dashboard'!$C$28,'High Level Dashboard'!$C$30-'High Level Dashboard'!$C$29+1,
(_xlfn.XLOOKUP('High Level Dashboard'!AC$64-(ROUNDUP('High Level Dashboard'!$C$30,0))+1,'High Level Dashboard'!$B$64:$AV$64,'High Level Dashboard'!$B$112:$AV$112,""))*('High Level Dashboard'!$C$30-(ROUNDDOWN('High Level Dashboard'!$C$30,0)))),0)
+
IFERROR(-PMT('High Level Dashboard'!$C$28,'High Level Dashboard'!$C$30-'High Level Dashboard'!$C$29+1,
(_xlfn.XLOOKUP('High Level Dashboard'!AC$64-(ROUNDDOWN('High Level Dashboard'!$C$29,0)),'High Level Dashboard'!$B$64:$AV$64,'High Level Dashboard'!$B$112:$AV$112,"")*('High Level Dashboard'!$C$29-ROUNDDOWN('High Level Dashboard'!$C$29,0)))),0)
+
(((SUMIFS('High Level Dashboard'!$B$112:$AV$112,'High Level Dashboard'!$B$64:$AV$64,"&gt;"&amp;'High Level Dashboard'!AC$64-ROUNDDOWN('High Level Dashboard'!$C$29,0),'High Level Dashboard'!$B$64:$AV$64,"&lt;="&amp;'High Level Dashboard'!AC$64)+(IFERROR(SUMIF('High Level Dashboard'!$B$64:$AV$64,ROUNDDOWN('High Level Dashboard'!AC$64-'High Level Dashboard'!$C$29,0)+1,'High Level Dashboard'!$B$112:$AV$112)*(1-('High Level Dashboard'!$C$29-ROUNDDOWN('High Level Dashboard'!$C$29,0))),"")))*'High Level Dashboard'!$C$28)
))</f>
        <v>25.840095919667878</v>
      </c>
      <c r="AE111" s="434">
        <f ca="1">'High Level Dashboard'!$C$56*'High Level Dashboard'!$C$27*
(-PMT('High Level Dashboard'!$C$28,'High Level Dashboard'!$C$30-'High Level Dashboard'!$C$29+1,
SUMIFS('High Level Dashboard'!$B$112:$AV$112,'High Level Dashboard'!$B$64:$AV$64,"&gt;="&amp;('High Level Dashboard'!AD$64-(ROUNDDOWN('High Level Dashboard'!$C$30,0))+1),'High Level Dashboard'!$B$64:$AV$64,"&lt;="&amp;('High Level Dashboard'!AD$64-(ROUNDUP('High Level Dashboard'!$C$29,0)))))
+
IFERROR(-PMT('High Level Dashboard'!$C$28,'High Level Dashboard'!$C$30-'High Level Dashboard'!$C$29+1,
(_xlfn.XLOOKUP('High Level Dashboard'!AD$64-(ROUNDUP('High Level Dashboard'!$C$30,0))+1,'High Level Dashboard'!$B$64:$AV$64,'High Level Dashboard'!$B$112:$AV$112,""))*('High Level Dashboard'!$C$30-(ROUNDDOWN('High Level Dashboard'!$C$30,0)))),0)
+
IFERROR(-PMT('High Level Dashboard'!$C$28,'High Level Dashboard'!$C$30-'High Level Dashboard'!$C$29+1,
(_xlfn.XLOOKUP('High Level Dashboard'!AD$64-(ROUNDDOWN('High Level Dashboard'!$C$29,0)),'High Level Dashboard'!$B$64:$AV$64,'High Level Dashboard'!$B$112:$AV$112,"")*('High Level Dashboard'!$C$29-ROUNDDOWN('High Level Dashboard'!$C$29,0)))),0)
+
(((SUMIFS('High Level Dashboard'!$B$112:$AV$112,'High Level Dashboard'!$B$64:$AV$64,"&gt;"&amp;'High Level Dashboard'!AD$64-ROUNDDOWN('High Level Dashboard'!$C$29,0),'High Level Dashboard'!$B$64:$AV$64,"&lt;="&amp;'High Level Dashboard'!AD$64)+(IFERROR(SUMIF('High Level Dashboard'!$B$64:$AV$64,ROUNDDOWN('High Level Dashboard'!AD$64-'High Level Dashboard'!$C$29,0)+1,'High Level Dashboard'!$B$112:$AV$112)*(1-('High Level Dashboard'!$C$29-ROUNDDOWN('High Level Dashboard'!$C$29,0))),"")))*'High Level Dashboard'!$C$28)
))</f>
        <v>26.522092433788348</v>
      </c>
      <c r="AF111" s="434">
        <f ca="1">'High Level Dashboard'!$C$56*'High Level Dashboard'!$C$27*
(-PMT('High Level Dashboard'!$C$28,'High Level Dashboard'!$C$30-'High Level Dashboard'!$C$29+1,
SUMIFS('High Level Dashboard'!$B$112:$AV$112,'High Level Dashboard'!$B$64:$AV$64,"&gt;="&amp;('High Level Dashboard'!AE$64-(ROUNDDOWN('High Level Dashboard'!$C$30,0))+1),'High Level Dashboard'!$B$64:$AV$64,"&lt;="&amp;('High Level Dashboard'!AE$64-(ROUNDUP('High Level Dashboard'!$C$29,0)))))
+
IFERROR(-PMT('High Level Dashboard'!$C$28,'High Level Dashboard'!$C$30-'High Level Dashboard'!$C$29+1,
(_xlfn.XLOOKUP('High Level Dashboard'!AE$64-(ROUNDUP('High Level Dashboard'!$C$30,0))+1,'High Level Dashboard'!$B$64:$AV$64,'High Level Dashboard'!$B$112:$AV$112,""))*('High Level Dashboard'!$C$30-(ROUNDDOWN('High Level Dashboard'!$C$30,0)))),0)
+
IFERROR(-PMT('High Level Dashboard'!$C$28,'High Level Dashboard'!$C$30-'High Level Dashboard'!$C$29+1,
(_xlfn.XLOOKUP('High Level Dashboard'!AE$64-(ROUNDDOWN('High Level Dashboard'!$C$29,0)),'High Level Dashboard'!$B$64:$AV$64,'High Level Dashboard'!$B$112:$AV$112,"")*('High Level Dashboard'!$C$29-ROUNDDOWN('High Level Dashboard'!$C$29,0)))),0)
+
(((SUMIFS('High Level Dashboard'!$B$112:$AV$112,'High Level Dashboard'!$B$64:$AV$64,"&gt;"&amp;'High Level Dashboard'!AE$64-ROUNDDOWN('High Level Dashboard'!$C$29,0),'High Level Dashboard'!$B$64:$AV$64,"&lt;="&amp;'High Level Dashboard'!AE$64)+(IFERROR(SUMIF('High Level Dashboard'!$B$64:$AV$64,ROUNDDOWN('High Level Dashboard'!AE$64-'High Level Dashboard'!$C$29,0)+1,'High Level Dashboard'!$B$112:$AV$112)*(1-('High Level Dashboard'!$C$29-ROUNDDOWN('High Level Dashboard'!$C$29,0))),"")))*'High Level Dashboard'!$C$28)
))</f>
        <v>27.761599381053461</v>
      </c>
      <c r="AG111" s="434">
        <f ca="1">'High Level Dashboard'!$C$56*'High Level Dashboard'!$C$27*
(-PMT('High Level Dashboard'!$C$28,'High Level Dashboard'!$C$30-'High Level Dashboard'!$C$29+1,
SUMIFS('High Level Dashboard'!$B$112:$AV$112,'High Level Dashboard'!$B$64:$AV$64,"&gt;="&amp;('High Level Dashboard'!AF$64-(ROUNDDOWN('High Level Dashboard'!$C$30,0))+1),'High Level Dashboard'!$B$64:$AV$64,"&lt;="&amp;('High Level Dashboard'!AF$64-(ROUNDUP('High Level Dashboard'!$C$29,0)))))
+
IFERROR(-PMT('High Level Dashboard'!$C$28,'High Level Dashboard'!$C$30-'High Level Dashboard'!$C$29+1,
(_xlfn.XLOOKUP('High Level Dashboard'!AF$64-(ROUNDUP('High Level Dashboard'!$C$30,0))+1,'High Level Dashboard'!$B$64:$AV$64,'High Level Dashboard'!$B$112:$AV$112,""))*('High Level Dashboard'!$C$30-(ROUNDDOWN('High Level Dashboard'!$C$30,0)))),0)
+
IFERROR(-PMT('High Level Dashboard'!$C$28,'High Level Dashboard'!$C$30-'High Level Dashboard'!$C$29+1,
(_xlfn.XLOOKUP('High Level Dashboard'!AF$64-(ROUNDDOWN('High Level Dashboard'!$C$29,0)),'High Level Dashboard'!$B$64:$AV$64,'High Level Dashboard'!$B$112:$AV$112,"")*('High Level Dashboard'!$C$29-ROUNDDOWN('High Level Dashboard'!$C$29,0)))),0)
+
(((SUMIFS('High Level Dashboard'!$B$112:$AV$112,'High Level Dashboard'!$B$64:$AV$64,"&gt;"&amp;'High Level Dashboard'!AF$64-ROUNDDOWN('High Level Dashboard'!$C$29,0),'High Level Dashboard'!$B$64:$AV$64,"&lt;="&amp;'High Level Dashboard'!AF$64)+(IFERROR(SUMIF('High Level Dashboard'!$B$64:$AV$64,ROUNDDOWN('High Level Dashboard'!AF$64-'High Level Dashboard'!$C$29,0)+1,'High Level Dashboard'!$B$112:$AV$112)*(1-('High Level Dashboard'!$C$29-ROUNDDOWN('High Level Dashboard'!$C$29,0))),"")))*'High Level Dashboard'!$C$28)
))</f>
        <v>28.242281020039389</v>
      </c>
      <c r="AH111" s="434">
        <f ca="1">'High Level Dashboard'!$C$56*'High Level Dashboard'!$C$27*
(-PMT('High Level Dashboard'!$C$28,'High Level Dashboard'!$C$30-'High Level Dashboard'!$C$29+1,
SUMIFS('High Level Dashboard'!$B$112:$AV$112,'High Level Dashboard'!$B$64:$AV$64,"&gt;="&amp;('High Level Dashboard'!AG$64-(ROUNDDOWN('High Level Dashboard'!$C$30,0))+1),'High Level Dashboard'!$B$64:$AV$64,"&lt;="&amp;('High Level Dashboard'!AG$64-(ROUNDUP('High Level Dashboard'!$C$29,0)))))
+
IFERROR(-PMT('High Level Dashboard'!$C$28,'High Level Dashboard'!$C$30-'High Level Dashboard'!$C$29+1,
(_xlfn.XLOOKUP('High Level Dashboard'!AG$64-(ROUNDUP('High Level Dashboard'!$C$30,0))+1,'High Level Dashboard'!$B$64:$AV$64,'High Level Dashboard'!$B$112:$AV$112,""))*('High Level Dashboard'!$C$30-(ROUNDDOWN('High Level Dashboard'!$C$30,0)))),0)
+
IFERROR(-PMT('High Level Dashboard'!$C$28,'High Level Dashboard'!$C$30-'High Level Dashboard'!$C$29+1,
(_xlfn.XLOOKUP('High Level Dashboard'!AG$64-(ROUNDDOWN('High Level Dashboard'!$C$29,0)),'High Level Dashboard'!$B$64:$AV$64,'High Level Dashboard'!$B$112:$AV$112,"")*('High Level Dashboard'!$C$29-ROUNDDOWN('High Level Dashboard'!$C$29,0)))),0)
+
(((SUMIFS('High Level Dashboard'!$B$112:$AV$112,'High Level Dashboard'!$B$64:$AV$64,"&gt;"&amp;'High Level Dashboard'!AG$64-ROUNDDOWN('High Level Dashboard'!$C$29,0),'High Level Dashboard'!$B$64:$AV$64,"&lt;="&amp;'High Level Dashboard'!AG$64)+(IFERROR(SUMIF('High Level Dashboard'!$B$64:$AV$64,ROUNDDOWN('High Level Dashboard'!AG$64-'High Level Dashboard'!$C$29,0)+1,'High Level Dashboard'!$B$112:$AV$112)*(1-('High Level Dashboard'!$C$29-ROUNDDOWN('High Level Dashboard'!$C$29,0))),"")))*'High Level Dashboard'!$C$28)
))</f>
        <v>29.058197202950559</v>
      </c>
      <c r="AI111" s="434">
        <f ca="1">'High Level Dashboard'!$C$56*'High Level Dashboard'!$C$27*
(-PMT('High Level Dashboard'!$C$28,'High Level Dashboard'!$C$30-'High Level Dashboard'!$C$29+1,
SUMIFS('High Level Dashboard'!$B$112:$AV$112,'High Level Dashboard'!$B$64:$AV$64,"&gt;="&amp;('High Level Dashboard'!AH$64-(ROUNDDOWN('High Level Dashboard'!$C$30,0))+1),'High Level Dashboard'!$B$64:$AV$64,"&lt;="&amp;('High Level Dashboard'!AH$64-(ROUNDUP('High Level Dashboard'!$C$29,0)))))
+
IFERROR(-PMT('High Level Dashboard'!$C$28,'High Level Dashboard'!$C$30-'High Level Dashboard'!$C$29+1,
(_xlfn.XLOOKUP('High Level Dashboard'!AH$64-(ROUNDUP('High Level Dashboard'!$C$30,0))+1,'High Level Dashboard'!$B$64:$AV$64,'High Level Dashboard'!$B$112:$AV$112,""))*('High Level Dashboard'!$C$30-(ROUNDDOWN('High Level Dashboard'!$C$30,0)))),0)
+
IFERROR(-PMT('High Level Dashboard'!$C$28,'High Level Dashboard'!$C$30-'High Level Dashboard'!$C$29+1,
(_xlfn.XLOOKUP('High Level Dashboard'!AH$64-(ROUNDDOWN('High Level Dashboard'!$C$29,0)),'High Level Dashboard'!$B$64:$AV$64,'High Level Dashboard'!$B$112:$AV$112,"")*('High Level Dashboard'!$C$29-ROUNDDOWN('High Level Dashboard'!$C$29,0)))),0)
+
(((SUMIFS('High Level Dashboard'!$B$112:$AV$112,'High Level Dashboard'!$B$64:$AV$64,"&gt;"&amp;'High Level Dashboard'!AH$64-ROUNDDOWN('High Level Dashboard'!$C$29,0),'High Level Dashboard'!$B$64:$AV$64,"&lt;="&amp;'High Level Dashboard'!AH$64)+(IFERROR(SUMIF('High Level Dashboard'!$B$64:$AV$64,ROUNDDOWN('High Level Dashboard'!AH$64-'High Level Dashboard'!$C$29,0)+1,'High Level Dashboard'!$B$112:$AV$112)*(1-('High Level Dashboard'!$C$29-ROUNDDOWN('High Level Dashboard'!$C$29,0))),"")))*'High Level Dashboard'!$C$28)
))</f>
        <v>29.442228057911926</v>
      </c>
      <c r="AJ111" s="434">
        <f ca="1">'High Level Dashboard'!$C$56*'High Level Dashboard'!$C$27*
(-PMT('High Level Dashboard'!$C$28,'High Level Dashboard'!$C$30-'High Level Dashboard'!$C$29+1,
SUMIFS('High Level Dashboard'!$B$112:$AV$112,'High Level Dashboard'!$B$64:$AV$64,"&gt;="&amp;('High Level Dashboard'!AI$64-(ROUNDDOWN('High Level Dashboard'!$C$30,0))+1),'High Level Dashboard'!$B$64:$AV$64,"&lt;="&amp;('High Level Dashboard'!AI$64-(ROUNDUP('High Level Dashboard'!$C$29,0)))))
+
IFERROR(-PMT('High Level Dashboard'!$C$28,'High Level Dashboard'!$C$30-'High Level Dashboard'!$C$29+1,
(_xlfn.XLOOKUP('High Level Dashboard'!AI$64-(ROUNDUP('High Level Dashboard'!$C$30,0))+1,'High Level Dashboard'!$B$64:$AV$64,'High Level Dashboard'!$B$112:$AV$112,""))*('High Level Dashboard'!$C$30-(ROUNDDOWN('High Level Dashboard'!$C$30,0)))),0)
+
IFERROR(-PMT('High Level Dashboard'!$C$28,'High Level Dashboard'!$C$30-'High Level Dashboard'!$C$29+1,
(_xlfn.XLOOKUP('High Level Dashboard'!AI$64-(ROUNDDOWN('High Level Dashboard'!$C$29,0)),'High Level Dashboard'!$B$64:$AV$64,'High Level Dashboard'!$B$112:$AV$112,"")*('High Level Dashboard'!$C$29-ROUNDDOWN('High Level Dashboard'!$C$29,0)))),0)
+
(((SUMIFS('High Level Dashboard'!$B$112:$AV$112,'High Level Dashboard'!$B$64:$AV$64,"&gt;"&amp;'High Level Dashboard'!AI$64-ROUNDDOWN('High Level Dashboard'!$C$29,0),'High Level Dashboard'!$B$64:$AV$64,"&lt;="&amp;'High Level Dashboard'!AI$64)+(IFERROR(SUMIF('High Level Dashboard'!$B$64:$AV$64,ROUNDDOWN('High Level Dashboard'!AI$64-'High Level Dashboard'!$C$29,0)+1,'High Level Dashboard'!$B$112:$AV$112)*(1-('High Level Dashboard'!$C$29-ROUNDDOWN('High Level Dashboard'!$C$29,0))),"")))*'High Level Dashboard'!$C$28)
))</f>
        <v>29.559120326240247</v>
      </c>
      <c r="AK111" s="434">
        <f ca="1">'High Level Dashboard'!$C$56*'High Level Dashboard'!$C$27*
(-PMT('High Level Dashboard'!$C$28,'High Level Dashboard'!$C$30-'High Level Dashboard'!$C$29+1,
SUMIFS('High Level Dashboard'!$B$112:$AV$112,'High Level Dashboard'!$B$64:$AV$64,"&gt;="&amp;('High Level Dashboard'!AJ$64-(ROUNDDOWN('High Level Dashboard'!$C$30,0))+1),'High Level Dashboard'!$B$64:$AV$64,"&lt;="&amp;('High Level Dashboard'!AJ$64-(ROUNDUP('High Level Dashboard'!$C$29,0)))))
+
IFERROR(-PMT('High Level Dashboard'!$C$28,'High Level Dashboard'!$C$30-'High Level Dashboard'!$C$29+1,
(_xlfn.XLOOKUP('High Level Dashboard'!AJ$64-(ROUNDUP('High Level Dashboard'!$C$30,0))+1,'High Level Dashboard'!$B$64:$AV$64,'High Level Dashboard'!$B$112:$AV$112,""))*('High Level Dashboard'!$C$30-(ROUNDDOWN('High Level Dashboard'!$C$30,0)))),0)
+
IFERROR(-PMT('High Level Dashboard'!$C$28,'High Level Dashboard'!$C$30-'High Level Dashboard'!$C$29+1,
(_xlfn.XLOOKUP('High Level Dashboard'!AJ$64-(ROUNDDOWN('High Level Dashboard'!$C$29,0)),'High Level Dashboard'!$B$64:$AV$64,'High Level Dashboard'!$B$112:$AV$112,"")*('High Level Dashboard'!$C$29-ROUNDDOWN('High Level Dashboard'!$C$29,0)))),0)
+
(((SUMIFS('High Level Dashboard'!$B$112:$AV$112,'High Level Dashboard'!$B$64:$AV$64,"&gt;"&amp;'High Level Dashboard'!AJ$64-ROUNDDOWN('High Level Dashboard'!$C$29,0),'High Level Dashboard'!$B$64:$AV$64,"&lt;="&amp;'High Level Dashboard'!AJ$64)+(IFERROR(SUMIF('High Level Dashboard'!$B$64:$AV$64,ROUNDDOWN('High Level Dashboard'!AJ$64-'High Level Dashboard'!$C$29,0)+1,'High Level Dashboard'!$B$112:$AV$112)*(1-('High Level Dashboard'!$C$29-ROUNDDOWN('High Level Dashboard'!$C$29,0))),"")))*'High Level Dashboard'!$C$28)
))</f>
        <v>29.831080004606445</v>
      </c>
      <c r="AL111" s="434">
        <f ca="1">'High Level Dashboard'!$C$56*'High Level Dashboard'!$C$27*
(-PMT('High Level Dashboard'!$C$28,'High Level Dashboard'!$C$30-'High Level Dashboard'!$C$29+1,
SUMIFS('High Level Dashboard'!$B$112:$AV$112,'High Level Dashboard'!$B$64:$AV$64,"&gt;="&amp;('High Level Dashboard'!AK$64-(ROUNDDOWN('High Level Dashboard'!$C$30,0))+1),'High Level Dashboard'!$B$64:$AV$64,"&lt;="&amp;('High Level Dashboard'!AK$64-(ROUNDUP('High Level Dashboard'!$C$29,0)))))
+
IFERROR(-PMT('High Level Dashboard'!$C$28,'High Level Dashboard'!$C$30-'High Level Dashboard'!$C$29+1,
(_xlfn.XLOOKUP('High Level Dashboard'!AK$64-(ROUNDUP('High Level Dashboard'!$C$30,0))+1,'High Level Dashboard'!$B$64:$AV$64,'High Level Dashboard'!$B$112:$AV$112,""))*('High Level Dashboard'!$C$30-(ROUNDDOWN('High Level Dashboard'!$C$30,0)))),0)
+
IFERROR(-PMT('High Level Dashboard'!$C$28,'High Level Dashboard'!$C$30-'High Level Dashboard'!$C$29+1,
(_xlfn.XLOOKUP('High Level Dashboard'!AK$64-(ROUNDDOWN('High Level Dashboard'!$C$29,0)),'High Level Dashboard'!$B$64:$AV$64,'High Level Dashboard'!$B$112:$AV$112,"")*('High Level Dashboard'!$C$29-ROUNDDOWN('High Level Dashboard'!$C$29,0)))),0)
+
(((SUMIFS('High Level Dashboard'!$B$112:$AV$112,'High Level Dashboard'!$B$64:$AV$64,"&gt;"&amp;'High Level Dashboard'!AK$64-ROUNDDOWN('High Level Dashboard'!$C$29,0),'High Level Dashboard'!$B$64:$AV$64,"&lt;="&amp;'High Level Dashboard'!AK$64)+(IFERROR(SUMIF('High Level Dashboard'!$B$64:$AV$64,ROUNDDOWN('High Level Dashboard'!AK$64-'High Level Dashboard'!$C$29,0)+1,'High Level Dashboard'!$B$112:$AV$112)*(1-('High Level Dashboard'!$C$29-ROUNDDOWN('High Level Dashboard'!$C$29,0))),"")))*'High Level Dashboard'!$C$28)
))</f>
        <v>30.14743018141025</v>
      </c>
      <c r="AM111" s="434">
        <f ca="1">'High Level Dashboard'!$C$56*'High Level Dashboard'!$C$27*
(-PMT('High Level Dashboard'!$C$28,'High Level Dashboard'!$C$30-'High Level Dashboard'!$C$29+1,
SUMIFS('High Level Dashboard'!$B$112:$AV$112,'High Level Dashboard'!$B$64:$AV$64,"&gt;="&amp;('High Level Dashboard'!AL$64-(ROUNDDOWN('High Level Dashboard'!$C$30,0))+1),'High Level Dashboard'!$B$64:$AV$64,"&lt;="&amp;('High Level Dashboard'!AL$64-(ROUNDUP('High Level Dashboard'!$C$29,0)))))
+
IFERROR(-PMT('High Level Dashboard'!$C$28,'High Level Dashboard'!$C$30-'High Level Dashboard'!$C$29+1,
(_xlfn.XLOOKUP('High Level Dashboard'!AL$64-(ROUNDUP('High Level Dashboard'!$C$30,0))+1,'High Level Dashboard'!$B$64:$AV$64,'High Level Dashboard'!$B$112:$AV$112,""))*('High Level Dashboard'!$C$30-(ROUNDDOWN('High Level Dashboard'!$C$30,0)))),0)
+
IFERROR(-PMT('High Level Dashboard'!$C$28,'High Level Dashboard'!$C$30-'High Level Dashboard'!$C$29+1,
(_xlfn.XLOOKUP('High Level Dashboard'!AL$64-(ROUNDDOWN('High Level Dashboard'!$C$29,0)),'High Level Dashboard'!$B$64:$AV$64,'High Level Dashboard'!$B$112:$AV$112,"")*('High Level Dashboard'!$C$29-ROUNDDOWN('High Level Dashboard'!$C$29,0)))),0)
+
(((SUMIFS('High Level Dashboard'!$B$112:$AV$112,'High Level Dashboard'!$B$64:$AV$64,"&gt;"&amp;'High Level Dashboard'!AL$64-ROUNDDOWN('High Level Dashboard'!$C$29,0),'High Level Dashboard'!$B$64:$AV$64,"&lt;="&amp;'High Level Dashboard'!AL$64)+(IFERROR(SUMIF('High Level Dashboard'!$B$64:$AV$64,ROUNDDOWN('High Level Dashboard'!AL$64-'High Level Dashboard'!$C$29,0)+1,'High Level Dashboard'!$B$112:$AV$112)*(1-('High Level Dashboard'!$C$29-ROUNDDOWN('High Level Dashboard'!$C$29,0))),"")))*'High Level Dashboard'!$C$28)
))</f>
        <v>31.148190644722266</v>
      </c>
      <c r="AN111" s="434">
        <f ca="1">'High Level Dashboard'!$C$56*'High Level Dashboard'!$C$27*
(-PMT('High Level Dashboard'!$C$28,'High Level Dashboard'!$C$30-'High Level Dashboard'!$C$29+1,
SUMIFS('High Level Dashboard'!$B$112:$AV$112,'High Level Dashboard'!$B$64:$AV$64,"&gt;="&amp;('High Level Dashboard'!AM$64-(ROUNDDOWN('High Level Dashboard'!$C$30,0))+1),'High Level Dashboard'!$B$64:$AV$64,"&lt;="&amp;('High Level Dashboard'!AM$64-(ROUNDUP('High Level Dashboard'!$C$29,0)))))
+
IFERROR(-PMT('High Level Dashboard'!$C$28,'High Level Dashboard'!$C$30-'High Level Dashboard'!$C$29+1,
(_xlfn.XLOOKUP('High Level Dashboard'!AM$64-(ROUNDUP('High Level Dashboard'!$C$30,0))+1,'High Level Dashboard'!$B$64:$AV$64,'High Level Dashboard'!$B$112:$AV$112,""))*('High Level Dashboard'!$C$30-(ROUNDDOWN('High Level Dashboard'!$C$30,0)))),0)
+
IFERROR(-PMT('High Level Dashboard'!$C$28,'High Level Dashboard'!$C$30-'High Level Dashboard'!$C$29+1,
(_xlfn.XLOOKUP('High Level Dashboard'!AM$64-(ROUNDDOWN('High Level Dashboard'!$C$29,0)),'High Level Dashboard'!$B$64:$AV$64,'High Level Dashboard'!$B$112:$AV$112,"")*('High Level Dashboard'!$C$29-ROUNDDOWN('High Level Dashboard'!$C$29,0)))),0)
+
(((SUMIFS('High Level Dashboard'!$B$112:$AV$112,'High Level Dashboard'!$B$64:$AV$64,"&gt;"&amp;'High Level Dashboard'!AM$64-ROUNDDOWN('High Level Dashboard'!$C$29,0),'High Level Dashboard'!$B$64:$AV$64,"&lt;="&amp;'High Level Dashboard'!AM$64)+(IFERROR(SUMIF('High Level Dashboard'!$B$64:$AV$64,ROUNDDOWN('High Level Dashboard'!AM$64-'High Level Dashboard'!$C$29,0)+1,'High Level Dashboard'!$B$112:$AV$112)*(1-('High Level Dashboard'!$C$29-ROUNDDOWN('High Level Dashboard'!$C$29,0))),"")))*'High Level Dashboard'!$C$28)
))</f>
        <v>31.97052248620264</v>
      </c>
      <c r="AO111" s="434">
        <f ca="1">'High Level Dashboard'!$C$56*'High Level Dashboard'!$C$27*
(-PMT('High Level Dashboard'!$C$28,'High Level Dashboard'!$C$30-'High Level Dashboard'!$C$29+1,
SUMIFS('High Level Dashboard'!$B$112:$AV$112,'High Level Dashboard'!$B$64:$AV$64,"&gt;="&amp;('High Level Dashboard'!AN$64-(ROUNDDOWN('High Level Dashboard'!$C$30,0))+1),'High Level Dashboard'!$B$64:$AV$64,"&lt;="&amp;('High Level Dashboard'!AN$64-(ROUNDUP('High Level Dashboard'!$C$29,0)))))
+
IFERROR(-PMT('High Level Dashboard'!$C$28,'High Level Dashboard'!$C$30-'High Level Dashboard'!$C$29+1,
(_xlfn.XLOOKUP('High Level Dashboard'!AN$64-(ROUNDUP('High Level Dashboard'!$C$30,0))+1,'High Level Dashboard'!$B$64:$AV$64,'High Level Dashboard'!$B$112:$AV$112,""))*('High Level Dashboard'!$C$30-(ROUNDDOWN('High Level Dashboard'!$C$30,0)))),0)
+
IFERROR(-PMT('High Level Dashboard'!$C$28,'High Level Dashboard'!$C$30-'High Level Dashboard'!$C$29+1,
(_xlfn.XLOOKUP('High Level Dashboard'!AN$64-(ROUNDDOWN('High Level Dashboard'!$C$29,0)),'High Level Dashboard'!$B$64:$AV$64,'High Level Dashboard'!$B$112:$AV$112,"")*('High Level Dashboard'!$C$29-ROUNDDOWN('High Level Dashboard'!$C$29,0)))),0)
+
(((SUMIFS('High Level Dashboard'!$B$112:$AV$112,'High Level Dashboard'!$B$64:$AV$64,"&gt;"&amp;'High Level Dashboard'!AN$64-ROUNDDOWN('High Level Dashboard'!$C$29,0),'High Level Dashboard'!$B$64:$AV$64,"&lt;="&amp;'High Level Dashboard'!AN$64)+(IFERROR(SUMIF('High Level Dashboard'!$B$64:$AV$64,ROUNDDOWN('High Level Dashboard'!AN$64-'High Level Dashboard'!$C$29,0)+1,'High Level Dashboard'!$B$112:$AV$112)*(1-('High Level Dashboard'!$C$29-ROUNDDOWN('High Level Dashboard'!$C$29,0))),"")))*'High Level Dashboard'!$C$28)
))</f>
        <v>32.61781143521015</v>
      </c>
      <c r="AP111" s="434">
        <f ca="1">'High Level Dashboard'!$C$56*'High Level Dashboard'!$C$27*
(-PMT('High Level Dashboard'!$C$28,'High Level Dashboard'!$C$30-'High Level Dashboard'!$C$29+1,
SUMIFS('High Level Dashboard'!$B$112:$AV$112,'High Level Dashboard'!$B$64:$AV$64,"&gt;="&amp;('High Level Dashboard'!AO$64-(ROUNDDOWN('High Level Dashboard'!$C$30,0))+1),'High Level Dashboard'!$B$64:$AV$64,"&lt;="&amp;('High Level Dashboard'!AO$64-(ROUNDUP('High Level Dashboard'!$C$29,0)))))
+
IFERROR(-PMT('High Level Dashboard'!$C$28,'High Level Dashboard'!$C$30-'High Level Dashboard'!$C$29+1,
(_xlfn.XLOOKUP('High Level Dashboard'!AO$64-(ROUNDUP('High Level Dashboard'!$C$30,0))+1,'High Level Dashboard'!$B$64:$AV$64,'High Level Dashboard'!$B$112:$AV$112,""))*('High Level Dashboard'!$C$30-(ROUNDDOWN('High Level Dashboard'!$C$30,0)))),0)
+
IFERROR(-PMT('High Level Dashboard'!$C$28,'High Level Dashboard'!$C$30-'High Level Dashboard'!$C$29+1,
(_xlfn.XLOOKUP('High Level Dashboard'!AO$64-(ROUNDDOWN('High Level Dashboard'!$C$29,0)),'High Level Dashboard'!$B$64:$AV$64,'High Level Dashboard'!$B$112:$AV$112,"")*('High Level Dashboard'!$C$29-ROUNDDOWN('High Level Dashboard'!$C$29,0)))),0)
+
(((SUMIFS('High Level Dashboard'!$B$112:$AV$112,'High Level Dashboard'!$B$64:$AV$64,"&gt;"&amp;'High Level Dashboard'!AO$64-ROUNDDOWN('High Level Dashboard'!$C$29,0),'High Level Dashboard'!$B$64:$AV$64,"&lt;="&amp;'High Level Dashboard'!AO$64)+(IFERROR(SUMIF('High Level Dashboard'!$B$64:$AV$64,ROUNDDOWN('High Level Dashboard'!AO$64-'High Level Dashboard'!$C$29,0)+1,'High Level Dashboard'!$B$112:$AV$112)*(1-('High Level Dashboard'!$C$29-ROUNDDOWN('High Level Dashboard'!$C$29,0))),"")))*'High Level Dashboard'!$C$28)
))</f>
        <v>33.465229675616875</v>
      </c>
      <c r="AQ111" s="434">
        <f ca="1">'High Level Dashboard'!$C$56*'High Level Dashboard'!$C$27*
(-PMT('High Level Dashboard'!$C$28,'High Level Dashboard'!$C$30-'High Level Dashboard'!$C$29+1,
SUMIFS('High Level Dashboard'!$B$112:$AV$112,'High Level Dashboard'!$B$64:$AV$64,"&gt;="&amp;('High Level Dashboard'!AP$64-(ROUNDDOWN('High Level Dashboard'!$C$30,0))+1),'High Level Dashboard'!$B$64:$AV$64,"&lt;="&amp;('High Level Dashboard'!AP$64-(ROUNDUP('High Level Dashboard'!$C$29,0)))))
+
IFERROR(-PMT('High Level Dashboard'!$C$28,'High Level Dashboard'!$C$30-'High Level Dashboard'!$C$29+1,
(_xlfn.XLOOKUP('High Level Dashboard'!AP$64-(ROUNDUP('High Level Dashboard'!$C$30,0))+1,'High Level Dashboard'!$B$64:$AV$64,'High Level Dashboard'!$B$112:$AV$112,""))*('High Level Dashboard'!$C$30-(ROUNDDOWN('High Level Dashboard'!$C$30,0)))),0)
+
IFERROR(-PMT('High Level Dashboard'!$C$28,'High Level Dashboard'!$C$30-'High Level Dashboard'!$C$29+1,
(_xlfn.XLOOKUP('High Level Dashboard'!AP$64-(ROUNDDOWN('High Level Dashboard'!$C$29,0)),'High Level Dashboard'!$B$64:$AV$64,'High Level Dashboard'!$B$112:$AV$112,"")*('High Level Dashboard'!$C$29-ROUNDDOWN('High Level Dashboard'!$C$29,0)))),0)
+
(((SUMIFS('High Level Dashboard'!$B$112:$AV$112,'High Level Dashboard'!$B$64:$AV$64,"&gt;"&amp;'High Level Dashboard'!AP$64-ROUNDDOWN('High Level Dashboard'!$C$29,0),'High Level Dashboard'!$B$64:$AV$64,"&lt;="&amp;'High Level Dashboard'!AP$64)+(IFERROR(SUMIF('High Level Dashboard'!$B$64:$AV$64,ROUNDDOWN('High Level Dashboard'!AP$64-'High Level Dashboard'!$C$29,0)+1,'High Level Dashboard'!$B$112:$AV$112)*(1-('High Level Dashboard'!$C$29-ROUNDDOWN('High Level Dashboard'!$C$29,0))),"")))*'High Level Dashboard'!$C$28)
))</f>
        <v>34.421841501813425</v>
      </c>
      <c r="AR111" s="434">
        <f ca="1">'High Level Dashboard'!$C$56*'High Level Dashboard'!$C$27*
(-PMT('High Level Dashboard'!$C$28,'High Level Dashboard'!$C$30-'High Level Dashboard'!$C$29+1,
SUMIFS('High Level Dashboard'!$B$112:$AV$112,'High Level Dashboard'!$B$64:$AV$64,"&gt;="&amp;('High Level Dashboard'!AQ$64-(ROUNDDOWN('High Level Dashboard'!$C$30,0))+1),'High Level Dashboard'!$B$64:$AV$64,"&lt;="&amp;('High Level Dashboard'!AQ$64-(ROUNDUP('High Level Dashboard'!$C$29,0)))))
+
IFERROR(-PMT('High Level Dashboard'!$C$28,'High Level Dashboard'!$C$30-'High Level Dashboard'!$C$29+1,
(_xlfn.XLOOKUP('High Level Dashboard'!AQ$64-(ROUNDUP('High Level Dashboard'!$C$30,0))+1,'High Level Dashboard'!$B$64:$AV$64,'High Level Dashboard'!$B$112:$AV$112,""))*('High Level Dashboard'!$C$30-(ROUNDDOWN('High Level Dashboard'!$C$30,0)))),0)
+
IFERROR(-PMT('High Level Dashboard'!$C$28,'High Level Dashboard'!$C$30-'High Level Dashboard'!$C$29+1,
(_xlfn.XLOOKUP('High Level Dashboard'!AQ$64-(ROUNDDOWN('High Level Dashboard'!$C$29,0)),'High Level Dashboard'!$B$64:$AV$64,'High Level Dashboard'!$B$112:$AV$112,"")*('High Level Dashboard'!$C$29-ROUNDDOWN('High Level Dashboard'!$C$29,0)))),0)
+
(((SUMIFS('High Level Dashboard'!$B$112:$AV$112,'High Level Dashboard'!$B$64:$AV$64,"&gt;"&amp;'High Level Dashboard'!AQ$64-ROUNDDOWN('High Level Dashboard'!$C$29,0),'High Level Dashboard'!$B$64:$AV$64,"&lt;="&amp;'High Level Dashboard'!AQ$64)+(IFERROR(SUMIF('High Level Dashboard'!$B$64:$AV$64,ROUNDDOWN('High Level Dashboard'!AQ$64-'High Level Dashboard'!$C$29,0)+1,'High Level Dashboard'!$B$112:$AV$112)*(1-('High Level Dashboard'!$C$29-ROUNDDOWN('High Level Dashboard'!$C$29,0))),"")))*'High Level Dashboard'!$C$28)
))</f>
        <v>35.077639401770533</v>
      </c>
      <c r="AS111" s="434">
        <f ca="1">'High Level Dashboard'!$C$56*'High Level Dashboard'!$C$27*
(-PMT('High Level Dashboard'!$C$28,'High Level Dashboard'!$C$30-'High Level Dashboard'!$C$29+1,
SUMIFS('High Level Dashboard'!$B$112:$AV$112,'High Level Dashboard'!$B$64:$AV$64,"&gt;="&amp;('High Level Dashboard'!AR$64-(ROUNDDOWN('High Level Dashboard'!$C$30,0))+1),'High Level Dashboard'!$B$64:$AV$64,"&lt;="&amp;('High Level Dashboard'!AR$64-(ROUNDUP('High Level Dashboard'!$C$29,0)))))
+
IFERROR(-PMT('High Level Dashboard'!$C$28,'High Level Dashboard'!$C$30-'High Level Dashboard'!$C$29+1,
(_xlfn.XLOOKUP('High Level Dashboard'!AR$64-(ROUNDUP('High Level Dashboard'!$C$30,0))+1,'High Level Dashboard'!$B$64:$AV$64,'High Level Dashboard'!$B$112:$AV$112,""))*('High Level Dashboard'!$C$30-(ROUNDDOWN('High Level Dashboard'!$C$30,0)))),0)
+
IFERROR(-PMT('High Level Dashboard'!$C$28,'High Level Dashboard'!$C$30-'High Level Dashboard'!$C$29+1,
(_xlfn.XLOOKUP('High Level Dashboard'!AR$64-(ROUNDDOWN('High Level Dashboard'!$C$29,0)),'High Level Dashboard'!$B$64:$AV$64,'High Level Dashboard'!$B$112:$AV$112,"")*('High Level Dashboard'!$C$29-ROUNDDOWN('High Level Dashboard'!$C$29,0)))),0)
+
(((SUMIFS('High Level Dashboard'!$B$112:$AV$112,'High Level Dashboard'!$B$64:$AV$64,"&gt;"&amp;'High Level Dashboard'!AR$64-ROUNDDOWN('High Level Dashboard'!$C$29,0),'High Level Dashboard'!$B$64:$AV$64,"&lt;="&amp;'High Level Dashboard'!AR$64)+(IFERROR(SUMIF('High Level Dashboard'!$B$64:$AV$64,ROUNDDOWN('High Level Dashboard'!AR$64-'High Level Dashboard'!$C$29,0)+1,'High Level Dashboard'!$B$112:$AV$112)*(1-('High Level Dashboard'!$C$29-ROUNDDOWN('High Level Dashboard'!$C$29,0))),"")))*'High Level Dashboard'!$C$28)
))</f>
        <v>35.141852234603647</v>
      </c>
      <c r="AT111" s="434">
        <f ca="1">'High Level Dashboard'!$C$56*'High Level Dashboard'!$C$27*
(-PMT('High Level Dashboard'!$C$28,'High Level Dashboard'!$C$30-'High Level Dashboard'!$C$29+1,
SUMIFS('High Level Dashboard'!$B$112:$AV$112,'High Level Dashboard'!$B$64:$AV$64,"&gt;="&amp;('High Level Dashboard'!AS$64-(ROUNDDOWN('High Level Dashboard'!$C$30,0))+1),'High Level Dashboard'!$B$64:$AV$64,"&lt;="&amp;('High Level Dashboard'!AS$64-(ROUNDUP('High Level Dashboard'!$C$29,0)))))
+
IFERROR(-PMT('High Level Dashboard'!$C$28,'High Level Dashboard'!$C$30-'High Level Dashboard'!$C$29+1,
(_xlfn.XLOOKUP('High Level Dashboard'!AS$64-(ROUNDUP('High Level Dashboard'!$C$30,0))+1,'High Level Dashboard'!$B$64:$AV$64,'High Level Dashboard'!$B$112:$AV$112,""))*('High Level Dashboard'!$C$30-(ROUNDDOWN('High Level Dashboard'!$C$30,0)))),0)
+
IFERROR(-PMT('High Level Dashboard'!$C$28,'High Level Dashboard'!$C$30-'High Level Dashboard'!$C$29+1,
(_xlfn.XLOOKUP('High Level Dashboard'!AS$64-(ROUNDDOWN('High Level Dashboard'!$C$29,0)),'High Level Dashboard'!$B$64:$AV$64,'High Level Dashboard'!$B$112:$AV$112,"")*('High Level Dashboard'!$C$29-ROUNDDOWN('High Level Dashboard'!$C$29,0)))),0)
+
(((SUMIFS('High Level Dashboard'!$B$112:$AV$112,'High Level Dashboard'!$B$64:$AV$64,"&gt;"&amp;'High Level Dashboard'!AS$64-ROUNDDOWN('High Level Dashboard'!$C$29,0),'High Level Dashboard'!$B$64:$AV$64,"&lt;="&amp;'High Level Dashboard'!AS$64)+(IFERROR(SUMIF('High Level Dashboard'!$B$64:$AV$64,ROUNDDOWN('High Level Dashboard'!AS$64-'High Level Dashboard'!$C$29,0)+1,'High Level Dashboard'!$B$112:$AV$112)*(1-('High Level Dashboard'!$C$29-ROUNDDOWN('High Level Dashboard'!$C$29,0))),"")))*'High Level Dashboard'!$C$28)
))</f>
        <v>35.007841254801058</v>
      </c>
      <c r="AU111" s="434">
        <f ca="1">'High Level Dashboard'!$C$56*'High Level Dashboard'!$C$27*
(-PMT('High Level Dashboard'!$C$28,'High Level Dashboard'!$C$30-'High Level Dashboard'!$C$29+1,
SUMIFS('High Level Dashboard'!$B$112:$AV$112,'High Level Dashboard'!$B$64:$AV$64,"&gt;="&amp;('High Level Dashboard'!AT$64-(ROUNDDOWN('High Level Dashboard'!$C$30,0))+1),'High Level Dashboard'!$B$64:$AV$64,"&lt;="&amp;('High Level Dashboard'!AT$64-(ROUNDUP('High Level Dashboard'!$C$29,0)))))
+
IFERROR(-PMT('High Level Dashboard'!$C$28,'High Level Dashboard'!$C$30-'High Level Dashboard'!$C$29+1,
(_xlfn.XLOOKUP('High Level Dashboard'!AT$64-(ROUNDUP('High Level Dashboard'!$C$30,0))+1,'High Level Dashboard'!$B$64:$AV$64,'High Level Dashboard'!$B$112:$AV$112,""))*('High Level Dashboard'!$C$30-(ROUNDDOWN('High Level Dashboard'!$C$30,0)))),0)
+
IFERROR(-PMT('High Level Dashboard'!$C$28,'High Level Dashboard'!$C$30-'High Level Dashboard'!$C$29+1,
(_xlfn.XLOOKUP('High Level Dashboard'!AT$64-(ROUNDDOWN('High Level Dashboard'!$C$29,0)),'High Level Dashboard'!$B$64:$AV$64,'High Level Dashboard'!$B$112:$AV$112,"")*('High Level Dashboard'!$C$29-ROUNDDOWN('High Level Dashboard'!$C$29,0)))),0)
+
(((SUMIFS('High Level Dashboard'!$B$112:$AV$112,'High Level Dashboard'!$B$64:$AV$64,"&gt;"&amp;'High Level Dashboard'!AT$64-ROUNDDOWN('High Level Dashboard'!$C$29,0),'High Level Dashboard'!$B$64:$AV$64,"&lt;="&amp;'High Level Dashboard'!AT$64)+(IFERROR(SUMIF('High Level Dashboard'!$B$64:$AV$64,ROUNDDOWN('High Level Dashboard'!AT$64-'High Level Dashboard'!$C$29,0)+1,'High Level Dashboard'!$B$112:$AV$112)*(1-('High Level Dashboard'!$C$29-ROUNDDOWN('High Level Dashboard'!$C$29,0))),"")))*'High Level Dashboard'!$C$28)
))</f>
        <v>34.789181828905349</v>
      </c>
      <c r="AV111" s="434">
        <f ca="1">'High Level Dashboard'!$C$56*'High Level Dashboard'!$C$27*
(-PMT('High Level Dashboard'!$C$28,'High Level Dashboard'!$C$30-'High Level Dashboard'!$C$29+1,
SUMIFS('High Level Dashboard'!$B$112:$AV$112,'High Level Dashboard'!$B$64:$AV$64,"&gt;="&amp;('High Level Dashboard'!AU$64-(ROUNDDOWN('High Level Dashboard'!$C$30,0))+1),'High Level Dashboard'!$B$64:$AV$64,"&lt;="&amp;('High Level Dashboard'!AU$64-(ROUNDUP('High Level Dashboard'!$C$29,0)))))
+
IFERROR(-PMT('High Level Dashboard'!$C$28,'High Level Dashboard'!$C$30-'High Level Dashboard'!$C$29+1,
(_xlfn.XLOOKUP('High Level Dashboard'!AU$64-(ROUNDUP('High Level Dashboard'!$C$30,0))+1,'High Level Dashboard'!$B$64:$AV$64,'High Level Dashboard'!$B$112:$AV$112,""))*('High Level Dashboard'!$C$30-(ROUNDDOWN('High Level Dashboard'!$C$30,0)))),0)
+
IFERROR(-PMT('High Level Dashboard'!$C$28,'High Level Dashboard'!$C$30-'High Level Dashboard'!$C$29+1,
(_xlfn.XLOOKUP('High Level Dashboard'!AU$64-(ROUNDDOWN('High Level Dashboard'!$C$29,0)),'High Level Dashboard'!$B$64:$AV$64,'High Level Dashboard'!$B$112:$AV$112,"")*('High Level Dashboard'!$C$29-ROUNDDOWN('High Level Dashboard'!$C$29,0)))),0)
+
(((SUMIFS('High Level Dashboard'!$B$112:$AV$112,'High Level Dashboard'!$B$64:$AV$64,"&gt;"&amp;'High Level Dashboard'!AU$64-ROUNDDOWN('High Level Dashboard'!$C$29,0),'High Level Dashboard'!$B$64:$AV$64,"&lt;="&amp;'High Level Dashboard'!AU$64)+(IFERROR(SUMIF('High Level Dashboard'!$B$64:$AV$64,ROUNDDOWN('High Level Dashboard'!AU$64-'High Level Dashboard'!$C$29,0)+1,'High Level Dashboard'!$B$112:$AV$112)*(1-('High Level Dashboard'!$C$29-ROUNDDOWN('High Level Dashboard'!$C$29,0))),"")))*'High Level Dashboard'!$C$28)
))</f>
        <v>34.770470544255993</v>
      </c>
    </row>
    <row r="112" spans="1:49" s="433" customFormat="1">
      <c r="A112" s="427" t="s">
        <v>264</v>
      </c>
      <c r="B112" s="427"/>
      <c r="C112" s="434">
        <f>'High Level Dashboard'!$C$53*'High Level Dashboard'!$D$9*
(IFERROR(-PMT('High Level Dashboard'!$D$10,'High Level Dashboard'!$D$12+1,
SUMIFS('High Level Dashboard'!$B$112:$AV$112,'High Level Dashboard'!$B$64:$AV$64,"&gt;"&amp;'High Level Dashboard'!B$64-ROUNDDOWN('High Level Dashboard'!$D$12,0),'High Level Dashboard'!$B$64:$AV$64,"&lt;="&amp;'High Level Dashboard'!B$64)),"")+
IFERROR(-PMT('High Level Dashboard'!$D$10, 'High Level Dashboard'!$D$12+1, SUMIF('High Level Dashboard'!$B$64:$AV$64,ROUNDDOWN('High Level Dashboard'!B$64-'High Level Dashboard'!$D$12,0)+1,'High Level Dashboard'!$B$107:'High Level Dashboard'!$AV$107)* (('High Level Dashboard'!$D$12-ROUNDDOWN('High Level Dashboard'!$D$12,0)))),"")
)</f>
        <v>1.1338253001681655</v>
      </c>
      <c r="D112" s="434">
        <f>'High Level Dashboard'!$C$53*'High Level Dashboard'!$D$9*
(IFERROR(-PMT('High Level Dashboard'!$D$10,'High Level Dashboard'!$D$12+1,
SUMIFS('High Level Dashboard'!$B$112:$AV$112,'High Level Dashboard'!$B$64:$AV$64,"&gt;"&amp;'High Level Dashboard'!C$64-ROUNDDOWN('High Level Dashboard'!$D$12,0),'High Level Dashboard'!$B$64:$AV$64,"&lt;="&amp;'High Level Dashboard'!C$64)),"")+
IFERROR(-PMT('High Level Dashboard'!$D$10, 'High Level Dashboard'!$D$12+1, SUMIF('High Level Dashboard'!$B$64:$AV$64,ROUNDDOWN('High Level Dashboard'!C$64-'High Level Dashboard'!$D$12,0)+1,'High Level Dashboard'!$B$107:'High Level Dashboard'!$AV$107)* (('High Level Dashboard'!$D$12-ROUNDDOWN('High Level Dashboard'!$D$12,0)))),"")
)</f>
        <v>2.9703012245618572</v>
      </c>
      <c r="E112" s="434">
        <f>'High Level Dashboard'!$C$53*'High Level Dashboard'!$D$9*
(IFERROR(-PMT('High Level Dashboard'!$D$10,'High Level Dashboard'!$D$12+1,
SUMIFS('High Level Dashboard'!$B$112:$AV$112,'High Level Dashboard'!$B$64:$AV$64,"&gt;"&amp;'High Level Dashboard'!D$64-ROUNDDOWN('High Level Dashboard'!$D$12,0),'High Level Dashboard'!$B$64:$AV$64,"&lt;="&amp;'High Level Dashboard'!D$64)),"")+
IFERROR(-PMT('High Level Dashboard'!$D$10, 'High Level Dashboard'!$D$12+1, SUMIF('High Level Dashboard'!$B$64:$AV$64,ROUNDDOWN('High Level Dashboard'!D$64-'High Level Dashboard'!$D$12,0)+1,'High Level Dashboard'!$B$107:'High Level Dashboard'!$AV$107)* (('High Level Dashboard'!$D$12-ROUNDDOWN('High Level Dashboard'!$D$12,0)))),"")
)</f>
        <v>4.7419864077056033</v>
      </c>
      <c r="F112" s="434">
        <f>'High Level Dashboard'!$C$53*'High Level Dashboard'!$D$9*
(IFERROR(-PMT('High Level Dashboard'!$D$10,'High Level Dashboard'!$D$12+1,
SUMIFS('High Level Dashboard'!$B$112:$AV$112,'High Level Dashboard'!$B$64:$AV$64,"&gt;"&amp;'High Level Dashboard'!E$64-ROUNDDOWN('High Level Dashboard'!$D$12,0),'High Level Dashboard'!$B$64:$AV$64,"&lt;="&amp;'High Level Dashboard'!E$64)),"")+
IFERROR(-PMT('High Level Dashboard'!$D$10, 'High Level Dashboard'!$D$12+1, SUMIF('High Level Dashboard'!$B$64:$AV$64,ROUNDDOWN('High Level Dashboard'!E$64-'High Level Dashboard'!$D$12,0)+1,'High Level Dashboard'!$B$107:'High Level Dashboard'!$AV$107)* (('High Level Dashboard'!$D$12-ROUNDDOWN('High Level Dashboard'!$D$12,0)))),"")
)</f>
        <v>6.3571282209766666</v>
      </c>
      <c r="G112" s="434">
        <f>'High Level Dashboard'!$C$53*'High Level Dashboard'!$D$9*
(IFERROR(-PMT('High Level Dashboard'!$D$10,'High Level Dashboard'!$D$12+1,
SUMIFS('High Level Dashboard'!$B$112:$AV$112,'High Level Dashboard'!$B$64:$AV$64,"&gt;"&amp;'High Level Dashboard'!F$64-ROUNDDOWN('High Level Dashboard'!$D$12,0),'High Level Dashboard'!$B$64:$AV$64,"&lt;="&amp;'High Level Dashboard'!F$64)),"")+
IFERROR(-PMT('High Level Dashboard'!$D$10, 'High Level Dashboard'!$D$12+1, SUMIF('High Level Dashboard'!$B$64:$AV$64,ROUNDDOWN('High Level Dashboard'!F$64-'High Level Dashboard'!$D$12,0)+1,'High Level Dashboard'!$B$107:'High Level Dashboard'!$AV$107)* (('High Level Dashboard'!$D$12-ROUNDDOWN('High Level Dashboard'!$D$12,0)))),"")
)</f>
        <v>9.7306478657734878</v>
      </c>
      <c r="H112" s="434">
        <f>'High Level Dashboard'!$C$53*'High Level Dashboard'!$D$9*
(IFERROR(-PMT('High Level Dashboard'!$D$10,'High Level Dashboard'!$D$12+1,
SUMIFS('High Level Dashboard'!$B$112:$AV$112,'High Level Dashboard'!$B$64:$AV$64,"&gt;"&amp;'High Level Dashboard'!G$64-ROUNDDOWN('High Level Dashboard'!$D$12,0),'High Level Dashboard'!$B$64:$AV$64,"&lt;="&amp;'High Level Dashboard'!G$64)),"")+
IFERROR(-PMT('High Level Dashboard'!$D$10, 'High Level Dashboard'!$D$12+1, SUMIF('High Level Dashboard'!$B$64:$AV$64,ROUNDDOWN('High Level Dashboard'!G$64-'High Level Dashboard'!$D$12,0)+1,'High Level Dashboard'!$B$107:'High Level Dashboard'!$AV$107)* (('High Level Dashboard'!$D$12-ROUNDDOWN('High Level Dashboard'!$D$12,0)))),"")
)</f>
        <v>11.83918943637266</v>
      </c>
      <c r="I112" s="434">
        <f>'High Level Dashboard'!$C$53*'High Level Dashboard'!$D$9*
(IFERROR(-PMT('High Level Dashboard'!$D$10,'High Level Dashboard'!$D$12+1,
SUMIFS('High Level Dashboard'!$B$112:$AV$112,'High Level Dashboard'!$B$64:$AV$64,"&gt;"&amp;'High Level Dashboard'!H$64-ROUNDDOWN('High Level Dashboard'!$D$12,0),'High Level Dashboard'!$B$64:$AV$64,"&lt;="&amp;'High Level Dashboard'!H$64)),"")+
IFERROR(-PMT('High Level Dashboard'!$D$10, 'High Level Dashboard'!$D$12+1, SUMIF('High Level Dashboard'!$B$64:$AV$64,ROUNDDOWN('High Level Dashboard'!H$64-'High Level Dashboard'!$D$12,0)+1,'High Level Dashboard'!$B$107:'High Level Dashboard'!$AV$107)* (('High Level Dashboard'!$D$12-ROUNDDOWN('High Level Dashboard'!$D$12,0)))),"")
)</f>
        <v>14.44669333411694</v>
      </c>
      <c r="J112" s="434">
        <f>'High Level Dashboard'!$C$53*'High Level Dashboard'!$D$9*
(IFERROR(-PMT('High Level Dashboard'!$D$10,'High Level Dashboard'!$D$12+1,
SUMIFS('High Level Dashboard'!$B$112:$AV$112,'High Level Dashboard'!$B$64:$AV$64,"&gt;"&amp;'High Level Dashboard'!I$64-ROUNDDOWN('High Level Dashboard'!$D$12,0),'High Level Dashboard'!$B$64:$AV$64,"&lt;="&amp;'High Level Dashboard'!I$64)),"")+
IFERROR(-PMT('High Level Dashboard'!$D$10, 'High Level Dashboard'!$D$12+1, SUMIF('High Level Dashboard'!$B$64:$AV$64,ROUNDDOWN('High Level Dashboard'!I$64-'High Level Dashboard'!$D$12,0)+1,'High Level Dashboard'!$B$107:'High Level Dashboard'!$AV$107)* (('High Level Dashboard'!$D$12-ROUNDDOWN('High Level Dashboard'!$D$12,0)))),"")
)</f>
        <v>16.031711102776207</v>
      </c>
      <c r="K112" s="434">
        <f>'High Level Dashboard'!$C$53*'High Level Dashboard'!$D$9*
(IFERROR(-PMT('High Level Dashboard'!$D$10,'High Level Dashboard'!$D$12+1,
SUMIFS('High Level Dashboard'!$B$112:$AV$112,'High Level Dashboard'!$B$64:$AV$64,"&gt;"&amp;'High Level Dashboard'!J$64-ROUNDDOWN('High Level Dashboard'!$D$12,0),'High Level Dashboard'!$B$64:$AV$64,"&lt;="&amp;'High Level Dashboard'!J$64)),"")+
IFERROR(-PMT('High Level Dashboard'!$D$10, 'High Level Dashboard'!$D$12+1, SUMIF('High Level Dashboard'!$B$64:$AV$64,ROUNDDOWN('High Level Dashboard'!J$64-'High Level Dashboard'!$D$12,0)+1,'High Level Dashboard'!$B$107:'High Level Dashboard'!$AV$107)* (('High Level Dashboard'!$D$12-ROUNDDOWN('High Level Dashboard'!$D$12,0)))),"")
)</f>
        <v>17.654528467064896</v>
      </c>
      <c r="L112" s="434">
        <f>'High Level Dashboard'!$C$53*'High Level Dashboard'!$D$9*
(IFERROR(-PMT('High Level Dashboard'!$D$10,'High Level Dashboard'!$D$12+1,
SUMIFS('High Level Dashboard'!$B$112:$AV$112,'High Level Dashboard'!$B$64:$AV$64,"&gt;"&amp;'High Level Dashboard'!K$64-ROUNDDOWN('High Level Dashboard'!$D$12,0),'High Level Dashboard'!$B$64:$AV$64,"&lt;="&amp;'High Level Dashboard'!K$64)),"")+
IFERROR(-PMT('High Level Dashboard'!$D$10, 'High Level Dashboard'!$D$12+1, SUMIF('High Level Dashboard'!$B$64:$AV$64,ROUNDDOWN('High Level Dashboard'!K$64-'High Level Dashboard'!$D$12,0)+1,'High Level Dashboard'!$B$107:'High Level Dashboard'!$AV$107)* (('High Level Dashboard'!$D$12-ROUNDDOWN('High Level Dashboard'!$D$12,0)))),"")
)</f>
        <v>20.390169684926306</v>
      </c>
      <c r="M112" s="434">
        <f>'High Level Dashboard'!$C$53*'High Level Dashboard'!$D$9*
(IFERROR(-PMT('High Level Dashboard'!$D$10,'High Level Dashboard'!$D$12+1,
SUMIFS('High Level Dashboard'!$B$112:$AV$112,'High Level Dashboard'!$B$64:$AV$64,"&gt;"&amp;'High Level Dashboard'!L$64-ROUNDDOWN('High Level Dashboard'!$D$12,0),'High Level Dashboard'!$B$64:$AV$64,"&lt;="&amp;'High Level Dashboard'!L$64)),"")+
IFERROR(-PMT('High Level Dashboard'!$D$10, 'High Level Dashboard'!$D$12+1, SUMIF('High Level Dashboard'!$B$64:$AV$64,ROUNDDOWN('High Level Dashboard'!L$64-'High Level Dashboard'!$D$12,0)+1,'High Level Dashboard'!$B$107:'High Level Dashboard'!$AV$107)* (('High Level Dashboard'!$D$12-ROUNDDOWN('High Level Dashboard'!$D$12,0)))),"")
)</f>
        <v>22.404190837876115</v>
      </c>
      <c r="N112" s="434">
        <f>'High Level Dashboard'!$C$53*'High Level Dashboard'!$D$9*
(IFERROR(-PMT('High Level Dashboard'!$D$10,'High Level Dashboard'!$D$12+1,
SUMIFS('High Level Dashboard'!$B$112:$AV$112,'High Level Dashboard'!$B$64:$AV$64,"&gt;"&amp;'High Level Dashboard'!M$64-ROUNDDOWN('High Level Dashboard'!$D$12,0),'High Level Dashboard'!$B$64:$AV$64,"&lt;="&amp;'High Level Dashboard'!M$64)),"")+
IFERROR(-PMT('High Level Dashboard'!$D$10, 'High Level Dashboard'!$D$12+1, SUMIF('High Level Dashboard'!$B$64:$AV$64,ROUNDDOWN('High Level Dashboard'!M$64-'High Level Dashboard'!$D$12,0)+1,'High Level Dashboard'!$B$107:'High Level Dashboard'!$AV$107)* (('High Level Dashboard'!$D$12-ROUNDDOWN('High Level Dashboard'!$D$12,0)))),"")
)</f>
        <v>25.335401601160388</v>
      </c>
      <c r="O112" s="434">
        <f>'High Level Dashboard'!$C$53*'High Level Dashboard'!$D$9*
(IFERROR(-PMT('High Level Dashboard'!$D$10,'High Level Dashboard'!$D$12+1,
SUMIFS('High Level Dashboard'!$B$112:$AV$112,'High Level Dashboard'!$B$64:$AV$64,"&gt;"&amp;'High Level Dashboard'!N$64-ROUNDDOWN('High Level Dashboard'!$D$12,0),'High Level Dashboard'!$B$64:$AV$64,"&lt;="&amp;'High Level Dashboard'!N$64)),"")+
IFERROR(-PMT('High Level Dashboard'!$D$10, 'High Level Dashboard'!$D$12+1, SUMIF('High Level Dashboard'!$B$64:$AV$64,ROUNDDOWN('High Level Dashboard'!N$64-'High Level Dashboard'!$D$12,0)+1,'High Level Dashboard'!$B$107:'High Level Dashboard'!$AV$107)* (('High Level Dashboard'!$D$12-ROUNDDOWN('High Level Dashboard'!$D$12,0)))),"")
)</f>
        <v>28.195535632900349</v>
      </c>
      <c r="P112" s="434">
        <f>'High Level Dashboard'!$C$53*'High Level Dashboard'!$D$9*
(IFERROR(-PMT('High Level Dashboard'!$D$10,'High Level Dashboard'!$D$12+1,
SUMIFS('High Level Dashboard'!$B$112:$AV$112,'High Level Dashboard'!$B$64:$AV$64,"&gt;"&amp;'High Level Dashboard'!O$64-ROUNDDOWN('High Level Dashboard'!$D$12,0),'High Level Dashboard'!$B$64:$AV$64,"&lt;="&amp;'High Level Dashboard'!O$64)),"")+
IFERROR(-PMT('High Level Dashboard'!$D$10, 'High Level Dashboard'!$D$12+1, SUMIF('High Level Dashboard'!$B$64:$AV$64,ROUNDDOWN('High Level Dashboard'!O$64-'High Level Dashboard'!$D$12,0)+1,'High Level Dashboard'!$B$107:'High Level Dashboard'!$AV$107)* (('High Level Dashboard'!$D$12-ROUNDDOWN('High Level Dashboard'!$D$12,0)))),"")
)</f>
        <v>30.953114767328614</v>
      </c>
      <c r="Q112" s="434">
        <f>'High Level Dashboard'!$C$53*'High Level Dashboard'!$D$9*
(IFERROR(-PMT('High Level Dashboard'!$D$10,'High Level Dashboard'!$D$12+1,
SUMIFS('High Level Dashboard'!$B$112:$AV$112,'High Level Dashboard'!$B$64:$AV$64,"&gt;"&amp;'High Level Dashboard'!P$64-ROUNDDOWN('High Level Dashboard'!$D$12,0),'High Level Dashboard'!$B$64:$AV$64,"&lt;="&amp;'High Level Dashboard'!P$64)),"")+
IFERROR(-PMT('High Level Dashboard'!$D$10, 'High Level Dashboard'!$D$12+1, SUMIF('High Level Dashboard'!$B$64:$AV$64,ROUNDDOWN('High Level Dashboard'!P$64-'High Level Dashboard'!$D$12,0)+1,'High Level Dashboard'!$B$107:'High Level Dashboard'!$AV$107)* (('High Level Dashboard'!$D$12-ROUNDDOWN('High Level Dashboard'!$D$12,0)))),"")
)</f>
        <v>34.577832540334249</v>
      </c>
      <c r="R112" s="434">
        <f>'High Level Dashboard'!$C$53*'High Level Dashboard'!$D$9*
(IFERROR(-PMT('High Level Dashboard'!$D$10,'High Level Dashboard'!$D$12+1,
SUMIFS('High Level Dashboard'!$B$112:$AV$112,'High Level Dashboard'!$B$64:$AV$64,"&gt;"&amp;'High Level Dashboard'!Q$64-ROUNDDOWN('High Level Dashboard'!$D$12,0),'High Level Dashboard'!$B$64:$AV$64,"&lt;="&amp;'High Level Dashboard'!Q$64)),"")+
IFERROR(-PMT('High Level Dashboard'!$D$10, 'High Level Dashboard'!$D$12+1, SUMIF('High Level Dashboard'!$B$64:$AV$64,ROUNDDOWN('High Level Dashboard'!Q$64-'High Level Dashboard'!$D$12,0)+1,'High Level Dashboard'!$B$107:'High Level Dashboard'!$AV$107)* (('High Level Dashboard'!$D$12-ROUNDDOWN('High Level Dashboard'!$D$12,0)))),"")
)</f>
        <v>39.098852419409845</v>
      </c>
      <c r="S112" s="434">
        <f>'High Level Dashboard'!$C$53*'High Level Dashboard'!$D$9*
(IFERROR(-PMT('High Level Dashboard'!$D$10,'High Level Dashboard'!$D$12+1,
SUMIFS('High Level Dashboard'!$B$112:$AV$112,'High Level Dashboard'!$B$64:$AV$64,"&gt;"&amp;'High Level Dashboard'!R$64-ROUNDDOWN('High Level Dashboard'!$D$12,0),'High Level Dashboard'!$B$64:$AV$64,"&lt;="&amp;'High Level Dashboard'!R$64)),"")+
IFERROR(-PMT('High Level Dashboard'!$D$10, 'High Level Dashboard'!$D$12+1, SUMIF('High Level Dashboard'!$B$64:$AV$64,ROUNDDOWN('High Level Dashboard'!R$64-'High Level Dashboard'!$D$12,0)+1,'High Level Dashboard'!$B$107:'High Level Dashboard'!$AV$107)* (('High Level Dashboard'!$D$12-ROUNDDOWN('High Level Dashboard'!$D$12,0)))),"")
)</f>
        <v>43.162638001837756</v>
      </c>
      <c r="T112" s="434">
        <f>'High Level Dashboard'!$C$53*'High Level Dashboard'!$D$9*
(IFERROR(-PMT('High Level Dashboard'!$D$10,'High Level Dashboard'!$D$12+1,
SUMIFS('High Level Dashboard'!$B$112:$AV$112,'High Level Dashboard'!$B$64:$AV$64,"&gt;"&amp;'High Level Dashboard'!S$64-ROUNDDOWN('High Level Dashboard'!$D$12,0),'High Level Dashboard'!$B$64:$AV$64,"&lt;="&amp;'High Level Dashboard'!S$64)),"")+
IFERROR(-PMT('High Level Dashboard'!$D$10, 'High Level Dashboard'!$D$12+1, SUMIF('High Level Dashboard'!$B$64:$AV$64,ROUNDDOWN('High Level Dashboard'!S$64-'High Level Dashboard'!$D$12,0)+1,'High Level Dashboard'!$B$107:'High Level Dashboard'!$AV$107)* (('High Level Dashboard'!$D$12-ROUNDDOWN('High Level Dashboard'!$D$12,0)))),"")
)</f>
        <v>45.899961774987737</v>
      </c>
      <c r="U112" s="434">
        <f>'High Level Dashboard'!$C$53*'High Level Dashboard'!$D$9*
(IFERROR(-PMT('High Level Dashboard'!$D$10,'High Level Dashboard'!$D$12+1,
SUMIFS('High Level Dashboard'!$B$112:$AV$112,'High Level Dashboard'!$B$64:$AV$64,"&gt;"&amp;'High Level Dashboard'!T$64-ROUNDDOWN('High Level Dashboard'!$D$12,0),'High Level Dashboard'!$B$64:$AV$64,"&lt;="&amp;'High Level Dashboard'!T$64)),"")+
IFERROR(-PMT('High Level Dashboard'!$D$10, 'High Level Dashboard'!$D$12+1, SUMIF('High Level Dashboard'!$B$64:$AV$64,ROUNDDOWN('High Level Dashboard'!T$64-'High Level Dashboard'!$D$12,0)+1,'High Level Dashboard'!$B$107:'High Level Dashboard'!$AV$107)* (('High Level Dashboard'!$D$12-ROUNDDOWN('High Level Dashboard'!$D$12,0)))),"")
)</f>
        <v>48.700834874299055</v>
      </c>
      <c r="V112" s="434">
        <f>'High Level Dashboard'!$C$53*'High Level Dashboard'!$D$9*
(IFERROR(-PMT('High Level Dashboard'!$D$10,'High Level Dashboard'!$D$12+1,
SUMIFS('High Level Dashboard'!$B$112:$AV$112,'High Level Dashboard'!$B$64:$AV$64,"&gt;"&amp;'High Level Dashboard'!U$64-ROUNDDOWN('High Level Dashboard'!$D$12,0),'High Level Dashboard'!$B$64:$AV$64,"&lt;="&amp;'High Level Dashboard'!U$64)),"")+
IFERROR(-PMT('High Level Dashboard'!$D$10, 'High Level Dashboard'!$D$12+1, SUMIF('High Level Dashboard'!$B$64:$AV$64,ROUNDDOWN('High Level Dashboard'!U$64-'High Level Dashboard'!$D$12,0)+1,'High Level Dashboard'!$B$107:'High Level Dashboard'!$AV$107)* (('High Level Dashboard'!$D$12-ROUNDDOWN('High Level Dashboard'!$D$12,0)))),"")
)</f>
        <v>51.716747646634701</v>
      </c>
      <c r="W112" s="434">
        <f>'High Level Dashboard'!$C$53*'High Level Dashboard'!$D$9*
(IFERROR(-PMT('High Level Dashboard'!$D$10,'High Level Dashboard'!$D$12+1,
SUMIFS('High Level Dashboard'!$B$112:$AV$112,'High Level Dashboard'!$B$64:$AV$64,"&gt;"&amp;'High Level Dashboard'!V$64-ROUNDDOWN('High Level Dashboard'!$D$12,0),'High Level Dashboard'!$B$64:$AV$64,"&lt;="&amp;'High Level Dashboard'!V$64)),"")+
IFERROR(-PMT('High Level Dashboard'!$D$10, 'High Level Dashboard'!$D$12+1, SUMIF('High Level Dashboard'!$B$64:$AV$64,ROUNDDOWN('High Level Dashboard'!V$64-'High Level Dashboard'!$D$12,0)+1,'High Level Dashboard'!$B$107:'High Level Dashboard'!$AV$107)* (('High Level Dashboard'!$D$12-ROUNDDOWN('High Level Dashboard'!$D$12,0)))),"")
)</f>
        <v>54.962023240523372</v>
      </c>
      <c r="X112" s="434">
        <f>'High Level Dashboard'!$C$53*'High Level Dashboard'!$D$9*
(IFERROR(-PMT('High Level Dashboard'!$D$10,'High Level Dashboard'!$D$12+1,
SUMIFS('High Level Dashboard'!$B$112:$AV$112,'High Level Dashboard'!$B$64:$AV$64,"&gt;"&amp;'High Level Dashboard'!W$64-ROUNDDOWN('High Level Dashboard'!$D$12,0),'High Level Dashboard'!$B$64:$AV$64,"&lt;="&amp;'High Level Dashboard'!W$64)),"")+
IFERROR(-PMT('High Level Dashboard'!$D$10, 'High Level Dashboard'!$D$12+1, SUMIF('High Level Dashboard'!$B$64:$AV$64,ROUNDDOWN('High Level Dashboard'!W$64-'High Level Dashboard'!$D$12,0)+1,'High Level Dashboard'!$B$107:'High Level Dashboard'!$AV$107)* (('High Level Dashboard'!$D$12-ROUNDDOWN('High Level Dashboard'!$D$12,0)))),"")
)</f>
        <v>58.439094211406754</v>
      </c>
      <c r="Y112" s="434">
        <f>'High Level Dashboard'!$C$53*'High Level Dashboard'!$D$9*
(IFERROR(-PMT('High Level Dashboard'!$D$10,'High Level Dashboard'!$D$12+1,
SUMIFS('High Level Dashboard'!$B$112:$AV$112,'High Level Dashboard'!$B$64:$AV$64,"&gt;"&amp;'High Level Dashboard'!X$64-ROUNDDOWN('High Level Dashboard'!$D$12,0),'High Level Dashboard'!$B$64:$AV$64,"&lt;="&amp;'High Level Dashboard'!X$64)),"")+
IFERROR(-PMT('High Level Dashboard'!$D$10, 'High Level Dashboard'!$D$12+1, SUMIF('High Level Dashboard'!$B$64:$AV$64,ROUNDDOWN('High Level Dashboard'!X$64-'High Level Dashboard'!$D$12,0)+1,'High Level Dashboard'!$B$107:'High Level Dashboard'!$AV$107)* (('High Level Dashboard'!$D$12-ROUNDDOWN('High Level Dashboard'!$D$12,0)))),"")
)</f>
        <v>62.241165798094251</v>
      </c>
      <c r="Z112" s="434">
        <f>'High Level Dashboard'!$C$53*'High Level Dashboard'!$D$9*
(IFERROR(-PMT('High Level Dashboard'!$D$10,'High Level Dashboard'!$D$12+1,
SUMIFS('High Level Dashboard'!$B$112:$AV$112,'High Level Dashboard'!$B$64:$AV$64,"&gt;"&amp;'High Level Dashboard'!Y$64-ROUNDDOWN('High Level Dashboard'!$D$12,0),'High Level Dashboard'!$B$64:$AV$64,"&lt;="&amp;'High Level Dashboard'!Y$64)),"")+
IFERROR(-PMT('High Level Dashboard'!$D$10, 'High Level Dashboard'!$D$12+1, SUMIF('High Level Dashboard'!$B$64:$AV$64,ROUNDDOWN('High Level Dashboard'!Y$64-'High Level Dashboard'!$D$12,0)+1,'High Level Dashboard'!$B$107:'High Level Dashboard'!$AV$107)* (('High Level Dashboard'!$D$12-ROUNDDOWN('High Level Dashboard'!$D$12,0)))),"")
)</f>
        <v>66.619513601337999</v>
      </c>
      <c r="AA112" s="434">
        <f ca="1">'High Level Dashboard'!$C$53*'High Level Dashboard'!$D$9*
(IFERROR(-PMT('High Level Dashboard'!$D$10,'High Level Dashboard'!$D$12+1,
SUMIFS('High Level Dashboard'!$B$112:$AV$112,'High Level Dashboard'!$B$64:$AV$64,"&gt;"&amp;'High Level Dashboard'!Z$64-ROUNDDOWN('High Level Dashboard'!$D$12,0),'High Level Dashboard'!$B$64:$AV$64,"&lt;="&amp;'High Level Dashboard'!Z$64)),"")+
IFERROR(-PMT('High Level Dashboard'!$D$10, 'High Level Dashboard'!$D$12+1, SUMIF('High Level Dashboard'!$B$64:$AV$64,ROUNDDOWN('High Level Dashboard'!Z$64-'High Level Dashboard'!$D$12,0)+1,'High Level Dashboard'!$B$107:'High Level Dashboard'!$AV$107)* (('High Level Dashboard'!$D$12-ROUNDDOWN('High Level Dashboard'!$D$12,0)))),"")
)</f>
        <v>65.015894311033762</v>
      </c>
      <c r="AB112" s="434">
        <f ca="1">'High Level Dashboard'!$C$53*'High Level Dashboard'!$D$9*
(IFERROR(-PMT('High Level Dashboard'!$D$10,'High Level Dashboard'!$D$12+1,
SUMIFS('High Level Dashboard'!$B$112:$AV$112,'High Level Dashboard'!$B$64:$AV$64,"&gt;"&amp;'High Level Dashboard'!AA$64-ROUNDDOWN('High Level Dashboard'!$D$12,0),'High Level Dashboard'!$B$64:$AV$64,"&lt;="&amp;'High Level Dashboard'!AA$64)),"")+
IFERROR(-PMT('High Level Dashboard'!$D$10, 'High Level Dashboard'!$D$12+1, SUMIF('High Level Dashboard'!$B$64:$AV$64,ROUNDDOWN('High Level Dashboard'!AA$64-'High Level Dashboard'!$D$12,0)+1,'High Level Dashboard'!$B$107:'High Level Dashboard'!$AV$107)* (('High Level Dashboard'!$D$12-ROUNDDOWN('High Level Dashboard'!$D$12,0)))),"")
)</f>
        <v>68.14749705204197</v>
      </c>
      <c r="AC112" s="434">
        <f ca="1">'High Level Dashboard'!$C$53*'High Level Dashboard'!$D$9*
(IFERROR(-PMT('High Level Dashboard'!$D$10,'High Level Dashboard'!$D$12+1,
SUMIFS('High Level Dashboard'!$B$112:$AV$112,'High Level Dashboard'!$B$64:$AV$64,"&gt;"&amp;'High Level Dashboard'!AB$64-ROUNDDOWN('High Level Dashboard'!$D$12,0),'High Level Dashboard'!$B$64:$AV$64,"&lt;="&amp;'High Level Dashboard'!AB$64)),"")+
IFERROR(-PMT('High Level Dashboard'!$D$10, 'High Level Dashboard'!$D$12+1, SUMIF('High Level Dashboard'!$B$64:$AV$64,ROUNDDOWN('High Level Dashboard'!AB$64-'High Level Dashboard'!$D$12,0)+1,'High Level Dashboard'!$B$107:'High Level Dashboard'!$AV$107)* (('High Level Dashboard'!$D$12-ROUNDDOWN('High Level Dashboard'!$D$12,0)))),"")
)</f>
        <v>71.817872954383006</v>
      </c>
      <c r="AD112" s="434">
        <f ca="1">'High Level Dashboard'!$C$53*'High Level Dashboard'!$D$9*
(IFERROR(-PMT('High Level Dashboard'!$D$10,'High Level Dashboard'!$D$12+1,
SUMIFS('High Level Dashboard'!$B$112:$AV$112,'High Level Dashboard'!$B$64:$AV$64,"&gt;"&amp;'High Level Dashboard'!AC$64-ROUNDDOWN('High Level Dashboard'!$D$12,0),'High Level Dashboard'!$B$64:$AV$64,"&lt;="&amp;'High Level Dashboard'!AC$64)),"")+
IFERROR(-PMT('High Level Dashboard'!$D$10, 'High Level Dashboard'!$D$12+1, SUMIF('High Level Dashboard'!$B$64:$AV$64,ROUNDDOWN('High Level Dashboard'!AC$64-'High Level Dashboard'!$D$12,0)+1,'High Level Dashboard'!$B$107:'High Level Dashboard'!$AV$107)* (('High Level Dashboard'!$D$12-ROUNDDOWN('High Level Dashboard'!$D$12,0)))),"")
)</f>
        <v>74.485669032356114</v>
      </c>
      <c r="AE112" s="434">
        <f ca="1">'High Level Dashboard'!$C$53*'High Level Dashboard'!$D$9*
(IFERROR(-PMT('High Level Dashboard'!$D$10,'High Level Dashboard'!$D$12+1,
SUMIFS('High Level Dashboard'!$B$112:$AV$112,'High Level Dashboard'!$B$64:$AV$64,"&gt;"&amp;'High Level Dashboard'!AD$64-ROUNDDOWN('High Level Dashboard'!$D$12,0),'High Level Dashboard'!$B$64:$AV$64,"&lt;="&amp;'High Level Dashboard'!AD$64)),"")+
IFERROR(-PMT('High Level Dashboard'!$D$10, 'High Level Dashboard'!$D$12+1, SUMIF('High Level Dashboard'!$B$64:$AV$64,ROUNDDOWN('High Level Dashboard'!AD$64-'High Level Dashboard'!$D$12,0)+1,'High Level Dashboard'!$B$107:'High Level Dashboard'!$AV$107)* (('High Level Dashboard'!$D$12-ROUNDDOWN('High Level Dashboard'!$D$12,0)))),"")
)</f>
        <v>75.281471517424364</v>
      </c>
      <c r="AF112" s="434">
        <f ca="1">'High Level Dashboard'!$C$53*'High Level Dashboard'!$D$9*
(IFERROR(-PMT('High Level Dashboard'!$D$10,'High Level Dashboard'!$D$12+1,
SUMIFS('High Level Dashboard'!$B$112:$AV$112,'High Level Dashboard'!$B$64:$AV$64,"&gt;"&amp;'High Level Dashboard'!AE$64-ROUNDDOWN('High Level Dashboard'!$D$12,0),'High Level Dashboard'!$B$64:$AV$64,"&lt;="&amp;'High Level Dashboard'!AE$64)),"")+
IFERROR(-PMT('High Level Dashboard'!$D$10, 'High Level Dashboard'!$D$12+1, SUMIF('High Level Dashboard'!$B$64:$AV$64,ROUNDDOWN('High Level Dashboard'!AE$64-'High Level Dashboard'!$D$12,0)+1,'High Level Dashboard'!$B$107:'High Level Dashboard'!$AV$107)* (('High Level Dashboard'!$D$12-ROUNDDOWN('High Level Dashboard'!$D$12,0)))),"")
)</f>
        <v>78.716703323160246</v>
      </c>
      <c r="AG112" s="434">
        <f ca="1">'High Level Dashboard'!$C$53*'High Level Dashboard'!$D$9*
(IFERROR(-PMT('High Level Dashboard'!$D$10,'High Level Dashboard'!$D$12+1,
SUMIFS('High Level Dashboard'!$B$112:$AV$112,'High Level Dashboard'!$B$64:$AV$64,"&gt;"&amp;'High Level Dashboard'!AF$64-ROUNDDOWN('High Level Dashboard'!$D$12,0),'High Level Dashboard'!$B$64:$AV$64,"&lt;="&amp;'High Level Dashboard'!AF$64)),"")+
IFERROR(-PMT('High Level Dashboard'!$D$10, 'High Level Dashboard'!$D$12+1, SUMIF('High Level Dashboard'!$B$64:$AV$64,ROUNDDOWN('High Level Dashboard'!AF$64-'High Level Dashboard'!$D$12,0)+1,'High Level Dashboard'!$B$107:'High Level Dashboard'!$AV$107)* (('High Level Dashboard'!$D$12-ROUNDDOWN('High Level Dashboard'!$D$12,0)))),"")
)</f>
        <v>80.069847435136879</v>
      </c>
      <c r="AH112" s="434">
        <f ca="1">'High Level Dashboard'!$C$53*'High Level Dashboard'!$D$9*
(IFERROR(-PMT('High Level Dashboard'!$D$10,'High Level Dashboard'!$D$12+1,
SUMIFS('High Level Dashboard'!$B$112:$AV$112,'High Level Dashboard'!$B$64:$AV$64,"&gt;"&amp;'High Level Dashboard'!AG$64-ROUNDDOWN('High Level Dashboard'!$D$12,0),'High Level Dashboard'!$B$64:$AV$64,"&lt;="&amp;'High Level Dashboard'!AG$64)),"")+
IFERROR(-PMT('High Level Dashboard'!$D$10, 'High Level Dashboard'!$D$12+1, SUMIF('High Level Dashboard'!$B$64:$AV$64,ROUNDDOWN('High Level Dashboard'!AG$64-'High Level Dashboard'!$D$12,0)+1,'High Level Dashboard'!$B$107:'High Level Dashboard'!$AV$107)* (('High Level Dashboard'!$D$12-ROUNDDOWN('High Level Dashboard'!$D$12,0)))),"")
)</f>
        <v>83.098321149331611</v>
      </c>
      <c r="AI112" s="434">
        <f ca="1">'High Level Dashboard'!$C$53*'High Level Dashboard'!$D$9*
(IFERROR(-PMT('High Level Dashboard'!$D$10,'High Level Dashboard'!$D$12+1,
SUMIFS('High Level Dashboard'!$B$112:$AV$112,'High Level Dashboard'!$B$64:$AV$64,"&gt;"&amp;'High Level Dashboard'!AH$64-ROUNDDOWN('High Level Dashboard'!$D$12,0),'High Level Dashboard'!$B$64:$AV$64,"&lt;="&amp;'High Level Dashboard'!AH$64)),"")+
IFERROR(-PMT('High Level Dashboard'!$D$10, 'High Level Dashboard'!$D$12+1, SUMIF('High Level Dashboard'!$B$64:$AV$64,ROUNDDOWN('High Level Dashboard'!AH$64-'High Level Dashboard'!$D$12,0)+1,'High Level Dashboard'!$B$107:'High Level Dashboard'!$AV$107)* (('High Level Dashboard'!$D$12-ROUNDDOWN('High Level Dashboard'!$D$12,0)))),"")
)</f>
        <v>85.224872499156149</v>
      </c>
      <c r="AJ112" s="434">
        <f ca="1">'High Level Dashboard'!$C$53*'High Level Dashboard'!$D$9*
(IFERROR(-PMT('High Level Dashboard'!$D$10,'High Level Dashboard'!$D$12+1,
SUMIFS('High Level Dashboard'!$B$112:$AV$112,'High Level Dashboard'!$B$64:$AV$64,"&gt;"&amp;'High Level Dashboard'!AI$64-ROUNDDOWN('High Level Dashboard'!$D$12,0),'High Level Dashboard'!$B$64:$AV$64,"&lt;="&amp;'High Level Dashboard'!AI$64)),"")+
IFERROR(-PMT('High Level Dashboard'!$D$10, 'High Level Dashboard'!$D$12+1, SUMIF('High Level Dashboard'!$B$64:$AV$64,ROUNDDOWN('High Level Dashboard'!AI$64-'High Level Dashboard'!$D$12,0)+1,'High Level Dashboard'!$B$107:'High Level Dashboard'!$AV$107)* (('High Level Dashboard'!$D$12-ROUNDDOWN('High Level Dashboard'!$D$12,0)))),"")
)</f>
        <v>86.489718419099347</v>
      </c>
      <c r="AK112" s="434">
        <f ca="1">'High Level Dashboard'!$C$53*'High Level Dashboard'!$D$9*
(IFERROR(-PMT('High Level Dashboard'!$D$10,'High Level Dashboard'!$D$12+1,
SUMIFS('High Level Dashboard'!$B$112:$AV$112,'High Level Dashboard'!$B$64:$AV$64,"&gt;"&amp;'High Level Dashboard'!AJ$64-ROUNDDOWN('High Level Dashboard'!$D$12,0),'High Level Dashboard'!$B$64:$AV$64,"&lt;="&amp;'High Level Dashboard'!AJ$64)),"")+
IFERROR(-PMT('High Level Dashboard'!$D$10, 'High Level Dashboard'!$D$12+1, SUMIF('High Level Dashboard'!$B$64:$AV$64,ROUNDDOWN('High Level Dashboard'!AJ$64-'High Level Dashboard'!$D$12,0)+1,'High Level Dashboard'!$B$107:'High Level Dashboard'!$AV$107)* (('High Level Dashboard'!$D$12-ROUNDDOWN('High Level Dashboard'!$D$12,0)))),"")
)</f>
        <v>89.231705390218963</v>
      </c>
      <c r="AL112" s="434">
        <f ca="1">'High Level Dashboard'!$C$53*'High Level Dashboard'!$D$9*
(IFERROR(-PMT('High Level Dashboard'!$D$10,'High Level Dashboard'!$D$12+1,
SUMIFS('High Level Dashboard'!$B$112:$AV$112,'High Level Dashboard'!$B$64:$AV$64,"&gt;"&amp;'High Level Dashboard'!AK$64-ROUNDDOWN('High Level Dashboard'!$D$12,0),'High Level Dashboard'!$B$64:$AV$64,"&lt;="&amp;'High Level Dashboard'!AK$64)),"")+
IFERROR(-PMT('High Level Dashboard'!$D$10, 'High Level Dashboard'!$D$12+1, SUMIF('High Level Dashboard'!$B$64:$AV$64,ROUNDDOWN('High Level Dashboard'!AK$64-'High Level Dashboard'!$D$12,0)+1,'High Level Dashboard'!$B$107:'High Level Dashboard'!$AV$107)* (('High Level Dashboard'!$D$12-ROUNDDOWN('High Level Dashboard'!$D$12,0)))),"")
)</f>
        <v>90.436665145666538</v>
      </c>
      <c r="AM112" s="434">
        <f ca="1">'High Level Dashboard'!$C$53*'High Level Dashboard'!$D$9*
(IFERROR(-PMT('High Level Dashboard'!$D$10,'High Level Dashboard'!$D$12+1,
SUMIFS('High Level Dashboard'!$B$112:$AV$112,'High Level Dashboard'!$B$64:$AV$64,"&gt;"&amp;'High Level Dashboard'!AL$64-ROUNDDOWN('High Level Dashboard'!$D$12,0),'High Level Dashboard'!$B$64:$AV$64,"&lt;="&amp;'High Level Dashboard'!AL$64)),"")+
IFERROR(-PMT('High Level Dashboard'!$D$10, 'High Level Dashboard'!$D$12+1, SUMIF('High Level Dashboard'!$B$64:$AV$64,ROUNDDOWN('High Level Dashboard'!AL$64-'High Level Dashboard'!$D$12,0)+1,'High Level Dashboard'!$B$107:'High Level Dashboard'!$AV$107)* (('High Level Dashboard'!$D$12-ROUNDDOWN('High Level Dashboard'!$D$12,0)))),"")
)</f>
        <v>92.629183941060091</v>
      </c>
      <c r="AN112" s="434">
        <f ca="1">'High Level Dashboard'!$C$53*'High Level Dashboard'!$D$9*
(IFERROR(-PMT('High Level Dashboard'!$D$10,'High Level Dashboard'!$D$12+1,
SUMIFS('High Level Dashboard'!$B$112:$AV$112,'High Level Dashboard'!$B$64:$AV$64,"&gt;"&amp;'High Level Dashboard'!AM$64-ROUNDDOWN('High Level Dashboard'!$D$12,0),'High Level Dashboard'!$B$64:$AV$64,"&lt;="&amp;'High Level Dashboard'!AM$64)),"")+
IFERROR(-PMT('High Level Dashboard'!$D$10, 'High Level Dashboard'!$D$12+1, SUMIF('High Level Dashboard'!$B$64:$AV$64,ROUNDDOWN('High Level Dashboard'!AM$64-'High Level Dashboard'!$D$12,0)+1,'High Level Dashboard'!$B$107:'High Level Dashboard'!$AV$107)* (('High Level Dashboard'!$D$12-ROUNDDOWN('High Level Dashboard'!$D$12,0)))),"")
)</f>
        <v>94.613280618469062</v>
      </c>
      <c r="AO112" s="434">
        <f ca="1">'High Level Dashboard'!$C$53*'High Level Dashboard'!$D$9*
(IFERROR(-PMT('High Level Dashboard'!$D$10,'High Level Dashboard'!$D$12+1,
SUMIFS('High Level Dashboard'!$B$112:$AV$112,'High Level Dashboard'!$B$64:$AV$64,"&gt;"&amp;'High Level Dashboard'!AN$64-ROUNDDOWN('High Level Dashboard'!$D$12,0),'High Level Dashboard'!$B$64:$AV$64,"&lt;="&amp;'High Level Dashboard'!AN$64)),"")+
IFERROR(-PMT('High Level Dashboard'!$D$10, 'High Level Dashboard'!$D$12+1, SUMIF('High Level Dashboard'!$B$64:$AV$64,ROUNDDOWN('High Level Dashboard'!AN$64-'High Level Dashboard'!$D$12,0)+1,'High Level Dashboard'!$B$107:'High Level Dashboard'!$AV$107)* (('High Level Dashboard'!$D$12-ROUNDDOWN('High Level Dashboard'!$D$12,0)))),"")
)</f>
        <v>95.675968186205409</v>
      </c>
      <c r="AP112" s="434">
        <f ca="1">'High Level Dashboard'!$C$53*'High Level Dashboard'!$D$9*
(IFERROR(-PMT('High Level Dashboard'!$D$10,'High Level Dashboard'!$D$12+1,
SUMIFS('High Level Dashboard'!$B$112:$AV$112,'High Level Dashboard'!$B$64:$AV$64,"&gt;"&amp;'High Level Dashboard'!AO$64-ROUNDDOWN('High Level Dashboard'!$D$12,0),'High Level Dashboard'!$B$64:$AV$64,"&lt;="&amp;'High Level Dashboard'!AO$64)),"")+
IFERROR(-PMT('High Level Dashboard'!$D$10, 'High Level Dashboard'!$D$12+1, SUMIF('High Level Dashboard'!$B$64:$AV$64,ROUNDDOWN('High Level Dashboard'!AO$64-'High Level Dashboard'!$D$12,0)+1,'High Level Dashboard'!$B$107:'High Level Dashboard'!$AV$107)* (('High Level Dashboard'!$D$12-ROUNDDOWN('High Level Dashboard'!$D$12,0)))),"")
)</f>
        <v>96.748870567314398</v>
      </c>
      <c r="AQ112" s="434">
        <f ca="1">'High Level Dashboard'!$C$53*'High Level Dashboard'!$D$9*
(IFERROR(-PMT('High Level Dashboard'!$D$10,'High Level Dashboard'!$D$12+1,
SUMIFS('High Level Dashboard'!$B$112:$AV$112,'High Level Dashboard'!$B$64:$AV$64,"&gt;"&amp;'High Level Dashboard'!AP$64-ROUNDDOWN('High Level Dashboard'!$D$12,0),'High Level Dashboard'!$B$64:$AV$64,"&lt;="&amp;'High Level Dashboard'!AP$64)),"")+
IFERROR(-PMT('High Level Dashboard'!$D$10, 'High Level Dashboard'!$D$12+1, SUMIF('High Level Dashboard'!$B$64:$AV$64,ROUNDDOWN('High Level Dashboard'!AP$64-'High Level Dashboard'!$D$12,0)+1,'High Level Dashboard'!$B$107:'High Level Dashboard'!$AV$107)* (('High Level Dashboard'!$D$12-ROUNDDOWN('High Level Dashboard'!$D$12,0)))),"")
)</f>
        <v>98.920188798863947</v>
      </c>
      <c r="AR112" s="434">
        <f ca="1">'High Level Dashboard'!$C$53*'High Level Dashboard'!$D$9*
(IFERROR(-PMT('High Level Dashboard'!$D$10,'High Level Dashboard'!$D$12+1,
SUMIFS('High Level Dashboard'!$B$112:$AV$112,'High Level Dashboard'!$B$64:$AV$64,"&gt;"&amp;'High Level Dashboard'!AQ$64-ROUNDDOWN('High Level Dashboard'!$D$12,0),'High Level Dashboard'!$B$64:$AV$64,"&lt;="&amp;'High Level Dashboard'!AQ$64)),"")+
IFERROR(-PMT('High Level Dashboard'!$D$10, 'High Level Dashboard'!$D$12+1, SUMIF('High Level Dashboard'!$B$64:$AV$64,ROUNDDOWN('High Level Dashboard'!AQ$64-'High Level Dashboard'!$D$12,0)+1,'High Level Dashboard'!$B$107:'High Level Dashboard'!$AV$107)* (('High Level Dashboard'!$D$12-ROUNDDOWN('High Level Dashboard'!$D$12,0)))),"")
)</f>
        <v>101.87626260176769</v>
      </c>
      <c r="AS112" s="434">
        <f ca="1">'High Level Dashboard'!$C$53*'High Level Dashboard'!$D$9*
(IFERROR(-PMT('High Level Dashboard'!$D$10,'High Level Dashboard'!$D$12+1,
SUMIFS('High Level Dashboard'!$B$112:$AV$112,'High Level Dashboard'!$B$64:$AV$64,"&gt;"&amp;'High Level Dashboard'!AR$64-ROUNDDOWN('High Level Dashboard'!$D$12,0),'High Level Dashboard'!$B$64:$AV$64,"&lt;="&amp;'High Level Dashboard'!AR$64)),"")+
IFERROR(-PMT('High Level Dashboard'!$D$10, 'High Level Dashboard'!$D$12+1, SUMIF('High Level Dashboard'!$B$64:$AV$64,ROUNDDOWN('High Level Dashboard'!AR$64-'High Level Dashboard'!$D$12,0)+1,'High Level Dashboard'!$B$107:'High Level Dashboard'!$AV$107)* (('High Level Dashboard'!$D$12-ROUNDDOWN('High Level Dashboard'!$D$12,0)))),"")
)</f>
        <v>103.60049294791639</v>
      </c>
      <c r="AT112" s="434">
        <f ca="1">'High Level Dashboard'!$C$53*'High Level Dashboard'!$D$9*
(IFERROR(-PMT('High Level Dashboard'!$D$10,'High Level Dashboard'!$D$12+1,
SUMIFS('High Level Dashboard'!$B$112:$AV$112,'High Level Dashboard'!$B$64:$AV$64,"&gt;"&amp;'High Level Dashboard'!AS$64-ROUNDDOWN('High Level Dashboard'!$D$12,0),'High Level Dashboard'!$B$64:$AV$64,"&lt;="&amp;'High Level Dashboard'!AS$64)),"")+
IFERROR(-PMT('High Level Dashboard'!$D$10, 'High Level Dashboard'!$D$12+1, SUMIF('High Level Dashboard'!$B$64:$AV$64,ROUNDDOWN('High Level Dashboard'!AS$64-'High Level Dashboard'!$D$12,0)+1,'High Level Dashboard'!$B$107:'High Level Dashboard'!$AV$107)* (('High Level Dashboard'!$D$12-ROUNDDOWN('High Level Dashboard'!$D$12,0)))),"")
)</f>
        <v>104.99226038117045</v>
      </c>
      <c r="AU112" s="434">
        <f ca="1">'High Level Dashboard'!$C$53*'High Level Dashboard'!$D$9*
(IFERROR(-PMT('High Level Dashboard'!$D$10,'High Level Dashboard'!$D$12+1,
SUMIFS('High Level Dashboard'!$B$112:$AV$112,'High Level Dashboard'!$B$64:$AV$64,"&gt;"&amp;'High Level Dashboard'!AT$64-ROUNDDOWN('High Level Dashboard'!$D$12,0),'High Level Dashboard'!$B$64:$AV$64,"&lt;="&amp;'High Level Dashboard'!AT$64)),"")+
IFERROR(-PMT('High Level Dashboard'!$D$10, 'High Level Dashboard'!$D$12+1, SUMIF('High Level Dashboard'!$B$64:$AV$64,ROUNDDOWN('High Level Dashboard'!AT$64-'High Level Dashboard'!$D$12,0)+1,'High Level Dashboard'!$B$107:'High Level Dashboard'!$AV$107)* (('High Level Dashboard'!$D$12-ROUNDDOWN('High Level Dashboard'!$D$12,0)))),"")
)</f>
        <v>106.55061160647271</v>
      </c>
      <c r="AV112" s="434">
        <f ca="1">'High Level Dashboard'!$C$53*'High Level Dashboard'!$D$9*
(IFERROR(-PMT('High Level Dashboard'!$D$10,'High Level Dashboard'!$D$12+1,
SUMIFS('High Level Dashboard'!$B$112:$AV$112,'High Level Dashboard'!$B$64:$AV$64,"&gt;"&amp;'High Level Dashboard'!AU$64-ROUNDDOWN('High Level Dashboard'!$D$12,0),'High Level Dashboard'!$B$64:$AV$64,"&lt;="&amp;'High Level Dashboard'!AU$64)),"")+
IFERROR(-PMT('High Level Dashboard'!$D$10, 'High Level Dashboard'!$D$12+1, SUMIF('High Level Dashboard'!$B$64:$AV$64,ROUNDDOWN('High Level Dashboard'!AU$64-'High Level Dashboard'!$D$12,0)+1,'High Level Dashboard'!$B$107:'High Level Dashboard'!$AV$107)* (('High Level Dashboard'!$D$12-ROUNDDOWN('High Level Dashboard'!$D$12,0)))),"")
)</f>
        <v>108.16011588380393</v>
      </c>
    </row>
    <row r="113" spans="1:48" s="433" customFormat="1">
      <c r="A113" s="427" t="s">
        <v>265</v>
      </c>
      <c r="B113" s="427"/>
      <c r="C113" s="434">
        <f ca="1">'High Level Dashboard'!$C$54*'High Level Dashboard'!$D$15*
(IFERROR(-PMT('High Level Dashboard'!$D$16,'High Level Dashboard'!$D$18+1,
SUMIFS('High Level Dashboard'!$B$112:$AV$112,'High Level Dashboard'!$B$64:$AV$64,"&gt;"&amp;'High Level Dashboard'!B$64-ROUNDDOWN('High Level Dashboard'!$D$18,0),'High Level Dashboard'!$B$64:$AV$64,"&lt;="&amp;'High Level Dashboard'!B$64)),"")+
IFERROR(-PMT('High Level Dashboard'!$D$16, 'High Level Dashboard'!$D$18+1, SUMIF('High Level Dashboard'!$B$64:$AV$64,ROUNDDOWN('High Level Dashboard'!B$64-'High Level Dashboard'!$D$18,0)+1,'High Level Dashboard'!$B$112:$AV$112)* (('High Level Dashboard'!$D$18-ROUNDDOWN('High Level Dashboard'!$D$18,0)))),"")
)</f>
        <v>10.021312261338942</v>
      </c>
      <c r="D113" s="434">
        <f ca="1">'High Level Dashboard'!$C$54*'High Level Dashboard'!$D$15*
(IFERROR(-PMT('High Level Dashboard'!$D$16,'High Level Dashboard'!$D$18+1,
SUMIFS('High Level Dashboard'!$B$112:$AV$112,'High Level Dashboard'!$B$64:$AV$64,"&gt;"&amp;'High Level Dashboard'!C$64-ROUNDDOWN('High Level Dashboard'!$D$18,0),'High Level Dashboard'!$B$64:$AV$64,"&lt;="&amp;'High Level Dashboard'!C$64)),"")+
IFERROR(-PMT('High Level Dashboard'!$D$16, 'High Level Dashboard'!$D$18+1, SUMIF('High Level Dashboard'!$B$64:$AV$64,ROUNDDOWN('High Level Dashboard'!C$64-'High Level Dashboard'!$D$18,0)+1,'High Level Dashboard'!$B$112:$AV$112)* (('High Level Dashboard'!$D$18-ROUNDDOWN('High Level Dashboard'!$D$18,0)))),"")
)</f>
        <v>26.253000420044398</v>
      </c>
      <c r="E113" s="434">
        <f ca="1">'High Level Dashboard'!$C$54*'High Level Dashboard'!$D$15*
(IFERROR(-PMT('High Level Dashboard'!$D$16,'High Level Dashboard'!$D$18+1,
SUMIFS('High Level Dashboard'!$B$112:$AV$112,'High Level Dashboard'!$B$64:$AV$64,"&gt;"&amp;'High Level Dashboard'!D$64-ROUNDDOWN('High Level Dashboard'!$D$18,0),'High Level Dashboard'!$B$64:$AV$64,"&lt;="&amp;'High Level Dashboard'!D$64)),"")+
IFERROR(-PMT('High Level Dashboard'!$D$16, 'High Level Dashboard'!$D$18+1, SUMIF('High Level Dashboard'!$B$64:$AV$64,ROUNDDOWN('High Level Dashboard'!D$64-'High Level Dashboard'!$D$18,0)+1,'High Level Dashboard'!$B$112:$AV$112)* (('High Level Dashboard'!$D$18-ROUNDDOWN('High Level Dashboard'!$D$18,0)))),"")
)</f>
        <v>41.912035763882322</v>
      </c>
      <c r="F113" s="434">
        <f ca="1">'High Level Dashboard'!$C$54*'High Level Dashboard'!$D$15*
(IFERROR(-PMT('High Level Dashboard'!$D$16,'High Level Dashboard'!$D$18+1,
SUMIFS('High Level Dashboard'!$B$112:$AV$112,'High Level Dashboard'!$B$64:$AV$64,"&gt;"&amp;'High Level Dashboard'!E$64-ROUNDDOWN('High Level Dashboard'!$D$18,0),'High Level Dashboard'!$B$64:$AV$64,"&lt;="&amp;'High Level Dashboard'!E$64)),"")+
IFERROR(-PMT('High Level Dashboard'!$D$16, 'High Level Dashboard'!$D$18+1, SUMIF('High Level Dashboard'!$B$64:$AV$64,ROUNDDOWN('High Level Dashboard'!E$64-'High Level Dashboard'!$D$18,0)+1,'High Level Dashboard'!$B$112:$AV$112)* (('High Level Dashboard'!$D$18-ROUNDDOWN('High Level Dashboard'!$D$18,0)))),"")
)</f>
        <v>56.187462899556479</v>
      </c>
      <c r="G113" s="434">
        <f ca="1">'High Level Dashboard'!$C$54*'High Level Dashboard'!$D$15*
(IFERROR(-PMT('High Level Dashboard'!$D$16,'High Level Dashboard'!$D$18+1,
SUMIFS('High Level Dashboard'!$B$112:$AV$112,'High Level Dashboard'!$B$64:$AV$64,"&gt;"&amp;'High Level Dashboard'!F$64-ROUNDDOWN('High Level Dashboard'!$D$18,0),'High Level Dashboard'!$B$64:$AV$64,"&lt;="&amp;'High Level Dashboard'!F$64)),"")+
IFERROR(-PMT('High Level Dashboard'!$D$16, 'High Level Dashboard'!$D$18+1, SUMIF('High Level Dashboard'!$B$64:$AV$64,ROUNDDOWN('High Level Dashboard'!F$64-'High Level Dashboard'!$D$18,0)+1,'High Level Dashboard'!$B$112:$AV$112)* (('High Level Dashboard'!$D$18-ROUNDDOWN('High Level Dashboard'!$D$18,0)))),"")
)</f>
        <v>86.00430838294443</v>
      </c>
      <c r="H113" s="434">
        <f ca="1">'High Level Dashboard'!$C$54*'High Level Dashboard'!$D$15*
(IFERROR(-PMT('High Level Dashboard'!$D$16,'High Level Dashboard'!$D$18+1,
SUMIFS('High Level Dashboard'!$B$112:$AV$112,'High Level Dashboard'!$B$64:$AV$64,"&gt;"&amp;'High Level Dashboard'!G$64-ROUNDDOWN('High Level Dashboard'!$D$18,0),'High Level Dashboard'!$B$64:$AV$64,"&lt;="&amp;'High Level Dashboard'!G$64)),"")+
IFERROR(-PMT('High Level Dashboard'!$D$16, 'High Level Dashboard'!$D$18+1, SUMIF('High Level Dashboard'!$B$64:$AV$64,ROUNDDOWN('High Level Dashboard'!G$64-'High Level Dashboard'!$D$18,0)+1,'High Level Dashboard'!$B$112:$AV$112)* (('High Level Dashboard'!$D$18-ROUNDDOWN('High Level Dashboard'!$D$18,0)))),"")
)</f>
        <v>104.6406481187524</v>
      </c>
      <c r="I113" s="434">
        <f ca="1">'High Level Dashboard'!$C$54*'High Level Dashboard'!$D$15*
(IFERROR(-PMT('High Level Dashboard'!$D$16,'High Level Dashboard'!$D$18+1,
SUMIFS('High Level Dashboard'!$B$112:$AV$112,'High Level Dashboard'!$B$64:$AV$64,"&gt;"&amp;'High Level Dashboard'!H$64-ROUNDDOWN('High Level Dashboard'!$D$18,0),'High Level Dashboard'!$B$64:$AV$64,"&lt;="&amp;'High Level Dashboard'!H$64)),"")+
IFERROR(-PMT('High Level Dashboard'!$D$16, 'High Level Dashboard'!$D$18+1, SUMIF('High Level Dashboard'!$B$64:$AV$64,ROUNDDOWN('High Level Dashboard'!H$64-'High Level Dashboard'!$D$18,0)+1,'High Level Dashboard'!$B$112:$AV$112)* (('High Level Dashboard'!$D$18-ROUNDDOWN('High Level Dashboard'!$D$18,0)))),"")
)</f>
        <v>127.68706521500012</v>
      </c>
      <c r="J113" s="434">
        <f ca="1">'High Level Dashboard'!$C$54*'High Level Dashboard'!$D$15*
(IFERROR(-PMT('High Level Dashboard'!$D$16,'High Level Dashboard'!$D$18+1,
SUMIFS('High Level Dashboard'!$B$112:$AV$112,'High Level Dashboard'!$B$64:$AV$64,"&gt;"&amp;'High Level Dashboard'!I$64-ROUNDDOWN('High Level Dashboard'!$D$18,0),'High Level Dashboard'!$B$64:$AV$64,"&lt;="&amp;'High Level Dashboard'!I$64)),"")+
IFERROR(-PMT('High Level Dashboard'!$D$16, 'High Level Dashboard'!$D$18+1, SUMIF('High Level Dashboard'!$B$64:$AV$64,ROUNDDOWN('High Level Dashboard'!I$64-'High Level Dashboard'!$D$18,0)+1,'High Level Dashboard'!$B$112:$AV$112)* (('High Level Dashboard'!$D$18-ROUNDDOWN('High Level Dashboard'!$D$18,0)))),"")
)</f>
        <v>141.69624105289097</v>
      </c>
      <c r="K113" s="434">
        <f ca="1">'High Level Dashboard'!$C$54*'High Level Dashboard'!$D$15*
(IFERROR(-PMT('High Level Dashboard'!$D$16,'High Level Dashboard'!$D$18+1,
SUMIFS('High Level Dashboard'!$B$112:$AV$112,'High Level Dashboard'!$B$64:$AV$64,"&gt;"&amp;'High Level Dashboard'!J$64-ROUNDDOWN('High Level Dashboard'!$D$18,0),'High Level Dashboard'!$B$64:$AV$64,"&lt;="&amp;'High Level Dashboard'!J$64)),"")+
IFERROR(-PMT('High Level Dashboard'!$D$16, 'High Level Dashboard'!$D$18+1, SUMIF('High Level Dashboard'!$B$64:$AV$64,ROUNDDOWN('High Level Dashboard'!J$64-'High Level Dashboard'!$D$18,0)+1,'High Level Dashboard'!$B$112:$AV$112)* (('High Level Dashboard'!$D$18-ROUNDDOWN('High Level Dashboard'!$D$18,0)))),"")
)</f>
        <v>156.03950852826651</v>
      </c>
      <c r="L113" s="434">
        <f ca="1">'High Level Dashboard'!$C$54*'High Level Dashboard'!$D$15*
(IFERROR(-PMT('High Level Dashboard'!$D$16,'High Level Dashboard'!$D$18+1,
SUMIFS('High Level Dashboard'!$B$112:$AV$112,'High Level Dashboard'!$B$64:$AV$64,"&gt;"&amp;'High Level Dashboard'!K$64-ROUNDDOWN('High Level Dashboard'!$D$18,0),'High Level Dashboard'!$B$64:$AV$64,"&lt;="&amp;'High Level Dashboard'!K$64)),"")+
IFERROR(-PMT('High Level Dashboard'!$D$16, 'High Level Dashboard'!$D$18+1, SUMIF('High Level Dashboard'!$B$64:$AV$64,ROUNDDOWN('High Level Dashboard'!K$64-'High Level Dashboard'!$D$18,0)+1,'High Level Dashboard'!$B$112:$AV$112)* (('High Level Dashboard'!$D$18-ROUNDDOWN('High Level Dashboard'!$D$18,0)))),"")
)</f>
        <v>180.21846702840998</v>
      </c>
      <c r="M113" s="434">
        <f ca="1">'High Level Dashboard'!$C$54*'High Level Dashboard'!$D$15*
(IFERROR(-PMT('High Level Dashboard'!$D$16,'High Level Dashboard'!$D$18+1,
SUMIFS('High Level Dashboard'!$B$112:$AV$112,'High Level Dashboard'!$B$64:$AV$64,"&gt;"&amp;'High Level Dashboard'!L$64-ROUNDDOWN('High Level Dashboard'!$D$18,0),'High Level Dashboard'!$B$64:$AV$64,"&lt;="&amp;'High Level Dashboard'!L$64)),"")+
IFERROR(-PMT('High Level Dashboard'!$D$16, 'High Level Dashboard'!$D$18+1, SUMIF('High Level Dashboard'!$B$64:$AV$64,ROUNDDOWN('High Level Dashboard'!L$64-'High Level Dashboard'!$D$18,0)+1,'High Level Dashboard'!$B$112:$AV$112)* (('High Level Dashboard'!$D$18-ROUNDDOWN('High Level Dashboard'!$D$18,0)))),"")
)</f>
        <v>198.01938827408901</v>
      </c>
      <c r="N113" s="434">
        <f ca="1">'High Level Dashboard'!$C$54*'High Level Dashboard'!$D$15*
(IFERROR(-PMT('High Level Dashboard'!$D$16,'High Level Dashboard'!$D$18+1,
SUMIFS('High Level Dashboard'!$B$112:$AV$112,'High Level Dashboard'!$B$64:$AV$64,"&gt;"&amp;'High Level Dashboard'!M$64-ROUNDDOWN('High Level Dashboard'!$D$18,0),'High Level Dashboard'!$B$64:$AV$64,"&lt;="&amp;'High Level Dashboard'!M$64)),"")+
IFERROR(-PMT('High Level Dashboard'!$D$16, 'High Level Dashboard'!$D$18+1, SUMIF('High Level Dashboard'!$B$64:$AV$64,ROUNDDOWN('High Level Dashboard'!M$64-'High Level Dashboard'!$D$18,0)+1,'High Level Dashboard'!$B$112:$AV$112)* (('High Level Dashboard'!$D$18-ROUNDDOWN('High Level Dashboard'!$D$18,0)))),"")
)</f>
        <v>223.92688774363924</v>
      </c>
      <c r="O113" s="434">
        <f ca="1">'High Level Dashboard'!$C$54*'High Level Dashboard'!$D$15*
(IFERROR(-PMT('High Level Dashboard'!$D$16,'High Level Dashboard'!$D$18+1,
SUMIFS('High Level Dashboard'!$B$112:$AV$112,'High Level Dashboard'!$B$64:$AV$64,"&gt;"&amp;'High Level Dashboard'!N$64-ROUNDDOWN('High Level Dashboard'!$D$18,0),'High Level Dashboard'!$B$64:$AV$64,"&lt;="&amp;'High Level Dashboard'!N$64)),"")+
IFERROR(-PMT('High Level Dashboard'!$D$16, 'High Level Dashboard'!$D$18+1, SUMIF('High Level Dashboard'!$B$64:$AV$64,ROUNDDOWN('High Level Dashboard'!N$64-'High Level Dashboard'!$D$18,0)+1,'High Level Dashboard'!$B$112:$AV$112)* (('High Level Dashboard'!$D$18-ROUNDDOWN('High Level Dashboard'!$D$18,0)))),"")
)</f>
        <v>249.20617568782015</v>
      </c>
      <c r="P113" s="434">
        <f ca="1">'High Level Dashboard'!$C$54*'High Level Dashboard'!$D$15*
(IFERROR(-PMT('High Level Dashboard'!$D$16,'High Level Dashboard'!$D$18+1,
SUMIFS('High Level Dashboard'!$B$112:$AV$112,'High Level Dashboard'!$B$64:$AV$64,"&gt;"&amp;'High Level Dashboard'!O$64-ROUNDDOWN('High Level Dashboard'!$D$18,0),'High Level Dashboard'!$B$64:$AV$64,"&lt;="&amp;'High Level Dashboard'!O$64)),"")+
IFERROR(-PMT('High Level Dashboard'!$D$16, 'High Level Dashboard'!$D$18+1, SUMIF('High Level Dashboard'!$B$64:$AV$64,ROUNDDOWN('High Level Dashboard'!O$64-'High Level Dashboard'!$D$18,0)+1,'High Level Dashboard'!$B$112:$AV$112)* (('High Level Dashboard'!$D$18-ROUNDDOWN('High Level Dashboard'!$D$18,0)))),"")
)</f>
        <v>273.5790324121848</v>
      </c>
      <c r="Q113" s="434">
        <f ca="1">'High Level Dashboard'!$C$54*'High Level Dashboard'!$D$15*
(IFERROR(-PMT('High Level Dashboard'!$D$16,'High Level Dashboard'!$D$18+1,
SUMIFS('High Level Dashboard'!$B$112:$AV$112,'High Level Dashboard'!$B$64:$AV$64,"&gt;"&amp;'High Level Dashboard'!P$64-ROUNDDOWN('High Level Dashboard'!$D$18,0),'High Level Dashboard'!$B$64:$AV$64,"&lt;="&amp;'High Level Dashboard'!P$64)),"")+
IFERROR(-PMT('High Level Dashboard'!$D$16, 'High Level Dashboard'!$D$18+1, SUMIF('High Level Dashboard'!$B$64:$AV$64,ROUNDDOWN('High Level Dashboard'!P$64-'High Level Dashboard'!$D$18,0)+1,'High Level Dashboard'!$B$112:$AV$112)* (('High Level Dashboard'!$D$18-ROUNDDOWN('High Level Dashboard'!$D$18,0)))),"")
)</f>
        <v>305.61609196371091</v>
      </c>
      <c r="R113" s="434">
        <f ca="1">'High Level Dashboard'!$C$54*'High Level Dashboard'!$D$15*
(IFERROR(-PMT('High Level Dashboard'!$D$16,'High Level Dashboard'!$D$18+1,
SUMIFS('High Level Dashboard'!$B$112:$AV$112,'High Level Dashboard'!$B$64:$AV$64,"&gt;"&amp;'High Level Dashboard'!Q$64-ROUNDDOWN('High Level Dashboard'!$D$18,0),'High Level Dashboard'!$B$64:$AV$64,"&lt;="&amp;'High Level Dashboard'!Q$64)),"")+
IFERROR(-PMT('High Level Dashboard'!$D$16, 'High Level Dashboard'!$D$18+1, SUMIF('High Level Dashboard'!$B$64:$AV$64,ROUNDDOWN('High Level Dashboard'!Q$64-'High Level Dashboard'!$D$18,0)+1,'High Level Dashboard'!$B$112:$AV$112)* (('High Level Dashboard'!$D$18-ROUNDDOWN('High Level Dashboard'!$D$18,0)))),"")
)</f>
        <v>345.57511558156256</v>
      </c>
      <c r="S113" s="434">
        <f ca="1">'High Level Dashboard'!$C$54*'High Level Dashboard'!$D$15*
(IFERROR(-PMT('High Level Dashboard'!$D$16,'High Level Dashboard'!$D$18+1,
SUMIFS('High Level Dashboard'!$B$112:$AV$112,'High Level Dashboard'!$B$64:$AV$64,"&gt;"&amp;'High Level Dashboard'!R$64-ROUNDDOWN('High Level Dashboard'!$D$18,0),'High Level Dashboard'!$B$64:$AV$64,"&lt;="&amp;'High Level Dashboard'!R$64)),"")+
IFERROR(-PMT('High Level Dashboard'!$D$16, 'High Level Dashboard'!$D$18+1, SUMIF('High Level Dashboard'!$B$64:$AV$64,ROUNDDOWN('High Level Dashboard'!R$64-'High Level Dashboard'!$D$18,0)+1,'High Level Dashboard'!$B$112:$AV$112)* (('High Level Dashboard'!$D$18-ROUNDDOWN('High Level Dashboard'!$D$18,0)))),"")
)</f>
        <v>381.49287493884361</v>
      </c>
      <c r="T113" s="434">
        <f ca="1">'High Level Dashboard'!$C$54*'High Level Dashboard'!$D$15*
(IFERROR(-PMT('High Level Dashboard'!$D$16,'High Level Dashboard'!$D$18+1,
SUMIFS('High Level Dashboard'!$B$112:$AV$112,'High Level Dashboard'!$B$64:$AV$64,"&gt;"&amp;'High Level Dashboard'!S$64-ROUNDDOWN('High Level Dashboard'!$D$18,0),'High Level Dashboard'!$B$64:$AV$64,"&lt;="&amp;'High Level Dashboard'!S$64)),"")+
IFERROR(-PMT('High Level Dashboard'!$D$16, 'High Level Dashboard'!$D$18+1, SUMIF('High Level Dashboard'!$B$64:$AV$64,ROUNDDOWN('High Level Dashboard'!S$64-'High Level Dashboard'!$D$18,0)+1,'High Level Dashboard'!$B$112:$AV$112)* (('High Level Dashboard'!$D$18-ROUNDDOWN('High Level Dashboard'!$D$18,0)))),"")
)</f>
        <v>405.68670469996647</v>
      </c>
      <c r="U113" s="434">
        <f ca="1">'High Level Dashboard'!$C$54*'High Level Dashboard'!$D$15*
(IFERROR(-PMT('High Level Dashboard'!$D$16,'High Level Dashboard'!$D$18+1,
SUMIFS('High Level Dashboard'!$B$112:$AV$112,'High Level Dashboard'!$B$64:$AV$64,"&gt;"&amp;'High Level Dashboard'!T$64-ROUNDDOWN('High Level Dashboard'!$D$18,0),'High Level Dashboard'!$B$64:$AV$64,"&lt;="&amp;'High Level Dashboard'!T$64)),"")+
IFERROR(-PMT('High Level Dashboard'!$D$16, 'High Level Dashboard'!$D$18+1, SUMIF('High Level Dashboard'!$B$64:$AV$64,ROUNDDOWN('High Level Dashboard'!T$64-'High Level Dashboard'!$D$18,0)+1,'High Level Dashboard'!$B$112:$AV$112)* (('High Level Dashboard'!$D$18-ROUNDDOWN('High Level Dashboard'!$D$18,0)))),"")
)</f>
        <v>430.44221503160207</v>
      </c>
      <c r="V113" s="434">
        <f ca="1">'High Level Dashboard'!$C$54*'High Level Dashboard'!$D$15*
(IFERROR(-PMT('High Level Dashboard'!$D$16,'High Level Dashboard'!$D$18+1,
SUMIFS('High Level Dashboard'!$B$112:$AV$112,'High Level Dashboard'!$B$64:$AV$64,"&gt;"&amp;'High Level Dashboard'!U$64-ROUNDDOWN('High Level Dashboard'!$D$18,0),'High Level Dashboard'!$B$64:$AV$64,"&lt;="&amp;'High Level Dashboard'!U$64)),"")+
IFERROR(-PMT('High Level Dashboard'!$D$16, 'High Level Dashboard'!$D$18+1, SUMIF('High Level Dashboard'!$B$64:$AV$64,ROUNDDOWN('High Level Dashboard'!U$64-'High Level Dashboard'!$D$18,0)+1,'High Level Dashboard'!$B$112:$AV$112)* (('High Level Dashboard'!$D$18-ROUNDDOWN('High Level Dashboard'!$D$18,0)))),"")
)</f>
        <v>457.09835300987203</v>
      </c>
      <c r="W113" s="434">
        <f ca="1">'High Level Dashboard'!$C$54*'High Level Dashboard'!$D$15*
(IFERROR(-PMT('High Level Dashboard'!$D$16,'High Level Dashboard'!$D$18+1,
SUMIFS('High Level Dashboard'!$B$112:$AV$112,'High Level Dashboard'!$B$64:$AV$64,"&gt;"&amp;'High Level Dashboard'!V$64-ROUNDDOWN('High Level Dashboard'!$D$18,0),'High Level Dashboard'!$B$64:$AV$64,"&lt;="&amp;'High Level Dashboard'!V$64)),"")+
IFERROR(-PMT('High Level Dashboard'!$D$16, 'High Level Dashboard'!$D$18+1, SUMIF('High Level Dashboard'!$B$64:$AV$64,ROUNDDOWN('High Level Dashboard'!V$64-'High Level Dashboard'!$D$18,0)+1,'High Level Dashboard'!$B$112:$AV$112)* (('High Level Dashboard'!$D$18-ROUNDDOWN('High Level Dashboard'!$D$18,0)))),"")
)</f>
        <v>485.78171374951762</v>
      </c>
      <c r="X113" s="434">
        <f ca="1">'High Level Dashboard'!$C$54*'High Level Dashboard'!$D$15*
(IFERROR(-PMT('High Level Dashboard'!$D$16,'High Level Dashboard'!$D$18+1,
SUMIFS('High Level Dashboard'!$B$112:$AV$112,'High Level Dashboard'!$B$64:$AV$64,"&gt;"&amp;'High Level Dashboard'!W$64-ROUNDDOWN('High Level Dashboard'!$D$18,0),'High Level Dashboard'!$B$64:$AV$64,"&lt;="&amp;'High Level Dashboard'!W$64)),"")+
IFERROR(-PMT('High Level Dashboard'!$D$16, 'High Level Dashboard'!$D$18+1, SUMIF('High Level Dashboard'!$B$64:$AV$64,ROUNDDOWN('High Level Dashboard'!W$64-'High Level Dashboard'!$D$18,0)+1,'High Level Dashboard'!$B$112:$AV$112)* (('High Level Dashboard'!$D$18-ROUNDDOWN('High Level Dashboard'!$D$18,0)))),"")
)</f>
        <v>516.51379738611604</v>
      </c>
      <c r="Y113" s="434">
        <f ca="1">'High Level Dashboard'!$C$54*'High Level Dashboard'!$D$15*
(IFERROR(-PMT('High Level Dashboard'!$D$16,'High Level Dashboard'!$D$18+1,
SUMIFS('High Level Dashboard'!$B$112:$AV$112,'High Level Dashboard'!$B$64:$AV$64,"&gt;"&amp;'High Level Dashboard'!X$64-ROUNDDOWN('High Level Dashboard'!$D$18,0),'High Level Dashboard'!$B$64:$AV$64,"&lt;="&amp;'High Level Dashboard'!X$64)),"")+
IFERROR(-PMT('High Level Dashboard'!$D$16, 'High Level Dashboard'!$D$18+1, SUMIF('High Level Dashboard'!$B$64:$AV$64,ROUNDDOWN('High Level Dashboard'!X$64-'High Level Dashboard'!$D$18,0)+1,'High Level Dashboard'!$B$112:$AV$112)* (('High Level Dashboard'!$D$18-ROUNDDOWN('High Level Dashboard'!$D$18,0)))),"")
)</f>
        <v>550.11839820469788</v>
      </c>
      <c r="Z113" s="434">
        <f ca="1">'High Level Dashboard'!$C$54*'High Level Dashboard'!$D$15*
(IFERROR(-PMT('High Level Dashboard'!$D$16,'High Level Dashboard'!$D$18+1,
SUMIFS('High Level Dashboard'!$B$112:$AV$112,'High Level Dashboard'!$B$64:$AV$64,"&gt;"&amp;'High Level Dashboard'!Y$64-ROUNDDOWN('High Level Dashboard'!$D$18,0),'High Level Dashboard'!$B$64:$AV$64,"&lt;="&amp;'High Level Dashboard'!Y$64)),"")+
IFERROR(-PMT('High Level Dashboard'!$D$16, 'High Level Dashboard'!$D$18+1, SUMIF('High Level Dashboard'!$B$64:$AV$64,ROUNDDOWN('High Level Dashboard'!Y$64-'High Level Dashboard'!$D$18,0)+1,'High Level Dashboard'!$B$112:$AV$112)* (('High Level Dashboard'!$D$18-ROUNDDOWN('High Level Dashboard'!$D$18,0)))),"")
)</f>
        <v>588.81641501429385</v>
      </c>
      <c r="AA113" s="434">
        <f ca="1">'High Level Dashboard'!$C$54*'High Level Dashboard'!$D$15*
(IFERROR(-PMT('High Level Dashboard'!$D$16,'High Level Dashboard'!$D$18+1,
SUMIFS('High Level Dashboard'!$B$112:$AV$112,'High Level Dashboard'!$B$64:$AV$64,"&gt;"&amp;'High Level Dashboard'!Z$64-ROUNDDOWN('High Level Dashboard'!$D$18,0),'High Level Dashboard'!$B$64:$AV$64,"&lt;="&amp;'High Level Dashboard'!Z$64)),"")+
IFERROR(-PMT('High Level Dashboard'!$D$16, 'High Level Dashboard'!$D$18+1, SUMIF('High Level Dashboard'!$B$64:$AV$64,ROUNDDOWN('High Level Dashboard'!Z$64-'High Level Dashboard'!$D$18,0)+1,'High Level Dashboard'!$B$112:$AV$112)* (('High Level Dashboard'!$D$18-ROUNDDOWN('High Level Dashboard'!$D$18,0)))),"")
)</f>
        <v>628.85183641188382</v>
      </c>
      <c r="AB113" s="434">
        <f ca="1">'High Level Dashboard'!$C$54*'High Level Dashboard'!$D$15*
(IFERROR(-PMT('High Level Dashboard'!$D$16,'High Level Dashboard'!$D$18+1,
SUMIFS('High Level Dashboard'!$B$112:$AV$112,'High Level Dashboard'!$B$64:$AV$64,"&gt;"&amp;'High Level Dashboard'!AA$64-ROUNDDOWN('High Level Dashboard'!$D$18,0),'High Level Dashboard'!$B$64:$AV$64,"&lt;="&amp;'High Level Dashboard'!AA$64)),"")+
IFERROR(-PMT('High Level Dashboard'!$D$16, 'High Level Dashboard'!$D$18+1, SUMIF('High Level Dashboard'!$B$64:$AV$64,ROUNDDOWN('High Level Dashboard'!AA$64-'High Level Dashboard'!$D$18,0)+1,'High Level Dashboard'!$B$112:$AV$112)* (('High Level Dashboard'!$D$18-ROUNDDOWN('High Level Dashboard'!$D$18,0)))),"")
)</f>
        <v>674.64027596086828</v>
      </c>
      <c r="AC113" s="434">
        <f ca="1">'High Level Dashboard'!$C$54*'High Level Dashboard'!$D$15*
(IFERROR(-PMT('High Level Dashboard'!$D$16,'High Level Dashboard'!$D$18+1,
SUMIFS('High Level Dashboard'!$B$112:$AV$112,'High Level Dashboard'!$B$64:$AV$64,"&gt;"&amp;'High Level Dashboard'!AB$64-ROUNDDOWN('High Level Dashboard'!$D$18,0),'High Level Dashboard'!$B$64:$AV$64,"&lt;="&amp;'High Level Dashboard'!AB$64)),"")+
IFERROR(-PMT('High Level Dashboard'!$D$16, 'High Level Dashboard'!$D$18+1, SUMIF('High Level Dashboard'!$B$64:$AV$64,ROUNDDOWN('High Level Dashboard'!AB$64-'High Level Dashboard'!$D$18,0)+1,'High Level Dashboard'!$B$112:$AV$112)* (('High Level Dashboard'!$D$18-ROUNDDOWN('High Level Dashboard'!$D$18,0)))),"")
)</f>
        <v>724.98593931740618</v>
      </c>
      <c r="AD113" s="434">
        <f ca="1">'High Level Dashboard'!$C$54*'High Level Dashboard'!$D$15*
(IFERROR(-PMT('High Level Dashboard'!$D$16,'High Level Dashboard'!$D$18+1,
SUMIFS('High Level Dashboard'!$B$112:$AV$112,'High Level Dashboard'!$B$64:$AV$64,"&gt;"&amp;'High Level Dashboard'!AC$64-ROUNDDOWN('High Level Dashboard'!$D$18,0),'High Level Dashboard'!$B$64:$AV$64,"&lt;="&amp;'High Level Dashboard'!AC$64)),"")+
IFERROR(-PMT('High Level Dashboard'!$D$16, 'High Level Dashboard'!$D$18+1, SUMIF('High Level Dashboard'!$B$64:$AV$64,ROUNDDOWN('High Level Dashboard'!AC$64-'High Level Dashboard'!$D$18,0)+1,'High Level Dashboard'!$B$112:$AV$112)* (('High Level Dashboard'!$D$18-ROUNDDOWN('High Level Dashboard'!$D$18,0)))),"")
)</f>
        <v>764.43337589594228</v>
      </c>
      <c r="AE113" s="434">
        <f ca="1">'High Level Dashboard'!$C$54*'High Level Dashboard'!$D$15*
(IFERROR(-PMT('High Level Dashboard'!$D$16,'High Level Dashboard'!$D$18+1,
SUMIFS('High Level Dashboard'!$B$112:$AV$112,'High Level Dashboard'!$B$64:$AV$64,"&gt;"&amp;'High Level Dashboard'!AD$64-ROUNDDOWN('High Level Dashboard'!$D$18,0),'High Level Dashboard'!$B$64:$AV$64,"&lt;="&amp;'High Level Dashboard'!AD$64)),"")+
IFERROR(-PMT('High Level Dashboard'!$D$16, 'High Level Dashboard'!$D$18+1, SUMIF('High Level Dashboard'!$B$64:$AV$64,ROUNDDOWN('High Level Dashboard'!AD$64-'High Level Dashboard'!$D$18,0)+1,'High Level Dashboard'!$B$112:$AV$112)* (('High Level Dashboard'!$D$18-ROUNDDOWN('High Level Dashboard'!$D$18,0)))),"")
)</f>
        <v>801.34612022473948</v>
      </c>
      <c r="AF113" s="434">
        <f ca="1">'High Level Dashboard'!$C$54*'High Level Dashboard'!$D$15*
(IFERROR(-PMT('High Level Dashboard'!$D$16,'High Level Dashboard'!$D$18+1,
SUMIFS('High Level Dashboard'!$B$112:$AV$112,'High Level Dashboard'!$B$64:$AV$64,"&gt;"&amp;'High Level Dashboard'!AE$64-ROUNDDOWN('High Level Dashboard'!$D$18,0),'High Level Dashboard'!$B$64:$AV$64,"&lt;="&amp;'High Level Dashboard'!AE$64)),"")+
IFERROR(-PMT('High Level Dashboard'!$D$16, 'High Level Dashboard'!$D$18+1, SUMIF('High Level Dashboard'!$B$64:$AV$64,ROUNDDOWN('High Level Dashboard'!AE$64-'High Level Dashboard'!$D$18,0)+1,'High Level Dashboard'!$B$112:$AV$112)* (('High Level Dashboard'!$D$18-ROUNDDOWN('High Level Dashboard'!$D$18,0)))),"")
)</f>
        <v>852.40810086297506</v>
      </c>
      <c r="AG113" s="434">
        <f ca="1">'High Level Dashboard'!$C$54*'High Level Dashboard'!$D$15*
(IFERROR(-PMT('High Level Dashboard'!$D$16,'High Level Dashboard'!$D$18+1,
SUMIFS('High Level Dashboard'!$B$112:$AV$112,'High Level Dashboard'!$B$64:$AV$64,"&gt;"&amp;'High Level Dashboard'!AF$64-ROUNDDOWN('High Level Dashboard'!$D$18,0),'High Level Dashboard'!$B$64:$AV$64,"&lt;="&amp;'High Level Dashboard'!AF$64)),"")+
IFERROR(-PMT('High Level Dashboard'!$D$16, 'High Level Dashboard'!$D$18+1, SUMIF('High Level Dashboard'!$B$64:$AV$64,ROUNDDOWN('High Level Dashboard'!AF$64-'High Level Dashboard'!$D$18,0)+1,'High Level Dashboard'!$B$112:$AV$112)* (('High Level Dashboard'!$D$18-ROUNDDOWN('High Level Dashboard'!$D$18,0)))),"")
)</f>
        <v>888.01526284408601</v>
      </c>
      <c r="AH113" s="434">
        <f ca="1">'High Level Dashboard'!$C$54*'High Level Dashboard'!$D$15*
(IFERROR(-PMT('High Level Dashboard'!$D$16,'High Level Dashboard'!$D$18+1,
SUMIFS('High Level Dashboard'!$B$112:$AV$112,'High Level Dashboard'!$B$64:$AV$64,"&gt;"&amp;'High Level Dashboard'!AG$64-ROUNDDOWN('High Level Dashboard'!$D$18,0),'High Level Dashboard'!$B$64:$AV$64,"&lt;="&amp;'High Level Dashboard'!AG$64)),"")+
IFERROR(-PMT('High Level Dashboard'!$D$16, 'High Level Dashboard'!$D$18+1, SUMIF('High Level Dashboard'!$B$64:$AV$64,ROUNDDOWN('High Level Dashboard'!AG$64-'High Level Dashboard'!$D$18,0)+1,'High Level Dashboard'!$B$112:$AV$112)* (('High Level Dashboard'!$D$18-ROUNDDOWN('High Level Dashboard'!$D$18,0)))),"")
)</f>
        <v>930.62824199973386</v>
      </c>
      <c r="AI113" s="434">
        <f ca="1">'High Level Dashboard'!$C$54*'High Level Dashboard'!$D$15*
(IFERROR(-PMT('High Level Dashboard'!$D$16,'High Level Dashboard'!$D$18+1,
SUMIFS('High Level Dashboard'!$B$112:$AV$112,'High Level Dashboard'!$B$64:$AV$64,"&gt;"&amp;'High Level Dashboard'!AH$64-ROUNDDOWN('High Level Dashboard'!$D$18,0),'High Level Dashboard'!$B$64:$AV$64,"&lt;="&amp;'High Level Dashboard'!AH$64)),"")+
IFERROR(-PMT('High Level Dashboard'!$D$16, 'High Level Dashboard'!$D$18+1, SUMIF('High Level Dashboard'!$B$64:$AV$64,ROUNDDOWN('High Level Dashboard'!AH$64-'High Level Dashboard'!$D$18,0)+1,'High Level Dashboard'!$B$112:$AV$112)* (('High Level Dashboard'!$D$18-ROUNDDOWN('High Level Dashboard'!$D$18,0)))),"")
)</f>
        <v>964.99720851413031</v>
      </c>
      <c r="AJ113" s="434">
        <f ca="1">'High Level Dashboard'!$C$54*'High Level Dashboard'!$D$15*
(IFERROR(-PMT('High Level Dashboard'!$D$16,'High Level Dashboard'!$D$18+1,
SUMIFS('High Level Dashboard'!$B$112:$AV$112,'High Level Dashboard'!$B$64:$AV$64,"&gt;"&amp;'High Level Dashboard'!AI$64-ROUNDDOWN('High Level Dashboard'!$D$18,0),'High Level Dashboard'!$B$64:$AV$64,"&lt;="&amp;'High Level Dashboard'!AI$64)),"")+
IFERROR(-PMT('High Level Dashboard'!$D$16, 'High Level Dashboard'!$D$18+1, SUMIF('High Level Dashboard'!$B$64:$AV$64,ROUNDDOWN('High Level Dashboard'!AI$64-'High Level Dashboard'!$D$18,0)+1,'High Level Dashboard'!$B$112:$AV$112)* (('High Level Dashboard'!$D$18-ROUNDDOWN('High Level Dashboard'!$D$18,0)))),"")
)</f>
        <v>1000.8604380933677</v>
      </c>
      <c r="AK113" s="434">
        <f ca="1">'High Level Dashboard'!$C$54*'High Level Dashboard'!$D$15*
(IFERROR(-PMT('High Level Dashboard'!$D$16,'High Level Dashboard'!$D$18+1,
SUMIFS('High Level Dashboard'!$B$112:$AV$112,'High Level Dashboard'!$B$64:$AV$64,"&gt;"&amp;'High Level Dashboard'!AJ$64-ROUNDDOWN('High Level Dashboard'!$D$18,0),'High Level Dashboard'!$B$64:$AV$64,"&lt;="&amp;'High Level Dashboard'!AJ$64)),"")+
IFERROR(-PMT('High Level Dashboard'!$D$16, 'High Level Dashboard'!$D$18+1, SUMIF('High Level Dashboard'!$B$64:$AV$64,ROUNDDOWN('High Level Dashboard'!AJ$64-'High Level Dashboard'!$D$18,0)+1,'High Level Dashboard'!$B$112:$AV$112)* (('High Level Dashboard'!$D$18-ROUNDDOWN('High Level Dashboard'!$D$18,0)))),"")
)</f>
        <v>1034.8430815035142</v>
      </c>
      <c r="AL113" s="434">
        <f ca="1">'High Level Dashboard'!$C$54*'High Level Dashboard'!$D$15*
(IFERROR(-PMT('High Level Dashboard'!$D$16,'High Level Dashboard'!$D$18+1,
SUMIFS('High Level Dashboard'!$B$112:$AV$112,'High Level Dashboard'!$B$64:$AV$64,"&gt;"&amp;'High Level Dashboard'!AK$64-ROUNDDOWN('High Level Dashboard'!$D$18,0),'High Level Dashboard'!$B$64:$AV$64,"&lt;="&amp;'High Level Dashboard'!AK$64)),"")+
IFERROR(-PMT('High Level Dashboard'!$D$16, 'High Level Dashboard'!$D$18+1, SUMIF('High Level Dashboard'!$B$64:$AV$64,ROUNDDOWN('High Level Dashboard'!AK$64-'High Level Dashboard'!$D$18,0)+1,'High Level Dashboard'!$B$112:$AV$112)* (('High Level Dashboard'!$D$18-ROUNDDOWN('High Level Dashboard'!$D$18,0)))),"")
)</f>
        <v>1055.8179533237274</v>
      </c>
      <c r="AM113" s="434">
        <f ca="1">'High Level Dashboard'!$C$54*'High Level Dashboard'!$D$15*
(IFERROR(-PMT('High Level Dashboard'!$D$16,'High Level Dashboard'!$D$18+1,
SUMIFS('High Level Dashboard'!$B$112:$AV$112,'High Level Dashboard'!$B$64:$AV$64,"&gt;"&amp;'High Level Dashboard'!AL$64-ROUNDDOWN('High Level Dashboard'!$D$18,0),'High Level Dashboard'!$B$64:$AV$64,"&lt;="&amp;'High Level Dashboard'!AL$64)),"")+
IFERROR(-PMT('High Level Dashboard'!$D$16, 'High Level Dashboard'!$D$18+1, SUMIF('High Level Dashboard'!$B$64:$AV$64,ROUNDDOWN('High Level Dashboard'!AL$64-'High Level Dashboard'!$D$18,0)+1,'High Level Dashboard'!$B$112:$AV$112)* (('High Level Dashboard'!$D$18-ROUNDDOWN('High Level Dashboard'!$D$18,0)))),"")
)</f>
        <v>1085.9097697963725</v>
      </c>
      <c r="AN113" s="434">
        <f ca="1">'High Level Dashboard'!$C$54*'High Level Dashboard'!$D$15*
(IFERROR(-PMT('High Level Dashboard'!$D$16,'High Level Dashboard'!$D$18+1,
SUMIFS('High Level Dashboard'!$B$112:$AV$112,'High Level Dashboard'!$B$64:$AV$64,"&gt;"&amp;'High Level Dashboard'!AM$64-ROUNDDOWN('High Level Dashboard'!$D$18,0),'High Level Dashboard'!$B$64:$AV$64,"&lt;="&amp;'High Level Dashboard'!AM$64)),"")+
IFERROR(-PMT('High Level Dashboard'!$D$16, 'High Level Dashboard'!$D$18+1, SUMIF('High Level Dashboard'!$B$64:$AV$64,ROUNDDOWN('High Level Dashboard'!AM$64-'High Level Dashboard'!$D$18,0)+1,'High Level Dashboard'!$B$112:$AV$112)* (('High Level Dashboard'!$D$18-ROUNDDOWN('High Level Dashboard'!$D$18,0)))),"")
)</f>
        <v>1114.4746642746766</v>
      </c>
      <c r="AO113" s="434">
        <f ca="1">'High Level Dashboard'!$C$54*'High Level Dashboard'!$D$15*
(IFERROR(-PMT('High Level Dashboard'!$D$16,'High Level Dashboard'!$D$18+1,
SUMIFS('High Level Dashboard'!$B$112:$AV$112,'High Level Dashboard'!$B$64:$AV$64,"&gt;"&amp;'High Level Dashboard'!AN$64-ROUNDDOWN('High Level Dashboard'!$D$18,0),'High Level Dashboard'!$B$64:$AV$64,"&lt;="&amp;'High Level Dashboard'!AN$64)),"")+
IFERROR(-PMT('High Level Dashboard'!$D$16, 'High Level Dashboard'!$D$18+1, SUMIF('High Level Dashboard'!$B$64:$AV$64,ROUNDDOWN('High Level Dashboard'!AN$64-'High Level Dashboard'!$D$18,0)+1,'High Level Dashboard'!$B$112:$AV$112)* (('High Level Dashboard'!$D$18-ROUNDDOWN('High Level Dashboard'!$D$18,0)))),"")
)</f>
        <v>1126.8816484769488</v>
      </c>
      <c r="AP113" s="434">
        <f ca="1">'High Level Dashboard'!$C$54*'High Level Dashboard'!$D$15*
(IFERROR(-PMT('High Level Dashboard'!$D$16,'High Level Dashboard'!$D$18+1,
SUMIFS('High Level Dashboard'!$B$112:$AV$112,'High Level Dashboard'!$B$64:$AV$64,"&gt;"&amp;'High Level Dashboard'!AO$64-ROUNDDOWN('High Level Dashboard'!$D$18,0),'High Level Dashboard'!$B$64:$AV$64,"&lt;="&amp;'High Level Dashboard'!AO$64)),"")+
IFERROR(-PMT('High Level Dashboard'!$D$16, 'High Level Dashboard'!$D$18+1, SUMIF('High Level Dashboard'!$B$64:$AV$64,ROUNDDOWN('High Level Dashboard'!AO$64-'High Level Dashboard'!$D$18,0)+1,'High Level Dashboard'!$B$112:$AV$112)* (('High Level Dashboard'!$D$18-ROUNDDOWN('High Level Dashboard'!$D$18,0)))),"")
)</f>
        <v>1157.3284207472138</v>
      </c>
      <c r="AQ113" s="434">
        <f ca="1">'High Level Dashboard'!$C$54*'High Level Dashboard'!$D$15*
(IFERROR(-PMT('High Level Dashboard'!$D$16,'High Level Dashboard'!$D$18+1,
SUMIFS('High Level Dashboard'!$B$112:$AV$112,'High Level Dashboard'!$B$64:$AV$64,"&gt;"&amp;'High Level Dashboard'!AP$64-ROUNDDOWN('High Level Dashboard'!$D$18,0),'High Level Dashboard'!$B$64:$AV$64,"&lt;="&amp;'High Level Dashboard'!AP$64)),"")+
IFERROR(-PMT('High Level Dashboard'!$D$16, 'High Level Dashboard'!$D$18+1, SUMIF('High Level Dashboard'!$B$64:$AV$64,ROUNDDOWN('High Level Dashboard'!AP$64-'High Level Dashboard'!$D$18,0)+1,'High Level Dashboard'!$B$112:$AV$112)* (('High Level Dashboard'!$D$18-ROUNDDOWN('High Level Dashboard'!$D$18,0)))),"")
)</f>
        <v>1190.4654326502416</v>
      </c>
      <c r="AR113" s="434">
        <f ca="1">'High Level Dashboard'!$C$54*'High Level Dashboard'!$D$15*
(IFERROR(-PMT('High Level Dashboard'!$D$16,'High Level Dashboard'!$D$18+1,
SUMIFS('High Level Dashboard'!$B$112:$AV$112,'High Level Dashboard'!$B$64:$AV$64,"&gt;"&amp;'High Level Dashboard'!AQ$64-ROUNDDOWN('High Level Dashboard'!$D$18,0),'High Level Dashboard'!$B$64:$AV$64,"&lt;="&amp;'High Level Dashboard'!AQ$64)),"")+
IFERROR(-PMT('High Level Dashboard'!$D$16, 'High Level Dashboard'!$D$18+1, SUMIF('High Level Dashboard'!$B$64:$AV$64,ROUNDDOWN('High Level Dashboard'!AQ$64-'High Level Dashboard'!$D$18,0)+1,'High Level Dashboard'!$B$112:$AV$112)* (('High Level Dashboard'!$D$18-ROUNDDOWN('High Level Dashboard'!$D$18,0)))),"")
)</f>
        <v>1228.074371760028</v>
      </c>
      <c r="AS113" s="434">
        <f ca="1">'High Level Dashboard'!$C$54*'High Level Dashboard'!$D$15*
(IFERROR(-PMT('High Level Dashboard'!$D$16,'High Level Dashboard'!$D$18+1,
SUMIFS('High Level Dashboard'!$B$112:$AV$112,'High Level Dashboard'!$B$64:$AV$64,"&gt;"&amp;'High Level Dashboard'!AR$64-ROUNDDOWN('High Level Dashboard'!$D$18,0),'High Level Dashboard'!$B$64:$AV$64,"&lt;="&amp;'High Level Dashboard'!AR$64)),"")+
IFERROR(-PMT('High Level Dashboard'!$D$16, 'High Level Dashboard'!$D$18+1, SUMIF('High Level Dashboard'!$B$64:$AV$64,ROUNDDOWN('High Level Dashboard'!AR$64-'High Level Dashboard'!$D$18,0)+1,'High Level Dashboard'!$B$112:$AV$112)* (('High Level Dashboard'!$D$18-ROUNDDOWN('High Level Dashboard'!$D$18,0)))),"")
)</f>
        <v>1254.5173131576892</v>
      </c>
      <c r="AT113" s="434">
        <f ca="1">'High Level Dashboard'!$C$54*'High Level Dashboard'!$D$15*
(IFERROR(-PMT('High Level Dashboard'!$D$16,'High Level Dashboard'!$D$18+1,
SUMIFS('High Level Dashboard'!$B$112:$AV$112,'High Level Dashboard'!$B$64:$AV$64,"&gt;"&amp;'High Level Dashboard'!AS$64-ROUNDDOWN('High Level Dashboard'!$D$18,0),'High Level Dashboard'!$B$64:$AV$64,"&lt;="&amp;'High Level Dashboard'!AS$64)),"")+
IFERROR(-PMT('High Level Dashboard'!$D$16, 'High Level Dashboard'!$D$18+1, SUMIF('High Level Dashboard'!$B$64:$AV$64,ROUNDDOWN('High Level Dashboard'!AS$64-'High Level Dashboard'!$D$18,0)+1,'High Level Dashboard'!$B$112:$AV$112)* (('High Level Dashboard'!$D$18-ROUNDDOWN('High Level Dashboard'!$D$18,0)))),"")
)</f>
        <v>1270.1867311916048</v>
      </c>
      <c r="AU113" s="434">
        <f ca="1">'High Level Dashboard'!$C$54*'High Level Dashboard'!$D$15*
(IFERROR(-PMT('High Level Dashboard'!$D$16,'High Level Dashboard'!$D$18+1,
SUMIFS('High Level Dashboard'!$B$112:$AV$112,'High Level Dashboard'!$B$64:$AV$64,"&gt;"&amp;'High Level Dashboard'!AT$64-ROUNDDOWN('High Level Dashboard'!$D$18,0),'High Level Dashboard'!$B$64:$AV$64,"&lt;="&amp;'High Level Dashboard'!AT$64)),"")+
IFERROR(-PMT('High Level Dashboard'!$D$16, 'High Level Dashboard'!$D$18+1, SUMIF('High Level Dashboard'!$B$64:$AV$64,ROUNDDOWN('High Level Dashboard'!AT$64-'High Level Dashboard'!$D$18,0)+1,'High Level Dashboard'!$B$112:$AV$112)* (('High Level Dashboard'!$D$18-ROUNDDOWN('High Level Dashboard'!$D$18,0)))),"")
)</f>
        <v>1295.2040635221711</v>
      </c>
      <c r="AV113" s="434">
        <f ca="1">'High Level Dashboard'!$C$54*'High Level Dashboard'!$D$15*
(IFERROR(-PMT('High Level Dashboard'!$D$16,'High Level Dashboard'!$D$18+1,
SUMIFS('High Level Dashboard'!$B$112:$AV$112,'High Level Dashboard'!$B$64:$AV$64,"&gt;"&amp;'High Level Dashboard'!AU$64-ROUNDDOWN('High Level Dashboard'!$D$18,0),'High Level Dashboard'!$B$64:$AV$64,"&lt;="&amp;'High Level Dashboard'!AU$64)),"")+
IFERROR(-PMT('High Level Dashboard'!$D$16, 'High Level Dashboard'!$D$18+1, SUMIF('High Level Dashboard'!$B$64:$AV$64,ROUNDDOWN('High Level Dashboard'!AU$64-'High Level Dashboard'!$D$18,0)+1,'High Level Dashboard'!$B$112:$AV$112)* (('High Level Dashboard'!$D$18-ROUNDDOWN('High Level Dashboard'!$D$18,0)))),"")
)</f>
        <v>1315.1631802726613</v>
      </c>
    </row>
    <row r="114" spans="1:48" s="433" customFormat="1">
      <c r="A114" s="427" t="s">
        <v>266</v>
      </c>
      <c r="B114" s="427"/>
      <c r="C114" s="434">
        <f ca="1">'High Level Dashboard'!$C$55*'High Level Dashboard'!$D$21*
(IFERROR(-PMT('High Level Dashboard'!$D$22,'High Level Dashboard'!$D$24+1,
SUMIFS('High Level Dashboard'!$B$112:$AV$112,'High Level Dashboard'!$B$64:$AV$64,"&gt;"&amp;'High Level Dashboard'!B$64-ROUNDDOWN('High Level Dashboard'!$D$24,0),'High Level Dashboard'!$B$64:$AV$64,"&lt;="&amp;'High Level Dashboard'!B$64)),"")+
IFERROR(-PMT('High Level Dashboard'!$D$22, 'High Level Dashboard'!$D$24+1, SUMIF('High Level Dashboard'!$B$64:$AV$64,ROUNDDOWN('High Level Dashboard'!B$64-'High Level Dashboard'!$D$24,0)+1,'High Level Dashboard'!$B$112:$AV$112)* (('High Level Dashboard'!$D$24-ROUNDDOWN('High Level Dashboard'!$D$24,0)))),"")
)</f>
        <v>5.2185909560353778</v>
      </c>
      <c r="D114" s="434">
        <f ca="1">'High Level Dashboard'!$C$55*'High Level Dashboard'!$D$21*
(IFERROR(-PMT('High Level Dashboard'!$D$22,'High Level Dashboard'!$D$24+1,
SUMIFS('High Level Dashboard'!$B$112:$AV$112,'High Level Dashboard'!$B$64:$AV$64,"&gt;"&amp;'High Level Dashboard'!C$64-ROUNDDOWN('High Level Dashboard'!$D$24,0),'High Level Dashboard'!$B$64:$AV$64,"&lt;="&amp;'High Level Dashboard'!C$64)),"")+
IFERROR(-PMT('High Level Dashboard'!$D$22, 'High Level Dashboard'!$D$24+1, SUMIF('High Level Dashboard'!$B$64:$AV$64,ROUNDDOWN('High Level Dashboard'!C$64-'High Level Dashboard'!$D$24,0)+1,'High Level Dashboard'!$B$112:$AV$112)* (('High Level Dashboard'!$D$24-ROUNDDOWN('High Level Dashboard'!$D$24,0)))),"")
)</f>
        <v>13.67123057220569</v>
      </c>
      <c r="E114" s="434">
        <f ca="1">'High Level Dashboard'!$C$55*'High Level Dashboard'!$D$21*
(IFERROR(-PMT('High Level Dashboard'!$D$22,'High Level Dashboard'!$D$24+1,
SUMIFS('High Level Dashboard'!$B$112:$AV$112,'High Level Dashboard'!$B$64:$AV$64,"&gt;"&amp;'High Level Dashboard'!D$64-ROUNDDOWN('High Level Dashboard'!$D$24,0),'High Level Dashboard'!$B$64:$AV$64,"&lt;="&amp;'High Level Dashboard'!D$64)),"")+
IFERROR(-PMT('High Level Dashboard'!$D$22, 'High Level Dashboard'!$D$24+1, SUMIF('High Level Dashboard'!$B$64:$AV$64,ROUNDDOWN('High Level Dashboard'!D$64-'High Level Dashboard'!$D$24,0)+1,'High Level Dashboard'!$B$112:$AV$112)* (('High Level Dashboard'!$D$24-ROUNDDOWN('High Level Dashboard'!$D$24,0)))),"")
)</f>
        <v>21.82566165812743</v>
      </c>
      <c r="F114" s="434">
        <f ca="1">'High Level Dashboard'!$C$55*'High Level Dashboard'!$D$21*
(IFERROR(-PMT('High Level Dashboard'!$D$22,'High Level Dashboard'!$D$24+1,
SUMIFS('High Level Dashboard'!$B$112:$AV$112,'High Level Dashboard'!$B$64:$AV$64,"&gt;"&amp;'High Level Dashboard'!E$64-ROUNDDOWN('High Level Dashboard'!$D$24,0),'High Level Dashboard'!$B$64:$AV$64,"&lt;="&amp;'High Level Dashboard'!E$64)),"")+
IFERROR(-PMT('High Level Dashboard'!$D$22, 'High Level Dashboard'!$D$24+1, SUMIF('High Level Dashboard'!$B$64:$AV$64,ROUNDDOWN('High Level Dashboard'!E$64-'High Level Dashboard'!$D$24,0)+1,'High Level Dashboard'!$B$112:$AV$112)* (('High Level Dashboard'!$D$24-ROUNDDOWN('High Level Dashboard'!$D$24,0)))),"")
)</f>
        <v>29.25957979190062</v>
      </c>
      <c r="G114" s="434">
        <f ca="1">'High Level Dashboard'!$C$55*'High Level Dashboard'!$D$21*
(IFERROR(-PMT('High Level Dashboard'!$D$22,'High Level Dashboard'!$D$24+1,
SUMIFS('High Level Dashboard'!$B$112:$AV$112,'High Level Dashboard'!$B$64:$AV$64,"&gt;"&amp;'High Level Dashboard'!F$64-ROUNDDOWN('High Level Dashboard'!$D$24,0),'High Level Dashboard'!$B$64:$AV$64,"&lt;="&amp;'High Level Dashboard'!F$64)),"")+
IFERROR(-PMT('High Level Dashboard'!$D$22, 'High Level Dashboard'!$D$24+1, SUMIF('High Level Dashboard'!$B$64:$AV$64,ROUNDDOWN('High Level Dashboard'!F$64-'High Level Dashboard'!$D$24,0)+1,'High Level Dashboard'!$B$112:$AV$112)* (('High Level Dashboard'!$D$24-ROUNDDOWN('High Level Dashboard'!$D$24,0)))),"")
)</f>
        <v>44.786680047763006</v>
      </c>
      <c r="H114" s="434">
        <f ca="1">'High Level Dashboard'!$C$55*'High Level Dashboard'!$D$21*
(IFERROR(-PMT('High Level Dashboard'!$D$22,'High Level Dashboard'!$D$24+1,
SUMIFS('High Level Dashboard'!$B$112:$AV$112,'High Level Dashboard'!$B$64:$AV$64,"&gt;"&amp;'High Level Dashboard'!G$64-ROUNDDOWN('High Level Dashboard'!$D$24,0),'High Level Dashboard'!$B$64:$AV$64,"&lt;="&amp;'High Level Dashboard'!G$64)),"")+
IFERROR(-PMT('High Level Dashboard'!$D$22, 'High Level Dashboard'!$D$24+1, SUMIF('High Level Dashboard'!$B$64:$AV$64,ROUNDDOWN('High Level Dashboard'!G$64-'High Level Dashboard'!$D$24,0)+1,'High Level Dashboard'!$B$112:$AV$112)* (('High Level Dashboard'!$D$24-ROUNDDOWN('High Level Dashboard'!$D$24,0)))),"")
)</f>
        <v>54.491540196078134</v>
      </c>
      <c r="I114" s="434">
        <f ca="1">'High Level Dashboard'!$C$55*'High Level Dashboard'!$D$21*
(IFERROR(-PMT('High Level Dashboard'!$D$22,'High Level Dashboard'!$D$24+1,
SUMIFS('High Level Dashboard'!$B$112:$AV$112,'High Level Dashboard'!$B$64:$AV$64,"&gt;"&amp;'High Level Dashboard'!H$64-ROUNDDOWN('High Level Dashboard'!$D$24,0),'High Level Dashboard'!$B$64:$AV$64,"&lt;="&amp;'High Level Dashboard'!H$64)),"")+
IFERROR(-PMT('High Level Dashboard'!$D$22, 'High Level Dashboard'!$D$24+1, SUMIF('High Level Dashboard'!$B$64:$AV$64,ROUNDDOWN('High Level Dashboard'!H$64-'High Level Dashboard'!$D$24,0)+1,'High Level Dashboard'!$B$112:$AV$112)* (('High Level Dashboard'!$D$24-ROUNDDOWN('High Level Dashboard'!$D$24,0)))),"")
)</f>
        <v>66.492944871540118</v>
      </c>
      <c r="J114" s="434">
        <f ca="1">'High Level Dashboard'!$C$55*'High Level Dashboard'!$D$21*
(IFERROR(-PMT('High Level Dashboard'!$D$22,'High Level Dashboard'!$D$24+1,
SUMIFS('High Level Dashboard'!$B$112:$AV$112,'High Level Dashboard'!$B$64:$AV$64,"&gt;"&amp;'High Level Dashboard'!I$64-ROUNDDOWN('High Level Dashboard'!$D$24,0),'High Level Dashboard'!$B$64:$AV$64,"&lt;="&amp;'High Level Dashboard'!I$64)),"")+
IFERROR(-PMT('High Level Dashboard'!$D$22, 'High Level Dashboard'!$D$24+1, SUMIF('High Level Dashboard'!$B$64:$AV$64,ROUNDDOWN('High Level Dashboard'!I$64-'High Level Dashboard'!$D$24,0)+1,'High Level Dashboard'!$B$112:$AV$112)* (('High Level Dashboard'!$D$24-ROUNDDOWN('High Level Dashboard'!$D$24,0)))),"")
)</f>
        <v>73.788212838707381</v>
      </c>
      <c r="K114" s="434">
        <f ca="1">'High Level Dashboard'!$C$55*'High Level Dashboard'!$D$21*
(IFERROR(-PMT('High Level Dashboard'!$D$22,'High Level Dashboard'!$D$24+1,
SUMIFS('High Level Dashboard'!$B$112:$AV$112,'High Level Dashboard'!$B$64:$AV$64,"&gt;"&amp;'High Level Dashboard'!J$64-ROUNDDOWN('High Level Dashboard'!$D$24,0),'High Level Dashboard'!$B$64:$AV$64,"&lt;="&amp;'High Level Dashboard'!J$64)),"")+
IFERROR(-PMT('High Level Dashboard'!$D$22, 'High Level Dashboard'!$D$24+1, SUMIF('High Level Dashboard'!$B$64:$AV$64,ROUNDDOWN('High Level Dashboard'!J$64-'High Level Dashboard'!$D$24,0)+1,'High Level Dashboard'!$B$112:$AV$112)* (('High Level Dashboard'!$D$24-ROUNDDOWN('High Level Dashboard'!$D$24,0)))),"")
)</f>
        <v>81.257458779257519</v>
      </c>
      <c r="L114" s="434">
        <f ca="1">'High Level Dashboard'!$C$55*'High Level Dashboard'!$D$21*
(IFERROR(-PMT('High Level Dashboard'!$D$22,'High Level Dashboard'!$D$24+1,
SUMIFS('High Level Dashboard'!$B$112:$AV$112,'High Level Dashboard'!$B$64:$AV$64,"&gt;"&amp;'High Level Dashboard'!K$64-ROUNDDOWN('High Level Dashboard'!$D$24,0),'High Level Dashboard'!$B$64:$AV$64,"&lt;="&amp;'High Level Dashboard'!K$64)),"")+
IFERROR(-PMT('High Level Dashboard'!$D$22, 'High Level Dashboard'!$D$24+1, SUMIF('High Level Dashboard'!$B$64:$AV$64,ROUNDDOWN('High Level Dashboard'!K$64-'High Level Dashboard'!$D$24,0)+1,'High Level Dashboard'!$B$112:$AV$112)* (('High Level Dashboard'!$D$24-ROUNDDOWN('High Level Dashboard'!$D$24,0)))),"")
)</f>
        <v>93.848633554041385</v>
      </c>
      <c r="M114" s="434">
        <f ca="1">'High Level Dashboard'!$C$55*'High Level Dashboard'!$D$21*
(IFERROR(-PMT('High Level Dashboard'!$D$22,'High Level Dashboard'!$D$24+1,
SUMIFS('High Level Dashboard'!$B$112:$AV$112,'High Level Dashboard'!$B$64:$AV$64,"&gt;"&amp;'High Level Dashboard'!L$64-ROUNDDOWN('High Level Dashboard'!$D$24,0),'High Level Dashboard'!$B$64:$AV$64,"&lt;="&amp;'High Level Dashboard'!L$64)),"")+
IFERROR(-PMT('High Level Dashboard'!$D$22, 'High Level Dashboard'!$D$24+1, SUMIF('High Level Dashboard'!$B$64:$AV$64,ROUNDDOWN('High Level Dashboard'!L$64-'High Level Dashboard'!$D$24,0)+1,'High Level Dashboard'!$B$112:$AV$112)* (('High Level Dashboard'!$D$24-ROUNDDOWN('High Level Dashboard'!$D$24,0)))),"")
)</f>
        <v>103.11845014085505</v>
      </c>
      <c r="N114" s="434">
        <f ca="1">'High Level Dashboard'!$C$55*'High Level Dashboard'!$D$21*
(IFERROR(-PMT('High Level Dashboard'!$D$22,'High Level Dashboard'!$D$24+1,
SUMIFS('High Level Dashboard'!$B$112:$AV$112,'High Level Dashboard'!$B$64:$AV$64,"&gt;"&amp;'High Level Dashboard'!M$64-ROUNDDOWN('High Level Dashboard'!$D$24,0),'High Level Dashboard'!$B$64:$AV$64,"&lt;="&amp;'High Level Dashboard'!M$64)),"")+
IFERROR(-PMT('High Level Dashboard'!$D$22, 'High Level Dashboard'!$D$24+1, SUMIF('High Level Dashboard'!$B$64:$AV$64,ROUNDDOWN('High Level Dashboard'!M$64-'High Level Dashboard'!$D$24,0)+1,'High Level Dashboard'!$B$112:$AV$112)* (('High Level Dashboard'!$D$24-ROUNDDOWN('High Level Dashboard'!$D$24,0)))),"")
)</f>
        <v>116.60976134835772</v>
      </c>
      <c r="O114" s="434">
        <f ca="1">'High Level Dashboard'!$C$55*'High Level Dashboard'!$D$21*
(IFERROR(-PMT('High Level Dashboard'!$D$22,'High Level Dashboard'!$D$24+1,
SUMIFS('High Level Dashboard'!$B$112:$AV$112,'High Level Dashboard'!$B$64:$AV$64,"&gt;"&amp;'High Level Dashboard'!N$64-ROUNDDOWN('High Level Dashboard'!$D$24,0),'High Level Dashboard'!$B$64:$AV$64,"&lt;="&amp;'High Level Dashboard'!N$64)),"")+
IFERROR(-PMT('High Level Dashboard'!$D$22, 'High Level Dashboard'!$D$24+1, SUMIF('High Level Dashboard'!$B$64:$AV$64,ROUNDDOWN('High Level Dashboard'!N$64-'High Level Dashboard'!$D$24,0)+1,'High Level Dashboard'!$B$112:$AV$112)* (('High Level Dashboard'!$D$24-ROUNDDOWN('High Level Dashboard'!$D$24,0)))),"")
)</f>
        <v>129.77393186816656</v>
      </c>
      <c r="P114" s="434">
        <f ca="1">'High Level Dashboard'!$C$55*'High Level Dashboard'!$D$21*
(IFERROR(-PMT('High Level Dashboard'!$D$22,'High Level Dashboard'!$D$24+1,
SUMIFS('High Level Dashboard'!$B$112:$AV$112,'High Level Dashboard'!$B$64:$AV$64,"&gt;"&amp;'High Level Dashboard'!O$64-ROUNDDOWN('High Level Dashboard'!$D$24,0),'High Level Dashboard'!$B$64:$AV$64,"&lt;="&amp;'High Level Dashboard'!O$64)),"")+
IFERROR(-PMT('High Level Dashboard'!$D$22, 'High Level Dashboard'!$D$24+1, SUMIF('High Level Dashboard'!$B$64:$AV$64,ROUNDDOWN('High Level Dashboard'!O$64-'High Level Dashboard'!$D$24,0)+1,'High Level Dashboard'!$B$112:$AV$112)* (('High Level Dashboard'!$D$24-ROUNDDOWN('High Level Dashboard'!$D$24,0)))),"")
)</f>
        <v>142.46607899995558</v>
      </c>
      <c r="Q114" s="434">
        <f ca="1">'High Level Dashboard'!$C$55*'High Level Dashboard'!$D$21*
(IFERROR(-PMT('High Level Dashboard'!$D$22,'High Level Dashboard'!$D$24+1,
SUMIFS('High Level Dashboard'!$B$112:$AV$112,'High Level Dashboard'!$B$64:$AV$64,"&gt;"&amp;'High Level Dashboard'!P$64-ROUNDDOWN('High Level Dashboard'!$D$24,0),'High Level Dashboard'!$B$64:$AV$64,"&lt;="&amp;'High Level Dashboard'!P$64)),"")+
IFERROR(-PMT('High Level Dashboard'!$D$22, 'High Level Dashboard'!$D$24+1, SUMIF('High Level Dashboard'!$B$64:$AV$64,ROUNDDOWN('High Level Dashboard'!P$64-'High Level Dashboard'!$D$24,0)+1,'High Level Dashboard'!$B$112:$AV$112)* (('High Level Dashboard'!$D$24-ROUNDDOWN('High Level Dashboard'!$D$24,0)))),"")
)</f>
        <v>159.1493540914378</v>
      </c>
      <c r="R114" s="434">
        <f ca="1">'High Level Dashboard'!$C$55*'High Level Dashboard'!$D$21*
(IFERROR(-PMT('High Level Dashboard'!$D$22,'High Level Dashboard'!$D$24+1,
SUMIFS('High Level Dashboard'!$B$112:$AV$112,'High Level Dashboard'!$B$64:$AV$64,"&gt;"&amp;'High Level Dashboard'!Q$64-ROUNDDOWN('High Level Dashboard'!$D$24,0),'High Level Dashboard'!$B$64:$AV$64,"&lt;="&amp;'High Level Dashboard'!Q$64)),"")+
IFERROR(-PMT('High Level Dashboard'!$D$22, 'High Level Dashboard'!$D$24+1, SUMIF('High Level Dashboard'!$B$64:$AV$64,ROUNDDOWN('High Level Dashboard'!Q$64-'High Level Dashboard'!$D$24,0)+1,'High Level Dashboard'!$B$112:$AV$112)* (('High Level Dashboard'!$D$24-ROUNDDOWN('High Level Dashboard'!$D$24,0)))),"")
)</f>
        <v>179.95798611746577</v>
      </c>
      <c r="S114" s="434">
        <f ca="1">'High Level Dashboard'!$C$55*'High Level Dashboard'!$D$21*
(IFERROR(-PMT('High Level Dashboard'!$D$22,'High Level Dashboard'!$D$24+1,
SUMIFS('High Level Dashboard'!$B$112:$AV$112,'High Level Dashboard'!$B$64:$AV$64,"&gt;"&amp;'High Level Dashboard'!R$64-ROUNDDOWN('High Level Dashboard'!$D$24,0),'High Level Dashboard'!$B$64:$AV$64,"&lt;="&amp;'High Level Dashboard'!R$64)),"")+
IFERROR(-PMT('High Level Dashboard'!$D$22, 'High Level Dashboard'!$D$24+1, SUMIF('High Level Dashboard'!$B$64:$AV$64,ROUNDDOWN('High Level Dashboard'!R$64-'High Level Dashboard'!$D$24,0)+1,'High Level Dashboard'!$B$112:$AV$112)* (('High Level Dashboard'!$D$24-ROUNDDOWN('High Level Dashboard'!$D$24,0)))),"")
)</f>
        <v>198.66213276561331</v>
      </c>
      <c r="T114" s="434">
        <f ca="1">'High Level Dashboard'!$C$55*'High Level Dashboard'!$D$21*
(IFERROR(-PMT('High Level Dashboard'!$D$22,'High Level Dashboard'!$D$24+1,
SUMIFS('High Level Dashboard'!$B$112:$AV$112,'High Level Dashboard'!$B$64:$AV$64,"&gt;"&amp;'High Level Dashboard'!S$64-ROUNDDOWN('High Level Dashboard'!$D$24,0),'High Level Dashboard'!$B$64:$AV$64,"&lt;="&amp;'High Level Dashboard'!S$64)),"")+
IFERROR(-PMT('High Level Dashboard'!$D$22, 'High Level Dashboard'!$D$24+1, SUMIF('High Level Dashboard'!$B$64:$AV$64,ROUNDDOWN('High Level Dashboard'!S$64-'High Level Dashboard'!$D$24,0)+1,'High Level Dashboard'!$B$112:$AV$112)* (('High Level Dashboard'!$D$24-ROUNDDOWN('High Level Dashboard'!$D$24,0)))),"")
)</f>
        <v>211.26105173856479</v>
      </c>
      <c r="U114" s="434">
        <f ca="1">'High Level Dashboard'!$C$55*'High Level Dashboard'!$D$21*
(IFERROR(-PMT('High Level Dashboard'!$D$22,'High Level Dashboard'!$D$24+1,
SUMIFS('High Level Dashboard'!$B$112:$AV$112,'High Level Dashboard'!$B$64:$AV$64,"&gt;"&amp;'High Level Dashboard'!T$64-ROUNDDOWN('High Level Dashboard'!$D$24,0),'High Level Dashboard'!$B$64:$AV$64,"&lt;="&amp;'High Level Dashboard'!T$64)),"")+
IFERROR(-PMT('High Level Dashboard'!$D$22, 'High Level Dashboard'!$D$24+1, SUMIF('High Level Dashboard'!$B$64:$AV$64,ROUNDDOWN('High Level Dashboard'!T$64-'High Level Dashboard'!$D$24,0)+1,'High Level Dashboard'!$B$112:$AV$112)* (('High Level Dashboard'!$D$24-ROUNDDOWN('High Level Dashboard'!$D$24,0)))),"")
)</f>
        <v>224.15246545362379</v>
      </c>
      <c r="V114" s="434">
        <f ca="1">'High Level Dashboard'!$C$55*'High Level Dashboard'!$D$21*
(IFERROR(-PMT('High Level Dashboard'!$D$22,'High Level Dashboard'!$D$24+1,
SUMIFS('High Level Dashboard'!$B$112:$AV$112,'High Level Dashboard'!$B$64:$AV$64,"&gt;"&amp;'High Level Dashboard'!U$64-ROUNDDOWN('High Level Dashboard'!$D$24,0),'High Level Dashboard'!$B$64:$AV$64,"&lt;="&amp;'High Level Dashboard'!U$64)),"")+
IFERROR(-PMT('High Level Dashboard'!$D$22, 'High Level Dashboard'!$D$24+1, SUMIF('High Level Dashboard'!$B$64:$AV$64,ROUNDDOWN('High Level Dashboard'!U$64-'High Level Dashboard'!$D$24,0)+1,'High Level Dashboard'!$B$112:$AV$112)* (('High Level Dashboard'!$D$24-ROUNDDOWN('High Level Dashboard'!$D$24,0)))),"")
)</f>
        <v>238.03362961142494</v>
      </c>
      <c r="W114" s="434">
        <f ca="1">'High Level Dashboard'!$C$55*'High Level Dashboard'!$D$21*
(IFERROR(-PMT('High Level Dashboard'!$D$22,'High Level Dashboard'!$D$24+1,
SUMIFS('High Level Dashboard'!$B$112:$AV$112,'High Level Dashboard'!$B$64:$AV$64,"&gt;"&amp;'High Level Dashboard'!V$64-ROUNDDOWN('High Level Dashboard'!$D$24,0),'High Level Dashboard'!$B$64:$AV$64,"&lt;="&amp;'High Level Dashboard'!V$64)),"")+
IFERROR(-PMT('High Level Dashboard'!$D$22, 'High Level Dashboard'!$D$24+1, SUMIF('High Level Dashboard'!$B$64:$AV$64,ROUNDDOWN('High Level Dashboard'!V$64-'High Level Dashboard'!$D$24,0)+1,'High Level Dashboard'!$B$112:$AV$112)* (('High Level Dashboard'!$D$24-ROUNDDOWN('High Level Dashboard'!$D$24,0)))),"")
)</f>
        <v>252.97046852443722</v>
      </c>
      <c r="X114" s="434">
        <f ca="1">'High Level Dashboard'!$C$55*'High Level Dashboard'!$D$21*
(IFERROR(-PMT('High Level Dashboard'!$D$22,'High Level Dashboard'!$D$24+1,
SUMIFS('High Level Dashboard'!$B$112:$AV$112,'High Level Dashboard'!$B$64:$AV$64,"&gt;"&amp;'High Level Dashboard'!W$64-ROUNDDOWN('High Level Dashboard'!$D$24,0),'High Level Dashboard'!$B$64:$AV$64,"&lt;="&amp;'High Level Dashboard'!W$64)),"")+
IFERROR(-PMT('High Level Dashboard'!$D$22, 'High Level Dashboard'!$D$24+1, SUMIF('High Level Dashboard'!$B$64:$AV$64,ROUNDDOWN('High Level Dashboard'!W$64-'High Level Dashboard'!$D$24,0)+1,'High Level Dashboard'!$B$112:$AV$112)* (('High Level Dashboard'!$D$24-ROUNDDOWN('High Level Dashboard'!$D$24,0)))),"")
)</f>
        <v>268.97417837237754</v>
      </c>
      <c r="Y114" s="434">
        <f ca="1">'High Level Dashboard'!$C$55*'High Level Dashboard'!$D$21*
(IFERROR(-PMT('High Level Dashboard'!$D$22,'High Level Dashboard'!$D$24+1,
SUMIFS('High Level Dashboard'!$B$112:$AV$112,'High Level Dashboard'!$B$64:$AV$64,"&gt;"&amp;'High Level Dashboard'!X$64-ROUNDDOWN('High Level Dashboard'!$D$24,0),'High Level Dashboard'!$B$64:$AV$64,"&lt;="&amp;'High Level Dashboard'!X$64)),"")+
IFERROR(-PMT('High Level Dashboard'!$D$22, 'High Level Dashboard'!$D$24+1, SUMIF('High Level Dashboard'!$B$64:$AV$64,ROUNDDOWN('High Level Dashboard'!X$64-'High Level Dashboard'!$D$24,0)+1,'High Level Dashboard'!$B$112:$AV$112)* (('High Level Dashboard'!$D$24-ROUNDDOWN('High Level Dashboard'!$D$24,0)))),"")
)</f>
        <v>286.47374942053085</v>
      </c>
      <c r="Z114" s="434">
        <f ca="1">'High Level Dashboard'!$C$55*'High Level Dashboard'!$D$21*
(IFERROR(-PMT('High Level Dashboard'!$D$22,'High Level Dashboard'!$D$24+1,
SUMIFS('High Level Dashboard'!$B$112:$AV$112,'High Level Dashboard'!$B$64:$AV$64,"&gt;"&amp;'High Level Dashboard'!Y$64-ROUNDDOWN('High Level Dashboard'!$D$24,0),'High Level Dashboard'!$B$64:$AV$64,"&lt;="&amp;'High Level Dashboard'!Y$64)),"")+
IFERROR(-PMT('High Level Dashboard'!$D$22, 'High Level Dashboard'!$D$24+1, SUMIF('High Level Dashboard'!$B$64:$AV$64,ROUNDDOWN('High Level Dashboard'!Y$64-'High Level Dashboard'!$D$24,0)+1,'High Level Dashboard'!$B$112:$AV$112)* (('High Level Dashboard'!$D$24-ROUNDDOWN('High Level Dashboard'!$D$24,0)))),"")
)</f>
        <v>306.62571308283077</v>
      </c>
      <c r="AA114" s="434">
        <f ca="1">'High Level Dashboard'!$C$55*'High Level Dashboard'!$D$21*
(IFERROR(-PMT('High Level Dashboard'!$D$22,'High Level Dashboard'!$D$24+1,
SUMIFS('High Level Dashboard'!$B$112:$AV$112,'High Level Dashboard'!$B$64:$AV$64,"&gt;"&amp;'High Level Dashboard'!Z$64-ROUNDDOWN('High Level Dashboard'!$D$24,0),'High Level Dashboard'!$B$64:$AV$64,"&lt;="&amp;'High Level Dashboard'!Z$64)),"")+
IFERROR(-PMT('High Level Dashboard'!$D$22, 'High Level Dashboard'!$D$24+1, SUMIF('High Level Dashboard'!$B$64:$AV$64,ROUNDDOWN('High Level Dashboard'!Z$64-'High Level Dashboard'!$D$24,0)+1,'High Level Dashboard'!$B$112:$AV$112)* (('High Level Dashboard'!$D$24-ROUNDDOWN('High Level Dashboard'!$D$24,0)))),"")
)</f>
        <v>327.4741291962124</v>
      </c>
      <c r="AB114" s="434">
        <f ca="1">'High Level Dashboard'!$C$55*'High Level Dashboard'!$D$21*
(IFERROR(-PMT('High Level Dashboard'!$D$22,'High Level Dashboard'!$D$24+1,
SUMIFS('High Level Dashboard'!$B$112:$AV$112,'High Level Dashboard'!$B$64:$AV$64,"&gt;"&amp;'High Level Dashboard'!AA$64-ROUNDDOWN('High Level Dashboard'!$D$24,0),'High Level Dashboard'!$B$64:$AV$64,"&lt;="&amp;'High Level Dashboard'!AA$64)),"")+
IFERROR(-PMT('High Level Dashboard'!$D$22, 'High Level Dashboard'!$D$24+1, SUMIF('High Level Dashboard'!$B$64:$AV$64,ROUNDDOWN('High Level Dashboard'!AA$64-'High Level Dashboard'!$D$24,0)+1,'High Level Dashboard'!$B$112:$AV$112)* (('High Level Dashboard'!$D$24-ROUNDDOWN('High Level Dashboard'!$D$24,0)))),"")
)</f>
        <v>349.09877372044991</v>
      </c>
      <c r="AC114" s="434">
        <f ca="1">'High Level Dashboard'!$C$55*'High Level Dashboard'!$D$21*
(IFERROR(-PMT('High Level Dashboard'!$D$22,'High Level Dashboard'!$D$24+1,
SUMIFS('High Level Dashboard'!$B$112:$AV$112,'High Level Dashboard'!$B$64:$AV$64,"&gt;"&amp;'High Level Dashboard'!AB$64-ROUNDDOWN('High Level Dashboard'!$D$24,0),'High Level Dashboard'!$B$64:$AV$64,"&lt;="&amp;'High Level Dashboard'!AB$64)),"")+
IFERROR(-PMT('High Level Dashboard'!$D$22, 'High Level Dashboard'!$D$24+1, SUMIF('High Level Dashboard'!$B$64:$AV$64,ROUNDDOWN('High Level Dashboard'!AB$64-'High Level Dashboard'!$D$24,0)+1,'High Level Dashboard'!$B$112:$AV$112)* (('High Level Dashboard'!$D$24-ROUNDDOWN('High Level Dashboard'!$D$24,0)))),"")
)</f>
        <v>368.72209433699629</v>
      </c>
      <c r="AD114" s="434">
        <f ca="1">'High Level Dashboard'!$C$55*'High Level Dashboard'!$D$21*
(IFERROR(-PMT('High Level Dashboard'!$D$22,'High Level Dashboard'!$D$24+1,
SUMIFS('High Level Dashboard'!$B$112:$AV$112,'High Level Dashboard'!$B$64:$AV$64,"&gt;"&amp;'High Level Dashboard'!AC$64-ROUNDDOWN('High Level Dashboard'!$D$24,0),'High Level Dashboard'!$B$64:$AV$64,"&lt;="&amp;'High Level Dashboard'!AC$64)),"")+
IFERROR(-PMT('High Level Dashboard'!$D$22, 'High Level Dashboard'!$D$24+1, SUMIF('High Level Dashboard'!$B$64:$AV$64,ROUNDDOWN('High Level Dashboard'!AC$64-'High Level Dashboard'!$D$24,0)+1,'High Level Dashboard'!$B$112:$AV$112)* (('High Level Dashboard'!$D$24-ROUNDDOWN('High Level Dashboard'!$D$24,0)))),"")
)</f>
        <v>380.93851682256081</v>
      </c>
      <c r="AE114" s="434">
        <f ca="1">'High Level Dashboard'!$C$55*'High Level Dashboard'!$D$21*
(IFERROR(-PMT('High Level Dashboard'!$D$22,'High Level Dashboard'!$D$24+1,
SUMIFS('High Level Dashboard'!$B$112:$AV$112,'High Level Dashboard'!$B$64:$AV$64,"&gt;"&amp;'High Level Dashboard'!AD$64-ROUNDDOWN('High Level Dashboard'!$D$24,0),'High Level Dashboard'!$B$64:$AV$64,"&lt;="&amp;'High Level Dashboard'!AD$64)),"")+
IFERROR(-PMT('High Level Dashboard'!$D$22, 'High Level Dashboard'!$D$24+1, SUMIF('High Level Dashboard'!$B$64:$AV$64,ROUNDDOWN('High Level Dashboard'!AD$64-'High Level Dashboard'!$D$24,0)+1,'High Level Dashboard'!$B$112:$AV$112)* (('High Level Dashboard'!$D$24-ROUNDDOWN('High Level Dashboard'!$D$24,0)))),"")
)</f>
        <v>392.31282974784648</v>
      </c>
      <c r="AF114" s="434">
        <f ca="1">'High Level Dashboard'!$C$55*'High Level Dashboard'!$D$21*
(IFERROR(-PMT('High Level Dashboard'!$D$22,'High Level Dashboard'!$D$24+1,
SUMIFS('High Level Dashboard'!$B$112:$AV$112,'High Level Dashboard'!$B$64:$AV$64,"&gt;"&amp;'High Level Dashboard'!AE$64-ROUNDDOWN('High Level Dashboard'!$D$24,0),'High Level Dashboard'!$B$64:$AV$64,"&lt;="&amp;'High Level Dashboard'!AE$64)),"")+
IFERROR(-PMT('High Level Dashboard'!$D$22, 'High Level Dashboard'!$D$24+1, SUMIF('High Level Dashboard'!$B$64:$AV$64,ROUNDDOWN('High Level Dashboard'!AE$64-'High Level Dashboard'!$D$24,0)+1,'High Level Dashboard'!$B$112:$AV$112)* (('High Level Dashboard'!$D$24-ROUNDDOWN('High Level Dashboard'!$D$24,0)))),"")
)</f>
        <v>408.02708334268561</v>
      </c>
      <c r="AG114" s="434">
        <f ca="1">'High Level Dashboard'!$C$55*'High Level Dashboard'!$D$21*
(IFERROR(-PMT('High Level Dashboard'!$D$22,'High Level Dashboard'!$D$24+1,
SUMIFS('High Level Dashboard'!$B$112:$AV$112,'High Level Dashboard'!$B$64:$AV$64,"&gt;"&amp;'High Level Dashboard'!AF$64-ROUNDDOWN('High Level Dashboard'!$D$24,0),'High Level Dashboard'!$B$64:$AV$64,"&lt;="&amp;'High Level Dashboard'!AF$64)),"")+
IFERROR(-PMT('High Level Dashboard'!$D$22, 'High Level Dashboard'!$D$24+1, SUMIF('High Level Dashboard'!$B$64:$AV$64,ROUNDDOWN('High Level Dashboard'!AF$64-'High Level Dashboard'!$D$24,0)+1,'High Level Dashboard'!$B$112:$AV$112)* (('High Level Dashboard'!$D$24-ROUNDDOWN('High Level Dashboard'!$D$24,0)))),"")
)</f>
        <v>413.51879128311197</v>
      </c>
      <c r="AH114" s="434">
        <f ca="1">'High Level Dashboard'!$C$55*'High Level Dashboard'!$D$21*
(IFERROR(-PMT('High Level Dashboard'!$D$22,'High Level Dashboard'!$D$24+1,
SUMIFS('High Level Dashboard'!$B$112:$AV$112,'High Level Dashboard'!$B$64:$AV$64,"&gt;"&amp;'High Level Dashboard'!AG$64-ROUNDDOWN('High Level Dashboard'!$D$24,0),'High Level Dashboard'!$B$64:$AV$64,"&lt;="&amp;'High Level Dashboard'!AG$64)),"")+
IFERROR(-PMT('High Level Dashboard'!$D$22, 'High Level Dashboard'!$D$24+1, SUMIF('High Level Dashboard'!$B$64:$AV$64,ROUNDDOWN('High Level Dashboard'!AG$64-'High Level Dashboard'!$D$24,0)+1,'High Level Dashboard'!$B$112:$AV$112)* (('High Level Dashboard'!$D$24-ROUNDDOWN('High Level Dashboard'!$D$24,0)))),"")
)</f>
        <v>425.02780683075952</v>
      </c>
      <c r="AI114" s="434">
        <f ca="1">'High Level Dashboard'!$C$55*'High Level Dashboard'!$D$21*
(IFERROR(-PMT('High Level Dashboard'!$D$22,'High Level Dashboard'!$D$24+1,
SUMIFS('High Level Dashboard'!$B$112:$AV$112,'High Level Dashboard'!$B$64:$AV$64,"&gt;"&amp;'High Level Dashboard'!AH$64-ROUNDDOWN('High Level Dashboard'!$D$24,0),'High Level Dashboard'!$B$64:$AV$64,"&lt;="&amp;'High Level Dashboard'!AH$64)),"")+
IFERROR(-PMT('High Level Dashboard'!$D$22, 'High Level Dashboard'!$D$24+1, SUMIF('High Level Dashboard'!$B$64:$AV$64,ROUNDDOWN('High Level Dashboard'!AH$64-'High Level Dashboard'!$D$24,0)+1,'High Level Dashboard'!$B$112:$AV$112)* (('High Level Dashboard'!$D$24-ROUNDDOWN('High Level Dashboard'!$D$24,0)))),"")
)</f>
        <v>432.92570267653866</v>
      </c>
      <c r="AJ114" s="434">
        <f ca="1">'High Level Dashboard'!$C$55*'High Level Dashboard'!$D$21*
(IFERROR(-PMT('High Level Dashboard'!$D$22,'High Level Dashboard'!$D$24+1,
SUMIFS('High Level Dashboard'!$B$112:$AV$112,'High Level Dashboard'!$B$64:$AV$64,"&gt;"&amp;'High Level Dashboard'!AI$64-ROUNDDOWN('High Level Dashboard'!$D$24,0),'High Level Dashboard'!$B$64:$AV$64,"&lt;="&amp;'High Level Dashboard'!AI$64)),"")+
IFERROR(-PMT('High Level Dashboard'!$D$22, 'High Level Dashboard'!$D$24+1, SUMIF('High Level Dashboard'!$B$64:$AV$64,ROUNDDOWN('High Level Dashboard'!AI$64-'High Level Dashboard'!$D$24,0)+1,'High Level Dashboard'!$B$112:$AV$112)* (('High Level Dashboard'!$D$24-ROUNDDOWN('High Level Dashboard'!$D$24,0)))),"")
)</f>
        <v>444.23218602268224</v>
      </c>
      <c r="AK114" s="434">
        <f ca="1">'High Level Dashboard'!$C$55*'High Level Dashboard'!$D$21*
(IFERROR(-PMT('High Level Dashboard'!$D$22,'High Level Dashboard'!$D$24+1,
SUMIFS('High Level Dashboard'!$B$112:$AV$112,'High Level Dashboard'!$B$64:$AV$64,"&gt;"&amp;'High Level Dashboard'!AJ$64-ROUNDDOWN('High Level Dashboard'!$D$24,0),'High Level Dashboard'!$B$64:$AV$64,"&lt;="&amp;'High Level Dashboard'!AJ$64)),"")+
IFERROR(-PMT('High Level Dashboard'!$D$22, 'High Level Dashboard'!$D$24+1, SUMIF('High Level Dashboard'!$B$64:$AV$64,ROUNDDOWN('High Level Dashboard'!AJ$64-'High Level Dashboard'!$D$24,0)+1,'High Level Dashboard'!$B$112:$AV$112)* (('High Level Dashboard'!$D$24-ROUNDDOWN('High Level Dashboard'!$D$24,0)))),"")
)</f>
        <v>457.30283654433879</v>
      </c>
      <c r="AL114" s="434">
        <f ca="1">'High Level Dashboard'!$C$55*'High Level Dashboard'!$D$21*
(IFERROR(-PMT('High Level Dashboard'!$D$22,'High Level Dashboard'!$D$24+1,
SUMIFS('High Level Dashboard'!$B$112:$AV$112,'High Level Dashboard'!$B$64:$AV$64,"&gt;"&amp;'High Level Dashboard'!AK$64-ROUNDDOWN('High Level Dashboard'!$D$24,0),'High Level Dashboard'!$B$64:$AV$64,"&lt;="&amp;'High Level Dashboard'!AK$64)),"")+
IFERROR(-PMT('High Level Dashboard'!$D$22, 'High Level Dashboard'!$D$24+1, SUMIF('High Level Dashboard'!$B$64:$AV$64,ROUNDDOWN('High Level Dashboard'!AK$64-'High Level Dashboard'!$D$24,0)+1,'High Level Dashboard'!$B$112:$AV$112)* (('High Level Dashboard'!$D$24-ROUNDDOWN('High Level Dashboard'!$D$24,0)))),"")
)</f>
        <v>465.37780951605873</v>
      </c>
      <c r="AM114" s="434">
        <f ca="1">'High Level Dashboard'!$C$55*'High Level Dashboard'!$D$21*
(IFERROR(-PMT('High Level Dashboard'!$D$22,'High Level Dashboard'!$D$24+1,
SUMIFS('High Level Dashboard'!$B$112:$AV$112,'High Level Dashboard'!$B$64:$AV$64,"&gt;"&amp;'High Level Dashboard'!AL$64-ROUNDDOWN('High Level Dashboard'!$D$24,0),'High Level Dashboard'!$B$64:$AV$64,"&lt;="&amp;'High Level Dashboard'!AL$64)),"")+
IFERROR(-PMT('High Level Dashboard'!$D$22, 'High Level Dashboard'!$D$24+1, SUMIF('High Level Dashboard'!$B$64:$AV$64,ROUNDDOWN('High Level Dashboard'!AL$64-'High Level Dashboard'!$D$24,0)+1,'High Level Dashboard'!$B$112:$AV$112)* (('High Level Dashboard'!$D$24-ROUNDDOWN('High Level Dashboard'!$D$24,0)))),"")
)</f>
        <v>478.14839807552806</v>
      </c>
      <c r="AN114" s="434">
        <f ca="1">'High Level Dashboard'!$C$55*'High Level Dashboard'!$D$21*
(IFERROR(-PMT('High Level Dashboard'!$D$22,'High Level Dashboard'!$D$24+1,
SUMIFS('High Level Dashboard'!$B$112:$AV$112,'High Level Dashboard'!$B$64:$AV$64,"&gt;"&amp;'High Level Dashboard'!AM$64-ROUNDDOWN('High Level Dashboard'!$D$24,0),'High Level Dashboard'!$B$64:$AV$64,"&lt;="&amp;'High Level Dashboard'!AM$64)),"")+
IFERROR(-PMT('High Level Dashboard'!$D$22, 'High Level Dashboard'!$D$24+1, SUMIF('High Level Dashboard'!$B$64:$AV$64,ROUNDDOWN('High Level Dashboard'!AM$64-'High Level Dashboard'!$D$24,0)+1,'High Level Dashboard'!$B$112:$AV$112)* (('High Level Dashboard'!$D$24-ROUNDDOWN('High Level Dashboard'!$D$24,0)))),"")
)</f>
        <v>487.13244016852002</v>
      </c>
      <c r="AO114" s="434">
        <f ca="1">'High Level Dashboard'!$C$55*'High Level Dashboard'!$D$21*
(IFERROR(-PMT('High Level Dashboard'!$D$22,'High Level Dashboard'!$D$24+1,
SUMIFS('High Level Dashboard'!$B$112:$AV$112,'High Level Dashboard'!$B$64:$AV$64,"&gt;"&amp;'High Level Dashboard'!AN$64-ROUNDDOWN('High Level Dashboard'!$D$24,0),'High Level Dashboard'!$B$64:$AV$64,"&lt;="&amp;'High Level Dashboard'!AN$64)),"")+
IFERROR(-PMT('High Level Dashboard'!$D$22, 'High Level Dashboard'!$D$24+1, SUMIF('High Level Dashboard'!$B$64:$AV$64,ROUNDDOWN('High Level Dashboard'!AN$64-'High Level Dashboard'!$D$24,0)+1,'High Level Dashboard'!$B$112:$AV$112)* (('High Level Dashboard'!$D$24-ROUNDDOWN('High Level Dashboard'!$D$24,0)))),"")
)</f>
        <v>495.8521820456985</v>
      </c>
      <c r="AP114" s="434">
        <f ca="1">'High Level Dashboard'!$C$55*'High Level Dashboard'!$D$21*
(IFERROR(-PMT('High Level Dashboard'!$D$22,'High Level Dashboard'!$D$24+1,
SUMIFS('High Level Dashboard'!$B$112:$AV$112,'High Level Dashboard'!$B$64:$AV$64,"&gt;"&amp;'High Level Dashboard'!AO$64-ROUNDDOWN('High Level Dashboard'!$D$24,0),'High Level Dashboard'!$B$64:$AV$64,"&lt;="&amp;'High Level Dashboard'!AO$64)),"")+
IFERROR(-PMT('High Level Dashboard'!$D$22, 'High Level Dashboard'!$D$24+1, SUMIF('High Level Dashboard'!$B$64:$AV$64,ROUNDDOWN('High Level Dashboard'!AO$64-'High Level Dashboard'!$D$24,0)+1,'High Level Dashboard'!$B$112:$AV$112)* (('High Level Dashboard'!$D$24-ROUNDDOWN('High Level Dashboard'!$D$24,0)))),"")
)</f>
        <v>507.24179488499834</v>
      </c>
      <c r="AQ114" s="434">
        <f ca="1">'High Level Dashboard'!$C$55*'High Level Dashboard'!$D$21*
(IFERROR(-PMT('High Level Dashboard'!$D$22,'High Level Dashboard'!$D$24+1,
SUMIFS('High Level Dashboard'!$B$112:$AV$112,'High Level Dashboard'!$B$64:$AV$64,"&gt;"&amp;'High Level Dashboard'!AP$64-ROUNDDOWN('High Level Dashboard'!$D$24,0),'High Level Dashboard'!$B$64:$AV$64,"&lt;="&amp;'High Level Dashboard'!AP$64)),"")+
IFERROR(-PMT('High Level Dashboard'!$D$22, 'High Level Dashboard'!$D$24+1, SUMIF('High Level Dashboard'!$B$64:$AV$64,ROUNDDOWN('High Level Dashboard'!AP$64-'High Level Dashboard'!$D$24,0)+1,'High Level Dashboard'!$B$112:$AV$112)* (('High Level Dashboard'!$D$24-ROUNDDOWN('High Level Dashboard'!$D$24,0)))),"")
)</f>
        <v>517.97482378769871</v>
      </c>
      <c r="AR114" s="434">
        <f ca="1">'High Level Dashboard'!$C$55*'High Level Dashboard'!$D$21*
(IFERROR(-PMT('High Level Dashboard'!$D$22,'High Level Dashboard'!$D$24+1,
SUMIFS('High Level Dashboard'!$B$112:$AV$112,'High Level Dashboard'!$B$64:$AV$64,"&gt;"&amp;'High Level Dashboard'!AQ$64-ROUNDDOWN('High Level Dashboard'!$D$24,0),'High Level Dashboard'!$B$64:$AV$64,"&lt;="&amp;'High Level Dashboard'!AQ$64)),"")+
IFERROR(-PMT('High Level Dashboard'!$D$22, 'High Level Dashboard'!$D$24+1, SUMIF('High Level Dashboard'!$B$64:$AV$64,ROUNDDOWN('High Level Dashboard'!AQ$64-'High Level Dashboard'!$D$24,0)+1,'High Level Dashboard'!$B$112:$AV$112)* (('High Level Dashboard'!$D$24-ROUNDDOWN('High Level Dashboard'!$D$24,0)))),"")
)</f>
        <v>525.1186873404946</v>
      </c>
      <c r="AS114" s="434">
        <f ca="1">'High Level Dashboard'!$C$55*'High Level Dashboard'!$D$21*
(IFERROR(-PMT('High Level Dashboard'!$D$22,'High Level Dashboard'!$D$24+1,
SUMIFS('High Level Dashboard'!$B$112:$AV$112,'High Level Dashboard'!$B$64:$AV$64,"&gt;"&amp;'High Level Dashboard'!AR$64-ROUNDDOWN('High Level Dashboard'!$D$24,0),'High Level Dashboard'!$B$64:$AV$64,"&lt;="&amp;'High Level Dashboard'!AR$64)),"")+
IFERROR(-PMT('High Level Dashboard'!$D$22, 'High Level Dashboard'!$D$24+1, SUMIF('High Level Dashboard'!$B$64:$AV$64,ROUNDDOWN('High Level Dashboard'!AR$64-'High Level Dashboard'!$D$24,0)+1,'High Level Dashboard'!$B$112:$AV$112)* (('High Level Dashboard'!$D$24-ROUNDDOWN('High Level Dashboard'!$D$24,0)))),"")
)</f>
        <v>530.24414431811965</v>
      </c>
      <c r="AT114" s="434">
        <f ca="1">'High Level Dashboard'!$C$55*'High Level Dashboard'!$D$21*
(IFERROR(-PMT('High Level Dashboard'!$D$22,'High Level Dashboard'!$D$24+1,
SUMIFS('High Level Dashboard'!$B$112:$AV$112,'High Level Dashboard'!$B$64:$AV$64,"&gt;"&amp;'High Level Dashboard'!AS$64-ROUNDDOWN('High Level Dashboard'!$D$24,0),'High Level Dashboard'!$B$64:$AV$64,"&lt;="&amp;'High Level Dashboard'!AS$64)),"")+
IFERROR(-PMT('High Level Dashboard'!$D$22, 'High Level Dashboard'!$D$24+1, SUMIF('High Level Dashboard'!$B$64:$AV$64,ROUNDDOWN('High Level Dashboard'!AS$64-'High Level Dashboard'!$D$24,0)+1,'High Level Dashboard'!$B$112:$AV$112)* (('High Level Dashboard'!$D$24-ROUNDDOWN('High Level Dashboard'!$D$24,0)))),"")
)</f>
        <v>538.0788778143118</v>
      </c>
      <c r="AU114" s="434">
        <f ca="1">'High Level Dashboard'!$C$55*'High Level Dashboard'!$D$21*
(IFERROR(-PMT('High Level Dashboard'!$D$22,'High Level Dashboard'!$D$24+1,
SUMIFS('High Level Dashboard'!$B$112:$AV$112,'High Level Dashboard'!$B$64:$AV$64,"&gt;"&amp;'High Level Dashboard'!AT$64-ROUNDDOWN('High Level Dashboard'!$D$24,0),'High Level Dashboard'!$B$64:$AV$64,"&lt;="&amp;'High Level Dashboard'!AT$64)),"")+
IFERROR(-PMT('High Level Dashboard'!$D$22, 'High Level Dashboard'!$D$24+1, SUMIF('High Level Dashboard'!$B$64:$AV$64,ROUNDDOWN('High Level Dashboard'!AT$64-'High Level Dashboard'!$D$24,0)+1,'High Level Dashboard'!$B$112:$AV$112)* (('High Level Dashboard'!$D$24-ROUNDDOWN('High Level Dashboard'!$D$24,0)))),"")
)</f>
        <v>547.18918332955582</v>
      </c>
      <c r="AV114" s="434">
        <f ca="1">'High Level Dashboard'!$C$55*'High Level Dashboard'!$D$21*
(IFERROR(-PMT('High Level Dashboard'!$D$22,'High Level Dashboard'!$D$24+1,
SUMIFS('High Level Dashboard'!$B$112:$AV$112,'High Level Dashboard'!$B$64:$AV$64,"&gt;"&amp;'High Level Dashboard'!AU$64-ROUNDDOWN('High Level Dashboard'!$D$24,0),'High Level Dashboard'!$B$64:$AV$64,"&lt;="&amp;'High Level Dashboard'!AU$64)),"")+
IFERROR(-PMT('High Level Dashboard'!$D$22, 'High Level Dashboard'!$D$24+1, SUMIF('High Level Dashboard'!$B$64:$AV$64,ROUNDDOWN('High Level Dashboard'!AU$64-'High Level Dashboard'!$D$24,0)+1,'High Level Dashboard'!$B$112:$AV$112)* (('High Level Dashboard'!$D$24-ROUNDDOWN('High Level Dashboard'!$D$24,0)))),"")
)</f>
        <v>556.58497891769707</v>
      </c>
    </row>
    <row r="115" spans="1:48" s="433" customFormat="1">
      <c r="A115" s="427" t="s">
        <v>267</v>
      </c>
      <c r="B115" s="427"/>
      <c r="C115" s="434">
        <f ca="1">'High Level Dashboard'!$C$56*'High Level Dashboard'!$D$27*
(IFERROR(-PMT('High Level Dashboard'!$D$28,'High Level Dashboard'!$D$30+1,
SUMIFS('High Level Dashboard'!$B$112:$AV$112,'High Level Dashboard'!$B$64:$AV$64,"&gt;"&amp;'High Level Dashboard'!B$64-ROUNDDOWN('High Level Dashboard'!$D$30,0),'High Level Dashboard'!$B$64:$AV$64,"&lt;="&amp;'High Level Dashboard'!B$64)),"")+
IFERROR(-PMT('High Level Dashboard'!$D$28, 'High Level Dashboard'!$D$30+1, SUMIF('High Level Dashboard'!$B$64:$AV$64,ROUNDDOWN('High Level Dashboard'!B$64-'High Level Dashboard'!$D$30,0)+1,'High Level Dashboard'!$B$112:$AV$112)* (('High Level Dashboard'!$D$30-ROUNDDOWN('High Level Dashboard'!$D$30,0)))),"")
)</f>
        <v>1.4588100871811174</v>
      </c>
      <c r="D115" s="434">
        <f ca="1">'High Level Dashboard'!$C$56*'High Level Dashboard'!$D$27*
(IFERROR(-PMT('High Level Dashboard'!$D$28,'High Level Dashboard'!$D$30+1,
SUMIFS('High Level Dashboard'!$B$112:$AV$112,'High Level Dashboard'!$B$64:$AV$64,"&gt;"&amp;'High Level Dashboard'!C$64-ROUNDDOWN('High Level Dashboard'!$D$30,0),'High Level Dashboard'!$B$64:$AV$64,"&lt;="&amp;'High Level Dashboard'!C$64)),"")+
IFERROR(-PMT('High Level Dashboard'!$D$28, 'High Level Dashboard'!$D$30+1, SUMIF('High Level Dashboard'!$B$64:$AV$64,ROUNDDOWN('High Level Dashboard'!C$64-'High Level Dashboard'!$D$30,0)+1,'High Level Dashboard'!$B$112:$AV$112)* (('High Level Dashboard'!$D$30-ROUNDDOWN('High Level Dashboard'!$D$30,0)))),"")
)</f>
        <v>3.8216693415772167</v>
      </c>
      <c r="E115" s="434">
        <f ca="1">'High Level Dashboard'!$C$56*'High Level Dashboard'!$D$27*
(IFERROR(-PMT('High Level Dashboard'!$D$28,'High Level Dashboard'!$D$30+1,
SUMIFS('High Level Dashboard'!$B$112:$AV$112,'High Level Dashboard'!$B$64:$AV$64,"&gt;"&amp;'High Level Dashboard'!D$64-ROUNDDOWN('High Level Dashboard'!$D$30,0),'High Level Dashboard'!$B$64:$AV$64,"&lt;="&amp;'High Level Dashboard'!D$64)),"")+
IFERROR(-PMT('High Level Dashboard'!$D$28, 'High Level Dashboard'!$D$30+1, SUMIF('High Level Dashboard'!$B$64:$AV$64,ROUNDDOWN('High Level Dashboard'!D$64-'High Level Dashboard'!$D$30,0)+1,'High Level Dashboard'!$B$112:$AV$112)* (('High Level Dashboard'!$D$30-ROUNDDOWN('High Level Dashboard'!$D$30,0)))),"")
)</f>
        <v>6.1011670879197002</v>
      </c>
      <c r="F115" s="434">
        <f ca="1">'High Level Dashboard'!$C$56*'High Level Dashboard'!$D$27*
(IFERROR(-PMT('High Level Dashboard'!$D$28,'High Level Dashboard'!$D$30+1,
SUMIFS('High Level Dashboard'!$B$112:$AV$112,'High Level Dashboard'!$B$64:$AV$64,"&gt;"&amp;'High Level Dashboard'!E$64-ROUNDDOWN('High Level Dashboard'!$D$30,0),'High Level Dashboard'!$B$64:$AV$64,"&lt;="&amp;'High Level Dashboard'!E$64)),"")+
IFERROR(-PMT('High Level Dashboard'!$D$28, 'High Level Dashboard'!$D$30+1, SUMIF('High Level Dashboard'!$B$64:$AV$64,ROUNDDOWN('High Level Dashboard'!E$64-'High Level Dashboard'!$D$30,0)+1,'High Level Dashboard'!$B$112:$AV$112)* (('High Level Dashboard'!$D$30-ROUNDDOWN('High Level Dashboard'!$D$30,0)))),"")
)</f>
        <v>8.179251929630647</v>
      </c>
      <c r="G115" s="434">
        <f ca="1">'High Level Dashboard'!$C$56*'High Level Dashboard'!$D$27*
(IFERROR(-PMT('High Level Dashboard'!$D$28,'High Level Dashboard'!$D$30+1,
SUMIFS('High Level Dashboard'!$B$112:$AV$112,'High Level Dashboard'!$B$64:$AV$64,"&gt;"&amp;'High Level Dashboard'!F$64-ROUNDDOWN('High Level Dashboard'!$D$30,0),'High Level Dashboard'!$B$64:$AV$64,"&lt;="&amp;'High Level Dashboard'!F$64)),"")+
IFERROR(-PMT('High Level Dashboard'!$D$28, 'High Level Dashboard'!$D$30+1, SUMIF('High Level Dashboard'!$B$64:$AV$64,ROUNDDOWN('High Level Dashboard'!F$64-'High Level Dashboard'!$D$30,0)+1,'High Level Dashboard'!$B$112:$AV$112)* (('High Level Dashboard'!$D$30-ROUNDDOWN('High Level Dashboard'!$D$30,0)))),"")
)</f>
        <v>12.519712921640041</v>
      </c>
      <c r="H115" s="434">
        <f ca="1">'High Level Dashboard'!$C$56*'High Level Dashboard'!$D$27*
(IFERROR(-PMT('High Level Dashboard'!$D$28,'High Level Dashboard'!$D$30+1,
SUMIFS('High Level Dashboard'!$B$112:$AV$112,'High Level Dashboard'!$B$64:$AV$64,"&gt;"&amp;'High Level Dashboard'!G$64-ROUNDDOWN('High Level Dashboard'!$D$30,0),'High Level Dashboard'!$B$64:$AV$64,"&lt;="&amp;'High Level Dashboard'!G$64)),"")+
IFERROR(-PMT('High Level Dashboard'!$D$28, 'High Level Dashboard'!$D$30+1, SUMIF('High Level Dashboard'!$B$64:$AV$64,ROUNDDOWN('High Level Dashboard'!G$64-'High Level Dashboard'!$D$30,0)+1,'High Level Dashboard'!$B$112:$AV$112)* (('High Level Dashboard'!$D$30-ROUNDDOWN('High Level Dashboard'!$D$30,0)))),"")
)</f>
        <v>15.232619144472226</v>
      </c>
      <c r="I115" s="434">
        <f ca="1">'High Level Dashboard'!$C$56*'High Level Dashboard'!$D$27*
(IFERROR(-PMT('High Level Dashboard'!$D$28,'High Level Dashboard'!$D$30+1,
SUMIFS('High Level Dashboard'!$B$112:$AV$112,'High Level Dashboard'!$B$64:$AV$64,"&gt;"&amp;'High Level Dashboard'!H$64-ROUNDDOWN('High Level Dashboard'!$D$30,0),'High Level Dashboard'!$B$64:$AV$64,"&lt;="&amp;'High Level Dashboard'!H$64)),"")+
IFERROR(-PMT('High Level Dashboard'!$D$28, 'High Level Dashboard'!$D$30+1, SUMIF('High Level Dashboard'!$B$64:$AV$64,ROUNDDOWN('High Level Dashboard'!H$64-'High Level Dashboard'!$D$30,0)+1,'High Level Dashboard'!$B$112:$AV$112)* (('High Level Dashboard'!$D$30-ROUNDDOWN('High Level Dashboard'!$D$30,0)))),"")
)</f>
        <v>18.587503700169883</v>
      </c>
      <c r="J115" s="434">
        <f ca="1">'High Level Dashboard'!$C$56*'High Level Dashboard'!$D$27*
(IFERROR(-PMT('High Level Dashboard'!$D$28,'High Level Dashboard'!$D$30+1,
SUMIFS('High Level Dashboard'!$B$112:$AV$112,'High Level Dashboard'!$B$64:$AV$64,"&gt;"&amp;'High Level Dashboard'!I$64-ROUNDDOWN('High Level Dashboard'!$D$30,0),'High Level Dashboard'!$B$64:$AV$64,"&lt;="&amp;'High Level Dashboard'!I$64)),"")+
IFERROR(-PMT('High Level Dashboard'!$D$28, 'High Level Dashboard'!$D$30+1, SUMIF('High Level Dashboard'!$B$64:$AV$64,ROUNDDOWN('High Level Dashboard'!I$64-'High Level Dashboard'!$D$30,0)+1,'High Level Dashboard'!$B$112:$AV$112)* (('High Level Dashboard'!$D$30-ROUNDDOWN('High Level Dashboard'!$D$30,0)))),"")
)</f>
        <v>20.62683013691327</v>
      </c>
      <c r="K115" s="434">
        <f ca="1">'High Level Dashboard'!$C$56*'High Level Dashboard'!$D$27*
(IFERROR(-PMT('High Level Dashboard'!$D$28,'High Level Dashboard'!$D$30+1,
SUMIFS('High Level Dashboard'!$B$112:$AV$112,'High Level Dashboard'!$B$64:$AV$64,"&gt;"&amp;'High Level Dashboard'!J$64-ROUNDDOWN('High Level Dashboard'!$D$30,0),'High Level Dashboard'!$B$64:$AV$64,"&lt;="&amp;'High Level Dashboard'!J$64)),"")+
IFERROR(-PMT('High Level Dashboard'!$D$28, 'High Level Dashboard'!$D$30+1, SUMIF('High Level Dashboard'!$B$64:$AV$64,ROUNDDOWN('High Level Dashboard'!J$64-'High Level Dashboard'!$D$30,0)+1,'High Level Dashboard'!$B$112:$AV$112)* (('High Level Dashboard'!$D$30-ROUNDDOWN('High Level Dashboard'!$D$30,0)))),"")
)</f>
        <v>22.71479054873852</v>
      </c>
      <c r="L115" s="434">
        <f ca="1">'High Level Dashboard'!$C$56*'High Level Dashboard'!$D$27*
(IFERROR(-PMT('High Level Dashboard'!$D$28,'High Level Dashboard'!$D$30+1,
SUMIFS('High Level Dashboard'!$B$112:$AV$112,'High Level Dashboard'!$B$64:$AV$64,"&gt;"&amp;'High Level Dashboard'!K$64-ROUNDDOWN('High Level Dashboard'!$D$30,0),'High Level Dashboard'!$B$64:$AV$64,"&lt;="&amp;'High Level Dashboard'!K$64)),"")+
IFERROR(-PMT('High Level Dashboard'!$D$28, 'High Level Dashboard'!$D$30+1, SUMIF('High Level Dashboard'!$B$64:$AV$64,ROUNDDOWN('High Level Dashboard'!K$64-'High Level Dashboard'!$D$30,0)+1,'High Level Dashboard'!$B$112:$AV$112)* (('High Level Dashboard'!$D$30-ROUNDDOWN('High Level Dashboard'!$D$30,0)))),"")
)</f>
        <v>26.234540022429716</v>
      </c>
      <c r="M115" s="434">
        <f ca="1">'High Level Dashboard'!$C$56*'High Level Dashboard'!$D$27*
(IFERROR(-PMT('High Level Dashboard'!$D$28,'High Level Dashboard'!$D$30+1,
SUMIFS('High Level Dashboard'!$B$112:$AV$112,'High Level Dashboard'!$B$64:$AV$64,"&gt;"&amp;'High Level Dashboard'!L$64-ROUNDDOWN('High Level Dashboard'!$D$30,0),'High Level Dashboard'!$B$64:$AV$64,"&lt;="&amp;'High Level Dashboard'!L$64)),"")+
IFERROR(-PMT('High Level Dashboard'!$D$28, 'High Level Dashboard'!$D$30+1, SUMIF('High Level Dashboard'!$B$64:$AV$64,ROUNDDOWN('High Level Dashboard'!L$64-'High Level Dashboard'!$D$30,0)+1,'High Level Dashboard'!$B$112:$AV$112)* (('High Level Dashboard'!$D$30-ROUNDDOWN('High Level Dashboard'!$D$30,0)))),"")
)</f>
        <v>28.825833736976008</v>
      </c>
      <c r="N115" s="434">
        <f ca="1">'High Level Dashboard'!$C$56*'High Level Dashboard'!$D$27*
(IFERROR(-PMT('High Level Dashboard'!$D$28,'High Level Dashboard'!$D$30+1,
SUMIFS('High Level Dashboard'!$B$112:$AV$112,'High Level Dashboard'!$B$64:$AV$64,"&gt;"&amp;'High Level Dashboard'!M$64-ROUNDDOWN('High Level Dashboard'!$D$30,0),'High Level Dashboard'!$B$64:$AV$64,"&lt;="&amp;'High Level Dashboard'!M$64)),"")+
IFERROR(-PMT('High Level Dashboard'!$D$28, 'High Level Dashboard'!$D$30+1, SUMIF('High Level Dashboard'!$B$64:$AV$64,ROUNDDOWN('High Level Dashboard'!M$64-'High Level Dashboard'!$D$30,0)+1,'High Level Dashboard'!$B$112:$AV$112)* (('High Level Dashboard'!$D$30-ROUNDDOWN('High Level Dashboard'!$D$30,0)))),"")
)</f>
        <v>32.59720824105414</v>
      </c>
      <c r="O115" s="434">
        <f ca="1">'High Level Dashboard'!$C$56*'High Level Dashboard'!$D$27*
(IFERROR(-PMT('High Level Dashboard'!$D$28,'High Level Dashboard'!$D$30+1,
SUMIFS('High Level Dashboard'!$B$112:$AV$112,'High Level Dashboard'!$B$64:$AV$64,"&gt;"&amp;'High Level Dashboard'!N$64-ROUNDDOWN('High Level Dashboard'!$D$30,0),'High Level Dashboard'!$B$64:$AV$64,"&lt;="&amp;'High Level Dashboard'!N$64)),"")+
IFERROR(-PMT('High Level Dashboard'!$D$28, 'High Level Dashboard'!$D$30+1, SUMIF('High Level Dashboard'!$B$64:$AV$64,ROUNDDOWN('High Level Dashboard'!N$64-'High Level Dashboard'!$D$30,0)+1,'High Level Dashboard'!$B$112:$AV$112)* (('High Level Dashboard'!$D$30-ROUNDDOWN('High Level Dashboard'!$D$30,0)))),"")
)</f>
        <v>36.277133513116262</v>
      </c>
      <c r="P115" s="434">
        <f ca="1">'High Level Dashboard'!$C$56*'High Level Dashboard'!$D$27*
(IFERROR(-PMT('High Level Dashboard'!$D$28,'High Level Dashboard'!$D$30+1,
SUMIFS('High Level Dashboard'!$B$112:$AV$112,'High Level Dashboard'!$B$64:$AV$64,"&gt;"&amp;'High Level Dashboard'!O$64-ROUNDDOWN('High Level Dashboard'!$D$30,0),'High Level Dashboard'!$B$64:$AV$64,"&lt;="&amp;'High Level Dashboard'!O$64)),"")+
IFERROR(-PMT('High Level Dashboard'!$D$28, 'High Level Dashboard'!$D$30+1, SUMIF('High Level Dashboard'!$B$64:$AV$64,ROUNDDOWN('High Level Dashboard'!O$64-'High Level Dashboard'!$D$30,0)+1,'High Level Dashboard'!$B$112:$AV$112)* (('High Level Dashboard'!$D$30-ROUNDDOWN('High Level Dashboard'!$D$30,0)))),"")
)</f>
        <v>39.82510889954262</v>
      </c>
      <c r="Q115" s="434">
        <f ca="1">'High Level Dashboard'!$C$56*'High Level Dashboard'!$D$27*
(IFERROR(-PMT('High Level Dashboard'!$D$28,'High Level Dashboard'!$D$30+1,
SUMIFS('High Level Dashboard'!$B$112:$AV$112,'High Level Dashboard'!$B$64:$AV$64,"&gt;"&amp;'High Level Dashboard'!P$64-ROUNDDOWN('High Level Dashboard'!$D$30,0),'High Level Dashboard'!$B$64:$AV$64,"&lt;="&amp;'High Level Dashboard'!P$64)),"")+
IFERROR(-PMT('High Level Dashboard'!$D$28, 'High Level Dashboard'!$D$30+1, SUMIF('High Level Dashboard'!$B$64:$AV$64,ROUNDDOWN('High Level Dashboard'!P$64-'High Level Dashboard'!$D$30,0)+1,'High Level Dashboard'!$B$112:$AV$112)* (('High Level Dashboard'!$D$30-ROUNDDOWN('High Level Dashboard'!$D$30,0)))),"")
)</f>
        <v>44.488768150805605</v>
      </c>
      <c r="R115" s="434">
        <f ca="1">'High Level Dashboard'!$C$56*'High Level Dashboard'!$D$27*
(IFERROR(-PMT('High Level Dashboard'!$D$28,'High Level Dashboard'!$D$30+1,
SUMIFS('High Level Dashboard'!$B$112:$AV$112,'High Level Dashboard'!$B$64:$AV$64,"&gt;"&amp;'High Level Dashboard'!Q$64-ROUNDDOWN('High Level Dashboard'!$D$30,0),'High Level Dashboard'!$B$64:$AV$64,"&lt;="&amp;'High Level Dashboard'!Q$64)),"")+
IFERROR(-PMT('High Level Dashboard'!$D$28, 'High Level Dashboard'!$D$30+1, SUMIF('High Level Dashboard'!$B$64:$AV$64,ROUNDDOWN('High Level Dashboard'!Q$64-'High Level Dashboard'!$D$30,0)+1,'High Level Dashboard'!$B$112:$AV$112)* (('High Level Dashboard'!$D$30-ROUNDDOWN('High Level Dashboard'!$D$30,0)))),"")
)</f>
        <v>50.305633767548898</v>
      </c>
      <c r="S115" s="434">
        <f ca="1">'High Level Dashboard'!$C$56*'High Level Dashboard'!$D$27*
(IFERROR(-PMT('High Level Dashboard'!$D$28,'High Level Dashboard'!$D$30+1,
SUMIFS('High Level Dashboard'!$B$112:$AV$112,'High Level Dashboard'!$B$64:$AV$64,"&gt;"&amp;'High Level Dashboard'!R$64-ROUNDDOWN('High Level Dashboard'!$D$30,0),'High Level Dashboard'!$B$64:$AV$64,"&lt;="&amp;'High Level Dashboard'!R$64)),"")+
IFERROR(-PMT('High Level Dashboard'!$D$28, 'High Level Dashboard'!$D$30+1, SUMIF('High Level Dashboard'!$B$64:$AV$64,ROUNDDOWN('High Level Dashboard'!R$64-'High Level Dashboard'!$D$30,0)+1,'High Level Dashboard'!$B$112:$AV$112)* (('High Level Dashboard'!$D$30-ROUNDDOWN('High Level Dashboard'!$D$30,0)))),"")
)</f>
        <v>55.534209456332484</v>
      </c>
      <c r="T115" s="434">
        <f ca="1">'High Level Dashboard'!$C$56*'High Level Dashboard'!$D$27*
(IFERROR(-PMT('High Level Dashboard'!$D$28,'High Level Dashboard'!$D$30+1,
SUMIFS('High Level Dashboard'!$B$112:$AV$112,'High Level Dashboard'!$B$64:$AV$64,"&gt;"&amp;'High Level Dashboard'!S$64-ROUNDDOWN('High Level Dashboard'!$D$30,0),'High Level Dashboard'!$B$64:$AV$64,"&lt;="&amp;'High Level Dashboard'!S$64)),"")+
IFERROR(-PMT('High Level Dashboard'!$D$28, 'High Level Dashboard'!$D$30+1, SUMIF('High Level Dashboard'!$B$64:$AV$64,ROUNDDOWN('High Level Dashboard'!S$64-'High Level Dashboard'!$D$30,0)+1,'High Level Dashboard'!$B$112:$AV$112)* (('High Level Dashboard'!$D$30-ROUNDDOWN('High Level Dashboard'!$D$30,0)))),"")
)</f>
        <v>59.05612375085353</v>
      </c>
      <c r="U115" s="434">
        <f ca="1">'High Level Dashboard'!$C$56*'High Level Dashboard'!$D$27*
(IFERROR(-PMT('High Level Dashboard'!$D$28,'High Level Dashboard'!$D$30+1,
SUMIFS('High Level Dashboard'!$B$112:$AV$112,'High Level Dashboard'!$B$64:$AV$64,"&gt;"&amp;'High Level Dashboard'!T$64-ROUNDDOWN('High Level Dashboard'!$D$30,0),'High Level Dashboard'!$B$64:$AV$64,"&lt;="&amp;'High Level Dashboard'!T$64)),"")+
IFERROR(-PMT('High Level Dashboard'!$D$28, 'High Level Dashboard'!$D$30+1, SUMIF('High Level Dashboard'!$B$64:$AV$64,ROUNDDOWN('High Level Dashboard'!T$64-'High Level Dashboard'!$D$30,0)+1,'High Level Dashboard'!$B$112:$AV$112)* (('High Level Dashboard'!$D$30-ROUNDDOWN('High Level Dashboard'!$D$30,0)))),"")
)</f>
        <v>62.659802315429197</v>
      </c>
      <c r="V115" s="434">
        <f ca="1">'High Level Dashboard'!$C$56*'High Level Dashboard'!$D$27*
(IFERROR(-PMT('High Level Dashboard'!$D$28,'High Level Dashboard'!$D$30+1,
SUMIFS('High Level Dashboard'!$B$112:$AV$112,'High Level Dashboard'!$B$64:$AV$64,"&gt;"&amp;'High Level Dashboard'!U$64-ROUNDDOWN('High Level Dashboard'!$D$30,0),'High Level Dashboard'!$B$64:$AV$64,"&lt;="&amp;'High Level Dashboard'!U$64)),"")+
IFERROR(-PMT('High Level Dashboard'!$D$28, 'High Level Dashboard'!$D$30+1, SUMIF('High Level Dashboard'!$B$64:$AV$64,ROUNDDOWN('High Level Dashboard'!U$64-'High Level Dashboard'!$D$30,0)+1,'High Level Dashboard'!$B$112:$AV$112)* (('High Level Dashboard'!$D$30-ROUNDDOWN('High Level Dashboard'!$D$30,0)))),"")
)</f>
        <v>66.540156699556164</v>
      </c>
      <c r="W115" s="434">
        <f ca="1">'High Level Dashboard'!$C$56*'High Level Dashboard'!$D$27*
(IFERROR(-PMT('High Level Dashboard'!$D$28,'High Level Dashboard'!$D$30+1,
SUMIFS('High Level Dashboard'!$B$112:$AV$112,'High Level Dashboard'!$B$64:$AV$64,"&gt;"&amp;'High Level Dashboard'!V$64-ROUNDDOWN('High Level Dashboard'!$D$30,0),'High Level Dashboard'!$B$64:$AV$64,"&lt;="&amp;'High Level Dashboard'!V$64)),"")+
IFERROR(-PMT('High Level Dashboard'!$D$28, 'High Level Dashboard'!$D$30+1, SUMIF('High Level Dashboard'!$B$64:$AV$64,ROUNDDOWN('High Level Dashboard'!V$64-'High Level Dashboard'!$D$30,0)+1,'High Level Dashboard'!$B$112:$AV$112)* (('High Level Dashboard'!$D$30-ROUNDDOWN('High Level Dashboard'!$D$30,0)))),"")
)</f>
        <v>70.71561545086935</v>
      </c>
      <c r="X115" s="434">
        <f ca="1">'High Level Dashboard'!$C$56*'High Level Dashboard'!$D$27*
(IFERROR(-PMT('High Level Dashboard'!$D$28,'High Level Dashboard'!$D$30+1,
SUMIFS('High Level Dashboard'!$B$112:$AV$112,'High Level Dashboard'!$B$64:$AV$64,"&gt;"&amp;'High Level Dashboard'!W$64-ROUNDDOWN('High Level Dashboard'!$D$30,0),'High Level Dashboard'!$B$64:$AV$64,"&lt;="&amp;'High Level Dashboard'!W$64)),"")+
IFERROR(-PMT('High Level Dashboard'!$D$28, 'High Level Dashboard'!$D$30+1, SUMIF('High Level Dashboard'!$B$64:$AV$64,ROUNDDOWN('High Level Dashboard'!W$64-'High Level Dashboard'!$D$30,0)+1,'High Level Dashboard'!$B$112:$AV$112)* (('High Level Dashboard'!$D$30-ROUNDDOWN('High Level Dashboard'!$D$30,0)))),"")
)</f>
        <v>75.189308360541588</v>
      </c>
      <c r="Y115" s="434">
        <f ca="1">'High Level Dashboard'!$C$56*'High Level Dashboard'!$D$27*
(IFERROR(-PMT('High Level Dashboard'!$D$28,'High Level Dashboard'!$D$30+1,
SUMIFS('High Level Dashboard'!$B$112:$AV$112,'High Level Dashboard'!$B$64:$AV$64,"&gt;"&amp;'High Level Dashboard'!X$64-ROUNDDOWN('High Level Dashboard'!$D$30,0),'High Level Dashboard'!$B$64:$AV$64,"&lt;="&amp;'High Level Dashboard'!X$64)),"")+
IFERROR(-PMT('High Level Dashboard'!$D$28, 'High Level Dashboard'!$D$30+1, SUMIF('High Level Dashboard'!$B$64:$AV$64,ROUNDDOWN('High Level Dashboard'!X$64-'High Level Dashboard'!$D$30,0)+1,'High Level Dashboard'!$B$112:$AV$112)* (('High Level Dashboard'!$D$30-ROUNDDOWN('High Level Dashboard'!$D$30,0)))),"")
)</f>
        <v>80.081155792435922</v>
      </c>
      <c r="Z115" s="434">
        <f ca="1">'High Level Dashboard'!$C$56*'High Level Dashboard'!$D$27*
(IFERROR(-PMT('High Level Dashboard'!$D$28,'High Level Dashboard'!$D$30+1,
SUMIFS('High Level Dashboard'!$B$112:$AV$112,'High Level Dashboard'!$B$64:$AV$64,"&gt;"&amp;'High Level Dashboard'!Y$64-ROUNDDOWN('High Level Dashboard'!$D$30,0),'High Level Dashboard'!$B$64:$AV$64,"&lt;="&amp;'High Level Dashboard'!Y$64)),"")+
IFERROR(-PMT('High Level Dashboard'!$D$28, 'High Level Dashboard'!$D$30+1, SUMIF('High Level Dashboard'!$B$64:$AV$64,ROUNDDOWN('High Level Dashboard'!Y$64-'High Level Dashboard'!$D$30,0)+1,'High Level Dashboard'!$B$112:$AV$112)* (('High Level Dashboard'!$D$30-ROUNDDOWN('High Level Dashboard'!$D$30,0)))),"")
)</f>
        <v>85.71445568406115</v>
      </c>
      <c r="AA115" s="434">
        <f ca="1">'High Level Dashboard'!$C$56*'High Level Dashboard'!$D$27*
(IFERROR(-PMT('High Level Dashboard'!$D$28,'High Level Dashboard'!$D$30+1,
SUMIFS('High Level Dashboard'!$B$112:$AV$112,'High Level Dashboard'!$B$64:$AV$64,"&gt;"&amp;'High Level Dashboard'!Z$64-ROUNDDOWN('High Level Dashboard'!$D$30,0),'High Level Dashboard'!$B$64:$AV$64,"&lt;="&amp;'High Level Dashboard'!Z$64)),"")+
IFERROR(-PMT('High Level Dashboard'!$D$28, 'High Level Dashboard'!$D$30+1, SUMIF('High Level Dashboard'!$B$64:$AV$64,ROUNDDOWN('High Level Dashboard'!Z$64-'High Level Dashboard'!$D$30,0)+1,'High Level Dashboard'!$B$112:$AV$112)* (('High Level Dashboard'!$D$30-ROUNDDOWN('High Level Dashboard'!$D$30,0)))),"")
)</f>
        <v>91.542442584007077</v>
      </c>
      <c r="AB115" s="434">
        <f ca="1">'High Level Dashboard'!$C$56*'High Level Dashboard'!$D$27*
(IFERROR(-PMT('High Level Dashboard'!$D$28,'High Level Dashboard'!$D$30+1,
SUMIFS('High Level Dashboard'!$B$112:$AV$112,'High Level Dashboard'!$B$64:$AV$64,"&gt;"&amp;'High Level Dashboard'!AA$64-ROUNDDOWN('High Level Dashboard'!$D$30,0),'High Level Dashboard'!$B$64:$AV$64,"&lt;="&amp;'High Level Dashboard'!AA$64)),"")+
IFERROR(-PMT('High Level Dashboard'!$D$28, 'High Level Dashboard'!$D$30+1, SUMIF('High Level Dashboard'!$B$64:$AV$64,ROUNDDOWN('High Level Dashboard'!AA$64-'High Level Dashboard'!$D$30,0)+1,'High Level Dashboard'!$B$112:$AV$112)* (('High Level Dashboard'!$D$30-ROUNDDOWN('High Level Dashboard'!$D$30,0)))),"")
)</f>
        <v>98.207900734436649</v>
      </c>
      <c r="AC115" s="434">
        <f ca="1">'High Level Dashboard'!$C$56*'High Level Dashboard'!$D$27*
(IFERROR(-PMT('High Level Dashboard'!$D$28,'High Level Dashboard'!$D$30+1,
SUMIFS('High Level Dashboard'!$B$112:$AV$112,'High Level Dashboard'!$B$64:$AV$64,"&gt;"&amp;'High Level Dashboard'!AB$64-ROUNDDOWN('High Level Dashboard'!$D$30,0),'High Level Dashboard'!$B$64:$AV$64,"&lt;="&amp;'High Level Dashboard'!AB$64)),"")+
IFERROR(-PMT('High Level Dashboard'!$D$28, 'High Level Dashboard'!$D$30+1, SUMIF('High Level Dashboard'!$B$64:$AV$64,ROUNDDOWN('High Level Dashboard'!AB$64-'High Level Dashboard'!$D$30,0)+1,'High Level Dashboard'!$B$112:$AV$112)* (('High Level Dashboard'!$D$30-ROUNDDOWN('High Level Dashboard'!$D$30,0)))),"")
)</f>
        <v>105.53675743853152</v>
      </c>
      <c r="AD115" s="434">
        <f ca="1">'High Level Dashboard'!$C$56*'High Level Dashboard'!$D$27*
(IFERROR(-PMT('High Level Dashboard'!$D$28,'High Level Dashboard'!$D$30+1,
SUMIFS('High Level Dashboard'!$B$112:$AV$112,'High Level Dashboard'!$B$64:$AV$64,"&gt;"&amp;'High Level Dashboard'!AC$64-ROUNDDOWN('High Level Dashboard'!$D$30,0),'High Level Dashboard'!$B$64:$AV$64,"&lt;="&amp;'High Level Dashboard'!AC$64)),"")+
IFERROR(-PMT('High Level Dashboard'!$D$28, 'High Level Dashboard'!$D$30+1, SUMIF('High Level Dashboard'!$B$64:$AV$64,ROUNDDOWN('High Level Dashboard'!AC$64-'High Level Dashboard'!$D$30,0)+1,'High Level Dashboard'!$B$112:$AV$112)* (('High Level Dashboard'!$D$30-ROUNDDOWN('High Level Dashboard'!$D$30,0)))),"")
)</f>
        <v>111.27915093885314</v>
      </c>
      <c r="AE115" s="434">
        <f ca="1">'High Level Dashboard'!$C$56*'High Level Dashboard'!$D$27*
(IFERROR(-PMT('High Level Dashboard'!$D$28,'High Level Dashboard'!$D$30+1,
SUMIFS('High Level Dashboard'!$B$112:$AV$112,'High Level Dashboard'!$B$64:$AV$64,"&gt;"&amp;'High Level Dashboard'!AD$64-ROUNDDOWN('High Level Dashboard'!$D$30,0),'High Level Dashboard'!$B$64:$AV$64,"&lt;="&amp;'High Level Dashboard'!AD$64)),"")+
IFERROR(-PMT('High Level Dashboard'!$D$28, 'High Level Dashboard'!$D$30+1, SUMIF('High Level Dashboard'!$B$64:$AV$64,ROUNDDOWN('High Level Dashboard'!AD$64-'High Level Dashboard'!$D$30,0)+1,'High Level Dashboard'!$B$112:$AV$112)* (('High Level Dashboard'!$D$30-ROUNDDOWN('High Level Dashboard'!$D$30,0)))),"")
)</f>
        <v>116.65256735060679</v>
      </c>
      <c r="AF115" s="434">
        <f ca="1">'High Level Dashboard'!$C$56*'High Level Dashboard'!$D$27*
(IFERROR(-PMT('High Level Dashboard'!$D$28,'High Level Dashboard'!$D$30+1,
SUMIFS('High Level Dashboard'!$B$112:$AV$112,'High Level Dashboard'!$B$64:$AV$64,"&gt;"&amp;'High Level Dashboard'!AE$64-ROUNDDOWN('High Level Dashboard'!$D$30,0),'High Level Dashboard'!$B$64:$AV$64,"&lt;="&amp;'High Level Dashboard'!AE$64)),"")+
IFERROR(-PMT('High Level Dashboard'!$D$28, 'High Level Dashboard'!$D$30+1, SUMIF('High Level Dashboard'!$B$64:$AV$64,ROUNDDOWN('High Level Dashboard'!AE$64-'High Level Dashboard'!$D$30,0)+1,'High Level Dashboard'!$B$112:$AV$112)* (('High Level Dashboard'!$D$30-ROUNDDOWN('High Level Dashboard'!$D$30,0)))),"")
)</f>
        <v>124.08569890902332</v>
      </c>
      <c r="AG115" s="434">
        <f ca="1">'High Level Dashboard'!$C$56*'High Level Dashboard'!$D$27*
(IFERROR(-PMT('High Level Dashboard'!$D$28,'High Level Dashboard'!$D$30+1,
SUMIFS('High Level Dashboard'!$B$112:$AV$112,'High Level Dashboard'!$B$64:$AV$64,"&gt;"&amp;'High Level Dashboard'!AF$64-ROUNDDOWN('High Level Dashboard'!$D$30,0),'High Level Dashboard'!$B$64:$AV$64,"&lt;="&amp;'High Level Dashboard'!AF$64)),"")+
IFERROR(-PMT('High Level Dashboard'!$D$28, 'High Level Dashboard'!$D$30+1, SUMIF('High Level Dashboard'!$B$64:$AV$64,ROUNDDOWN('High Level Dashboard'!AF$64-'High Level Dashboard'!$D$30,0)+1,'High Level Dashboard'!$B$112:$AV$112)* (('High Level Dashboard'!$D$30-ROUNDDOWN('High Level Dashboard'!$D$30,0)))),"")
)</f>
        <v>128.12317215524436</v>
      </c>
      <c r="AH115" s="434">
        <f ca="1">'High Level Dashboard'!$C$56*'High Level Dashboard'!$D$27*
(IFERROR(-PMT('High Level Dashboard'!$D$28,'High Level Dashboard'!$D$30+1,
SUMIFS('High Level Dashboard'!$B$112:$AV$112,'High Level Dashboard'!$B$64:$AV$64,"&gt;"&amp;'High Level Dashboard'!AG$64-ROUNDDOWN('High Level Dashboard'!$D$30,0),'High Level Dashboard'!$B$64:$AV$64,"&lt;="&amp;'High Level Dashboard'!AG$64)),"")+
IFERROR(-PMT('High Level Dashboard'!$D$28, 'High Level Dashboard'!$D$30+1, SUMIF('High Level Dashboard'!$B$64:$AV$64,ROUNDDOWN('High Level Dashboard'!AG$64-'High Level Dashboard'!$D$30,0)+1,'High Level Dashboard'!$B$112:$AV$112)* (('High Level Dashboard'!$D$30-ROUNDDOWN('High Level Dashboard'!$D$30,0)))),"")
)</f>
        <v>132.15743960124692</v>
      </c>
      <c r="AI115" s="434">
        <f ca="1">'High Level Dashboard'!$C$56*'High Level Dashboard'!$D$27*
(IFERROR(-PMT('High Level Dashboard'!$D$28,'High Level Dashboard'!$D$30+1,
SUMIFS('High Level Dashboard'!$B$112:$AV$112,'High Level Dashboard'!$B$64:$AV$64,"&gt;"&amp;'High Level Dashboard'!AH$64-ROUNDDOWN('High Level Dashboard'!$D$30,0),'High Level Dashboard'!$B$64:$AV$64,"&lt;="&amp;'High Level Dashboard'!AH$64)),"")+
IFERROR(-PMT('High Level Dashboard'!$D$28, 'High Level Dashboard'!$D$30+1, SUMIF('High Level Dashboard'!$B$64:$AV$64,ROUNDDOWN('High Level Dashboard'!AH$64-'High Level Dashboard'!$D$30,0)+1,'High Level Dashboard'!$B$112:$AV$112)* (('High Level Dashboard'!$D$30-ROUNDDOWN('High Level Dashboard'!$D$30,0)))),"")
)</f>
        <v>134.86317715467638</v>
      </c>
      <c r="AJ115" s="434">
        <f ca="1">'High Level Dashboard'!$C$56*'High Level Dashboard'!$D$27*
(IFERROR(-PMT('High Level Dashboard'!$D$28,'High Level Dashboard'!$D$30+1,
SUMIFS('High Level Dashboard'!$B$112:$AV$112,'High Level Dashboard'!$B$64:$AV$64,"&gt;"&amp;'High Level Dashboard'!AI$64-ROUNDDOWN('High Level Dashboard'!$D$30,0),'High Level Dashboard'!$B$64:$AV$64,"&lt;="&amp;'High Level Dashboard'!AI$64)),"")+
IFERROR(-PMT('High Level Dashboard'!$D$28, 'High Level Dashboard'!$D$30+1, SUMIF('High Level Dashboard'!$B$64:$AV$64,ROUNDDOWN('High Level Dashboard'!AI$64-'High Level Dashboard'!$D$30,0)+1,'High Level Dashboard'!$B$112:$AV$112)* (('High Level Dashboard'!$D$30-ROUNDDOWN('High Level Dashboard'!$D$30,0)))),"")
)</f>
        <v>137.96252605635459</v>
      </c>
      <c r="AK115" s="434">
        <f ca="1">'High Level Dashboard'!$C$56*'High Level Dashboard'!$D$27*
(IFERROR(-PMT('High Level Dashboard'!$D$28,'High Level Dashboard'!$D$30+1,
SUMIFS('High Level Dashboard'!$B$112:$AV$112,'High Level Dashboard'!$B$64:$AV$64,"&gt;"&amp;'High Level Dashboard'!AJ$64-ROUNDDOWN('High Level Dashboard'!$D$30,0),'High Level Dashboard'!$B$64:$AV$64,"&lt;="&amp;'High Level Dashboard'!AJ$64)),"")+
IFERROR(-PMT('High Level Dashboard'!$D$28, 'High Level Dashboard'!$D$30+1, SUMIF('High Level Dashboard'!$B$64:$AV$64,ROUNDDOWN('High Level Dashboard'!AJ$64-'High Level Dashboard'!$D$30,0)+1,'High Level Dashboard'!$B$112:$AV$112)* (('High Level Dashboard'!$D$30-ROUNDDOWN('High Level Dashboard'!$D$30,0)))),"")
)</f>
        <v>140.45808886408065</v>
      </c>
      <c r="AL115" s="434">
        <f ca="1">'High Level Dashboard'!$C$56*'High Level Dashboard'!$D$27*
(IFERROR(-PMT('High Level Dashboard'!$D$28,'High Level Dashboard'!$D$30+1,
SUMIFS('High Level Dashboard'!$B$112:$AV$112,'High Level Dashboard'!$B$64:$AV$64,"&gt;"&amp;'High Level Dashboard'!AK$64-ROUNDDOWN('High Level Dashboard'!$D$30,0),'High Level Dashboard'!$B$64:$AV$64,"&lt;="&amp;'High Level Dashboard'!AK$64)),"")+
IFERROR(-PMT('High Level Dashboard'!$D$28, 'High Level Dashboard'!$D$30+1, SUMIF('High Level Dashboard'!$B$64:$AV$64,ROUNDDOWN('High Level Dashboard'!AK$64-'High Level Dashboard'!$D$30,0)+1,'High Level Dashboard'!$B$112:$AV$112)* (('High Level Dashboard'!$D$30-ROUNDDOWN('High Level Dashboard'!$D$30,0)))),"")
)</f>
        <v>142.77819488679393</v>
      </c>
      <c r="AM115" s="434">
        <f ca="1">'High Level Dashboard'!$C$56*'High Level Dashboard'!$D$27*
(IFERROR(-PMT('High Level Dashboard'!$D$28,'High Level Dashboard'!$D$30+1,
SUMIFS('High Level Dashboard'!$B$112:$AV$112,'High Level Dashboard'!$B$64:$AV$64,"&gt;"&amp;'High Level Dashboard'!AL$64-ROUNDDOWN('High Level Dashboard'!$D$30,0),'High Level Dashboard'!$B$64:$AV$64,"&lt;="&amp;'High Level Dashboard'!AL$64)),"")+
IFERROR(-PMT('High Level Dashboard'!$D$28, 'High Level Dashboard'!$D$30+1, SUMIF('High Level Dashboard'!$B$64:$AV$64,ROUNDDOWN('High Level Dashboard'!AL$64-'High Level Dashboard'!$D$30,0)+1,'High Level Dashboard'!$B$112:$AV$112)* (('High Level Dashboard'!$D$30-ROUNDDOWN('High Level Dashboard'!$D$30,0)))),"")
)</f>
        <v>146.22414451217918</v>
      </c>
      <c r="AN115" s="434">
        <f ca="1">'High Level Dashboard'!$C$56*'High Level Dashboard'!$D$27*
(IFERROR(-PMT('High Level Dashboard'!$D$28,'High Level Dashboard'!$D$30+1,
SUMIFS('High Level Dashboard'!$B$112:$AV$112,'High Level Dashboard'!$B$64:$AV$64,"&gt;"&amp;'High Level Dashboard'!AM$64-ROUNDDOWN('High Level Dashboard'!$D$30,0),'High Level Dashboard'!$B$64:$AV$64,"&lt;="&amp;'High Level Dashboard'!AM$64)),"")+
IFERROR(-PMT('High Level Dashboard'!$D$28, 'High Level Dashboard'!$D$30+1, SUMIF('High Level Dashboard'!$B$64:$AV$64,ROUNDDOWN('High Level Dashboard'!AM$64-'High Level Dashboard'!$D$30,0)+1,'High Level Dashboard'!$B$112:$AV$112)* (('High Level Dashboard'!$D$30-ROUNDDOWN('High Level Dashboard'!$D$30,0)))),"")
)</f>
        <v>150.14651068266917</v>
      </c>
      <c r="AO115" s="434">
        <f ca="1">'High Level Dashboard'!$C$56*'High Level Dashboard'!$D$27*
(IFERROR(-PMT('High Level Dashboard'!$D$28,'High Level Dashboard'!$D$30+1,
SUMIFS('High Level Dashboard'!$B$112:$AV$112,'High Level Dashboard'!$B$64:$AV$64,"&gt;"&amp;'High Level Dashboard'!AN$64-ROUNDDOWN('High Level Dashboard'!$D$30,0),'High Level Dashboard'!$B$64:$AV$64,"&lt;="&amp;'High Level Dashboard'!AN$64)),"")+
IFERROR(-PMT('High Level Dashboard'!$D$28, 'High Level Dashboard'!$D$30+1, SUMIF('High Level Dashboard'!$B$64:$AV$64,ROUNDDOWN('High Level Dashboard'!AN$64-'High Level Dashboard'!$D$30,0)+1,'High Level Dashboard'!$B$112:$AV$112)* (('High Level Dashboard'!$D$30-ROUNDDOWN('High Level Dashboard'!$D$30,0)))),"")
)</f>
        <v>154.13031008252466</v>
      </c>
      <c r="AP115" s="434">
        <f ca="1">'High Level Dashboard'!$C$56*'High Level Dashboard'!$D$27*
(IFERROR(-PMT('High Level Dashboard'!$D$28,'High Level Dashboard'!$D$30+1,
SUMIFS('High Level Dashboard'!$B$112:$AV$112,'High Level Dashboard'!$B$64:$AV$64,"&gt;"&amp;'High Level Dashboard'!AO$64-ROUNDDOWN('High Level Dashboard'!$D$30,0),'High Level Dashboard'!$B$64:$AV$64,"&lt;="&amp;'High Level Dashboard'!AO$64)),"")+
IFERROR(-PMT('High Level Dashboard'!$D$28, 'High Level Dashboard'!$D$30+1, SUMIF('High Level Dashboard'!$B$64:$AV$64,ROUNDDOWN('High Level Dashboard'!AO$64-'High Level Dashboard'!$D$30,0)+1,'High Level Dashboard'!$B$112:$AV$112)* (('High Level Dashboard'!$D$30-ROUNDDOWN('High Level Dashboard'!$D$30,0)))),"")
)</f>
        <v>158.12406491918978</v>
      </c>
      <c r="AQ115" s="434">
        <f ca="1">'High Level Dashboard'!$C$56*'High Level Dashboard'!$D$27*
(IFERROR(-PMT('High Level Dashboard'!$D$28,'High Level Dashboard'!$D$30+1,
SUMIFS('High Level Dashboard'!$B$112:$AV$112,'High Level Dashboard'!$B$64:$AV$64,"&gt;"&amp;'High Level Dashboard'!AP$64-ROUNDDOWN('High Level Dashboard'!$D$30,0),'High Level Dashboard'!$B$64:$AV$64,"&lt;="&amp;'High Level Dashboard'!AP$64)),"")+
IFERROR(-PMT('High Level Dashboard'!$D$28, 'High Level Dashboard'!$D$30+1, SUMIF('High Level Dashboard'!$B$64:$AV$64,ROUNDDOWN('High Level Dashboard'!AP$64-'High Level Dashboard'!$D$30,0)+1,'High Level Dashboard'!$B$112:$AV$112)* (('High Level Dashboard'!$D$30-ROUNDDOWN('High Level Dashboard'!$D$30,0)))),"")
)</f>
        <v>163.48809342280146</v>
      </c>
      <c r="AR115" s="434">
        <f ca="1">'High Level Dashboard'!$C$56*'High Level Dashboard'!$D$27*
(IFERROR(-PMT('High Level Dashboard'!$D$28,'High Level Dashboard'!$D$30+1,
SUMIFS('High Level Dashboard'!$B$112:$AV$112,'High Level Dashboard'!$B$64:$AV$64,"&gt;"&amp;'High Level Dashboard'!AQ$64-ROUNDDOWN('High Level Dashboard'!$D$30,0),'High Level Dashboard'!$B$64:$AV$64,"&lt;="&amp;'High Level Dashboard'!AQ$64)),"")+
IFERROR(-PMT('High Level Dashboard'!$D$28, 'High Level Dashboard'!$D$30+1, SUMIF('High Level Dashboard'!$B$64:$AV$64,ROUNDDOWN('High Level Dashboard'!AQ$64-'High Level Dashboard'!$D$30,0)+1,'High Level Dashboard'!$B$112:$AV$112)* (('High Level Dashboard'!$D$30-ROUNDDOWN('High Level Dashboard'!$D$30,0)))),"")
)</f>
        <v>167.53349950519873</v>
      </c>
      <c r="AS115" s="434">
        <f ca="1">'High Level Dashboard'!$C$56*'High Level Dashboard'!$D$27*
(IFERROR(-PMT('High Level Dashboard'!$D$28,'High Level Dashboard'!$D$30+1,
SUMIFS('High Level Dashboard'!$B$112:$AV$112,'High Level Dashboard'!$B$64:$AV$64,"&gt;"&amp;'High Level Dashboard'!AR$64-ROUNDDOWN('High Level Dashboard'!$D$30,0),'High Level Dashboard'!$B$64:$AV$64,"&lt;="&amp;'High Level Dashboard'!AR$64)),"")+
IFERROR(-PMT('High Level Dashboard'!$D$28, 'High Level Dashboard'!$D$30+1, SUMIF('High Level Dashboard'!$B$64:$AV$64,ROUNDDOWN('High Level Dashboard'!AR$64-'High Level Dashboard'!$D$30,0)+1,'High Level Dashboard'!$B$112:$AV$112)* (('High Level Dashboard'!$D$30-ROUNDDOWN('High Level Dashboard'!$D$30,0)))),"")
)</f>
        <v>169.7694054298548</v>
      </c>
      <c r="AT115" s="434">
        <f ca="1">'High Level Dashboard'!$C$56*'High Level Dashboard'!$D$27*
(IFERROR(-PMT('High Level Dashboard'!$D$28,'High Level Dashboard'!$D$30+1,
SUMIFS('High Level Dashboard'!$B$112:$AV$112,'High Level Dashboard'!$B$64:$AV$64,"&gt;"&amp;'High Level Dashboard'!AS$64-ROUNDDOWN('High Level Dashboard'!$D$30,0),'High Level Dashboard'!$B$64:$AV$64,"&lt;="&amp;'High Level Dashboard'!AS$64)),"")+
IFERROR(-PMT('High Level Dashboard'!$D$28, 'High Level Dashboard'!$D$30+1, SUMIF('High Level Dashboard'!$B$64:$AV$64,ROUNDDOWN('High Level Dashboard'!AS$64-'High Level Dashboard'!$D$30,0)+1,'High Level Dashboard'!$B$112:$AV$112)* (('High Level Dashboard'!$D$30-ROUNDDOWN('High Level Dashboard'!$D$30,0)))),"")
)</f>
        <v>171.93994687927173</v>
      </c>
      <c r="AU115" s="434">
        <f ca="1">'High Level Dashboard'!$C$56*'High Level Dashboard'!$D$27*
(IFERROR(-PMT('High Level Dashboard'!$D$28,'High Level Dashboard'!$D$30+1,
SUMIFS('High Level Dashboard'!$B$112:$AV$112,'High Level Dashboard'!$B$64:$AV$64,"&gt;"&amp;'High Level Dashboard'!AT$64-ROUNDDOWN('High Level Dashboard'!$D$30,0),'High Level Dashboard'!$B$64:$AV$64,"&lt;="&amp;'High Level Dashboard'!AT$64)),"")+
IFERROR(-PMT('High Level Dashboard'!$D$28, 'High Level Dashboard'!$D$30+1, SUMIF('High Level Dashboard'!$B$64:$AV$64,ROUNDDOWN('High Level Dashboard'!AT$64-'High Level Dashboard'!$D$30,0)+1,'High Level Dashboard'!$B$112:$AV$112)* (('High Level Dashboard'!$D$30-ROUNDDOWN('High Level Dashboard'!$D$30,0)))),"")
)</f>
        <v>173.78366942124532</v>
      </c>
      <c r="AV115" s="434">
        <f ca="1">'High Level Dashboard'!$C$56*'High Level Dashboard'!$D$27*
(IFERROR(-PMT('High Level Dashboard'!$D$28,'High Level Dashboard'!$D$30+1,
SUMIFS('High Level Dashboard'!$B$112:$AV$112,'High Level Dashboard'!$B$64:$AV$64,"&gt;"&amp;'High Level Dashboard'!AU$64-ROUNDDOWN('High Level Dashboard'!$D$30,0),'High Level Dashboard'!$B$64:$AV$64,"&lt;="&amp;'High Level Dashboard'!AU$64)),"")+
IFERROR(-PMT('High Level Dashboard'!$D$28, 'High Level Dashboard'!$D$30+1, SUMIF('High Level Dashboard'!$B$64:$AV$64,ROUNDDOWN('High Level Dashboard'!AU$64-'High Level Dashboard'!$D$30,0)+1,'High Level Dashboard'!$B$112:$AV$112)* (('High Level Dashboard'!$D$30-ROUNDDOWN('High Level Dashboard'!$D$30,0)))),"")
)</f>
        <v>174.84655465983434</v>
      </c>
    </row>
    <row r="116" spans="1:48" s="433" customFormat="1"/>
    <row r="117" spans="1:48" s="433" customFormat="1" ht="23.25">
      <c r="A117" s="633" t="s">
        <v>268</v>
      </c>
      <c r="B117" s="633"/>
      <c r="C117" s="633"/>
      <c r="D117" s="633"/>
      <c r="E117" s="633"/>
      <c r="F117" s="633"/>
      <c r="G117" s="633"/>
      <c r="H117" s="633"/>
      <c r="I117" s="633"/>
      <c r="J117" s="633"/>
      <c r="K117" s="633"/>
      <c r="L117" s="633"/>
      <c r="M117" s="633"/>
      <c r="N117" s="633"/>
      <c r="O117" s="633"/>
      <c r="P117" s="633"/>
      <c r="Q117" s="633"/>
      <c r="R117" s="633"/>
      <c r="S117" s="633"/>
      <c r="T117" s="633"/>
      <c r="U117" s="633"/>
      <c r="V117" s="633"/>
      <c r="W117" s="633"/>
      <c r="X117" s="633"/>
      <c r="Y117" s="633"/>
      <c r="Z117" s="633"/>
      <c r="AA117" s="633"/>
      <c r="AB117" s="633"/>
      <c r="AC117" s="633"/>
      <c r="AD117" s="633"/>
      <c r="AE117" s="633"/>
      <c r="AF117" s="633"/>
      <c r="AG117" s="633"/>
      <c r="AH117" s="633"/>
      <c r="AI117" s="633"/>
      <c r="AJ117" s="633"/>
      <c r="AK117" s="633"/>
      <c r="AL117" s="633"/>
      <c r="AM117" s="633"/>
      <c r="AN117" s="633"/>
      <c r="AO117" s="633"/>
      <c r="AP117" s="633"/>
      <c r="AQ117" s="633"/>
      <c r="AR117" s="633"/>
      <c r="AS117" s="633"/>
      <c r="AT117" s="633"/>
      <c r="AU117" s="633"/>
      <c r="AV117" s="633"/>
    </row>
    <row r="118" spans="1:48" s="433" customFormat="1" ht="18">
      <c r="A118" s="413" t="s">
        <v>241</v>
      </c>
      <c r="B118" s="417">
        <f>SUM(C118:AV118)</f>
        <v>529.80239999999742</v>
      </c>
      <c r="C118" s="417">
        <f>C124*C125</f>
        <v>0</v>
      </c>
      <c r="D118" s="417">
        <f t="shared" ref="D118:AV118" si="120">D124*D125</f>
        <v>0</v>
      </c>
      <c r="E118" s="417">
        <f t="shared" si="120"/>
        <v>40.822100000000063</v>
      </c>
      <c r="F118" s="417">
        <f t="shared" si="120"/>
        <v>8.4930999999999841</v>
      </c>
      <c r="G118" s="417">
        <f t="shared" si="120"/>
        <v>9.283699999999957</v>
      </c>
      <c r="H118" s="417">
        <f t="shared" si="120"/>
        <v>-63.340599999999803</v>
      </c>
      <c r="I118" s="417">
        <f t="shared" si="120"/>
        <v>-167.11300000000003</v>
      </c>
      <c r="J118" s="417">
        <f t="shared" si="120"/>
        <v>20.235899999999916</v>
      </c>
      <c r="K118" s="417">
        <f t="shared" si="120"/>
        <v>-28.765799999999842</v>
      </c>
      <c r="L118" s="417">
        <f t="shared" si="120"/>
        <v>-104.5693999999998</v>
      </c>
      <c r="M118" s="417">
        <f t="shared" si="120"/>
        <v>-6.8559999999997441</v>
      </c>
      <c r="N118" s="417">
        <f t="shared" si="120"/>
        <v>-28.496800000000093</v>
      </c>
      <c r="O118" s="417">
        <f t="shared" si="120"/>
        <v>-76.46239999999969</v>
      </c>
      <c r="P118" s="417">
        <f t="shared" si="120"/>
        <v>-62.674599999999643</v>
      </c>
      <c r="Q118" s="417">
        <f t="shared" si="120"/>
        <v>9.9342999999999577</v>
      </c>
      <c r="R118" s="417">
        <f t="shared" si="120"/>
        <v>84.963400000000362</v>
      </c>
      <c r="S118" s="417">
        <f t="shared" si="120"/>
        <v>-17.256799999999959</v>
      </c>
      <c r="T118" s="417">
        <f t="shared" si="120"/>
        <v>-28.627300000000151</v>
      </c>
      <c r="U118" s="417">
        <f t="shared" si="120"/>
        <v>1.2932999999998787</v>
      </c>
      <c r="V118" s="417">
        <f t="shared" si="120"/>
        <v>2.6361999999999126</v>
      </c>
      <c r="W118" s="417">
        <f t="shared" si="120"/>
        <v>3.0849999999999014</v>
      </c>
      <c r="X118" s="417">
        <f t="shared" si="120"/>
        <v>4.141099999999831</v>
      </c>
      <c r="Y118" s="417">
        <f t="shared" si="120"/>
        <v>-45.826000000000157</v>
      </c>
      <c r="Z118" s="417">
        <f t="shared" si="120"/>
        <v>-207.7338</v>
      </c>
      <c r="AA118" s="417">
        <f t="shared" si="120"/>
        <v>-105.52110000000003</v>
      </c>
      <c r="AB118" s="417">
        <f t="shared" si="120"/>
        <v>-94.289899999999946</v>
      </c>
      <c r="AC118" s="417">
        <f t="shared" si="120"/>
        <v>-402.91340000000002</v>
      </c>
      <c r="AD118" s="417">
        <f t="shared" si="120"/>
        <v>41.209099999999879</v>
      </c>
      <c r="AE118" s="417">
        <f t="shared" si="120"/>
        <v>207.34169999999966</v>
      </c>
      <c r="AF118" s="417">
        <f t="shared" si="120"/>
        <v>207.13729999999944</v>
      </c>
      <c r="AG118" s="417">
        <f t="shared" si="120"/>
        <v>132.93239999999997</v>
      </c>
      <c r="AH118" s="417">
        <f t="shared" si="120"/>
        <v>-48.252100000000574</v>
      </c>
      <c r="AI118" s="417">
        <f t="shared" si="120"/>
        <v>133.13549999999972</v>
      </c>
      <c r="AJ118" s="417">
        <f t="shared" si="120"/>
        <v>-1.8490000000003022</v>
      </c>
      <c r="AK118" s="417">
        <f t="shared" si="120"/>
        <v>11.234199999999944</v>
      </c>
      <c r="AL118" s="417">
        <f t="shared" si="120"/>
        <v>66.17300000000003</v>
      </c>
      <c r="AM118" s="417">
        <f t="shared" si="120"/>
        <v>45.015100000000047</v>
      </c>
      <c r="AN118" s="417">
        <f t="shared" si="120"/>
        <v>78.627099999999643</v>
      </c>
      <c r="AO118" s="417">
        <f t="shared" si="120"/>
        <v>112.16409999999999</v>
      </c>
      <c r="AP118" s="417">
        <f t="shared" si="120"/>
        <v>114.81799999999963</v>
      </c>
      <c r="AQ118" s="417">
        <f t="shared" si="120"/>
        <v>228.96919999999989</v>
      </c>
      <c r="AR118" s="417">
        <f t="shared" si="120"/>
        <v>61.922799999999675</v>
      </c>
      <c r="AS118" s="417">
        <f t="shared" si="120"/>
        <v>54.473400000000026</v>
      </c>
      <c r="AT118" s="417">
        <f t="shared" si="120"/>
        <v>99.66809999999991</v>
      </c>
      <c r="AU118" s="417">
        <f t="shared" si="120"/>
        <v>112.40199999999999</v>
      </c>
      <c r="AV118" s="417">
        <f t="shared" si="120"/>
        <v>128.23929999999999</v>
      </c>
    </row>
    <row r="119" spans="1:48" s="433" customFormat="1" ht="18">
      <c r="A119" s="413" t="s">
        <v>242</v>
      </c>
      <c r="B119" s="417">
        <f>SUM(C119:AV119)</f>
        <v>159.29985860070579</v>
      </c>
      <c r="C119" s="417">
        <f t="shared" ref="C119:AV119" si="121">-C118/(1+$B$4)^(C$9-$C$9+1)</f>
        <v>0</v>
      </c>
      <c r="D119" s="417">
        <f t="shared" si="121"/>
        <v>0</v>
      </c>
      <c r="E119" s="417">
        <f t="shared" si="121"/>
        <v>-36.290698253300008</v>
      </c>
      <c r="F119" s="417">
        <f t="shared" si="121"/>
        <v>-7.2599374748345493</v>
      </c>
      <c r="G119" s="417">
        <f t="shared" si="121"/>
        <v>-7.6305246810217566</v>
      </c>
      <c r="H119" s="417">
        <f t="shared" si="121"/>
        <v>50.058996248462712</v>
      </c>
      <c r="I119" s="417">
        <f t="shared" si="121"/>
        <v>126.99214551763642</v>
      </c>
      <c r="J119" s="417">
        <f t="shared" si="121"/>
        <v>-14.786173919399582</v>
      </c>
      <c r="K119" s="417">
        <f t="shared" si="121"/>
        <v>20.21046951831341</v>
      </c>
      <c r="L119" s="417">
        <f t="shared" si="121"/>
        <v>70.64333979561232</v>
      </c>
      <c r="M119" s="417">
        <f t="shared" si="121"/>
        <v>4.4535268667975982</v>
      </c>
      <c r="N119" s="417">
        <f t="shared" si="121"/>
        <v>17.799017202473259</v>
      </c>
      <c r="O119" s="417">
        <f t="shared" si="121"/>
        <v>45.921336003664017</v>
      </c>
      <c r="P119" s="417">
        <f t="shared" si="121"/>
        <v>36.193019825823342</v>
      </c>
      <c r="Q119" s="417">
        <f t="shared" si="121"/>
        <v>-5.516164149304462</v>
      </c>
      <c r="R119" s="417">
        <f t="shared" si="121"/>
        <v>-45.362653894066582</v>
      </c>
      <c r="S119" s="417">
        <f t="shared" si="121"/>
        <v>8.8591794290148069</v>
      </c>
      <c r="T119" s="417">
        <f t="shared" si="121"/>
        <v>14.131240308627364</v>
      </c>
      <c r="U119" s="417">
        <f t="shared" si="121"/>
        <v>-0.61385504702295868</v>
      </c>
      <c r="V119" s="417">
        <f t="shared" si="121"/>
        <v>-1.2031272675758062</v>
      </c>
      <c r="W119" s="417">
        <f t="shared" si="121"/>
        <v>-1.3538016625297506</v>
      </c>
      <c r="X119" s="417">
        <f t="shared" si="121"/>
        <v>-1.7473594516587398</v>
      </c>
      <c r="Y119" s="417">
        <f t="shared" si="121"/>
        <v>18.59281495062557</v>
      </c>
      <c r="Z119" s="417">
        <f t="shared" si="121"/>
        <v>81.041416327107058</v>
      </c>
      <c r="AA119" s="417">
        <f t="shared" si="121"/>
        <v>39.582737602320748</v>
      </c>
      <c r="AB119" s="417">
        <f t="shared" si="121"/>
        <v>34.009351704659615</v>
      </c>
      <c r="AC119" s="417">
        <f t="shared" si="121"/>
        <v>139.73704344792182</v>
      </c>
      <c r="AD119" s="417">
        <f t="shared" si="121"/>
        <v>-13.742306461726725</v>
      </c>
      <c r="AE119" s="417">
        <f t="shared" si="121"/>
        <v>-66.484409429718184</v>
      </c>
      <c r="AF119" s="417">
        <f t="shared" si="121"/>
        <v>-63.864296423610583</v>
      </c>
      <c r="AG119" s="417">
        <f t="shared" si="121"/>
        <v>-39.40917355625951</v>
      </c>
      <c r="AH119" s="417">
        <f t="shared" si="121"/>
        <v>13.754644229771126</v>
      </c>
      <c r="AI119" s="417">
        <f t="shared" si="121"/>
        <v>-36.491664787898991</v>
      </c>
      <c r="AJ119" s="417">
        <f t="shared" si="121"/>
        <v>0.48730781358983022</v>
      </c>
      <c r="AK119" s="417">
        <f t="shared" si="121"/>
        <v>-2.8469200812445128</v>
      </c>
      <c r="AL119" s="417">
        <f t="shared" si="121"/>
        <v>-16.124290331189425</v>
      </c>
      <c r="AM119" s="417">
        <f t="shared" si="121"/>
        <v>-10.546896039511894</v>
      </c>
      <c r="AN119" s="417">
        <f t="shared" si="121"/>
        <v>-17.713540088776643</v>
      </c>
      <c r="AO119" s="417">
        <f t="shared" si="121"/>
        <v>-24.297055363857734</v>
      </c>
      <c r="AP119" s="417">
        <f t="shared" si="121"/>
        <v>-23.915331530109484</v>
      </c>
      <c r="AQ119" s="417">
        <f t="shared" si="121"/>
        <v>-45.857476851190242</v>
      </c>
      <c r="AR119" s="417">
        <f t="shared" si="121"/>
        <v>-11.924778896869729</v>
      </c>
      <c r="AS119" s="417">
        <f t="shared" si="121"/>
        <v>-10.086741548793682</v>
      </c>
      <c r="AT119" s="417">
        <f t="shared" si="121"/>
        <v>-17.7455412493374</v>
      </c>
      <c r="AU119" s="417">
        <f t="shared" si="121"/>
        <v>-19.243043888705305</v>
      </c>
      <c r="AV119" s="417">
        <f t="shared" si="121"/>
        <v>-21.10996586220104</v>
      </c>
    </row>
    <row r="120" spans="1:48" s="433" customFormat="1" ht="18">
      <c r="A120" s="413" t="s">
        <v>243</v>
      </c>
      <c r="B120" s="417">
        <f>SUM(C120:AV120)</f>
        <v>-195.97248298915667</v>
      </c>
      <c r="C120" s="417">
        <f t="shared" ref="C120:AV120" si="122">C118/(1+$B$5)^(C$9-$C$9+1)</f>
        <v>0</v>
      </c>
      <c r="D120" s="417">
        <f t="shared" si="122"/>
        <v>0</v>
      </c>
      <c r="E120" s="417">
        <f t="shared" si="122"/>
        <v>34.933257864435021</v>
      </c>
      <c r="F120" s="417">
        <f t="shared" si="122"/>
        <v>6.9001399754155965</v>
      </c>
      <c r="G120" s="417">
        <f t="shared" si="122"/>
        <v>7.1607857024444472</v>
      </c>
      <c r="H120" s="417">
        <f t="shared" si="122"/>
        <v>-46.384156982797343</v>
      </c>
      <c r="I120" s="417">
        <f t="shared" si="122"/>
        <v>-116.18381863379892</v>
      </c>
      <c r="J120" s="417">
        <f t="shared" si="122"/>
        <v>13.356905430791979</v>
      </c>
      <c r="K120" s="417">
        <f t="shared" si="122"/>
        <v>-18.026345843441351</v>
      </c>
      <c r="L120" s="417">
        <f t="shared" si="122"/>
        <v>-62.213376768338392</v>
      </c>
      <c r="M120" s="417">
        <f t="shared" si="122"/>
        <v>-3.8725575710367242</v>
      </c>
      <c r="N120" s="417">
        <f t="shared" si="122"/>
        <v>-15.28167939799412</v>
      </c>
      <c r="O120" s="417">
        <f t="shared" si="122"/>
        <v>-38.928783375932035</v>
      </c>
      <c r="P120" s="417">
        <f t="shared" si="122"/>
        <v>-30.294402571888231</v>
      </c>
      <c r="Q120" s="417">
        <f t="shared" si="122"/>
        <v>4.5588574031289939</v>
      </c>
      <c r="R120" s="417">
        <f t="shared" si="122"/>
        <v>37.016771353176608</v>
      </c>
      <c r="S120" s="417">
        <f t="shared" si="122"/>
        <v>-7.137971912055912</v>
      </c>
      <c r="T120" s="417">
        <f t="shared" si="122"/>
        <v>-11.241981697198039</v>
      </c>
      <c r="U120" s="417">
        <f t="shared" si="122"/>
        <v>0.48218053895850416</v>
      </c>
      <c r="V120" s="417">
        <f t="shared" si="122"/>
        <v>0.93311822532965394</v>
      </c>
      <c r="W120" s="417">
        <f t="shared" si="122"/>
        <v>1.0367198176873667</v>
      </c>
      <c r="X120" s="417">
        <f t="shared" si="122"/>
        <v>1.3212039577474011</v>
      </c>
      <c r="Y120" s="417">
        <f t="shared" si="122"/>
        <v>-13.880784585984932</v>
      </c>
      <c r="Z120" s="417">
        <f t="shared" si="122"/>
        <v>-59.738889498631984</v>
      </c>
      <c r="AA120" s="417">
        <f t="shared" si="122"/>
        <v>-28.809598458046544</v>
      </c>
      <c r="AB120" s="417">
        <f t="shared" si="122"/>
        <v>-24.440550645425994</v>
      </c>
      <c r="AC120" s="417">
        <f t="shared" si="122"/>
        <v>-99.152903979643057</v>
      </c>
      <c r="AD120" s="417">
        <f t="shared" si="122"/>
        <v>9.6279709787675269</v>
      </c>
      <c r="AE120" s="417">
        <f t="shared" si="122"/>
        <v>45.991355917972804</v>
      </c>
      <c r="AF120" s="417">
        <f t="shared" si="122"/>
        <v>43.621016873832389</v>
      </c>
      <c r="AG120" s="417">
        <f t="shared" si="122"/>
        <v>26.577629073410076</v>
      </c>
      <c r="AH120" s="417">
        <f t="shared" si="122"/>
        <v>-9.1590309226827831</v>
      </c>
      <c r="AI120" s="417">
        <f t="shared" si="122"/>
        <v>23.992477463646512</v>
      </c>
      <c r="AJ120" s="417">
        <f t="shared" si="122"/>
        <v>-0.31634869617950684</v>
      </c>
      <c r="AK120" s="417">
        <f t="shared" si="122"/>
        <v>1.8248165235455456</v>
      </c>
      <c r="AL120" s="417">
        <f t="shared" si="122"/>
        <v>10.204830450720355</v>
      </c>
      <c r="AM120" s="417">
        <f t="shared" si="122"/>
        <v>6.5906933353906956</v>
      </c>
      <c r="AN120" s="417">
        <f t="shared" si="122"/>
        <v>10.929317911066876</v>
      </c>
      <c r="AO120" s="417">
        <f t="shared" si="122"/>
        <v>14.802074738601391</v>
      </c>
      <c r="AP120" s="417">
        <f t="shared" si="122"/>
        <v>14.385554618637109</v>
      </c>
      <c r="AQ120" s="417">
        <f t="shared" si="122"/>
        <v>27.235892739302262</v>
      </c>
      <c r="AR120" s="417">
        <f t="shared" si="122"/>
        <v>6.9929923009945858</v>
      </c>
      <c r="AS120" s="417">
        <f t="shared" si="122"/>
        <v>5.8404305365376388</v>
      </c>
      <c r="AT120" s="417">
        <f t="shared" si="122"/>
        <v>10.145290219695685</v>
      </c>
      <c r="AU120" s="417">
        <f t="shared" si="122"/>
        <v>10.862511531504911</v>
      </c>
      <c r="AV120" s="417">
        <f t="shared" si="122"/>
        <v>11.765903069177197</v>
      </c>
    </row>
    <row r="122" spans="1:48" ht="18">
      <c r="A122" s="410" t="s">
        <v>269</v>
      </c>
    </row>
    <row r="123" spans="1:48">
      <c r="A123" s="405" t="s">
        <v>270</v>
      </c>
      <c r="B123" s="419">
        <f>SUMPRODUCT(C124:AV124,_xlfn.ANCHORARRAY(C125))/SUM(C125:AB125)</f>
        <v>202.49289099525964</v>
      </c>
    </row>
    <row r="124" spans="1:48">
      <c r="A124" s="405" t="s">
        <v>271</v>
      </c>
      <c r="C124" s="419">
        <f>IFERROR(C126/C125, 0)</f>
        <v>0</v>
      </c>
      <c r="D124" s="419">
        <f t="shared" ref="D124:AV124" si="123">IFERROR(D126/D125, 0)</f>
        <v>0</v>
      </c>
      <c r="E124" s="419">
        <f t="shared" si="123"/>
        <v>-887.43695652174074</v>
      </c>
      <c r="F124" s="419">
        <f t="shared" si="123"/>
        <v>-188.73555555555515</v>
      </c>
      <c r="G124" s="419">
        <f t="shared" si="123"/>
        <v>-259.32122905027813</v>
      </c>
      <c r="H124" s="419">
        <f t="shared" si="123"/>
        <v>-2426.8429118773861</v>
      </c>
      <c r="I124" s="419">
        <f t="shared" si="123"/>
        <v>-10128.060606060599</v>
      </c>
      <c r="J124" s="419">
        <f t="shared" si="123"/>
        <v>996.84236453201629</v>
      </c>
      <c r="K124" s="419">
        <f t="shared" si="123"/>
        <v>-191.26196808510537</v>
      </c>
      <c r="L124" s="419">
        <f t="shared" si="123"/>
        <v>-3509.0402684563701</v>
      </c>
      <c r="M124" s="419">
        <f t="shared" si="123"/>
        <v>-158.33718244803103</v>
      </c>
      <c r="N124" s="419">
        <f t="shared" si="123"/>
        <v>-1223.0386266094467</v>
      </c>
      <c r="O124" s="419">
        <f t="shared" si="123"/>
        <v>-1076.9352112676011</v>
      </c>
      <c r="P124" s="419">
        <f t="shared" si="123"/>
        <v>-668.88580576307015</v>
      </c>
      <c r="Q124" s="419">
        <f t="shared" si="123"/>
        <v>93.367481203007131</v>
      </c>
      <c r="R124" s="419">
        <f t="shared" si="123"/>
        <v>925.52723311547243</v>
      </c>
      <c r="S124" s="419">
        <f t="shared" si="123"/>
        <v>-174.66396761133564</v>
      </c>
      <c r="T124" s="419">
        <f t="shared" si="123"/>
        <v>-256.05813953488519</v>
      </c>
      <c r="U124" s="419">
        <f t="shared" si="123"/>
        <v>12.155075187968785</v>
      </c>
      <c r="V124" s="419">
        <f t="shared" si="123"/>
        <v>24.822975517889944</v>
      </c>
      <c r="W124" s="419">
        <f t="shared" si="123"/>
        <v>27.918552036198207</v>
      </c>
      <c r="X124" s="419">
        <f t="shared" si="123"/>
        <v>38.450324976785794</v>
      </c>
      <c r="Y124" s="419">
        <f t="shared" si="123"/>
        <v>-463.35692618807042</v>
      </c>
      <c r="Z124" s="419">
        <f t="shared" si="123"/>
        <v>-726.34195804195815</v>
      </c>
      <c r="AA124" s="419">
        <f t="shared" si="123"/>
        <v>-290.6116772239053</v>
      </c>
      <c r="AB124" s="419">
        <f t="shared" si="123"/>
        <v>-138.41735173223714</v>
      </c>
      <c r="AC124" s="419">
        <f t="shared" si="123"/>
        <v>-593.3923416789396</v>
      </c>
      <c r="AD124" s="419">
        <f t="shared" si="123"/>
        <v>58.369830028328444</v>
      </c>
      <c r="AE124" s="419">
        <f t="shared" si="123"/>
        <v>278.94753127942914</v>
      </c>
      <c r="AF124" s="419">
        <f t="shared" si="123"/>
        <v>263.56699325613874</v>
      </c>
      <c r="AG124" s="419">
        <f t="shared" si="123"/>
        <v>160.3527141133896</v>
      </c>
      <c r="AH124" s="419">
        <f t="shared" si="123"/>
        <v>-53.762785515320978</v>
      </c>
      <c r="AI124" s="419">
        <f t="shared" si="123"/>
        <v>136.97067901234539</v>
      </c>
      <c r="AJ124" s="419">
        <f t="shared" si="123"/>
        <v>-1.7621271323742518</v>
      </c>
      <c r="AK124" s="419">
        <f t="shared" si="123"/>
        <v>9.8823011963405563</v>
      </c>
      <c r="AL124" s="419">
        <f t="shared" si="123"/>
        <v>54.249057222495516</v>
      </c>
      <c r="AM124" s="419">
        <f t="shared" si="123"/>
        <v>34.806386762545465</v>
      </c>
      <c r="AN124" s="419">
        <f t="shared" si="123"/>
        <v>57.013342034660027</v>
      </c>
      <c r="AO124" s="419">
        <f t="shared" si="123"/>
        <v>76.229509310860394</v>
      </c>
      <c r="AP124" s="419">
        <f t="shared" si="123"/>
        <v>74.431479320627275</v>
      </c>
      <c r="AQ124" s="419">
        <f t="shared" si="123"/>
        <v>145.25737486519057</v>
      </c>
      <c r="AR124" s="419">
        <f t="shared" si="123"/>
        <v>38.294867037723982</v>
      </c>
      <c r="AS124" s="419">
        <f t="shared" si="123"/>
        <v>32.303504714463635</v>
      </c>
      <c r="AT124" s="419">
        <f t="shared" si="123"/>
        <v>57.231180017226478</v>
      </c>
      <c r="AU124" s="419">
        <f t="shared" si="123"/>
        <v>61.766128145950091</v>
      </c>
      <c r="AV124" s="419">
        <f t="shared" si="123"/>
        <v>67.56193035140403</v>
      </c>
    </row>
    <row r="125" spans="1:48">
      <c r="A125" s="25" t="s">
        <v>272</v>
      </c>
      <c r="C125" s="416" cm="1">
        <f t="array" ref="C125:AV125">(TRANSPOSE('OSeMOSYS (Input)'!S139:S184)-TRANSPOSE('OSeMOSYS (Input)'!R139:R184))</f>
        <v>0</v>
      </c>
      <c r="D125">
        <v>0</v>
      </c>
      <c r="E125">
        <v>-4.5999999999999985E-2</v>
      </c>
      <c r="F125">
        <v>-4.5000000000000012E-2</v>
      </c>
      <c r="G125">
        <v>-3.5799999999999998E-2</v>
      </c>
      <c r="H125">
        <v>2.6100000000000012E-2</v>
      </c>
      <c r="I125">
        <v>1.6500000000000015E-2</v>
      </c>
      <c r="J125">
        <v>2.0299999999999985E-2</v>
      </c>
      <c r="K125">
        <v>0.15039999999999998</v>
      </c>
      <c r="L125">
        <v>2.9799999999999993E-2</v>
      </c>
      <c r="M125">
        <v>4.3300000000000005E-2</v>
      </c>
      <c r="N125">
        <v>2.3299999999999987E-2</v>
      </c>
      <c r="O125">
        <v>7.1000000000000008E-2</v>
      </c>
      <c r="P125">
        <v>9.369999999999995E-2</v>
      </c>
      <c r="Q125">
        <v>0.10639999999999999</v>
      </c>
      <c r="R125">
        <v>9.1799999999999993E-2</v>
      </c>
      <c r="S125">
        <v>9.8799999999999999E-2</v>
      </c>
      <c r="T125">
        <v>0.11179999999999995</v>
      </c>
      <c r="U125">
        <v>0.10639999999999999</v>
      </c>
      <c r="V125">
        <v>0.10620000000000002</v>
      </c>
      <c r="W125">
        <v>0.11049999999999999</v>
      </c>
      <c r="X125">
        <v>0.10770000000000002</v>
      </c>
      <c r="Y125">
        <v>9.8899999999999988E-2</v>
      </c>
      <c r="Z125">
        <v>0.28599999999999998</v>
      </c>
      <c r="AA125">
        <v>0.36310000000000003</v>
      </c>
      <c r="AB125">
        <v>0.68120000000000003</v>
      </c>
      <c r="AC125">
        <v>0.67900000000000005</v>
      </c>
      <c r="AD125">
        <v>0.70599999999999996</v>
      </c>
      <c r="AE125">
        <v>0.74329999999999996</v>
      </c>
      <c r="AF125">
        <v>0.78590000000000004</v>
      </c>
      <c r="AG125">
        <v>0.82899999999999996</v>
      </c>
      <c r="AH125">
        <v>0.89749999999999996</v>
      </c>
      <c r="AI125">
        <v>0.97199999999999998</v>
      </c>
      <c r="AJ125">
        <v>1.0492999999999999</v>
      </c>
      <c r="AK125">
        <v>1.1368</v>
      </c>
      <c r="AL125">
        <v>1.2198</v>
      </c>
      <c r="AM125">
        <v>1.2932999999999999</v>
      </c>
      <c r="AN125">
        <v>1.3791</v>
      </c>
      <c r="AO125">
        <v>1.4714</v>
      </c>
      <c r="AP125">
        <v>1.5426</v>
      </c>
      <c r="AQ125">
        <v>1.5763</v>
      </c>
      <c r="AR125">
        <v>1.617</v>
      </c>
      <c r="AS125">
        <v>1.6862999999999999</v>
      </c>
      <c r="AT125">
        <v>1.7415</v>
      </c>
      <c r="AU125">
        <v>1.8198000000000001</v>
      </c>
      <c r="AV125">
        <v>1.8980999999999999</v>
      </c>
    </row>
    <row r="126" spans="1:48">
      <c r="A126" s="25" t="s">
        <v>273</v>
      </c>
      <c r="C126" s="416">
        <f>C17</f>
        <v>300.00000000000006</v>
      </c>
      <c r="D126" s="416">
        <f t="shared" ref="D126:AV126" si="124">D17</f>
        <v>0</v>
      </c>
      <c r="E126" s="416">
        <f t="shared" si="124"/>
        <v>40.822100000000063</v>
      </c>
      <c r="F126" s="416">
        <f t="shared" si="124"/>
        <v>8.4930999999999841</v>
      </c>
      <c r="G126" s="416">
        <f t="shared" si="124"/>
        <v>9.283699999999957</v>
      </c>
      <c r="H126" s="416">
        <f t="shared" si="124"/>
        <v>-63.34059999999981</v>
      </c>
      <c r="I126" s="416">
        <f t="shared" si="124"/>
        <v>-167.11300000000003</v>
      </c>
      <c r="J126" s="416">
        <f t="shared" si="124"/>
        <v>20.235899999999916</v>
      </c>
      <c r="K126" s="416">
        <f t="shared" si="124"/>
        <v>-28.765799999999842</v>
      </c>
      <c r="L126" s="416">
        <f t="shared" si="124"/>
        <v>-104.5693999999998</v>
      </c>
      <c r="M126" s="416">
        <f t="shared" si="124"/>
        <v>-6.8559999999997441</v>
      </c>
      <c r="N126" s="416">
        <f t="shared" si="124"/>
        <v>-28.496800000000093</v>
      </c>
      <c r="O126" s="416">
        <f t="shared" si="124"/>
        <v>-76.46239999999969</v>
      </c>
      <c r="P126" s="416">
        <f t="shared" si="124"/>
        <v>-62.674599999999636</v>
      </c>
      <c r="Q126" s="416">
        <f t="shared" si="124"/>
        <v>9.9342999999999577</v>
      </c>
      <c r="R126" s="416">
        <f t="shared" si="124"/>
        <v>84.963400000000362</v>
      </c>
      <c r="S126" s="416">
        <f t="shared" si="124"/>
        <v>-17.256799999999959</v>
      </c>
      <c r="T126" s="416">
        <f t="shared" si="124"/>
        <v>-28.627300000000155</v>
      </c>
      <c r="U126" s="416">
        <f t="shared" si="124"/>
        <v>1.2932999999998787</v>
      </c>
      <c r="V126" s="416">
        <f t="shared" si="124"/>
        <v>2.6361999999999126</v>
      </c>
      <c r="W126" s="416">
        <f t="shared" si="124"/>
        <v>3.0849999999999014</v>
      </c>
      <c r="X126" s="416">
        <f t="shared" si="124"/>
        <v>4.141099999999831</v>
      </c>
      <c r="Y126" s="416">
        <f t="shared" si="124"/>
        <v>-45.826000000000157</v>
      </c>
      <c r="Z126" s="416">
        <f t="shared" si="124"/>
        <v>-207.7338</v>
      </c>
      <c r="AA126" s="416">
        <f t="shared" si="124"/>
        <v>-105.52110000000002</v>
      </c>
      <c r="AB126" s="416">
        <f t="shared" si="124"/>
        <v>-94.289899999999946</v>
      </c>
      <c r="AC126" s="416">
        <f t="shared" si="124"/>
        <v>-402.91340000000002</v>
      </c>
      <c r="AD126" s="416">
        <f t="shared" si="124"/>
        <v>41.209099999999879</v>
      </c>
      <c r="AE126" s="416">
        <f t="shared" si="124"/>
        <v>207.34169999999966</v>
      </c>
      <c r="AF126" s="416">
        <f t="shared" si="124"/>
        <v>207.13729999999947</v>
      </c>
      <c r="AG126" s="416">
        <f t="shared" si="124"/>
        <v>132.93239999999997</v>
      </c>
      <c r="AH126" s="416">
        <f t="shared" si="124"/>
        <v>-48.252100000000574</v>
      </c>
      <c r="AI126" s="416">
        <f t="shared" si="124"/>
        <v>133.13549999999972</v>
      </c>
      <c r="AJ126" s="416">
        <f t="shared" si="124"/>
        <v>-1.8490000000003022</v>
      </c>
      <c r="AK126" s="416">
        <f t="shared" si="124"/>
        <v>11.234199999999944</v>
      </c>
      <c r="AL126" s="416">
        <f t="shared" si="124"/>
        <v>66.17300000000003</v>
      </c>
      <c r="AM126" s="416">
        <f t="shared" si="124"/>
        <v>45.015100000000047</v>
      </c>
      <c r="AN126" s="416">
        <f t="shared" si="124"/>
        <v>78.627099999999643</v>
      </c>
      <c r="AO126" s="416">
        <f t="shared" si="124"/>
        <v>112.16409999999999</v>
      </c>
      <c r="AP126" s="416">
        <f t="shared" si="124"/>
        <v>114.81799999999964</v>
      </c>
      <c r="AQ126" s="416">
        <f t="shared" si="124"/>
        <v>228.96919999999989</v>
      </c>
      <c r="AR126" s="416">
        <f t="shared" si="124"/>
        <v>61.922799999999683</v>
      </c>
      <c r="AS126" s="416">
        <f t="shared" si="124"/>
        <v>54.473400000000026</v>
      </c>
      <c r="AT126" s="416">
        <f t="shared" si="124"/>
        <v>99.66809999999991</v>
      </c>
      <c r="AU126" s="416">
        <f t="shared" si="124"/>
        <v>112.40199999999999</v>
      </c>
      <c r="AV126" s="416">
        <f t="shared" si="124"/>
        <v>128.23929999999999</v>
      </c>
    </row>
    <row r="129" spans="1:48" ht="23.25">
      <c r="A129" s="633" t="s">
        <v>274</v>
      </c>
      <c r="B129" s="633"/>
      <c r="C129" s="633"/>
      <c r="D129" s="633"/>
      <c r="E129" s="633"/>
      <c r="F129" s="633"/>
      <c r="G129" s="633"/>
      <c r="H129" s="633"/>
      <c r="I129" s="633"/>
      <c r="J129" s="633"/>
      <c r="K129" s="633"/>
      <c r="L129" s="633"/>
      <c r="M129" s="633"/>
      <c r="N129" s="633"/>
      <c r="O129" s="633"/>
      <c r="P129" s="633"/>
      <c r="Q129" s="633"/>
      <c r="R129" s="633"/>
      <c r="S129" s="633"/>
      <c r="T129" s="633"/>
      <c r="U129" s="633"/>
      <c r="V129" s="633"/>
      <c r="W129" s="633"/>
      <c r="X129" s="633"/>
      <c r="Y129" s="633"/>
      <c r="Z129" s="633"/>
      <c r="AA129" s="633"/>
      <c r="AB129" s="633"/>
      <c r="AC129" s="633"/>
      <c r="AD129" s="633"/>
      <c r="AE129" s="633"/>
      <c r="AF129" s="633"/>
      <c r="AG129" s="633"/>
      <c r="AH129" s="633"/>
      <c r="AI129" s="633"/>
      <c r="AJ129" s="633"/>
      <c r="AK129" s="633"/>
      <c r="AL129" s="633"/>
      <c r="AM129" s="633"/>
      <c r="AN129" s="633"/>
      <c r="AO129" s="633"/>
      <c r="AP129" s="633"/>
      <c r="AQ129" s="633"/>
      <c r="AR129" s="633"/>
      <c r="AS129" s="633"/>
      <c r="AT129" s="633"/>
      <c r="AU129" s="633"/>
      <c r="AV129" s="633"/>
    </row>
    <row r="130" spans="1:48" ht="18">
      <c r="A130" s="413" t="s">
        <v>275</v>
      </c>
      <c r="B130" s="417">
        <f ca="1">SUM(C130:AV130)</f>
        <v>-582.72175138623447</v>
      </c>
      <c r="C130" s="417">
        <f t="shared" ref="C130:AV130" ca="1" si="125">C137</f>
        <v>-29.497298928171347</v>
      </c>
      <c r="D130" s="417">
        <f t="shared" ca="1" si="125"/>
        <v>-29.497298928171347</v>
      </c>
      <c r="E130" s="417">
        <f t="shared" ca="1" si="125"/>
        <v>-29.497298928171347</v>
      </c>
      <c r="F130" s="417">
        <f t="shared" ca="1" si="125"/>
        <v>-29.497298928171347</v>
      </c>
      <c r="G130" s="417">
        <f t="shared" ca="1" si="125"/>
        <v>-29.497298928171347</v>
      </c>
      <c r="H130" s="417">
        <f t="shared" ca="1" si="125"/>
        <v>-29.497298928171347</v>
      </c>
      <c r="I130" s="417">
        <f t="shared" ca="1" si="125"/>
        <v>-29.497298928171347</v>
      </c>
      <c r="J130" s="417">
        <f t="shared" ca="1" si="125"/>
        <v>-29.497298928171347</v>
      </c>
      <c r="K130" s="417">
        <f t="shared" ca="1" si="125"/>
        <v>-29.497298928171347</v>
      </c>
      <c r="L130" s="417">
        <f t="shared" ca="1" si="125"/>
        <v>-29.497298928171347</v>
      </c>
      <c r="M130" s="417">
        <f t="shared" ca="1" si="125"/>
        <v>-29.497298928171347</v>
      </c>
      <c r="N130" s="417">
        <f t="shared" ca="1" si="125"/>
        <v>-29.497298928171347</v>
      </c>
      <c r="O130" s="417">
        <f t="shared" ca="1" si="125"/>
        <v>-29.497298928171347</v>
      </c>
      <c r="P130" s="417">
        <f t="shared" ca="1" si="125"/>
        <v>-29.497298928171347</v>
      </c>
      <c r="Q130" s="417">
        <f t="shared" ca="1" si="125"/>
        <v>-29.497298928171347</v>
      </c>
      <c r="R130" s="417">
        <f t="shared" ca="1" si="125"/>
        <v>-29.497298928171347</v>
      </c>
      <c r="S130" s="417">
        <f t="shared" ca="1" si="125"/>
        <v>-29.497298928171347</v>
      </c>
      <c r="T130" s="417">
        <f t="shared" ca="1" si="125"/>
        <v>-29.497298928171347</v>
      </c>
      <c r="U130" s="417">
        <f t="shared" ca="1" si="125"/>
        <v>-29.497298928171347</v>
      </c>
      <c r="V130" s="417">
        <f t="shared" ca="1" si="125"/>
        <v>-22.273071750978968</v>
      </c>
      <c r="W130" s="417">
        <f t="shared" ca="1" si="125"/>
        <v>0</v>
      </c>
      <c r="X130" s="417">
        <f t="shared" ca="1" si="125"/>
        <v>0</v>
      </c>
      <c r="Y130" s="417">
        <f t="shared" ca="1" si="125"/>
        <v>0</v>
      </c>
      <c r="Z130" s="417">
        <f t="shared" ca="1" si="125"/>
        <v>0</v>
      </c>
      <c r="AA130" s="417">
        <f t="shared" ca="1" si="125"/>
        <v>0</v>
      </c>
      <c r="AB130" s="417">
        <f t="shared" ca="1" si="125"/>
        <v>0</v>
      </c>
      <c r="AC130" s="417">
        <f t="shared" ca="1" si="125"/>
        <v>0</v>
      </c>
      <c r="AD130" s="417">
        <f t="shared" ca="1" si="125"/>
        <v>0</v>
      </c>
      <c r="AE130" s="417">
        <f t="shared" ca="1" si="125"/>
        <v>0</v>
      </c>
      <c r="AF130" s="417">
        <f t="shared" ca="1" si="125"/>
        <v>0</v>
      </c>
      <c r="AG130" s="417">
        <f t="shared" ca="1" si="125"/>
        <v>0</v>
      </c>
      <c r="AH130" s="417">
        <f t="shared" ca="1" si="125"/>
        <v>0</v>
      </c>
      <c r="AI130" s="417">
        <f t="shared" ca="1" si="125"/>
        <v>0</v>
      </c>
      <c r="AJ130" s="417">
        <f t="shared" ca="1" si="125"/>
        <v>0</v>
      </c>
      <c r="AK130" s="417">
        <f t="shared" ca="1" si="125"/>
        <v>0</v>
      </c>
      <c r="AL130" s="417">
        <f t="shared" ca="1" si="125"/>
        <v>0</v>
      </c>
      <c r="AM130" s="417">
        <f t="shared" ca="1" si="125"/>
        <v>0</v>
      </c>
      <c r="AN130" s="417">
        <f t="shared" ca="1" si="125"/>
        <v>0</v>
      </c>
      <c r="AO130" s="417">
        <f t="shared" ca="1" si="125"/>
        <v>0</v>
      </c>
      <c r="AP130" s="417">
        <f t="shared" ca="1" si="125"/>
        <v>0</v>
      </c>
      <c r="AQ130" s="417">
        <f t="shared" ca="1" si="125"/>
        <v>0</v>
      </c>
      <c r="AR130" s="417">
        <f t="shared" ca="1" si="125"/>
        <v>0</v>
      </c>
      <c r="AS130" s="417">
        <f t="shared" ca="1" si="125"/>
        <v>0</v>
      </c>
      <c r="AT130" s="417">
        <f t="shared" ca="1" si="125"/>
        <v>0</v>
      </c>
      <c r="AU130" s="417">
        <f t="shared" ca="1" si="125"/>
        <v>0</v>
      </c>
      <c r="AV130" s="417">
        <f t="shared" ca="1" si="125"/>
        <v>0</v>
      </c>
    </row>
    <row r="131" spans="1:48" ht="18">
      <c r="A131" s="413" t="s">
        <v>276</v>
      </c>
      <c r="B131" s="417">
        <f t="shared" ref="B131:B132" ca="1" si="126">SUM(C131:AV131)</f>
        <v>397.58087574885081</v>
      </c>
      <c r="C131" s="417">
        <f t="shared" ref="C131:AV131" ca="1" si="127">-C130/(1+$B$4)^(C$9-$C$9+1)</f>
        <v>28.362787430933984</v>
      </c>
      <c r="D131" s="417">
        <f t="shared" ca="1" si="127"/>
        <v>27.271910991282677</v>
      </c>
      <c r="E131" s="417">
        <f t="shared" ca="1" si="127"/>
        <v>26.222991337771806</v>
      </c>
      <c r="F131" s="417">
        <f t="shared" ca="1" si="127"/>
        <v>25.214414747857504</v>
      </c>
      <c r="G131" s="417">
        <f t="shared" ca="1" si="127"/>
        <v>24.244629565247596</v>
      </c>
      <c r="H131" s="417">
        <f t="shared" ca="1" si="127"/>
        <v>23.312143812738075</v>
      </c>
      <c r="I131" s="417">
        <f t="shared" ca="1" si="127"/>
        <v>22.415522896863536</v>
      </c>
      <c r="J131" s="417">
        <f t="shared" ca="1" si="127"/>
        <v>21.553387400830317</v>
      </c>
      <c r="K131" s="417">
        <f t="shared" ca="1" si="127"/>
        <v>20.724410962336844</v>
      </c>
      <c r="L131" s="417">
        <f t="shared" ca="1" si="127"/>
        <v>19.927318233016194</v>
      </c>
      <c r="M131" s="417">
        <f t="shared" ca="1" si="127"/>
        <v>19.160882916361725</v>
      </c>
      <c r="N131" s="417">
        <f t="shared" ca="1" si="127"/>
        <v>18.423925881117039</v>
      </c>
      <c r="O131" s="417">
        <f t="shared" ca="1" si="127"/>
        <v>17.715313347227923</v>
      </c>
      <c r="P131" s="417">
        <f t="shared" ca="1" si="127"/>
        <v>17.033955141565311</v>
      </c>
      <c r="Q131" s="417">
        <f t="shared" ca="1" si="127"/>
        <v>16.378803020735877</v>
      </c>
      <c r="R131" s="417">
        <f t="shared" ca="1" si="127"/>
        <v>15.748849058399879</v>
      </c>
      <c r="S131" s="417">
        <f t="shared" ca="1" si="127"/>
        <v>15.143124094615267</v>
      </c>
      <c r="T131" s="417">
        <f t="shared" ca="1" si="127"/>
        <v>14.56069624482237</v>
      </c>
      <c r="U131" s="417">
        <f t="shared" ca="1" si="127"/>
        <v>14.000669466175356</v>
      </c>
      <c r="V131" s="417">
        <f t="shared" ca="1" si="127"/>
        <v>10.165139198951556</v>
      </c>
      <c r="W131" s="417">
        <f t="shared" ca="1" si="127"/>
        <v>0</v>
      </c>
      <c r="X131" s="417">
        <f t="shared" ca="1" si="127"/>
        <v>0</v>
      </c>
      <c r="Y131" s="417">
        <f t="shared" ca="1" si="127"/>
        <v>0</v>
      </c>
      <c r="Z131" s="417">
        <f t="shared" ca="1" si="127"/>
        <v>0</v>
      </c>
      <c r="AA131" s="417">
        <f t="shared" ca="1" si="127"/>
        <v>0</v>
      </c>
      <c r="AB131" s="417">
        <f t="shared" ca="1" si="127"/>
        <v>0</v>
      </c>
      <c r="AC131" s="417">
        <f t="shared" ca="1" si="127"/>
        <v>0</v>
      </c>
      <c r="AD131" s="417">
        <f t="shared" ca="1" si="127"/>
        <v>0</v>
      </c>
      <c r="AE131" s="417">
        <f t="shared" ca="1" si="127"/>
        <v>0</v>
      </c>
      <c r="AF131" s="417">
        <f t="shared" ca="1" si="127"/>
        <v>0</v>
      </c>
      <c r="AG131" s="417">
        <f t="shared" ca="1" si="127"/>
        <v>0</v>
      </c>
      <c r="AH131" s="417">
        <f t="shared" ca="1" si="127"/>
        <v>0</v>
      </c>
      <c r="AI131" s="417">
        <f t="shared" ca="1" si="127"/>
        <v>0</v>
      </c>
      <c r="AJ131" s="417">
        <f t="shared" ca="1" si="127"/>
        <v>0</v>
      </c>
      <c r="AK131" s="417">
        <f t="shared" ca="1" si="127"/>
        <v>0</v>
      </c>
      <c r="AL131" s="417">
        <f t="shared" ca="1" si="127"/>
        <v>0</v>
      </c>
      <c r="AM131" s="417">
        <f t="shared" ca="1" si="127"/>
        <v>0</v>
      </c>
      <c r="AN131" s="417">
        <f t="shared" ca="1" si="127"/>
        <v>0</v>
      </c>
      <c r="AO131" s="417">
        <f t="shared" ca="1" si="127"/>
        <v>0</v>
      </c>
      <c r="AP131" s="417">
        <f t="shared" ca="1" si="127"/>
        <v>0</v>
      </c>
      <c r="AQ131" s="417">
        <f t="shared" ca="1" si="127"/>
        <v>0</v>
      </c>
      <c r="AR131" s="417">
        <f t="shared" ca="1" si="127"/>
        <v>0</v>
      </c>
      <c r="AS131" s="417">
        <f t="shared" ca="1" si="127"/>
        <v>0</v>
      </c>
      <c r="AT131" s="417">
        <f t="shared" ca="1" si="127"/>
        <v>0</v>
      </c>
      <c r="AU131" s="417">
        <f t="shared" ca="1" si="127"/>
        <v>0</v>
      </c>
      <c r="AV131" s="417">
        <f t="shared" ca="1" si="127"/>
        <v>0</v>
      </c>
    </row>
    <row r="132" spans="1:48" ht="18">
      <c r="A132" s="413" t="s">
        <v>277</v>
      </c>
      <c r="B132" s="417">
        <f t="shared" ca="1" si="126"/>
        <v>-354.97263894460269</v>
      </c>
      <c r="C132" s="417">
        <f t="shared" ref="C132:AV132" ca="1" si="128">C130/(1+$B$5)^(C$9-$C$9+1)</f>
        <v>-28.004651028359774</v>
      </c>
      <c r="D132" s="417">
        <f t="shared" ca="1" si="128"/>
        <v>-26.587535391967887</v>
      </c>
      <c r="E132" s="417">
        <f t="shared" ca="1" si="128"/>
        <v>-25.242129869902104</v>
      </c>
      <c r="F132" s="417">
        <f t="shared" ca="1" si="128"/>
        <v>-23.964805724771772</v>
      </c>
      <c r="G132" s="417">
        <f t="shared" ca="1" si="128"/>
        <v>-22.752117843702433</v>
      </c>
      <c r="H132" s="417">
        <f t="shared" ca="1" si="128"/>
        <v>-21.600795446408842</v>
      </c>
      <c r="I132" s="417">
        <f t="shared" ca="1" si="128"/>
        <v>-20.5077332634661</v>
      </c>
      <c r="J132" s="417">
        <f t="shared" ca="1" si="128"/>
        <v>-19.469983160985571</v>
      </c>
      <c r="K132" s="417">
        <f t="shared" ca="1" si="128"/>
        <v>-18.484746189106215</v>
      </c>
      <c r="L132" s="417">
        <f t="shared" ca="1" si="128"/>
        <v>-17.549365032855039</v>
      </c>
      <c r="M132" s="417">
        <f t="shared" ca="1" si="128"/>
        <v>-16.661316845015705</v>
      </c>
      <c r="N132" s="417">
        <f t="shared" ca="1" si="128"/>
        <v>-15.818206441674455</v>
      </c>
      <c r="O132" s="417">
        <f t="shared" ca="1" si="128"/>
        <v>-15.017759842091005</v>
      </c>
      <c r="P132" s="417">
        <f t="shared" ca="1" si="128"/>
        <v>-14.25781813547043</v>
      </c>
      <c r="Q132" s="417">
        <f t="shared" ca="1" si="128"/>
        <v>-13.536331658094023</v>
      </c>
      <c r="R132" s="417">
        <f t="shared" ca="1" si="128"/>
        <v>-12.851354465103981</v>
      </c>
      <c r="S132" s="417">
        <f t="shared" ca="1" si="128"/>
        <v>-12.201039082031693</v>
      </c>
      <c r="T132" s="417">
        <f t="shared" ca="1" si="128"/>
        <v>-11.583631521913693</v>
      </c>
      <c r="U132" s="417">
        <f t="shared" ca="1" si="128"/>
        <v>-10.997466554555865</v>
      </c>
      <c r="V132" s="417">
        <f t="shared" ca="1" si="128"/>
        <v>-7.8838514471262542</v>
      </c>
      <c r="W132" s="417">
        <f t="shared" ca="1" si="128"/>
        <v>0</v>
      </c>
      <c r="X132" s="417">
        <f t="shared" ca="1" si="128"/>
        <v>0</v>
      </c>
      <c r="Y132" s="417">
        <f t="shared" ca="1" si="128"/>
        <v>0</v>
      </c>
      <c r="Z132" s="417">
        <f t="shared" ca="1" si="128"/>
        <v>0</v>
      </c>
      <c r="AA132" s="417">
        <f t="shared" ca="1" si="128"/>
        <v>0</v>
      </c>
      <c r="AB132" s="417">
        <f t="shared" ca="1" si="128"/>
        <v>0</v>
      </c>
      <c r="AC132" s="417">
        <f t="shared" ca="1" si="128"/>
        <v>0</v>
      </c>
      <c r="AD132" s="417">
        <f t="shared" ca="1" si="128"/>
        <v>0</v>
      </c>
      <c r="AE132" s="417">
        <f t="shared" ca="1" si="128"/>
        <v>0</v>
      </c>
      <c r="AF132" s="417">
        <f t="shared" ca="1" si="128"/>
        <v>0</v>
      </c>
      <c r="AG132" s="417">
        <f t="shared" ca="1" si="128"/>
        <v>0</v>
      </c>
      <c r="AH132" s="417">
        <f t="shared" ca="1" si="128"/>
        <v>0</v>
      </c>
      <c r="AI132" s="417">
        <f t="shared" ca="1" si="128"/>
        <v>0</v>
      </c>
      <c r="AJ132" s="417">
        <f t="shared" ca="1" si="128"/>
        <v>0</v>
      </c>
      <c r="AK132" s="417">
        <f t="shared" ca="1" si="128"/>
        <v>0</v>
      </c>
      <c r="AL132" s="417">
        <f t="shared" ca="1" si="128"/>
        <v>0</v>
      </c>
      <c r="AM132" s="417">
        <f t="shared" ca="1" si="128"/>
        <v>0</v>
      </c>
      <c r="AN132" s="417">
        <f t="shared" ca="1" si="128"/>
        <v>0</v>
      </c>
      <c r="AO132" s="417">
        <f t="shared" ca="1" si="128"/>
        <v>0</v>
      </c>
      <c r="AP132" s="417">
        <f t="shared" ca="1" si="128"/>
        <v>0</v>
      </c>
      <c r="AQ132" s="417">
        <f t="shared" ca="1" si="128"/>
        <v>0</v>
      </c>
      <c r="AR132" s="417">
        <f t="shared" ca="1" si="128"/>
        <v>0</v>
      </c>
      <c r="AS132" s="417">
        <f t="shared" ca="1" si="128"/>
        <v>0</v>
      </c>
      <c r="AT132" s="417">
        <f t="shared" ca="1" si="128"/>
        <v>0</v>
      </c>
      <c r="AU132" s="417">
        <f t="shared" ca="1" si="128"/>
        <v>0</v>
      </c>
      <c r="AV132" s="417">
        <f t="shared" ca="1" si="128"/>
        <v>0</v>
      </c>
    </row>
    <row r="134" spans="1:48" ht="18">
      <c r="A134" s="410" t="s">
        <v>278</v>
      </c>
      <c r="C134" s="416"/>
    </row>
    <row r="135" spans="1:48">
      <c r="A135" s="440" t="s">
        <v>279</v>
      </c>
      <c r="B135" s="416">
        <f ca="1" xml:space="preserve"> (SUM(C136:AV136) / ('High Level Dashboard'!C36 - 'High Level Dashboard'!C35)) *
  (
    ((1 + 'High Level Dashboard'!C34) ^ ('High Level Dashboard'!C36 - 'High Level Dashboard'!C35)) - 1
  ) /
  (
    'High Level Dashboard'!C34 * (1 + 'High Level Dashboard'!C34) ^ ('High Level Dashboard'!C36 - 'High Level Dashboard'!C35)
  )</f>
        <v>-446.2794539942937</v>
      </c>
    </row>
    <row r="136" spans="1:48">
      <c r="A136" s="25" t="s">
        <v>280</v>
      </c>
      <c r="B136" s="416">
        <f ca="1">SUM(C136:AV136)</f>
        <v>-582.72175138623561</v>
      </c>
      <c r="C136" s="416">
        <f ca="1">'High Level Dashboard'!B98-'High Level Dashboard'!B111</f>
        <v>24.134689849488591</v>
      </c>
      <c r="D136" s="416">
        <f ca="1">'High Level Dashboard'!C98-'High Level Dashboard'!C111</f>
        <v>16.195052762027515</v>
      </c>
      <c r="E136" s="416">
        <f ca="1">'High Level Dashboard'!D98-'High Level Dashboard'!D111</f>
        <v>18.343762021318085</v>
      </c>
      <c r="F136" s="416">
        <f ca="1">'High Level Dashboard'!E98-'High Level Dashboard'!E111</f>
        <v>18.432580123052304</v>
      </c>
      <c r="G136" s="416">
        <f ca="1">'High Level Dashboard'!F98-'High Level Dashboard'!F111</f>
        <v>18.475502272546294</v>
      </c>
      <c r="H136" s="416">
        <f ca="1">'High Level Dashboard'!G98-'High Level Dashboard'!G111</f>
        <v>15.440084137915562</v>
      </c>
      <c r="I136" s="416">
        <f ca="1">'High Level Dashboard'!H98-'High Level Dashboard'!H111</f>
        <v>14.061168831578414</v>
      </c>
      <c r="J136" s="416">
        <f ca="1">'High Level Dashboard'!I98-'High Level Dashboard'!I111</f>
        <v>15.935132726585834</v>
      </c>
      <c r="K136" s="416">
        <f ca="1">'High Level Dashboard'!J98-'High Level Dashboard'!J111</f>
        <v>15.226593946621279</v>
      </c>
      <c r="L136" s="416">
        <f ca="1">'High Level Dashboard'!K98-'High Level Dashboard'!K111</f>
        <v>9.5801035334216067</v>
      </c>
      <c r="M136" s="416">
        <f ca="1">'High Level Dashboard'!L98-'High Level Dashboard'!L111</f>
        <v>8.840965489905102</v>
      </c>
      <c r="N136" s="416">
        <f ca="1">'High Level Dashboard'!M98-'High Level Dashboard'!M111</f>
        <v>5.4307580143074574</v>
      </c>
      <c r="O136" s="416">
        <f ca="1">'High Level Dashboard'!N98-'High Level Dashboard'!N111</f>
        <v>-3.3673066333672068</v>
      </c>
      <c r="P136" s="416">
        <f ca="1">'High Level Dashboard'!O98-'High Level Dashboard'!O111</f>
        <v>-7.0888834665117884</v>
      </c>
      <c r="Q136" s="416">
        <f ca="1">'High Level Dashboard'!P98-'High Level Dashboard'!P111</f>
        <v>-8.0278191366833198</v>
      </c>
      <c r="R136" s="416">
        <f ca="1">'High Level Dashboard'!Q98-'High Level Dashboard'!Q111</f>
        <v>-6.5938341293090161</v>
      </c>
      <c r="S136" s="416">
        <f ca="1">'High Level Dashboard'!R98-'High Level Dashboard'!R111</f>
        <v>-9.4396713726057442</v>
      </c>
      <c r="T136" s="416">
        <f ca="1">'High Level Dashboard'!S98-'High Level Dashboard'!S111</f>
        <v>-11.820036340766592</v>
      </c>
      <c r="U136" s="416">
        <f ca="1">'High Level Dashboard'!T98-'High Level Dashboard'!T111</f>
        <v>-14.257627725128714</v>
      </c>
      <c r="V136" s="416">
        <f ca="1">'High Level Dashboard'!U98-'High Level Dashboard'!U111</f>
        <v>-16.437375455728898</v>
      </c>
      <c r="W136" s="416">
        <f ca="1">'High Level Dashboard'!V98-'High Level Dashboard'!V111</f>
        <v>-16.621497529177759</v>
      </c>
      <c r="X136" s="416">
        <f ca="1">'High Level Dashboard'!W98-'High Level Dashboard'!W111</f>
        <v>-14.068922776146792</v>
      </c>
      <c r="Y136" s="416">
        <f ca="1">'High Level Dashboard'!X98-'High Level Dashboard'!X111</f>
        <v>-16.084202377823203</v>
      </c>
      <c r="Z136" s="416">
        <f ca="1">'High Level Dashboard'!Y98-'High Level Dashboard'!Y111</f>
        <v>-27.981855393753904</v>
      </c>
      <c r="AA136" s="416">
        <f ca="1">'High Level Dashboard'!Z98-'High Level Dashboard'!Z111</f>
        <v>-33.162198217568402</v>
      </c>
      <c r="AB136" s="416">
        <f ca="1">'High Level Dashboard'!AA98-'High Level Dashboard'!AA111</f>
        <v>-39.179718554504689</v>
      </c>
      <c r="AC136" s="416">
        <f ca="1">'High Level Dashboard'!AB98-'High Level Dashboard'!AB111</f>
        <v>-62.307119478362438</v>
      </c>
      <c r="AD136" s="416">
        <f ca="1">'High Level Dashboard'!AC98-'High Level Dashboard'!AC111</f>
        <v>-69.792670301152157</v>
      </c>
      <c r="AE136" s="416">
        <f ca="1">'High Level Dashboard'!AD98-'High Level Dashboard'!AD111</f>
        <v>-63.492417097552334</v>
      </c>
      <c r="AF136" s="416">
        <f ca="1">'High Level Dashboard'!AE98-'High Level Dashboard'!AE111</f>
        <v>-58.487142974428934</v>
      </c>
      <c r="AG136" s="416">
        <f ca="1">'High Level Dashboard'!AF98-'High Level Dashboard'!AF111</f>
        <v>-55.13955549129787</v>
      </c>
      <c r="AH136" s="416">
        <f ca="1">'High Level Dashboard'!AG98-'High Level Dashboard'!AG111</f>
        <v>-59.676647645648245</v>
      </c>
      <c r="AI136" s="416">
        <f ca="1">'High Level Dashboard'!AH98-'High Level Dashboard'!AH111</f>
        <v>-60.291105327863988</v>
      </c>
      <c r="AJ136" s="416">
        <f ca="1">'High Level Dashboard'!AI98-'High Level Dashboard'!AI111</f>
        <v>-54.89646889888536</v>
      </c>
      <c r="AK136" s="416">
        <f ca="1">'High Level Dashboard'!AJ98-'High Level Dashboard'!AJ111</f>
        <v>-53.582767592093205</v>
      </c>
      <c r="AL136" s="416">
        <f ca="1">'High Level Dashboard'!AK98-'High Level Dashboard'!AK111</f>
        <v>-43.762454963437449</v>
      </c>
      <c r="AM136" s="416">
        <f ca="1">'High Level Dashboard'!AL98-'High Level Dashboard'!AL111</f>
        <v>-34.47601905831425</v>
      </c>
      <c r="AN136" s="416">
        <f ca="1">'High Level Dashboard'!AM98-'High Level Dashboard'!AM111</f>
        <v>-29.811082461877049</v>
      </c>
      <c r="AO136" s="416">
        <f ca="1">'High Level Dashboard'!AN98-'High Level Dashboard'!AN111</f>
        <v>-19.130284656702315</v>
      </c>
      <c r="AP136" s="416">
        <f ca="1">'High Level Dashboard'!AO98-'High Level Dashboard'!AO111</f>
        <v>-8.3447532502186732</v>
      </c>
      <c r="AQ136" s="416">
        <f ca="1">'High Level Dashboard'!AP98-'High Level Dashboard'!AP111</f>
        <v>9.3030607281798439</v>
      </c>
      <c r="AR136" s="416">
        <f ca="1">'High Level Dashboard'!AQ98-'High Level Dashboard'!AQ111</f>
        <v>14.024244877541605</v>
      </c>
      <c r="AS136" s="416">
        <f ca="1">'High Level Dashboard'!AR98-'High Level Dashboard'!AR111</f>
        <v>16.753747082574591</v>
      </c>
      <c r="AT136" s="416">
        <f ca="1">'High Level Dashboard'!AS98-'High Level Dashboard'!AS111</f>
        <v>23.835194325942211</v>
      </c>
      <c r="AU136" s="416">
        <f ca="1">'High Level Dashboard'!AT98-'High Level Dashboard'!AT111</f>
        <v>31.332461538789175</v>
      </c>
      <c r="AV136" s="416">
        <f ca="1">'High Level Dashboard'!AU98-'High Level Dashboard'!AU111</f>
        <v>39.254584658879139</v>
      </c>
    </row>
    <row r="137" spans="1:48">
      <c r="B137" s="416">
        <f ca="1">SUM(C137:AV137)</f>
        <v>-582.72175138623447</v>
      </c>
      <c r="C137" s="416">
        <f ca="1">IF(C9&lt;$C$9+(ROUNDDOWN('High Level Dashboard'!$C$36-'High Level Dashboard'!$C$35,0)),-PMT('High Level Dashboard'!$C$34,'High Level Dashboard'!$C$36-'High Level Dashboard'!$C$35,'Financial Instruments'!$B$135,0),
IF(C9=$C$9-1+(ROUNDUP('High Level Dashboard'!$C$36-'High Level Dashboard'!$C$35,0)),-PMT('High Level Dashboard'!$C$34,'High Level Dashboard'!$C$36-'High Level Dashboard'!$C$35,'Financial Instruments'!$B$135,0)*(('High Level Dashboard'!$C$36-'High Level Dashboard'!$C$35)-ROUNDDOWN('High Level Dashboard'!$C$36-'High Level Dashboard'!$C$35,0)),
0))</f>
        <v>-29.497298928171347</v>
      </c>
      <c r="D137" s="416">
        <f ca="1">IF(D9&lt;$C$9+(ROUNDDOWN('High Level Dashboard'!$C$36-'High Level Dashboard'!$C$35,0)),-PMT('High Level Dashboard'!$C$34,'High Level Dashboard'!$C$36-'High Level Dashboard'!$C$35,'Financial Instruments'!$B$135,0),
IF(D9=$C$9-1+(ROUNDUP('High Level Dashboard'!$C$36-'High Level Dashboard'!$C$35,0)),-PMT('High Level Dashboard'!$C$34,'High Level Dashboard'!$C$36-'High Level Dashboard'!$C$35,'Financial Instruments'!$B$135,0)*(('High Level Dashboard'!$C$36-'High Level Dashboard'!$C$35)-ROUNDDOWN('High Level Dashboard'!$C$36-'High Level Dashboard'!$C$35,0)),
0))</f>
        <v>-29.497298928171347</v>
      </c>
      <c r="E137" s="416">
        <f ca="1">IF(E9&lt;$C$9+(ROUNDDOWN('High Level Dashboard'!$C$36-'High Level Dashboard'!$C$35,0)),-PMT('High Level Dashboard'!$C$34,'High Level Dashboard'!$C$36-'High Level Dashboard'!$C$35,'Financial Instruments'!$B$135,0),
IF(E9=$C$9-1+(ROUNDUP('High Level Dashboard'!$C$36-'High Level Dashboard'!$C$35,0)),-PMT('High Level Dashboard'!$C$34,'High Level Dashboard'!$C$36-'High Level Dashboard'!$C$35,'Financial Instruments'!$B$135,0)*(('High Level Dashboard'!$C$36-'High Level Dashboard'!$C$35)-ROUNDDOWN('High Level Dashboard'!$C$36-'High Level Dashboard'!$C$35,0)),
0))</f>
        <v>-29.497298928171347</v>
      </c>
      <c r="F137" s="416">
        <f ca="1">IF(F9&lt;$C$9+(ROUNDDOWN('High Level Dashboard'!$C$36-'High Level Dashboard'!$C$35,0)),-PMT('High Level Dashboard'!$C$34,'High Level Dashboard'!$C$36-'High Level Dashboard'!$C$35,'Financial Instruments'!$B$135,0),
IF(F9=$C$9-1+(ROUNDUP('High Level Dashboard'!$C$36-'High Level Dashboard'!$C$35,0)),-PMT('High Level Dashboard'!$C$34,'High Level Dashboard'!$C$36-'High Level Dashboard'!$C$35,'Financial Instruments'!$B$135,0)*(('High Level Dashboard'!$C$36-'High Level Dashboard'!$C$35)-ROUNDDOWN('High Level Dashboard'!$C$36-'High Level Dashboard'!$C$35,0)),
0))</f>
        <v>-29.497298928171347</v>
      </c>
      <c r="G137" s="416">
        <f ca="1">IF(G9&lt;$C$9+(ROUNDDOWN('High Level Dashboard'!$C$36-'High Level Dashboard'!$C$35,0)),-PMT('High Level Dashboard'!$C$34,'High Level Dashboard'!$C$36-'High Level Dashboard'!$C$35,'Financial Instruments'!$B$135,0),
IF(G9=$C$9-1+(ROUNDUP('High Level Dashboard'!$C$36-'High Level Dashboard'!$C$35,0)),-PMT('High Level Dashboard'!$C$34,'High Level Dashboard'!$C$36-'High Level Dashboard'!$C$35,'Financial Instruments'!$B$135,0)*(('High Level Dashboard'!$C$36-'High Level Dashboard'!$C$35)-ROUNDDOWN('High Level Dashboard'!$C$36-'High Level Dashboard'!$C$35,0)),
0))</f>
        <v>-29.497298928171347</v>
      </c>
      <c r="H137" s="416">
        <f ca="1">IF(H9&lt;$C$9+(ROUNDDOWN('High Level Dashboard'!$C$36-'High Level Dashboard'!$C$35,0)),-PMT('High Level Dashboard'!$C$34,'High Level Dashboard'!$C$36-'High Level Dashboard'!$C$35,'Financial Instruments'!$B$135,0),
IF(H9=$C$9-1+(ROUNDUP('High Level Dashboard'!$C$36-'High Level Dashboard'!$C$35,0)),-PMT('High Level Dashboard'!$C$34,'High Level Dashboard'!$C$36-'High Level Dashboard'!$C$35,'Financial Instruments'!$B$135,0)*(('High Level Dashboard'!$C$36-'High Level Dashboard'!$C$35)-ROUNDDOWN('High Level Dashboard'!$C$36-'High Level Dashboard'!$C$35,0)),
0))</f>
        <v>-29.497298928171347</v>
      </c>
      <c r="I137" s="416">
        <f ca="1">IF(I9&lt;$C$9+(ROUNDDOWN('High Level Dashboard'!$C$36-'High Level Dashboard'!$C$35,0)),-PMT('High Level Dashboard'!$C$34,'High Level Dashboard'!$C$36-'High Level Dashboard'!$C$35,'Financial Instruments'!$B$135,0),
IF(I9=$C$9-1+(ROUNDUP('High Level Dashboard'!$C$36-'High Level Dashboard'!$C$35,0)),-PMT('High Level Dashboard'!$C$34,'High Level Dashboard'!$C$36-'High Level Dashboard'!$C$35,'Financial Instruments'!$B$135,0)*(('High Level Dashboard'!$C$36-'High Level Dashboard'!$C$35)-ROUNDDOWN('High Level Dashboard'!$C$36-'High Level Dashboard'!$C$35,0)),
0))</f>
        <v>-29.497298928171347</v>
      </c>
      <c r="J137" s="416">
        <f ca="1">IF(J9&lt;$C$9+(ROUNDDOWN('High Level Dashboard'!$C$36-'High Level Dashboard'!$C$35,0)),-PMT('High Level Dashboard'!$C$34,'High Level Dashboard'!$C$36-'High Level Dashboard'!$C$35,'Financial Instruments'!$B$135,0),
IF(J9=$C$9-1+(ROUNDUP('High Level Dashboard'!$C$36-'High Level Dashboard'!$C$35,0)),-PMT('High Level Dashboard'!$C$34,'High Level Dashboard'!$C$36-'High Level Dashboard'!$C$35,'Financial Instruments'!$B$135,0)*(('High Level Dashboard'!$C$36-'High Level Dashboard'!$C$35)-ROUNDDOWN('High Level Dashboard'!$C$36-'High Level Dashboard'!$C$35,0)),
0))</f>
        <v>-29.497298928171347</v>
      </c>
      <c r="K137" s="416">
        <f ca="1">IF(K9&lt;$C$9+(ROUNDDOWN('High Level Dashboard'!$C$36-'High Level Dashboard'!$C$35,0)),-PMT('High Level Dashboard'!$C$34,'High Level Dashboard'!$C$36-'High Level Dashboard'!$C$35,'Financial Instruments'!$B$135,0),
IF(K9=$C$9-1+(ROUNDUP('High Level Dashboard'!$C$36-'High Level Dashboard'!$C$35,0)),-PMT('High Level Dashboard'!$C$34,'High Level Dashboard'!$C$36-'High Level Dashboard'!$C$35,'Financial Instruments'!$B$135,0)*(('High Level Dashboard'!$C$36-'High Level Dashboard'!$C$35)-ROUNDDOWN('High Level Dashboard'!$C$36-'High Level Dashboard'!$C$35,0)),
0))</f>
        <v>-29.497298928171347</v>
      </c>
      <c r="L137" s="416">
        <f ca="1">IF(L9&lt;$C$9+(ROUNDDOWN('High Level Dashboard'!$C$36-'High Level Dashboard'!$C$35,0)),-PMT('High Level Dashboard'!$C$34,'High Level Dashboard'!$C$36-'High Level Dashboard'!$C$35,'Financial Instruments'!$B$135,0),
IF(L9=$C$9-1+(ROUNDUP('High Level Dashboard'!$C$36-'High Level Dashboard'!$C$35,0)),-PMT('High Level Dashboard'!$C$34,'High Level Dashboard'!$C$36-'High Level Dashboard'!$C$35,'Financial Instruments'!$B$135,0)*(('High Level Dashboard'!$C$36-'High Level Dashboard'!$C$35)-ROUNDDOWN('High Level Dashboard'!$C$36-'High Level Dashboard'!$C$35,0)),
0))</f>
        <v>-29.497298928171347</v>
      </c>
      <c r="M137" s="416">
        <f ca="1">IF(M9&lt;$C$9+(ROUNDDOWN('High Level Dashboard'!$C$36-'High Level Dashboard'!$C$35,0)),-PMT('High Level Dashboard'!$C$34,'High Level Dashboard'!$C$36-'High Level Dashboard'!$C$35,'Financial Instruments'!$B$135,0),
IF(M9=$C$9-1+(ROUNDUP('High Level Dashboard'!$C$36-'High Level Dashboard'!$C$35,0)),-PMT('High Level Dashboard'!$C$34,'High Level Dashboard'!$C$36-'High Level Dashboard'!$C$35,'Financial Instruments'!$B$135,0)*(('High Level Dashboard'!$C$36-'High Level Dashboard'!$C$35)-ROUNDDOWN('High Level Dashboard'!$C$36-'High Level Dashboard'!$C$35,0)),
0))</f>
        <v>-29.497298928171347</v>
      </c>
      <c r="N137" s="416">
        <f ca="1">IF(N9&lt;$C$9+(ROUNDDOWN('High Level Dashboard'!$C$36-'High Level Dashboard'!$C$35,0)),-PMT('High Level Dashboard'!$C$34,'High Level Dashboard'!$C$36-'High Level Dashboard'!$C$35,'Financial Instruments'!$B$135,0),
IF(N9=$C$9-1+(ROUNDUP('High Level Dashboard'!$C$36-'High Level Dashboard'!$C$35,0)),-PMT('High Level Dashboard'!$C$34,'High Level Dashboard'!$C$36-'High Level Dashboard'!$C$35,'Financial Instruments'!$B$135,0)*(('High Level Dashboard'!$C$36-'High Level Dashboard'!$C$35)-ROUNDDOWN('High Level Dashboard'!$C$36-'High Level Dashboard'!$C$35,0)),
0))</f>
        <v>-29.497298928171347</v>
      </c>
      <c r="O137" s="416">
        <f ca="1">IF(O9&lt;$C$9+(ROUNDDOWN('High Level Dashboard'!$C$36-'High Level Dashboard'!$C$35,0)),-PMT('High Level Dashboard'!$C$34,'High Level Dashboard'!$C$36-'High Level Dashboard'!$C$35,'Financial Instruments'!$B$135,0),
IF(O9=$C$9-1+(ROUNDUP('High Level Dashboard'!$C$36-'High Level Dashboard'!$C$35,0)),-PMT('High Level Dashboard'!$C$34,'High Level Dashboard'!$C$36-'High Level Dashboard'!$C$35,'Financial Instruments'!$B$135,0)*(('High Level Dashboard'!$C$36-'High Level Dashboard'!$C$35)-ROUNDDOWN('High Level Dashboard'!$C$36-'High Level Dashboard'!$C$35,0)),
0))</f>
        <v>-29.497298928171347</v>
      </c>
      <c r="P137" s="416">
        <f ca="1">IF(P9&lt;$C$9+(ROUNDDOWN('High Level Dashboard'!$C$36-'High Level Dashboard'!$C$35,0)),-PMT('High Level Dashboard'!$C$34,'High Level Dashboard'!$C$36-'High Level Dashboard'!$C$35,'Financial Instruments'!$B$135,0),
IF(P9=$C$9-1+(ROUNDUP('High Level Dashboard'!$C$36-'High Level Dashboard'!$C$35,0)),-PMT('High Level Dashboard'!$C$34,'High Level Dashboard'!$C$36-'High Level Dashboard'!$C$35,'Financial Instruments'!$B$135,0)*(('High Level Dashboard'!$C$36-'High Level Dashboard'!$C$35)-ROUNDDOWN('High Level Dashboard'!$C$36-'High Level Dashboard'!$C$35,0)),
0))</f>
        <v>-29.497298928171347</v>
      </c>
      <c r="Q137" s="416">
        <f ca="1">IF(Q9&lt;$C$9+(ROUNDDOWN('High Level Dashboard'!$C$36-'High Level Dashboard'!$C$35,0)),-PMT('High Level Dashboard'!$C$34,'High Level Dashboard'!$C$36-'High Level Dashboard'!$C$35,'Financial Instruments'!$B$135,0),
IF(Q9=$C$9-1+(ROUNDUP('High Level Dashboard'!$C$36-'High Level Dashboard'!$C$35,0)),-PMT('High Level Dashboard'!$C$34,'High Level Dashboard'!$C$36-'High Level Dashboard'!$C$35,'Financial Instruments'!$B$135,0)*(('High Level Dashboard'!$C$36-'High Level Dashboard'!$C$35)-ROUNDDOWN('High Level Dashboard'!$C$36-'High Level Dashboard'!$C$35,0)),
0))</f>
        <v>-29.497298928171347</v>
      </c>
      <c r="R137" s="416">
        <f ca="1">IF(R9&lt;$C$9+(ROUNDDOWN('High Level Dashboard'!$C$36-'High Level Dashboard'!$C$35,0)),-PMT('High Level Dashboard'!$C$34,'High Level Dashboard'!$C$36-'High Level Dashboard'!$C$35,'Financial Instruments'!$B$135,0),
IF(R9=$C$9-1+(ROUNDUP('High Level Dashboard'!$C$36-'High Level Dashboard'!$C$35,0)),-PMT('High Level Dashboard'!$C$34,'High Level Dashboard'!$C$36-'High Level Dashboard'!$C$35,'Financial Instruments'!$B$135,0)*(('High Level Dashboard'!$C$36-'High Level Dashboard'!$C$35)-ROUNDDOWN('High Level Dashboard'!$C$36-'High Level Dashboard'!$C$35,0)),
0))</f>
        <v>-29.497298928171347</v>
      </c>
      <c r="S137" s="416">
        <f ca="1">IF(S9&lt;$C$9+(ROUNDDOWN('High Level Dashboard'!$C$36-'High Level Dashboard'!$C$35,0)),-PMT('High Level Dashboard'!$C$34,'High Level Dashboard'!$C$36-'High Level Dashboard'!$C$35,'Financial Instruments'!$B$135,0),
IF(S9=$C$9-1+(ROUNDUP('High Level Dashboard'!$C$36-'High Level Dashboard'!$C$35,0)),-PMT('High Level Dashboard'!$C$34,'High Level Dashboard'!$C$36-'High Level Dashboard'!$C$35,'Financial Instruments'!$B$135,0)*(('High Level Dashboard'!$C$36-'High Level Dashboard'!$C$35)-ROUNDDOWN('High Level Dashboard'!$C$36-'High Level Dashboard'!$C$35,0)),
0))</f>
        <v>-29.497298928171347</v>
      </c>
      <c r="T137" s="416">
        <f ca="1">IF(T9&lt;$C$9+(ROUNDDOWN('High Level Dashboard'!$C$36-'High Level Dashboard'!$C$35,0)),-PMT('High Level Dashboard'!$C$34,'High Level Dashboard'!$C$36-'High Level Dashboard'!$C$35,'Financial Instruments'!$B$135,0),
IF(T9=$C$9-1+(ROUNDUP('High Level Dashboard'!$C$36-'High Level Dashboard'!$C$35,0)),-PMT('High Level Dashboard'!$C$34,'High Level Dashboard'!$C$36-'High Level Dashboard'!$C$35,'Financial Instruments'!$B$135,0)*(('High Level Dashboard'!$C$36-'High Level Dashboard'!$C$35)-ROUNDDOWN('High Level Dashboard'!$C$36-'High Level Dashboard'!$C$35,0)),
0))</f>
        <v>-29.497298928171347</v>
      </c>
      <c r="U137" s="416">
        <f ca="1">IF(U9&lt;$C$9+(ROUNDDOWN('High Level Dashboard'!$C$36-'High Level Dashboard'!$C$35,0)),-PMT('High Level Dashboard'!$C$34,'High Level Dashboard'!$C$36-'High Level Dashboard'!$C$35,'Financial Instruments'!$B$135,0),
IF(U9=$C$9-1+(ROUNDUP('High Level Dashboard'!$C$36-'High Level Dashboard'!$C$35,0)),-PMT('High Level Dashboard'!$C$34,'High Level Dashboard'!$C$36-'High Level Dashboard'!$C$35,'Financial Instruments'!$B$135,0)*(('High Level Dashboard'!$C$36-'High Level Dashboard'!$C$35)-ROUNDDOWN('High Level Dashboard'!$C$36-'High Level Dashboard'!$C$35,0)),
0))</f>
        <v>-29.497298928171347</v>
      </c>
      <c r="V137" s="416">
        <f ca="1">IF(V9&lt;$C$9+(ROUNDDOWN('High Level Dashboard'!$C$36-'High Level Dashboard'!$C$35,0)),-PMT('High Level Dashboard'!$C$34,'High Level Dashboard'!$C$36-'High Level Dashboard'!$C$35,'Financial Instruments'!$B$135,0),
IF(V9=$C$9-1+(ROUNDUP('High Level Dashboard'!$C$36-'High Level Dashboard'!$C$35,0)),-PMT('High Level Dashboard'!$C$34,'High Level Dashboard'!$C$36-'High Level Dashboard'!$C$35,'Financial Instruments'!$B$135,0)*(('High Level Dashboard'!$C$36-'High Level Dashboard'!$C$35)-ROUNDDOWN('High Level Dashboard'!$C$36-'High Level Dashboard'!$C$35,0)),
0))</f>
        <v>-22.273071750978968</v>
      </c>
      <c r="W137" s="416">
        <f ca="1">IF(W9&lt;$C$9+(ROUNDDOWN('High Level Dashboard'!$C$36-'High Level Dashboard'!$C$35,0)),-PMT('High Level Dashboard'!$C$34,'High Level Dashboard'!$C$36-'High Level Dashboard'!$C$35,'Financial Instruments'!$B$135,0),
IF(W9=$C$9-1+(ROUNDUP('High Level Dashboard'!$C$36-'High Level Dashboard'!$C$35,0)),-PMT('High Level Dashboard'!$C$34,'High Level Dashboard'!$C$36-'High Level Dashboard'!$C$35,'Financial Instruments'!$B$135,0)*(('High Level Dashboard'!$C$36-'High Level Dashboard'!$C$35)-ROUNDDOWN('High Level Dashboard'!$C$36-'High Level Dashboard'!$C$35,0)),
0))</f>
        <v>0</v>
      </c>
      <c r="X137" s="416">
        <f ca="1">IF(X9&lt;$C$9+(ROUNDDOWN('High Level Dashboard'!$C$36-'High Level Dashboard'!$C$35,0)),-PMT('High Level Dashboard'!$C$34,'High Level Dashboard'!$C$36-'High Level Dashboard'!$C$35,'Financial Instruments'!$B$135,0),
IF(X9=$C$9-1+(ROUNDUP('High Level Dashboard'!$C$36-'High Level Dashboard'!$C$35,0)),-PMT('High Level Dashboard'!$C$34,'High Level Dashboard'!$C$36-'High Level Dashboard'!$C$35,'Financial Instruments'!$B$135,0)*(('High Level Dashboard'!$C$36-'High Level Dashboard'!$C$35)-ROUNDDOWN('High Level Dashboard'!$C$36-'High Level Dashboard'!$C$35,0)),
0))</f>
        <v>0</v>
      </c>
      <c r="Y137" s="416">
        <f ca="1">IF(Y9&lt;$C$9+(ROUNDDOWN('High Level Dashboard'!$C$36-'High Level Dashboard'!$C$35,0)),-PMT('High Level Dashboard'!$C$34,'High Level Dashboard'!$C$36-'High Level Dashboard'!$C$35,'Financial Instruments'!$B$135,0),
IF(Y9=$C$9-1+(ROUNDUP('High Level Dashboard'!$C$36-'High Level Dashboard'!$C$35,0)),-PMT('High Level Dashboard'!$C$34,'High Level Dashboard'!$C$36-'High Level Dashboard'!$C$35,'Financial Instruments'!$B$135,0)*(('High Level Dashboard'!$C$36-'High Level Dashboard'!$C$35)-ROUNDDOWN('High Level Dashboard'!$C$36-'High Level Dashboard'!$C$35,0)),
0))</f>
        <v>0</v>
      </c>
      <c r="Z137" s="416">
        <f ca="1">IF(Z9&lt;$C$9+(ROUNDDOWN('High Level Dashboard'!$C$36-'High Level Dashboard'!$C$35,0)),-PMT('High Level Dashboard'!$C$34,'High Level Dashboard'!$C$36-'High Level Dashboard'!$C$35,'Financial Instruments'!$B$135,0),
IF(Z9=$C$9-1+(ROUNDUP('High Level Dashboard'!$C$36-'High Level Dashboard'!$C$35,0)),-PMT('High Level Dashboard'!$C$34,'High Level Dashboard'!$C$36-'High Level Dashboard'!$C$35,'Financial Instruments'!$B$135,0)*(('High Level Dashboard'!$C$36-'High Level Dashboard'!$C$35)-ROUNDDOWN('High Level Dashboard'!$C$36-'High Level Dashboard'!$C$35,0)),
0))</f>
        <v>0</v>
      </c>
      <c r="AA137" s="416">
        <f ca="1">IF(AA9&lt;$C$9+(ROUNDDOWN('High Level Dashboard'!$C$36-'High Level Dashboard'!$C$35,0)),-PMT('High Level Dashboard'!$C$34,'High Level Dashboard'!$C$36-'High Level Dashboard'!$C$35,'Financial Instruments'!$B$135,0),
IF(AA9=$C$9-1+(ROUNDUP('High Level Dashboard'!$C$36-'High Level Dashboard'!$C$35,0)),-PMT('High Level Dashboard'!$C$34,'High Level Dashboard'!$C$36-'High Level Dashboard'!$C$35,'Financial Instruments'!$B$135,0)*(('High Level Dashboard'!$C$36-'High Level Dashboard'!$C$35)-ROUNDDOWN('High Level Dashboard'!$C$36-'High Level Dashboard'!$C$35,0)),
0))</f>
        <v>0</v>
      </c>
      <c r="AB137" s="416">
        <f ca="1">IF(AB9&lt;$C$9+(ROUNDDOWN('High Level Dashboard'!$C$36-'High Level Dashboard'!$C$35,0)),-PMT('High Level Dashboard'!$C$34,'High Level Dashboard'!$C$36-'High Level Dashboard'!$C$35,'Financial Instruments'!$B$135,0),
IF(AB9=$C$9-1+(ROUNDUP('High Level Dashboard'!$C$36-'High Level Dashboard'!$C$35,0)),-PMT('High Level Dashboard'!$C$34,'High Level Dashboard'!$C$36-'High Level Dashboard'!$C$35,'Financial Instruments'!$B$135,0)*(('High Level Dashboard'!$C$36-'High Level Dashboard'!$C$35)-ROUNDDOWN('High Level Dashboard'!$C$36-'High Level Dashboard'!$C$35,0)),
0))</f>
        <v>0</v>
      </c>
      <c r="AC137" s="416">
        <f ca="1">IF(AC9&lt;$C$9+(ROUNDDOWN('High Level Dashboard'!$C$36-'High Level Dashboard'!$C$35,0)),-PMT('High Level Dashboard'!$C$34,'High Level Dashboard'!$C$36-'High Level Dashboard'!$C$35,'Financial Instruments'!$B$135,0),
IF(AC9=$C$9-1+(ROUNDUP('High Level Dashboard'!$C$36-'High Level Dashboard'!$C$35,0)),-PMT('High Level Dashboard'!$C$34,'High Level Dashboard'!$C$36-'High Level Dashboard'!$C$35,'Financial Instruments'!$B$135,0)*(('High Level Dashboard'!$C$36-'High Level Dashboard'!$C$35)-ROUNDDOWN('High Level Dashboard'!$C$36-'High Level Dashboard'!$C$35,0)),
0))</f>
        <v>0</v>
      </c>
      <c r="AD137" s="416">
        <f ca="1">IF(AD9&lt;$C$9+(ROUNDDOWN('High Level Dashboard'!$C$36-'High Level Dashboard'!$C$35,0)),-PMT('High Level Dashboard'!$C$34,'High Level Dashboard'!$C$36-'High Level Dashboard'!$C$35,'Financial Instruments'!$B$135,0),
IF(AD9=$C$9-1+(ROUNDUP('High Level Dashboard'!$C$36-'High Level Dashboard'!$C$35,0)),-PMT('High Level Dashboard'!$C$34,'High Level Dashboard'!$C$36-'High Level Dashboard'!$C$35,'Financial Instruments'!$B$135,0)*(('High Level Dashboard'!$C$36-'High Level Dashboard'!$C$35)-ROUNDDOWN('High Level Dashboard'!$C$36-'High Level Dashboard'!$C$35,0)),
0))</f>
        <v>0</v>
      </c>
      <c r="AE137" s="416">
        <f ca="1">IF(AE9&lt;$C$9+(ROUNDDOWN('High Level Dashboard'!$C$36-'High Level Dashboard'!$C$35,0)),-PMT('High Level Dashboard'!$C$34,'High Level Dashboard'!$C$36-'High Level Dashboard'!$C$35,'Financial Instruments'!$B$135,0),
IF(AE9=$C$9-1+(ROUNDUP('High Level Dashboard'!$C$36-'High Level Dashboard'!$C$35,0)),-PMT('High Level Dashboard'!$C$34,'High Level Dashboard'!$C$36-'High Level Dashboard'!$C$35,'Financial Instruments'!$B$135,0)*(('High Level Dashboard'!$C$36-'High Level Dashboard'!$C$35)-ROUNDDOWN('High Level Dashboard'!$C$36-'High Level Dashboard'!$C$35,0)),
0))</f>
        <v>0</v>
      </c>
      <c r="AF137" s="416">
        <f ca="1">IF(AF9&lt;$C$9+(ROUNDDOWN('High Level Dashboard'!$C$36-'High Level Dashboard'!$C$35,0)),-PMT('High Level Dashboard'!$C$34,'High Level Dashboard'!$C$36-'High Level Dashboard'!$C$35,'Financial Instruments'!$B$135,0),
IF(AF9=$C$9-1+(ROUNDUP('High Level Dashboard'!$C$36-'High Level Dashboard'!$C$35,0)),-PMT('High Level Dashboard'!$C$34,'High Level Dashboard'!$C$36-'High Level Dashboard'!$C$35,'Financial Instruments'!$B$135,0)*(('High Level Dashboard'!$C$36-'High Level Dashboard'!$C$35)-ROUNDDOWN('High Level Dashboard'!$C$36-'High Level Dashboard'!$C$35,0)),
0))</f>
        <v>0</v>
      </c>
      <c r="AG137" s="416">
        <f ca="1">IF(AG9&lt;$C$9+(ROUNDDOWN('High Level Dashboard'!$C$36-'High Level Dashboard'!$C$35,0)),-PMT('High Level Dashboard'!$C$34,'High Level Dashboard'!$C$36-'High Level Dashboard'!$C$35,'Financial Instruments'!$B$135,0),
IF(AG9=$C$9-1+(ROUNDUP('High Level Dashboard'!$C$36-'High Level Dashboard'!$C$35,0)),-PMT('High Level Dashboard'!$C$34,'High Level Dashboard'!$C$36-'High Level Dashboard'!$C$35,'Financial Instruments'!$B$135,0)*(('High Level Dashboard'!$C$36-'High Level Dashboard'!$C$35)-ROUNDDOWN('High Level Dashboard'!$C$36-'High Level Dashboard'!$C$35,0)),
0))</f>
        <v>0</v>
      </c>
      <c r="AH137" s="416">
        <f ca="1">IF(AH9&lt;$C$9+(ROUNDDOWN('High Level Dashboard'!$C$36-'High Level Dashboard'!$C$35,0)),-PMT('High Level Dashboard'!$C$34,'High Level Dashboard'!$C$36-'High Level Dashboard'!$C$35,'Financial Instruments'!$B$135,0),
IF(AH9=$C$9-1+(ROUNDUP('High Level Dashboard'!$C$36-'High Level Dashboard'!$C$35,0)),-PMT('High Level Dashboard'!$C$34,'High Level Dashboard'!$C$36-'High Level Dashboard'!$C$35,'Financial Instruments'!$B$135,0)*(('High Level Dashboard'!$C$36-'High Level Dashboard'!$C$35)-ROUNDDOWN('High Level Dashboard'!$C$36-'High Level Dashboard'!$C$35,0)),
0))</f>
        <v>0</v>
      </c>
      <c r="AI137" s="416">
        <f ca="1">IF(AI9&lt;$C$9+(ROUNDDOWN('High Level Dashboard'!$C$36-'High Level Dashboard'!$C$35,0)),-PMT('High Level Dashboard'!$C$34,'High Level Dashboard'!$C$36-'High Level Dashboard'!$C$35,'Financial Instruments'!$B$135,0),
IF(AI9=$C$9-1+(ROUNDUP('High Level Dashboard'!$C$36-'High Level Dashboard'!$C$35,0)),-PMT('High Level Dashboard'!$C$34,'High Level Dashboard'!$C$36-'High Level Dashboard'!$C$35,'Financial Instruments'!$B$135,0)*(('High Level Dashboard'!$C$36-'High Level Dashboard'!$C$35)-ROUNDDOWN('High Level Dashboard'!$C$36-'High Level Dashboard'!$C$35,0)),
0))</f>
        <v>0</v>
      </c>
      <c r="AJ137" s="416">
        <f ca="1">IF(AJ9&lt;$C$9+(ROUNDDOWN('High Level Dashboard'!$C$36-'High Level Dashboard'!$C$35,0)),-PMT('High Level Dashboard'!$C$34,'High Level Dashboard'!$C$36-'High Level Dashboard'!$C$35,'Financial Instruments'!$B$135,0),
IF(AJ9=$C$9-1+(ROUNDUP('High Level Dashboard'!$C$36-'High Level Dashboard'!$C$35,0)),-PMT('High Level Dashboard'!$C$34,'High Level Dashboard'!$C$36-'High Level Dashboard'!$C$35,'Financial Instruments'!$B$135,0)*(('High Level Dashboard'!$C$36-'High Level Dashboard'!$C$35)-ROUNDDOWN('High Level Dashboard'!$C$36-'High Level Dashboard'!$C$35,0)),
0))</f>
        <v>0</v>
      </c>
      <c r="AK137" s="416">
        <f ca="1">IF(AK9&lt;$C$9+(ROUNDDOWN('High Level Dashboard'!$C$36-'High Level Dashboard'!$C$35,0)),-PMT('High Level Dashboard'!$C$34,'High Level Dashboard'!$C$36-'High Level Dashboard'!$C$35,'Financial Instruments'!$B$135,0),
IF(AK9=$C$9-1+(ROUNDUP('High Level Dashboard'!$C$36-'High Level Dashboard'!$C$35,0)),-PMT('High Level Dashboard'!$C$34,'High Level Dashboard'!$C$36-'High Level Dashboard'!$C$35,'Financial Instruments'!$B$135,0)*(('High Level Dashboard'!$C$36-'High Level Dashboard'!$C$35)-ROUNDDOWN('High Level Dashboard'!$C$36-'High Level Dashboard'!$C$35,0)),
0))</f>
        <v>0</v>
      </c>
      <c r="AL137" s="416">
        <f ca="1">IF(AL9&lt;$C$9+(ROUNDDOWN('High Level Dashboard'!$C$36-'High Level Dashboard'!$C$35,0)),-PMT('High Level Dashboard'!$C$34,'High Level Dashboard'!$C$36-'High Level Dashboard'!$C$35,'Financial Instruments'!$B$135,0),
IF(AL9=$C$9-1+(ROUNDUP('High Level Dashboard'!$C$36-'High Level Dashboard'!$C$35,0)),-PMT('High Level Dashboard'!$C$34,'High Level Dashboard'!$C$36-'High Level Dashboard'!$C$35,'Financial Instruments'!$B$135,0)*(('High Level Dashboard'!$C$36-'High Level Dashboard'!$C$35)-ROUNDDOWN('High Level Dashboard'!$C$36-'High Level Dashboard'!$C$35,0)),
0))</f>
        <v>0</v>
      </c>
      <c r="AM137" s="416">
        <f ca="1">IF(AM9&lt;$C$9+(ROUNDDOWN('High Level Dashboard'!$C$36-'High Level Dashboard'!$C$35,0)),-PMT('High Level Dashboard'!$C$34,'High Level Dashboard'!$C$36-'High Level Dashboard'!$C$35,'Financial Instruments'!$B$135,0),
IF(AM9=$C$9-1+(ROUNDUP('High Level Dashboard'!$C$36-'High Level Dashboard'!$C$35,0)),-PMT('High Level Dashboard'!$C$34,'High Level Dashboard'!$C$36-'High Level Dashboard'!$C$35,'Financial Instruments'!$B$135,0)*(('High Level Dashboard'!$C$36-'High Level Dashboard'!$C$35)-ROUNDDOWN('High Level Dashboard'!$C$36-'High Level Dashboard'!$C$35,0)),
0))</f>
        <v>0</v>
      </c>
      <c r="AN137" s="416">
        <f ca="1">IF(AN9&lt;$C$9+(ROUNDDOWN('High Level Dashboard'!$C$36-'High Level Dashboard'!$C$35,0)),-PMT('High Level Dashboard'!$C$34,'High Level Dashboard'!$C$36-'High Level Dashboard'!$C$35,'Financial Instruments'!$B$135,0),
IF(AN9=$C$9-1+(ROUNDUP('High Level Dashboard'!$C$36-'High Level Dashboard'!$C$35,0)),-PMT('High Level Dashboard'!$C$34,'High Level Dashboard'!$C$36-'High Level Dashboard'!$C$35,'Financial Instruments'!$B$135,0)*(('High Level Dashboard'!$C$36-'High Level Dashboard'!$C$35)-ROUNDDOWN('High Level Dashboard'!$C$36-'High Level Dashboard'!$C$35,0)),
0))</f>
        <v>0</v>
      </c>
      <c r="AO137" s="416">
        <f ca="1">IF(AO9&lt;$C$9+(ROUNDDOWN('High Level Dashboard'!$C$36-'High Level Dashboard'!$C$35,0)),-PMT('High Level Dashboard'!$C$34,'High Level Dashboard'!$C$36-'High Level Dashboard'!$C$35,'Financial Instruments'!$B$135,0),
IF(AO9=$C$9-1+(ROUNDUP('High Level Dashboard'!$C$36-'High Level Dashboard'!$C$35,0)),-PMT('High Level Dashboard'!$C$34,'High Level Dashboard'!$C$36-'High Level Dashboard'!$C$35,'Financial Instruments'!$B$135,0)*(('High Level Dashboard'!$C$36-'High Level Dashboard'!$C$35)-ROUNDDOWN('High Level Dashboard'!$C$36-'High Level Dashboard'!$C$35,0)),
0))</f>
        <v>0</v>
      </c>
      <c r="AP137" s="416">
        <f ca="1">IF(AP9&lt;$C$9+(ROUNDDOWN('High Level Dashboard'!$C$36-'High Level Dashboard'!$C$35,0)),-PMT('High Level Dashboard'!$C$34,'High Level Dashboard'!$C$36-'High Level Dashboard'!$C$35,'Financial Instruments'!$B$135,0),
IF(AP9=$C$9-1+(ROUNDUP('High Level Dashboard'!$C$36-'High Level Dashboard'!$C$35,0)),-PMT('High Level Dashboard'!$C$34,'High Level Dashboard'!$C$36-'High Level Dashboard'!$C$35,'Financial Instruments'!$B$135,0)*(('High Level Dashboard'!$C$36-'High Level Dashboard'!$C$35)-ROUNDDOWN('High Level Dashboard'!$C$36-'High Level Dashboard'!$C$35,0)),
0))</f>
        <v>0</v>
      </c>
      <c r="AQ137" s="416">
        <f ca="1">IF(AQ9&lt;$C$9+(ROUNDDOWN('High Level Dashboard'!$C$36-'High Level Dashboard'!$C$35,0)),-PMT('High Level Dashboard'!$C$34,'High Level Dashboard'!$C$36-'High Level Dashboard'!$C$35,'Financial Instruments'!$B$135,0),
IF(AQ9=$C$9-1+(ROUNDUP('High Level Dashboard'!$C$36-'High Level Dashboard'!$C$35,0)),-PMT('High Level Dashboard'!$C$34,'High Level Dashboard'!$C$36-'High Level Dashboard'!$C$35,'Financial Instruments'!$B$135,0)*(('High Level Dashboard'!$C$36-'High Level Dashboard'!$C$35)-ROUNDDOWN('High Level Dashboard'!$C$36-'High Level Dashboard'!$C$35,0)),
0))</f>
        <v>0</v>
      </c>
      <c r="AR137" s="416">
        <f ca="1">IF(AR9&lt;$C$9+(ROUNDDOWN('High Level Dashboard'!$C$36-'High Level Dashboard'!$C$35,0)),-PMT('High Level Dashboard'!$C$34,'High Level Dashboard'!$C$36-'High Level Dashboard'!$C$35,'Financial Instruments'!$B$135,0),
IF(AR9=$C$9-1+(ROUNDUP('High Level Dashboard'!$C$36-'High Level Dashboard'!$C$35,0)),-PMT('High Level Dashboard'!$C$34,'High Level Dashboard'!$C$36-'High Level Dashboard'!$C$35,'Financial Instruments'!$B$135,0)*(('High Level Dashboard'!$C$36-'High Level Dashboard'!$C$35)-ROUNDDOWN('High Level Dashboard'!$C$36-'High Level Dashboard'!$C$35,0)),
0))</f>
        <v>0</v>
      </c>
      <c r="AS137" s="416">
        <f ca="1">IF(AS9&lt;$C$9+(ROUNDDOWN('High Level Dashboard'!$C$36-'High Level Dashboard'!$C$35,0)),-PMT('High Level Dashboard'!$C$34,'High Level Dashboard'!$C$36-'High Level Dashboard'!$C$35,'Financial Instruments'!$B$135,0),
IF(AS9=$C$9-1+(ROUNDUP('High Level Dashboard'!$C$36-'High Level Dashboard'!$C$35,0)),-PMT('High Level Dashboard'!$C$34,'High Level Dashboard'!$C$36-'High Level Dashboard'!$C$35,'Financial Instruments'!$B$135,0)*(('High Level Dashboard'!$C$36-'High Level Dashboard'!$C$35)-ROUNDDOWN('High Level Dashboard'!$C$36-'High Level Dashboard'!$C$35,0)),
0))</f>
        <v>0</v>
      </c>
      <c r="AT137" s="416">
        <f ca="1">IF(AT9&lt;$C$9+(ROUNDDOWN('High Level Dashboard'!$C$36-'High Level Dashboard'!$C$35,0)),-PMT('High Level Dashboard'!$C$34,'High Level Dashboard'!$C$36-'High Level Dashboard'!$C$35,'Financial Instruments'!$B$135,0),
IF(AT9=$C$9-1+(ROUNDUP('High Level Dashboard'!$C$36-'High Level Dashboard'!$C$35,0)),-PMT('High Level Dashboard'!$C$34,'High Level Dashboard'!$C$36-'High Level Dashboard'!$C$35,'Financial Instruments'!$B$135,0)*(('High Level Dashboard'!$C$36-'High Level Dashboard'!$C$35)-ROUNDDOWN('High Level Dashboard'!$C$36-'High Level Dashboard'!$C$35,0)),
0))</f>
        <v>0</v>
      </c>
      <c r="AU137" s="416">
        <f ca="1">IF(AU9&lt;$C$9+(ROUNDDOWN('High Level Dashboard'!$C$36-'High Level Dashboard'!$C$35,0)),-PMT('High Level Dashboard'!$C$34,'High Level Dashboard'!$C$36-'High Level Dashboard'!$C$35,'Financial Instruments'!$B$135,0),
IF(AU9=$C$9-1+(ROUNDUP('High Level Dashboard'!$C$36-'High Level Dashboard'!$C$35,0)),-PMT('High Level Dashboard'!$C$34,'High Level Dashboard'!$C$36-'High Level Dashboard'!$C$35,'Financial Instruments'!$B$135,0)*(('High Level Dashboard'!$C$36-'High Level Dashboard'!$C$35)-ROUNDDOWN('High Level Dashboard'!$C$36-'High Level Dashboard'!$C$35,0)),
0))</f>
        <v>0</v>
      </c>
      <c r="AV137" s="416">
        <f ca="1">IF(AV9&lt;$C$9+(ROUNDDOWN('High Level Dashboard'!$C$36-'High Level Dashboard'!$C$35,0)),-PMT('High Level Dashboard'!$C$34,'High Level Dashboard'!$C$36-'High Level Dashboard'!$C$35,'Financial Instruments'!$B$135,0),
IF(AV9=$C$9-1+(ROUNDUP('High Level Dashboard'!$C$36-'High Level Dashboard'!$C$35,0)),-PMT('High Level Dashboard'!$C$34,'High Level Dashboard'!$C$36-'High Level Dashboard'!$C$35,'Financial Instruments'!$B$135,0)*(('High Level Dashboard'!$C$36-'High Level Dashboard'!$C$35)-ROUNDDOWN('High Level Dashboard'!$C$36-'High Level Dashboard'!$C$35,0)),
0))</f>
        <v>0</v>
      </c>
    </row>
  </sheetData>
  <mergeCells count="6">
    <mergeCell ref="A117:AV117"/>
    <mergeCell ref="A129:AV129"/>
    <mergeCell ref="A10:AV10"/>
    <mergeCell ref="A35:AV35"/>
    <mergeCell ref="A55:AV55"/>
    <mergeCell ref="A73:AV73"/>
  </mergeCells>
  <phoneticPr fontId="16" type="noConversion"/>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74F8EA-DF20-5F4D-81D6-F9A4C42439FB}">
  <sheetPr codeName="Sheet9">
    <tabColor theme="5"/>
  </sheetPr>
  <dimension ref="A1:BL136"/>
  <sheetViews>
    <sheetView showGridLines="0" topLeftCell="A82" zoomScaleNormal="100" workbookViewId="0">
      <selection activeCell="B94" sqref="B93:B94"/>
    </sheetView>
  </sheetViews>
  <sheetFormatPr defaultColWidth="8.796875" defaultRowHeight="15" customHeight="1" outlineLevelRow="1"/>
  <cols>
    <col min="1" max="1" width="59.46484375" customWidth="1"/>
    <col min="2" max="2" width="16.19921875" bestFit="1" customWidth="1"/>
    <col min="3" max="5" width="9.19921875" bestFit="1" customWidth="1"/>
    <col min="6" max="6" width="9.796875" bestFit="1" customWidth="1"/>
    <col min="7" max="10" width="9.19921875" bestFit="1" customWidth="1"/>
    <col min="11" max="11" width="9.53125" bestFit="1" customWidth="1"/>
    <col min="12" max="18" width="10.46484375" bestFit="1" customWidth="1"/>
    <col min="19" max="43" width="10.19921875" bestFit="1" customWidth="1"/>
    <col min="44" max="47" width="10.46484375" bestFit="1" customWidth="1"/>
    <col min="48" max="48" width="13.53125" bestFit="1" customWidth="1"/>
    <col min="49" max="49" width="13.46484375" bestFit="1" customWidth="1"/>
    <col min="50" max="50" width="12.796875" bestFit="1" customWidth="1"/>
    <col min="51" max="51" width="10.19921875" bestFit="1" customWidth="1"/>
    <col min="52" max="52" width="11.19921875" bestFit="1" customWidth="1"/>
  </cols>
  <sheetData>
    <row r="1" spans="1:48" ht="46.9">
      <c r="A1" s="498" t="s">
        <v>0</v>
      </c>
      <c r="B1" s="497"/>
      <c r="C1" s="497"/>
      <c r="D1" s="497"/>
      <c r="E1" s="497"/>
      <c r="F1" s="481"/>
      <c r="G1" s="481"/>
      <c r="H1" s="481"/>
      <c r="I1" s="481"/>
      <c r="J1" s="481"/>
      <c r="K1" s="481"/>
      <c r="L1" s="481"/>
      <c r="M1" s="481"/>
      <c r="N1" s="481"/>
      <c r="O1" s="481"/>
      <c r="P1" s="481"/>
      <c r="Q1" s="481"/>
      <c r="R1" s="481"/>
      <c r="S1" s="481"/>
      <c r="T1" s="481"/>
      <c r="U1" s="481"/>
      <c r="V1" s="481"/>
      <c r="W1" s="481"/>
      <c r="X1" s="481"/>
      <c r="Y1" s="481"/>
      <c r="Z1" s="481"/>
      <c r="AA1" s="481"/>
      <c r="AB1" s="481"/>
      <c r="AC1" s="481"/>
      <c r="AD1" s="481"/>
      <c r="AE1" s="481"/>
      <c r="AF1" s="481"/>
      <c r="AG1" s="481"/>
      <c r="AH1" s="481"/>
      <c r="AI1" s="481"/>
      <c r="AJ1" s="481"/>
      <c r="AK1" s="481"/>
      <c r="AL1" s="481"/>
      <c r="AM1" s="481"/>
      <c r="AN1" s="481"/>
      <c r="AO1" s="481"/>
      <c r="AP1" s="481"/>
      <c r="AQ1" s="481"/>
      <c r="AR1" s="481"/>
      <c r="AS1" s="481"/>
      <c r="AT1" s="481"/>
      <c r="AU1" s="481"/>
      <c r="AV1" s="481"/>
    </row>
    <row r="2" spans="1:48" ht="25.5">
      <c r="A2" s="499" t="s">
        <v>281</v>
      </c>
      <c r="B2" s="497"/>
      <c r="C2" s="497"/>
      <c r="D2" s="497"/>
      <c r="E2" s="497"/>
      <c r="F2" s="481"/>
      <c r="G2" s="481"/>
      <c r="H2" s="481"/>
      <c r="I2" s="481"/>
      <c r="J2" s="481"/>
      <c r="K2" s="481"/>
      <c r="L2" s="481"/>
      <c r="M2" s="481"/>
      <c r="N2" s="481"/>
      <c r="O2" s="481"/>
      <c r="P2" s="481"/>
      <c r="Q2" s="481"/>
      <c r="R2" s="481"/>
      <c r="S2" s="481"/>
      <c r="T2" s="481"/>
      <c r="U2" s="481"/>
      <c r="V2" s="481"/>
      <c r="W2" s="481"/>
      <c r="X2" s="481"/>
      <c r="Y2" s="481"/>
      <c r="Z2" s="481"/>
      <c r="AA2" s="481"/>
      <c r="AB2" s="481"/>
      <c r="AC2" s="481"/>
      <c r="AD2" s="481"/>
      <c r="AE2" s="481"/>
      <c r="AF2" s="481"/>
      <c r="AG2" s="481"/>
      <c r="AH2" s="481"/>
      <c r="AI2" s="481"/>
      <c r="AJ2" s="481"/>
      <c r="AK2" s="481"/>
      <c r="AL2" s="481"/>
      <c r="AM2" s="481"/>
      <c r="AN2" s="481"/>
      <c r="AO2" s="481"/>
      <c r="AP2" s="481"/>
      <c r="AQ2" s="481"/>
      <c r="AR2" s="481"/>
      <c r="AS2" s="481"/>
      <c r="AT2" s="481"/>
      <c r="AU2" s="481"/>
      <c r="AV2" s="481"/>
    </row>
    <row r="3" spans="1:48" ht="15" customHeight="1" thickBot="1">
      <c r="A3" s="637"/>
      <c r="B3" s="637"/>
      <c r="C3" s="637"/>
      <c r="D3" s="637"/>
      <c r="E3" s="637"/>
      <c r="F3" s="637"/>
      <c r="G3" s="637"/>
      <c r="I3" s="55"/>
    </row>
    <row r="4" spans="1:48" ht="21.4" thickBot="1">
      <c r="A4" s="646" t="s">
        <v>282</v>
      </c>
      <c r="B4" s="647"/>
      <c r="C4" s="647"/>
      <c r="D4" s="647"/>
      <c r="E4" s="647"/>
      <c r="F4" s="647"/>
      <c r="G4" s="647"/>
      <c r="H4" s="648"/>
      <c r="I4" s="2"/>
    </row>
    <row r="5" spans="1:48" ht="21.4" thickBot="1">
      <c r="A5" s="386" t="s">
        <v>283</v>
      </c>
      <c r="B5" s="592" t="s">
        <v>284</v>
      </c>
      <c r="C5" s="638" t="s">
        <v>285</v>
      </c>
      <c r="D5" s="639"/>
      <c r="E5" s="640"/>
      <c r="F5" s="641" t="s">
        <v>286</v>
      </c>
      <c r="G5" s="642"/>
      <c r="H5" s="643"/>
      <c r="I5" s="2"/>
    </row>
    <row r="6" spans="1:48" ht="18.399999999999999" thickBot="1">
      <c r="A6" s="387" t="s">
        <v>287</v>
      </c>
      <c r="B6" s="388" t="str">
        <f>VLOOKUP($B$5,'Financing Baseline'!$A$38:$C$39,3,FALSE)</f>
        <v>USD</v>
      </c>
      <c r="C6" s="385" t="s">
        <v>288</v>
      </c>
      <c r="D6" s="354" t="s">
        <v>289</v>
      </c>
      <c r="E6" s="393" t="s">
        <v>290</v>
      </c>
      <c r="F6" s="355" t="s">
        <v>288</v>
      </c>
      <c r="G6" s="356" t="s">
        <v>289</v>
      </c>
      <c r="H6" s="393" t="s">
        <v>290</v>
      </c>
      <c r="I6" s="2"/>
    </row>
    <row r="7" spans="1:48" ht="21.4" thickBot="1">
      <c r="A7" s="644" t="s">
        <v>291</v>
      </c>
      <c r="B7" s="645"/>
      <c r="C7" s="645"/>
      <c r="D7" s="645"/>
      <c r="E7" s="645"/>
      <c r="F7" s="645"/>
      <c r="G7" s="645"/>
      <c r="H7" s="645"/>
    </row>
    <row r="8" spans="1:48" ht="16.149999999999999" thickBot="1">
      <c r="A8" s="634" t="s">
        <v>292</v>
      </c>
      <c r="B8" s="635"/>
      <c r="C8" s="635"/>
      <c r="D8" s="635"/>
      <c r="E8" s="635"/>
      <c r="F8" s="635"/>
      <c r="G8" s="635"/>
      <c r="H8" s="636"/>
    </row>
    <row r="9" spans="1:48" ht="16.05" customHeight="1" outlineLevel="1">
      <c r="A9" s="372" t="s">
        <v>293</v>
      </c>
      <c r="B9" s="366"/>
      <c r="C9" s="346">
        <f>F9</f>
        <v>0.9834115372940152</v>
      </c>
      <c r="D9" s="348">
        <f>G9</f>
        <v>1.6588462705984797E-2</v>
      </c>
      <c r="E9" s="360">
        <f>SUM(C9:D9)</f>
        <v>1</v>
      </c>
      <c r="F9" s="469">
        <f>'Financing Baseline'!K17</f>
        <v>0.9834115372940152</v>
      </c>
      <c r="G9" s="470">
        <f>'Financing Baseline'!L17</f>
        <v>1.6588462705984797E-2</v>
      </c>
      <c r="H9" s="359">
        <f>SUM(F9:G9)</f>
        <v>1</v>
      </c>
    </row>
    <row r="10" spans="1:48" ht="16.05" customHeight="1" outlineLevel="1">
      <c r="A10" s="370" t="s">
        <v>294</v>
      </c>
      <c r="B10" s="366"/>
      <c r="C10" s="346">
        <f>F10</f>
        <v>2.2210932905582154E-2</v>
      </c>
      <c r="D10" s="348">
        <f>G10</f>
        <v>0.1509303169312885</v>
      </c>
      <c r="E10" s="360">
        <f>IFERROR(($C$9*C10)+($D$9*D10),"")</f>
        <v>2.434618960702992E-2</v>
      </c>
      <c r="F10" s="471">
        <f>'Financing Baseline'!C32</f>
        <v>2.2210932905582154E-2</v>
      </c>
      <c r="G10" s="466">
        <f>'Financing Baseline'!C24</f>
        <v>0.1509303169312885</v>
      </c>
      <c r="H10" s="360">
        <f>IFERROR(($F$9*F10)+($G$9*G10),"")</f>
        <v>2.434618960702992E-2</v>
      </c>
    </row>
    <row r="11" spans="1:48" ht="16.05" customHeight="1" outlineLevel="1">
      <c r="A11" s="370" t="s">
        <v>295</v>
      </c>
      <c r="B11" s="366"/>
      <c r="C11" s="347">
        <f t="shared" ref="C11:D12" si="0">F11</f>
        <v>6.9218762234121112</v>
      </c>
      <c r="D11" s="349">
        <f t="shared" si="0"/>
        <v>0</v>
      </c>
      <c r="E11" s="361">
        <f>IFERROR(($C$9*C11)+($D$9*D11),"")</f>
        <v>6.8070529378245963</v>
      </c>
      <c r="F11" s="472">
        <f>'Financing Baseline'!E32</f>
        <v>6.9218762234121112</v>
      </c>
      <c r="G11" s="467">
        <f>'Financing Baseline'!E24</f>
        <v>0</v>
      </c>
      <c r="H11" s="361">
        <f>IFERROR(($F$9*F11)+($G$9*G11),"")</f>
        <v>6.8070529378245963</v>
      </c>
    </row>
    <row r="12" spans="1:48" ht="16.05" customHeight="1" outlineLevel="1">
      <c r="A12" s="370" t="s">
        <v>296</v>
      </c>
      <c r="B12" s="366"/>
      <c r="C12" s="347">
        <f t="shared" si="0"/>
        <v>27.250361132750378</v>
      </c>
      <c r="D12" s="349">
        <f t="shared" si="0"/>
        <v>24.88710014635166</v>
      </c>
      <c r="E12" s="361">
        <f>IFERROR(($C$9*C12)+($D$9*D12),"")</f>
        <v>27.211158266012994</v>
      </c>
      <c r="F12" s="473">
        <f>'Financing Baseline'!D32</f>
        <v>27.250361132750378</v>
      </c>
      <c r="G12" s="468">
        <f>'Financing Baseline'!D24</f>
        <v>24.88710014635166</v>
      </c>
      <c r="H12" s="361">
        <f>IFERROR(($F$9*F12)+($G$9*G12),"")</f>
        <v>27.211158266012994</v>
      </c>
    </row>
    <row r="13" spans="1:48" ht="16.05" customHeight="1" outlineLevel="1" thickBot="1">
      <c r="A13" s="371" t="s">
        <v>297</v>
      </c>
      <c r="B13" s="367"/>
      <c r="C13" s="362">
        <f>F13</f>
        <v>0.80599980832350315</v>
      </c>
      <c r="D13" s="363" t="s">
        <v>13</v>
      </c>
      <c r="E13" s="364" t="s">
        <v>13</v>
      </c>
      <c r="F13" s="474">
        <f>'Financing Baseline'!J32</f>
        <v>0.80599980832350315</v>
      </c>
      <c r="G13" s="475" t="s">
        <v>13</v>
      </c>
      <c r="H13" s="364" t="s">
        <v>13</v>
      </c>
    </row>
    <row r="14" spans="1:48" ht="16.05" customHeight="1" thickBot="1">
      <c r="A14" s="634" t="s">
        <v>298</v>
      </c>
      <c r="B14" s="635"/>
      <c r="C14" s="635"/>
      <c r="D14" s="635"/>
      <c r="E14" s="635"/>
      <c r="F14" s="635"/>
      <c r="G14" s="635"/>
      <c r="H14" s="636"/>
    </row>
    <row r="15" spans="1:48" ht="16.05" customHeight="1" outlineLevel="1">
      <c r="A15" s="372" t="s">
        <v>293</v>
      </c>
      <c r="B15" s="366"/>
      <c r="C15" s="346">
        <f>F15</f>
        <v>0.1688067679143915</v>
      </c>
      <c r="D15" s="348">
        <f>G15</f>
        <v>0.83119323208560847</v>
      </c>
      <c r="E15" s="360">
        <f>SUM(C15:D15)</f>
        <v>1</v>
      </c>
      <c r="F15" s="469">
        <f>'Financing Baseline'!K18</f>
        <v>0.1688067679143915</v>
      </c>
      <c r="G15" s="470">
        <f>'Financing Baseline'!L18</f>
        <v>0.83119323208560847</v>
      </c>
      <c r="H15" s="359">
        <f>SUM(F15:G15)</f>
        <v>1</v>
      </c>
    </row>
    <row r="16" spans="1:48" ht="16.05" customHeight="1" outlineLevel="1">
      <c r="A16" s="370" t="s">
        <v>294</v>
      </c>
      <c r="B16" s="366"/>
      <c r="C16" s="346">
        <f>F16</f>
        <v>2.6511348189144572E-2</v>
      </c>
      <c r="D16" s="348">
        <f>G16</f>
        <v>0.19684646462160904</v>
      </c>
      <c r="E16" s="360">
        <f>IFERROR(($C$15*C16)+($D$15*D16),"")</f>
        <v>0.16809274415432315</v>
      </c>
      <c r="F16" s="471">
        <f>'Financing Baseline'!C33</f>
        <v>2.6511348189144572E-2</v>
      </c>
      <c r="G16" s="466">
        <f>'Financing Baseline'!C25</f>
        <v>0.19684646462160904</v>
      </c>
      <c r="H16" s="360">
        <f>IFERROR(($F$15*F16)+($G$15*G16),"")</f>
        <v>0.16809274415432315</v>
      </c>
    </row>
    <row r="17" spans="1:8" ht="16.05" customHeight="1" outlineLevel="1">
      <c r="A17" s="370" t="s">
        <v>295</v>
      </c>
      <c r="B17" s="366"/>
      <c r="C17" s="347">
        <f t="shared" ref="C17:D19" si="1">F17</f>
        <v>7.0987911447713357</v>
      </c>
      <c r="D17" s="349">
        <f t="shared" si="1"/>
        <v>0</v>
      </c>
      <c r="E17" s="361">
        <f t="shared" ref="E17:E18" si="2">IFERROR(($C$15*C17)+($D$15*D17),"")</f>
        <v>1.1983239892481525</v>
      </c>
      <c r="F17" s="472">
        <f>'Financing Baseline'!E33</f>
        <v>7.0987911447713357</v>
      </c>
      <c r="G17" s="467">
        <f>'Financing Baseline'!E25</f>
        <v>0</v>
      </c>
      <c r="H17" s="361">
        <f>IFERROR(($F$15*F17)+($G$15*G17),"")</f>
        <v>1.1983239892481525</v>
      </c>
    </row>
    <row r="18" spans="1:8" ht="16.05" customHeight="1" outlineLevel="1">
      <c r="A18" s="370" t="s">
        <v>296</v>
      </c>
      <c r="B18" s="366"/>
      <c r="C18" s="347">
        <f t="shared" si="1"/>
        <v>22.641732207010385</v>
      </c>
      <c r="D18" s="349">
        <f t="shared" si="1"/>
        <v>34.03767170610525</v>
      </c>
      <c r="E18" s="361">
        <f t="shared" si="2"/>
        <v>32.113959991915095</v>
      </c>
      <c r="F18" s="473">
        <f>'Financing Baseline'!D33</f>
        <v>22.641732207010385</v>
      </c>
      <c r="G18" s="468">
        <f>'Financing Baseline'!D25</f>
        <v>34.03767170610525</v>
      </c>
      <c r="H18" s="361">
        <f>IFERROR(($F$15*F18)+($G$15*G18),"")</f>
        <v>32.113959991915095</v>
      </c>
    </row>
    <row r="19" spans="1:8" ht="16.05" customHeight="1" outlineLevel="1" thickBot="1">
      <c r="A19" s="371" t="s">
        <v>297</v>
      </c>
      <c r="B19" s="367"/>
      <c r="C19" s="362">
        <f t="shared" si="1"/>
        <v>0.77131285778173986</v>
      </c>
      <c r="D19" s="363" t="s">
        <v>13</v>
      </c>
      <c r="E19" s="364" t="s">
        <v>13</v>
      </c>
      <c r="F19" s="474">
        <f>'Financing Baseline'!J33</f>
        <v>0.77131285778173986</v>
      </c>
      <c r="G19" s="475" t="s">
        <v>13</v>
      </c>
      <c r="H19" s="364" t="s">
        <v>13</v>
      </c>
    </row>
    <row r="20" spans="1:8" ht="16.05" customHeight="1" thickBot="1">
      <c r="A20" s="634" t="s">
        <v>299</v>
      </c>
      <c r="B20" s="635"/>
      <c r="C20" s="635"/>
      <c r="D20" s="635"/>
      <c r="E20" s="635"/>
      <c r="F20" s="635"/>
      <c r="G20" s="635"/>
      <c r="H20" s="636"/>
    </row>
    <row r="21" spans="1:8" ht="16.05" customHeight="1" outlineLevel="1">
      <c r="A21" s="372" t="s">
        <v>293</v>
      </c>
      <c r="B21" s="366"/>
      <c r="C21" s="346">
        <f>F21</f>
        <v>0.36177808074194329</v>
      </c>
      <c r="D21" s="348">
        <f>G21</f>
        <v>0.63822191925805671</v>
      </c>
      <c r="E21" s="360">
        <f>SUM(C21:D21)</f>
        <v>1</v>
      </c>
      <c r="F21" s="469">
        <f>'Financing Baseline'!K19</f>
        <v>0.36177808074194329</v>
      </c>
      <c r="G21" s="470">
        <f>'Financing Baseline'!L19</f>
        <v>0.63822191925805671</v>
      </c>
      <c r="H21" s="359">
        <f>SUM(F21:G21)</f>
        <v>1</v>
      </c>
    </row>
    <row r="22" spans="1:8" ht="16.05" customHeight="1" outlineLevel="1">
      <c r="A22" s="370" t="s">
        <v>294</v>
      </c>
      <c r="B22" s="366"/>
      <c r="C22" s="346">
        <f>F22</f>
        <v>9.7008588925656475E-2</v>
      </c>
      <c r="D22" s="348">
        <f>G22</f>
        <v>0.11526585951992803</v>
      </c>
      <c r="E22" s="360">
        <f>IFERROR(($C$21*C22)+($D$21*D22),"")</f>
        <v>0.10866077920474615</v>
      </c>
      <c r="F22" s="471">
        <f>'Financing Baseline'!C34</f>
        <v>9.7008588925656475E-2</v>
      </c>
      <c r="G22" s="466">
        <f>'Financing Baseline'!C26</f>
        <v>0.11526585951992803</v>
      </c>
      <c r="H22" s="360">
        <f>IFERROR(($F$21*F22)+($G$21*G22),"")</f>
        <v>0.10866077920474615</v>
      </c>
    </row>
    <row r="23" spans="1:8" ht="16.05" customHeight="1" outlineLevel="1">
      <c r="A23" s="370" t="s">
        <v>295</v>
      </c>
      <c r="B23" s="366"/>
      <c r="C23" s="347">
        <f t="shared" ref="C23:D25" si="3">F23</f>
        <v>2.8170943349448372</v>
      </c>
      <c r="D23" s="349">
        <f t="shared" si="3"/>
        <v>0</v>
      </c>
      <c r="E23" s="361">
        <f t="shared" ref="E23:E24" si="4">IFERROR(($C$21*C23)+($D$21*D23),"")</f>
        <v>1.0191629817653443</v>
      </c>
      <c r="F23" s="472">
        <f>'Financing Baseline'!E34</f>
        <v>2.8170943349448372</v>
      </c>
      <c r="G23" s="467">
        <f>'Financing Baseline'!E26</f>
        <v>0</v>
      </c>
      <c r="H23" s="361">
        <f>IFERROR(($F$21*F23)+($G$21*G23),"")</f>
        <v>1.0191629817653443</v>
      </c>
    </row>
    <row r="24" spans="1:8" ht="16.05" customHeight="1" outlineLevel="1">
      <c r="A24" s="370" t="s">
        <v>296</v>
      </c>
      <c r="B24" s="366"/>
      <c r="C24" s="347">
        <f t="shared" si="3"/>
        <v>15.774761373496961</v>
      </c>
      <c r="D24" s="349">
        <f t="shared" si="3"/>
        <v>25.574664586729632</v>
      </c>
      <c r="E24" s="361">
        <f t="shared" si="4"/>
        <v>22.029274410789512</v>
      </c>
      <c r="F24" s="473">
        <f>'Financing Baseline'!D34</f>
        <v>15.774761373496961</v>
      </c>
      <c r="G24" s="468">
        <f>'Financing Baseline'!D26</f>
        <v>25.574664586729632</v>
      </c>
      <c r="H24" s="361">
        <f>IFERROR(($F$21*F24)+($G$21*G24),"")</f>
        <v>22.029274410789512</v>
      </c>
    </row>
    <row r="25" spans="1:8" ht="16.05" customHeight="1" outlineLevel="1" thickBot="1">
      <c r="A25" s="371" t="s">
        <v>297</v>
      </c>
      <c r="B25" s="367"/>
      <c r="C25" s="362">
        <f t="shared" si="3"/>
        <v>0.33896815359837118</v>
      </c>
      <c r="D25" s="363" t="s">
        <v>13</v>
      </c>
      <c r="E25" s="364" t="s">
        <v>13</v>
      </c>
      <c r="F25" s="474">
        <f>'Financing Baseline'!J34</f>
        <v>0.33896815359837118</v>
      </c>
      <c r="G25" s="475" t="s">
        <v>13</v>
      </c>
      <c r="H25" s="364" t="s">
        <v>13</v>
      </c>
    </row>
    <row r="26" spans="1:8" ht="16.05" customHeight="1" thickBot="1">
      <c r="A26" s="634" t="s">
        <v>300</v>
      </c>
      <c r="B26" s="635"/>
      <c r="C26" s="635"/>
      <c r="D26" s="635"/>
      <c r="E26" s="635"/>
      <c r="F26" s="635"/>
      <c r="G26" s="635"/>
      <c r="H26" s="636"/>
    </row>
    <row r="27" spans="1:8" ht="16.05" customHeight="1" outlineLevel="1">
      <c r="A27" s="372" t="s">
        <v>293</v>
      </c>
      <c r="B27" s="366"/>
      <c r="C27" s="346">
        <f>F27</f>
        <v>0.20106556928156219</v>
      </c>
      <c r="D27" s="348">
        <f>G27</f>
        <v>0.79893443071843784</v>
      </c>
      <c r="E27" s="360">
        <f>SUM(C27:D27)</f>
        <v>1</v>
      </c>
      <c r="F27" s="469">
        <f>'Financing Baseline'!K20</f>
        <v>0.20106556928156219</v>
      </c>
      <c r="G27" s="470">
        <f>'Financing Baseline'!L20</f>
        <v>0.79893443071843784</v>
      </c>
      <c r="H27" s="359">
        <f>SUM(F27:G27)</f>
        <v>1</v>
      </c>
    </row>
    <row r="28" spans="1:8" ht="16.05" customHeight="1" outlineLevel="1">
      <c r="A28" s="370" t="s">
        <v>294</v>
      </c>
      <c r="B28" s="366"/>
      <c r="C28" s="346">
        <f>F28</f>
        <v>0.15091335371005937</v>
      </c>
      <c r="D28" s="348">
        <f>G28</f>
        <v>0.14018786905473027</v>
      </c>
      <c r="E28" s="360">
        <f>IFERROR(($C$27*C28)+($D$27*D28),"")</f>
        <v>0.14234439473277466</v>
      </c>
      <c r="F28" s="471">
        <f>'Financing Baseline'!C35</f>
        <v>0.15091335371005937</v>
      </c>
      <c r="G28" s="466">
        <f>'Financing Baseline'!C27</f>
        <v>0.14018786905473027</v>
      </c>
      <c r="H28" s="360">
        <f>IFERROR(($F$27*F28)+($G$27*G28),"")</f>
        <v>0.14234439473277466</v>
      </c>
    </row>
    <row r="29" spans="1:8" ht="16.05" customHeight="1" outlineLevel="1">
      <c r="A29" s="370" t="s">
        <v>295</v>
      </c>
      <c r="B29" s="366"/>
      <c r="C29" s="347">
        <f t="shared" ref="C29:D30" si="5">F29</f>
        <v>7.5194552529182879</v>
      </c>
      <c r="D29" s="349">
        <f t="shared" si="5"/>
        <v>0</v>
      </c>
      <c r="E29" s="361">
        <f>IFERROR(($C$27*C29)+($D$27*D29),"")</f>
        <v>1.5119035511152488</v>
      </c>
      <c r="F29" s="472">
        <f>'Financing Baseline'!E35</f>
        <v>7.5194552529182879</v>
      </c>
      <c r="G29" s="467">
        <f>'Financing Baseline'!E27</f>
        <v>0</v>
      </c>
      <c r="H29" s="361">
        <f>IFERROR(($F$27*F29)+($G$27*G29),"")</f>
        <v>1.5119035511152488</v>
      </c>
    </row>
    <row r="30" spans="1:8" ht="16.05" customHeight="1" outlineLevel="1">
      <c r="A30" s="370" t="s">
        <v>296</v>
      </c>
      <c r="B30" s="366"/>
      <c r="C30" s="347">
        <f t="shared" si="5"/>
        <v>18.540856031128406</v>
      </c>
      <c r="D30" s="349">
        <f t="shared" si="5"/>
        <v>30.214504646539815</v>
      </c>
      <c r="E30" s="361">
        <f t="shared" ref="E30" si="6">IFERROR(($C$27*C30)+($D$27*D30),"")</f>
        <v>27.867335842089201</v>
      </c>
      <c r="F30" s="473">
        <f>'Financing Baseline'!D35</f>
        <v>18.540856031128406</v>
      </c>
      <c r="G30" s="468">
        <f>'Financing Baseline'!D27</f>
        <v>30.214504646539815</v>
      </c>
      <c r="H30" s="361">
        <f>IFERROR(($F$27*F30)+($G$27*G30),"")</f>
        <v>27.867335842089201</v>
      </c>
    </row>
    <row r="31" spans="1:8" ht="16.05" customHeight="1" outlineLevel="1" thickBot="1">
      <c r="A31" s="370" t="s">
        <v>297</v>
      </c>
      <c r="B31" s="366"/>
      <c r="C31" s="346">
        <f>F31</f>
        <v>0.24761270247903155</v>
      </c>
      <c r="D31" s="348" t="s">
        <v>13</v>
      </c>
      <c r="E31" s="360" t="s">
        <v>13</v>
      </c>
      <c r="F31" s="474">
        <f>'Financing Baseline'!J35</f>
        <v>0.24761270247903155</v>
      </c>
      <c r="G31" s="475" t="s">
        <v>13</v>
      </c>
      <c r="H31" s="364" t="s">
        <v>13</v>
      </c>
    </row>
    <row r="32" spans="1:8" ht="16.05" customHeight="1" thickBot="1">
      <c r="A32" s="634" t="s">
        <v>189</v>
      </c>
      <c r="B32" s="635"/>
      <c r="C32" s="635"/>
      <c r="D32" s="635"/>
      <c r="E32" s="635"/>
      <c r="F32" s="635"/>
      <c r="G32" s="635"/>
      <c r="H32" s="636"/>
    </row>
    <row r="33" spans="1:15" ht="16.05" customHeight="1" outlineLevel="1">
      <c r="A33" s="369" t="s">
        <v>293</v>
      </c>
      <c r="B33" s="365"/>
      <c r="C33" s="357">
        <f ca="1">(C9*$C$53)+(C15*$C$54)+(C21*$C$55)+(C27*$C$56)</f>
        <v>0.79897796934435683</v>
      </c>
      <c r="D33" s="358">
        <f ca="1">(D9*$C$53)+(D15*$C$54)+(D21*$C$55)+(D27*$C$56)</f>
        <v>0.20102203065564306</v>
      </c>
      <c r="E33" s="359">
        <f ca="1">SUM(C33:D33)</f>
        <v>0.99999999999999989</v>
      </c>
      <c r="F33" s="469">
        <f>'Financing Baseline'!K16</f>
        <v>0.79897796934435694</v>
      </c>
      <c r="G33" s="470">
        <f>'Financing Baseline'!L16</f>
        <v>0.20102203065564306</v>
      </c>
      <c r="H33" s="359">
        <f>SUM(F33:G33)</f>
        <v>1</v>
      </c>
    </row>
    <row r="34" spans="1:15" ht="16.05" customHeight="1" outlineLevel="1">
      <c r="A34" s="370" t="s">
        <v>294</v>
      </c>
      <c r="B34" s="366"/>
      <c r="C34" s="346">
        <f ca="1">((C10*C$9*$C$53)+(C16*C$15*$C$54)+(C22*C$21*$C$55)+(C28*C$27*$C$56))/((C$9*$C$53)+(C$15*$C$54)+(C$21*$C$55)+(C$27*$C$56))</f>
        <v>2.7191343009561442E-2</v>
      </c>
      <c r="D34" s="348">
        <f ca="1">((D10*D$9*$C$53)+(D16*D$15*$C$54)+(D22*D$21*$C$55)+(D28*D$27*$C$56))/((D$9*$C$53)+(D$15*$C$54)+(D$21*$C$55)+(D$27*$C$56))</f>
        <v>0.15723629478101941</v>
      </c>
      <c r="E34" s="360">
        <f ca="1">IFERROR(($C$33*C34)+($D$33*D34),"")</f>
        <v>5.3333243291175086E-2</v>
      </c>
      <c r="F34" s="471">
        <f>'Financing Baseline'!C31</f>
        <v>2.7191343009561438E-2</v>
      </c>
      <c r="G34" s="466">
        <f>'Financing Baseline'!C23</f>
        <v>0.15723629478101941</v>
      </c>
      <c r="H34" s="360">
        <f>IFERROR(($F$33*F34)+($G$33*G34),"")</f>
        <v>5.3333243291175086E-2</v>
      </c>
    </row>
    <row r="35" spans="1:15" ht="16.05" customHeight="1" outlineLevel="1">
      <c r="A35" s="372" t="s">
        <v>295</v>
      </c>
      <c r="B35" s="310"/>
      <c r="C35" s="347">
        <f ca="1">((C11*C$9*$C$53)+(C17*C$15*$C$54)+(C23*C$21*$C$55)+(C29*C$27*$C$56))/((C$9*$C$53)+(C$15*$C$54)+(C$21*$C$55)+(C$27*$C$56))</f>
        <v>6.703121669038512</v>
      </c>
      <c r="D35" s="349">
        <f t="shared" ref="C35:D36" ca="1" si="7">((D11*D$9*$C$53)+(D17*D$15*$C$54)+(D23*D$21*$C$55)+(D29*D$27*$C$56))/((D$9*$C$53)+(D$15*$C$54)+(D$21*$C$55)+(D$27*$C$56))</f>
        <v>0</v>
      </c>
      <c r="E35" s="361">
        <f t="shared" ref="E35:E36" ca="1" si="8">IFERROR(($C$33*C35)+($D$33*D35),"")</f>
        <v>5.3556465393965462</v>
      </c>
      <c r="F35" s="472">
        <f>'Financing Baseline'!E31</f>
        <v>6.703121669038512</v>
      </c>
      <c r="G35" s="467">
        <f>'Financing Baseline'!E23</f>
        <v>0</v>
      </c>
      <c r="H35" s="361">
        <f>IFERROR(($F$33*F35)+($G$33*G35),"")</f>
        <v>5.3556465393965471</v>
      </c>
    </row>
    <row r="36" spans="1:15" ht="16.05" customHeight="1" outlineLevel="1">
      <c r="A36" s="372" t="s">
        <v>296</v>
      </c>
      <c r="B36" s="310"/>
      <c r="C36" s="347">
        <f t="shared" ca="1" si="7"/>
        <v>26.458210187659013</v>
      </c>
      <c r="D36" s="349">
        <f t="shared" ca="1" si="7"/>
        <v>29.849348755989148</v>
      </c>
      <c r="E36" s="361">
        <f t="shared" ca="1" si="8"/>
        <v>27.139903748899403</v>
      </c>
      <c r="F36" s="473">
        <f>'Financing Baseline'!D31</f>
        <v>26.458210187659002</v>
      </c>
      <c r="G36" s="468">
        <f>'Financing Baseline'!D23</f>
        <v>29.849348755989151</v>
      </c>
      <c r="H36" s="361">
        <f>IFERROR(($F$33*F36)+($G$33*G36),"")</f>
        <v>27.1399037488994</v>
      </c>
    </row>
    <row r="37" spans="1:15" ht="16.05" customHeight="1" outlineLevel="1" thickBot="1">
      <c r="A37" s="372" t="s">
        <v>297</v>
      </c>
      <c r="B37" s="310"/>
      <c r="C37" s="346">
        <f ca="1">((C13*C$9*$C$53)+(C19*C$15*$C$54)+(C25*C$21*$C$55)+(C31*C$27*$C$56))/((C$9*$C$53)+(C$15*$C$54)+(C$21*$C$55)+(C$27*$C$56))</f>
        <v>0.77615488661420806</v>
      </c>
      <c r="D37" s="348" t="s">
        <v>13</v>
      </c>
      <c r="E37" s="360" t="s">
        <v>13</v>
      </c>
      <c r="F37" s="474">
        <f>'Financing Baseline'!J31</f>
        <v>0.77615488661420806</v>
      </c>
      <c r="G37" s="475" t="s">
        <v>13</v>
      </c>
      <c r="H37" s="364" t="s">
        <v>13</v>
      </c>
    </row>
    <row r="38" spans="1:15" ht="21.4" thickBot="1">
      <c r="A38" s="652" t="s">
        <v>301</v>
      </c>
      <c r="B38" s="653"/>
      <c r="C38" s="653"/>
      <c r="D38" s="653"/>
      <c r="E38" s="653"/>
      <c r="F38" s="653"/>
      <c r="G38" s="653"/>
      <c r="H38" s="654"/>
    </row>
    <row r="39" spans="1:15" ht="16.05" customHeight="1">
      <c r="A39" s="93" t="s">
        <v>302</v>
      </c>
      <c r="B39" s="375"/>
      <c r="C39" s="649">
        <f>'Funding Baseline'!B6</f>
        <v>-1.7285257500712747E-2</v>
      </c>
      <c r="D39" s="650"/>
      <c r="E39" s="651"/>
      <c r="F39" s="655">
        <f>'Funding Baseline'!B6</f>
        <v>-1.7285257500712747E-2</v>
      </c>
      <c r="G39" s="656"/>
      <c r="H39" s="657"/>
    </row>
    <row r="40" spans="1:15" ht="16.05" customHeight="1" thickBot="1">
      <c r="A40" s="476" t="s">
        <v>303</v>
      </c>
      <c r="B40" s="310"/>
      <c r="C40" s="663">
        <f>'Funding Baseline'!B8</f>
        <v>-1</v>
      </c>
      <c r="D40" s="664"/>
      <c r="E40" s="665"/>
      <c r="F40" s="681">
        <f>'Funding Baseline'!B8</f>
        <v>-1</v>
      </c>
      <c r="G40" s="682"/>
      <c r="H40" s="683"/>
    </row>
    <row r="41" spans="1:15" ht="16.05" customHeight="1" thickBot="1">
      <c r="A41" s="678" t="s">
        <v>304</v>
      </c>
      <c r="B41" s="679"/>
      <c r="C41" s="679"/>
      <c r="D41" s="679"/>
      <c r="E41" s="679"/>
      <c r="F41" s="679"/>
      <c r="G41" s="679"/>
      <c r="H41" s="680"/>
    </row>
    <row r="42" spans="1:15" ht="16.05" customHeight="1">
      <c r="A42" s="308" t="s">
        <v>305</v>
      </c>
      <c r="B42" s="376"/>
      <c r="C42" s="666">
        <f>((1+(C58*C43))*(1+C44))-1</f>
        <v>4.720234000000012E-2</v>
      </c>
      <c r="D42" s="667"/>
      <c r="E42" s="668"/>
      <c r="F42" s="655">
        <f>((1+(F58*F43))*(1+F44))-1</f>
        <v>4.720234000000012E-2</v>
      </c>
      <c r="G42" s="656"/>
      <c r="H42" s="657"/>
      <c r="I42" s="65"/>
    </row>
    <row r="43" spans="1:15" ht="16.05" customHeight="1">
      <c r="A43" s="309" t="s">
        <v>306</v>
      </c>
      <c r="B43" s="56"/>
      <c r="C43" s="669">
        <f>F43</f>
        <v>0.7</v>
      </c>
      <c r="D43" s="670"/>
      <c r="E43" s="671"/>
      <c r="F43" s="684">
        <v>0.7</v>
      </c>
      <c r="G43" s="685"/>
      <c r="H43" s="686"/>
      <c r="I43" s="65"/>
    </row>
    <row r="44" spans="1:15" ht="16.05" customHeight="1" thickBot="1">
      <c r="A44" s="309" t="s">
        <v>35</v>
      </c>
      <c r="B44" s="56"/>
      <c r="C44" s="672">
        <f>F44</f>
        <v>0.01</v>
      </c>
      <c r="D44" s="673"/>
      <c r="E44" s="674"/>
      <c r="F44" s="687">
        <v>0.01</v>
      </c>
      <c r="G44" s="688"/>
      <c r="H44" s="689"/>
    </row>
    <row r="45" spans="1:15" ht="16.05" customHeight="1" thickBot="1">
      <c r="A45" s="675" t="s">
        <v>307</v>
      </c>
      <c r="B45" s="676"/>
      <c r="C45" s="676"/>
      <c r="D45" s="676"/>
      <c r="E45" s="676"/>
      <c r="F45" s="676"/>
      <c r="G45" s="676"/>
      <c r="H45" s="677"/>
    </row>
    <row r="46" spans="1:15" ht="16.05" customHeight="1">
      <c r="A46" s="91" t="s">
        <v>307</v>
      </c>
      <c r="B46" s="56"/>
      <c r="C46" s="658" t="s">
        <v>308</v>
      </c>
      <c r="D46" s="659"/>
      <c r="E46" s="660"/>
      <c r="F46" s="661"/>
      <c r="G46" s="662"/>
      <c r="H46" s="310"/>
      <c r="I46" s="82"/>
      <c r="J46" s="6"/>
    </row>
    <row r="47" spans="1:15" ht="16.05" customHeight="1">
      <c r="A47" s="91" t="s">
        <v>31</v>
      </c>
      <c r="B47" s="56"/>
      <c r="C47" s="658" t="s">
        <v>309</v>
      </c>
      <c r="D47" s="659"/>
      <c r="E47" s="660"/>
      <c r="F47" s="661"/>
      <c r="G47" s="662"/>
      <c r="H47" s="310"/>
      <c r="I47" s="1"/>
      <c r="J47" s="6"/>
    </row>
    <row r="48" spans="1:15" ht="16.05" customHeight="1">
      <c r="A48" s="91" t="s">
        <v>97</v>
      </c>
      <c r="B48" s="56"/>
      <c r="C48" s="693">
        <v>2024</v>
      </c>
      <c r="D48" s="694"/>
      <c r="E48" s="695"/>
      <c r="F48" s="661"/>
      <c r="G48" s="662"/>
      <c r="H48" s="310"/>
      <c r="I48" s="1"/>
      <c r="J48" s="82"/>
      <c r="O48" s="34"/>
    </row>
    <row r="49" spans="1:64" ht="16.05" customHeight="1">
      <c r="A49" s="91" t="s">
        <v>310</v>
      </c>
      <c r="B49" s="56"/>
      <c r="C49" s="693">
        <v>1</v>
      </c>
      <c r="D49" s="694"/>
      <c r="E49" s="695"/>
      <c r="F49" s="661"/>
      <c r="G49" s="662"/>
      <c r="H49" s="310"/>
      <c r="I49" s="1"/>
      <c r="J49" s="1"/>
    </row>
    <row r="50" spans="1:64" ht="16.05" customHeight="1">
      <c r="A50" s="91" t="str">
        <f>"Volume ("&amp;B5&amp;")"</f>
        <v>Volume (Foreign Currency)</v>
      </c>
      <c r="B50" s="56"/>
      <c r="C50" s="693">
        <v>100</v>
      </c>
      <c r="D50" s="694"/>
      <c r="E50" s="695"/>
      <c r="F50" s="661"/>
      <c r="G50" s="662"/>
      <c r="H50" s="310"/>
      <c r="I50" s="54"/>
    </row>
    <row r="51" spans="1:64" ht="16.05" customHeight="1" thickBot="1">
      <c r="A51" s="92" t="s">
        <v>31</v>
      </c>
      <c r="B51" s="377"/>
      <c r="C51" s="696" t="s">
        <v>311</v>
      </c>
      <c r="D51" s="697"/>
      <c r="E51" s="698"/>
      <c r="F51" s="699"/>
      <c r="G51" s="700"/>
      <c r="H51" s="368"/>
    </row>
    <row r="52" spans="1:64" ht="16.05" customHeight="1" thickBot="1">
      <c r="A52" s="704" t="s">
        <v>312</v>
      </c>
      <c r="B52" s="705"/>
      <c r="C52" s="705"/>
      <c r="D52" s="705"/>
      <c r="E52" s="705"/>
      <c r="F52" s="705"/>
      <c r="G52" s="705"/>
      <c r="H52" s="706"/>
    </row>
    <row r="53" spans="1:64" ht="16.05" customHeight="1">
      <c r="A53" s="373" t="s">
        <v>247</v>
      </c>
      <c r="B53" s="450"/>
      <c r="C53" s="701">
        <f>IF($C$60="Interest Rate",'Financial Instruments'!B81,'High Level Dashboard'!F53)</f>
        <v>0.80133044333810577</v>
      </c>
      <c r="D53" s="702"/>
      <c r="E53" s="703"/>
      <c r="F53" s="707">
        <f>IFERROR('Financing Baseline'!B17/'Financing Baseline'!B$16,0)</f>
        <v>0.74381343947146883</v>
      </c>
      <c r="G53" s="708"/>
      <c r="H53" s="709"/>
    </row>
    <row r="54" spans="1:64" ht="16.05" customHeight="1">
      <c r="A54" s="373" t="s">
        <v>248</v>
      </c>
      <c r="B54" s="450"/>
      <c r="C54" s="690">
        <f ca="1">IF($C$60="Interest Rate", 'Financial Instruments'!B82,'High Level Dashboard'!F54)</f>
        <v>0.11109827328595628</v>
      </c>
      <c r="D54" s="691"/>
      <c r="E54" s="692"/>
      <c r="F54" s="710">
        <f>IFERROR('Financing Baseline'!B18/'Financing Baseline'!B$16,0)</f>
        <v>0.11109827328595628</v>
      </c>
      <c r="G54" s="711"/>
      <c r="H54" s="712"/>
    </row>
    <row r="55" spans="1:64" ht="16.05" customHeight="1">
      <c r="A55" s="373" t="s">
        <v>249</v>
      </c>
      <c r="B55" s="450"/>
      <c r="C55" s="690">
        <f ca="1">IF($C$60="Interest Rate",'Financial Instruments'!B83,'High Level Dashboard'!F55)</f>
        <v>0.12181286753028993</v>
      </c>
      <c r="D55" s="691"/>
      <c r="E55" s="692"/>
      <c r="F55" s="710">
        <f>IFERROR('Financing Baseline'!B19/'Financing Baseline'!B$16,0)</f>
        <v>0.12181286753028993</v>
      </c>
      <c r="G55" s="711"/>
      <c r="H55" s="712"/>
      <c r="I55" s="54"/>
    </row>
    <row r="56" spans="1:64" ht="16.05" customHeight="1" thickBot="1">
      <c r="A56" s="374" t="s">
        <v>250</v>
      </c>
      <c r="B56" s="451"/>
      <c r="C56" s="723">
        <f ca="1">IF($C$60="Interest Rate", 'Financial Instruments'!B84,'High Level Dashboard'!F56)</f>
        <v>2.3275419712284889E-2</v>
      </c>
      <c r="D56" s="724"/>
      <c r="E56" s="725"/>
      <c r="F56" s="716">
        <f>IFERROR('Financing Baseline'!B20/'Financing Baseline'!B$16,0)</f>
        <v>2.3275419712284889E-2</v>
      </c>
      <c r="G56" s="717"/>
      <c r="H56" s="718"/>
    </row>
    <row r="57" spans="1:64" ht="16.05" customHeight="1" thickBot="1">
      <c r="A57" s="389"/>
      <c r="B57" s="305"/>
      <c r="C57" s="390"/>
      <c r="D57" s="390"/>
      <c r="E57" s="390"/>
      <c r="F57" s="390"/>
    </row>
    <row r="58" spans="1:64" ht="16.05" customHeight="1" thickBot="1">
      <c r="A58" s="378" t="s">
        <v>313</v>
      </c>
      <c r="B58" s="379"/>
      <c r="C58" s="713">
        <f>F58</f>
        <v>5.262E-2</v>
      </c>
      <c r="D58" s="714"/>
      <c r="E58" s="714"/>
      <c r="F58" s="713">
        <v>5.262E-2</v>
      </c>
      <c r="G58" s="714"/>
      <c r="H58" s="715"/>
      <c r="L58" s="17"/>
    </row>
    <row r="59" spans="1:64" ht="15" customHeight="1" thickBot="1">
      <c r="G59" s="17"/>
    </row>
    <row r="60" spans="1:64" ht="21.4" thickBot="1">
      <c r="A60" s="719" t="s">
        <v>314</v>
      </c>
      <c r="B60" s="720"/>
      <c r="C60" s="721" t="s">
        <v>170</v>
      </c>
      <c r="D60" s="721"/>
      <c r="E60" s="722"/>
      <c r="G60" s="16"/>
      <c r="I60" s="464"/>
    </row>
    <row r="61" spans="1:64" ht="15" customHeight="1" thickBot="1">
      <c r="B61" s="14"/>
      <c r="C61" s="54"/>
    </row>
    <row r="62" spans="1:64" ht="21.4" thickBot="1">
      <c r="A62" s="719" t="s">
        <v>316</v>
      </c>
      <c r="B62" s="720"/>
      <c r="C62" s="721" t="s">
        <v>317</v>
      </c>
      <c r="D62" s="721"/>
      <c r="E62" s="722"/>
    </row>
    <row r="63" spans="1:64" ht="15" customHeight="1">
      <c r="B63" s="14"/>
      <c r="C63" s="54"/>
    </row>
    <row r="64" spans="1:64" ht="14.25">
      <c r="B64" s="559">
        <f>'Investment Needs'!C4</f>
        <v>2025</v>
      </c>
      <c r="C64" s="559">
        <f>'Investment Needs'!D4</f>
        <v>2026</v>
      </c>
      <c r="D64" s="559">
        <f>'Investment Needs'!E4</f>
        <v>2027</v>
      </c>
      <c r="E64" s="559">
        <f>'Investment Needs'!F4</f>
        <v>2028</v>
      </c>
      <c r="F64" s="559">
        <f>'Investment Needs'!G4</f>
        <v>2029</v>
      </c>
      <c r="G64" s="559">
        <f>'Investment Needs'!H4</f>
        <v>2030</v>
      </c>
      <c r="H64" s="559">
        <f>'Investment Needs'!I4</f>
        <v>2031</v>
      </c>
      <c r="I64" s="559">
        <f>'Investment Needs'!J4</f>
        <v>2032</v>
      </c>
      <c r="J64" s="559">
        <f>'Investment Needs'!K4</f>
        <v>2033</v>
      </c>
      <c r="K64" s="559">
        <f>'Investment Needs'!L4</f>
        <v>2034</v>
      </c>
      <c r="L64" s="559">
        <f>'Investment Needs'!M4</f>
        <v>2035</v>
      </c>
      <c r="M64" s="559">
        <f>'Investment Needs'!N4</f>
        <v>2036</v>
      </c>
      <c r="N64" s="559">
        <f>'Investment Needs'!O4</f>
        <v>2037</v>
      </c>
      <c r="O64" s="559">
        <f>'Investment Needs'!P4</f>
        <v>2038</v>
      </c>
      <c r="P64" s="559">
        <f>'Investment Needs'!Q4</f>
        <v>2039</v>
      </c>
      <c r="Q64" s="559">
        <f>'Investment Needs'!R4</f>
        <v>2040</v>
      </c>
      <c r="R64" s="559">
        <f>'Investment Needs'!S4</f>
        <v>2041</v>
      </c>
      <c r="S64" s="559">
        <f>'Investment Needs'!T4</f>
        <v>2042</v>
      </c>
      <c r="T64" s="559">
        <f>'Investment Needs'!U4</f>
        <v>2043</v>
      </c>
      <c r="U64" s="559">
        <f>'Investment Needs'!V4</f>
        <v>2044</v>
      </c>
      <c r="V64" s="559">
        <f>'Investment Needs'!W4</f>
        <v>2045</v>
      </c>
      <c r="W64" s="559">
        <f>'Investment Needs'!X4</f>
        <v>2046</v>
      </c>
      <c r="X64" s="559">
        <f>'Investment Needs'!Y4</f>
        <v>2047</v>
      </c>
      <c r="Y64" s="559">
        <f>'Investment Needs'!Z4</f>
        <v>2048</v>
      </c>
      <c r="Z64" s="559">
        <f>'Investment Needs'!AA4</f>
        <v>2049</v>
      </c>
      <c r="AA64" s="559">
        <f>'Investment Needs'!AB4</f>
        <v>2050</v>
      </c>
      <c r="AB64" s="559">
        <f>'Investment Needs'!AC4</f>
        <v>2051</v>
      </c>
      <c r="AC64" s="559">
        <f>'Investment Needs'!AD4</f>
        <v>2052</v>
      </c>
      <c r="AD64" s="559">
        <f>'Investment Needs'!AE4</f>
        <v>2053</v>
      </c>
      <c r="AE64" s="559">
        <f>'Investment Needs'!AF4</f>
        <v>2054</v>
      </c>
      <c r="AF64" s="559">
        <f>'Investment Needs'!AG4</f>
        <v>2055</v>
      </c>
      <c r="AG64" s="559">
        <f>'Investment Needs'!AH4</f>
        <v>2056</v>
      </c>
      <c r="AH64" s="559">
        <f>'Investment Needs'!AI4</f>
        <v>2057</v>
      </c>
      <c r="AI64" s="559">
        <f>'Investment Needs'!AJ4</f>
        <v>2058</v>
      </c>
      <c r="AJ64" s="559">
        <f>'Investment Needs'!AK4</f>
        <v>2059</v>
      </c>
      <c r="AK64" s="559">
        <f>'Investment Needs'!AL4</f>
        <v>2060</v>
      </c>
      <c r="AL64" s="559">
        <f>'Investment Needs'!AM4</f>
        <v>2061</v>
      </c>
      <c r="AM64" s="559">
        <f>'Investment Needs'!AN4</f>
        <v>2062</v>
      </c>
      <c r="AN64" s="559">
        <f>'Investment Needs'!AO4</f>
        <v>2063</v>
      </c>
      <c r="AO64" s="559">
        <f>'Investment Needs'!AP4</f>
        <v>2064</v>
      </c>
      <c r="AP64" s="559">
        <f>'Investment Needs'!AQ4</f>
        <v>2065</v>
      </c>
      <c r="AQ64" s="559">
        <f>'Investment Needs'!AR4</f>
        <v>2066</v>
      </c>
      <c r="AR64" s="559">
        <f>'Investment Needs'!AS4</f>
        <v>2067</v>
      </c>
      <c r="AS64" s="559">
        <f>'Investment Needs'!AT4</f>
        <v>2068</v>
      </c>
      <c r="AT64" s="559">
        <f>'Investment Needs'!AU4</f>
        <v>2069</v>
      </c>
      <c r="AU64" s="559">
        <f>'Investment Needs'!AV4</f>
        <v>2070</v>
      </c>
      <c r="AY64" s="2"/>
      <c r="AZ64" s="2"/>
      <c r="BA64" s="2"/>
      <c r="BB64" s="2"/>
      <c r="BD64" s="2"/>
      <c r="BE64" s="2"/>
      <c r="BF64" s="2"/>
      <c r="BG64" s="2"/>
      <c r="BH64" s="2"/>
      <c r="BI64" s="2"/>
      <c r="BJ64" s="2"/>
      <c r="BK64" s="2"/>
      <c r="BL64" s="2"/>
    </row>
    <row r="65" spans="1:56" ht="14.25">
      <c r="A65" s="5" t="str">
        <f>"Investment need  (Million "&amp;$B$6&amp;")"</f>
        <v>Investment need  (Million USD)</v>
      </c>
      <c r="B65" s="523">
        <f>IF($C$62="Net Zero", 'Investment Needs'!C6,
IF($C$62="Least Cost", 'Investment Needs'!C7,
IF($C$62="Incremental", 'Investment Needs'!C8,
'Investment Needs'!D6)))</f>
        <v>850.28309999999999</v>
      </c>
      <c r="C65" s="523">
        <f>IF($C$62="Net Zero", 'Investment Needs'!D6,
IF($C$62="Least Cost", 'Investment Needs'!D7,
IF($C$62="Incremental", 'Investment Needs'!D8,
'Investment Needs'!E6)))</f>
        <v>891.30279999999993</v>
      </c>
      <c r="D65" s="523">
        <f>IF($C$62="Net Zero", 'Investment Needs'!E6,
IF($C$62="Least Cost", 'Investment Needs'!E7,
IF($C$62="Incremental", 'Investment Needs'!E8,
'Investment Needs'!F6)))</f>
        <v>892.31080000000009</v>
      </c>
      <c r="E65" s="523">
        <f>IF($C$62="Net Zero", 'Investment Needs'!F6,
IF($C$62="Least Cost", 'Investment Needs'!F7,
IF($C$62="Incremental", 'Investment Needs'!F8,
'Investment Needs'!G6)))</f>
        <v>783.88200000000006</v>
      </c>
      <c r="F65" s="523">
        <f>IF($C$62="Net Zero", 'Investment Needs'!G6,
IF($C$62="Least Cost", 'Investment Needs'!G7,
IF($C$62="Incremental", 'Investment Needs'!G8,
'Investment Needs'!H6)))</f>
        <v>1637.2811999999999</v>
      </c>
      <c r="G65" s="523">
        <f>IF($C$62="Net Zero", 'Investment Needs'!H6,
IF($C$62="Least Cost", 'Investment Needs'!H7,
IF($C$62="Incremental", 'Investment Needs'!H8,
'Investment Needs'!I6)))</f>
        <v>966.93870000000004</v>
      </c>
      <c r="H65" s="523">
        <f>IF($C$62="Net Zero", 'Investment Needs'!I6,
IF($C$62="Least Cost", 'Investment Needs'!I7,
IF($C$62="Incremental", 'Investment Needs'!I8,
'Investment Needs'!J6)))</f>
        <v>1100.6995999999999</v>
      </c>
      <c r="I65" s="523">
        <f>IF($C$62="Net Zero", 'Investment Needs'!J6,
IF($C$62="Least Cost", 'Investment Needs'!J7,
IF($C$62="Incremental", 'Investment Needs'!J8,
'Investment Needs'!K6)))</f>
        <v>792.58999999999992</v>
      </c>
      <c r="J65" s="523">
        <f>IF($C$62="Net Zero", 'Investment Needs'!K6,
IF($C$62="Least Cost", 'Investment Needs'!K7,
IF($C$62="Incremental", 'Investment Needs'!K8,
'Investment Needs'!L6)))</f>
        <v>758.73990000000003</v>
      </c>
      <c r="K65" s="523">
        <f>IF($C$62="Net Zero", 'Investment Needs'!L6,
IF($C$62="Least Cost", 'Investment Needs'!L7,
IF($C$62="Incremental", 'Investment Needs'!L8,
'Investment Needs'!M6)))</f>
        <v>1222.0521999999999</v>
      </c>
      <c r="L65" s="523">
        <f>IF($C$62="Net Zero", 'Investment Needs'!M6,
IF($C$62="Least Cost", 'Investment Needs'!M7,
IF($C$62="Incremental", 'Investment Needs'!M8,
'Investment Needs'!N6)))</f>
        <v>963.81530000000009</v>
      </c>
      <c r="M65" s="523">
        <f>IF($C$62="Net Zero", 'Investment Needs'!N6,
IF($C$62="Least Cost", 'Investment Needs'!N7,
IF($C$62="Incremental", 'Investment Needs'!N8,
'Investment Needs'!O6)))</f>
        <v>1388.3742999999999</v>
      </c>
      <c r="N65" s="523">
        <f>IF($C$62="Net Zero", 'Investment Needs'!O6,
IF($C$62="Least Cost", 'Investment Needs'!O7,
IF($C$62="Incremental", 'Investment Needs'!O8,
'Investment Needs'!P6)))</f>
        <v>1304.9629000000002</v>
      </c>
      <c r="O65" s="523">
        <f>IF($C$62="Net Zero", 'Investment Needs'!P6,
IF($C$62="Least Cost", 'Investment Needs'!P7,
IF($C$62="Incremental", 'Investment Needs'!P8,
'Investment Needs'!Q6)))</f>
        <v>1267.4485999999999</v>
      </c>
      <c r="P65" s="523">
        <f>IF($C$62="Net Zero", 'Investment Needs'!Q6,
IF($C$62="Least Cost", 'Investment Needs'!Q7,
IF($C$62="Incremental", 'Investment Needs'!Q8,
'Investment Needs'!R6)))</f>
        <v>1759.1960000000001</v>
      </c>
      <c r="Q65" s="523">
        <f>IF($C$62="Net Zero", 'Investment Needs'!R6,
IF($C$62="Least Cost", 'Investment Needs'!R7,
IF($C$62="Incremental", 'Investment Needs'!R8,
'Investment Needs'!S6)))</f>
        <v>2280.2151999999996</v>
      </c>
      <c r="R65" s="523">
        <f>IF($C$62="Net Zero", 'Investment Needs'!S6,
IF($C$62="Least Cost", 'Investment Needs'!S7,
IF($C$62="Incremental", 'Investment Needs'!S8,
'Investment Needs'!T6)))</f>
        <v>1956.6569000000002</v>
      </c>
      <c r="S65" s="523">
        <f>IF($C$62="Net Zero", 'Investment Needs'!T6,
IF($C$62="Least Cost", 'Investment Needs'!T7,
IF($C$62="Incremental", 'Investment Needs'!T8,
'Investment Needs'!U6)))</f>
        <v>1301.3557000000001</v>
      </c>
      <c r="T65" s="523">
        <f>IF($C$62="Net Zero", 'Investment Needs'!U6,
IF($C$62="Least Cost", 'Investment Needs'!U7,
IF($C$62="Incremental", 'Investment Needs'!U8,
'Investment Needs'!V6)))</f>
        <v>1359.3568</v>
      </c>
      <c r="U65" s="523">
        <f>IF($C$62="Net Zero", 'Investment Needs'!V6,
IF($C$62="Least Cost", 'Investment Needs'!V7,
IF($C$62="Incremental", 'Investment Needs'!V8,
'Investment Needs'!W6)))</f>
        <v>1463.7227</v>
      </c>
      <c r="V65" s="523">
        <f>IF($C$62="Net Zero", 'Investment Needs'!W6,
IF($C$62="Least Cost", 'Investment Needs'!W7,
IF($C$62="Incremental", 'Investment Needs'!W8,
'Investment Needs'!X6)))</f>
        <v>1575.0400999999999</v>
      </c>
      <c r="W65" s="523">
        <f>IF($C$62="Net Zero", 'Investment Needs'!X6,
IF($C$62="Least Cost", 'Investment Needs'!X7,
IF($C$62="Incremental", 'Investment Needs'!X8,
'Investment Needs'!Y6)))</f>
        <v>1687.5381</v>
      </c>
      <c r="X65" s="523">
        <f>IF($C$62="Net Zero", 'Investment Needs'!Y6,
IF($C$62="Least Cost", 'Investment Needs'!Y7,
IF($C$62="Incremental", 'Investment Needs'!Y8,
'Investment Needs'!Z6)))</f>
        <v>1800.9875999999999</v>
      </c>
      <c r="Y65" s="523">
        <f>IF($C$62="Net Zero", 'Investment Needs'!Z6,
IF($C$62="Least Cost", 'Investment Needs'!Z7,
IF($C$62="Incremental", 'Investment Needs'!Z8,
'Investment Needs'!AA6)))</f>
        <v>1922.2903000000001</v>
      </c>
      <c r="Z65" s="523">
        <f>IF($C$62="Net Zero", 'Investment Needs'!AA6,
IF($C$62="Least Cost", 'Investment Needs'!AA7,
IF($C$62="Incremental", 'Investment Needs'!AA8,
'Investment Needs'!AB6)))</f>
        <v>2099.6988000000001</v>
      </c>
      <c r="AA65" s="523">
        <f>IF($C$62="Net Zero", 'Investment Needs'!AB6,
IF($C$62="Least Cost", 'Investment Needs'!AB7,
IF($C$62="Incremental", 'Investment Needs'!AB8,
'Investment Needs'!AC6)))</f>
        <v>2430.3555999999999</v>
      </c>
      <c r="AB65" s="523">
        <f>IF($C$62="Net Zero", 'Investment Needs'!AC6,
IF($C$62="Least Cost", 'Investment Needs'!AC7,
IF($C$62="Incremental", 'Investment Needs'!AC8,
'Investment Needs'!AD6)))</f>
        <v>2368.0668999999998</v>
      </c>
      <c r="AC65" s="523">
        <f>IF($C$62="Net Zero", 'Investment Needs'!AD6,
IF($C$62="Least Cost", 'Investment Needs'!AD7,
IF($C$62="Incremental", 'Investment Needs'!AD8,
'Investment Needs'!AE6)))</f>
        <v>2207.9177</v>
      </c>
      <c r="AD65" s="523">
        <f>IF($C$62="Net Zero", 'Investment Needs'!AE6,
IF($C$62="Least Cost", 'Investment Needs'!AE7,
IF($C$62="Incremental", 'Investment Needs'!AE8,
'Investment Needs'!AF6)))</f>
        <v>2225.7754999999997</v>
      </c>
      <c r="AE65" s="523">
        <f>IF($C$62="Net Zero", 'Investment Needs'!AF6,
IF($C$62="Least Cost", 'Investment Needs'!AF7,
IF($C$62="Incremental", 'Investment Needs'!AF8,
'Investment Needs'!AG6)))</f>
        <v>3004.1397999999995</v>
      </c>
      <c r="AF65" s="523">
        <f>IF($C$62="Net Zero", 'Investment Needs'!AG6,
IF($C$62="Least Cost", 'Investment Needs'!AG7,
IF($C$62="Incremental", 'Investment Needs'!AG8,
'Investment Needs'!AH6)))</f>
        <v>2080.1179999999999</v>
      </c>
      <c r="AG65" s="523">
        <f>IF($C$62="Net Zero", 'Investment Needs'!AH6,
IF($C$62="Least Cost", 'Investment Needs'!AH7,
IF($C$62="Incremental", 'Investment Needs'!AH8,
'Investment Needs'!AI6)))</f>
        <v>2280.6886</v>
      </c>
      <c r="AH65" s="523">
        <f>IF($C$62="Net Zero", 'Investment Needs'!AI6,
IF($C$62="Least Cost", 'Investment Needs'!AI7,
IF($C$62="Incremental", 'Investment Needs'!AI8,
'Investment Needs'!AJ6)))</f>
        <v>2009.4267</v>
      </c>
      <c r="AI65" s="523">
        <f>IF($C$62="Net Zero", 'Investment Needs'!AJ6,
IF($C$62="Least Cost", 'Investment Needs'!AJ7,
IF($C$62="Incremental", 'Investment Needs'!AJ8,
'Investment Needs'!AK6)))</f>
        <v>1955.1030000000001</v>
      </c>
      <c r="AJ65" s="523">
        <f>IF($C$62="Net Zero", 'Investment Needs'!AK6,
IF($C$62="Least Cost", 'Investment Needs'!AK7,
IF($C$62="Incremental", 'Investment Needs'!AK8,
'Investment Needs'!AL6)))</f>
        <v>2393.1575999999995</v>
      </c>
      <c r="AK65" s="523">
        <f>IF($C$62="Net Zero", 'Investment Needs'!AL6,
IF($C$62="Least Cost", 'Investment Needs'!AL7,
IF($C$62="Incremental", 'Investment Needs'!AL8,
'Investment Needs'!AM6)))</f>
        <v>2083.9499000000001</v>
      </c>
      <c r="AL65" s="523">
        <f>IF($C$62="Net Zero", 'Investment Needs'!AM6,
IF($C$62="Least Cost", 'Investment Needs'!AM7,
IF($C$62="Incremental", 'Investment Needs'!AM8,
'Investment Needs'!AN6)))</f>
        <v>2543.0387999999998</v>
      </c>
      <c r="AM65" s="523">
        <f>IF($C$62="Net Zero", 'Investment Needs'!AN6,
IF($C$62="Least Cost", 'Investment Needs'!AN7,
IF($C$62="Incremental", 'Investment Needs'!AN8,
'Investment Needs'!AO6)))</f>
        <v>2416.4369999999999</v>
      </c>
      <c r="AN65" s="523">
        <f>IF($C$62="Net Zero", 'Investment Needs'!AO6,
IF($C$62="Least Cost", 'Investment Needs'!AO7,
IF($C$62="Incremental", 'Investment Needs'!AO8,
'Investment Needs'!AP6)))</f>
        <v>2379.3407999999999</v>
      </c>
      <c r="AO65" s="523">
        <f>IF($C$62="Net Zero", 'Investment Needs'!AP6,
IF($C$62="Least Cost", 'Investment Needs'!AP7,
IF($C$62="Incremental", 'Investment Needs'!AP8,
'Investment Needs'!AQ6)))</f>
        <v>2812.2185999999997</v>
      </c>
      <c r="AP65" s="523">
        <f>IF($C$62="Net Zero", 'Investment Needs'!AQ6,
IF($C$62="Least Cost", 'Investment Needs'!AQ7,
IF($C$62="Incremental", 'Investment Needs'!AQ8,
'Investment Needs'!AR6)))</f>
        <v>3282.4703999999997</v>
      </c>
      <c r="AQ65" s="523">
        <f>IF($C$62="Net Zero", 'Investment Needs'!AR6,
IF($C$62="Least Cost", 'Investment Needs'!AR7,
IF($C$62="Incremental", 'Investment Needs'!AR8,
'Investment Needs'!AS6)))</f>
        <v>2891.0751</v>
      </c>
      <c r="AR65" s="523">
        <f>IF($C$62="Net Zero", 'Investment Needs'!AS6,
IF($C$62="Least Cost", 'Investment Needs'!AS7,
IF($C$62="Incremental", 'Investment Needs'!AS8,
'Investment Needs'!AT6)))</f>
        <v>2267.7013999999999</v>
      </c>
      <c r="AS65" s="523">
        <f>IF($C$62="Net Zero", 'Investment Needs'!AT6,
IF($C$62="Least Cost", 'Investment Needs'!AT7,
IF($C$62="Incremental", 'Investment Needs'!AT8,
'Investment Needs'!AU6)))</f>
        <v>2240.1758</v>
      </c>
      <c r="AT65" s="523">
        <f>IF($C$62="Net Zero", 'Investment Needs'!AU6,
IF($C$62="Least Cost", 'Investment Needs'!AU7,
IF($C$62="Incremental", 'Investment Needs'!AU8,
'Investment Needs'!AV6)))</f>
        <v>2447.7587999999996</v>
      </c>
      <c r="AU65" s="523">
        <f>IF($C$62="Net Zero", 'Investment Needs'!AV6,
IF($C$62="Least Cost", 'Investment Needs'!AV7,
IF($C$62="Incremental", 'Investment Needs'!AV8,
'Investment Needs'!AW6)))</f>
        <v>2598.8757999999998</v>
      </c>
    </row>
    <row r="66" spans="1:56" ht="14.25">
      <c r="A66" s="7" t="str">
        <f>"Funding availability with "&amp;$C$60&amp;" (Million "&amp;$B$6&amp;")"</f>
        <v>Funding availability with Interest Rate (Million USD)</v>
      </c>
      <c r="B66" s="29">
        <f>B70</f>
        <v>502.40628356392745</v>
      </c>
      <c r="C66" s="29">
        <f>C70</f>
        <v>504.0975125923506</v>
      </c>
      <c r="D66" s="29">
        <f t="shared" ref="D66:AT66" si="9">D70</f>
        <v>514.4199437365296</v>
      </c>
      <c r="E66" s="29">
        <f t="shared" si="9"/>
        <v>525.46248738498934</v>
      </c>
      <c r="F66" s="29">
        <f t="shared" si="9"/>
        <v>537.25510932199859</v>
      </c>
      <c r="G66" s="29">
        <f t="shared" si="9"/>
        <v>552.45865936377231</v>
      </c>
      <c r="H66" s="29">
        <f t="shared" si="9"/>
        <v>565.17384020559894</v>
      </c>
      <c r="I66" s="29">
        <f t="shared" si="9"/>
        <v>579.92507953950121</v>
      </c>
      <c r="J66" s="29">
        <f t="shared" si="9"/>
        <v>602.2966055964489</v>
      </c>
      <c r="K66" s="29">
        <f t="shared" si="9"/>
        <v>612.41282627441581</v>
      </c>
      <c r="L66" s="29">
        <f t="shared" si="9"/>
        <v>631.81561202119542</v>
      </c>
      <c r="M66" s="29">
        <f t="shared" si="9"/>
        <v>647.43368264886635</v>
      </c>
      <c r="N66" s="29">
        <f t="shared" si="9"/>
        <v>667.96459826515718</v>
      </c>
      <c r="O66" s="29">
        <f t="shared" si="9"/>
        <v>688.69805451570721</v>
      </c>
      <c r="P66" s="29">
        <f t="shared" si="9"/>
        <v>712.10428234038443</v>
      </c>
      <c r="Q66" s="29">
        <f t="shared" si="9"/>
        <v>732.21155245641683</v>
      </c>
      <c r="R66" s="29">
        <f t="shared" si="9"/>
        <v>757.10808479114064</v>
      </c>
      <c r="S66" s="29">
        <f t="shared" si="9"/>
        <v>784.33166309769319</v>
      </c>
      <c r="T66" s="29">
        <f t="shared" si="9"/>
        <v>809.8669549979935</v>
      </c>
      <c r="U66" s="29">
        <f t="shared" si="9"/>
        <v>837.71913770889682</v>
      </c>
      <c r="V66" s="29">
        <f t="shared" si="9"/>
        <v>867.87422971948899</v>
      </c>
      <c r="W66" s="29">
        <f t="shared" si="9"/>
        <v>898.33352870014335</v>
      </c>
      <c r="X66" s="29">
        <f t="shared" si="9"/>
        <v>929.37215593721203</v>
      </c>
      <c r="Y66" s="29">
        <f t="shared" si="9"/>
        <v>969.07160760109912</v>
      </c>
      <c r="Z66" s="29">
        <f t="shared" si="9"/>
        <v>1007.2738131699969</v>
      </c>
      <c r="AA66" s="29">
        <f t="shared" si="9"/>
        <v>1056.0597013467818</v>
      </c>
      <c r="AB66" s="29">
        <f t="shared" si="9"/>
        <v>1091.5605738225011</v>
      </c>
      <c r="AC66" s="29">
        <f>AC70</f>
        <v>1134.6861872565714</v>
      </c>
      <c r="AD66" s="29">
        <f t="shared" si="9"/>
        <v>1181.9728438612822</v>
      </c>
      <c r="AE66" s="29">
        <f t="shared" si="9"/>
        <v>1232.5266909964989</v>
      </c>
      <c r="AF66" s="29">
        <f t="shared" si="9"/>
        <v>1285.501930199624</v>
      </c>
      <c r="AG66" s="29">
        <f t="shared" si="9"/>
        <v>1344.8465360959403</v>
      </c>
      <c r="AH66" s="29">
        <f t="shared" si="9"/>
        <v>1407.5139856554781</v>
      </c>
      <c r="AI66" s="29">
        <f t="shared" si="9"/>
        <v>1470.5805982845543</v>
      </c>
      <c r="AJ66" s="29">
        <f t="shared" si="9"/>
        <v>1537.4076872631756</v>
      </c>
      <c r="AK66" s="29">
        <f t="shared" si="9"/>
        <v>1607.963723063634</v>
      </c>
      <c r="AL66" s="29">
        <f t="shared" si="9"/>
        <v>1681.043909110894</v>
      </c>
      <c r="AM66" s="29">
        <f t="shared" si="9"/>
        <v>1758.217270571836</v>
      </c>
      <c r="AN66" s="29">
        <f t="shared" si="9"/>
        <v>1839.1888567881358</v>
      </c>
      <c r="AO66" s="29">
        <f t="shared" si="9"/>
        <v>1922.1483579965802</v>
      </c>
      <c r="AP66" s="29">
        <f t="shared" si="9"/>
        <v>2005.5093370110203</v>
      </c>
      <c r="AQ66" s="29">
        <f t="shared" si="9"/>
        <v>2093.2581765719751</v>
      </c>
      <c r="AR66" s="29">
        <f t="shared" si="9"/>
        <v>2187.1404431032438</v>
      </c>
      <c r="AS66" s="29">
        <f t="shared" si="9"/>
        <v>2284.1209676497765</v>
      </c>
      <c r="AT66" s="29">
        <f t="shared" si="9"/>
        <v>2387.6226448076141</v>
      </c>
      <c r="AU66" s="29">
        <f>AU70</f>
        <v>2495.7180504949638</v>
      </c>
    </row>
    <row r="67" spans="1:56" ht="14.25">
      <c r="A67" s="9" t="str">
        <f>"Financing requirement with "&amp;$C$60&amp;" (Million "&amp;$B$6&amp;")"</f>
        <v>Financing requirement with Interest Rate (Million USD)</v>
      </c>
      <c r="B67" s="30">
        <f t="shared" ref="B67:AU67" ca="1" si="10">IF($C$62="Net Zero", B98+B87,
IF($C$62="Least Cost", B87+B111,
IF($C$62="Incremental", B87+B124,
B98+B87)))</f>
        <v>942.04874389567578</v>
      </c>
      <c r="C67" s="30">
        <f t="shared" ca="1" si="10"/>
        <v>1016.79176822089</v>
      </c>
      <c r="D67" s="30">
        <f t="shared" ca="1" si="10"/>
        <v>1064.9135372032933</v>
      </c>
      <c r="E67" s="30">
        <f t="shared" ca="1" si="10"/>
        <v>1111.5758585628198</v>
      </c>
      <c r="F67" s="30">
        <f t="shared" ca="1" si="10"/>
        <v>1156.3444325455321</v>
      </c>
      <c r="G67" s="30">
        <f t="shared" ca="1" si="10"/>
        <v>1196.1928256892675</v>
      </c>
      <c r="H67" s="30">
        <f t="shared" ca="1" si="10"/>
        <v>1274.4250770232575</v>
      </c>
      <c r="I67" s="30">
        <f t="shared" ca="1" si="10"/>
        <v>1306.2446241777634</v>
      </c>
      <c r="J67" s="30">
        <f t="shared" ca="1" si="10"/>
        <v>1320.1250863639393</v>
      </c>
      <c r="K67" s="30">
        <f t="shared" ca="1" si="10"/>
        <v>1375.8967233373121</v>
      </c>
      <c r="L67" s="30">
        <f t="shared" ca="1" si="10"/>
        <v>1445.1561766458412</v>
      </c>
      <c r="M67" s="30">
        <f t="shared" ca="1" si="10"/>
        <v>1500.3434201863715</v>
      </c>
      <c r="N67" s="30">
        <f t="shared" ca="1" si="10"/>
        <v>1463.6245752142872</v>
      </c>
      <c r="O67" s="30">
        <f t="shared" ca="1" si="10"/>
        <v>1468.6720805247353</v>
      </c>
      <c r="P67" s="30">
        <f t="shared" ca="1" si="10"/>
        <v>1556.6050267003934</v>
      </c>
      <c r="Q67" s="30">
        <f t="shared" ca="1" si="10"/>
        <v>1659.0994050148297</v>
      </c>
      <c r="R67" s="30">
        <f t="shared" ca="1" si="10"/>
        <v>1769.0372708977786</v>
      </c>
      <c r="S67" s="30">
        <f t="shared" ca="1" si="10"/>
        <v>1875.6831102825679</v>
      </c>
      <c r="T67" s="30">
        <f t="shared" ca="1" si="10"/>
        <v>1927.3669982599886</v>
      </c>
      <c r="U67" s="30">
        <f t="shared" ca="1" si="10"/>
        <v>1961.6933053498265</v>
      </c>
      <c r="V67" s="30">
        <f t="shared" ca="1" si="10"/>
        <v>2074.5265210167563</v>
      </c>
      <c r="W67" s="30">
        <f t="shared" ca="1" si="10"/>
        <v>2221.2782144122716</v>
      </c>
      <c r="X67" s="30">
        <f t="shared" ca="1" si="10"/>
        <v>2335.0774957036374</v>
      </c>
      <c r="Y67" s="30">
        <f t="shared" ca="1" si="10"/>
        <v>2445.3036769794949</v>
      </c>
      <c r="Z67" s="30">
        <f t="shared" ca="1" si="10"/>
        <v>2578.7249273294642</v>
      </c>
      <c r="AA67" s="30">
        <f t="shared" ca="1" si="10"/>
        <v>2740.0627129809482</v>
      </c>
      <c r="AB67" s="30">
        <f t="shared" ca="1" si="10"/>
        <v>2872.1254818112279</v>
      </c>
      <c r="AC67" s="30">
        <f t="shared" ca="1" si="10"/>
        <v>2993.1096644920708</v>
      </c>
      <c r="AD67" s="30">
        <f t="shared" ca="1" si="10"/>
        <v>3092.8807555539552</v>
      </c>
      <c r="AE67" s="30">
        <f t="shared" ca="1" si="10"/>
        <v>3249.3788144707364</v>
      </c>
      <c r="AF67" s="30">
        <f t="shared" ca="1" si="10"/>
        <v>3355.9359997432607</v>
      </c>
      <c r="AG67" s="30">
        <f t="shared" ca="1" si="10"/>
        <v>3457.4287179049775</v>
      </c>
      <c r="AH67" s="30">
        <f t="shared" ca="1" si="10"/>
        <v>3560.4644642851686</v>
      </c>
      <c r="AI67" s="30">
        <f t="shared" ca="1" si="10"/>
        <v>3664.1310280490347</v>
      </c>
      <c r="AJ67" s="30">
        <f t="shared" ca="1" si="10"/>
        <v>3779.9916313863241</v>
      </c>
      <c r="AK67" s="30">
        <f t="shared" ca="1" si="10"/>
        <v>3901.082780416577</v>
      </c>
      <c r="AL67" s="30">
        <f t="shared" ca="1" si="10"/>
        <v>4007.0440158646766</v>
      </c>
      <c r="AM67" s="30">
        <f t="shared" ca="1" si="10"/>
        <v>4111.5149416040495</v>
      </c>
      <c r="AN67" s="30">
        <f t="shared" ca="1" si="10"/>
        <v>4166.7813069813928</v>
      </c>
      <c r="AO67" s="30">
        <f t="shared" ca="1" si="10"/>
        <v>4266.6986788481699</v>
      </c>
      <c r="AP67" s="30">
        <f t="shared" ca="1" si="10"/>
        <v>4389.731258524077</v>
      </c>
      <c r="AQ67" s="30">
        <f t="shared" ca="1" si="10"/>
        <v>4477.2070381479862</v>
      </c>
      <c r="AR67" s="30">
        <f t="shared" ca="1" si="10"/>
        <v>4528.74458592271</v>
      </c>
      <c r="AS67" s="30">
        <f t="shared" ca="1" si="10"/>
        <v>4576.4696308700941</v>
      </c>
      <c r="AT67" s="30">
        <f t="shared" ca="1" si="10"/>
        <v>4659.3702068508264</v>
      </c>
      <c r="AU67" s="30">
        <f t="shared" ca="1" si="10"/>
        <v>4753.8348359691809</v>
      </c>
      <c r="AW67" s="54"/>
      <c r="AZ67" s="28"/>
    </row>
    <row r="68" spans="1:56" ht="14.25">
      <c r="A68" s="7" t="str">
        <f>"Funding shortfall (Million "&amp;$B$6&amp;")"</f>
        <v>Funding shortfall (Million USD)</v>
      </c>
      <c r="B68" s="382">
        <f ca="1">B67-B66</f>
        <v>439.64246033174834</v>
      </c>
      <c r="C68" s="382">
        <f t="shared" ref="C68:AT68" ca="1" si="11">C67-C66</f>
        <v>512.69425562853939</v>
      </c>
      <c r="D68" s="382">
        <f t="shared" ca="1" si="11"/>
        <v>509.67149346676365</v>
      </c>
      <c r="E68" s="382">
        <f t="shared" ca="1" si="11"/>
        <v>577.62027117783043</v>
      </c>
      <c r="F68" s="382">
        <f t="shared" ca="1" si="11"/>
        <v>609.80562322353353</v>
      </c>
      <c r="G68" s="382">
        <f t="shared" ca="1" si="11"/>
        <v>707.07476632549492</v>
      </c>
      <c r="H68" s="382">
        <f t="shared" ca="1" si="11"/>
        <v>876.36423681765859</v>
      </c>
      <c r="I68" s="382">
        <f t="shared" ca="1" si="11"/>
        <v>706.08364463826229</v>
      </c>
      <c r="J68" s="382">
        <f t="shared" ca="1" si="11"/>
        <v>746.5942807674902</v>
      </c>
      <c r="K68" s="382">
        <f t="shared" ca="1" si="11"/>
        <v>868.05329706289604</v>
      </c>
      <c r="L68" s="382">
        <f t="shared" ca="1" si="11"/>
        <v>820.19656462464548</v>
      </c>
      <c r="M68" s="382">
        <f t="shared" ca="1" si="11"/>
        <v>881.4065375375053</v>
      </c>
      <c r="N68" s="382">
        <f t="shared" ca="1" si="11"/>
        <v>872.12237694912983</v>
      </c>
      <c r="O68" s="382">
        <f t="shared" ca="1" si="11"/>
        <v>842.64862600902779</v>
      </c>
      <c r="P68" s="382">
        <f t="shared" ca="1" si="11"/>
        <v>834.56644436000909</v>
      </c>
      <c r="Q68" s="382">
        <f t="shared" ca="1" si="11"/>
        <v>841.92445255841255</v>
      </c>
      <c r="R68" s="382">
        <f t="shared" ca="1" si="11"/>
        <v>1029.185986106638</v>
      </c>
      <c r="S68" s="382">
        <f t="shared" ca="1" si="11"/>
        <v>1119.9787471848749</v>
      </c>
      <c r="T68" s="382">
        <f t="shared" ca="1" si="11"/>
        <v>1116.2067432619951</v>
      </c>
      <c r="U68" s="382">
        <f t="shared" ca="1" si="11"/>
        <v>1121.3379676409297</v>
      </c>
      <c r="V68" s="382">
        <f t="shared" ca="1" si="11"/>
        <v>1203.5672912972673</v>
      </c>
      <c r="W68" s="382">
        <f t="shared" ca="1" si="11"/>
        <v>1318.8035857121283</v>
      </c>
      <c r="X68" s="382">
        <f t="shared" ca="1" si="11"/>
        <v>1451.5313397664254</v>
      </c>
      <c r="Y68" s="382">
        <f t="shared" ca="1" si="11"/>
        <v>1683.9658693783958</v>
      </c>
      <c r="Z68" s="382">
        <f t="shared" ca="1" si="11"/>
        <v>1676.9722141594675</v>
      </c>
      <c r="AA68" s="382">
        <f t="shared" ca="1" si="11"/>
        <v>1778.2929116341661</v>
      </c>
      <c r="AB68" s="382">
        <f t="shared" ca="1" si="11"/>
        <v>2183.4783079887266</v>
      </c>
      <c r="AC68" s="382">
        <f t="shared" ca="1" si="11"/>
        <v>1817.2143772354993</v>
      </c>
      <c r="AD68" s="382">
        <f t="shared" ca="1" si="11"/>
        <v>1703.5662116926733</v>
      </c>
      <c r="AE68" s="382">
        <f t="shared" ca="1" si="11"/>
        <v>1809.7148234742381</v>
      </c>
      <c r="AF68" s="382">
        <f t="shared" ca="1" si="11"/>
        <v>1937.5016695436368</v>
      </c>
      <c r="AG68" s="382">
        <f t="shared" ca="1" si="11"/>
        <v>2160.8342818090377</v>
      </c>
      <c r="AH68" s="382">
        <f t="shared" ca="1" si="11"/>
        <v>2019.8149786296908</v>
      </c>
      <c r="AI68" s="382">
        <f t="shared" ca="1" si="11"/>
        <v>2195.3994297644808</v>
      </c>
      <c r="AJ68" s="382">
        <f t="shared" ca="1" si="11"/>
        <v>2231.3497441231484</v>
      </c>
      <c r="AK68" s="382">
        <f t="shared" ca="1" si="11"/>
        <v>2226.9460573529432</v>
      </c>
      <c r="AL68" s="382">
        <f t="shared" ca="1" si="11"/>
        <v>2280.9850067537827</v>
      </c>
      <c r="AM68" s="382">
        <f t="shared" ca="1" si="11"/>
        <v>2274.670571032214</v>
      </c>
      <c r="AN68" s="382">
        <f t="shared" ca="1" si="11"/>
        <v>2215.4283501932568</v>
      </c>
      <c r="AO68" s="382">
        <f t="shared" ca="1" si="11"/>
        <v>2229.73232085159</v>
      </c>
      <c r="AP68" s="382">
        <f t="shared" ca="1" si="11"/>
        <v>2155.2527215130567</v>
      </c>
      <c r="AQ68" s="382">
        <f t="shared" ca="1" si="11"/>
        <v>2322.0260615760112</v>
      </c>
      <c r="AR68" s="382">
        <f t="shared" ca="1" si="11"/>
        <v>2287.1307428194664</v>
      </c>
      <c r="AS68" s="382">
        <f t="shared" ca="1" si="11"/>
        <v>2192.6805632203177</v>
      </c>
      <c r="AT68" s="382">
        <f t="shared" ca="1" si="11"/>
        <v>2159.3455620432123</v>
      </c>
      <c r="AU68" s="382">
        <f ca="1">AU67-AU66</f>
        <v>2129.8774854742169</v>
      </c>
      <c r="AZ68" s="28"/>
    </row>
    <row r="69" spans="1:56" ht="14.25">
      <c r="A69" s="10"/>
      <c r="B69" s="455"/>
      <c r="C69" s="11"/>
      <c r="D69" s="11"/>
      <c r="E69" s="11"/>
      <c r="F69" s="11"/>
      <c r="G69" s="11"/>
      <c r="H69" s="11"/>
      <c r="I69" s="11"/>
      <c r="J69" s="11"/>
      <c r="K69" s="11"/>
      <c r="L69" s="11"/>
      <c r="M69" s="11"/>
      <c r="N69" s="11"/>
      <c r="O69" s="11"/>
      <c r="P69" s="11"/>
      <c r="Q69" s="11"/>
      <c r="R69" s="11"/>
      <c r="S69" s="11"/>
      <c r="T69" s="11"/>
      <c r="U69" s="11"/>
      <c r="V69" s="11"/>
      <c r="W69" s="11"/>
      <c r="X69" s="11"/>
      <c r="Y69" s="11"/>
      <c r="Z69" s="11"/>
      <c r="AA69" s="11"/>
      <c r="AB69" s="11"/>
      <c r="AC69" s="11"/>
      <c r="AD69" s="11"/>
      <c r="AE69" s="11"/>
      <c r="AF69" s="11"/>
      <c r="AG69" s="11"/>
      <c r="AH69" s="11"/>
      <c r="AI69" s="11"/>
      <c r="AJ69" s="11"/>
      <c r="AK69" s="11"/>
      <c r="AL69" s="11"/>
      <c r="AM69" s="11"/>
      <c r="AN69" s="11"/>
      <c r="AO69" s="11"/>
      <c r="AP69" s="11"/>
      <c r="AQ69" s="11"/>
      <c r="AR69" s="11"/>
      <c r="AS69" s="11"/>
      <c r="AT69" s="11"/>
      <c r="AZ69" s="28"/>
    </row>
    <row r="70" spans="1:56" ht="23.25" customHeight="1">
      <c r="A70" s="332" t="str">
        <f>"Funding availability (Million "&amp;B6&amp;")"</f>
        <v>Funding availability (Million USD)</v>
      </c>
      <c r="B70" s="29">
        <f t="shared" ref="B70:AU70" si="12">SUM(B71:B73)+SUM(B75:B78)</f>
        <v>502.40628356392745</v>
      </c>
      <c r="C70" s="29">
        <f t="shared" si="12"/>
        <v>504.0975125923506</v>
      </c>
      <c r="D70" s="29">
        <f t="shared" si="12"/>
        <v>514.4199437365296</v>
      </c>
      <c r="E70" s="29">
        <f t="shared" si="12"/>
        <v>525.46248738498934</v>
      </c>
      <c r="F70" s="29">
        <f t="shared" si="12"/>
        <v>537.25510932199859</v>
      </c>
      <c r="G70" s="29">
        <f t="shared" si="12"/>
        <v>552.45865936377231</v>
      </c>
      <c r="H70" s="29">
        <f t="shared" si="12"/>
        <v>565.17384020559894</v>
      </c>
      <c r="I70" s="29">
        <f t="shared" si="12"/>
        <v>579.92507953950121</v>
      </c>
      <c r="J70" s="29">
        <f t="shared" si="12"/>
        <v>602.2966055964489</v>
      </c>
      <c r="K70" s="29">
        <f t="shared" si="12"/>
        <v>612.41282627441581</v>
      </c>
      <c r="L70" s="29">
        <f t="shared" si="12"/>
        <v>631.81561202119542</v>
      </c>
      <c r="M70" s="29">
        <f t="shared" si="12"/>
        <v>647.43368264886635</v>
      </c>
      <c r="N70" s="29">
        <f t="shared" si="12"/>
        <v>667.96459826515718</v>
      </c>
      <c r="O70" s="29">
        <f t="shared" si="12"/>
        <v>688.69805451570721</v>
      </c>
      <c r="P70" s="29">
        <f t="shared" si="12"/>
        <v>712.10428234038443</v>
      </c>
      <c r="Q70" s="29">
        <f t="shared" si="12"/>
        <v>732.21155245641683</v>
      </c>
      <c r="R70" s="29">
        <f t="shared" si="12"/>
        <v>757.10808479114064</v>
      </c>
      <c r="S70" s="29">
        <f t="shared" si="12"/>
        <v>784.33166309769319</v>
      </c>
      <c r="T70" s="29">
        <f t="shared" si="12"/>
        <v>809.8669549979935</v>
      </c>
      <c r="U70" s="29">
        <f t="shared" si="12"/>
        <v>837.71913770889682</v>
      </c>
      <c r="V70" s="29">
        <f t="shared" si="12"/>
        <v>867.87422971948899</v>
      </c>
      <c r="W70" s="29">
        <f t="shared" si="12"/>
        <v>898.33352870014335</v>
      </c>
      <c r="X70" s="29">
        <f t="shared" si="12"/>
        <v>929.37215593721203</v>
      </c>
      <c r="Y70" s="29">
        <f t="shared" si="12"/>
        <v>969.07160760109912</v>
      </c>
      <c r="Z70" s="29">
        <f t="shared" si="12"/>
        <v>1007.2738131699969</v>
      </c>
      <c r="AA70" s="29">
        <f t="shared" si="12"/>
        <v>1056.0597013467818</v>
      </c>
      <c r="AB70" s="29">
        <f t="shared" si="12"/>
        <v>1091.5605738225011</v>
      </c>
      <c r="AC70" s="29">
        <f t="shared" si="12"/>
        <v>1134.6861872565714</v>
      </c>
      <c r="AD70" s="29">
        <f t="shared" si="12"/>
        <v>1181.9728438612822</v>
      </c>
      <c r="AE70" s="29">
        <f t="shared" si="12"/>
        <v>1232.5266909964989</v>
      </c>
      <c r="AF70" s="29">
        <f t="shared" si="12"/>
        <v>1285.501930199624</v>
      </c>
      <c r="AG70" s="29">
        <f t="shared" si="12"/>
        <v>1344.8465360959403</v>
      </c>
      <c r="AH70" s="29">
        <f t="shared" si="12"/>
        <v>1407.5139856554781</v>
      </c>
      <c r="AI70" s="29">
        <f t="shared" si="12"/>
        <v>1470.5805982845543</v>
      </c>
      <c r="AJ70" s="29">
        <f t="shared" si="12"/>
        <v>1537.4076872631756</v>
      </c>
      <c r="AK70" s="29">
        <f t="shared" si="12"/>
        <v>1607.963723063634</v>
      </c>
      <c r="AL70" s="29">
        <f t="shared" si="12"/>
        <v>1681.043909110894</v>
      </c>
      <c r="AM70" s="29">
        <f t="shared" si="12"/>
        <v>1758.217270571836</v>
      </c>
      <c r="AN70" s="29">
        <f t="shared" si="12"/>
        <v>1839.1888567881358</v>
      </c>
      <c r="AO70" s="29">
        <f t="shared" si="12"/>
        <v>1922.1483579965802</v>
      </c>
      <c r="AP70" s="29">
        <f t="shared" si="12"/>
        <v>2005.5093370110203</v>
      </c>
      <c r="AQ70" s="29">
        <f t="shared" si="12"/>
        <v>2093.2581765719751</v>
      </c>
      <c r="AR70" s="29">
        <f t="shared" si="12"/>
        <v>2187.1404431032438</v>
      </c>
      <c r="AS70" s="29">
        <f t="shared" si="12"/>
        <v>2284.1209676497765</v>
      </c>
      <c r="AT70" s="29">
        <f t="shared" si="12"/>
        <v>2387.6226448076141</v>
      </c>
      <c r="AU70" s="29">
        <f t="shared" si="12"/>
        <v>2495.7180504949638</v>
      </c>
      <c r="AY70" s="422"/>
      <c r="AZ70" s="422"/>
      <c r="BA70" s="422"/>
      <c r="BB70" s="422"/>
      <c r="BD70" s="422"/>
    </row>
    <row r="71" spans="1:56" ht="14.25">
      <c r="A71" s="12" t="s">
        <v>318</v>
      </c>
      <c r="B71" s="31">
        <f>IF($C$51="Government Budget",
'Funding Baseline'!R6-B74,
'Funding Baseline'!R6)</f>
        <v>212.58532153576144</v>
      </c>
      <c r="C71" s="31">
        <f t="shared" ref="C71:AU71" si="13">IF($C$51="Government Budget",
B71*(1+$C39)-C74,
B71*(1+$C39))</f>
        <v>208.91072951214397</v>
      </c>
      <c r="D71" s="31">
        <f t="shared" si="13"/>
        <v>205.2996537578648</v>
      </c>
      <c r="E71" s="31">
        <f t="shared" si="13"/>
        <v>201.75099637785294</v>
      </c>
      <c r="F71" s="31">
        <f t="shared" si="13"/>
        <v>198.26367845443639</v>
      </c>
      <c r="G71" s="31">
        <f t="shared" si="13"/>
        <v>194.83663971931293</v>
      </c>
      <c r="H71" s="31">
        <f t="shared" si="13"/>
        <v>191.468838231191</v>
      </c>
      <c r="I71" s="31">
        <f t="shared" si="13"/>
        <v>188.15925005900255</v>
      </c>
      <c r="J71" s="31">
        <f t="shared" si="13"/>
        <v>184.90686897059169</v>
      </c>
      <c r="K71" s="31">
        <f t="shared" si="13"/>
        <v>181.71070612678446</v>
      </c>
      <c r="L71" s="31">
        <f t="shared" si="13"/>
        <v>178.56978978074665</v>
      </c>
      <c r="M71" s="31">
        <f t="shared" si="13"/>
        <v>175.48316498253828</v>
      </c>
      <c r="N71" s="31">
        <f t="shared" si="13"/>
        <v>172.44989328877506</v>
      </c>
      <c r="O71" s="31">
        <f t="shared" si="13"/>
        <v>169.46905247730814</v>
      </c>
      <c r="P71" s="31">
        <f t="shared" si="13"/>
        <v>166.53973626683606</v>
      </c>
      <c r="Q71" s="31">
        <f t="shared" si="13"/>
        <v>163.661054041363</v>
      </c>
      <c r="R71" s="31">
        <f t="shared" si="13"/>
        <v>160.83213057941998</v>
      </c>
      <c r="S71" s="31">
        <f t="shared" si="13"/>
        <v>158.05210578796644</v>
      </c>
      <c r="T71" s="31">
        <f t="shared" si="13"/>
        <v>155.32013444089154</v>
      </c>
      <c r="U71" s="31">
        <f t="shared" si="13"/>
        <v>152.6353859220354</v>
      </c>
      <c r="V71" s="31">
        <f t="shared" si="13"/>
        <v>149.99704397265236</v>
      </c>
      <c r="W71" s="31">
        <f t="shared" si="13"/>
        <v>147.40430644323934</v>
      </c>
      <c r="X71" s="31">
        <f t="shared" si="13"/>
        <v>144.85638504965397</v>
      </c>
      <c r="Y71" s="31">
        <f t="shared" si="13"/>
        <v>142.35250513344829</v>
      </c>
      <c r="Z71" s="31">
        <f t="shared" si="13"/>
        <v>139.89190542634509</v>
      </c>
      <c r="AA71" s="31">
        <f t="shared" si="13"/>
        <v>137.47383781878537</v>
      </c>
      <c r="AB71" s="31">
        <f t="shared" si="13"/>
        <v>135.09756713247646</v>
      </c>
      <c r="AC71" s="31">
        <f t="shared" si="13"/>
        <v>132.76237089687177</v>
      </c>
      <c r="AD71" s="31">
        <f t="shared" si="13"/>
        <v>130.46753912951422</v>
      </c>
      <c r="AE71" s="31">
        <f t="shared" si="13"/>
        <v>128.21237412017626</v>
      </c>
      <c r="AF71" s="31">
        <f t="shared" si="13"/>
        <v>125.9961902187313</v>
      </c>
      <c r="AG71" s="31">
        <f t="shared" si="13"/>
        <v>123.81831362669175</v>
      </c>
      <c r="AH71" s="31">
        <f t="shared" si="13"/>
        <v>121.67808219235037</v>
      </c>
      <c r="AI71" s="31">
        <f t="shared" si="13"/>
        <v>119.57484520946271</v>
      </c>
      <c r="AJ71" s="31">
        <f t="shared" si="13"/>
        <v>117.50796321940928</v>
      </c>
      <c r="AK71" s="31">
        <f t="shared" si="13"/>
        <v>115.47680781677751</v>
      </c>
      <c r="AL71" s="31">
        <f t="shared" si="13"/>
        <v>113.48076145830419</v>
      </c>
      <c r="AM71" s="31">
        <f t="shared" si="13"/>
        <v>111.51921727512044</v>
      </c>
      <c r="AN71" s="31">
        <f t="shared" si="13"/>
        <v>109.59157888824205</v>
      </c>
      <c r="AO71" s="31">
        <f t="shared" si="13"/>
        <v>107.69726022724912</v>
      </c>
      <c r="AP71" s="31">
        <f t="shared" si="13"/>
        <v>105.83568535209984</v>
      </c>
      <c r="AQ71" s="31">
        <f t="shared" si="13"/>
        <v>104.00628827802439</v>
      </c>
      <c r="AR71" s="31">
        <f t="shared" si="13"/>
        <v>102.20851280344537</v>
      </c>
      <c r="AS71" s="31">
        <f t="shared" si="13"/>
        <v>100.44181234087293</v>
      </c>
      <c r="AT71" s="31">
        <f t="shared" si="13"/>
        <v>98.705649750722671</v>
      </c>
      <c r="AU71" s="31">
        <f t="shared" si="13"/>
        <v>96.999497178006266</v>
      </c>
      <c r="AY71" s="23"/>
      <c r="AZ71" s="23"/>
      <c r="BA71" s="23"/>
      <c r="BB71" s="23"/>
      <c r="BD71" s="23"/>
    </row>
    <row r="72" spans="1:56" ht="14.25">
      <c r="A72" s="12" t="s">
        <v>319</v>
      </c>
      <c r="B72" s="31">
        <f>IF($C$60="Debt Write-Off",
IF(B64&lt;$B$64+(ROUNDDOWN('High Level Dashboard'!$C$36-'High Level Dashboard'!$C$35,0)),-PMT('High Level Dashboard'!$C$34,'High Level Dashboard'!$C$36-'High Level Dashboard'!$C$35,'Financial Instruments'!$B$135,0),
IF(B64=$B$64-1+(ROUNDUP($C$36-$C$35,0)),-PMT('High Level Dashboard'!$C$34,'High Level Dashboard'!$C$36-'High Level Dashboard'!$C$35,'Financial Instruments'!$B$135,0)*(('High Level Dashboard'!$C$36-'High Level Dashboard'!$C$35)-ROUNDDOWN('High Level Dashboard'!$C$36-'High Level Dashboard'!$C$35,0)),
0)),0)</f>
        <v>0</v>
      </c>
      <c r="C72" s="31">
        <f>IF($C$60="Debt Write-Off",
IF(C64&lt;$B$64+(ROUNDDOWN('High Level Dashboard'!$C$36-'High Level Dashboard'!$C$35,0)),-PMT('High Level Dashboard'!$C$34,'High Level Dashboard'!$C$36-'High Level Dashboard'!$C$35,'Financial Instruments'!$B$135,0),
IF(C64=$B$64-1+(ROUNDUP($C$36-$C$35,0)),-PMT('High Level Dashboard'!$C$34,'High Level Dashboard'!$C$36-'High Level Dashboard'!$C$35,'Financial Instruments'!$B$135,0)*(('High Level Dashboard'!$C$36-'High Level Dashboard'!$C$35)-ROUNDDOWN('High Level Dashboard'!$C$36-'High Level Dashboard'!$C$35,0)),
0)),0)</f>
        <v>0</v>
      </c>
      <c r="D72" s="31">
        <f>IF($C$60="Debt Write-Off",
IF(D64&lt;$B$64+(ROUNDDOWN('High Level Dashboard'!$C$36-'High Level Dashboard'!$C$35,0)),-PMT('High Level Dashboard'!$C$34,'High Level Dashboard'!$C$36-'High Level Dashboard'!$C$35,'Financial Instruments'!$B$135,0),
IF(D64=$B$64-1+(ROUNDUP($C$36-$C$35,0)),-PMT('High Level Dashboard'!$C$34,'High Level Dashboard'!$C$36-'High Level Dashboard'!$C$35,'Financial Instruments'!$B$135,0)*(('High Level Dashboard'!$C$36-'High Level Dashboard'!$C$35)-ROUNDDOWN('High Level Dashboard'!$C$36-'High Level Dashboard'!$C$35,0)),
0)),0)</f>
        <v>0</v>
      </c>
      <c r="E72" s="31">
        <f>IF($C$60="Debt Write-Off",
IF(E64&lt;$B$64+(ROUNDDOWN('High Level Dashboard'!$C$36-'High Level Dashboard'!$C$35,0)),-PMT('High Level Dashboard'!$C$34,'High Level Dashboard'!$C$36-'High Level Dashboard'!$C$35,'Financial Instruments'!$B$135,0),
IF(E64=$B$64-1+(ROUNDUP($C$36-$C$35,0)),-PMT('High Level Dashboard'!$C$34,'High Level Dashboard'!$C$36-'High Level Dashboard'!$C$35,'Financial Instruments'!$B$135,0)*(('High Level Dashboard'!$C$36-'High Level Dashboard'!$C$35)-ROUNDDOWN('High Level Dashboard'!$C$36-'High Level Dashboard'!$C$35,0)),
0)),0)</f>
        <v>0</v>
      </c>
      <c r="F72" s="31">
        <f>IF($C$60="Debt Write-Off",
IF(F64&lt;$B$64+(ROUNDDOWN('High Level Dashboard'!$C$36-'High Level Dashboard'!$C$35,0)),-PMT('High Level Dashboard'!$C$34,'High Level Dashboard'!$C$36-'High Level Dashboard'!$C$35,'Financial Instruments'!$B$135,0),
IF(F64=$B$64-1+(ROUNDUP($C$36-$C$35,0)),-PMT('High Level Dashboard'!$C$34,'High Level Dashboard'!$C$36-'High Level Dashboard'!$C$35,'Financial Instruments'!$B$135,0)*(('High Level Dashboard'!$C$36-'High Level Dashboard'!$C$35)-ROUNDDOWN('High Level Dashboard'!$C$36-'High Level Dashboard'!$C$35,0)),
0)),0)</f>
        <v>0</v>
      </c>
      <c r="G72" s="31">
        <f>IF($C$60="Debt Write-Off",
IF(G64&lt;$B$64+(ROUNDDOWN('High Level Dashboard'!$C$36-'High Level Dashboard'!$C$35,0)),-PMT('High Level Dashboard'!$C$34,'High Level Dashboard'!$C$36-'High Level Dashboard'!$C$35,'Financial Instruments'!$B$135,0),
IF(G64=$B$64-1+(ROUNDUP($C$36-$C$35,0)),-PMT('High Level Dashboard'!$C$34,'High Level Dashboard'!$C$36-'High Level Dashboard'!$C$35,'Financial Instruments'!$B$135,0)*(('High Level Dashboard'!$C$36-'High Level Dashboard'!$C$35)-ROUNDDOWN('High Level Dashboard'!$C$36-'High Level Dashboard'!$C$35,0)),
0)),0)</f>
        <v>0</v>
      </c>
      <c r="H72" s="31">
        <f>IF($C$60="Debt Write-Off",
IF(H64&lt;$B$64+(ROUNDDOWN('High Level Dashboard'!$C$36-'High Level Dashboard'!$C$35,0)),-PMT('High Level Dashboard'!$C$34,'High Level Dashboard'!$C$36-'High Level Dashboard'!$C$35,'Financial Instruments'!$B$135,0),
IF(H64=$B$64-1+(ROUNDUP($C$36-$C$35,0)),-PMT('High Level Dashboard'!$C$34,'High Level Dashboard'!$C$36-'High Level Dashboard'!$C$35,'Financial Instruments'!$B$135,0)*(('High Level Dashboard'!$C$36-'High Level Dashboard'!$C$35)-ROUNDDOWN('High Level Dashboard'!$C$36-'High Level Dashboard'!$C$35,0)),
0)),0)</f>
        <v>0</v>
      </c>
      <c r="I72" s="31">
        <f>IF($C$60="Debt Write-Off",
IF(I64&lt;$B$64+(ROUNDDOWN('High Level Dashboard'!$C$36-'High Level Dashboard'!$C$35,0)),-PMT('High Level Dashboard'!$C$34,'High Level Dashboard'!$C$36-'High Level Dashboard'!$C$35,'Financial Instruments'!$B$135,0),
IF(I64=$B$64-1+(ROUNDUP($C$36-$C$35,0)),-PMT('High Level Dashboard'!$C$34,'High Level Dashboard'!$C$36-'High Level Dashboard'!$C$35,'Financial Instruments'!$B$135,0)*(('High Level Dashboard'!$C$36-'High Level Dashboard'!$C$35)-ROUNDDOWN('High Level Dashboard'!$C$36-'High Level Dashboard'!$C$35,0)),
0)),0)</f>
        <v>0</v>
      </c>
      <c r="J72" s="31">
        <f>IF($C$60="Debt Write-Off",
IF(J64&lt;$B$64+(ROUNDDOWN('High Level Dashboard'!$C$36-'High Level Dashboard'!$C$35,0)),-PMT('High Level Dashboard'!$C$34,'High Level Dashboard'!$C$36-'High Level Dashboard'!$C$35,'Financial Instruments'!$B$135,0),
IF(J64=$B$64-1+(ROUNDUP($C$36-$C$35,0)),-PMT('High Level Dashboard'!$C$34,'High Level Dashboard'!$C$36-'High Level Dashboard'!$C$35,'Financial Instruments'!$B$135,0)*(('High Level Dashboard'!$C$36-'High Level Dashboard'!$C$35)-ROUNDDOWN('High Level Dashboard'!$C$36-'High Level Dashboard'!$C$35,0)),
0)),0)</f>
        <v>0</v>
      </c>
      <c r="K72" s="31">
        <f>IF($C$60="Debt Write-Off",
IF(K64&lt;$B$64+(ROUNDDOWN('High Level Dashboard'!$C$36-'High Level Dashboard'!$C$35,0)),-PMT('High Level Dashboard'!$C$34,'High Level Dashboard'!$C$36-'High Level Dashboard'!$C$35,'Financial Instruments'!$B$135,0),
IF(K64=$B$64-1+(ROUNDUP($C$36-$C$35,0)),-PMT('High Level Dashboard'!$C$34,'High Level Dashboard'!$C$36-'High Level Dashboard'!$C$35,'Financial Instruments'!$B$135,0)*(('High Level Dashboard'!$C$36-'High Level Dashboard'!$C$35)-ROUNDDOWN('High Level Dashboard'!$C$36-'High Level Dashboard'!$C$35,0)),
0)),0)</f>
        <v>0</v>
      </c>
      <c r="L72" s="31">
        <f>IF($C$60="Debt Write-Off",
IF(L64&lt;$B$64+(ROUNDDOWN('High Level Dashboard'!$C$36-'High Level Dashboard'!$C$35,0)),-PMT('High Level Dashboard'!$C$34,'High Level Dashboard'!$C$36-'High Level Dashboard'!$C$35,'Financial Instruments'!$B$135,0),
IF(L64=$B$64-1+(ROUNDUP($C$36-$C$35,0)),-PMT('High Level Dashboard'!$C$34,'High Level Dashboard'!$C$36-'High Level Dashboard'!$C$35,'Financial Instruments'!$B$135,0)*(('High Level Dashboard'!$C$36-'High Level Dashboard'!$C$35)-ROUNDDOWN('High Level Dashboard'!$C$36-'High Level Dashboard'!$C$35,0)),
0)),0)</f>
        <v>0</v>
      </c>
      <c r="M72" s="31">
        <f>IF($C$60="Debt Write-Off",
IF(M64&lt;$B$64+(ROUNDDOWN('High Level Dashboard'!$C$36-'High Level Dashboard'!$C$35,0)),-PMT('High Level Dashboard'!$C$34,'High Level Dashboard'!$C$36-'High Level Dashboard'!$C$35,'Financial Instruments'!$B$135,0),
IF(M64=$B$64-1+(ROUNDUP($C$36-$C$35,0)),-PMT('High Level Dashboard'!$C$34,'High Level Dashboard'!$C$36-'High Level Dashboard'!$C$35,'Financial Instruments'!$B$135,0)*(('High Level Dashboard'!$C$36-'High Level Dashboard'!$C$35)-ROUNDDOWN('High Level Dashboard'!$C$36-'High Level Dashboard'!$C$35,0)),
0)),0)</f>
        <v>0</v>
      </c>
      <c r="N72" s="31">
        <f>IF($C$60="Debt Write-Off",
IF(N64&lt;$B$64+(ROUNDDOWN('High Level Dashboard'!$C$36-'High Level Dashboard'!$C$35,0)),-PMT('High Level Dashboard'!$C$34,'High Level Dashboard'!$C$36-'High Level Dashboard'!$C$35,'Financial Instruments'!$B$135,0),
IF(N64=$B$64-1+(ROUNDUP($C$36-$C$35,0)),-PMT('High Level Dashboard'!$C$34,'High Level Dashboard'!$C$36-'High Level Dashboard'!$C$35,'Financial Instruments'!$B$135,0)*(('High Level Dashboard'!$C$36-'High Level Dashboard'!$C$35)-ROUNDDOWN('High Level Dashboard'!$C$36-'High Level Dashboard'!$C$35,0)),
0)),0)</f>
        <v>0</v>
      </c>
      <c r="O72" s="31">
        <f>IF($C$60="Debt Write-Off",
IF(O64&lt;$B$64+(ROUNDDOWN('High Level Dashboard'!$C$36-'High Level Dashboard'!$C$35,0)),-PMT('High Level Dashboard'!$C$34,'High Level Dashboard'!$C$36-'High Level Dashboard'!$C$35,'Financial Instruments'!$B$135,0),
IF(O64=$B$64-1+(ROUNDUP($C$36-$C$35,0)),-PMT('High Level Dashboard'!$C$34,'High Level Dashboard'!$C$36-'High Level Dashboard'!$C$35,'Financial Instruments'!$B$135,0)*(('High Level Dashboard'!$C$36-'High Level Dashboard'!$C$35)-ROUNDDOWN('High Level Dashboard'!$C$36-'High Level Dashboard'!$C$35,0)),
0)),0)</f>
        <v>0</v>
      </c>
      <c r="P72" s="31">
        <f>IF($C$60="Debt Write-Off",
IF(P64&lt;$B$64+(ROUNDDOWN('High Level Dashboard'!$C$36-'High Level Dashboard'!$C$35,0)),-PMT('High Level Dashboard'!$C$34,'High Level Dashboard'!$C$36-'High Level Dashboard'!$C$35,'Financial Instruments'!$B$135,0),
IF(P64=$B$64-1+(ROUNDUP($C$36-$C$35,0)),-PMT('High Level Dashboard'!$C$34,'High Level Dashboard'!$C$36-'High Level Dashboard'!$C$35,'Financial Instruments'!$B$135,0)*(('High Level Dashboard'!$C$36-'High Level Dashboard'!$C$35)-ROUNDDOWN('High Level Dashboard'!$C$36-'High Level Dashboard'!$C$35,0)),
0)),0)</f>
        <v>0</v>
      </c>
      <c r="Q72" s="31">
        <f>IF($C$60="Debt Write-Off",
IF(Q64&lt;$B$64+(ROUNDDOWN('High Level Dashboard'!$C$36-'High Level Dashboard'!$C$35,0)),-PMT('High Level Dashboard'!$C$34,'High Level Dashboard'!$C$36-'High Level Dashboard'!$C$35,'Financial Instruments'!$B$135,0),
IF(Q64=$B$64-1+(ROUNDUP($C$36-$C$35,0)),-PMT('High Level Dashboard'!$C$34,'High Level Dashboard'!$C$36-'High Level Dashboard'!$C$35,'Financial Instruments'!$B$135,0)*(('High Level Dashboard'!$C$36-'High Level Dashboard'!$C$35)-ROUNDDOWN('High Level Dashboard'!$C$36-'High Level Dashboard'!$C$35,0)),
0)),0)</f>
        <v>0</v>
      </c>
      <c r="R72" s="31">
        <f>IF($C$60="Debt Write-Off",
IF(R64&lt;$B$64+(ROUNDDOWN('High Level Dashboard'!$C$36-'High Level Dashboard'!$C$35,0)),-PMT('High Level Dashboard'!$C$34,'High Level Dashboard'!$C$36-'High Level Dashboard'!$C$35,'Financial Instruments'!$B$135,0),
IF(R64=$B$64-1+(ROUNDUP($C$36-$C$35,0)),-PMT('High Level Dashboard'!$C$34,'High Level Dashboard'!$C$36-'High Level Dashboard'!$C$35,'Financial Instruments'!$B$135,0)*(('High Level Dashboard'!$C$36-'High Level Dashboard'!$C$35)-ROUNDDOWN('High Level Dashboard'!$C$36-'High Level Dashboard'!$C$35,0)),
0)),0)</f>
        <v>0</v>
      </c>
      <c r="S72" s="31">
        <f>IF($C$60="Debt Write-Off",
IF(S64&lt;$B$64+(ROUNDDOWN('High Level Dashboard'!$C$36-'High Level Dashboard'!$C$35,0)),-PMT('High Level Dashboard'!$C$34,'High Level Dashboard'!$C$36-'High Level Dashboard'!$C$35,'Financial Instruments'!$B$135,0),
IF(S64=$B$64-1+(ROUNDUP($C$36-$C$35,0)),-PMT('High Level Dashboard'!$C$34,'High Level Dashboard'!$C$36-'High Level Dashboard'!$C$35,'Financial Instruments'!$B$135,0)*(('High Level Dashboard'!$C$36-'High Level Dashboard'!$C$35)-ROUNDDOWN('High Level Dashboard'!$C$36-'High Level Dashboard'!$C$35,0)),
0)),0)</f>
        <v>0</v>
      </c>
      <c r="T72" s="31">
        <f>IF($C$60="Debt Write-Off",
IF(T64&lt;$B$64+(ROUNDDOWN('High Level Dashboard'!$C$36-'High Level Dashboard'!$C$35,0)),-PMT('High Level Dashboard'!$C$34,'High Level Dashboard'!$C$36-'High Level Dashboard'!$C$35,'Financial Instruments'!$B$135,0),
IF(T64=$B$64-1+(ROUNDUP($C$36-$C$35,0)),-PMT('High Level Dashboard'!$C$34,'High Level Dashboard'!$C$36-'High Level Dashboard'!$C$35,'Financial Instruments'!$B$135,0)*(('High Level Dashboard'!$C$36-'High Level Dashboard'!$C$35)-ROUNDDOWN('High Level Dashboard'!$C$36-'High Level Dashboard'!$C$35,0)),
0)),0)</f>
        <v>0</v>
      </c>
      <c r="U72" s="31">
        <f>IF($C$60="Debt Write-Off",
IF(U64&lt;$B$64+(ROUNDDOWN('High Level Dashboard'!$C$36-'High Level Dashboard'!$C$35,0)),-PMT('High Level Dashboard'!$C$34,'High Level Dashboard'!$C$36-'High Level Dashboard'!$C$35,'Financial Instruments'!$B$135,0),
IF(U64=$B$64-1+(ROUNDUP($C$36-$C$35,0)),-PMT('High Level Dashboard'!$C$34,'High Level Dashboard'!$C$36-'High Level Dashboard'!$C$35,'Financial Instruments'!$B$135,0)*(('High Level Dashboard'!$C$36-'High Level Dashboard'!$C$35)-ROUNDDOWN('High Level Dashboard'!$C$36-'High Level Dashboard'!$C$35,0)),
0)),0)</f>
        <v>0</v>
      </c>
      <c r="V72" s="31">
        <f>IF($C$60="Debt Write-Off",
IF(V64&lt;$B$64+(ROUNDDOWN('High Level Dashboard'!$C$36-'High Level Dashboard'!$C$35,0)),-PMT('High Level Dashboard'!$C$34,'High Level Dashboard'!$C$36-'High Level Dashboard'!$C$35,'Financial Instruments'!$B$135,0),
IF(V64=$B$64-1+(ROUNDUP($C$36-$C$35,0)),-PMT('High Level Dashboard'!$C$34,'High Level Dashboard'!$C$36-'High Level Dashboard'!$C$35,'Financial Instruments'!$B$135,0)*(('High Level Dashboard'!$C$36-'High Level Dashboard'!$C$35)-ROUNDDOWN('High Level Dashboard'!$C$36-'High Level Dashboard'!$C$35,0)),
0)),0)</f>
        <v>0</v>
      </c>
      <c r="W72" s="31">
        <f>IF($C$60="Debt Write-Off",
IF(W64&lt;$B$64+(ROUNDDOWN('High Level Dashboard'!$C$36-'High Level Dashboard'!$C$35,0)),-PMT('High Level Dashboard'!$C$34,'High Level Dashboard'!$C$36-'High Level Dashboard'!$C$35,'Financial Instruments'!$B$135,0),
IF(W64=$B$64-1+(ROUNDUP($C$36-$C$35,0)),-PMT('High Level Dashboard'!$C$34,'High Level Dashboard'!$C$36-'High Level Dashboard'!$C$35,'Financial Instruments'!$B$135,0)*(('High Level Dashboard'!$C$36-'High Level Dashboard'!$C$35)-ROUNDDOWN('High Level Dashboard'!$C$36-'High Level Dashboard'!$C$35,0)),
0)),0)</f>
        <v>0</v>
      </c>
      <c r="X72" s="31">
        <f>IF($C$60="Debt Write-Off",
IF(X64&lt;$B$64+(ROUNDDOWN('High Level Dashboard'!$C$36-'High Level Dashboard'!$C$35,0)),-PMT('High Level Dashboard'!$C$34,'High Level Dashboard'!$C$36-'High Level Dashboard'!$C$35,'Financial Instruments'!$B$135,0),
IF(X64=$B$64-1+(ROUNDUP($C$36-$C$35,0)),-PMT('High Level Dashboard'!$C$34,'High Level Dashboard'!$C$36-'High Level Dashboard'!$C$35,'Financial Instruments'!$B$135,0)*(('High Level Dashboard'!$C$36-'High Level Dashboard'!$C$35)-ROUNDDOWN('High Level Dashboard'!$C$36-'High Level Dashboard'!$C$35,0)),
0)),0)</f>
        <v>0</v>
      </c>
      <c r="Y72" s="31">
        <f>IF($C$60="Debt Write-Off",
IF(Y64&lt;$B$64+(ROUNDDOWN('High Level Dashboard'!$C$36-'High Level Dashboard'!$C$35,0)),-PMT('High Level Dashboard'!$C$34,'High Level Dashboard'!$C$36-'High Level Dashboard'!$C$35,'Financial Instruments'!$B$135,0),
IF(Y64=$B$64-1+(ROUNDUP($C$36-$C$35,0)),-PMT('High Level Dashboard'!$C$34,'High Level Dashboard'!$C$36-'High Level Dashboard'!$C$35,'Financial Instruments'!$B$135,0)*(('High Level Dashboard'!$C$36-'High Level Dashboard'!$C$35)-ROUNDDOWN('High Level Dashboard'!$C$36-'High Level Dashboard'!$C$35,0)),
0)),0)</f>
        <v>0</v>
      </c>
      <c r="Z72" s="31">
        <f>IF($C$60="Debt Write-Off",
IF(Z64&lt;$B$64+(ROUNDDOWN('High Level Dashboard'!$C$36-'High Level Dashboard'!$C$35,0)),-PMT('High Level Dashboard'!$C$34,'High Level Dashboard'!$C$36-'High Level Dashboard'!$C$35,'Financial Instruments'!$B$135,0),
IF(Z64=$B$64-1+(ROUNDUP($C$36-$C$35,0)),-PMT('High Level Dashboard'!$C$34,'High Level Dashboard'!$C$36-'High Level Dashboard'!$C$35,'Financial Instruments'!$B$135,0)*(('High Level Dashboard'!$C$36-'High Level Dashboard'!$C$35)-ROUNDDOWN('High Level Dashboard'!$C$36-'High Level Dashboard'!$C$35,0)),
0)),0)</f>
        <v>0</v>
      </c>
      <c r="AA72" s="31">
        <f>IF($C$60="Debt Write-Off",
IF(AA64&lt;$B$64+(ROUNDDOWN('High Level Dashboard'!$C$36-'High Level Dashboard'!$C$35,0)),-PMT('High Level Dashboard'!$C$34,'High Level Dashboard'!$C$36-'High Level Dashboard'!$C$35,'Financial Instruments'!$B$135,0),
IF(AA64=$B$64-1+(ROUNDUP($C$36-$C$35,0)),-PMT('High Level Dashboard'!$C$34,'High Level Dashboard'!$C$36-'High Level Dashboard'!$C$35,'Financial Instruments'!$B$135,0)*(('High Level Dashboard'!$C$36-'High Level Dashboard'!$C$35)-ROUNDDOWN('High Level Dashboard'!$C$36-'High Level Dashboard'!$C$35,0)),
0)),0)</f>
        <v>0</v>
      </c>
      <c r="AB72" s="31">
        <f>IF($C$60="Debt Write-Off",
IF(AB64&lt;$B$64+(ROUNDDOWN('High Level Dashboard'!$C$36-'High Level Dashboard'!$C$35,0)),-PMT('High Level Dashboard'!$C$34,'High Level Dashboard'!$C$36-'High Level Dashboard'!$C$35,'Financial Instruments'!$B$135,0),
IF(AB64=$B$64-1+(ROUNDUP($C$36-$C$35,0)),-PMT('High Level Dashboard'!$C$34,'High Level Dashboard'!$C$36-'High Level Dashboard'!$C$35,'Financial Instruments'!$B$135,0)*(('High Level Dashboard'!$C$36-'High Level Dashboard'!$C$35)-ROUNDDOWN('High Level Dashboard'!$C$36-'High Level Dashboard'!$C$35,0)),
0)),0)</f>
        <v>0</v>
      </c>
      <c r="AC72" s="31">
        <f>IF($C$60="Debt Write-Off",
IF(AC64&lt;$B$64+(ROUNDDOWN('High Level Dashboard'!$C$36-'High Level Dashboard'!$C$35,0)),-PMT('High Level Dashboard'!$C$34,'High Level Dashboard'!$C$36-'High Level Dashboard'!$C$35,'Financial Instruments'!$B$135,0),
IF(AC64=$B$64-1+(ROUNDUP($C$36-$C$35,0)),-PMT('High Level Dashboard'!$C$34,'High Level Dashboard'!$C$36-'High Level Dashboard'!$C$35,'Financial Instruments'!$B$135,0)*(('High Level Dashboard'!$C$36-'High Level Dashboard'!$C$35)-ROUNDDOWN('High Level Dashboard'!$C$36-'High Level Dashboard'!$C$35,0)),
0)),0)</f>
        <v>0</v>
      </c>
      <c r="AD72" s="31">
        <f>IF($C$60="Debt Write-Off",
IF(AD64&lt;$B$64+(ROUNDDOWN('High Level Dashboard'!$C$36-'High Level Dashboard'!$C$35,0)),-PMT('High Level Dashboard'!$C$34,'High Level Dashboard'!$C$36-'High Level Dashboard'!$C$35,'Financial Instruments'!$B$135,0),
IF(AD64=$B$64-1+(ROUNDUP($C$36-$C$35,0)),-PMT('High Level Dashboard'!$C$34,'High Level Dashboard'!$C$36-'High Level Dashboard'!$C$35,'Financial Instruments'!$B$135,0)*(('High Level Dashboard'!$C$36-'High Level Dashboard'!$C$35)-ROUNDDOWN('High Level Dashboard'!$C$36-'High Level Dashboard'!$C$35,0)),
0)),0)</f>
        <v>0</v>
      </c>
      <c r="AE72" s="31">
        <f>IF($C$60="Debt Write-Off",
IF(AE64&lt;$B$64+(ROUNDDOWN('High Level Dashboard'!$C$36-'High Level Dashboard'!$C$35,0)),-PMT('High Level Dashboard'!$C$34,'High Level Dashboard'!$C$36-'High Level Dashboard'!$C$35,'Financial Instruments'!$B$135,0),
IF(AE64=$B$64-1+(ROUNDUP($C$36-$C$35,0)),-PMT('High Level Dashboard'!$C$34,'High Level Dashboard'!$C$36-'High Level Dashboard'!$C$35,'Financial Instruments'!$B$135,0)*(('High Level Dashboard'!$C$36-'High Level Dashboard'!$C$35)-ROUNDDOWN('High Level Dashboard'!$C$36-'High Level Dashboard'!$C$35,0)),
0)),0)</f>
        <v>0</v>
      </c>
      <c r="AF72" s="31">
        <f>IF($C$60="Debt Write-Off",
IF(AF64&lt;$B$64+(ROUNDDOWN('High Level Dashboard'!$C$36-'High Level Dashboard'!$C$35,0)),-PMT('High Level Dashboard'!$C$34,'High Level Dashboard'!$C$36-'High Level Dashboard'!$C$35,'Financial Instruments'!$B$135,0),
IF(AF64=$B$64-1+(ROUNDUP($C$36-$C$35,0)),-PMT('High Level Dashboard'!$C$34,'High Level Dashboard'!$C$36-'High Level Dashboard'!$C$35,'Financial Instruments'!$B$135,0)*(('High Level Dashboard'!$C$36-'High Level Dashboard'!$C$35)-ROUNDDOWN('High Level Dashboard'!$C$36-'High Level Dashboard'!$C$35,0)),
0)),0)</f>
        <v>0</v>
      </c>
      <c r="AG72" s="31">
        <f>IF($C$60="Debt Write-Off",
IF(AG64&lt;$B$64+(ROUNDDOWN('High Level Dashboard'!$C$36-'High Level Dashboard'!$C$35,0)),-PMT('High Level Dashboard'!$C$34,'High Level Dashboard'!$C$36-'High Level Dashboard'!$C$35,'Financial Instruments'!$B$135,0),
IF(AG64=$B$64-1+(ROUNDUP($C$36-$C$35,0)),-PMT('High Level Dashboard'!$C$34,'High Level Dashboard'!$C$36-'High Level Dashboard'!$C$35,'Financial Instruments'!$B$135,0)*(('High Level Dashboard'!$C$36-'High Level Dashboard'!$C$35)-ROUNDDOWN('High Level Dashboard'!$C$36-'High Level Dashboard'!$C$35,0)),
0)),0)</f>
        <v>0</v>
      </c>
      <c r="AH72" s="31">
        <f>IF($C$60="Debt Write-Off",
IF(AH64&lt;$B$64+(ROUNDDOWN('High Level Dashboard'!$C$36-'High Level Dashboard'!$C$35,0)),-PMT('High Level Dashboard'!$C$34,'High Level Dashboard'!$C$36-'High Level Dashboard'!$C$35,'Financial Instruments'!$B$135,0),
IF(AH64=$B$64-1+(ROUNDUP($C$36-$C$35,0)),-PMT('High Level Dashboard'!$C$34,'High Level Dashboard'!$C$36-'High Level Dashboard'!$C$35,'Financial Instruments'!$B$135,0)*(('High Level Dashboard'!$C$36-'High Level Dashboard'!$C$35)-ROUNDDOWN('High Level Dashboard'!$C$36-'High Level Dashboard'!$C$35,0)),
0)),0)</f>
        <v>0</v>
      </c>
      <c r="AI72" s="31">
        <f>IF($C$60="Debt Write-Off",
IF(AI64&lt;$B$64+(ROUNDDOWN('High Level Dashboard'!$C$36-'High Level Dashboard'!$C$35,0)),-PMT('High Level Dashboard'!$C$34,'High Level Dashboard'!$C$36-'High Level Dashboard'!$C$35,'Financial Instruments'!$B$135,0),
IF(AI64=$B$64-1+(ROUNDUP($C$36-$C$35,0)),-PMT('High Level Dashboard'!$C$34,'High Level Dashboard'!$C$36-'High Level Dashboard'!$C$35,'Financial Instruments'!$B$135,0)*(('High Level Dashboard'!$C$36-'High Level Dashboard'!$C$35)-ROUNDDOWN('High Level Dashboard'!$C$36-'High Level Dashboard'!$C$35,0)),
0)),0)</f>
        <v>0</v>
      </c>
      <c r="AJ72" s="31">
        <f>IF($C$60="Debt Write-Off",
IF(AJ64&lt;$B$64+(ROUNDDOWN('High Level Dashboard'!$C$36-'High Level Dashboard'!$C$35,0)),-PMT('High Level Dashboard'!$C$34,'High Level Dashboard'!$C$36-'High Level Dashboard'!$C$35,'Financial Instruments'!$B$135,0),
IF(AJ64=$B$64-1+(ROUNDUP($C$36-$C$35,0)),-PMT('High Level Dashboard'!$C$34,'High Level Dashboard'!$C$36-'High Level Dashboard'!$C$35,'Financial Instruments'!$B$135,0)*(('High Level Dashboard'!$C$36-'High Level Dashboard'!$C$35)-ROUNDDOWN('High Level Dashboard'!$C$36-'High Level Dashboard'!$C$35,0)),
0)),0)</f>
        <v>0</v>
      </c>
      <c r="AK72" s="31">
        <f>IF($C$60="Debt Write-Off",
IF(AK64&lt;$B$64+(ROUNDDOWN('High Level Dashboard'!$C$36-'High Level Dashboard'!$C$35,0)),-PMT('High Level Dashboard'!$C$34,'High Level Dashboard'!$C$36-'High Level Dashboard'!$C$35,'Financial Instruments'!$B$135,0),
IF(AK64=$B$64-1+(ROUNDUP($C$36-$C$35,0)),-PMT('High Level Dashboard'!$C$34,'High Level Dashboard'!$C$36-'High Level Dashboard'!$C$35,'Financial Instruments'!$B$135,0)*(('High Level Dashboard'!$C$36-'High Level Dashboard'!$C$35)-ROUNDDOWN('High Level Dashboard'!$C$36-'High Level Dashboard'!$C$35,0)),
0)),0)</f>
        <v>0</v>
      </c>
      <c r="AL72" s="31">
        <f>IF($C$60="Debt Write-Off",
IF(AL64&lt;$B$64+(ROUNDDOWN('High Level Dashboard'!$C$36-'High Level Dashboard'!$C$35,0)),-PMT('High Level Dashboard'!$C$34,'High Level Dashboard'!$C$36-'High Level Dashboard'!$C$35,'Financial Instruments'!$B$135,0),
IF(AL64=$B$64-1+(ROUNDUP($C$36-$C$35,0)),-PMT('High Level Dashboard'!$C$34,'High Level Dashboard'!$C$36-'High Level Dashboard'!$C$35,'Financial Instruments'!$B$135,0)*(('High Level Dashboard'!$C$36-'High Level Dashboard'!$C$35)-ROUNDDOWN('High Level Dashboard'!$C$36-'High Level Dashboard'!$C$35,0)),
0)),0)</f>
        <v>0</v>
      </c>
      <c r="AM72" s="31">
        <f>IF($C$60="Debt Write-Off",
IF(AM64&lt;$B$64+(ROUNDDOWN('High Level Dashboard'!$C$36-'High Level Dashboard'!$C$35,0)),-PMT('High Level Dashboard'!$C$34,'High Level Dashboard'!$C$36-'High Level Dashboard'!$C$35,'Financial Instruments'!$B$135,0),
IF(AM64=$B$64-1+(ROUNDUP($C$36-$C$35,0)),-PMT('High Level Dashboard'!$C$34,'High Level Dashboard'!$C$36-'High Level Dashboard'!$C$35,'Financial Instruments'!$B$135,0)*(('High Level Dashboard'!$C$36-'High Level Dashboard'!$C$35)-ROUNDDOWN('High Level Dashboard'!$C$36-'High Level Dashboard'!$C$35,0)),
0)),0)</f>
        <v>0</v>
      </c>
      <c r="AN72" s="31">
        <f>IF($C$60="Debt Write-Off",
IF(AN64&lt;$B$64+(ROUNDDOWN('High Level Dashboard'!$C$36-'High Level Dashboard'!$C$35,0)),-PMT('High Level Dashboard'!$C$34,'High Level Dashboard'!$C$36-'High Level Dashboard'!$C$35,'Financial Instruments'!$B$135,0),
IF(AN64=$B$64-1+(ROUNDUP($C$36-$C$35,0)),-PMT('High Level Dashboard'!$C$34,'High Level Dashboard'!$C$36-'High Level Dashboard'!$C$35,'Financial Instruments'!$B$135,0)*(('High Level Dashboard'!$C$36-'High Level Dashboard'!$C$35)-ROUNDDOWN('High Level Dashboard'!$C$36-'High Level Dashboard'!$C$35,0)),
0)),0)</f>
        <v>0</v>
      </c>
      <c r="AO72" s="31">
        <f>IF($C$60="Debt Write-Off",
IF(AO64&lt;$B$64+(ROUNDDOWN('High Level Dashboard'!$C$36-'High Level Dashboard'!$C$35,0)),-PMT('High Level Dashboard'!$C$34,'High Level Dashboard'!$C$36-'High Level Dashboard'!$C$35,'Financial Instruments'!$B$135,0),
IF(AO64=$B$64-1+(ROUNDUP($C$36-$C$35,0)),-PMT('High Level Dashboard'!$C$34,'High Level Dashboard'!$C$36-'High Level Dashboard'!$C$35,'Financial Instruments'!$B$135,0)*(('High Level Dashboard'!$C$36-'High Level Dashboard'!$C$35)-ROUNDDOWN('High Level Dashboard'!$C$36-'High Level Dashboard'!$C$35,0)),
0)),0)</f>
        <v>0</v>
      </c>
      <c r="AP72" s="31">
        <f>IF($C$60="Debt Write-Off",
IF(AP64&lt;$B$64+(ROUNDDOWN('High Level Dashboard'!$C$36-'High Level Dashboard'!$C$35,0)),-PMT('High Level Dashboard'!$C$34,'High Level Dashboard'!$C$36-'High Level Dashboard'!$C$35,'Financial Instruments'!$B$135,0),
IF(AP64=$B$64-1+(ROUNDUP($C$36-$C$35,0)),-PMT('High Level Dashboard'!$C$34,'High Level Dashboard'!$C$36-'High Level Dashboard'!$C$35,'Financial Instruments'!$B$135,0)*(('High Level Dashboard'!$C$36-'High Level Dashboard'!$C$35)-ROUNDDOWN('High Level Dashboard'!$C$36-'High Level Dashboard'!$C$35,0)),
0)),0)</f>
        <v>0</v>
      </c>
      <c r="AQ72" s="31">
        <f>IF($C$60="Debt Write-Off",
IF(AQ64&lt;$B$64+(ROUNDDOWN('High Level Dashboard'!$C$36-'High Level Dashboard'!$C$35,0)),-PMT('High Level Dashboard'!$C$34,'High Level Dashboard'!$C$36-'High Level Dashboard'!$C$35,'Financial Instruments'!$B$135,0),
IF(AQ64=$B$64-1+(ROUNDUP($C$36-$C$35,0)),-PMT('High Level Dashboard'!$C$34,'High Level Dashboard'!$C$36-'High Level Dashboard'!$C$35,'Financial Instruments'!$B$135,0)*(('High Level Dashboard'!$C$36-'High Level Dashboard'!$C$35)-ROUNDDOWN('High Level Dashboard'!$C$36-'High Level Dashboard'!$C$35,0)),
0)),0)</f>
        <v>0</v>
      </c>
      <c r="AR72" s="31">
        <f>IF($C$60="Debt Write-Off",
IF(AR64&lt;$B$64+(ROUNDDOWN('High Level Dashboard'!$C$36-'High Level Dashboard'!$C$35,0)),-PMT('High Level Dashboard'!$C$34,'High Level Dashboard'!$C$36-'High Level Dashboard'!$C$35,'Financial Instruments'!$B$135,0),
IF(AR64=$B$64-1+(ROUNDUP($C$36-$C$35,0)),-PMT('High Level Dashboard'!$C$34,'High Level Dashboard'!$C$36-'High Level Dashboard'!$C$35,'Financial Instruments'!$B$135,0)*(('High Level Dashboard'!$C$36-'High Level Dashboard'!$C$35)-ROUNDDOWN('High Level Dashboard'!$C$36-'High Level Dashboard'!$C$35,0)),
0)),0)</f>
        <v>0</v>
      </c>
      <c r="AS72" s="31">
        <f>IF($C$60="Debt Write-Off",
IF(AS64&lt;$B$64+(ROUNDDOWN('High Level Dashboard'!$C$36-'High Level Dashboard'!$C$35,0)),-PMT('High Level Dashboard'!$C$34,'High Level Dashboard'!$C$36-'High Level Dashboard'!$C$35,'Financial Instruments'!$B$135,0),
IF(AS64=$B$64-1+(ROUNDUP($C$36-$C$35,0)),-PMT('High Level Dashboard'!$C$34,'High Level Dashboard'!$C$36-'High Level Dashboard'!$C$35,'Financial Instruments'!$B$135,0)*(('High Level Dashboard'!$C$36-'High Level Dashboard'!$C$35)-ROUNDDOWN('High Level Dashboard'!$C$36-'High Level Dashboard'!$C$35,0)),
0)),0)</f>
        <v>0</v>
      </c>
      <c r="AT72" s="31">
        <f>IF($C$60="Debt Write-Off",
IF(AT64&lt;$B$64+(ROUNDDOWN('High Level Dashboard'!$C$36-'High Level Dashboard'!$C$35,0)),-PMT('High Level Dashboard'!$C$34,'High Level Dashboard'!$C$36-'High Level Dashboard'!$C$35,'Financial Instruments'!$B$135,0),
IF(AT64=$B$64-1+(ROUNDUP($C$36-$C$35,0)),-PMT('High Level Dashboard'!$C$34,'High Level Dashboard'!$C$36-'High Level Dashboard'!$C$35,'Financial Instruments'!$B$135,0)*(('High Level Dashboard'!$C$36-'High Level Dashboard'!$C$35)-ROUNDDOWN('High Level Dashboard'!$C$36-'High Level Dashboard'!$C$35,0)),
0)),0)</f>
        <v>0</v>
      </c>
      <c r="AU72" s="31">
        <f>IF($C$60="Debt Write-Off",
IF(AU64&lt;$B$64+(ROUNDDOWN('High Level Dashboard'!$C$36-'High Level Dashboard'!$C$35,0)),-PMT('High Level Dashboard'!$C$34,'High Level Dashboard'!$C$36-'High Level Dashboard'!$C$35,'Financial Instruments'!$B$135,0),
IF(AU64=$B$64-1+(ROUNDUP($C$36-$C$35,0)),-PMT('High Level Dashboard'!$C$34,'High Level Dashboard'!$C$36-'High Level Dashboard'!$C$35,'Financial Instruments'!$B$135,0)*(('High Level Dashboard'!$C$36-'High Level Dashboard'!$C$35)-ROUNDDOWN('High Level Dashboard'!$C$36-'High Level Dashboard'!$C$35,0)),
0)),0)</f>
        <v>0</v>
      </c>
      <c r="AY72" s="23"/>
      <c r="AZ72" s="23"/>
      <c r="BA72" s="23"/>
      <c r="BB72" s="23"/>
      <c r="BD72" s="23"/>
    </row>
    <row r="73" spans="1:56" ht="14.25">
      <c r="A73" s="12" t="s">
        <v>320</v>
      </c>
      <c r="B73" s="31">
        <f>'Funding Baseline'!R7+B74</f>
        <v>281.88132494070493</v>
      </c>
      <c r="C73" s="31">
        <f t="shared" ref="C73:AU73" si="14">B73*(1+$C42)+C74</f>
        <v>295.18678308020662</v>
      </c>
      <c r="D73" s="31">
        <f t="shared" si="14"/>
        <v>309.1202899786648</v>
      </c>
      <c r="E73" s="31">
        <f t="shared" si="14"/>
        <v>323.71149100713637</v>
      </c>
      <c r="F73" s="31">
        <f t="shared" si="14"/>
        <v>338.9914308675622</v>
      </c>
      <c r="G73" s="31">
        <f t="shared" si="14"/>
        <v>354.99261964445941</v>
      </c>
      <c r="H73" s="31">
        <f t="shared" si="14"/>
        <v>371.74910197440789</v>
      </c>
      <c r="I73" s="31">
        <f t="shared" si="14"/>
        <v>389.29652948049863</v>
      </c>
      <c r="J73" s="31">
        <f t="shared" si="14"/>
        <v>407.67223662585718</v>
      </c>
      <c r="K73" s="31">
        <f t="shared" si="14"/>
        <v>426.91532014763141</v>
      </c>
      <c r="L73" s="31">
        <f t="shared" si="14"/>
        <v>447.06672224044883</v>
      </c>
      <c r="M73" s="31">
        <f t="shared" si="14"/>
        <v>468.16931766632808</v>
      </c>
      <c r="N73" s="31">
        <f t="shared" si="14"/>
        <v>490.26800497638214</v>
      </c>
      <c r="O73" s="31">
        <f t="shared" si="14"/>
        <v>513.40980203839911</v>
      </c>
      <c r="P73" s="31">
        <f t="shared" si="14"/>
        <v>537.64394607354836</v>
      </c>
      <c r="Q73" s="31">
        <f t="shared" si="14"/>
        <v>563.02199841505376</v>
      </c>
      <c r="R73" s="31">
        <f t="shared" si="14"/>
        <v>589.59795421172066</v>
      </c>
      <c r="S73" s="31">
        <f t="shared" si="14"/>
        <v>617.42835730972683</v>
      </c>
      <c r="T73" s="31">
        <f t="shared" si="14"/>
        <v>646.57242055710208</v>
      </c>
      <c r="U73" s="31">
        <f t="shared" si="14"/>
        <v>677.09215178686145</v>
      </c>
      <c r="V73" s="31">
        <f t="shared" si="14"/>
        <v>709.05248574683662</v>
      </c>
      <c r="W73" s="31">
        <f t="shared" si="14"/>
        <v>742.52142225690409</v>
      </c>
      <c r="X73" s="31">
        <f t="shared" si="14"/>
        <v>777.57017088755811</v>
      </c>
      <c r="Y73" s="31">
        <f t="shared" si="14"/>
        <v>814.27330246765086</v>
      </c>
      <c r="Z73" s="31">
        <f t="shared" si="14"/>
        <v>852.70890774365182</v>
      </c>
      <c r="AA73" s="31">
        <f t="shared" si="14"/>
        <v>892.95876352799644</v>
      </c>
      <c r="AB73" s="31">
        <f t="shared" si="14"/>
        <v>935.10850669002468</v>
      </c>
      <c r="AC73" s="31">
        <f t="shared" si="14"/>
        <v>979.24781635969964</v>
      </c>
      <c r="AD73" s="31">
        <f t="shared" si="14"/>
        <v>1025.4706047317679</v>
      </c>
      <c r="AE73" s="31">
        <f t="shared" si="14"/>
        <v>1073.8752168763226</v>
      </c>
      <c r="AF73" s="31">
        <f t="shared" si="14"/>
        <v>1124.5646399808927</v>
      </c>
      <c r="AG73" s="31">
        <f t="shared" si="14"/>
        <v>1177.6467224692485</v>
      </c>
      <c r="AH73" s="31">
        <f t="shared" si="14"/>
        <v>1233.2344034631278</v>
      </c>
      <c r="AI73" s="31">
        <f t="shared" si="14"/>
        <v>1291.4459530750917</v>
      </c>
      <c r="AJ73" s="31">
        <f t="shared" si="14"/>
        <v>1352.4052240437663</v>
      </c>
      <c r="AK73" s="31">
        <f t="shared" si="14"/>
        <v>1416.2419152468565</v>
      </c>
      <c r="AL73" s="31">
        <f t="shared" si="14"/>
        <v>1483.0918476525899</v>
      </c>
      <c r="AM73" s="31">
        <f t="shared" si="14"/>
        <v>1553.0972532967157</v>
      </c>
      <c r="AN73" s="31">
        <f t="shared" si="14"/>
        <v>1626.4070778998937</v>
      </c>
      <c r="AO73" s="31">
        <f t="shared" si="14"/>
        <v>1703.1772977693311</v>
      </c>
      <c r="AP73" s="31">
        <f t="shared" si="14"/>
        <v>1783.5712516589206</v>
      </c>
      <c r="AQ73" s="31">
        <f t="shared" si="14"/>
        <v>1867.7599882939508</v>
      </c>
      <c r="AR73" s="31">
        <f t="shared" si="14"/>
        <v>1955.9226302997981</v>
      </c>
      <c r="AS73" s="31">
        <f t="shared" si="14"/>
        <v>2048.2467553089036</v>
      </c>
      <c r="AT73" s="31">
        <f t="shared" si="14"/>
        <v>2144.9287950568914</v>
      </c>
      <c r="AU73" s="31">
        <f t="shared" si="14"/>
        <v>2246.1744533169576</v>
      </c>
      <c r="AY73" s="23"/>
      <c r="AZ73" s="23"/>
      <c r="BA73" s="23"/>
      <c r="BB73" s="23"/>
      <c r="BD73" s="23"/>
    </row>
    <row r="74" spans="1:56" ht="14.25">
      <c r="A74" s="458" t="s">
        <v>321</v>
      </c>
      <c r="B74" s="31">
        <f t="shared" ref="B74:AU74" si="15">IF(AND(B$64&gt;=$C$48,B$64&lt;($C$48+$C$49),$C$46="Yes"),$C$50/$C$49,0)</f>
        <v>0</v>
      </c>
      <c r="C74" s="31">
        <f t="shared" si="15"/>
        <v>0</v>
      </c>
      <c r="D74" s="31">
        <f t="shared" si="15"/>
        <v>0</v>
      </c>
      <c r="E74" s="31">
        <f t="shared" si="15"/>
        <v>0</v>
      </c>
      <c r="F74" s="31">
        <f t="shared" si="15"/>
        <v>0</v>
      </c>
      <c r="G74" s="31">
        <f t="shared" si="15"/>
        <v>0</v>
      </c>
      <c r="H74" s="31">
        <f t="shared" si="15"/>
        <v>0</v>
      </c>
      <c r="I74" s="31">
        <f t="shared" si="15"/>
        <v>0</v>
      </c>
      <c r="J74" s="31">
        <f t="shared" si="15"/>
        <v>0</v>
      </c>
      <c r="K74" s="31">
        <f t="shared" si="15"/>
        <v>0</v>
      </c>
      <c r="L74" s="31">
        <f t="shared" si="15"/>
        <v>0</v>
      </c>
      <c r="M74" s="31">
        <f t="shared" si="15"/>
        <v>0</v>
      </c>
      <c r="N74" s="31">
        <f t="shared" si="15"/>
        <v>0</v>
      </c>
      <c r="O74" s="31">
        <f t="shared" si="15"/>
        <v>0</v>
      </c>
      <c r="P74" s="31">
        <f t="shared" si="15"/>
        <v>0</v>
      </c>
      <c r="Q74" s="31">
        <f t="shared" si="15"/>
        <v>0</v>
      </c>
      <c r="R74" s="31">
        <f t="shared" si="15"/>
        <v>0</v>
      </c>
      <c r="S74" s="31">
        <f t="shared" si="15"/>
        <v>0</v>
      </c>
      <c r="T74" s="31">
        <f t="shared" si="15"/>
        <v>0</v>
      </c>
      <c r="U74" s="31">
        <f t="shared" si="15"/>
        <v>0</v>
      </c>
      <c r="V74" s="31">
        <f t="shared" si="15"/>
        <v>0</v>
      </c>
      <c r="W74" s="31">
        <f t="shared" si="15"/>
        <v>0</v>
      </c>
      <c r="X74" s="31">
        <f t="shared" si="15"/>
        <v>0</v>
      </c>
      <c r="Y74" s="31">
        <f t="shared" si="15"/>
        <v>0</v>
      </c>
      <c r="Z74" s="31">
        <f t="shared" si="15"/>
        <v>0</v>
      </c>
      <c r="AA74" s="31">
        <f t="shared" si="15"/>
        <v>0</v>
      </c>
      <c r="AB74" s="31">
        <f t="shared" si="15"/>
        <v>0</v>
      </c>
      <c r="AC74" s="31">
        <f t="shared" si="15"/>
        <v>0</v>
      </c>
      <c r="AD74" s="31">
        <f t="shared" si="15"/>
        <v>0</v>
      </c>
      <c r="AE74" s="31">
        <f t="shared" si="15"/>
        <v>0</v>
      </c>
      <c r="AF74" s="31">
        <f t="shared" si="15"/>
        <v>0</v>
      </c>
      <c r="AG74" s="31">
        <f t="shared" si="15"/>
        <v>0</v>
      </c>
      <c r="AH74" s="31">
        <f t="shared" si="15"/>
        <v>0</v>
      </c>
      <c r="AI74" s="31">
        <f t="shared" si="15"/>
        <v>0</v>
      </c>
      <c r="AJ74" s="31">
        <f t="shared" si="15"/>
        <v>0</v>
      </c>
      <c r="AK74" s="31">
        <f t="shared" si="15"/>
        <v>0</v>
      </c>
      <c r="AL74" s="31">
        <f t="shared" si="15"/>
        <v>0</v>
      </c>
      <c r="AM74" s="31">
        <f t="shared" si="15"/>
        <v>0</v>
      </c>
      <c r="AN74" s="31">
        <f t="shared" si="15"/>
        <v>0</v>
      </c>
      <c r="AO74" s="31">
        <f t="shared" si="15"/>
        <v>0</v>
      </c>
      <c r="AP74" s="31">
        <f t="shared" si="15"/>
        <v>0</v>
      </c>
      <c r="AQ74" s="31">
        <f t="shared" si="15"/>
        <v>0</v>
      </c>
      <c r="AR74" s="31">
        <f t="shared" si="15"/>
        <v>0</v>
      </c>
      <c r="AS74" s="31">
        <f t="shared" si="15"/>
        <v>0</v>
      </c>
      <c r="AT74" s="31">
        <f t="shared" si="15"/>
        <v>0</v>
      </c>
      <c r="AU74" s="31">
        <f t="shared" si="15"/>
        <v>0</v>
      </c>
      <c r="AY74" s="23"/>
      <c r="AZ74" s="23"/>
      <c r="BA74" s="23"/>
      <c r="BB74" s="23"/>
      <c r="BD74" s="23"/>
    </row>
    <row r="75" spans="1:56" ht="14.25">
      <c r="A75" s="12" t="s">
        <v>322</v>
      </c>
      <c r="B75" s="31">
        <f>'Investment Needs'!C183</f>
        <v>0</v>
      </c>
      <c r="C75" s="31">
        <f>'Investment Needs'!D183</f>
        <v>0</v>
      </c>
      <c r="D75" s="31">
        <f>'Investment Needs'!E183</f>
        <v>0</v>
      </c>
      <c r="E75" s="31">
        <f>'Investment Needs'!F183</f>
        <v>0</v>
      </c>
      <c r="F75" s="31">
        <f>'Investment Needs'!G183</f>
        <v>0</v>
      </c>
      <c r="G75" s="31">
        <f>'Investment Needs'!H183</f>
        <v>2.6294000000000004</v>
      </c>
      <c r="H75" s="31">
        <f>'Investment Needs'!I183</f>
        <v>1.9559000000000004</v>
      </c>
      <c r="I75" s="31">
        <f>'Investment Needs'!J183</f>
        <v>2.4692999999999987</v>
      </c>
      <c r="J75" s="31">
        <f>'Investment Needs'!K183</f>
        <v>9.7174999999999976</v>
      </c>
      <c r="K75" s="31">
        <f>'Investment Needs'!L183</f>
        <v>3.7867999999999999</v>
      </c>
      <c r="L75" s="31">
        <f>'Investment Needs'!M183</f>
        <v>6.1791</v>
      </c>
      <c r="M75" s="31">
        <f>'Investment Needs'!N183</f>
        <v>3.7812000000000001</v>
      </c>
      <c r="N75" s="31">
        <f>'Investment Needs'!O183</f>
        <v>5.2467000000000006</v>
      </c>
      <c r="O75" s="31">
        <f>'Investment Needs'!P183</f>
        <v>5.8192000000000004</v>
      </c>
      <c r="P75" s="31">
        <f>'Investment Needs'!Q183</f>
        <v>7.9206000000000003</v>
      </c>
      <c r="Q75" s="31">
        <f>'Investment Needs'!R183</f>
        <v>5.5284999999999993</v>
      </c>
      <c r="R75" s="31">
        <f>'Investment Needs'!S183</f>
        <v>6.6779999999999999</v>
      </c>
      <c r="S75" s="31">
        <f>'Investment Needs'!T183</f>
        <v>8.8511999999999986</v>
      </c>
      <c r="T75" s="31">
        <f>'Investment Needs'!U183</f>
        <v>7.974400000000001</v>
      </c>
      <c r="U75" s="31">
        <f>'Investment Needs'!V183</f>
        <v>7.9916000000000009</v>
      </c>
      <c r="V75" s="31">
        <f>'Investment Needs'!W183</f>
        <v>8.8247</v>
      </c>
      <c r="W75" s="31">
        <f>'Investment Needs'!X183</f>
        <v>8.4078000000000017</v>
      </c>
      <c r="X75" s="31">
        <f>'Investment Needs'!Y183</f>
        <v>6.9456000000000007</v>
      </c>
      <c r="Y75" s="31">
        <f>'Investment Needs'!Z183</f>
        <v>12.445800000000002</v>
      </c>
      <c r="Z75" s="31">
        <f>'Investment Needs'!AA183</f>
        <v>14.672999999999998</v>
      </c>
      <c r="AA75" s="31">
        <f>'Investment Needs'!AB183</f>
        <v>25.627099999999999</v>
      </c>
      <c r="AB75" s="31">
        <f>'Investment Needs'!AC183</f>
        <v>21.354499999999998</v>
      </c>
      <c r="AC75" s="31">
        <f>'Investment Needs'!AD183</f>
        <v>22.675999999999998</v>
      </c>
      <c r="AD75" s="31">
        <f>'Investment Needs'!AE183</f>
        <v>26.034700000000001</v>
      </c>
      <c r="AE75" s="31">
        <f>'Investment Needs'!AF183</f>
        <v>30.4391</v>
      </c>
      <c r="AF75" s="31">
        <f>'Investment Needs'!AG183</f>
        <v>34.941099999999999</v>
      </c>
      <c r="AG75" s="31">
        <f>'Investment Needs'!AH183</f>
        <v>43.381500000000003</v>
      </c>
      <c r="AH75" s="31">
        <f>'Investment Needs'!AI183</f>
        <v>52.601500000000001</v>
      </c>
      <c r="AI75" s="31">
        <f>'Investment Needs'!AJ183</f>
        <v>59.559799999999996</v>
      </c>
      <c r="AJ75" s="31">
        <f>'Investment Needs'!AK183</f>
        <v>67.494500000000002</v>
      </c>
      <c r="AK75" s="31">
        <f>'Investment Needs'!AL183</f>
        <v>76.245000000000005</v>
      </c>
      <c r="AL75" s="31">
        <f>'Investment Needs'!AM183</f>
        <v>84.471299999999999</v>
      </c>
      <c r="AM75" s="31">
        <f>'Investment Needs'!AN183</f>
        <v>93.600799999999992</v>
      </c>
      <c r="AN75" s="31">
        <f>'Investment Needs'!AO183</f>
        <v>103.1902</v>
      </c>
      <c r="AO75" s="31">
        <f>'Investment Needs'!AP183</f>
        <v>111.27380000000001</v>
      </c>
      <c r="AP75" s="31">
        <f>'Investment Needs'!AQ183</f>
        <v>116.1024</v>
      </c>
      <c r="AQ75" s="31">
        <f>'Investment Needs'!AR183</f>
        <v>121.4919</v>
      </c>
      <c r="AR75" s="31">
        <f>'Investment Needs'!AS183</f>
        <v>129.0093</v>
      </c>
      <c r="AS75" s="31">
        <f>'Investment Needs'!AT183</f>
        <v>135.4324</v>
      </c>
      <c r="AT75" s="31">
        <f>'Investment Needs'!AU183</f>
        <v>143.98820000000001</v>
      </c>
      <c r="AU75" s="31">
        <f>'Investment Needs'!AV183</f>
        <v>152.54410000000001</v>
      </c>
      <c r="AY75" s="23"/>
      <c r="AZ75" s="23"/>
      <c r="BA75" s="23"/>
      <c r="BB75" s="23"/>
      <c r="BD75" s="23"/>
    </row>
    <row r="76" spans="1:56" ht="14.25">
      <c r="A76" s="12" t="s">
        <v>323</v>
      </c>
      <c r="B76" s="31">
        <f>'Funding Baseline'!$R$8</f>
        <v>7.9396370874610769</v>
      </c>
      <c r="C76" s="31">
        <f t="shared" ref="C76:AU76" si="16">B76*(1+$C$40)</f>
        <v>0</v>
      </c>
      <c r="D76" s="31">
        <f t="shared" si="16"/>
        <v>0</v>
      </c>
      <c r="E76" s="31">
        <f t="shared" si="16"/>
        <v>0</v>
      </c>
      <c r="F76" s="31">
        <f t="shared" si="16"/>
        <v>0</v>
      </c>
      <c r="G76" s="31">
        <f t="shared" si="16"/>
        <v>0</v>
      </c>
      <c r="H76" s="31">
        <f t="shared" si="16"/>
        <v>0</v>
      </c>
      <c r="I76" s="31">
        <f t="shared" si="16"/>
        <v>0</v>
      </c>
      <c r="J76" s="31">
        <f t="shared" si="16"/>
        <v>0</v>
      </c>
      <c r="K76" s="31">
        <f t="shared" si="16"/>
        <v>0</v>
      </c>
      <c r="L76" s="31">
        <f t="shared" si="16"/>
        <v>0</v>
      </c>
      <c r="M76" s="31">
        <f t="shared" si="16"/>
        <v>0</v>
      </c>
      <c r="N76" s="31">
        <f t="shared" si="16"/>
        <v>0</v>
      </c>
      <c r="O76" s="31">
        <f t="shared" si="16"/>
        <v>0</v>
      </c>
      <c r="P76" s="31">
        <f t="shared" si="16"/>
        <v>0</v>
      </c>
      <c r="Q76" s="31">
        <f t="shared" si="16"/>
        <v>0</v>
      </c>
      <c r="R76" s="31">
        <f t="shared" si="16"/>
        <v>0</v>
      </c>
      <c r="S76" s="31">
        <f t="shared" si="16"/>
        <v>0</v>
      </c>
      <c r="T76" s="31">
        <f t="shared" si="16"/>
        <v>0</v>
      </c>
      <c r="U76" s="31">
        <f t="shared" si="16"/>
        <v>0</v>
      </c>
      <c r="V76" s="31">
        <f t="shared" si="16"/>
        <v>0</v>
      </c>
      <c r="W76" s="31">
        <f t="shared" si="16"/>
        <v>0</v>
      </c>
      <c r="X76" s="31">
        <f t="shared" si="16"/>
        <v>0</v>
      </c>
      <c r="Y76" s="31">
        <f t="shared" si="16"/>
        <v>0</v>
      </c>
      <c r="Z76" s="31">
        <f t="shared" si="16"/>
        <v>0</v>
      </c>
      <c r="AA76" s="31">
        <f t="shared" si="16"/>
        <v>0</v>
      </c>
      <c r="AB76" s="31">
        <f t="shared" si="16"/>
        <v>0</v>
      </c>
      <c r="AC76" s="31">
        <f t="shared" si="16"/>
        <v>0</v>
      </c>
      <c r="AD76" s="31">
        <f t="shared" si="16"/>
        <v>0</v>
      </c>
      <c r="AE76" s="31">
        <f t="shared" si="16"/>
        <v>0</v>
      </c>
      <c r="AF76" s="31">
        <f t="shared" si="16"/>
        <v>0</v>
      </c>
      <c r="AG76" s="31">
        <f t="shared" si="16"/>
        <v>0</v>
      </c>
      <c r="AH76" s="31">
        <f t="shared" si="16"/>
        <v>0</v>
      </c>
      <c r="AI76" s="31">
        <f t="shared" si="16"/>
        <v>0</v>
      </c>
      <c r="AJ76" s="31">
        <f t="shared" si="16"/>
        <v>0</v>
      </c>
      <c r="AK76" s="31">
        <f t="shared" si="16"/>
        <v>0</v>
      </c>
      <c r="AL76" s="31">
        <f t="shared" si="16"/>
        <v>0</v>
      </c>
      <c r="AM76" s="31">
        <f t="shared" si="16"/>
        <v>0</v>
      </c>
      <c r="AN76" s="31">
        <f t="shared" si="16"/>
        <v>0</v>
      </c>
      <c r="AO76" s="31">
        <f t="shared" si="16"/>
        <v>0</v>
      </c>
      <c r="AP76" s="31">
        <f t="shared" si="16"/>
        <v>0</v>
      </c>
      <c r="AQ76" s="31">
        <f t="shared" si="16"/>
        <v>0</v>
      </c>
      <c r="AR76" s="31">
        <f t="shared" si="16"/>
        <v>0</v>
      </c>
      <c r="AS76" s="31">
        <f t="shared" si="16"/>
        <v>0</v>
      </c>
      <c r="AT76" s="31">
        <f t="shared" si="16"/>
        <v>0</v>
      </c>
      <c r="AU76" s="31">
        <f t="shared" si="16"/>
        <v>0</v>
      </c>
      <c r="AY76" s="23"/>
      <c r="AZ76" s="23"/>
      <c r="BA76" s="23"/>
      <c r="BB76" s="23"/>
      <c r="BD76" s="23"/>
    </row>
    <row r="77" spans="1:56" ht="14.25">
      <c r="A77" s="458" t="s">
        <v>324</v>
      </c>
      <c r="B77" s="460">
        <f>IF($C$60="Grant", 'Financial Instruments'!C11, 0)</f>
        <v>0</v>
      </c>
      <c r="C77" s="460">
        <f>IF($C$60="Grant", 'Financial Instruments'!D11, 0)</f>
        <v>0</v>
      </c>
      <c r="D77" s="460">
        <f>IF($C$60="Grant", 'Financial Instruments'!E11, 0)</f>
        <v>0</v>
      </c>
      <c r="E77" s="460">
        <f>IF($C$60="Grant", 'Financial Instruments'!F11, 0)</f>
        <v>0</v>
      </c>
      <c r="F77" s="460">
        <f>IF($C$60="Grant", 'Financial Instruments'!G11, 0)</f>
        <v>0</v>
      </c>
      <c r="G77" s="460">
        <f>IF($C$60="Grant", 'Financial Instruments'!H11, 0)</f>
        <v>0</v>
      </c>
      <c r="H77" s="460">
        <f>IF($C$60="Grant", 'Financial Instruments'!I11, 0)</f>
        <v>0</v>
      </c>
      <c r="I77" s="460">
        <f>IF($C$60="Grant", 'Financial Instruments'!J11, 0)</f>
        <v>0</v>
      </c>
      <c r="J77" s="460">
        <f>IF($C$60="Grant", 'Financial Instruments'!K11, 0)</f>
        <v>0</v>
      </c>
      <c r="K77" s="460">
        <f>IF($C$60="Grant", 'Financial Instruments'!L11, 0)</f>
        <v>0</v>
      </c>
      <c r="L77" s="460">
        <f>IF($C$60="Grant", 'Financial Instruments'!M11, 0)</f>
        <v>0</v>
      </c>
      <c r="M77" s="460">
        <f>IF($C$60="Grant", 'Financial Instruments'!N11, 0)</f>
        <v>0</v>
      </c>
      <c r="N77" s="460">
        <f>IF($C$60="Grant", 'Financial Instruments'!O11, 0)</f>
        <v>0</v>
      </c>
      <c r="O77" s="460">
        <f>IF($C$60="Grant", 'Financial Instruments'!P11, 0)</f>
        <v>0</v>
      </c>
      <c r="P77" s="460">
        <f>IF($C$60="Grant", 'Financial Instruments'!Q11, 0)</f>
        <v>0</v>
      </c>
      <c r="Q77" s="460">
        <f>IF($C$60="Grant", 'Financial Instruments'!R11, 0)</f>
        <v>0</v>
      </c>
      <c r="R77" s="460">
        <f>IF($C$60="Grant", 'Financial Instruments'!S11, 0)</f>
        <v>0</v>
      </c>
      <c r="S77" s="460">
        <f>IF($C$60="Grant", 'Financial Instruments'!T11, 0)</f>
        <v>0</v>
      </c>
      <c r="T77" s="460">
        <f>IF($C$60="Grant", 'Financial Instruments'!U11, 0)</f>
        <v>0</v>
      </c>
      <c r="U77" s="460">
        <f>IF($C$60="Grant", 'Financial Instruments'!V11, 0)</f>
        <v>0</v>
      </c>
      <c r="V77" s="460">
        <f>IF($C$60="Grant", 'Financial Instruments'!W11, 0)</f>
        <v>0</v>
      </c>
      <c r="W77" s="460">
        <f>IF($C$60="Grant", 'Financial Instruments'!X11, 0)</f>
        <v>0</v>
      </c>
      <c r="X77" s="460">
        <f>IF($C$60="Grant", 'Financial Instruments'!Y11, 0)</f>
        <v>0</v>
      </c>
      <c r="Y77" s="460">
        <f>IF($C$60="Grant", 'Financial Instruments'!Z11, 0)</f>
        <v>0</v>
      </c>
      <c r="Z77" s="460">
        <f>IF($C$60="Grant", 'Financial Instruments'!AA11, 0)</f>
        <v>0</v>
      </c>
      <c r="AA77" s="460">
        <f>IF($C$60="Grant", 'Financial Instruments'!AB11, 0)</f>
        <v>0</v>
      </c>
      <c r="AB77" s="460">
        <f>IF($C$60="Grant", 'Financial Instruments'!AC11, 0)</f>
        <v>0</v>
      </c>
      <c r="AC77" s="460">
        <f>IF($C$60="Grant", 'Financial Instruments'!AD11, 0)</f>
        <v>0</v>
      </c>
      <c r="AD77" s="460">
        <f>IF($C$60="Grant", 'Financial Instruments'!AE11, 0)</f>
        <v>0</v>
      </c>
      <c r="AE77" s="460">
        <f>IF($C$60="Grant", 'Financial Instruments'!AF11, 0)</f>
        <v>0</v>
      </c>
      <c r="AF77" s="460">
        <f>IF($C$60="Grant", 'Financial Instruments'!AG11, 0)</f>
        <v>0</v>
      </c>
      <c r="AG77" s="460">
        <f>IF($C$60="Grant", 'Financial Instruments'!AH11, 0)</f>
        <v>0</v>
      </c>
      <c r="AH77" s="460">
        <f>IF($C$60="Grant", 'Financial Instruments'!AI11, 0)</f>
        <v>0</v>
      </c>
      <c r="AI77" s="460">
        <f>IF($C$60="Grant", 'Financial Instruments'!AJ11, 0)</f>
        <v>0</v>
      </c>
      <c r="AJ77" s="460">
        <f>IF($C$60="Grant", 'Financial Instruments'!AK11, 0)</f>
        <v>0</v>
      </c>
      <c r="AK77" s="460">
        <f>IF($C$60="Grant", 'Financial Instruments'!AL11, 0)</f>
        <v>0</v>
      </c>
      <c r="AL77" s="460">
        <f>IF($C$60="Grant", 'Financial Instruments'!AM11, 0)</f>
        <v>0</v>
      </c>
      <c r="AM77" s="460">
        <f>IF($C$60="Grant", 'Financial Instruments'!AN11, 0)</f>
        <v>0</v>
      </c>
      <c r="AN77" s="460">
        <f>IF($C$60="Grant", 'Financial Instruments'!AO11, 0)</f>
        <v>0</v>
      </c>
      <c r="AO77" s="460">
        <f>IF($C$60="Grant", 'Financial Instruments'!AP11, 0)</f>
        <v>0</v>
      </c>
      <c r="AP77" s="460">
        <f>IF($C$60="Grant", 'Financial Instruments'!AQ11, 0)</f>
        <v>0</v>
      </c>
      <c r="AQ77" s="460">
        <f>IF($C$60="Grant", 'Financial Instruments'!AR11, 0)</f>
        <v>0</v>
      </c>
      <c r="AR77" s="460">
        <f>IF($C$60="Grant", 'Financial Instruments'!AS11, 0)</f>
        <v>0</v>
      </c>
      <c r="AS77" s="460">
        <f>IF($C$60="Grant", 'Financial Instruments'!AT11, 0)</f>
        <v>0</v>
      </c>
      <c r="AT77" s="460">
        <f>IF($C$60="Grant", 'Financial Instruments'!AU11, 0)</f>
        <v>0</v>
      </c>
      <c r="AU77" s="460">
        <f>IF($C$60="Grant", 'Financial Instruments'!AV11, 0)</f>
        <v>0</v>
      </c>
      <c r="AY77" s="23"/>
      <c r="AZ77" s="23"/>
      <c r="BA77" s="23"/>
      <c r="BB77" s="23"/>
      <c r="BD77" s="23"/>
    </row>
    <row r="78" spans="1:56" ht="14.25">
      <c r="A78" s="12" t="s">
        <v>325</v>
      </c>
      <c r="B78" s="31" cm="1">
        <f t="array" ref="B78:AU78">IF($C$60="Carbon Credits",(TRANSPOSE('OSeMOSYS (Input)'!S139:S184-'OSeMOSYS (Input)'!R139:R184))*B79:AU79,(TRANSPOSE('OSeMOSYS (Input)'!S139:S184-'OSeMOSYS (Input)'!R139:R184))*0)</f>
        <v>0</v>
      </c>
      <c r="C78" s="460">
        <v>0</v>
      </c>
      <c r="D78" s="460">
        <v>0</v>
      </c>
      <c r="E78" s="460">
        <v>0</v>
      </c>
      <c r="F78" s="460">
        <v>0</v>
      </c>
      <c r="G78" s="460">
        <v>0</v>
      </c>
      <c r="H78" s="460">
        <v>0</v>
      </c>
      <c r="I78" s="460">
        <v>0</v>
      </c>
      <c r="J78" s="460">
        <v>0</v>
      </c>
      <c r="K78" s="460">
        <v>0</v>
      </c>
      <c r="L78" s="460">
        <v>0</v>
      </c>
      <c r="M78" s="460">
        <v>0</v>
      </c>
      <c r="N78" s="460">
        <v>0</v>
      </c>
      <c r="O78" s="460">
        <v>0</v>
      </c>
      <c r="P78" s="460">
        <v>0</v>
      </c>
      <c r="Q78" s="460">
        <v>0</v>
      </c>
      <c r="R78" s="460">
        <v>0</v>
      </c>
      <c r="S78" s="460">
        <v>0</v>
      </c>
      <c r="T78" s="460">
        <v>0</v>
      </c>
      <c r="U78" s="460">
        <v>0</v>
      </c>
      <c r="V78" s="460">
        <v>0</v>
      </c>
      <c r="W78" s="460">
        <v>0</v>
      </c>
      <c r="X78" s="460">
        <v>0</v>
      </c>
      <c r="Y78" s="460">
        <v>0</v>
      </c>
      <c r="Z78" s="460">
        <v>0</v>
      </c>
      <c r="AA78" s="460">
        <v>0</v>
      </c>
      <c r="AB78" s="460">
        <v>0</v>
      </c>
      <c r="AC78" s="460">
        <v>0</v>
      </c>
      <c r="AD78" s="460">
        <v>0</v>
      </c>
      <c r="AE78" s="460">
        <v>0</v>
      </c>
      <c r="AF78" s="460">
        <v>0</v>
      </c>
      <c r="AG78" s="460">
        <v>0</v>
      </c>
      <c r="AH78" s="460">
        <v>0</v>
      </c>
      <c r="AI78" s="460">
        <v>0</v>
      </c>
      <c r="AJ78" s="460">
        <v>0</v>
      </c>
      <c r="AK78" s="460">
        <v>0</v>
      </c>
      <c r="AL78" s="460">
        <v>0</v>
      </c>
      <c r="AM78" s="460">
        <v>0</v>
      </c>
      <c r="AN78" s="460">
        <v>0</v>
      </c>
      <c r="AO78" s="460">
        <v>0</v>
      </c>
      <c r="AP78" s="460">
        <v>0</v>
      </c>
      <c r="AQ78" s="460">
        <v>0</v>
      </c>
      <c r="AR78" s="460">
        <v>0</v>
      </c>
      <c r="AS78" s="460">
        <v>0</v>
      </c>
      <c r="AT78" s="460">
        <v>0</v>
      </c>
      <c r="AU78" s="460">
        <v>0</v>
      </c>
      <c r="AY78" s="23"/>
      <c r="AZ78" s="23"/>
      <c r="BA78" s="23"/>
      <c r="BB78" s="23"/>
      <c r="BD78" s="23"/>
    </row>
    <row r="79" spans="1:56" ht="14.25">
      <c r="A79" s="459" t="s">
        <v>326</v>
      </c>
      <c r="B79" s="425" cm="1">
        <f t="array" ref="B79:AU79">'Financial Instruments'!C124:AV124</f>
        <v>0</v>
      </c>
      <c r="C79" s="425">
        <v>0</v>
      </c>
      <c r="D79" s="425">
        <v>-887.43695652174074</v>
      </c>
      <c r="E79" s="425">
        <v>-188.73555555555515</v>
      </c>
      <c r="F79" s="425">
        <v>-259.32122905027813</v>
      </c>
      <c r="G79" s="425">
        <v>-2426.8429118773861</v>
      </c>
      <c r="H79" s="425">
        <v>-10128.060606060599</v>
      </c>
      <c r="I79" s="425">
        <v>996.84236453201629</v>
      </c>
      <c r="J79" s="425">
        <v>-191.26196808510537</v>
      </c>
      <c r="K79" s="425">
        <v>-3509.0402684563701</v>
      </c>
      <c r="L79" s="425">
        <v>-158.33718244803103</v>
      </c>
      <c r="M79" s="425">
        <v>-1223.0386266094467</v>
      </c>
      <c r="N79" s="425">
        <v>-1076.9352112676011</v>
      </c>
      <c r="O79" s="425">
        <v>-668.88580576307015</v>
      </c>
      <c r="P79" s="425">
        <v>93.367481203007131</v>
      </c>
      <c r="Q79" s="425">
        <v>925.52723311547243</v>
      </c>
      <c r="R79" s="425">
        <v>-174.66396761133564</v>
      </c>
      <c r="S79" s="425">
        <v>-256.05813953488519</v>
      </c>
      <c r="T79" s="425">
        <v>12.155075187968785</v>
      </c>
      <c r="U79" s="425">
        <v>24.822975517889944</v>
      </c>
      <c r="V79" s="425">
        <v>27.918552036198207</v>
      </c>
      <c r="W79" s="425">
        <v>38.450324976785794</v>
      </c>
      <c r="X79" s="425">
        <v>-463.35692618807042</v>
      </c>
      <c r="Y79" s="425">
        <v>-726.34195804195815</v>
      </c>
      <c r="Z79" s="425">
        <v>-290.6116772239053</v>
      </c>
      <c r="AA79" s="425">
        <v>-138.41735173223714</v>
      </c>
      <c r="AB79" s="425">
        <v>-593.3923416789396</v>
      </c>
      <c r="AC79" s="425">
        <v>58.369830028328444</v>
      </c>
      <c r="AD79" s="425">
        <v>278.94753127942914</v>
      </c>
      <c r="AE79" s="425">
        <v>263.56699325613874</v>
      </c>
      <c r="AF79" s="425">
        <v>160.3527141133896</v>
      </c>
      <c r="AG79" s="425">
        <v>-53.762785515320978</v>
      </c>
      <c r="AH79" s="425">
        <v>136.97067901234539</v>
      </c>
      <c r="AI79" s="425">
        <v>-1.7621271323742518</v>
      </c>
      <c r="AJ79" s="425">
        <v>9.8823011963405563</v>
      </c>
      <c r="AK79" s="425">
        <v>54.249057222495516</v>
      </c>
      <c r="AL79" s="425">
        <v>34.806386762545465</v>
      </c>
      <c r="AM79" s="425">
        <v>57.013342034660027</v>
      </c>
      <c r="AN79" s="425">
        <v>76.229509310860394</v>
      </c>
      <c r="AO79" s="425">
        <v>74.431479320627275</v>
      </c>
      <c r="AP79" s="425">
        <v>145.25737486519057</v>
      </c>
      <c r="AQ79" s="425">
        <v>38.294867037723982</v>
      </c>
      <c r="AR79" s="425">
        <v>32.303504714463635</v>
      </c>
      <c r="AS79" s="425">
        <v>57.231180017226478</v>
      </c>
      <c r="AT79" s="425">
        <v>61.766128145950091</v>
      </c>
      <c r="AU79" s="425">
        <v>67.56193035140403</v>
      </c>
      <c r="AY79" s="23"/>
      <c r="AZ79" s="23"/>
      <c r="BA79" s="23"/>
      <c r="BB79" s="23"/>
      <c r="BD79" s="23"/>
    </row>
    <row r="80" spans="1:56" ht="14.25">
      <c r="AY80" s="23"/>
      <c r="AZ80" s="23"/>
      <c r="BA80" s="23"/>
      <c r="BB80" s="23"/>
      <c r="BD80" s="23"/>
    </row>
    <row r="81" spans="1:56" ht="22.05" customHeight="1">
      <c r="A81" s="329" t="str">
        <f>"Financing Sources  (Million "&amp;$B$6&amp;")"</f>
        <v>Financing Sources  (Million USD)</v>
      </c>
      <c r="B81" s="328">
        <f>B65</f>
        <v>850.28309999999999</v>
      </c>
      <c r="C81" s="328">
        <f t="shared" ref="C81:AU81" si="17">C65</f>
        <v>891.30279999999993</v>
      </c>
      <c r="D81" s="328">
        <f t="shared" si="17"/>
        <v>892.31080000000009</v>
      </c>
      <c r="E81" s="328">
        <f t="shared" si="17"/>
        <v>783.88200000000006</v>
      </c>
      <c r="F81" s="328">
        <f t="shared" si="17"/>
        <v>1637.2811999999999</v>
      </c>
      <c r="G81" s="328">
        <f t="shared" si="17"/>
        <v>966.93870000000004</v>
      </c>
      <c r="H81" s="328">
        <f t="shared" si="17"/>
        <v>1100.6995999999999</v>
      </c>
      <c r="I81" s="328">
        <f t="shared" si="17"/>
        <v>792.58999999999992</v>
      </c>
      <c r="J81" s="328">
        <f t="shared" si="17"/>
        <v>758.73990000000003</v>
      </c>
      <c r="K81" s="328">
        <f t="shared" si="17"/>
        <v>1222.0521999999999</v>
      </c>
      <c r="L81" s="328">
        <f t="shared" si="17"/>
        <v>963.81530000000009</v>
      </c>
      <c r="M81" s="328">
        <f t="shared" si="17"/>
        <v>1388.3742999999999</v>
      </c>
      <c r="N81" s="328">
        <f t="shared" si="17"/>
        <v>1304.9629000000002</v>
      </c>
      <c r="O81" s="328">
        <f t="shared" si="17"/>
        <v>1267.4485999999999</v>
      </c>
      <c r="P81" s="328">
        <f t="shared" si="17"/>
        <v>1759.1960000000001</v>
      </c>
      <c r="Q81" s="328">
        <f t="shared" si="17"/>
        <v>2280.2151999999996</v>
      </c>
      <c r="R81" s="328">
        <f t="shared" si="17"/>
        <v>1956.6569000000002</v>
      </c>
      <c r="S81" s="328">
        <f t="shared" si="17"/>
        <v>1301.3557000000001</v>
      </c>
      <c r="T81" s="328">
        <f t="shared" si="17"/>
        <v>1359.3568</v>
      </c>
      <c r="U81" s="328">
        <f t="shared" si="17"/>
        <v>1463.7227</v>
      </c>
      <c r="V81" s="328">
        <f t="shared" si="17"/>
        <v>1575.0400999999999</v>
      </c>
      <c r="W81" s="328">
        <f t="shared" si="17"/>
        <v>1687.5381</v>
      </c>
      <c r="X81" s="328">
        <f t="shared" si="17"/>
        <v>1800.9875999999999</v>
      </c>
      <c r="Y81" s="328">
        <f t="shared" si="17"/>
        <v>1922.2903000000001</v>
      </c>
      <c r="Z81" s="328">
        <f t="shared" si="17"/>
        <v>2099.6988000000001</v>
      </c>
      <c r="AA81" s="328">
        <f t="shared" si="17"/>
        <v>2430.3555999999999</v>
      </c>
      <c r="AB81" s="328">
        <f t="shared" si="17"/>
        <v>2368.0668999999998</v>
      </c>
      <c r="AC81" s="328">
        <f t="shared" si="17"/>
        <v>2207.9177</v>
      </c>
      <c r="AD81" s="328">
        <f t="shared" si="17"/>
        <v>2225.7754999999997</v>
      </c>
      <c r="AE81" s="328">
        <f t="shared" si="17"/>
        <v>3004.1397999999995</v>
      </c>
      <c r="AF81" s="328">
        <f t="shared" si="17"/>
        <v>2080.1179999999999</v>
      </c>
      <c r="AG81" s="328">
        <f t="shared" si="17"/>
        <v>2280.6886</v>
      </c>
      <c r="AH81" s="328">
        <f t="shared" si="17"/>
        <v>2009.4267</v>
      </c>
      <c r="AI81" s="328">
        <f t="shared" si="17"/>
        <v>1955.1030000000001</v>
      </c>
      <c r="AJ81" s="328">
        <f t="shared" si="17"/>
        <v>2393.1575999999995</v>
      </c>
      <c r="AK81" s="328">
        <f t="shared" si="17"/>
        <v>2083.9499000000001</v>
      </c>
      <c r="AL81" s="328">
        <f t="shared" si="17"/>
        <v>2543.0387999999998</v>
      </c>
      <c r="AM81" s="328">
        <f t="shared" si="17"/>
        <v>2416.4369999999999</v>
      </c>
      <c r="AN81" s="328">
        <f t="shared" si="17"/>
        <v>2379.3407999999999</v>
      </c>
      <c r="AO81" s="328">
        <f t="shared" si="17"/>
        <v>2812.2185999999997</v>
      </c>
      <c r="AP81" s="328">
        <f t="shared" si="17"/>
        <v>3282.4703999999997</v>
      </c>
      <c r="AQ81" s="328">
        <f t="shared" si="17"/>
        <v>2891.0751</v>
      </c>
      <c r="AR81" s="328">
        <f t="shared" si="17"/>
        <v>2267.7013999999999</v>
      </c>
      <c r="AS81" s="328">
        <f t="shared" si="17"/>
        <v>2240.1758</v>
      </c>
      <c r="AT81" s="328">
        <f t="shared" si="17"/>
        <v>2447.7587999999996</v>
      </c>
      <c r="AU81" s="328">
        <f t="shared" si="17"/>
        <v>2598.8757999999998</v>
      </c>
      <c r="AY81" s="23"/>
      <c r="AZ81" s="23"/>
      <c r="BA81" s="23"/>
      <c r="BB81" s="23"/>
      <c r="BD81" s="23"/>
    </row>
    <row r="82" spans="1:56" ht="14.25">
      <c r="A82" s="345" t="s">
        <v>327</v>
      </c>
      <c r="B82" s="344">
        <f>B81*$C$53</f>
        <v>681.35773348589896</v>
      </c>
      <c r="C82" s="344">
        <f t="shared" ref="C82:AU82" si="18">C81*$C$53</f>
        <v>714.22806787249499</v>
      </c>
      <c r="D82" s="344">
        <f t="shared" si="18"/>
        <v>715.03580895937989</v>
      </c>
      <c r="E82" s="344">
        <f t="shared" si="18"/>
        <v>628.14851058476108</v>
      </c>
      <c r="F82" s="344">
        <f t="shared" si="18"/>
        <v>1312.0032698651457</v>
      </c>
      <c r="G82" s="344">
        <f t="shared" si="18"/>
        <v>774.83741715177166</v>
      </c>
      <c r="H82" s="344">
        <f t="shared" si="18"/>
        <v>882.0240984500756</v>
      </c>
      <c r="I82" s="344">
        <f t="shared" si="18"/>
        <v>635.12649608534923</v>
      </c>
      <c r="J82" s="344">
        <f t="shared" si="18"/>
        <v>608.00138044531002</v>
      </c>
      <c r="K82" s="344">
        <f t="shared" si="18"/>
        <v>979.26763120830742</v>
      </c>
      <c r="L82" s="344">
        <f t="shared" si="18"/>
        <v>772.33454164504951</v>
      </c>
      <c r="M82" s="344">
        <f t="shared" si="18"/>
        <v>1112.5465933382322</v>
      </c>
      <c r="N82" s="344">
        <f t="shared" si="18"/>
        <v>1045.7064991967804</v>
      </c>
      <c r="O82" s="344">
        <f t="shared" si="18"/>
        <v>1015.6451485462615</v>
      </c>
      <c r="P82" s="344">
        <f t="shared" si="18"/>
        <v>1409.6973105986224</v>
      </c>
      <c r="Q82" s="344">
        <f t="shared" si="18"/>
        <v>1827.2058571222872</v>
      </c>
      <c r="R82" s="344">
        <f t="shared" si="18"/>
        <v>1567.9287411375637</v>
      </c>
      <c r="S82" s="344">
        <f t="shared" si="18"/>
        <v>1042.8159400215711</v>
      </c>
      <c r="T82" s="344">
        <f t="shared" si="18"/>
        <v>1089.2939871986689</v>
      </c>
      <c r="U82" s="344">
        <f t="shared" si="18"/>
        <v>1172.9255601150492</v>
      </c>
      <c r="V82" s="344">
        <f t="shared" si="18"/>
        <v>1262.1275816082943</v>
      </c>
      <c r="W82" s="344">
        <f t="shared" si="18"/>
        <v>1352.2756538229446</v>
      </c>
      <c r="X82" s="344">
        <f t="shared" si="18"/>
        <v>1443.186191954431</v>
      </c>
      <c r="Y82" s="344">
        <f t="shared" si="18"/>
        <v>1540.3897383235405</v>
      </c>
      <c r="Z82" s="344">
        <f t="shared" si="18"/>
        <v>1682.5525702804887</v>
      </c>
      <c r="AA82" s="344">
        <f t="shared" si="18"/>
        <v>1947.517930417248</v>
      </c>
      <c r="AB82" s="344">
        <f t="shared" si="18"/>
        <v>1897.6040988312936</v>
      </c>
      <c r="AC82" s="344">
        <f t="shared" si="18"/>
        <v>1769.2716693950508</v>
      </c>
      <c r="AD82" s="344">
        <f t="shared" si="18"/>
        <v>1783.5816681860938</v>
      </c>
      <c r="AE82" s="344">
        <f t="shared" si="18"/>
        <v>2407.3086777836479</v>
      </c>
      <c r="AF82" s="344">
        <f t="shared" si="18"/>
        <v>1666.8618791355739</v>
      </c>
      <c r="AG82" s="344">
        <f t="shared" si="18"/>
        <v>1827.5852069541638</v>
      </c>
      <c r="AH82" s="344">
        <f t="shared" si="18"/>
        <v>1610.2147883664268</v>
      </c>
      <c r="AI82" s="344">
        <f t="shared" si="18"/>
        <v>1566.6835537616607</v>
      </c>
      <c r="AJ82" s="344">
        <f t="shared" si="18"/>
        <v>1917.7100405859569</v>
      </c>
      <c r="AK82" s="344">
        <f t="shared" si="18"/>
        <v>1669.9324972614013</v>
      </c>
      <c r="AL82" s="344">
        <f t="shared" si="18"/>
        <v>2037.8144090300043</v>
      </c>
      <c r="AM82" s="344">
        <f t="shared" si="18"/>
        <v>1936.3645325086022</v>
      </c>
      <c r="AN82" s="344">
        <f t="shared" si="18"/>
        <v>1906.6382181164431</v>
      </c>
      <c r="AO82" s="344">
        <f t="shared" si="18"/>
        <v>2253.5163775016667</v>
      </c>
      <c r="AP82" s="344">
        <f t="shared" si="18"/>
        <v>2630.3434608762091</v>
      </c>
      <c r="AQ82" s="344">
        <f t="shared" si="18"/>
        <v>2316.7064916067584</v>
      </c>
      <c r="AR82" s="344">
        <f t="shared" si="18"/>
        <v>1817.178168220443</v>
      </c>
      <c r="AS82" s="344">
        <f t="shared" si="18"/>
        <v>1795.1210669692957</v>
      </c>
      <c r="AT82" s="344">
        <f t="shared" si="18"/>
        <v>1961.4636443887496</v>
      </c>
      <c r="AU82" s="344">
        <f t="shared" si="18"/>
        <v>2082.558296994674</v>
      </c>
      <c r="AY82" s="23"/>
      <c r="AZ82" s="23"/>
      <c r="BA82" s="23"/>
      <c r="BB82" s="23"/>
      <c r="BD82" s="23"/>
    </row>
    <row r="83" spans="1:56" ht="14.25">
      <c r="A83" s="345" t="s">
        <v>328</v>
      </c>
      <c r="B83" s="344">
        <f t="shared" ref="B83:AU83" ca="1" si="19">B81*$C$54</f>
        <v>94.4649842142301</v>
      </c>
      <c r="C83" s="344">
        <f t="shared" ca="1" si="19"/>
        <v>99.022202054938035</v>
      </c>
      <c r="D83" s="344">
        <f t="shared" ca="1" si="19"/>
        <v>99.13418911441029</v>
      </c>
      <c r="E83" s="344">
        <f t="shared" ca="1" si="19"/>
        <v>87.087936659941988</v>
      </c>
      <c r="F83" s="344">
        <f t="shared" ca="1" si="19"/>
        <v>181.89911420355844</v>
      </c>
      <c r="G83" s="344">
        <f t="shared" ca="1" si="19"/>
        <v>107.4252199433673</v>
      </c>
      <c r="H83" s="344">
        <f t="shared" ca="1" si="19"/>
        <v>122.28582496654276</v>
      </c>
      <c r="I83" s="344">
        <f t="shared" ca="1" si="19"/>
        <v>88.055380423716088</v>
      </c>
      <c r="J83" s="344">
        <f t="shared" ca="1" si="19"/>
        <v>84.294692763159148</v>
      </c>
      <c r="K83" s="344">
        <f t="shared" ca="1" si="19"/>
        <v>135.76788928530408</v>
      </c>
      <c r="L83" s="344">
        <f t="shared" ca="1" si="19"/>
        <v>107.07821559658595</v>
      </c>
      <c r="M83" s="344">
        <f t="shared" ca="1" si="19"/>
        <v>154.24598740459825</v>
      </c>
      <c r="N83" s="344">
        <f t="shared" ca="1" si="19"/>
        <v>144.97912489223407</v>
      </c>
      <c r="O83" s="344">
        <f t="shared" ca="1" si="19"/>
        <v>140.81135093870267</v>
      </c>
      <c r="P83" s="344">
        <f t="shared" ca="1" si="19"/>
        <v>195.44363797156117</v>
      </c>
      <c r="Q83" s="344">
        <f t="shared" ca="1" si="19"/>
        <v>253.32797144039142</v>
      </c>
      <c r="R83" s="344">
        <f t="shared" ca="1" si="19"/>
        <v>217.38120300305206</v>
      </c>
      <c r="S83" s="344">
        <f t="shared" ca="1" si="19"/>
        <v>144.57837120083695</v>
      </c>
      <c r="T83" s="344">
        <f t="shared" ca="1" si="19"/>
        <v>151.02219325952302</v>
      </c>
      <c r="U83" s="344">
        <f t="shared" ca="1" si="19"/>
        <v>162.6170645394578</v>
      </c>
      <c r="V83" s="344">
        <f t="shared" ca="1" si="19"/>
        <v>174.98423546613989</v>
      </c>
      <c r="W83" s="344">
        <f t="shared" ca="1" si="19"/>
        <v>187.48256901426342</v>
      </c>
      <c r="X83" s="344">
        <f t="shared" ca="1" si="19"/>
        <v>200.08661256941852</v>
      </c>
      <c r="Y83" s="344">
        <f t="shared" ca="1" si="19"/>
        <v>213.56313308434289</v>
      </c>
      <c r="Z83" s="344">
        <f t="shared" ca="1" si="19"/>
        <v>233.27291110059448</v>
      </c>
      <c r="AA83" s="344">
        <f t="shared" ca="1" si="19"/>
        <v>270.00831063085423</v>
      </c>
      <c r="AB83" s="344">
        <f t="shared" ca="1" si="19"/>
        <v>263.0881436156273</v>
      </c>
      <c r="AC83" s="344">
        <f t="shared" ca="1" si="19"/>
        <v>245.29584402750004</v>
      </c>
      <c r="AD83" s="344">
        <f t="shared" ca="1" si="19"/>
        <v>247.27981477218597</v>
      </c>
      <c r="AE83" s="344">
        <f t="shared" ca="1" si="19"/>
        <v>333.75474448961802</v>
      </c>
      <c r="AF83" s="344">
        <f t="shared" ca="1" si="19"/>
        <v>231.0975180310368</v>
      </c>
      <c r="AG83" s="344">
        <f t="shared" ca="1" si="19"/>
        <v>253.38056536296503</v>
      </c>
      <c r="AH83" s="344">
        <f t="shared" ca="1" si="19"/>
        <v>223.24383666469728</v>
      </c>
      <c r="AI83" s="344">
        <f t="shared" ca="1" si="19"/>
        <v>217.20856739619299</v>
      </c>
      <c r="AJ83" s="344">
        <f t="shared" ca="1" si="19"/>
        <v>265.87567706116323</v>
      </c>
      <c r="AK83" s="344">
        <f t="shared" ca="1" si="19"/>
        <v>231.52323550444129</v>
      </c>
      <c r="AL83" s="344">
        <f t="shared" ca="1" si="19"/>
        <v>282.52721957919033</v>
      </c>
      <c r="AM83" s="344">
        <f t="shared" ca="1" si="19"/>
        <v>268.46197820429632</v>
      </c>
      <c r="AN83" s="344">
        <f t="shared" ca="1" si="19"/>
        <v>264.34065443882582</v>
      </c>
      <c r="AO83" s="344">
        <f t="shared" ca="1" si="19"/>
        <v>312.43263056264936</v>
      </c>
      <c r="AP83" s="344">
        <f t="shared" ca="1" si="19"/>
        <v>364.67679355226221</v>
      </c>
      <c r="AQ83" s="344">
        <f t="shared" ca="1" si="19"/>
        <v>321.19345155002338</v>
      </c>
      <c r="AR83" s="344">
        <f t="shared" ca="1" si="19"/>
        <v>251.93770986814565</v>
      </c>
      <c r="AS83" s="344">
        <f t="shared" ca="1" si="19"/>
        <v>248.87966323698575</v>
      </c>
      <c r="AT83" s="344">
        <f t="shared" ca="1" si="19"/>
        <v>271.94177610050434</v>
      </c>
      <c r="AU83" s="344">
        <f t="shared" ca="1" si="19"/>
        <v>288.73061386465827</v>
      </c>
      <c r="AY83" s="23"/>
      <c r="AZ83" s="23"/>
      <c r="BA83" s="23"/>
      <c r="BB83" s="23"/>
      <c r="BD83" s="23"/>
    </row>
    <row r="84" spans="1:56" ht="14.25">
      <c r="A84" s="345" t="s">
        <v>329</v>
      </c>
      <c r="B84" s="344">
        <f t="shared" ref="B84:AU84" ca="1" si="20">B81*$C$55</f>
        <v>103.57542262354426</v>
      </c>
      <c r="C84" s="344">
        <f t="shared" ca="1" si="20"/>
        <v>108.57214990577648</v>
      </c>
      <c r="D84" s="344">
        <f t="shared" ca="1" si="20"/>
        <v>108.69493727624705</v>
      </c>
      <c r="E84" s="344">
        <f t="shared" ca="1" si="20"/>
        <v>95.48691422537874</v>
      </c>
      <c r="F84" s="344">
        <f t="shared" ca="1" si="20"/>
        <v>199.44191792543413</v>
      </c>
      <c r="G84" s="344">
        <f t="shared" ca="1" si="20"/>
        <v>117.78557577301076</v>
      </c>
      <c r="H84" s="344">
        <f t="shared" ca="1" si="20"/>
        <v>134.07937456544309</v>
      </c>
      <c r="I84" s="344">
        <f t="shared" ca="1" si="20"/>
        <v>96.547660675832489</v>
      </c>
      <c r="J84" s="344">
        <f t="shared" ca="1" si="20"/>
        <v>92.424282928645425</v>
      </c>
      <c r="K84" s="344">
        <f t="shared" ca="1" si="20"/>
        <v>148.86168275369937</v>
      </c>
      <c r="L84" s="344">
        <f t="shared" ca="1" si="20"/>
        <v>117.40510546256665</v>
      </c>
      <c r="M84" s="344">
        <f t="shared" ca="1" si="20"/>
        <v>169.12185468835901</v>
      </c>
      <c r="N84" s="344">
        <f t="shared" ca="1" si="20"/>
        <v>158.96127286964301</v>
      </c>
      <c r="O84" s="344">
        <f t="shared" ca="1" si="20"/>
        <v>154.39154841325143</v>
      </c>
      <c r="P84" s="344">
        <f t="shared" ca="1" si="20"/>
        <v>214.29270930781593</v>
      </c>
      <c r="Q84" s="344">
        <f t="shared" ca="1" si="20"/>
        <v>277.75955209815351</v>
      </c>
      <c r="R84" s="344">
        <f t="shared" ca="1" si="20"/>
        <v>238.34598776192777</v>
      </c>
      <c r="S84" s="344">
        <f t="shared" ca="1" si="20"/>
        <v>158.52186949388772</v>
      </c>
      <c r="T84" s="344">
        <f t="shared" ca="1" si="20"/>
        <v>165.58714980479883</v>
      </c>
      <c r="U84" s="344">
        <f t="shared" ca="1" si="20"/>
        <v>178.30025935617832</v>
      </c>
      <c r="V84" s="344">
        <f t="shared" ca="1" si="20"/>
        <v>191.86015105619458</v>
      </c>
      <c r="W84" s="344">
        <f t="shared" ca="1" si="20"/>
        <v>205.56385502761717</v>
      </c>
      <c r="X84" s="344">
        <f t="shared" ca="1" si="20"/>
        <v>219.38346394249479</v>
      </c>
      <c r="Y84" s="344">
        <f t="shared" ca="1" si="20"/>
        <v>234.1596936686613</v>
      </c>
      <c r="Z84" s="344">
        <f t="shared" ca="1" si="20"/>
        <v>255.77033177790875</v>
      </c>
      <c r="AA84" s="344">
        <f t="shared" ca="1" si="20"/>
        <v>296.0485847542983</v>
      </c>
      <c r="AB84" s="344">
        <f t="shared" ca="1" si="20"/>
        <v>288.4610195925643</v>
      </c>
      <c r="AC84" s="344">
        <f t="shared" ca="1" si="20"/>
        <v>268.95278630788243</v>
      </c>
      <c r="AD84" s="344">
        <f t="shared" ca="1" si="20"/>
        <v>271.12809613366483</v>
      </c>
      <c r="AE84" s="344">
        <f t="shared" ca="1" si="20"/>
        <v>365.94288349987164</v>
      </c>
      <c r="AF84" s="344">
        <f t="shared" ca="1" si="20"/>
        <v>253.3851383813716</v>
      </c>
      <c r="AG84" s="344">
        <f t="shared" ca="1" si="20"/>
        <v>277.81721830964239</v>
      </c>
      <c r="AH84" s="344">
        <f t="shared" ca="1" si="20"/>
        <v>244.77402841892763</v>
      </c>
      <c r="AI84" s="344">
        <f t="shared" ca="1" si="20"/>
        <v>238.15670274707244</v>
      </c>
      <c r="AJ84" s="344">
        <f t="shared" ca="1" si="20"/>
        <v>291.51738970790649</v>
      </c>
      <c r="AK84" s="344">
        <f t="shared" ca="1" si="20"/>
        <v>253.85191310846096</v>
      </c>
      <c r="AL84" s="344">
        <f t="shared" ca="1" si="20"/>
        <v>309.77484846878747</v>
      </c>
      <c r="AM84" s="344">
        <f t="shared" ca="1" si="20"/>
        <v>294.35312017629121</v>
      </c>
      <c r="AN84" s="344">
        <f t="shared" ca="1" si="20"/>
        <v>289.83432567981407</v>
      </c>
      <c r="AO84" s="344">
        <f t="shared" ca="1" si="20"/>
        <v>342.56441178801737</v>
      </c>
      <c r="AP84" s="344">
        <f t="shared" ca="1" si="20"/>
        <v>399.84713200729777</v>
      </c>
      <c r="AQ84" s="344">
        <f t="shared" ca="1" si="20"/>
        <v>352.17014817641973</v>
      </c>
      <c r="AR84" s="344">
        <f t="shared" ca="1" si="20"/>
        <v>276.23521023645299</v>
      </c>
      <c r="AS84" s="344">
        <f t="shared" ca="1" si="20"/>
        <v>272.88223796996124</v>
      </c>
      <c r="AT84" s="344">
        <f t="shared" ca="1" si="20"/>
        <v>298.16851845050138</v>
      </c>
      <c r="AU84" s="344">
        <f t="shared" ca="1" si="20"/>
        <v>316.57651355307621</v>
      </c>
      <c r="AY84" s="23"/>
      <c r="AZ84" s="23"/>
      <c r="BA84" s="23"/>
      <c r="BB84" s="23"/>
      <c r="BD84" s="23"/>
    </row>
    <row r="85" spans="1:56" ht="14.25">
      <c r="A85" s="345" t="s">
        <v>330</v>
      </c>
      <c r="B85" s="344">
        <f t="shared" ref="B85:AU85" ca="1" si="21">B81*$C$56</f>
        <v>19.790696026762703</v>
      </c>
      <c r="C85" s="344">
        <f t="shared" ca="1" si="21"/>
        <v>20.745446760734715</v>
      </c>
      <c r="D85" s="344">
        <f t="shared" ca="1" si="21"/>
        <v>20.7689083838047</v>
      </c>
      <c r="E85" s="344">
        <f t="shared" ca="1" si="21"/>
        <v>18.245182554905305</v>
      </c>
      <c r="F85" s="344">
        <f t="shared" ca="1" si="21"/>
        <v>38.108407117033458</v>
      </c>
      <c r="G85" s="344">
        <f t="shared" ca="1" si="21"/>
        <v>22.505904078551126</v>
      </c>
      <c r="H85" s="344">
        <f t="shared" ca="1" si="21"/>
        <v>25.61924516714409</v>
      </c>
      <c r="I85" s="344">
        <f t="shared" ca="1" si="21"/>
        <v>18.447864909759879</v>
      </c>
      <c r="J85" s="344">
        <f t="shared" ca="1" si="21"/>
        <v>17.659989624957067</v>
      </c>
      <c r="K85" s="344">
        <f t="shared" ca="1" si="21"/>
        <v>28.443777865321113</v>
      </c>
      <c r="L85" s="344">
        <f t="shared" ca="1" si="21"/>
        <v>22.433205632621778</v>
      </c>
      <c r="M85" s="344">
        <f t="shared" ca="1" si="21"/>
        <v>32.314994550249736</v>
      </c>
      <c r="N85" s="344">
        <f t="shared" ca="1" si="21"/>
        <v>30.37355920646046</v>
      </c>
      <c r="O85" s="344">
        <f t="shared" ca="1" si="21"/>
        <v>29.500398128747886</v>
      </c>
      <c r="P85" s="344">
        <f t="shared" ca="1" si="21"/>
        <v>40.946025256172732</v>
      </c>
      <c r="Q85" s="344">
        <f t="shared" ca="1" si="21"/>
        <v>53.072965814331624</v>
      </c>
      <c r="R85" s="344">
        <f t="shared" ca="1" si="21"/>
        <v>45.542010580438244</v>
      </c>
      <c r="S85" s="344">
        <f t="shared" ca="1" si="21"/>
        <v>30.289600112474304</v>
      </c>
      <c r="T85" s="344">
        <f t="shared" ca="1" si="21"/>
        <v>31.63960005874851</v>
      </c>
      <c r="U85" s="344">
        <f t="shared" ca="1" si="21"/>
        <v>34.068760184898863</v>
      </c>
      <c r="V85" s="344">
        <f t="shared" ca="1" si="21"/>
        <v>36.659719391179159</v>
      </c>
      <c r="W85" s="344">
        <f t="shared" ca="1" si="21"/>
        <v>39.278157557971788</v>
      </c>
      <c r="X85" s="344">
        <f t="shared" ca="1" si="21"/>
        <v>41.918742286620649</v>
      </c>
      <c r="Y85" s="344">
        <f t="shared" ca="1" si="21"/>
        <v>44.742113541354037</v>
      </c>
      <c r="Z85" s="344">
        <f t="shared" ca="1" si="21"/>
        <v>48.87137083938093</v>
      </c>
      <c r="AA85" s="344">
        <f t="shared" ca="1" si="21"/>
        <v>56.567546640101966</v>
      </c>
      <c r="AB85" s="344">
        <f t="shared" ca="1" si="21"/>
        <v>55.117751004269365</v>
      </c>
      <c r="AC85" s="344">
        <f t="shared" ca="1" si="21"/>
        <v>51.390211157682714</v>
      </c>
      <c r="AD85" s="344">
        <f t="shared" ca="1" si="21"/>
        <v>51.805858947820752</v>
      </c>
      <c r="AE85" s="344">
        <f t="shared" ca="1" si="21"/>
        <v>69.922614719379567</v>
      </c>
      <c r="AF85" s="344">
        <f t="shared" ca="1" si="21"/>
        <v>48.415619501078616</v>
      </c>
      <c r="AG85" s="344">
        <f t="shared" ca="1" si="21"/>
        <v>53.083984398023425</v>
      </c>
      <c r="AH85" s="344">
        <f t="shared" ca="1" si="21"/>
        <v>46.770249823571575</v>
      </c>
      <c r="AI85" s="344">
        <f t="shared" ca="1" si="21"/>
        <v>45.505842905747329</v>
      </c>
      <c r="AJ85" s="344">
        <f t="shared" ca="1" si="21"/>
        <v>55.701747577644383</v>
      </c>
      <c r="AK85" s="344">
        <f t="shared" ca="1" si="21"/>
        <v>48.504808581874123</v>
      </c>
      <c r="AL85" s="344">
        <f t="shared" ca="1" si="21"/>
        <v>59.190295414625304</v>
      </c>
      <c r="AM85" s="344">
        <f t="shared" ca="1" si="21"/>
        <v>56.243585383294558</v>
      </c>
      <c r="AN85" s="344">
        <f t="shared" ca="1" si="21"/>
        <v>55.380155758563696</v>
      </c>
      <c r="AO85" s="344">
        <f t="shared" ca="1" si="21"/>
        <v>65.455568237694209</v>
      </c>
      <c r="AP85" s="344">
        <f t="shared" ca="1" si="21"/>
        <v>76.400876253151665</v>
      </c>
      <c r="AQ85" s="344">
        <f t="shared" ca="1" si="21"/>
        <v>67.290986372236006</v>
      </c>
      <c r="AR85" s="344">
        <f t="shared" ca="1" si="21"/>
        <v>52.781701867136036</v>
      </c>
      <c r="AS85" s="344">
        <f t="shared" ca="1" si="21"/>
        <v>52.141031974303573</v>
      </c>
      <c r="AT85" s="344">
        <f t="shared" ca="1" si="21"/>
        <v>56.972613424438798</v>
      </c>
      <c r="AU85" s="344">
        <f t="shared" ca="1" si="21"/>
        <v>60.489925025100156</v>
      </c>
      <c r="AY85" s="23"/>
      <c r="AZ85" s="23"/>
      <c r="BA85" s="23"/>
      <c r="BB85" s="23"/>
      <c r="BD85" s="23"/>
    </row>
    <row r="86" spans="1:56" ht="14.25">
      <c r="A86" s="2"/>
      <c r="B86" s="2"/>
      <c r="C86" s="2"/>
      <c r="D86" s="2"/>
      <c r="E86" s="2"/>
      <c r="F86" s="2"/>
      <c r="G86" s="2"/>
      <c r="H86" s="2"/>
      <c r="I86" s="2"/>
      <c r="J86" s="2"/>
      <c r="K86" s="2"/>
    </row>
    <row r="87" spans="1:56" ht="14.25">
      <c r="A87" s="51" t="str">
        <f>"Existing finance payments (Million "&amp;$B$6&amp;")"</f>
        <v>Existing finance payments (Million USD)</v>
      </c>
      <c r="B87" s="32">
        <f>SUM('Financing Baseline'!AP49:AP516)</f>
        <v>888.63645072282293</v>
      </c>
      <c r="C87" s="32">
        <f>SUM('Financing Baseline'!AQ49:AQ516)</f>
        <v>923.20345922568868</v>
      </c>
      <c r="D87" s="32">
        <f>SUM('Financing Baseline'!AR49:AR516)</f>
        <v>922.04108477747468</v>
      </c>
      <c r="E87" s="32">
        <f>SUM('Financing Baseline'!AS49:AS516)</f>
        <v>924.95849220256105</v>
      </c>
      <c r="F87" s="32">
        <f>SUM('Financing Baseline'!AT49:AT516)</f>
        <v>879.896840591809</v>
      </c>
      <c r="G87" s="32">
        <f>SUM('Financing Baseline'!AU49:AU516)</f>
        <v>866.2455570935291</v>
      </c>
      <c r="H87" s="32">
        <f>SUM('Financing Baseline'!AV49:AV516)</f>
        <v>861.55142298803014</v>
      </c>
      <c r="I87" s="32">
        <f>SUM('Financing Baseline'!AW49:AW516)</f>
        <v>824.54920183232116</v>
      </c>
      <c r="J87" s="32">
        <f>SUM('Financing Baseline'!AX49:AX516)</f>
        <v>770.55753253272906</v>
      </c>
      <c r="K87" s="32">
        <f>SUM('Financing Baseline'!AY49:AY516)</f>
        <v>736.48437713400006</v>
      </c>
      <c r="L87" s="32">
        <f>SUM('Financing Baseline'!AZ49:AZ516)</f>
        <v>708.83746887530549</v>
      </c>
      <c r="M87" s="32">
        <f>SUM('Financing Baseline'!BA49:BA516)</f>
        <v>658.53268173718584</v>
      </c>
      <c r="N87" s="32">
        <f>SUM('Financing Baseline'!BB49:BB516)</f>
        <v>518.44550384507386</v>
      </c>
      <c r="O87" s="32">
        <f>SUM('Financing Baseline'!BC49:BC516)</f>
        <v>429.68474684103188</v>
      </c>
      <c r="P87" s="32">
        <f>SUM('Financing Baseline'!BD49:BD516)</f>
        <v>398.68302542799177</v>
      </c>
      <c r="Q87" s="32">
        <f>SUM('Financing Baseline'!BE49:BE516)</f>
        <v>344.05446377420299</v>
      </c>
      <c r="R87" s="32">
        <f>SUM('Financing Baseline'!BF49:BF516)</f>
        <v>323.04589201193249</v>
      </c>
      <c r="S87" s="32">
        <f>SUM('Financing Baseline'!BG49:BG516)</f>
        <v>323.04589201193249</v>
      </c>
      <c r="T87" s="32">
        <f>SUM('Financing Baseline'!BH49:BH516)</f>
        <v>266.77052817506728</v>
      </c>
      <c r="U87" s="32">
        <f>SUM('Financing Baseline'!BI49:BI516)</f>
        <v>190.26579508538987</v>
      </c>
      <c r="V87" s="32">
        <f>SUM('Financing Baseline'!BJ49:BJ516)</f>
        <v>177.24459508538982</v>
      </c>
      <c r="W87" s="32">
        <f>SUM('Financing Baseline'!BK49:BK516)</f>
        <v>174.83495813906848</v>
      </c>
      <c r="X87" s="32">
        <f>SUM('Financing Baseline'!BL49:BL516)</f>
        <v>140.5546329706028</v>
      </c>
      <c r="Y87" s="32">
        <f>SUM('Financing Baseline'!BM49:BM516)</f>
        <v>112.13649393458361</v>
      </c>
      <c r="Z87" s="32">
        <f>SUM('Financing Baseline'!BN49:BN516)</f>
        <v>97.92394980299818</v>
      </c>
      <c r="AA87" s="32">
        <f>SUM('Financing Baseline'!BO49:BO516)</f>
        <v>97.92394980299818</v>
      </c>
      <c r="AB87" s="32">
        <f>SUM('Financing Baseline'!BP49:BP516)</f>
        <v>73.091317773062258</v>
      </c>
      <c r="AC87" s="32">
        <f>SUM('Financing Baseline'!BQ49:BQ516)</f>
        <v>72.271353054749156</v>
      </c>
      <c r="AD87" s="32">
        <f>SUM('Financing Baseline'!BR49:BR516)</f>
        <v>55.520831104767623</v>
      </c>
      <c r="AE87" s="32">
        <f>SUM('Financing Baseline'!BS49:BS516)</f>
        <v>55.520831104767623</v>
      </c>
      <c r="AF87" s="32">
        <f>SUM('Financing Baseline'!BT49:BT516)</f>
        <v>52.537791491737487</v>
      </c>
      <c r="AG87" s="32">
        <f>SUM('Financing Baseline'!BU49:BU516)</f>
        <v>50.157237597643373</v>
      </c>
      <c r="AH87" s="32">
        <f>SUM('Financing Baseline'!BV49:BV516)</f>
        <v>50.157237597643373</v>
      </c>
      <c r="AI87" s="32">
        <f>SUM('Financing Baseline'!BW49:BW516)</f>
        <v>50.157237597643373</v>
      </c>
      <c r="AJ87" s="32">
        <f>SUM('Financing Baseline'!BX49:BX516)</f>
        <v>50.157237597643373</v>
      </c>
      <c r="AK87" s="32">
        <f>SUM('Financing Baseline'!BY49:BY516)</f>
        <v>50.157237597643373</v>
      </c>
      <c r="AL87" s="32">
        <f>SUM('Financing Baseline'!BZ49:BZ516)</f>
        <v>47.293694681997195</v>
      </c>
      <c r="AM87" s="32">
        <f>SUM('Financing Baseline'!CA49:CA516)</f>
        <v>43.882962886230558</v>
      </c>
      <c r="AN87" s="32">
        <f>SUM('Financing Baseline'!CB49:CB516)</f>
        <v>26.095440445216969</v>
      </c>
      <c r="AO87" s="32">
        <f>SUM('Financing Baseline'!CC49:CC516)</f>
        <v>26.095440445216969</v>
      </c>
      <c r="AP87" s="32">
        <f>SUM('Financing Baseline'!CD49:CD516)</f>
        <v>19.162200005639999</v>
      </c>
      <c r="AQ87" s="32">
        <f>SUM('Financing Baseline'!CE49:CE516)</f>
        <v>17.540400005639999</v>
      </c>
      <c r="AR87" s="32">
        <f>SUM('Financing Baseline'!CF49:CF516)</f>
        <v>17.540400005639999</v>
      </c>
      <c r="AS87" s="32">
        <f>SUM('Financing Baseline'!CG49:CG516)</f>
        <v>17.540400005639999</v>
      </c>
      <c r="AT87" s="32">
        <f>SUM('Financing Baseline'!CH49:CH516)</f>
        <v>17.540400005639999</v>
      </c>
      <c r="AU87" s="32">
        <f>SUM('Financing Baseline'!CI49:CI516)</f>
        <v>17.540400005639999</v>
      </c>
    </row>
    <row r="88" spans="1:56" ht="14.25" outlineLevel="1">
      <c r="A88" s="51" t="s">
        <v>331</v>
      </c>
      <c r="B88" s="524">
        <f ca="1">IFERROR(('Investment Needs'!C6/'Investment Needs'!C5)*B98,0)</f>
        <v>53.412293172852863</v>
      </c>
      <c r="C88" s="524">
        <f ca="1">IFERROR(('Investment Needs'!D6/'Investment Needs'!D5)*C98,0)</f>
        <v>93.588308995201331</v>
      </c>
      <c r="D88" s="524">
        <f ca="1">IFERROR(('Investment Needs'!E6/'Investment Needs'!E5)*D98,0)</f>
        <v>142.87245242581866</v>
      </c>
      <c r="E88" s="524">
        <f ca="1">IFERROR(('Investment Needs'!F6/'Investment Needs'!F5)*E98,0)</f>
        <v>186.6173663602587</v>
      </c>
      <c r="F88" s="524">
        <f ca="1">IFERROR(('Investment Needs'!G6/'Investment Needs'!G5)*F98,0)</f>
        <v>276.44759195372313</v>
      </c>
      <c r="G88" s="524">
        <f ca="1">IFERROR(('Investment Needs'!H6/'Investment Needs'!H5)*G98,0)</f>
        <v>329.94726859573848</v>
      </c>
      <c r="H88" s="524">
        <f ca="1">IFERROR(('Investment Needs'!I6/'Investment Needs'!I5)*H98,0)</f>
        <v>412.87365403522745</v>
      </c>
      <c r="I88" s="524">
        <f ca="1">IFERROR(('Investment Needs'!J6/'Investment Needs'!J5)*I98,0)</f>
        <v>481.69542234544213</v>
      </c>
      <c r="J88" s="524">
        <f ca="1">IFERROR(('Investment Needs'!K6/'Investment Needs'!K5)*J98,0)</f>
        <v>549.56755383121026</v>
      </c>
      <c r="K88" s="524">
        <f ca="1">IFERROR(('Investment Needs'!L6/'Investment Needs'!L5)*K98,0)</f>
        <v>639.41234620331204</v>
      </c>
      <c r="L88" s="524">
        <f ca="1">IFERROR(('Investment Needs'!M6/'Investment Needs'!M5)*L98,0)</f>
        <v>736.31870777053575</v>
      </c>
      <c r="M88" s="524">
        <f ca="1">IFERROR(('Investment Needs'!N6/'Investment Needs'!N5)*M98,0)</f>
        <v>841.81073844918569</v>
      </c>
      <c r="N88" s="524">
        <f ca="1">IFERROR(('Investment Needs'!O6/'Investment Needs'!O5)*N98,0)</f>
        <v>945.17907136921337</v>
      </c>
      <c r="O88" s="524">
        <f ca="1">IFERROR(('Investment Needs'!P6/'Investment Needs'!P5)*O98,0)</f>
        <v>1038.9873336837034</v>
      </c>
      <c r="P88" s="524">
        <f ca="1">IFERROR(('Investment Needs'!Q6/'Investment Needs'!Q5)*P98,0)</f>
        <v>1157.9220012724015</v>
      </c>
      <c r="Q88" s="524">
        <f ca="1">IFERROR(('Investment Needs'!R6/'Investment Needs'!R5)*Q98,0)</f>
        <v>1315.0449412406267</v>
      </c>
      <c r="R88" s="524">
        <f ca="1">IFERROR(('Investment Needs'!S6/'Investment Needs'!S5)*R98,0)</f>
        <v>1445.9913788858462</v>
      </c>
      <c r="S88" s="524">
        <f ca="1">IFERROR(('Investment Needs'!T6/'Investment Needs'!T5)*S98,0)</f>
        <v>1552.6372182706355</v>
      </c>
      <c r="T88" s="524">
        <f ca="1">IFERROR(('Investment Needs'!U6/'Investment Needs'!U5)*T98,0)</f>
        <v>1660.5964700849213</v>
      </c>
      <c r="U88" s="524">
        <f ca="1">IFERROR(('Investment Needs'!V6/'Investment Needs'!V5)*U98,0)</f>
        <v>1771.4275102644367</v>
      </c>
      <c r="V88" s="524">
        <f ca="1">IFERROR(('Investment Needs'!W6/'Investment Needs'!W5)*V98,0)</f>
        <v>1897.2819259313665</v>
      </c>
      <c r="W88" s="524">
        <f ca="1">IFERROR(('Investment Needs'!X6/'Investment Needs'!X5)*W98,0)</f>
        <v>2046.4432562732031</v>
      </c>
      <c r="X88" s="524">
        <f ca="1">IFERROR(('Investment Needs'!Y6/'Investment Needs'!Y5)*X98,0)</f>
        <v>2194.5228627330348</v>
      </c>
      <c r="Y88" s="524">
        <f ca="1">IFERROR(('Investment Needs'!Z6/'Investment Needs'!Z5)*Y98,0)</f>
        <v>2333.1671830449113</v>
      </c>
      <c r="Z88" s="524">
        <f ca="1">IFERROR(('Investment Needs'!AA6/'Investment Needs'!AA5)*Z98,0)</f>
        <v>2480.8009775264659</v>
      </c>
      <c r="AA88" s="524">
        <f ca="1">IFERROR(('Investment Needs'!AB6/'Investment Needs'!AB5)*AA98,0)</f>
        <v>2642.1387631779498</v>
      </c>
      <c r="AB88" s="524">
        <f ca="1">IFERROR(('Investment Needs'!AC6/'Investment Needs'!AC5)*AB98,0)</f>
        <v>2799.0341640381657</v>
      </c>
      <c r="AC88" s="524">
        <f ca="1">IFERROR(('Investment Needs'!AD6/'Investment Needs'!AD5)*AC98,0)</f>
        <v>2920.8383114373219</v>
      </c>
      <c r="AD88" s="524">
        <f ca="1">IFERROR(('Investment Needs'!AE6/'Investment Needs'!AE5)*AD98,0)</f>
        <v>3037.3599244491875</v>
      </c>
      <c r="AE88" s="524">
        <f ca="1">IFERROR(('Investment Needs'!AF6/'Investment Needs'!AF5)*AE98,0)</f>
        <v>3193.8579833659687</v>
      </c>
      <c r="AF88" s="524">
        <f ca="1">IFERROR(('Investment Needs'!AG6/'Investment Needs'!AG5)*AF98,0)</f>
        <v>3303.3982082515231</v>
      </c>
      <c r="AG88" s="524">
        <f ca="1">IFERROR(('Investment Needs'!AH6/'Investment Needs'!AH5)*AG98,0)</f>
        <v>3407.2714803073341</v>
      </c>
      <c r="AH88" s="524">
        <f ca="1">IFERROR(('Investment Needs'!AI6/'Investment Needs'!AI5)*AH98,0)</f>
        <v>3510.3072266875251</v>
      </c>
      <c r="AI88" s="524">
        <f ca="1">IFERROR(('Investment Needs'!AJ6/'Investment Needs'!AJ5)*AI98,0)</f>
        <v>3613.9737904513913</v>
      </c>
      <c r="AJ88" s="524">
        <f ca="1">IFERROR(('Investment Needs'!AK6/'Investment Needs'!AK5)*AJ98,0)</f>
        <v>3729.8343937886807</v>
      </c>
      <c r="AK88" s="524">
        <f ca="1">IFERROR(('Investment Needs'!AL6/'Investment Needs'!AL5)*AK98,0)</f>
        <v>3850.9255428189335</v>
      </c>
      <c r="AL88" s="524">
        <f ca="1">IFERROR(('Investment Needs'!AM6/'Investment Needs'!AM5)*AL98,0)</f>
        <v>3959.7503211826793</v>
      </c>
      <c r="AM88" s="524">
        <f ca="1">IFERROR(('Investment Needs'!AN6/'Investment Needs'!AN5)*AM98,0)</f>
        <v>4067.631978717819</v>
      </c>
      <c r="AN88" s="524">
        <f ca="1">IFERROR(('Investment Needs'!AO6/'Investment Needs'!AO5)*AN98,0)</f>
        <v>4140.685866536176</v>
      </c>
      <c r="AO88" s="524">
        <f ca="1">IFERROR(('Investment Needs'!AP6/'Investment Needs'!AP5)*AO98,0)</f>
        <v>4240.6032384029531</v>
      </c>
      <c r="AP88" s="524">
        <f ca="1">IFERROR(('Investment Needs'!AQ6/'Investment Needs'!AQ5)*AP98,0)</f>
        <v>4370.5690585184366</v>
      </c>
      <c r="AQ88" s="524">
        <f ca="1">IFERROR(('Investment Needs'!AR6/'Investment Needs'!AR5)*AQ98,0)</f>
        <v>4459.6666381423465</v>
      </c>
      <c r="AR88" s="524">
        <f ca="1">IFERROR(('Investment Needs'!AS6/'Investment Needs'!AS5)*AR98,0)</f>
        <v>4511.2041859170704</v>
      </c>
      <c r="AS88" s="524">
        <f ca="1">IFERROR(('Investment Needs'!AT6/'Investment Needs'!AT5)*AS98,0)</f>
        <v>4558.9292308644544</v>
      </c>
      <c r="AT88" s="524">
        <f ca="1">IFERROR(('Investment Needs'!AU6/'Investment Needs'!AU5)*AT98,0)</f>
        <v>4641.8298068451868</v>
      </c>
      <c r="AU88" s="524">
        <f ca="1">IFERROR(('Investment Needs'!AV6/'Investment Needs'!AV5)*AU98,0)</f>
        <v>4736.2944359635412</v>
      </c>
    </row>
    <row r="89" spans="1:56" ht="14.25" outlineLevel="1">
      <c r="A89" s="51" t="s">
        <v>332</v>
      </c>
      <c r="B89" s="32">
        <f ca="1">B98-B88</f>
        <v>0</v>
      </c>
      <c r="C89" s="32">
        <f t="shared" ref="C89:AU89" ca="1" si="22">C98-C88</f>
        <v>0</v>
      </c>
      <c r="D89" s="32">
        <f t="shared" ca="1" si="22"/>
        <v>0</v>
      </c>
      <c r="E89" s="32">
        <f t="shared" ca="1" si="22"/>
        <v>0</v>
      </c>
      <c r="F89" s="32">
        <f t="shared" ca="1" si="22"/>
        <v>0</v>
      </c>
      <c r="G89" s="32">
        <f t="shared" ca="1" si="22"/>
        <v>0</v>
      </c>
      <c r="H89" s="32">
        <f t="shared" ca="1" si="22"/>
        <v>0</v>
      </c>
      <c r="I89" s="32">
        <f t="shared" ca="1" si="22"/>
        <v>0</v>
      </c>
      <c r="J89" s="32">
        <f t="shared" ca="1" si="22"/>
        <v>0</v>
      </c>
      <c r="K89" s="32">
        <f t="shared" ca="1" si="22"/>
        <v>0</v>
      </c>
      <c r="L89" s="32">
        <f t="shared" ca="1" si="22"/>
        <v>0</v>
      </c>
      <c r="M89" s="32">
        <f t="shared" ca="1" si="22"/>
        <v>0</v>
      </c>
      <c r="N89" s="32">
        <f t="shared" ca="1" si="22"/>
        <v>0</v>
      </c>
      <c r="O89" s="32">
        <f t="shared" ca="1" si="22"/>
        <v>0</v>
      </c>
      <c r="P89" s="32">
        <f t="shared" ca="1" si="22"/>
        <v>0</v>
      </c>
      <c r="Q89" s="32">
        <f t="shared" ca="1" si="22"/>
        <v>0</v>
      </c>
      <c r="R89" s="32">
        <f t="shared" ca="1" si="22"/>
        <v>0</v>
      </c>
      <c r="S89" s="32">
        <f t="shared" ca="1" si="22"/>
        <v>0</v>
      </c>
      <c r="T89" s="32">
        <f t="shared" ca="1" si="22"/>
        <v>0</v>
      </c>
      <c r="U89" s="32">
        <f t="shared" ca="1" si="22"/>
        <v>0</v>
      </c>
      <c r="V89" s="32">
        <f t="shared" ca="1" si="22"/>
        <v>0</v>
      </c>
      <c r="W89" s="32">
        <f t="shared" ca="1" si="22"/>
        <v>0</v>
      </c>
      <c r="X89" s="32">
        <f t="shared" ca="1" si="22"/>
        <v>0</v>
      </c>
      <c r="Y89" s="32">
        <f t="shared" ca="1" si="22"/>
        <v>0</v>
      </c>
      <c r="Z89" s="32">
        <f t="shared" ca="1" si="22"/>
        <v>0</v>
      </c>
      <c r="AA89" s="32">
        <f t="shared" ca="1" si="22"/>
        <v>0</v>
      </c>
      <c r="AB89" s="32">
        <f t="shared" ca="1" si="22"/>
        <v>0</v>
      </c>
      <c r="AC89" s="32">
        <f t="shared" ca="1" si="22"/>
        <v>0</v>
      </c>
      <c r="AD89" s="32">
        <f t="shared" ca="1" si="22"/>
        <v>0</v>
      </c>
      <c r="AE89" s="32">
        <f t="shared" ca="1" si="22"/>
        <v>0</v>
      </c>
      <c r="AF89" s="32">
        <f t="shared" ca="1" si="22"/>
        <v>0</v>
      </c>
      <c r="AG89" s="32">
        <f t="shared" ca="1" si="22"/>
        <v>0</v>
      </c>
      <c r="AH89" s="32">
        <f t="shared" ca="1" si="22"/>
        <v>0</v>
      </c>
      <c r="AI89" s="32">
        <f t="shared" ca="1" si="22"/>
        <v>0</v>
      </c>
      <c r="AJ89" s="32">
        <f t="shared" ca="1" si="22"/>
        <v>0</v>
      </c>
      <c r="AK89" s="32">
        <f t="shared" ca="1" si="22"/>
        <v>0</v>
      </c>
      <c r="AL89" s="32">
        <f t="shared" ca="1" si="22"/>
        <v>0</v>
      </c>
      <c r="AM89" s="32">
        <f t="shared" ca="1" si="22"/>
        <v>0</v>
      </c>
      <c r="AN89" s="32">
        <f t="shared" ca="1" si="22"/>
        <v>0</v>
      </c>
      <c r="AO89" s="32">
        <f t="shared" ca="1" si="22"/>
        <v>0</v>
      </c>
      <c r="AP89" s="32">
        <f t="shared" ca="1" si="22"/>
        <v>0</v>
      </c>
      <c r="AQ89" s="32">
        <f t="shared" ca="1" si="22"/>
        <v>0</v>
      </c>
      <c r="AR89" s="32">
        <f t="shared" ca="1" si="22"/>
        <v>0</v>
      </c>
      <c r="AS89" s="32">
        <f t="shared" ca="1" si="22"/>
        <v>0</v>
      </c>
      <c r="AT89" s="32">
        <f t="shared" ca="1" si="22"/>
        <v>0</v>
      </c>
      <c r="AU89" s="32">
        <f t="shared" ca="1" si="22"/>
        <v>0</v>
      </c>
    </row>
    <row r="90" spans="1:56" ht="14.25" outlineLevel="1">
      <c r="A90" s="52" t="str">
        <f>"Capital Injection Repayment  (Million "&amp;$B$6&amp;")"</f>
        <v>Capital Injection Repayment  (Million USD)</v>
      </c>
      <c r="B90" s="50">
        <f t="shared" ref="B90:AU90" ca="1" si="23">IF(AND(B64&gt;=$C$48,B64&lt;($C$48+$C$36),OR($C$51="Loan",$C$51="Equity")),((($C$50/($C$36-($C$35-1)))+($C$50*$C$34*(1+$C$34)^$C$36))),0)</f>
        <v>0</v>
      </c>
      <c r="C90" s="50">
        <f t="shared" ca="1" si="23"/>
        <v>0</v>
      </c>
      <c r="D90" s="50">
        <f t="shared" ca="1" si="23"/>
        <v>0</v>
      </c>
      <c r="E90" s="50">
        <f t="shared" ca="1" si="23"/>
        <v>0</v>
      </c>
      <c r="F90" s="50">
        <f t="shared" ca="1" si="23"/>
        <v>0</v>
      </c>
      <c r="G90" s="50">
        <f t="shared" ca="1" si="23"/>
        <v>0</v>
      </c>
      <c r="H90" s="50">
        <f t="shared" ca="1" si="23"/>
        <v>0</v>
      </c>
      <c r="I90" s="50">
        <f t="shared" ca="1" si="23"/>
        <v>0</v>
      </c>
      <c r="J90" s="50">
        <f t="shared" ca="1" si="23"/>
        <v>0</v>
      </c>
      <c r="K90" s="50">
        <f t="shared" ca="1" si="23"/>
        <v>0</v>
      </c>
      <c r="L90" s="50">
        <f t="shared" ca="1" si="23"/>
        <v>0</v>
      </c>
      <c r="M90" s="50">
        <f t="shared" ca="1" si="23"/>
        <v>0</v>
      </c>
      <c r="N90" s="50">
        <f t="shared" ca="1" si="23"/>
        <v>0</v>
      </c>
      <c r="O90" s="50">
        <f t="shared" ca="1" si="23"/>
        <v>0</v>
      </c>
      <c r="P90" s="50">
        <f t="shared" ca="1" si="23"/>
        <v>0</v>
      </c>
      <c r="Q90" s="50">
        <f t="shared" ca="1" si="23"/>
        <v>0</v>
      </c>
      <c r="R90" s="50">
        <f t="shared" ca="1" si="23"/>
        <v>0</v>
      </c>
      <c r="S90" s="50">
        <f t="shared" ca="1" si="23"/>
        <v>0</v>
      </c>
      <c r="T90" s="50">
        <f t="shared" ca="1" si="23"/>
        <v>0</v>
      </c>
      <c r="U90" s="50">
        <f t="shared" ca="1" si="23"/>
        <v>0</v>
      </c>
      <c r="V90" s="50">
        <f t="shared" ca="1" si="23"/>
        <v>0</v>
      </c>
      <c r="W90" s="50">
        <f t="shared" ca="1" si="23"/>
        <v>0</v>
      </c>
      <c r="X90" s="50">
        <f t="shared" ca="1" si="23"/>
        <v>0</v>
      </c>
      <c r="Y90" s="50">
        <f t="shared" ca="1" si="23"/>
        <v>0</v>
      </c>
      <c r="Z90" s="50">
        <f t="shared" ca="1" si="23"/>
        <v>0</v>
      </c>
      <c r="AA90" s="50">
        <f t="shared" ca="1" si="23"/>
        <v>0</v>
      </c>
      <c r="AB90" s="50">
        <f t="shared" ca="1" si="23"/>
        <v>0</v>
      </c>
      <c r="AC90" s="50">
        <f t="shared" ca="1" si="23"/>
        <v>0</v>
      </c>
      <c r="AD90" s="50">
        <f t="shared" ca="1" si="23"/>
        <v>0</v>
      </c>
      <c r="AE90" s="50">
        <f t="shared" ca="1" si="23"/>
        <v>0</v>
      </c>
      <c r="AF90" s="50">
        <f t="shared" ca="1" si="23"/>
        <v>0</v>
      </c>
      <c r="AG90" s="50">
        <f t="shared" ca="1" si="23"/>
        <v>0</v>
      </c>
      <c r="AH90" s="50">
        <f t="shared" ca="1" si="23"/>
        <v>0</v>
      </c>
      <c r="AI90" s="50">
        <f t="shared" ca="1" si="23"/>
        <v>0</v>
      </c>
      <c r="AJ90" s="50">
        <f t="shared" ca="1" si="23"/>
        <v>0</v>
      </c>
      <c r="AK90" s="50">
        <f t="shared" ca="1" si="23"/>
        <v>0</v>
      </c>
      <c r="AL90" s="50">
        <f t="shared" ca="1" si="23"/>
        <v>0</v>
      </c>
      <c r="AM90" s="50">
        <f t="shared" ca="1" si="23"/>
        <v>0</v>
      </c>
      <c r="AN90" s="50">
        <f t="shared" ca="1" si="23"/>
        <v>0</v>
      </c>
      <c r="AO90" s="50">
        <f t="shared" ca="1" si="23"/>
        <v>0</v>
      </c>
      <c r="AP90" s="50">
        <f t="shared" ca="1" si="23"/>
        <v>0</v>
      </c>
      <c r="AQ90" s="50">
        <f t="shared" ca="1" si="23"/>
        <v>0</v>
      </c>
      <c r="AR90" s="50">
        <f t="shared" ca="1" si="23"/>
        <v>0</v>
      </c>
      <c r="AS90" s="50">
        <f t="shared" ca="1" si="23"/>
        <v>0</v>
      </c>
      <c r="AT90" s="50">
        <f t="shared" ca="1" si="23"/>
        <v>0</v>
      </c>
      <c r="AU90" s="50">
        <f t="shared" ca="1" si="23"/>
        <v>0</v>
      </c>
    </row>
    <row r="91" spans="1:56" ht="14.25" outlineLevel="1">
      <c r="A91" s="383"/>
      <c r="B91" s="384"/>
      <c r="C91" s="384"/>
      <c r="D91" s="384"/>
      <c r="E91" s="384"/>
      <c r="F91" s="384"/>
      <c r="G91" s="384"/>
      <c r="H91" s="384"/>
      <c r="I91" s="384"/>
      <c r="J91" s="384"/>
      <c r="K91" s="384"/>
      <c r="L91" s="384"/>
      <c r="M91" s="384"/>
      <c r="N91" s="384"/>
      <c r="O91" s="384"/>
      <c r="P91" s="384"/>
      <c r="Q91" s="384"/>
      <c r="R91" s="384"/>
      <c r="S91" s="384"/>
      <c r="T91" s="384"/>
      <c r="U91" s="384"/>
      <c r="V91" s="384"/>
      <c r="W91" s="384"/>
      <c r="X91" s="384"/>
      <c r="Y91" s="384"/>
      <c r="Z91" s="384"/>
      <c r="AA91" s="384"/>
      <c r="AB91" s="384"/>
      <c r="AC91" s="384"/>
      <c r="AD91" s="384"/>
      <c r="AE91" s="384"/>
      <c r="AF91" s="384"/>
      <c r="AG91" s="384"/>
      <c r="AH91" s="384"/>
      <c r="AI91" s="384"/>
      <c r="AJ91" s="384"/>
      <c r="AK91" s="384"/>
      <c r="AL91" s="384"/>
      <c r="AM91" s="384"/>
      <c r="AN91" s="384"/>
      <c r="AO91" s="384"/>
      <c r="AP91" s="384"/>
      <c r="AQ91" s="384"/>
      <c r="AR91" s="384"/>
      <c r="AS91" s="384"/>
      <c r="AT91" s="384"/>
      <c r="AU91" s="384"/>
    </row>
    <row r="92" spans="1:56" ht="21" outlineLevel="1">
      <c r="A92" s="330" t="str">
        <f>"Total Debt Stock  (Million "&amp;$B$6&amp;")"</f>
        <v>Total Debt Stock  (Million USD)</v>
      </c>
      <c r="B92" s="32">
        <f t="shared" ref="B92:AU92" ca="1" si="24">SUM(B93:B96)</f>
        <v>679.5299554765777</v>
      </c>
      <c r="C92" s="32">
        <f t="shared" ca="1" si="24"/>
        <v>1391.8408562445541</v>
      </c>
      <c r="D92" s="32">
        <f t="shared" ca="1" si="24"/>
        <v>2103.8506738861338</v>
      </c>
      <c r="E92" s="32">
        <f t="shared" ca="1" si="24"/>
        <v>2727.7001689696399</v>
      </c>
      <c r="F92" s="32">
        <f t="shared" ca="1" si="24"/>
        <v>4031.7044855927566</v>
      </c>
      <c r="G92" s="32">
        <f t="shared" ca="1" si="24"/>
        <v>4798.4063442259758</v>
      </c>
      <c r="H92" s="32">
        <f t="shared" ca="1" si="24"/>
        <v>5647.8944275159392</v>
      </c>
      <c r="I92" s="32">
        <f t="shared" ca="1" si="24"/>
        <v>6223.8379575529625</v>
      </c>
      <c r="J92" s="32">
        <f t="shared" ca="1" si="24"/>
        <v>6743.672258641921</v>
      </c>
      <c r="K92" s="32">
        <f t="shared" ca="1" si="24"/>
        <v>7606.7751363732978</v>
      </c>
      <c r="L92" s="32">
        <f t="shared" ca="1" si="24"/>
        <v>8214.8109687562555</v>
      </c>
      <c r="M92" s="32">
        <f t="shared" ca="1" si="24"/>
        <v>9126.3233195089451</v>
      </c>
      <c r="N92" s="32">
        <f t="shared" ca="1" si="24"/>
        <v>9931.9578713906631</v>
      </c>
      <c r="O92" s="32">
        <f t="shared" ca="1" si="24"/>
        <v>10674.702712909619</v>
      </c>
      <c r="P92" s="32">
        <f t="shared" ca="1" si="24"/>
        <v>11777.70465588142</v>
      </c>
      <c r="Q92" s="32">
        <f t="shared" ca="1" si="24"/>
        <v>13253.112690326494</v>
      </c>
      <c r="R92" s="32">
        <f t="shared" ca="1" si="24"/>
        <v>14433.458961289987</v>
      </c>
      <c r="S92" s="32">
        <f t="shared" ca="1" si="24"/>
        <v>15041.59571745273</v>
      </c>
      <c r="T92" s="32">
        <f t="shared" ca="1" si="24"/>
        <v>15647.895065850644</v>
      </c>
      <c r="U92" s="32">
        <f t="shared" ca="1" si="24"/>
        <v>16290.836695574862</v>
      </c>
      <c r="V92" s="32">
        <f t="shared" ca="1" si="24"/>
        <v>16965.806560774326</v>
      </c>
      <c r="W92" s="32">
        <f t="shared" ca="1" si="24"/>
        <v>17655.361337727452</v>
      </c>
      <c r="X92" s="32">
        <f t="shared" ca="1" si="24"/>
        <v>18365.679751072064</v>
      </c>
      <c r="Y92" s="32">
        <f t="shared" ca="1" si="24"/>
        <v>19117.369704817938</v>
      </c>
      <c r="Z92" s="32">
        <f t="shared" ca="1" si="24"/>
        <v>19954.218965481297</v>
      </c>
      <c r="AA92" s="32">
        <f t="shared" ca="1" si="24"/>
        <v>20996.490204787318</v>
      </c>
      <c r="AB92" s="32">
        <f t="shared" ca="1" si="24"/>
        <v>21924.997528930329</v>
      </c>
      <c r="AC92" s="32">
        <f t="shared" ca="1" si="24"/>
        <v>22686.094127640783</v>
      </c>
      <c r="AD92" s="32">
        <f t="shared" ca="1" si="24"/>
        <v>23427.669712629984</v>
      </c>
      <c r="AE92" s="32">
        <f t="shared" ca="1" si="24"/>
        <v>24754.317387545969</v>
      </c>
      <c r="AF92" s="32">
        <f t="shared" ca="1" si="24"/>
        <v>25299.402578719961</v>
      </c>
      <c r="AG92" s="32">
        <f t="shared" ca="1" si="24"/>
        <v>25979.45186979873</v>
      </c>
      <c r="AH92" s="32">
        <f t="shared" ca="1" si="24"/>
        <v>26404.295745141269</v>
      </c>
      <c r="AI92" s="32">
        <f t="shared" ca="1" si="24"/>
        <v>26744.947613680222</v>
      </c>
      <c r="AJ92" s="32">
        <f t="shared" ca="1" si="24"/>
        <v>27386.416123741263</v>
      </c>
      <c r="AK92" s="32">
        <f t="shared" ca="1" si="24"/>
        <v>27707.006870123863</v>
      </c>
      <c r="AL92" s="32">
        <f t="shared" ca="1" si="24"/>
        <v>28355.073900428848</v>
      </c>
      <c r="AM92" s="32">
        <f t="shared" ca="1" si="24"/>
        <v>28856.560085852354</v>
      </c>
      <c r="AN92" s="32">
        <f t="shared" ca="1" si="24"/>
        <v>29300.838402682235</v>
      </c>
      <c r="AO92" s="32">
        <f t="shared" ca="1" si="24"/>
        <v>30066.963594677833</v>
      </c>
      <c r="AP92" s="32">
        <f t="shared" ca="1" si="24"/>
        <v>31172.666955848079</v>
      </c>
      <c r="AQ92" s="32">
        <f t="shared" ca="1" si="24"/>
        <v>31952.601265063029</v>
      </c>
      <c r="AR92" s="32">
        <f t="shared" ca="1" si="24"/>
        <v>32231.840703806818</v>
      </c>
      <c r="AS92" s="32">
        <f t="shared" ca="1" si="24"/>
        <v>32484.522639261126</v>
      </c>
      <c r="AT92" s="32">
        <f t="shared" ca="1" si="24"/>
        <v>32877.324226193923</v>
      </c>
      <c r="AU92" s="32">
        <f t="shared" ca="1" si="24"/>
        <v>33352.184702707375</v>
      </c>
    </row>
    <row r="93" spans="1:56" ht="14.25" outlineLevel="1">
      <c r="A93" s="51" t="s">
        <v>333</v>
      </c>
      <c r="B93" s="381">
        <f>((0+(B$65*$C53*$C$9))*((1+$C$10)))-B102</f>
        <v>670.19402400208492</v>
      </c>
      <c r="C93" s="381">
        <f t="shared" ref="C93:AU93" si="25">((B93+(C$65*$C53*$C$9))*((1+$C$10)))-C102</f>
        <v>1372.7162006806432</v>
      </c>
      <c r="D93" s="381">
        <f t="shared" si="25"/>
        <v>2076.0358744255705</v>
      </c>
      <c r="E93" s="381">
        <f t="shared" si="25"/>
        <v>2693.9128017460712</v>
      </c>
      <c r="F93" s="381">
        <f t="shared" si="25"/>
        <v>3984.3036860534262</v>
      </c>
      <c r="G93" s="381">
        <f t="shared" si="25"/>
        <v>4746.4428434658912</v>
      </c>
      <c r="H93" s="381">
        <f t="shared" si="25"/>
        <v>5591.2525172628384</v>
      </c>
      <c r="I93" s="381">
        <f t="shared" si="25"/>
        <v>6166.7680843961862</v>
      </c>
      <c r="J93" s="381">
        <f t="shared" si="25"/>
        <v>6688.388699259528</v>
      </c>
      <c r="K93" s="381">
        <f t="shared" si="25"/>
        <v>7550.2174999788695</v>
      </c>
      <c r="L93" s="381">
        <f t="shared" si="25"/>
        <v>8160.3015940064188</v>
      </c>
      <c r="M93" s="381">
        <f t="shared" si="25"/>
        <v>9071.7836367837317</v>
      </c>
      <c r="N93" s="381">
        <f t="shared" si="25"/>
        <v>9881.5495257386865</v>
      </c>
      <c r="O93" s="381">
        <f t="shared" si="25"/>
        <v>10632.980938068598</v>
      </c>
      <c r="P93" s="381">
        <f t="shared" si="25"/>
        <v>11744.135761234707</v>
      </c>
      <c r="Q93" s="381">
        <f t="shared" si="25"/>
        <v>13225.032951014231</v>
      </c>
      <c r="R93" s="381">
        <f t="shared" si="25"/>
        <v>14415.118420521552</v>
      </c>
      <c r="S93" s="381">
        <f t="shared" si="25"/>
        <v>15041.298950630171</v>
      </c>
      <c r="T93" s="381">
        <f t="shared" si="25"/>
        <v>15665.909069831834</v>
      </c>
      <c r="U93" s="381">
        <f t="shared" si="25"/>
        <v>16325.639555630232</v>
      </c>
      <c r="V93" s="381">
        <f t="shared" si="25"/>
        <v>17011.731443512908</v>
      </c>
      <c r="W93" s="381">
        <f t="shared" si="25"/>
        <v>17708.560676846719</v>
      </c>
      <c r="X93" s="381">
        <f t="shared" si="25"/>
        <v>18422.689861011193</v>
      </c>
      <c r="Y93" s="381">
        <f t="shared" si="25"/>
        <v>19177.13821489723</v>
      </c>
      <c r="Z93" s="381">
        <f t="shared" si="25"/>
        <v>20014.82494565711</v>
      </c>
      <c r="AA93" s="381">
        <f t="shared" si="25"/>
        <v>21052.308720892248</v>
      </c>
      <c r="AB93" s="381">
        <f t="shared" si="25"/>
        <v>21975.33976387337</v>
      </c>
      <c r="AC93" s="381">
        <f t="shared" si="25"/>
        <v>22731.601585310313</v>
      </c>
      <c r="AD93" s="381">
        <f t="shared" si="25"/>
        <v>23468.733661563914</v>
      </c>
      <c r="AE93" s="381">
        <f t="shared" si="25"/>
        <v>24782.380639877163</v>
      </c>
      <c r="AF93" s="381">
        <f t="shared" si="25"/>
        <v>25321.320935145337</v>
      </c>
      <c r="AG93" s="381">
        <f t="shared" si="25"/>
        <v>25990.071589899842</v>
      </c>
      <c r="AH93" s="381">
        <f t="shared" si="25"/>
        <v>26403.593314472237</v>
      </c>
      <c r="AI93" s="381">
        <f t="shared" si="25"/>
        <v>26733.225976479385</v>
      </c>
      <c r="AJ93" s="381">
        <f t="shared" si="25"/>
        <v>27356.71406330464</v>
      </c>
      <c r="AK93" s="381">
        <f t="shared" si="25"/>
        <v>27658.19467526699</v>
      </c>
      <c r="AL93" s="381">
        <f t="shared" si="25"/>
        <v>28280.394332931915</v>
      </c>
      <c r="AM93" s="381">
        <f t="shared" si="25"/>
        <v>28753.923542493598</v>
      </c>
      <c r="AN93" s="381">
        <f t="shared" si="25"/>
        <v>29166.960816507602</v>
      </c>
      <c r="AO93" s="381">
        <f t="shared" si="25"/>
        <v>29893.304009435957</v>
      </c>
      <c r="AP93" s="381">
        <f t="shared" si="25"/>
        <v>30947.792187007399</v>
      </c>
      <c r="AQ93" s="381">
        <f t="shared" si="25"/>
        <v>31674.626830803336</v>
      </c>
      <c r="AR93" s="381">
        <f t="shared" si="25"/>
        <v>31902.921377652368</v>
      </c>
      <c r="AS93" s="381">
        <f t="shared" si="25"/>
        <v>32099.186610025274</v>
      </c>
      <c r="AT93" s="381">
        <f t="shared" si="25"/>
        <v>32422.983743596982</v>
      </c>
      <c r="AU93" s="381">
        <f t="shared" si="25"/>
        <v>32811.770868000254</v>
      </c>
    </row>
    <row r="94" spans="1:56" ht="14.25" outlineLevel="1">
      <c r="A94" s="51" t="str">
        <f>"Concessional Domestic Finance Debt Stock"</f>
        <v>Concessional Domestic Finance Debt Stock</v>
      </c>
      <c r="B94" s="381">
        <f ca="1">((0+(B$65*$C54*$C$15))*((1+$C$16)))-B103</f>
        <v>15.950276234372479</v>
      </c>
      <c r="C94" s="381">
        <f t="shared" ref="C94:AU94" ca="1" si="26">((B94+(C$65*$C54*$C$15))*((1+$C$16)))-C103</f>
        <v>32.669946338468655</v>
      </c>
      <c r="D94" s="381">
        <f t="shared" ca="1" si="26"/>
        <v>49.408628046029037</v>
      </c>
      <c r="E94" s="381">
        <f t="shared" ca="1" si="26"/>
        <v>64.113931089287931</v>
      </c>
      <c r="F94" s="381">
        <f t="shared" ca="1" si="26"/>
        <v>94.824115777479321</v>
      </c>
      <c r="G94" s="381">
        <f t="shared" ca="1" si="26"/>
        <v>112.96271928437474</v>
      </c>
      <c r="H94" s="381">
        <f t="shared" ca="1" si="26"/>
        <v>133.61001277794182</v>
      </c>
      <c r="I94" s="381">
        <f t="shared" ca="1" si="26"/>
        <v>148.40271343357699</v>
      </c>
      <c r="J94" s="381">
        <f t="shared" ca="1" si="26"/>
        <v>161.78105297019479</v>
      </c>
      <c r="K94" s="381">
        <f t="shared" ca="1" si="26"/>
        <v>183.00762660567185</v>
      </c>
      <c r="L94" s="381">
        <f t="shared" ca="1" si="26"/>
        <v>198.53710743319203</v>
      </c>
      <c r="M94" s="381">
        <f t="shared" ca="1" si="26"/>
        <v>221.16441073425554</v>
      </c>
      <c r="N94" s="381">
        <f t="shared" ca="1" si="26"/>
        <v>240.6949052398671</v>
      </c>
      <c r="O94" s="381">
        <f t="shared" ca="1" si="26"/>
        <v>258.49111778693384</v>
      </c>
      <c r="P94" s="381">
        <f t="shared" ca="1" si="26"/>
        <v>284.36885976298879</v>
      </c>
      <c r="Q94" s="381">
        <f t="shared" ca="1" si="26"/>
        <v>319.10480092530003</v>
      </c>
      <c r="R94" s="381">
        <f t="shared" ca="1" si="26"/>
        <v>346.82139759233661</v>
      </c>
      <c r="S94" s="381">
        <f t="shared" ca="1" si="26"/>
        <v>360.91203039200548</v>
      </c>
      <c r="T94" s="381">
        <f t="shared" ca="1" si="26"/>
        <v>374.89376299833901</v>
      </c>
      <c r="U94" s="381">
        <f t="shared" ca="1" si="26"/>
        <v>389.26076010119533</v>
      </c>
      <c r="V94" s="381">
        <f t="shared" ca="1" si="26"/>
        <v>404.17411638935641</v>
      </c>
      <c r="W94" s="381">
        <f t="shared" ca="1" si="26"/>
        <v>419.60155160302043</v>
      </c>
      <c r="X94" s="381">
        <f t="shared" ca="1" si="26"/>
        <v>435.49162948503545</v>
      </c>
      <c r="Y94" s="381">
        <f t="shared" ca="1" si="26"/>
        <v>452.3355976068114</v>
      </c>
      <c r="Z94" s="381">
        <f t="shared" ca="1" si="26"/>
        <v>471.52270047799647</v>
      </c>
      <c r="AA94" s="381">
        <f t="shared" ca="1" si="26"/>
        <v>496.38365654668178</v>
      </c>
      <c r="AB94" s="381">
        <f t="shared" ca="1" si="26"/>
        <v>519.81188196883136</v>
      </c>
      <c r="AC94" s="381">
        <f t="shared" ca="1" si="26"/>
        <v>540.30377748689341</v>
      </c>
      <c r="AD94" s="381">
        <f t="shared" ca="1" si="26"/>
        <v>560.55627002417737</v>
      </c>
      <c r="AE94" s="381">
        <f t="shared" ca="1" si="26"/>
        <v>594.67869394773834</v>
      </c>
      <c r="AF94" s="381">
        <f t="shared" ca="1" si="26"/>
        <v>610.32316149533517</v>
      </c>
      <c r="AG94" s="381">
        <f t="shared" ca="1" si="26"/>
        <v>628.63770310054906</v>
      </c>
      <c r="AH94" s="381">
        <f t="shared" ca="1" si="26"/>
        <v>640.85764834106544</v>
      </c>
      <c r="AI94" s="381">
        <f t="shared" ca="1" si="26"/>
        <v>650.73763816722737</v>
      </c>
      <c r="AJ94" s="381">
        <f t="shared" ca="1" si="26"/>
        <v>667.88608907023092</v>
      </c>
      <c r="AK94" s="381">
        <f t="shared" ca="1" si="26"/>
        <v>678.29972948414536</v>
      </c>
      <c r="AL94" s="381">
        <f t="shared" ca="1" si="26"/>
        <v>696.49237658060906</v>
      </c>
      <c r="AM94" s="381">
        <f t="shared" ca="1" si="26"/>
        <v>711.60850141643709</v>
      </c>
      <c r="AN94" s="381">
        <f t="shared" ca="1" si="26"/>
        <v>726.36338158882745</v>
      </c>
      <c r="AO94" s="381">
        <f t="shared" ca="1" si="26"/>
        <v>748.81246601854957</v>
      </c>
      <c r="AP94" s="381">
        <f t="shared" ca="1" si="26"/>
        <v>779.30906582386308</v>
      </c>
      <c r="AQ94" s="381">
        <f t="shared" ca="1" si="26"/>
        <v>801.78407133666803</v>
      </c>
      <c r="AR94" s="381">
        <f t="shared" ca="1" si="26"/>
        <v>811.68574684454416</v>
      </c>
      <c r="AS94" s="381">
        <f t="shared" ca="1" si="26"/>
        <v>820.53759331632432</v>
      </c>
      <c r="AT94" s="381">
        <f t="shared" ca="1" si="26"/>
        <v>832.52611285647311</v>
      </c>
      <c r="AU94" s="381">
        <f t="shared" ca="1" si="26"/>
        <v>846.84489831030362</v>
      </c>
    </row>
    <row r="95" spans="1:56" ht="14.25" outlineLevel="1">
      <c r="A95" s="51" t="str">
        <f>"Commercial International Finance Debt Stock"</f>
        <v>Commercial International Finance Debt Stock</v>
      </c>
      <c r="B95" s="381">
        <f ca="1">((0+(B$65*$C55*$C$21))*((1+$C$22)))-B104</f>
        <v>37.505260298682131</v>
      </c>
      <c r="C95" s="381">
        <f t="shared" ref="C95:AU95" ca="1" si="27">((B95+(C$65*$C55*$C$21))*((1+$C$22)))-C104</f>
        <v>76.821519735972743</v>
      </c>
      <c r="D95" s="381">
        <f t="shared" ca="1" si="27"/>
        <v>115.0717379647446</v>
      </c>
      <c r="E95" s="381">
        <f t="shared" ca="1" si="27"/>
        <v>147.01125790163502</v>
      </c>
      <c r="F95" s="381">
        <f t="shared" ca="1" si="27"/>
        <v>214.86261771767215</v>
      </c>
      <c r="G95" s="381">
        <f t="shared" ca="1" si="27"/>
        <v>251.45420502496069</v>
      </c>
      <c r="H95" s="381">
        <f t="shared" ca="1" si="27"/>
        <v>290.95894829655629</v>
      </c>
      <c r="I95" s="381">
        <f t="shared" ca="1" si="27"/>
        <v>314.24864838401498</v>
      </c>
      <c r="J95" s="381">
        <f t="shared" ca="1" si="27"/>
        <v>333.17545885113515</v>
      </c>
      <c r="K95" s="381">
        <f t="shared" ca="1" si="27"/>
        <v>369.7383175648302</v>
      </c>
      <c r="L95" s="381">
        <f t="shared" ca="1" si="27"/>
        <v>392.00524382681658</v>
      </c>
      <c r="M95" s="381">
        <f t="shared" ca="1" si="27"/>
        <v>429.18093209940071</v>
      </c>
      <c r="N95" s="381">
        <f t="shared" ca="1" si="27"/>
        <v>458.71514209004874</v>
      </c>
      <c r="O95" s="381">
        <f t="shared" ca="1" si="27"/>
        <v>481.76076210748749</v>
      </c>
      <c r="P95" s="381">
        <f t="shared" ca="1" si="27"/>
        <v>521.15749750784596</v>
      </c>
      <c r="Q95" s="381">
        <f t="shared" ca="1" si="27"/>
        <v>578.87178718120867</v>
      </c>
      <c r="R95" s="381">
        <f t="shared" ca="1" si="27"/>
        <v>620.50537564019396</v>
      </c>
      <c r="S95" s="381">
        <f t="shared" ca="1" si="27"/>
        <v>630.6521027530639</v>
      </c>
      <c r="T95" s="381">
        <f t="shared" ca="1" si="27"/>
        <v>640.62797177070581</v>
      </c>
      <c r="U95" s="381">
        <f t="shared" ca="1" si="27"/>
        <v>653.81197028118322</v>
      </c>
      <c r="V95" s="381">
        <f t="shared" ca="1" si="27"/>
        <v>673.49973571296948</v>
      </c>
      <c r="W95" s="381">
        <f t="shared" ca="1" si="27"/>
        <v>696.85973932738591</v>
      </c>
      <c r="X95" s="381">
        <f t="shared" ca="1" si="27"/>
        <v>723.83285622106803</v>
      </c>
      <c r="Y95" s="381">
        <f t="shared" ca="1" si="27"/>
        <v>752.99708133199442</v>
      </c>
      <c r="Z95" s="381">
        <f t="shared" ca="1" si="27"/>
        <v>786.79605502576089</v>
      </c>
      <c r="AA95" s="381">
        <f t="shared" ca="1" si="27"/>
        <v>833.253250386947</v>
      </c>
      <c r="AB95" s="381">
        <f t="shared" ca="1" si="27"/>
        <v>873.98010805349236</v>
      </c>
      <c r="AC95" s="381">
        <f t="shared" ca="1" si="27"/>
        <v>905.71245449675746</v>
      </c>
      <c r="AD95" s="381">
        <f t="shared" ca="1" si="27"/>
        <v>935.66083924290706</v>
      </c>
      <c r="AE95" s="381">
        <f t="shared" ca="1" si="27"/>
        <v>997.80253885117554</v>
      </c>
      <c r="AF95" s="381">
        <f t="shared" ca="1" si="27"/>
        <v>1019.8710512691507</v>
      </c>
      <c r="AG95" s="381">
        <f t="shared" ca="1" si="27"/>
        <v>1052.4039628020466</v>
      </c>
      <c r="AH95" s="381">
        <f t="shared" ca="1" si="27"/>
        <v>1073.4099604741778</v>
      </c>
      <c r="AI95" s="381">
        <f t="shared" ca="1" si="27"/>
        <v>1089.5838270563843</v>
      </c>
      <c r="AJ95" s="381">
        <f t="shared" ca="1" si="27"/>
        <v>1123.0905536669409</v>
      </c>
      <c r="AK95" s="381">
        <f t="shared" ca="1" si="27"/>
        <v>1141.5840733978946</v>
      </c>
      <c r="AL95" s="381">
        <f t="shared" ca="1" si="27"/>
        <v>1178.8824639735144</v>
      </c>
      <c r="AM95" s="381">
        <f t="shared" ca="1" si="27"/>
        <v>1209.9799379429307</v>
      </c>
      <c r="AN95" s="381">
        <f t="shared" ca="1" si="27"/>
        <v>1238.9240552122392</v>
      </c>
      <c r="AO95" s="381">
        <f t="shared" ca="1" si="27"/>
        <v>1287.1968332503609</v>
      </c>
      <c r="AP95" s="381">
        <f t="shared" ca="1" si="27"/>
        <v>1357.8053504028446</v>
      </c>
      <c r="AQ95" s="381">
        <f t="shared" ca="1" si="27"/>
        <v>1413.7995091843372</v>
      </c>
      <c r="AR95" s="381">
        <f t="shared" ca="1" si="27"/>
        <v>1443.9646026928847</v>
      </c>
      <c r="AS95" s="381">
        <f t="shared" ca="1" si="27"/>
        <v>1474.3893931280209</v>
      </c>
      <c r="AT95" s="381">
        <f t="shared" ca="1" si="27"/>
        <v>1517.6329669874719</v>
      </c>
      <c r="AU95" s="381">
        <f t="shared" ca="1" si="27"/>
        <v>1574.1115324348862</v>
      </c>
    </row>
    <row r="96" spans="1:56" ht="14.25" outlineLevel="1">
      <c r="A96" s="51" t="str">
        <f>"Commercial Domestic Finance Debt Stock"</f>
        <v>Commercial Domestic Finance Debt Stock</v>
      </c>
      <c r="B96" s="381">
        <f ca="1">((0+(B$65*$C56*$C$27))*((1+$C$28)))-B105</f>
        <v>3.984834989100754</v>
      </c>
      <c r="C96" s="381">
        <f t="shared" ref="C96:AU96" ca="1" si="28">((B96+(C$65*$C56*$C$27))*((1+$C$28)))-C105</f>
        <v>8.1624837135131258</v>
      </c>
      <c r="D96" s="381">
        <f t="shared" ca="1" si="28"/>
        <v>12.345823706219711</v>
      </c>
      <c r="E96" s="381">
        <f t="shared" ca="1" si="28"/>
        <v>16.022850253232832</v>
      </c>
      <c r="F96" s="381">
        <f t="shared" ca="1" si="28"/>
        <v>23.694977441924074</v>
      </c>
      <c r="G96" s="381">
        <f t="shared" ca="1" si="28"/>
        <v>28.231463253696873</v>
      </c>
      <c r="H96" s="381">
        <f t="shared" ca="1" si="28"/>
        <v>33.395643615484467</v>
      </c>
      <c r="I96" s="381">
        <f t="shared" ca="1" si="28"/>
        <v>37.049921019962056</v>
      </c>
      <c r="J96" s="381">
        <f t="shared" ca="1" si="28"/>
        <v>40.398760641562681</v>
      </c>
      <c r="K96" s="381">
        <f t="shared" ca="1" si="28"/>
        <v>45.742792871008781</v>
      </c>
      <c r="L96" s="381">
        <f t="shared" ca="1" si="28"/>
        <v>49.68806059431148</v>
      </c>
      <c r="M96" s="381">
        <f t="shared" ca="1" si="28"/>
        <v>55.338719656530117</v>
      </c>
      <c r="N96" s="381">
        <f t="shared" ca="1" si="28"/>
        <v>60.265151971933221</v>
      </c>
      <c r="O96" s="381">
        <f t="shared" ca="1" si="28"/>
        <v>64.672155403741399</v>
      </c>
      <c r="P96" s="381">
        <f t="shared" ca="1" si="28"/>
        <v>71.000030885500593</v>
      </c>
      <c r="Q96" s="381">
        <f t="shared" ca="1" si="28"/>
        <v>79.354833459559345</v>
      </c>
      <c r="R96" s="381">
        <f t="shared" ca="1" si="28"/>
        <v>85.686078845231492</v>
      </c>
      <c r="S96" s="381">
        <f t="shared" ca="1" si="28"/>
        <v>88.350233501550179</v>
      </c>
      <c r="T96" s="381">
        <f t="shared" ca="1" si="28"/>
        <v>90.914430383944733</v>
      </c>
      <c r="U96" s="381">
        <f t="shared" ca="1" si="28"/>
        <v>93.927978555462289</v>
      </c>
      <c r="V96" s="381">
        <f t="shared" ca="1" si="28"/>
        <v>97.450373363105967</v>
      </c>
      <c r="W96" s="381">
        <f t="shared" ca="1" si="28"/>
        <v>101.40471058535866</v>
      </c>
      <c r="X96" s="381">
        <f t="shared" ca="1" si="28"/>
        <v>105.98871401910543</v>
      </c>
      <c r="Y96" s="381">
        <f t="shared" ca="1" si="28"/>
        <v>111.37407412360142</v>
      </c>
      <c r="Z96" s="381">
        <f t="shared" ca="1" si="28"/>
        <v>117.67707242582475</v>
      </c>
      <c r="AA96" s="381">
        <f t="shared" ca="1" si="28"/>
        <v>125.61373971168534</v>
      </c>
      <c r="AB96" s="381">
        <f t="shared" ca="1" si="28"/>
        <v>133.187231716225</v>
      </c>
      <c r="AC96" s="381">
        <f t="shared" ca="1" si="28"/>
        <v>140.07988555939872</v>
      </c>
      <c r="AD96" s="381">
        <f t="shared" ca="1" si="28"/>
        <v>147.23156200364929</v>
      </c>
      <c r="AE96" s="381">
        <f t="shared" ca="1" si="28"/>
        <v>158.25762445960646</v>
      </c>
      <c r="AF96" s="381">
        <f t="shared" ca="1" si="28"/>
        <v>165.37299652525547</v>
      </c>
      <c r="AG96" s="381">
        <f t="shared" ca="1" si="28"/>
        <v>173.82501920915274</v>
      </c>
      <c r="AH96" s="381">
        <f t="shared" ca="1" si="28"/>
        <v>181.6025287430104</v>
      </c>
      <c r="AI96" s="381">
        <f t="shared" ca="1" si="28"/>
        <v>190.22788486379241</v>
      </c>
      <c r="AJ96" s="381">
        <f t="shared" ca="1" si="28"/>
        <v>202.30516390617336</v>
      </c>
      <c r="AK96" s="381">
        <f t="shared" ca="1" si="28"/>
        <v>214.14747769263477</v>
      </c>
      <c r="AL96" s="381">
        <f t="shared" ca="1" si="28"/>
        <v>229.18336654783604</v>
      </c>
      <c r="AM96" s="381">
        <f t="shared" ca="1" si="28"/>
        <v>244.91519568900696</v>
      </c>
      <c r="AN96" s="381">
        <f t="shared" ca="1" si="28"/>
        <v>262.10377038705127</v>
      </c>
      <c r="AO96" s="381">
        <f t="shared" ca="1" si="28"/>
        <v>283.298559530207</v>
      </c>
      <c r="AP96" s="381">
        <f t="shared" ca="1" si="28"/>
        <v>309.09650386377371</v>
      </c>
      <c r="AQ96" s="381">
        <f t="shared" ca="1" si="28"/>
        <v>335.89693234512578</v>
      </c>
      <c r="AR96" s="381">
        <f t="shared" ca="1" si="28"/>
        <v>363.16132688330231</v>
      </c>
      <c r="AS96" s="381">
        <f t="shared" ca="1" si="28"/>
        <v>394.38870026436422</v>
      </c>
      <c r="AT96" s="381">
        <f t="shared" ca="1" si="28"/>
        <v>431.40221016403797</v>
      </c>
      <c r="AU96" s="381">
        <f t="shared" ca="1" si="28"/>
        <v>474.58414047314278</v>
      </c>
    </row>
    <row r="97" spans="1:49" ht="14.25">
      <c r="A97" s="340"/>
      <c r="B97" s="441"/>
      <c r="C97" s="340"/>
      <c r="D97" s="340"/>
      <c r="E97" s="340"/>
      <c r="F97" s="340"/>
      <c r="G97" s="340"/>
      <c r="H97" s="340"/>
      <c r="I97" s="340"/>
      <c r="J97" s="340"/>
      <c r="K97" s="340"/>
      <c r="L97" s="340"/>
      <c r="M97" s="340"/>
      <c r="N97" s="340"/>
      <c r="O97" s="340"/>
      <c r="P97" s="340"/>
      <c r="Q97" s="340"/>
      <c r="R97" s="340"/>
      <c r="S97" s="340"/>
      <c r="T97" s="340"/>
      <c r="U97" s="340"/>
      <c r="V97" s="340"/>
      <c r="W97" s="340"/>
      <c r="X97" s="340"/>
      <c r="Y97" s="340"/>
      <c r="Z97" s="340"/>
      <c r="AA97" s="340"/>
      <c r="AB97" s="340"/>
      <c r="AC97" s="340"/>
      <c r="AD97" s="340"/>
      <c r="AE97" s="340"/>
      <c r="AF97" s="340"/>
      <c r="AG97" s="340"/>
      <c r="AH97" s="340"/>
      <c r="AI97" s="340"/>
      <c r="AJ97" s="340"/>
      <c r="AK97" s="340"/>
      <c r="AL97" s="340"/>
      <c r="AM97" s="340"/>
      <c r="AN97" s="340"/>
      <c r="AO97" s="340"/>
      <c r="AP97" s="340"/>
      <c r="AQ97" s="340"/>
      <c r="AR97" s="340"/>
      <c r="AS97" s="340"/>
      <c r="AT97" s="340"/>
      <c r="AU97" s="340"/>
    </row>
    <row r="98" spans="1:49" s="41" customFormat="1" ht="22.05" customHeight="1">
      <c r="A98" s="331" t="str">
        <f>'OSeMOSYS (Input)'!$C$4&amp;" Financing Requirements"</f>
        <v>NetZero Financing Requirements</v>
      </c>
      <c r="B98" s="333">
        <f ca="1">SUM(B102:B109)+B100</f>
        <v>53.412293172852863</v>
      </c>
      <c r="C98" s="333">
        <f t="shared" ref="C98:AT98" ca="1" si="29">SUM(C102:C109)+C100</f>
        <v>93.588308995201331</v>
      </c>
      <c r="D98" s="333">
        <f t="shared" ca="1" si="29"/>
        <v>142.87245242581866</v>
      </c>
      <c r="E98" s="333">
        <f t="shared" ca="1" si="29"/>
        <v>186.6173663602587</v>
      </c>
      <c r="F98" s="333">
        <f t="shared" ca="1" si="29"/>
        <v>276.44759195372313</v>
      </c>
      <c r="G98" s="333">
        <f t="shared" ca="1" si="29"/>
        <v>329.94726859573848</v>
      </c>
      <c r="H98" s="333">
        <f t="shared" ca="1" si="29"/>
        <v>412.87365403522745</v>
      </c>
      <c r="I98" s="333">
        <f t="shared" ca="1" si="29"/>
        <v>481.69542234544213</v>
      </c>
      <c r="J98" s="333">
        <f t="shared" ca="1" si="29"/>
        <v>549.56755383121026</v>
      </c>
      <c r="K98" s="333">
        <f t="shared" ca="1" si="29"/>
        <v>639.41234620331204</v>
      </c>
      <c r="L98" s="333">
        <f t="shared" ca="1" si="29"/>
        <v>736.31870777053575</v>
      </c>
      <c r="M98" s="333">
        <f t="shared" ca="1" si="29"/>
        <v>841.81073844918569</v>
      </c>
      <c r="N98" s="333">
        <f t="shared" ca="1" si="29"/>
        <v>945.17907136921337</v>
      </c>
      <c r="O98" s="333">
        <f t="shared" ca="1" si="29"/>
        <v>1038.9873336837034</v>
      </c>
      <c r="P98" s="333">
        <f t="shared" ca="1" si="29"/>
        <v>1157.9220012724015</v>
      </c>
      <c r="Q98" s="333">
        <f t="shared" ca="1" si="29"/>
        <v>1315.0449412406267</v>
      </c>
      <c r="R98" s="333">
        <f t="shared" ca="1" si="29"/>
        <v>1445.9913788858462</v>
      </c>
      <c r="S98" s="333">
        <f t="shared" ca="1" si="29"/>
        <v>1552.6372182706355</v>
      </c>
      <c r="T98" s="333">
        <f t="shared" ca="1" si="29"/>
        <v>1660.5964700849213</v>
      </c>
      <c r="U98" s="333">
        <f t="shared" ca="1" si="29"/>
        <v>1771.4275102644367</v>
      </c>
      <c r="V98" s="333">
        <f t="shared" ca="1" si="29"/>
        <v>1897.2819259313665</v>
      </c>
      <c r="W98" s="333">
        <f t="shared" ca="1" si="29"/>
        <v>2046.4432562732031</v>
      </c>
      <c r="X98" s="333">
        <f t="shared" ca="1" si="29"/>
        <v>2194.5228627330348</v>
      </c>
      <c r="Y98" s="333">
        <f t="shared" ca="1" si="29"/>
        <v>2333.1671830449113</v>
      </c>
      <c r="Z98" s="333">
        <f t="shared" ca="1" si="29"/>
        <v>2480.8009775264659</v>
      </c>
      <c r="AA98" s="333">
        <f t="shared" ca="1" si="29"/>
        <v>2642.1387631779498</v>
      </c>
      <c r="AB98" s="333">
        <f t="shared" ca="1" si="29"/>
        <v>2799.0341640381657</v>
      </c>
      <c r="AC98" s="333">
        <f t="shared" ca="1" si="29"/>
        <v>2920.8383114373219</v>
      </c>
      <c r="AD98" s="333">
        <f t="shared" ca="1" si="29"/>
        <v>3037.3599244491875</v>
      </c>
      <c r="AE98" s="333">
        <f t="shared" ca="1" si="29"/>
        <v>3193.8579833659687</v>
      </c>
      <c r="AF98" s="333">
        <f t="shared" ca="1" si="29"/>
        <v>3303.3982082515231</v>
      </c>
      <c r="AG98" s="333">
        <f t="shared" ca="1" si="29"/>
        <v>3407.2714803073341</v>
      </c>
      <c r="AH98" s="333">
        <f t="shared" ca="1" si="29"/>
        <v>3510.3072266875251</v>
      </c>
      <c r="AI98" s="333">
        <f t="shared" ca="1" si="29"/>
        <v>3613.9737904513913</v>
      </c>
      <c r="AJ98" s="333">
        <f t="shared" ca="1" si="29"/>
        <v>3729.8343937886807</v>
      </c>
      <c r="AK98" s="333">
        <f t="shared" ca="1" si="29"/>
        <v>3850.9255428189335</v>
      </c>
      <c r="AL98" s="333">
        <f t="shared" ca="1" si="29"/>
        <v>3959.7503211826793</v>
      </c>
      <c r="AM98" s="333">
        <f t="shared" ca="1" si="29"/>
        <v>4067.631978717819</v>
      </c>
      <c r="AN98" s="333">
        <f t="shared" ca="1" si="29"/>
        <v>4140.685866536176</v>
      </c>
      <c r="AO98" s="333">
        <f t="shared" ca="1" si="29"/>
        <v>4240.6032384029531</v>
      </c>
      <c r="AP98" s="333">
        <f t="shared" ca="1" si="29"/>
        <v>4370.5690585184366</v>
      </c>
      <c r="AQ98" s="333">
        <f t="shared" ca="1" si="29"/>
        <v>4459.6666381423465</v>
      </c>
      <c r="AR98" s="333">
        <f t="shared" ca="1" si="29"/>
        <v>4511.2041859170704</v>
      </c>
      <c r="AS98" s="333">
        <f t="shared" ca="1" si="29"/>
        <v>4558.9292308644544</v>
      </c>
      <c r="AT98" s="333">
        <f t="shared" ca="1" si="29"/>
        <v>4641.8298068451868</v>
      </c>
      <c r="AU98" s="333">
        <f ca="1">SUM(AU102:AU109)+AU100</f>
        <v>4736.2944359635412</v>
      </c>
    </row>
    <row r="99" spans="1:49" s="41" customFormat="1" ht="14.25">
      <c r="A99" s="338" t="s">
        <v>334</v>
      </c>
      <c r="B99" s="462">
        <f>'Investment Needs'!C6+'Investment Needs'!C9</f>
        <v>850.28309999999999</v>
      </c>
      <c r="C99" s="462">
        <f>'Investment Needs'!D6+'Investment Needs'!D9</f>
        <v>891.30279999999993</v>
      </c>
      <c r="D99" s="462">
        <f>'Investment Needs'!E6+'Investment Needs'!E9</f>
        <v>892.31080000000009</v>
      </c>
      <c r="E99" s="462">
        <f>'Investment Needs'!F6+'Investment Needs'!F9</f>
        <v>783.88200000000006</v>
      </c>
      <c r="F99" s="462">
        <f>'Investment Needs'!G6+'Investment Needs'!G9</f>
        <v>1637.2811999999999</v>
      </c>
      <c r="G99" s="462">
        <f>'Investment Needs'!H6+'Investment Needs'!H9</f>
        <v>966.93870000000004</v>
      </c>
      <c r="H99" s="462">
        <f>'Investment Needs'!I6+'Investment Needs'!I9</f>
        <v>1100.6995999999999</v>
      </c>
      <c r="I99" s="462">
        <f>'Investment Needs'!J6+'Investment Needs'!J9</f>
        <v>792.58999999999992</v>
      </c>
      <c r="J99" s="462">
        <f>'Investment Needs'!K6+'Investment Needs'!K9</f>
        <v>758.73990000000003</v>
      </c>
      <c r="K99" s="462">
        <f>'Investment Needs'!L6+'Investment Needs'!L9</f>
        <v>1222.0521999999999</v>
      </c>
      <c r="L99" s="462">
        <f>'Investment Needs'!M6+'Investment Needs'!M9</f>
        <v>963.81530000000009</v>
      </c>
      <c r="M99" s="462">
        <f>'Investment Needs'!N6+'Investment Needs'!N9</f>
        <v>1388.3742999999999</v>
      </c>
      <c r="N99" s="462">
        <f>'Investment Needs'!O6+'Investment Needs'!O9</f>
        <v>1304.9629000000002</v>
      </c>
      <c r="O99" s="462">
        <f>'Investment Needs'!P6+'Investment Needs'!P9</f>
        <v>1267.4485999999999</v>
      </c>
      <c r="P99" s="462">
        <f>'Investment Needs'!Q6+'Investment Needs'!Q9</f>
        <v>1759.1960000000001</v>
      </c>
      <c r="Q99" s="462">
        <f>'Investment Needs'!R6+'Investment Needs'!R9</f>
        <v>2280.2151999999996</v>
      </c>
      <c r="R99" s="462">
        <f>'Investment Needs'!S6+'Investment Needs'!S9</f>
        <v>1956.6569000000002</v>
      </c>
      <c r="S99" s="462">
        <f>'Investment Needs'!T6+'Investment Needs'!T9</f>
        <v>1301.3557000000001</v>
      </c>
      <c r="T99" s="462">
        <f>'Investment Needs'!U6+'Investment Needs'!U9</f>
        <v>1359.3568</v>
      </c>
      <c r="U99" s="462">
        <f>'Investment Needs'!V6+'Investment Needs'!V9</f>
        <v>1463.7227</v>
      </c>
      <c r="V99" s="462">
        <f>'Investment Needs'!W6+'Investment Needs'!W9</f>
        <v>1575.0400999999999</v>
      </c>
      <c r="W99" s="462">
        <f>'Investment Needs'!X6+'Investment Needs'!X9</f>
        <v>1687.5381</v>
      </c>
      <c r="X99" s="462">
        <f>'Investment Needs'!Y6+'Investment Needs'!Y9</f>
        <v>1800.9875999999999</v>
      </c>
      <c r="Y99" s="462">
        <f>'Investment Needs'!Z6+'Investment Needs'!Z9</f>
        <v>1922.2903000000001</v>
      </c>
      <c r="Z99" s="462">
        <f>'Investment Needs'!AA6+'Investment Needs'!AA9</f>
        <v>2099.6988000000001</v>
      </c>
      <c r="AA99" s="462">
        <f>'Investment Needs'!AB6+'Investment Needs'!AB9</f>
        <v>2430.3555999999999</v>
      </c>
      <c r="AB99" s="462">
        <f>'Investment Needs'!AC6+'Investment Needs'!AC9</f>
        <v>2368.0668999999998</v>
      </c>
      <c r="AC99" s="462">
        <f>'Investment Needs'!AD6+'Investment Needs'!AD9</f>
        <v>2207.9177</v>
      </c>
      <c r="AD99" s="462">
        <f>'Investment Needs'!AE6+'Investment Needs'!AE9</f>
        <v>2225.7754999999997</v>
      </c>
      <c r="AE99" s="462">
        <f>'Investment Needs'!AF6+'Investment Needs'!AF9</f>
        <v>3004.1397999999995</v>
      </c>
      <c r="AF99" s="462">
        <f>'Investment Needs'!AG6+'Investment Needs'!AG9</f>
        <v>2080.1179999999999</v>
      </c>
      <c r="AG99" s="462">
        <f>'Investment Needs'!AH6+'Investment Needs'!AH9</f>
        <v>2280.6886</v>
      </c>
      <c r="AH99" s="462">
        <f>'Investment Needs'!AI6+'Investment Needs'!AI9</f>
        <v>2009.4267</v>
      </c>
      <c r="AI99" s="462">
        <f>'Investment Needs'!AJ6+'Investment Needs'!AJ9</f>
        <v>1955.1030000000001</v>
      </c>
      <c r="AJ99" s="462">
        <f>'Investment Needs'!AK6+'Investment Needs'!AK9</f>
        <v>2393.1575999999995</v>
      </c>
      <c r="AK99" s="462">
        <f>'Investment Needs'!AL6+'Investment Needs'!AL9</f>
        <v>2083.9499000000001</v>
      </c>
      <c r="AL99" s="462">
        <f>'Investment Needs'!AM6+'Investment Needs'!AM9</f>
        <v>2543.0387999999998</v>
      </c>
      <c r="AM99" s="462">
        <f>'Investment Needs'!AN6+'Investment Needs'!AN9</f>
        <v>2416.4369999999999</v>
      </c>
      <c r="AN99" s="462">
        <f>'Investment Needs'!AO6+'Investment Needs'!AO9</f>
        <v>2379.3407999999999</v>
      </c>
      <c r="AO99" s="462">
        <f>'Investment Needs'!AP6+'Investment Needs'!AP9</f>
        <v>2812.2185999999997</v>
      </c>
      <c r="AP99" s="462">
        <f>'Investment Needs'!AQ6+'Investment Needs'!AQ9</f>
        <v>3282.4703999999997</v>
      </c>
      <c r="AQ99" s="462">
        <f>'Investment Needs'!AR6+'Investment Needs'!AR9</f>
        <v>2891.0751</v>
      </c>
      <c r="AR99" s="462">
        <f>'Investment Needs'!AS6+'Investment Needs'!AS9</f>
        <v>2267.7013999999999</v>
      </c>
      <c r="AS99" s="462">
        <f>'Investment Needs'!AT6+'Investment Needs'!AT9</f>
        <v>2240.1758</v>
      </c>
      <c r="AT99" s="462">
        <f>'Investment Needs'!AU6+'Investment Needs'!AU9</f>
        <v>2447.7587999999996</v>
      </c>
      <c r="AU99" s="462">
        <f>'Investment Needs'!AV6+'Investment Needs'!AV9</f>
        <v>2598.8757999999998</v>
      </c>
    </row>
    <row r="100" spans="1:49" s="41" customFormat="1" ht="14.25">
      <c r="A100" s="461" t="s">
        <v>335</v>
      </c>
      <c r="B100" s="462">
        <f t="shared" ref="B100:AU100" si="30">B76</f>
        <v>7.9396370874610769</v>
      </c>
      <c r="C100" s="462">
        <f t="shared" si="30"/>
        <v>0</v>
      </c>
      <c r="D100" s="462">
        <f t="shared" si="30"/>
        <v>0</v>
      </c>
      <c r="E100" s="462">
        <f t="shared" si="30"/>
        <v>0</v>
      </c>
      <c r="F100" s="462">
        <f t="shared" si="30"/>
        <v>0</v>
      </c>
      <c r="G100" s="462">
        <f t="shared" si="30"/>
        <v>0</v>
      </c>
      <c r="H100" s="462">
        <f t="shared" si="30"/>
        <v>0</v>
      </c>
      <c r="I100" s="462">
        <f t="shared" si="30"/>
        <v>0</v>
      </c>
      <c r="J100" s="462">
        <f t="shared" si="30"/>
        <v>0</v>
      </c>
      <c r="K100" s="462">
        <f t="shared" si="30"/>
        <v>0</v>
      </c>
      <c r="L100" s="462">
        <f t="shared" si="30"/>
        <v>0</v>
      </c>
      <c r="M100" s="462">
        <f t="shared" si="30"/>
        <v>0</v>
      </c>
      <c r="N100" s="462">
        <f t="shared" si="30"/>
        <v>0</v>
      </c>
      <c r="O100" s="462">
        <f t="shared" si="30"/>
        <v>0</v>
      </c>
      <c r="P100" s="462">
        <f t="shared" si="30"/>
        <v>0</v>
      </c>
      <c r="Q100" s="462">
        <f t="shared" si="30"/>
        <v>0</v>
      </c>
      <c r="R100" s="462">
        <f t="shared" si="30"/>
        <v>0</v>
      </c>
      <c r="S100" s="462">
        <f t="shared" si="30"/>
        <v>0</v>
      </c>
      <c r="T100" s="462">
        <f t="shared" si="30"/>
        <v>0</v>
      </c>
      <c r="U100" s="462">
        <f t="shared" si="30"/>
        <v>0</v>
      </c>
      <c r="V100" s="462">
        <f t="shared" si="30"/>
        <v>0</v>
      </c>
      <c r="W100" s="462">
        <f t="shared" si="30"/>
        <v>0</v>
      </c>
      <c r="X100" s="462">
        <f t="shared" si="30"/>
        <v>0</v>
      </c>
      <c r="Y100" s="462">
        <f t="shared" si="30"/>
        <v>0</v>
      </c>
      <c r="Z100" s="462">
        <f t="shared" si="30"/>
        <v>0</v>
      </c>
      <c r="AA100" s="462">
        <f t="shared" si="30"/>
        <v>0</v>
      </c>
      <c r="AB100" s="462">
        <f t="shared" si="30"/>
        <v>0</v>
      </c>
      <c r="AC100" s="462">
        <f t="shared" si="30"/>
        <v>0</v>
      </c>
      <c r="AD100" s="462">
        <f t="shared" si="30"/>
        <v>0</v>
      </c>
      <c r="AE100" s="462">
        <f t="shared" si="30"/>
        <v>0</v>
      </c>
      <c r="AF100" s="462">
        <f t="shared" si="30"/>
        <v>0</v>
      </c>
      <c r="AG100" s="462">
        <f t="shared" si="30"/>
        <v>0</v>
      </c>
      <c r="AH100" s="462">
        <f t="shared" si="30"/>
        <v>0</v>
      </c>
      <c r="AI100" s="462">
        <f t="shared" si="30"/>
        <v>0</v>
      </c>
      <c r="AJ100" s="462">
        <f t="shared" si="30"/>
        <v>0</v>
      </c>
      <c r="AK100" s="462">
        <f t="shared" si="30"/>
        <v>0</v>
      </c>
      <c r="AL100" s="462">
        <f t="shared" si="30"/>
        <v>0</v>
      </c>
      <c r="AM100" s="462">
        <f t="shared" si="30"/>
        <v>0</v>
      </c>
      <c r="AN100" s="462">
        <f t="shared" si="30"/>
        <v>0</v>
      </c>
      <c r="AO100" s="462">
        <f t="shared" si="30"/>
        <v>0</v>
      </c>
      <c r="AP100" s="462">
        <f t="shared" si="30"/>
        <v>0</v>
      </c>
      <c r="AQ100" s="462">
        <f t="shared" si="30"/>
        <v>0</v>
      </c>
      <c r="AR100" s="462">
        <f t="shared" si="30"/>
        <v>0</v>
      </c>
      <c r="AS100" s="462">
        <f t="shared" si="30"/>
        <v>0</v>
      </c>
      <c r="AT100" s="462">
        <f t="shared" si="30"/>
        <v>0</v>
      </c>
      <c r="AU100" s="462">
        <f t="shared" si="30"/>
        <v>0</v>
      </c>
    </row>
    <row r="101" spans="1:49" s="41" customFormat="1" ht="14.25" outlineLevel="1">
      <c r="A101" s="461" t="s">
        <v>336</v>
      </c>
      <c r="B101" s="339">
        <f t="shared" ref="B101:AU101" si="31">B99-B100</f>
        <v>842.34346291253894</v>
      </c>
      <c r="C101" s="339">
        <f t="shared" si="31"/>
        <v>891.30279999999993</v>
      </c>
      <c r="D101" s="339">
        <f t="shared" si="31"/>
        <v>892.31080000000009</v>
      </c>
      <c r="E101" s="339">
        <f t="shared" si="31"/>
        <v>783.88200000000006</v>
      </c>
      <c r="F101" s="339">
        <f t="shared" si="31"/>
        <v>1637.2811999999999</v>
      </c>
      <c r="G101" s="339">
        <f t="shared" si="31"/>
        <v>966.93870000000004</v>
      </c>
      <c r="H101" s="339">
        <f t="shared" si="31"/>
        <v>1100.6995999999999</v>
      </c>
      <c r="I101" s="339">
        <f t="shared" si="31"/>
        <v>792.58999999999992</v>
      </c>
      <c r="J101" s="339">
        <f t="shared" si="31"/>
        <v>758.73990000000003</v>
      </c>
      <c r="K101" s="339">
        <f t="shared" si="31"/>
        <v>1222.0521999999999</v>
      </c>
      <c r="L101" s="339">
        <f t="shared" si="31"/>
        <v>963.81530000000009</v>
      </c>
      <c r="M101" s="339">
        <f t="shared" si="31"/>
        <v>1388.3742999999999</v>
      </c>
      <c r="N101" s="339">
        <f t="shared" si="31"/>
        <v>1304.9629000000002</v>
      </c>
      <c r="O101" s="339">
        <f t="shared" si="31"/>
        <v>1267.4485999999999</v>
      </c>
      <c r="P101" s="339">
        <f t="shared" si="31"/>
        <v>1759.1960000000001</v>
      </c>
      <c r="Q101" s="339">
        <f t="shared" si="31"/>
        <v>2280.2151999999996</v>
      </c>
      <c r="R101" s="339">
        <f t="shared" si="31"/>
        <v>1956.6569000000002</v>
      </c>
      <c r="S101" s="339">
        <f t="shared" si="31"/>
        <v>1301.3557000000001</v>
      </c>
      <c r="T101" s="339">
        <f t="shared" si="31"/>
        <v>1359.3568</v>
      </c>
      <c r="U101" s="339">
        <f t="shared" si="31"/>
        <v>1463.7227</v>
      </c>
      <c r="V101" s="339">
        <f t="shared" si="31"/>
        <v>1575.0400999999999</v>
      </c>
      <c r="W101" s="339">
        <f t="shared" si="31"/>
        <v>1687.5381</v>
      </c>
      <c r="X101" s="339">
        <f t="shared" si="31"/>
        <v>1800.9875999999999</v>
      </c>
      <c r="Y101" s="339">
        <f t="shared" si="31"/>
        <v>1922.2903000000001</v>
      </c>
      <c r="Z101" s="339">
        <f t="shared" si="31"/>
        <v>2099.6988000000001</v>
      </c>
      <c r="AA101" s="339">
        <f t="shared" si="31"/>
        <v>2430.3555999999999</v>
      </c>
      <c r="AB101" s="339">
        <f t="shared" si="31"/>
        <v>2368.0668999999998</v>
      </c>
      <c r="AC101" s="339">
        <f t="shared" si="31"/>
        <v>2207.9177</v>
      </c>
      <c r="AD101" s="339">
        <f t="shared" si="31"/>
        <v>2225.7754999999997</v>
      </c>
      <c r="AE101" s="339">
        <f t="shared" si="31"/>
        <v>3004.1397999999995</v>
      </c>
      <c r="AF101" s="339">
        <f t="shared" si="31"/>
        <v>2080.1179999999999</v>
      </c>
      <c r="AG101" s="339">
        <f t="shared" si="31"/>
        <v>2280.6886</v>
      </c>
      <c r="AH101" s="339">
        <f t="shared" si="31"/>
        <v>2009.4267</v>
      </c>
      <c r="AI101" s="339">
        <f t="shared" si="31"/>
        <v>1955.1030000000001</v>
      </c>
      <c r="AJ101" s="339">
        <f t="shared" si="31"/>
        <v>2393.1575999999995</v>
      </c>
      <c r="AK101" s="339">
        <f t="shared" si="31"/>
        <v>2083.9499000000001</v>
      </c>
      <c r="AL101" s="339">
        <f t="shared" si="31"/>
        <v>2543.0387999999998</v>
      </c>
      <c r="AM101" s="339">
        <f t="shared" si="31"/>
        <v>2416.4369999999999</v>
      </c>
      <c r="AN101" s="339">
        <f t="shared" si="31"/>
        <v>2379.3407999999999</v>
      </c>
      <c r="AO101" s="339">
        <f t="shared" si="31"/>
        <v>2812.2185999999997</v>
      </c>
      <c r="AP101" s="339">
        <f t="shared" si="31"/>
        <v>3282.4703999999997</v>
      </c>
      <c r="AQ101" s="339">
        <f t="shared" si="31"/>
        <v>2891.0751</v>
      </c>
      <c r="AR101" s="339">
        <f t="shared" si="31"/>
        <v>2267.7013999999999</v>
      </c>
      <c r="AS101" s="339">
        <f t="shared" si="31"/>
        <v>2240.1758</v>
      </c>
      <c r="AT101" s="339">
        <f t="shared" si="31"/>
        <v>2447.7587999999996</v>
      </c>
      <c r="AU101" s="339">
        <f t="shared" si="31"/>
        <v>2598.8757999999998</v>
      </c>
    </row>
    <row r="102" spans="1:49" s="41" customFormat="1" ht="14.25" outlineLevel="1">
      <c r="A102" s="336" t="s">
        <v>260</v>
      </c>
      <c r="B102" s="337">
        <f>$C$53*$C$9*
(-PMT($C$10,$C$12-$C$11+1,
SUMIFS($B$101:$AU$101,$B$64:$AU$64,"&gt;="&amp;(B$64-(ROUNDDOWN($C$12,0))+1),$B$64:$AU$64,"&lt;="&amp;(B$64-(ROUNDUP($C$11,0)))))
+
IFERROR(-PMT($C$10,$C$12-$C$11+1,
(_xlfn.XLOOKUP(B$64-(ROUNDUP($C$12,0))+1,$B$64:$AU$64,$B$101:$AU$101,""))*($C$12-(ROUNDDOWN($C$12,0)))),0)
+
IFERROR(-PMT($C$10,$C$12-$C$11+1,
(_xlfn.XLOOKUP(B$64-(ROUNDDOWN($C$11,0)),$B$64:$AU$64,$B$101:$AU$101,"")*($C$11-ROUNDDOWN($C$11,0)))),0)
+
(((SUMIFS($B$101:$AU$101,$B$64:$AU$64,"&gt;"&amp;B$64-ROUNDDOWN($C$11,0),$B$64:$AU$64,"&lt;="&amp;B$64)+(IFERROR(SUMIF($B$64:$AU$64,ROUNDDOWN(B$64-$C$11,0)+1,$B$101:$AU$101)*(1-($C$11-ROUNDDOWN($C$11,0))),"")))*$C$10)
))</f>
        <v>14.743580027298961</v>
      </c>
      <c r="C102" s="337">
        <f t="shared" ref="C102:AU102" si="32">$C$53*$C$9*
(-PMT($C$10,$C$12-$C$11+1,
SUMIFS($B$101:$AU$101,$B$64:$AU$64,"&gt;="&amp;(C$64-(ROUNDDOWN($C$12,0))+1),$B$64:$AU$64,"&lt;="&amp;(C$64-(ROUNDUP($C$11,0)))))
+
IFERROR(-PMT($C$10,$C$12-$C$11+1,
(_xlfn.XLOOKUP(C$64-(ROUNDUP($C$12,0))+1,$B$64:$AU$64,$B$101:$AU$101,""))*($C$12-(ROUNDDOWN($C$12,0)))),0)
+
IFERROR(-PMT($C$10,$C$12-$C$11+1,
(_xlfn.XLOOKUP(C$64-(ROUNDDOWN($C$11,0)),$B$64:$AU$64,$B$101:$AU$101,"")*($C$11-ROUNDDOWN($C$11,0)))),0)
+
(((SUMIFS($B$101:$AU$101,$B$64:$AU$64,"&gt;"&amp;C$64-ROUNDDOWN($C$11,0),$B$64:$AU$64,"&lt;="&amp;C$64)+(IFERROR(SUMIF($B$64:$AU$64,ROUNDDOWN(C$64-$C$11,0)+1,$B$101:$AU$101)*(1-($C$11-ROUNDDOWN($C$11,0))),"")))*$C$10)
))</f>
        <v>30.344097795809358</v>
      </c>
      <c r="D102" s="337">
        <f t="shared" si="32"/>
        <v>45.962258639053346</v>
      </c>
      <c r="E102" s="337">
        <f t="shared" si="32"/>
        <v>59.682584738573581</v>
      </c>
      <c r="F102" s="337">
        <f t="shared" si="32"/>
        <v>88.339999988080294</v>
      </c>
      <c r="G102" s="337">
        <f t="shared" si="32"/>
        <v>105.26437672111685</v>
      </c>
      <c r="H102" s="337">
        <f t="shared" si="32"/>
        <v>147.27152482465928</v>
      </c>
      <c r="I102" s="337">
        <f t="shared" si="32"/>
        <v>187.13483393900026</v>
      </c>
      <c r="J102" s="337">
        <f t="shared" si="32"/>
        <v>226.54489218186797</v>
      </c>
      <c r="K102" s="337">
        <f t="shared" si="32"/>
        <v>271.13927971883578</v>
      </c>
      <c r="L102" s="337">
        <f t="shared" si="32"/>
        <v>334.00568689709434</v>
      </c>
      <c r="M102" s="337">
        <f t="shared" si="32"/>
        <v>388.15780933353778</v>
      </c>
      <c r="N102" s="337">
        <f t="shared" si="32"/>
        <v>442.92755598776756</v>
      </c>
      <c r="O102" s="337">
        <f t="shared" si="32"/>
        <v>489.02839470422879</v>
      </c>
      <c r="P102" s="337">
        <f t="shared" si="32"/>
        <v>542.11749850068952</v>
      </c>
      <c r="Q102" s="337">
        <f t="shared" si="32"/>
        <v>616.75706396354894</v>
      </c>
      <c r="R102" s="337">
        <f t="shared" si="32"/>
        <v>679.82152793241755</v>
      </c>
      <c r="S102" s="337">
        <f t="shared" si="32"/>
        <v>742.2876189624825</v>
      </c>
      <c r="T102" s="337">
        <f t="shared" si="32"/>
        <v>804.48832760786752</v>
      </c>
      <c r="U102" s="337">
        <f t="shared" si="32"/>
        <v>867.31210974941666</v>
      </c>
      <c r="V102" s="337">
        <f t="shared" si="32"/>
        <v>945.27462836229279</v>
      </c>
      <c r="W102" s="337">
        <f t="shared" si="32"/>
        <v>1040.3977362368116</v>
      </c>
      <c r="X102" s="337">
        <f t="shared" si="32"/>
        <v>1129.963197123004</v>
      </c>
      <c r="Y102" s="337">
        <f t="shared" si="32"/>
        <v>1203.2197590254939</v>
      </c>
      <c r="Z102" s="337">
        <f t="shared" si="32"/>
        <v>1279.64814294603</v>
      </c>
      <c r="AA102" s="337">
        <f t="shared" si="32"/>
        <v>1364.8143969980015</v>
      </c>
      <c r="AB102" s="337">
        <f t="shared" si="32"/>
        <v>1452.1345316710651</v>
      </c>
      <c r="AC102" s="337">
        <f t="shared" si="32"/>
        <v>1510.3984425560327</v>
      </c>
      <c r="AD102" s="337">
        <f t="shared" si="32"/>
        <v>1560.7106521963433</v>
      </c>
      <c r="AE102" s="337">
        <f t="shared" si="32"/>
        <v>1627.5722281037558</v>
      </c>
      <c r="AF102" s="337">
        <f t="shared" si="32"/>
        <v>1687.1191114305402</v>
      </c>
      <c r="AG102" s="337">
        <f t="shared" si="32"/>
        <v>1730.8468908783248</v>
      </c>
      <c r="AH102" s="337">
        <f t="shared" si="32"/>
        <v>1782.4169087895714</v>
      </c>
      <c r="AI102" s="337">
        <f t="shared" si="32"/>
        <v>1831.7307258360559</v>
      </c>
      <c r="AJ102" s="337">
        <f t="shared" si="32"/>
        <v>1898.067538707576</v>
      </c>
      <c r="AK102" s="337">
        <f t="shared" si="32"/>
        <v>1984.8438929108363</v>
      </c>
      <c r="AL102" s="337">
        <f t="shared" si="32"/>
        <v>2040.6357853709917</v>
      </c>
      <c r="AM102" s="337">
        <f t="shared" si="32"/>
        <v>2101.1429716189145</v>
      </c>
      <c r="AN102" s="337">
        <f t="shared" si="32"/>
        <v>2142.2699354788415</v>
      </c>
      <c r="AO102" s="337">
        <f t="shared" si="32"/>
        <v>2186.8386256404078</v>
      </c>
      <c r="AP102" s="337">
        <f t="shared" si="32"/>
        <v>2253.6333432008764</v>
      </c>
      <c r="AQ102" s="337">
        <f t="shared" si="32"/>
        <v>2289.4232174014433</v>
      </c>
      <c r="AR102" s="337">
        <f t="shared" si="32"/>
        <v>2301.9541321858255</v>
      </c>
      <c r="AS102" s="337">
        <f t="shared" si="32"/>
        <v>2316.8810917129094</v>
      </c>
      <c r="AT102" s="337">
        <f t="shared" si="32"/>
        <v>2360.9249698963986</v>
      </c>
      <c r="AU102" s="337">
        <f t="shared" si="32"/>
        <v>2424.8577024077472</v>
      </c>
    </row>
    <row r="103" spans="1:49" s="41" customFormat="1" ht="14.25" outlineLevel="1">
      <c r="A103" s="336" t="s">
        <v>261</v>
      </c>
      <c r="B103" s="337">
        <f t="shared" ref="B103:AU103" ca="1" si="33">$C$54*$C$15*
(-PMT($C$16,$C$18-$C$17+1,
SUMIFS($B$101:$AU$101,$B$64:$AU$64,"&gt;="&amp;(B$64-(ROUNDDOWN($C$18,0))+1),$B$64:$AU$64,"&lt;="&amp;(B$64-(ROUNDUP($C$17,0)))))
+
IFERROR(-PMT($C$16,$C$18-$C$17+1,
(_xlfn.XLOOKUP(B$64-(ROUNDUP($C$18,0))+1,$B$64:$AU$64,$B$101:$AU$101,""))*($C$18-(ROUNDDOWN($C$18,0)))),0)
+
IFERROR(-PMT($C$16,$C$18-$C$17+1,
(_xlfn.XLOOKUP(B$64-(ROUNDDOWN($C$17,0)),$B$64:$AU$64,$B$101:$AU$101,"")*($C$17-ROUNDDOWN($C$17,0)))),0)
+
(((SUMIFS($B$101:$AU$101,$B$64:$AU$64,"&gt;"&amp;B$64-ROUNDDOWN($C$17,0),$B$64:$AU$64,"&lt;="&amp;B$64)+(IFERROR(SUMIF($B$64:$AU$64,ROUNDDOWN(B$64-$C$17,0)+1,$B$101:$AU$101)*(1-($C$17-ROUNDDOWN($C$17,0))),"")))*$C$16)
))</f>
        <v>0.41881110352622164</v>
      </c>
      <c r="C103" s="337">
        <f t="shared" ca="1" si="33"/>
        <v>0.86196466935708727</v>
      </c>
      <c r="D103" s="337">
        <f t="shared" ca="1" si="33"/>
        <v>1.3056194103153704</v>
      </c>
      <c r="E103" s="337">
        <f t="shared" ca="1" si="33"/>
        <v>1.6953636178850435</v>
      </c>
      <c r="F103" s="337">
        <f t="shared" ca="1" si="33"/>
        <v>2.5094158143415548</v>
      </c>
      <c r="G103" s="337">
        <f t="shared" ca="1" si="33"/>
        <v>2.9901753641206668</v>
      </c>
      <c r="H103" s="337">
        <f t="shared" ca="1" si="33"/>
        <v>3.5374405052697884</v>
      </c>
      <c r="I103" s="337">
        <f t="shared" ca="1" si="33"/>
        <v>4.0078988852859014</v>
      </c>
      <c r="J103" s="337">
        <f t="shared" ca="1" si="33"/>
        <v>5.1627747262413557</v>
      </c>
      <c r="K103" s="337">
        <f t="shared" ca="1" si="33"/>
        <v>6.5886001232295284</v>
      </c>
      <c r="L103" s="337">
        <f t="shared" ca="1" si="33"/>
        <v>7.8770321745524887</v>
      </c>
      <c r="M103" s="337">
        <f t="shared" ca="1" si="33"/>
        <v>9.3642459764325654</v>
      </c>
      <c r="N103" s="337">
        <f t="shared" ca="1" si="33"/>
        <v>11.455154035385867</v>
      </c>
      <c r="O103" s="337">
        <f t="shared" ca="1" si="33"/>
        <v>12.985015265642676</v>
      </c>
      <c r="P103" s="337">
        <f t="shared" ca="1" si="33"/>
        <v>14.842082822769811</v>
      </c>
      <c r="Q103" s="337">
        <f t="shared" ca="1" si="33"/>
        <v>16.700254178342973</v>
      </c>
      <c r="R103" s="337">
        <f t="shared" ca="1" si="33"/>
        <v>18.411565114490205</v>
      </c>
      <c r="S103" s="337">
        <f t="shared" ca="1" si="33"/>
        <v>20.156908445955686</v>
      </c>
      <c r="T103" s="337">
        <f t="shared" ca="1" si="33"/>
        <v>21.755969091036395</v>
      </c>
      <c r="U103" s="337">
        <f t="shared" ca="1" si="33"/>
        <v>23.750562390551558</v>
      </c>
      <c r="V103" s="337">
        <f t="shared" ca="1" si="33"/>
        <v>25.728100558474058</v>
      </c>
      <c r="W103" s="337">
        <f t="shared" ca="1" si="33"/>
        <v>27.77513183441712</v>
      </c>
      <c r="X103" s="337">
        <f t="shared" ca="1" si="33"/>
        <v>29.905545940991995</v>
      </c>
      <c r="Y103" s="337">
        <f t="shared" ca="1" si="33"/>
        <v>31.708162364459664</v>
      </c>
      <c r="Z103" s="337">
        <f t="shared" ca="1" si="33"/>
        <v>33.226934913071602</v>
      </c>
      <c r="AA103" s="337">
        <f t="shared" ca="1" si="33"/>
        <v>34.427343493149813</v>
      </c>
      <c r="AB103" s="337">
        <f t="shared" ca="1" si="33"/>
        <v>35.320030786220705</v>
      </c>
      <c r="AC103" s="337">
        <f t="shared" ca="1" si="33"/>
        <v>35.794388155291706</v>
      </c>
      <c r="AD103" s="337">
        <f t="shared" ca="1" si="33"/>
        <v>36.920845456607431</v>
      </c>
      <c r="AE103" s="337">
        <f t="shared" ca="1" si="33"/>
        <v>38.572389163572645</v>
      </c>
      <c r="AF103" s="337">
        <f t="shared" ca="1" si="33"/>
        <v>40.166321027330575</v>
      </c>
      <c r="AG103" s="337">
        <f t="shared" ca="1" si="33"/>
        <v>41.772255305816422</v>
      </c>
      <c r="AH103" s="337">
        <f t="shared" ca="1" si="33"/>
        <v>43.130240341581143</v>
      </c>
      <c r="AI103" s="337">
        <f t="shared" ca="1" si="33"/>
        <v>44.748359069963762</v>
      </c>
      <c r="AJ103" s="337">
        <f t="shared" ca="1" si="33"/>
        <v>46.174967002377535</v>
      </c>
      <c r="AK103" s="337">
        <f t="shared" ca="1" si="33"/>
        <v>47.411744105136179</v>
      </c>
      <c r="AL103" s="337">
        <f t="shared" ca="1" si="33"/>
        <v>48.746892646886081</v>
      </c>
      <c r="AM103" s="337">
        <f t="shared" ca="1" si="33"/>
        <v>49.868472468335732</v>
      </c>
      <c r="AN103" s="337">
        <f t="shared" ca="1" si="33"/>
        <v>49.91631449654421</v>
      </c>
      <c r="AO103" s="337">
        <f t="shared" ca="1" si="33"/>
        <v>50.946758837359113</v>
      </c>
      <c r="AP103" s="337">
        <f t="shared" ca="1" si="33"/>
        <v>52.547375293732593</v>
      </c>
      <c r="AQ103" s="337">
        <f t="shared" ca="1" si="33"/>
        <v>53.842592357667307</v>
      </c>
      <c r="AR103" s="337">
        <f t="shared" ca="1" si="33"/>
        <v>55.010987271937175</v>
      </c>
      <c r="AS103" s="337">
        <f t="shared" ca="1" si="33"/>
        <v>55.793418446339984</v>
      </c>
      <c r="AT103" s="337">
        <f t="shared" ca="1" si="33"/>
        <v>56.887670254076546</v>
      </c>
      <c r="AU103" s="337">
        <f t="shared" ca="1" si="33"/>
        <v>57.784440597918191</v>
      </c>
    </row>
    <row r="104" spans="1:49" s="41" customFormat="1" ht="14.25" outlineLevel="1">
      <c r="A104" s="336" t="s">
        <v>262</v>
      </c>
      <c r="B104" s="337">
        <f t="shared" ref="B104:AU104" ca="1" si="34">$C$55*$C$21*
(-PMT($C$22,$C$24-$C$23+1,
SUMIFS($B$101:$AU$101,$B$64:$AU$64,"&gt;="&amp;(B$64-(ROUNDDOWN($C$24,0))+1),$B$64:$AU$64,"&lt;="&amp;(B$64-(ROUNDUP($C$23,0)))))
+
IFERROR(-PMT($C$22,$C$24-$C$23+1,
(_xlfn.XLOOKUP(B$64-(ROUNDUP($C$24,0))+1,$B$64:$AU$64,$B$101:$AU$101,""))*($C$24-(ROUNDDOWN($C$24,0)))),0)
+
IFERROR(-PMT($C$22,$C$24-$C$23+1,
(_xlfn.XLOOKUP(B$64-(ROUNDDOWN($C$23,0)),$B$64:$AU$64,$B$101:$AU$101,"")*($C$23-ROUNDDOWN($C$23,0)))),0)
+
(((SUMIFS($B$101:$AU$101,$B$64:$AU$64,"&gt;"&amp;B$64-ROUNDDOWN($C$23,0),$B$64:$AU$64,"&lt;="&amp;B$64)+(IFERROR(SUMIF($B$64:$AU$64,ROUNDDOWN(B$64-$C$23,0)+1,$B$101:$AU$101)*(1-($C$23-ROUNDDOWN($C$23,0))),"")))*$C$22)
))</f>
        <v>3.6010969565123609</v>
      </c>
      <c r="C104" s="337">
        <f t="shared" ca="1" si="34"/>
        <v>7.4114996505785067</v>
      </c>
      <c r="D104" s="337">
        <f t="shared" ca="1" si="34"/>
        <v>12.340286782292518</v>
      </c>
      <c r="E104" s="337">
        <f t="shared" ca="1" si="34"/>
        <v>17.119668296529991</v>
      </c>
      <c r="F104" s="337">
        <f t="shared" ca="1" si="34"/>
        <v>25.56323916442571</v>
      </c>
      <c r="G104" s="337">
        <f t="shared" ca="1" si="34"/>
        <v>30.997924821575346</v>
      </c>
      <c r="H104" s="337">
        <f t="shared" ca="1" si="34"/>
        <v>38.101046700843888</v>
      </c>
      <c r="I104" s="337">
        <f t="shared" ca="1" si="34"/>
        <v>43.253040558416366</v>
      </c>
      <c r="J104" s="337">
        <f t="shared" ca="1" si="34"/>
        <v>48.23877109498715</v>
      </c>
      <c r="K104" s="337">
        <f t="shared" ca="1" si="34"/>
        <v>54.837303559057837</v>
      </c>
      <c r="L104" s="337">
        <f t="shared" ca="1" si="34"/>
        <v>60.195860322589198</v>
      </c>
      <c r="M104" s="337">
        <f t="shared" ca="1" si="34"/>
        <v>67.972197053059773</v>
      </c>
      <c r="N104" s="337">
        <f t="shared" ca="1" si="34"/>
        <v>75.187569083648015</v>
      </c>
      <c r="O104" s="337">
        <f t="shared" ca="1" si="34"/>
        <v>82.727627814389635</v>
      </c>
      <c r="P104" s="337">
        <f t="shared" ca="1" si="34"/>
        <v>92.385328584106475</v>
      </c>
      <c r="Q104" s="337">
        <f t="shared" ca="1" si="34"/>
        <v>103.07791432539611</v>
      </c>
      <c r="R104" s="337">
        <f t="shared" ca="1" si="34"/>
        <v>109.11519173680178</v>
      </c>
      <c r="S104" s="337">
        <f t="shared" ca="1" si="34"/>
        <v>112.9607786295358</v>
      </c>
      <c r="T104" s="337">
        <f t="shared" ca="1" si="34"/>
        <v>116.91998007324818</v>
      </c>
      <c r="U104" s="337">
        <f t="shared" ca="1" si="34"/>
        <v>119.72509389839126</v>
      </c>
      <c r="V104" s="337">
        <f t="shared" ca="1" si="34"/>
        <v>119.88185194237803</v>
      </c>
      <c r="W104" s="337">
        <f t="shared" ca="1" si="34"/>
        <v>123.55813527955436</v>
      </c>
      <c r="X104" s="337">
        <f t="shared" ca="1" si="34"/>
        <v>127.6957817837275</v>
      </c>
      <c r="Y104" s="337">
        <f t="shared" ca="1" si="34"/>
        <v>133.98559397515888</v>
      </c>
      <c r="Z104" s="337">
        <f t="shared" ca="1" si="34"/>
        <v>140.75671879896561</v>
      </c>
      <c r="AA104" s="337">
        <f t="shared" ca="1" si="34"/>
        <v>147.36266562873465</v>
      </c>
      <c r="AB104" s="337">
        <f t="shared" ca="1" si="34"/>
        <v>154.58844552047685</v>
      </c>
      <c r="AC104" s="337">
        <f t="shared" ca="1" si="34"/>
        <v>159.79150775727445</v>
      </c>
      <c r="AD104" s="337">
        <f t="shared" ca="1" si="34"/>
        <v>165.51710278238687</v>
      </c>
      <c r="AE104" s="337">
        <f t="shared" ca="1" si="34"/>
        <v>173.85853032549923</v>
      </c>
      <c r="AF104" s="337">
        <f t="shared" ca="1" si="34"/>
        <v>175.28879163246683</v>
      </c>
      <c r="AG104" s="337">
        <f t="shared" ca="1" si="34"/>
        <v>176.66167679486585</v>
      </c>
      <c r="AH104" s="337">
        <f t="shared" ca="1" si="34"/>
        <v>178.2305907256515</v>
      </c>
      <c r="AI104" s="337">
        <f t="shared" ca="1" si="34"/>
        <v>182.47424173762232</v>
      </c>
      <c r="AJ104" s="337">
        <f t="shared" ca="1" si="34"/>
        <v>187.88783691733963</v>
      </c>
      <c r="AK104" s="337">
        <f t="shared" ca="1" si="34"/>
        <v>191.20304844126576</v>
      </c>
      <c r="AL104" s="337">
        <f t="shared" ca="1" si="34"/>
        <v>196.38654798832223</v>
      </c>
      <c r="AM104" s="337">
        <f t="shared" ca="1" si="34"/>
        <v>200.08525105382793</v>
      </c>
      <c r="AN104" s="337">
        <f t="shared" ca="1" si="34"/>
        <v>203.46193930385618</v>
      </c>
      <c r="AO104" s="337">
        <f t="shared" ca="1" si="34"/>
        <v>207.86828887293782</v>
      </c>
      <c r="AP104" s="337">
        <f t="shared" ca="1" si="34"/>
        <v>212.94942677424319</v>
      </c>
      <c r="AQ104" s="337">
        <f t="shared" ca="1" si="34"/>
        <v>215.49167860097913</v>
      </c>
      <c r="AR104" s="337">
        <f t="shared" ca="1" si="34"/>
        <v>216.61608132212908</v>
      </c>
      <c r="AS104" s="337">
        <f t="shared" ca="1" si="34"/>
        <v>217.95195117010107</v>
      </c>
      <c r="AT104" s="337">
        <f t="shared" ca="1" si="34"/>
        <v>218.12009246336189</v>
      </c>
      <c r="AU104" s="337">
        <f t="shared" ca="1" si="34"/>
        <v>216.38574737944688</v>
      </c>
    </row>
    <row r="105" spans="1:49" s="41" customFormat="1" ht="14.25" outlineLevel="1">
      <c r="A105" s="336" t="s">
        <v>263</v>
      </c>
      <c r="B105" s="337">
        <f t="shared" ref="B105:AU105" ca="1" si="35">$C$56*$C$27*
(-PMT($C$28,$C$30-$C$29+1,
SUMIFS($B$101:$AU$101,$B$64:$AU$64,"&gt;="&amp;(B$64-(ROUNDDOWN($C$30,0))+1),$B$64:$AU$64,"&lt;="&amp;(B$64-(ROUNDUP($C$29,0)))))
+
IFERROR(-PMT($C$28,$C$30-$C$29+1,
(_xlfn.XLOOKUP(B$64-(ROUNDUP($C$30,0))+1,$B$64:$AU$64,$B$101:$AU$101,""))*($C$30-(ROUNDDOWN($C$30,0)))),0)
+
IFERROR(-PMT($C$28,$C$30-$C$29+1,
(_xlfn.XLOOKUP(B$64-(ROUNDDOWN($C$29,0)),$B$64:$AU$64,$B$101:$AU$101,"")*($C$29-ROUNDDOWN($C$29,0)))),0)
+
(((SUMIFS($B$101:$AU$101,$B$64:$AU$64,"&gt;"&amp;B$64-ROUNDDOWN($C$29,0),$B$64:$AU$64,"&lt;="&amp;B$64)+(IFERROR(SUMIF($B$64:$AU$64,ROUNDDOWN(B$64-$C$29,0)+1,$B$101:$AU$101)*(1-($C$29-ROUNDDOWN($C$29,0))),"")))*$C$28)
))</f>
        <v>0.59491115072147538</v>
      </c>
      <c r="C105" s="337">
        <f t="shared" ca="1" si="35"/>
        <v>1.2244001866497198</v>
      </c>
      <c r="D105" s="337">
        <f t="shared" ca="1" si="35"/>
        <v>1.8546011298537135</v>
      </c>
      <c r="E105" s="337">
        <f t="shared" ca="1" si="35"/>
        <v>2.4082234504180646</v>
      </c>
      <c r="F105" s="337">
        <f t="shared" ca="1" si="35"/>
        <v>3.5645651158222789</v>
      </c>
      <c r="G105" s="337">
        <f t="shared" ca="1" si="35"/>
        <v>4.2474725520658421</v>
      </c>
      <c r="H105" s="337">
        <f t="shared" ca="1" si="35"/>
        <v>5.0248495894212777</v>
      </c>
      <c r="I105" s="337">
        <f t="shared" ca="1" si="35"/>
        <v>5.6545740413700658</v>
      </c>
      <c r="J105" s="337">
        <f t="shared" ca="1" si="35"/>
        <v>6.3291696126266901</v>
      </c>
      <c r="K105" s="337">
        <f t="shared" ca="1" si="35"/>
        <v>7.3348278007402863</v>
      </c>
      <c r="L105" s="337">
        <f t="shared" ca="1" si="35"/>
        <v>8.1491773307081186</v>
      </c>
      <c r="M105" s="337">
        <f t="shared" ca="1" si="35"/>
        <v>9.325914947662012</v>
      </c>
      <c r="N105" s="337">
        <f t="shared" ca="1" si="35"/>
        <v>10.453635898292829</v>
      </c>
      <c r="O105" s="337">
        <f t="shared" ca="1" si="35"/>
        <v>11.514471830112665</v>
      </c>
      <c r="P105" s="337">
        <f t="shared" ca="1" si="35"/>
        <v>12.90729713271303</v>
      </c>
      <c r="Q105" s="337">
        <f t="shared" ca="1" si="35"/>
        <v>14.641614728914574</v>
      </c>
      <c r="R105" s="337">
        <f t="shared" ca="1" si="35"/>
        <v>16.183292007180601</v>
      </c>
      <c r="S105" s="337">
        <f t="shared" ca="1" si="35"/>
        <v>17.276306414722495</v>
      </c>
      <c r="T105" s="337">
        <f t="shared" ca="1" si="35"/>
        <v>18.090722905888889</v>
      </c>
      <c r="U105" s="337">
        <f t="shared" ca="1" si="35"/>
        <v>18.590472801690023</v>
      </c>
      <c r="V105" s="337">
        <f t="shared" ca="1" si="35"/>
        <v>19.135982231730061</v>
      </c>
      <c r="W105" s="337">
        <f t="shared" ca="1" si="35"/>
        <v>19.841546515779346</v>
      </c>
      <c r="X105" s="337">
        <f t="shared" ca="1" si="35"/>
        <v>20.41969779615199</v>
      </c>
      <c r="Y105" s="337">
        <f t="shared" ca="1" si="35"/>
        <v>20.963482113072612</v>
      </c>
      <c r="Z105" s="337">
        <f t="shared" ca="1" si="35"/>
        <v>21.814114172649401</v>
      </c>
      <c r="AA105" s="337">
        <f t="shared" ca="1" si="35"/>
        <v>22.91261652157495</v>
      </c>
      <c r="AB105" s="337">
        <f t="shared" ca="1" si="35"/>
        <v>24.138045051450252</v>
      </c>
      <c r="AC105" s="337">
        <f t="shared" ca="1" si="35"/>
        <v>25.099237840786163</v>
      </c>
      <c r="AD105" s="337">
        <f t="shared" ca="1" si="35"/>
        <v>25.976593406837619</v>
      </c>
      <c r="AE105" s="337">
        <f t="shared" ca="1" si="35"/>
        <v>27.373872089838166</v>
      </c>
      <c r="AF105" s="337">
        <f t="shared" ca="1" si="35"/>
        <v>27.971629240643729</v>
      </c>
      <c r="AG105" s="337">
        <f t="shared" ca="1" si="35"/>
        <v>28.789085163305334</v>
      </c>
      <c r="AH105" s="337">
        <f t="shared" ca="1" si="35"/>
        <v>29.278066090855752</v>
      </c>
      <c r="AI105" s="337">
        <f t="shared" ca="1" si="35"/>
        <v>29.311354349228164</v>
      </c>
      <c r="AJ105" s="337">
        <f t="shared" ca="1" si="35"/>
        <v>29.520537447085939</v>
      </c>
      <c r="AK105" s="337">
        <f t="shared" ca="1" si="35"/>
        <v>29.91268858072641</v>
      </c>
      <c r="AL105" s="337">
        <f t="shared" ca="1" si="35"/>
        <v>30.9789951435971</v>
      </c>
      <c r="AM105" s="337">
        <f t="shared" ca="1" si="35"/>
        <v>31.870275905757989</v>
      </c>
      <c r="AN105" s="337">
        <f t="shared" ca="1" si="35"/>
        <v>32.587868016530628</v>
      </c>
      <c r="AO105" s="337">
        <f t="shared" ca="1" si="35"/>
        <v>33.507180641224139</v>
      </c>
      <c r="AP105" s="337">
        <f t="shared" ca="1" si="35"/>
        <v>34.635445476704291</v>
      </c>
      <c r="AQ105" s="337">
        <f t="shared" ca="1" si="35"/>
        <v>35.418104676405882</v>
      </c>
      <c r="AR105" s="337">
        <f t="shared" ca="1" si="35"/>
        <v>35.641101438543195</v>
      </c>
      <c r="AS105" s="337">
        <f t="shared" ca="1" si="35"/>
        <v>35.644427001884409</v>
      </c>
      <c r="AT105" s="337">
        <f t="shared" ca="1" si="35"/>
        <v>35.688989794651725</v>
      </c>
      <c r="AU105" s="337">
        <f t="shared" ca="1" si="35"/>
        <v>35.920340028101798</v>
      </c>
    </row>
    <row r="106" spans="1:49" s="41" customFormat="1" ht="14.25" outlineLevel="1">
      <c r="A106" s="315" t="s">
        <v>264</v>
      </c>
      <c r="B106" s="312">
        <f t="shared" ref="B106:AU106" si="36">$C$53*$D$9*
(IFERROR(-PMT($D$10,$D$12+1,
SUMIFS($B$101:$AU$101,$B$64:$AU$64,"&gt;"&amp;B$64-ROUNDDOWN($D$12,0),$B$64:$AU$64,"&lt;="&amp;B$64)),"")+
IFERROR(-PMT($D$10, $D$12+1, SUMIF($B$64:$AU$64,ROUNDDOWN(B$64-$D$12,0)+1,$B$101:$AU$101)* (($D$12-ROUNDDOWN($D$12,0)))),"")
)</f>
        <v>1.7355981488101331</v>
      </c>
      <c r="C106" s="312">
        <f t="shared" si="36"/>
        <v>3.572074073203825</v>
      </c>
      <c r="D106" s="312">
        <f t="shared" si="36"/>
        <v>5.4106269210984745</v>
      </c>
      <c r="E106" s="312">
        <f t="shared" si="36"/>
        <v>7.0257687343695379</v>
      </c>
      <c r="F106" s="312">
        <f t="shared" si="36"/>
        <v>10.399288379166361</v>
      </c>
      <c r="G106" s="312">
        <f t="shared" si="36"/>
        <v>12.391607535927154</v>
      </c>
      <c r="H106" s="312">
        <f t="shared" si="36"/>
        <v>14.659532998956964</v>
      </c>
      <c r="I106" s="312">
        <f t="shared" si="36"/>
        <v>16.292617123583518</v>
      </c>
      <c r="J106" s="312">
        <f t="shared" si="36"/>
        <v>17.85595514880556</v>
      </c>
      <c r="K106" s="312">
        <f t="shared" si="36"/>
        <v>20.373920360686803</v>
      </c>
      <c r="L106" s="312">
        <f t="shared" si="36"/>
        <v>22.359803939210604</v>
      </c>
      <c r="M106" s="312">
        <f t="shared" si="36"/>
        <v>25.220465855673723</v>
      </c>
      <c r="N106" s="312">
        <f t="shared" si="36"/>
        <v>27.909263588696632</v>
      </c>
      <c r="O106" s="312">
        <f t="shared" si="36"/>
        <v>30.520765358136256</v>
      </c>
      <c r="P106" s="312">
        <f t="shared" si="36"/>
        <v>34.145483131141894</v>
      </c>
      <c r="Q106" s="312">
        <f t="shared" si="36"/>
        <v>38.84372969475254</v>
      </c>
      <c r="R106" s="312">
        <f t="shared" si="36"/>
        <v>42.875303800823787</v>
      </c>
      <c r="S106" s="312">
        <f t="shared" si="36"/>
        <v>45.556669114746839</v>
      </c>
      <c r="T106" s="312">
        <f t="shared" si="36"/>
        <v>48.357542214058157</v>
      </c>
      <c r="U106" s="312">
        <f t="shared" si="36"/>
        <v>51.37345498639381</v>
      </c>
      <c r="V106" s="312">
        <f t="shared" si="36"/>
        <v>54.618730580282467</v>
      </c>
      <c r="W106" s="312">
        <f t="shared" si="36"/>
        <v>58.095801551165863</v>
      </c>
      <c r="X106" s="312">
        <f t="shared" si="36"/>
        <v>61.806628407685963</v>
      </c>
      <c r="Y106" s="312">
        <f t="shared" si="36"/>
        <v>65.767392197102467</v>
      </c>
      <c r="Z106" s="312">
        <f t="shared" si="36"/>
        <v>69.897746775914399</v>
      </c>
      <c r="AA106" s="312">
        <f t="shared" si="36"/>
        <v>73.158361387554734</v>
      </c>
      <c r="AB106" s="312">
        <f t="shared" si="36"/>
        <v>76.200910697500717</v>
      </c>
      <c r="AC106" s="312">
        <f t="shared" si="36"/>
        <v>78.93686282679495</v>
      </c>
      <c r="AD106" s="312">
        <f t="shared" si="36"/>
        <v>81.709277242857269</v>
      </c>
      <c r="AE106" s="312">
        <f t="shared" si="36"/>
        <v>84.681544683777147</v>
      </c>
      <c r="AF106" s="312">
        <f t="shared" si="36"/>
        <v>86.944067907996839</v>
      </c>
      <c r="AG106" s="312">
        <f t="shared" si="36"/>
        <v>89.447037915060378</v>
      </c>
      <c r="AH106" s="312">
        <f t="shared" si="36"/>
        <v>91.962131226635449</v>
      </c>
      <c r="AI106" s="312">
        <f t="shared" si="36"/>
        <v>94.319388320135474</v>
      </c>
      <c r="AJ106" s="312">
        <f t="shared" si="36"/>
        <v>96.792452646922229</v>
      </c>
      <c r="AK106" s="312">
        <f t="shared" si="36"/>
        <v>99.001660414656797</v>
      </c>
      <c r="AL106" s="312">
        <f t="shared" si="36"/>
        <v>101.40018075638091</v>
      </c>
      <c r="AM106" s="312">
        <f t="shared" si="36"/>
        <v>103.69903313296334</v>
      </c>
      <c r="AN106" s="312">
        <f t="shared" si="36"/>
        <v>105.87562833800889</v>
      </c>
      <c r="AO106" s="312">
        <f t="shared" si="36"/>
        <v>107.92411696071282</v>
      </c>
      <c r="AP106" s="312">
        <f t="shared" si="36"/>
        <v>110.06447086895402</v>
      </c>
      <c r="AQ106" s="312">
        <f t="shared" si="36"/>
        <v>112.14222186233742</v>
      </c>
      <c r="AR106" s="312">
        <f t="shared" si="36"/>
        <v>114.11982676670924</v>
      </c>
      <c r="AS106" s="312">
        <f t="shared" si="36"/>
        <v>115.91042350281595</v>
      </c>
      <c r="AT106" s="312">
        <f t="shared" si="36"/>
        <v>117.912075797124</v>
      </c>
      <c r="AU106" s="312">
        <f t="shared" si="36"/>
        <v>119.99545814335086</v>
      </c>
    </row>
    <row r="107" spans="1:49" s="41" customFormat="1" ht="14.25" outlineLevel="1">
      <c r="A107" s="315" t="s">
        <v>265</v>
      </c>
      <c r="B107" s="312">
        <f t="shared" ref="B107:AU107" ca="1" si="37">$C$54*$D$15*
(IFERROR(-PMT($D$16,$D$18+1,
SUMIFS($B$101:$AU$101,$B$64:$AU$64,"&gt;"&amp;B$64-ROUNDDOWN($D$18,0),$B$64:$AU$64,"&lt;="&amp;B$64)),"")+
IFERROR(-PMT($D$16, $D$18+1, SUMIF($B$64:$AU$64,ROUNDDOWN(B$64-$D$18,0)+1,$B$101:$AU$101)* (($D$18-ROUNDDOWN($D$18,0)))),"")
)</f>
        <v>15.340080175357249</v>
      </c>
      <c r="C107" s="312">
        <f t="shared" ca="1" si="37"/>
        <v>31.571768334062707</v>
      </c>
      <c r="D107" s="312">
        <f t="shared" ca="1" si="37"/>
        <v>47.821813376269453</v>
      </c>
      <c r="E107" s="312">
        <f t="shared" ca="1" si="37"/>
        <v>62.097240511943603</v>
      </c>
      <c r="F107" s="312">
        <f t="shared" ca="1" si="37"/>
        <v>91.91408599533159</v>
      </c>
      <c r="G107" s="312">
        <f t="shared" ca="1" si="37"/>
        <v>109.52319419849671</v>
      </c>
      <c r="H107" s="312">
        <f t="shared" ca="1" si="37"/>
        <v>129.56824809444748</v>
      </c>
      <c r="I107" s="312">
        <f t="shared" ca="1" si="37"/>
        <v>144.00225830703556</v>
      </c>
      <c r="J107" s="312">
        <f t="shared" ca="1" si="37"/>
        <v>157.81981778330712</v>
      </c>
      <c r="K107" s="312">
        <f t="shared" ca="1" si="37"/>
        <v>180.07484741415755</v>
      </c>
      <c r="L107" s="312">
        <f t="shared" ca="1" si="37"/>
        <v>197.6270747741402</v>
      </c>
      <c r="M107" s="312">
        <f t="shared" ca="1" si="37"/>
        <v>222.91102842621106</v>
      </c>
      <c r="N107" s="312">
        <f t="shared" ca="1" si="37"/>
        <v>246.67596089526637</v>
      </c>
      <c r="O107" s="312">
        <f t="shared" ca="1" si="37"/>
        <v>269.7577131711347</v>
      </c>
      <c r="P107" s="312">
        <f t="shared" ca="1" si="37"/>
        <v>301.79477272266087</v>
      </c>
      <c r="Q107" s="312">
        <f t="shared" ca="1" si="37"/>
        <v>343.32021397690153</v>
      </c>
      <c r="R107" s="312">
        <f t="shared" ca="1" si="37"/>
        <v>378.95327227580884</v>
      </c>
      <c r="S107" s="312">
        <f t="shared" ca="1" si="37"/>
        <v>402.65251332604885</v>
      </c>
      <c r="T107" s="312">
        <f t="shared" ca="1" si="37"/>
        <v>427.40802365768451</v>
      </c>
      <c r="U107" s="312">
        <f t="shared" ca="1" si="37"/>
        <v>454.06416163595441</v>
      </c>
      <c r="V107" s="312">
        <f t="shared" ca="1" si="37"/>
        <v>482.7475223756</v>
      </c>
      <c r="W107" s="312">
        <f t="shared" ca="1" si="37"/>
        <v>513.47960601219836</v>
      </c>
      <c r="X107" s="312">
        <f t="shared" ca="1" si="37"/>
        <v>546.2777404967926</v>
      </c>
      <c r="Y107" s="312">
        <f t="shared" ca="1" si="37"/>
        <v>581.2849419777084</v>
      </c>
      <c r="Z107" s="312">
        <f t="shared" ca="1" si="37"/>
        <v>619.52296406044843</v>
      </c>
      <c r="AA107" s="312">
        <f t="shared" ca="1" si="37"/>
        <v>663.78264125877377</v>
      </c>
      <c r="AB107" s="312">
        <f t="shared" ca="1" si="37"/>
        <v>706.90796686052488</v>
      </c>
      <c r="AC107" s="312">
        <f t="shared" ca="1" si="37"/>
        <v>747.11678432018732</v>
      </c>
      <c r="AD107" s="312">
        <f t="shared" ca="1" si="37"/>
        <v>787.65081363916465</v>
      </c>
      <c r="AE107" s="312">
        <f t="shared" ca="1" si="37"/>
        <v>842.35978618896002</v>
      </c>
      <c r="AF107" s="312">
        <f t="shared" ca="1" si="37"/>
        <v>880.24121852521</v>
      </c>
      <c r="AG107" s="312">
        <f t="shared" ca="1" si="37"/>
        <v>921.77528095866637</v>
      </c>
      <c r="AH107" s="312">
        <f t="shared" ca="1" si="37"/>
        <v>958.36934032006025</v>
      </c>
      <c r="AI107" s="312">
        <f t="shared" ca="1" si="37"/>
        <v>993.97410024468923</v>
      </c>
      <c r="AJ107" s="312">
        <f t="shared" ca="1" si="37"/>
        <v>1022.7941642671134</v>
      </c>
      <c r="AK107" s="312">
        <f t="shared" ca="1" si="37"/>
        <v>1044.5472803126638</v>
      </c>
      <c r="AL107" s="312">
        <f t="shared" ca="1" si="37"/>
        <v>1074.6096996139747</v>
      </c>
      <c r="AM107" s="312">
        <f t="shared" ca="1" si="37"/>
        <v>1104.2660881270724</v>
      </c>
      <c r="AN107" s="312">
        <f t="shared" ca="1" si="37"/>
        <v>1118.365351169359</v>
      </c>
      <c r="AO107" s="312">
        <f t="shared" ca="1" si="37"/>
        <v>1151.5102150287005</v>
      </c>
      <c r="AP107" s="312">
        <f t="shared" ca="1" si="37"/>
        <v>1191.3346324515066</v>
      </c>
      <c r="AQ107" s="312">
        <f t="shared" ca="1" si="37"/>
        <v>1229.3391740195664</v>
      </c>
      <c r="AR107" s="312">
        <f t="shared" ca="1" si="37"/>
        <v>1256.795941807721</v>
      </c>
      <c r="AS107" s="312">
        <f t="shared" ca="1" si="37"/>
        <v>1275.6550420480171</v>
      </c>
      <c r="AT107" s="312">
        <f t="shared" ca="1" si="37"/>
        <v>1302.5022623518857</v>
      </c>
      <c r="AU107" s="312">
        <f t="shared" ca="1" si="37"/>
        <v>1324.838207265343</v>
      </c>
    </row>
    <row r="108" spans="1:49" s="41" customFormat="1" ht="14.25" outlineLevel="1">
      <c r="A108" s="315" t="s">
        <v>266</v>
      </c>
      <c r="B108" s="312">
        <f t="shared" ref="B108:AU108" ca="1" si="38">$C$55*$D$21*
(IFERROR(-PMT($D$22,$D$24+1,
SUMIFS($B$101:$AU$101,$B$64:$AU$64,"&gt;"&amp;B$64-ROUNDDOWN($D$24,0),$B$64:$AU$64,"&lt;="&amp;B$64)),"")+
IFERROR(-PMT($D$22, $D$24+1, SUMIF($B$64:$AU$64,ROUNDDOWN(B$64-$D$24,0)+1,$B$101:$AU$101)* (($D$24-ROUNDDOWN($D$24,0)))),"")
)</f>
        <v>7.9883354175894139</v>
      </c>
      <c r="C108" s="312">
        <f t="shared" ca="1" si="38"/>
        <v>16.440975033759727</v>
      </c>
      <c r="D108" s="312">
        <f t="shared" ca="1" si="38"/>
        <v>24.903173983450703</v>
      </c>
      <c r="E108" s="312">
        <f t="shared" ca="1" si="38"/>
        <v>32.337092117223889</v>
      </c>
      <c r="F108" s="312">
        <f t="shared" ca="1" si="38"/>
        <v>47.864192373086283</v>
      </c>
      <c r="G108" s="312">
        <f t="shared" ca="1" si="38"/>
        <v>57.034122459728238</v>
      </c>
      <c r="H108" s="312">
        <f t="shared" ca="1" si="38"/>
        <v>67.472569466135951</v>
      </c>
      <c r="I108" s="312">
        <f t="shared" ca="1" si="38"/>
        <v>74.989069620045967</v>
      </c>
      <c r="J108" s="312">
        <f t="shared" ca="1" si="38"/>
        <v>82.184553508472106</v>
      </c>
      <c r="K108" s="312">
        <f t="shared" ca="1" si="38"/>
        <v>93.773843746030082</v>
      </c>
      <c r="L108" s="312">
        <f t="shared" ca="1" si="38"/>
        <v>102.91415317561011</v>
      </c>
      <c r="M108" s="312">
        <f t="shared" ca="1" si="38"/>
        <v>116.08075335935543</v>
      </c>
      <c r="N108" s="312">
        <f t="shared" ca="1" si="38"/>
        <v>128.45632438434549</v>
      </c>
      <c r="O108" s="312">
        <f t="shared" ca="1" si="38"/>
        <v>140.47612982848815</v>
      </c>
      <c r="P108" s="312">
        <f t="shared" ca="1" si="38"/>
        <v>157.15940491997034</v>
      </c>
      <c r="Q108" s="312">
        <f t="shared" ca="1" si="38"/>
        <v>178.78374777282991</v>
      </c>
      <c r="R108" s="312">
        <f t="shared" ca="1" si="38"/>
        <v>197.33963655517525</v>
      </c>
      <c r="S108" s="312">
        <f t="shared" ca="1" si="38"/>
        <v>209.68099882235211</v>
      </c>
      <c r="T108" s="312">
        <f t="shared" ca="1" si="38"/>
        <v>222.57241253741114</v>
      </c>
      <c r="U108" s="312">
        <f t="shared" ca="1" si="38"/>
        <v>236.45357669521223</v>
      </c>
      <c r="V108" s="312">
        <f t="shared" ca="1" si="38"/>
        <v>251.39041560822449</v>
      </c>
      <c r="W108" s="312">
        <f t="shared" ca="1" si="38"/>
        <v>267.39412545616483</v>
      </c>
      <c r="X108" s="312">
        <f t="shared" ca="1" si="38"/>
        <v>284.47372975673642</v>
      </c>
      <c r="Y108" s="312">
        <f t="shared" ca="1" si="38"/>
        <v>302.70370406351515</v>
      </c>
      <c r="Z108" s="312">
        <f t="shared" ca="1" si="38"/>
        <v>322.61612581166315</v>
      </c>
      <c r="AA108" s="312">
        <f t="shared" ca="1" si="38"/>
        <v>342.2665980660837</v>
      </c>
      <c r="AB108" s="312">
        <f t="shared" ca="1" si="38"/>
        <v>356.53825907508906</v>
      </c>
      <c r="AC108" s="312">
        <f t="shared" ca="1" si="38"/>
        <v>369.02026552044066</v>
      </c>
      <c r="AD108" s="312">
        <f t="shared" ca="1" si="38"/>
        <v>382.10349663660327</v>
      </c>
      <c r="AE108" s="312">
        <f t="shared" ca="1" si="38"/>
        <v>399.7169185748761</v>
      </c>
      <c r="AF108" s="312">
        <f t="shared" ca="1" si="38"/>
        <v>406.62047582129208</v>
      </c>
      <c r="AG108" s="312">
        <f t="shared" ca="1" si="38"/>
        <v>418.53983289190757</v>
      </c>
      <c r="AH108" s="312">
        <f t="shared" ca="1" si="38"/>
        <v>428.40052273317878</v>
      </c>
      <c r="AI108" s="312">
        <f t="shared" ca="1" si="38"/>
        <v>439.56171459006248</v>
      </c>
      <c r="AJ108" s="312">
        <f t="shared" ca="1" si="38"/>
        <v>453.19281750228487</v>
      </c>
      <c r="AK108" s="312">
        <f t="shared" ca="1" si="38"/>
        <v>462.4082331224796</v>
      </c>
      <c r="AL108" s="312">
        <f t="shared" ca="1" si="38"/>
        <v>475.67222112442624</v>
      </c>
      <c r="AM108" s="312">
        <f t="shared" ca="1" si="38"/>
        <v>485.75827128842764</v>
      </c>
      <c r="AN108" s="312">
        <f t="shared" ca="1" si="38"/>
        <v>496.0984170535944</v>
      </c>
      <c r="AO108" s="312">
        <f t="shared" ca="1" si="38"/>
        <v>508.76465171894137</v>
      </c>
      <c r="AP108" s="312">
        <f t="shared" ca="1" si="38"/>
        <v>521.10896128840295</v>
      </c>
      <c r="AQ108" s="312">
        <f t="shared" ca="1" si="38"/>
        <v>528.20715243535028</v>
      </c>
      <c r="AR108" s="312">
        <f t="shared" ca="1" si="38"/>
        <v>533.80019051521663</v>
      </c>
      <c r="AS108" s="312">
        <f t="shared" ca="1" si="38"/>
        <v>542.46950246066979</v>
      </c>
      <c r="AT108" s="312">
        <f t="shared" ca="1" si="38"/>
        <v>552.37034968452724</v>
      </c>
      <c r="AU108" s="312">
        <f t="shared" ca="1" si="38"/>
        <v>562.68651942139218</v>
      </c>
    </row>
    <row r="109" spans="1:49" s="41" customFormat="1" ht="14.25" outlineLevel="1">
      <c r="A109" s="315" t="s">
        <v>267</v>
      </c>
      <c r="B109" s="312">
        <f t="shared" ref="B109:AU109" ca="1" si="39">$C$56*$D$27*
(IFERROR(-PMT($D$28,$D$30+1,
SUMIFS($B$101:$AU$101,$B$64:$AU$64,"&gt;"&amp;B$64-ROUNDDOWN($D$30,0),$B$64:$AU$64,"&lt;="&amp;B$64)),"")+
IFERROR(-PMT($D$28, $D$30+1, SUMIF($B$64:$AU$64,ROUNDDOWN(B$64-$D$30,0)+1,$B$101:$AU$101)* (($D$30-ROUNDDOWN($D$30,0)))),"")
)</f>
        <v>2.2330671986253723</v>
      </c>
      <c r="C109" s="312">
        <f t="shared" ca="1" si="39"/>
        <v>4.5959264530214714</v>
      </c>
      <c r="D109" s="312">
        <f t="shared" ca="1" si="39"/>
        <v>6.9614579329827002</v>
      </c>
      <c r="E109" s="312">
        <f t="shared" ca="1" si="39"/>
        <v>9.039542774693647</v>
      </c>
      <c r="F109" s="312">
        <f t="shared" ca="1" si="39"/>
        <v>13.380003766703043</v>
      </c>
      <c r="G109" s="312">
        <f t="shared" ca="1" si="39"/>
        <v>15.943375110009416</v>
      </c>
      <c r="H109" s="312">
        <f t="shared" ca="1" si="39"/>
        <v>18.861348930096241</v>
      </c>
      <c r="I109" s="312">
        <f t="shared" ca="1" si="39"/>
        <v>20.962518831550391</v>
      </c>
      <c r="J109" s="312">
        <f t="shared" ca="1" si="39"/>
        <v>22.973951528042054</v>
      </c>
      <c r="K109" s="312">
        <f t="shared" ca="1" si="39"/>
        <v>26.213633205385729</v>
      </c>
      <c r="L109" s="312">
        <f t="shared" ca="1" si="39"/>
        <v>28.768724360864599</v>
      </c>
      <c r="M109" s="312">
        <f t="shared" ca="1" si="39"/>
        <v>32.449328823591188</v>
      </c>
      <c r="N109" s="312">
        <f t="shared" ca="1" si="39"/>
        <v>35.908808211413792</v>
      </c>
      <c r="O109" s="312">
        <f t="shared" ca="1" si="39"/>
        <v>39.26883653622258</v>
      </c>
      <c r="P109" s="312">
        <f t="shared" ca="1" si="39"/>
        <v>43.932495787485564</v>
      </c>
      <c r="Q109" s="312">
        <f t="shared" ca="1" si="39"/>
        <v>49.977386017085031</v>
      </c>
      <c r="R109" s="312">
        <f t="shared" ca="1" si="39"/>
        <v>55.164517555147064</v>
      </c>
      <c r="S109" s="312">
        <f t="shared" ca="1" si="39"/>
        <v>58.614434192911595</v>
      </c>
      <c r="T109" s="312">
        <f t="shared" ca="1" si="39"/>
        <v>62.218112757487255</v>
      </c>
      <c r="U109" s="312">
        <f t="shared" ca="1" si="39"/>
        <v>66.098467141614222</v>
      </c>
      <c r="V109" s="312">
        <f t="shared" ca="1" si="39"/>
        <v>70.273925892927423</v>
      </c>
      <c r="W109" s="312">
        <f t="shared" ca="1" si="39"/>
        <v>74.747618802599646</v>
      </c>
      <c r="X109" s="312">
        <f t="shared" ca="1" si="39"/>
        <v>79.522068313711515</v>
      </c>
      <c r="Y109" s="312">
        <f t="shared" ca="1" si="39"/>
        <v>84.618093396310655</v>
      </c>
      <c r="Z109" s="312">
        <f t="shared" ca="1" si="39"/>
        <v>90.184431503881271</v>
      </c>
      <c r="AA109" s="312">
        <f t="shared" ca="1" si="39"/>
        <v>96.62734655018582</v>
      </c>
      <c r="AB109" s="312">
        <f t="shared" ca="1" si="39"/>
        <v>102.90513316736474</v>
      </c>
      <c r="AC109" s="312">
        <f t="shared" ca="1" si="39"/>
        <v>108.75836146462795</v>
      </c>
      <c r="AD109" s="312">
        <f t="shared" ca="1" si="39"/>
        <v>114.65893110087626</v>
      </c>
      <c r="AE109" s="312">
        <f t="shared" ca="1" si="39"/>
        <v>122.62295805998561</v>
      </c>
      <c r="AF109" s="312">
        <f t="shared" ca="1" si="39"/>
        <v>126.38332321706201</v>
      </c>
      <c r="AG109" s="312">
        <f t="shared" ca="1" si="39"/>
        <v>130.09445018296154</v>
      </c>
      <c r="AH109" s="312">
        <f t="shared" ca="1" si="39"/>
        <v>133.05651710521457</v>
      </c>
      <c r="AI109" s="312">
        <f t="shared" ca="1" si="39"/>
        <v>136.09978574605088</v>
      </c>
      <c r="AJ109" s="312">
        <f t="shared" ca="1" si="39"/>
        <v>138.58891745060387</v>
      </c>
      <c r="AK109" s="312">
        <f t="shared" ca="1" si="39"/>
        <v>141.16893961956751</v>
      </c>
      <c r="AL109" s="312">
        <f t="shared" ca="1" si="39"/>
        <v>145.06866985151544</v>
      </c>
      <c r="AM109" s="312">
        <f t="shared" ca="1" si="39"/>
        <v>149.19830830936556</v>
      </c>
      <c r="AN109" s="312">
        <f t="shared" ca="1" si="39"/>
        <v>153.47530048797668</v>
      </c>
      <c r="AO109" s="312">
        <f t="shared" ca="1" si="39"/>
        <v>157.95432443767714</v>
      </c>
      <c r="AP109" s="312">
        <f t="shared" ca="1" si="39"/>
        <v>163.95427166410261</v>
      </c>
      <c r="AQ109" s="312">
        <f t="shared" ca="1" si="39"/>
        <v>168.17938550469822</v>
      </c>
      <c r="AR109" s="312">
        <f t="shared" ca="1" si="39"/>
        <v>170.68418968857969</v>
      </c>
      <c r="AS109" s="312">
        <f t="shared" ca="1" si="39"/>
        <v>173.24157373113505</v>
      </c>
      <c r="AT109" s="312">
        <f t="shared" ca="1" si="39"/>
        <v>175.34660060373736</v>
      </c>
      <c r="AU109" s="312">
        <f t="shared" ca="1" si="39"/>
        <v>176.4876558700268</v>
      </c>
    </row>
    <row r="110" spans="1:49" ht="14.25">
      <c r="A110" s="340"/>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row>
    <row r="111" spans="1:49" ht="21">
      <c r="A111" s="331" t="str">
        <f>'OSeMOSYS (Input)'!$C$5&amp;" Financing Requirements"</f>
        <v>LeastCost Financing Requirements</v>
      </c>
      <c r="B111" s="333">
        <f t="shared" ref="B111:AT111" ca="1" si="40">SUM(B115:B122)</f>
        <v>29.277603323364271</v>
      </c>
      <c r="C111" s="333">
        <f t="shared" ca="1" si="40"/>
        <v>77.393256233173815</v>
      </c>
      <c r="D111" s="333">
        <f t="shared" ca="1" si="40"/>
        <v>124.52869040450058</v>
      </c>
      <c r="E111" s="333">
        <f t="shared" ca="1" si="40"/>
        <v>168.1847862372064</v>
      </c>
      <c r="F111" s="333">
        <f t="shared" ca="1" si="40"/>
        <v>257.97208968117684</v>
      </c>
      <c r="G111" s="333">
        <f t="shared" ca="1" si="40"/>
        <v>314.50718445782292</v>
      </c>
      <c r="H111" s="333">
        <f t="shared" ca="1" si="40"/>
        <v>398.81248520364903</v>
      </c>
      <c r="I111" s="333">
        <f t="shared" ca="1" si="40"/>
        <v>465.76028961885629</v>
      </c>
      <c r="J111" s="333">
        <f t="shared" ca="1" si="40"/>
        <v>534.34095988458898</v>
      </c>
      <c r="K111" s="333">
        <f t="shared" ca="1" si="40"/>
        <v>629.83224266989043</v>
      </c>
      <c r="L111" s="333">
        <f t="shared" ca="1" si="40"/>
        <v>727.47774228063065</v>
      </c>
      <c r="M111" s="333">
        <f t="shared" ca="1" si="40"/>
        <v>836.37998043487823</v>
      </c>
      <c r="N111" s="333">
        <f t="shared" ca="1" si="40"/>
        <v>948.54637800258058</v>
      </c>
      <c r="O111" s="333">
        <f t="shared" ca="1" si="40"/>
        <v>1046.0762171502151</v>
      </c>
      <c r="P111" s="333">
        <f t="shared" ca="1" si="40"/>
        <v>1165.9498204090849</v>
      </c>
      <c r="Q111" s="333">
        <f t="shared" ca="1" si="40"/>
        <v>1321.6387753699357</v>
      </c>
      <c r="R111" s="333">
        <f t="shared" ca="1" si="40"/>
        <v>1455.4310502584519</v>
      </c>
      <c r="S111" s="333">
        <f t="shared" ca="1" si="40"/>
        <v>1564.457254611402</v>
      </c>
      <c r="T111" s="333">
        <f t="shared" ca="1" si="40"/>
        <v>1674.85409781005</v>
      </c>
      <c r="U111" s="333">
        <f t="shared" ca="1" si="40"/>
        <v>1787.8648857201656</v>
      </c>
      <c r="V111" s="333">
        <f t="shared" ca="1" si="40"/>
        <v>1913.9034234605442</v>
      </c>
      <c r="W111" s="333">
        <f t="shared" ca="1" si="40"/>
        <v>2060.5121790493499</v>
      </c>
      <c r="X111" s="333">
        <f t="shared" ca="1" si="40"/>
        <v>2210.607065110858</v>
      </c>
      <c r="Y111" s="333">
        <f t="shared" ca="1" si="40"/>
        <v>2361.1490384386652</v>
      </c>
      <c r="Z111" s="333">
        <f t="shared" ca="1" si="40"/>
        <v>2513.9631757440343</v>
      </c>
      <c r="AA111" s="333">
        <f t="shared" ca="1" si="40"/>
        <v>2681.3184817324545</v>
      </c>
      <c r="AB111" s="333">
        <f t="shared" ca="1" si="40"/>
        <v>2861.3412835165282</v>
      </c>
      <c r="AC111" s="333">
        <f t="shared" ca="1" si="40"/>
        <v>2990.630981738474</v>
      </c>
      <c r="AD111" s="333">
        <f t="shared" ca="1" si="40"/>
        <v>3100.8523415467398</v>
      </c>
      <c r="AE111" s="333">
        <f t="shared" ca="1" si="40"/>
        <v>3252.3451263403977</v>
      </c>
      <c r="AF111" s="333">
        <f t="shared" ca="1" si="40"/>
        <v>3358.537763742821</v>
      </c>
      <c r="AG111" s="333">
        <f t="shared" ca="1" si="40"/>
        <v>3466.9481279529823</v>
      </c>
      <c r="AH111" s="333">
        <f t="shared" ca="1" si="40"/>
        <v>3570.5983320153891</v>
      </c>
      <c r="AI111" s="333">
        <f t="shared" ca="1" si="40"/>
        <v>3668.8702593502767</v>
      </c>
      <c r="AJ111" s="333">
        <f t="shared" ca="1" si="40"/>
        <v>3783.4171613807739</v>
      </c>
      <c r="AK111" s="333">
        <f t="shared" ca="1" si="40"/>
        <v>3894.687997782371</v>
      </c>
      <c r="AL111" s="333">
        <f t="shared" ca="1" si="40"/>
        <v>3994.2263402409935</v>
      </c>
      <c r="AM111" s="333">
        <f t="shared" ca="1" si="40"/>
        <v>4097.4430611796961</v>
      </c>
      <c r="AN111" s="333">
        <f t="shared" ca="1" si="40"/>
        <v>4159.8161511928784</v>
      </c>
      <c r="AO111" s="333">
        <f t="shared" ca="1" si="40"/>
        <v>4248.9479916531718</v>
      </c>
      <c r="AP111" s="333">
        <f t="shared" ca="1" si="40"/>
        <v>4361.2659977902567</v>
      </c>
      <c r="AQ111" s="333">
        <f t="shared" ca="1" si="40"/>
        <v>4445.6423932648049</v>
      </c>
      <c r="AR111" s="333">
        <f t="shared" ca="1" si="40"/>
        <v>4494.4504388344958</v>
      </c>
      <c r="AS111" s="333">
        <f t="shared" ca="1" si="40"/>
        <v>4535.0940365385122</v>
      </c>
      <c r="AT111" s="333">
        <f t="shared" ca="1" si="40"/>
        <v>4610.4973453063976</v>
      </c>
      <c r="AU111" s="333">
        <f ca="1">SUM(AU115:AU122)</f>
        <v>4697.0398513046621</v>
      </c>
      <c r="AW111" s="54"/>
    </row>
    <row r="112" spans="1:49" ht="14.25">
      <c r="A112" s="338" t="s">
        <v>334</v>
      </c>
      <c r="B112" s="462">
        <f>'Investment Needs'!C7</f>
        <v>550.28309999999999</v>
      </c>
      <c r="C112" s="462">
        <f>'Investment Needs'!D7</f>
        <v>891.30279999999993</v>
      </c>
      <c r="D112" s="462">
        <f>'Investment Needs'!E7</f>
        <v>859.85770000000014</v>
      </c>
      <c r="E112" s="462">
        <f>'Investment Needs'!F7</f>
        <v>783.88200000000006</v>
      </c>
      <c r="F112" s="462">
        <f>'Investment Needs'!G7</f>
        <v>1637.2811999999999</v>
      </c>
      <c r="G112" s="462">
        <f>'Investment Needs'!H7</f>
        <v>1023.3453000000001</v>
      </c>
      <c r="H112" s="462">
        <f>'Investment Needs'!I7</f>
        <v>1265.5083</v>
      </c>
      <c r="I112" s="462">
        <f>'Investment Needs'!J7</f>
        <v>769.26179999999999</v>
      </c>
      <c r="J112" s="462">
        <f>'Investment Needs'!K7</f>
        <v>787.60719999999992</v>
      </c>
      <c r="K112" s="462">
        <f>'Investment Needs'!L7</f>
        <v>1327.6976</v>
      </c>
      <c r="L112" s="462">
        <f>'Investment Needs'!M7</f>
        <v>977.47140000000002</v>
      </c>
      <c r="M112" s="462">
        <f>'Investment Needs'!N7</f>
        <v>1422.614</v>
      </c>
      <c r="N112" s="462">
        <f>'Investment Needs'!O7</f>
        <v>1388.1181000000001</v>
      </c>
      <c r="O112" s="462">
        <f>'Investment Needs'!P7</f>
        <v>1338.3447999999999</v>
      </c>
      <c r="P112" s="462">
        <f>'Investment Needs'!Q7</f>
        <v>1759.1960000000001</v>
      </c>
      <c r="Q112" s="462">
        <f>'Investment Needs'!R7</f>
        <v>2194.2011999999995</v>
      </c>
      <c r="R112" s="462">
        <f>'Investment Needs'!S7</f>
        <v>1972.2902000000001</v>
      </c>
      <c r="S112" s="462">
        <f>'Investment Needs'!T7</f>
        <v>1328.5142000000001</v>
      </c>
      <c r="T112" s="462">
        <f>'Investment Needs'!U7</f>
        <v>1359.3568</v>
      </c>
      <c r="U112" s="462">
        <f>'Investment Needs'!V7</f>
        <v>1463.7227</v>
      </c>
      <c r="V112" s="462">
        <f>'Investment Needs'!W7</f>
        <v>1575.0400999999999</v>
      </c>
      <c r="W112" s="462">
        <f>'Investment Needs'!X7</f>
        <v>1687.5381</v>
      </c>
      <c r="X112" s="462">
        <f>'Investment Needs'!Y7</f>
        <v>1845.2716999999998</v>
      </c>
      <c r="Y112" s="462">
        <f>'Investment Needs'!Z7</f>
        <v>2124.9576999999999</v>
      </c>
      <c r="Z112" s="462">
        <f>'Investment Needs'!AA7</f>
        <v>2198.3962999999999</v>
      </c>
      <c r="AA112" s="462">
        <f>'Investment Needs'!AB7</f>
        <v>2514.3019000000004</v>
      </c>
      <c r="AB112" s="462">
        <f>'Investment Needs'!AC7</f>
        <v>2764.5448999999999</v>
      </c>
      <c r="AC112" s="462">
        <f>'Investment Needs'!AD7</f>
        <v>2166.1093000000001</v>
      </c>
      <c r="AD112" s="462">
        <f>'Investment Needs'!AE7</f>
        <v>2026.9261000000001</v>
      </c>
      <c r="AE112" s="462">
        <f>'Investment Needs'!AF7</f>
        <v>2803.8788</v>
      </c>
      <c r="AF112" s="462">
        <f>'Investment Needs'!AG7</f>
        <v>1955.2348999999999</v>
      </c>
      <c r="AG112" s="462">
        <f>'Investment Needs'!AH7</f>
        <v>2339.9332999999997</v>
      </c>
      <c r="AH112" s="462">
        <f>'Investment Needs'!AI7</f>
        <v>1887.2440000000001</v>
      </c>
      <c r="AI112" s="462">
        <f>'Investment Needs'!AJ7</f>
        <v>1969.2959000000001</v>
      </c>
      <c r="AJ112" s="462">
        <f>'Investment Needs'!AK7</f>
        <v>2395.5834999999997</v>
      </c>
      <c r="AK112" s="462">
        <f>'Investment Needs'!AL7</f>
        <v>2030.2130999999999</v>
      </c>
      <c r="AL112" s="462">
        <f>'Investment Needs'!AM7</f>
        <v>2513.4224999999997</v>
      </c>
      <c r="AM112" s="462">
        <f>'Investment Needs'!AN7</f>
        <v>2355.2791000000002</v>
      </c>
      <c r="AN112" s="462">
        <f>'Investment Needs'!AO7</f>
        <v>2286.4155999999998</v>
      </c>
      <c r="AO112" s="462">
        <f>'Investment Needs'!AP7</f>
        <v>2718.3445999999999</v>
      </c>
      <c r="AP112" s="462">
        <f>'Investment Needs'!AQ7</f>
        <v>3075.9814000000001</v>
      </c>
      <c r="AQ112" s="462">
        <f>'Investment Needs'!AR7</f>
        <v>2853.1113</v>
      </c>
      <c r="AR112" s="462">
        <f>'Investment Needs'!AS7</f>
        <v>2238.9319</v>
      </c>
      <c r="AS112" s="462">
        <f>'Investment Needs'!AT7</f>
        <v>2167.7793000000001</v>
      </c>
      <c r="AT112" s="462">
        <f>'Investment Needs'!AU7</f>
        <v>2364.3987999999999</v>
      </c>
      <c r="AU112" s="462">
        <f>'Investment Needs'!AV7</f>
        <v>2501.8254000000002</v>
      </c>
      <c r="AW112" s="54"/>
    </row>
    <row r="113" spans="1:50" ht="14.25">
      <c r="A113" s="461" t="s">
        <v>335</v>
      </c>
      <c r="B113" s="462">
        <f t="shared" ref="B113:AU113" si="41">B76</f>
        <v>7.9396370874610769</v>
      </c>
      <c r="C113" s="462">
        <f t="shared" si="41"/>
        <v>0</v>
      </c>
      <c r="D113" s="462">
        <f t="shared" si="41"/>
        <v>0</v>
      </c>
      <c r="E113" s="462">
        <f t="shared" si="41"/>
        <v>0</v>
      </c>
      <c r="F113" s="462">
        <f t="shared" si="41"/>
        <v>0</v>
      </c>
      <c r="G113" s="462">
        <f t="shared" si="41"/>
        <v>0</v>
      </c>
      <c r="H113" s="462">
        <f t="shared" si="41"/>
        <v>0</v>
      </c>
      <c r="I113" s="462">
        <f t="shared" si="41"/>
        <v>0</v>
      </c>
      <c r="J113" s="462">
        <f t="shared" si="41"/>
        <v>0</v>
      </c>
      <c r="K113" s="462">
        <f t="shared" si="41"/>
        <v>0</v>
      </c>
      <c r="L113" s="462">
        <f t="shared" si="41"/>
        <v>0</v>
      </c>
      <c r="M113" s="462">
        <f t="shared" si="41"/>
        <v>0</v>
      </c>
      <c r="N113" s="462">
        <f t="shared" si="41"/>
        <v>0</v>
      </c>
      <c r="O113" s="462">
        <f t="shared" si="41"/>
        <v>0</v>
      </c>
      <c r="P113" s="462">
        <f t="shared" si="41"/>
        <v>0</v>
      </c>
      <c r="Q113" s="462">
        <f t="shared" si="41"/>
        <v>0</v>
      </c>
      <c r="R113" s="462">
        <f t="shared" si="41"/>
        <v>0</v>
      </c>
      <c r="S113" s="462">
        <f t="shared" si="41"/>
        <v>0</v>
      </c>
      <c r="T113" s="462">
        <f t="shared" si="41"/>
        <v>0</v>
      </c>
      <c r="U113" s="462">
        <f t="shared" si="41"/>
        <v>0</v>
      </c>
      <c r="V113" s="462">
        <f t="shared" si="41"/>
        <v>0</v>
      </c>
      <c r="W113" s="462">
        <f t="shared" si="41"/>
        <v>0</v>
      </c>
      <c r="X113" s="462">
        <f t="shared" si="41"/>
        <v>0</v>
      </c>
      <c r="Y113" s="462">
        <f t="shared" si="41"/>
        <v>0</v>
      </c>
      <c r="Z113" s="462">
        <f t="shared" si="41"/>
        <v>0</v>
      </c>
      <c r="AA113" s="462">
        <f t="shared" si="41"/>
        <v>0</v>
      </c>
      <c r="AB113" s="462">
        <f t="shared" si="41"/>
        <v>0</v>
      </c>
      <c r="AC113" s="462">
        <f t="shared" si="41"/>
        <v>0</v>
      </c>
      <c r="AD113" s="462">
        <f t="shared" si="41"/>
        <v>0</v>
      </c>
      <c r="AE113" s="462">
        <f t="shared" si="41"/>
        <v>0</v>
      </c>
      <c r="AF113" s="462">
        <f t="shared" si="41"/>
        <v>0</v>
      </c>
      <c r="AG113" s="462">
        <f t="shared" si="41"/>
        <v>0</v>
      </c>
      <c r="AH113" s="462">
        <f t="shared" si="41"/>
        <v>0</v>
      </c>
      <c r="AI113" s="462">
        <f t="shared" si="41"/>
        <v>0</v>
      </c>
      <c r="AJ113" s="462">
        <f t="shared" si="41"/>
        <v>0</v>
      </c>
      <c r="AK113" s="462">
        <f t="shared" si="41"/>
        <v>0</v>
      </c>
      <c r="AL113" s="462">
        <f t="shared" si="41"/>
        <v>0</v>
      </c>
      <c r="AM113" s="462">
        <f t="shared" si="41"/>
        <v>0</v>
      </c>
      <c r="AN113" s="462">
        <f t="shared" si="41"/>
        <v>0</v>
      </c>
      <c r="AO113" s="462">
        <f t="shared" si="41"/>
        <v>0</v>
      </c>
      <c r="AP113" s="462">
        <f t="shared" si="41"/>
        <v>0</v>
      </c>
      <c r="AQ113" s="462">
        <f t="shared" si="41"/>
        <v>0</v>
      </c>
      <c r="AR113" s="462">
        <f t="shared" si="41"/>
        <v>0</v>
      </c>
      <c r="AS113" s="462">
        <f t="shared" si="41"/>
        <v>0</v>
      </c>
      <c r="AT113" s="462">
        <f t="shared" si="41"/>
        <v>0</v>
      </c>
      <c r="AU113" s="462">
        <f t="shared" si="41"/>
        <v>0</v>
      </c>
      <c r="AW113" s="54"/>
      <c r="AX113" s="54"/>
    </row>
    <row r="114" spans="1:50" ht="14.25" outlineLevel="1">
      <c r="A114" s="461" t="s">
        <v>336</v>
      </c>
      <c r="B114" s="344">
        <f t="shared" ref="B114:AU114" si="42">B112-B113</f>
        <v>542.34346291253894</v>
      </c>
      <c r="C114" s="344">
        <f t="shared" si="42"/>
        <v>891.30279999999993</v>
      </c>
      <c r="D114" s="344">
        <f t="shared" si="42"/>
        <v>859.85770000000014</v>
      </c>
      <c r="E114" s="344">
        <f t="shared" si="42"/>
        <v>783.88200000000006</v>
      </c>
      <c r="F114" s="344">
        <f t="shared" si="42"/>
        <v>1637.2811999999999</v>
      </c>
      <c r="G114" s="344">
        <f t="shared" si="42"/>
        <v>1023.3453000000001</v>
      </c>
      <c r="H114" s="344">
        <f t="shared" si="42"/>
        <v>1265.5083</v>
      </c>
      <c r="I114" s="344">
        <f t="shared" si="42"/>
        <v>769.26179999999999</v>
      </c>
      <c r="J114" s="344">
        <f t="shared" si="42"/>
        <v>787.60719999999992</v>
      </c>
      <c r="K114" s="344">
        <f t="shared" si="42"/>
        <v>1327.6976</v>
      </c>
      <c r="L114" s="344">
        <f t="shared" si="42"/>
        <v>977.47140000000002</v>
      </c>
      <c r="M114" s="344">
        <f t="shared" si="42"/>
        <v>1422.614</v>
      </c>
      <c r="N114" s="344">
        <f t="shared" si="42"/>
        <v>1388.1181000000001</v>
      </c>
      <c r="O114" s="344">
        <f t="shared" si="42"/>
        <v>1338.3447999999999</v>
      </c>
      <c r="P114" s="344">
        <f t="shared" si="42"/>
        <v>1759.1960000000001</v>
      </c>
      <c r="Q114" s="344">
        <f t="shared" si="42"/>
        <v>2194.2011999999995</v>
      </c>
      <c r="R114" s="344">
        <f t="shared" si="42"/>
        <v>1972.2902000000001</v>
      </c>
      <c r="S114" s="344">
        <f t="shared" si="42"/>
        <v>1328.5142000000001</v>
      </c>
      <c r="T114" s="344">
        <f t="shared" si="42"/>
        <v>1359.3568</v>
      </c>
      <c r="U114" s="344">
        <f t="shared" si="42"/>
        <v>1463.7227</v>
      </c>
      <c r="V114" s="344">
        <f t="shared" si="42"/>
        <v>1575.0400999999999</v>
      </c>
      <c r="W114" s="344">
        <f t="shared" si="42"/>
        <v>1687.5381</v>
      </c>
      <c r="X114" s="344">
        <f t="shared" si="42"/>
        <v>1845.2716999999998</v>
      </c>
      <c r="Y114" s="344">
        <f t="shared" si="42"/>
        <v>2124.9576999999999</v>
      </c>
      <c r="Z114" s="344">
        <f t="shared" si="42"/>
        <v>2198.3962999999999</v>
      </c>
      <c r="AA114" s="344">
        <f t="shared" si="42"/>
        <v>2514.3019000000004</v>
      </c>
      <c r="AB114" s="344">
        <f t="shared" si="42"/>
        <v>2764.5448999999999</v>
      </c>
      <c r="AC114" s="344">
        <f t="shared" si="42"/>
        <v>2166.1093000000001</v>
      </c>
      <c r="AD114" s="344">
        <f t="shared" si="42"/>
        <v>2026.9261000000001</v>
      </c>
      <c r="AE114" s="344">
        <f t="shared" si="42"/>
        <v>2803.8788</v>
      </c>
      <c r="AF114" s="344">
        <f t="shared" si="42"/>
        <v>1955.2348999999999</v>
      </c>
      <c r="AG114" s="344">
        <f t="shared" si="42"/>
        <v>2339.9332999999997</v>
      </c>
      <c r="AH114" s="344">
        <f t="shared" si="42"/>
        <v>1887.2440000000001</v>
      </c>
      <c r="AI114" s="344">
        <f t="shared" si="42"/>
        <v>1969.2959000000001</v>
      </c>
      <c r="AJ114" s="344">
        <f t="shared" si="42"/>
        <v>2395.5834999999997</v>
      </c>
      <c r="AK114" s="344">
        <f t="shared" si="42"/>
        <v>2030.2130999999999</v>
      </c>
      <c r="AL114" s="344">
        <f t="shared" si="42"/>
        <v>2513.4224999999997</v>
      </c>
      <c r="AM114" s="344">
        <f t="shared" si="42"/>
        <v>2355.2791000000002</v>
      </c>
      <c r="AN114" s="344">
        <f t="shared" si="42"/>
        <v>2286.4155999999998</v>
      </c>
      <c r="AO114" s="344">
        <f t="shared" si="42"/>
        <v>2718.3445999999999</v>
      </c>
      <c r="AP114" s="344">
        <f t="shared" si="42"/>
        <v>3075.9814000000001</v>
      </c>
      <c r="AQ114" s="344">
        <f t="shared" si="42"/>
        <v>2853.1113</v>
      </c>
      <c r="AR114" s="344">
        <f t="shared" si="42"/>
        <v>2238.9319</v>
      </c>
      <c r="AS114" s="344">
        <f t="shared" si="42"/>
        <v>2167.7793000000001</v>
      </c>
      <c r="AT114" s="344">
        <f t="shared" si="42"/>
        <v>2364.3987999999999</v>
      </c>
      <c r="AU114" s="344">
        <f t="shared" si="42"/>
        <v>2501.8254000000002</v>
      </c>
    </row>
    <row r="115" spans="1:50" ht="14.25" outlineLevel="1">
      <c r="A115" s="334" t="s">
        <v>260</v>
      </c>
      <c r="B115" s="335">
        <f t="shared" ref="B115:AU115" si="43">$C$53*$C$9*
(-PMT($C$10,$C$12-$C$11+1,
SUMIFS($B$114:$AU$114,$B$64:$AU$64,"&gt;="&amp;(B$64-(ROUNDDOWN($C$12,0))+1),$B$64:$AU$64,"&lt;="&amp;(B$64-(ROUNDUP($C$11,0)))))
+
IFERROR(-PMT($C$10,$C$12-$C$11+1,
(_xlfn.XLOOKUP(B$64-(ROUNDUP($C$12,0))+1,$B$64:$AU$64,$B$114:$AU$114,""))*($C$12-(ROUNDDOWN($C$12,0)))),0)
+
IFERROR(-PMT($C$10,$C$12-$C$11+1,
(_xlfn.XLOOKUP(B$64-(ROUNDDOWN($C$11,0)),$B$64:$AU$64,$B$114:$AU$114,"")*($C$11-ROUNDDOWN($C$11,0)))),0)
+
(((SUMIFS($B$114:$AU$114,$B$64:$AU$64,"&gt;"&amp;B$64-ROUNDDOWN($C$11,0),$B$64:$AU$64,"&lt;="&amp;B$64)+(IFERROR(SUMIF($B$64:$AU$64,ROUNDDOWN(B$64-$C$11,0)+1,$B$114:$AU$114)*(1-($C$11-ROUNDDOWN($C$11,0))),"")))*$C$10)
))</f>
        <v>9.4926649280160706</v>
      </c>
      <c r="C115" s="335">
        <f t="shared" si="43"/>
        <v>25.093182696526465</v>
      </c>
      <c r="D115" s="335">
        <f t="shared" si="43"/>
        <v>40.143315297075326</v>
      </c>
      <c r="E115" s="335">
        <f t="shared" si="43"/>
        <v>53.863641396595561</v>
      </c>
      <c r="F115" s="335">
        <f t="shared" si="43"/>
        <v>82.521056646102267</v>
      </c>
      <c r="G115" s="335">
        <f t="shared" si="43"/>
        <v>100.43272093793621</v>
      </c>
      <c r="H115" s="335">
        <f t="shared" si="43"/>
        <v>137.2251386881203</v>
      </c>
      <c r="I115" s="335">
        <f t="shared" si="43"/>
        <v>175.99375621642133</v>
      </c>
      <c r="J115" s="335">
        <f t="shared" si="43"/>
        <v>215.03291305786593</v>
      </c>
      <c r="K115" s="335">
        <f t="shared" si="43"/>
        <v>261.40216715140076</v>
      </c>
      <c r="L115" s="335">
        <f t="shared" si="43"/>
        <v>324.50759773528375</v>
      </c>
      <c r="M115" s="335">
        <f t="shared" si="43"/>
        <v>380.78188199161468</v>
      </c>
      <c r="N115" s="335">
        <f t="shared" si="43"/>
        <v>441.58564947974844</v>
      </c>
      <c r="O115" s="335">
        <f t="shared" si="43"/>
        <v>488.6746439809969</v>
      </c>
      <c r="P115" s="335">
        <f t="shared" si="43"/>
        <v>542.48973260325897</v>
      </c>
      <c r="Q115" s="335">
        <f t="shared" si="43"/>
        <v>618.5420461983789</v>
      </c>
      <c r="R115" s="335">
        <f t="shared" si="43"/>
        <v>682.49053587387095</v>
      </c>
      <c r="S115" s="335">
        <f t="shared" si="43"/>
        <v>746.38762934851582</v>
      </c>
      <c r="T115" s="335">
        <f t="shared" si="43"/>
        <v>810.91169581592931</v>
      </c>
      <c r="U115" s="335">
        <f t="shared" si="43"/>
        <v>875.83978279915846</v>
      </c>
      <c r="V115" s="335">
        <f t="shared" si="43"/>
        <v>953.96450646508117</v>
      </c>
      <c r="W115" s="335">
        <f t="shared" si="43"/>
        <v>1046.7654125752797</v>
      </c>
      <c r="X115" s="335">
        <f t="shared" si="43"/>
        <v>1137.3312539445224</v>
      </c>
      <c r="Y115" s="335">
        <f t="shared" si="43"/>
        <v>1214.9041051921581</v>
      </c>
      <c r="Z115" s="335">
        <f t="shared" si="43"/>
        <v>1293.1221329820005</v>
      </c>
      <c r="AA115" s="335">
        <f t="shared" si="43"/>
        <v>1379.7577033479683</v>
      </c>
      <c r="AB115" s="335">
        <f t="shared" si="43"/>
        <v>1474.0174124101434</v>
      </c>
      <c r="AC115" s="335">
        <f t="shared" si="43"/>
        <v>1542.0719876750281</v>
      </c>
      <c r="AD115" s="335">
        <f t="shared" si="43"/>
        <v>1593.6135446660019</v>
      </c>
      <c r="AE115" s="335">
        <f t="shared" si="43"/>
        <v>1663.6811512509498</v>
      </c>
      <c r="AF115" s="335">
        <f t="shared" si="43"/>
        <v>1724.5506768659736</v>
      </c>
      <c r="AG115" s="335">
        <f t="shared" si="43"/>
        <v>1771.8076096698462</v>
      </c>
      <c r="AH115" s="335">
        <f t="shared" si="43"/>
        <v>1830.156763951853</v>
      </c>
      <c r="AI115" s="335">
        <f t="shared" si="43"/>
        <v>1873.0559843427839</v>
      </c>
      <c r="AJ115" s="335">
        <f t="shared" si="43"/>
        <v>1932.8587187209225</v>
      </c>
      <c r="AK115" s="335">
        <f t="shared" si="43"/>
        <v>2012.0936810486915</v>
      </c>
      <c r="AL115" s="335">
        <f t="shared" si="43"/>
        <v>2059.4937821854205</v>
      </c>
      <c r="AM115" s="335">
        <f t="shared" si="43"/>
        <v>2118.5277525362594</v>
      </c>
      <c r="AN115" s="335">
        <f t="shared" si="43"/>
        <v>2153.5041868927633</v>
      </c>
      <c r="AO115" s="335">
        <f t="shared" si="43"/>
        <v>2193.2156903669206</v>
      </c>
      <c r="AP115" s="335">
        <f t="shared" si="43"/>
        <v>2253.0334267145358</v>
      </c>
      <c r="AQ115" s="335">
        <f t="shared" si="43"/>
        <v>2285.8830982165446</v>
      </c>
      <c r="AR115" s="335">
        <f t="shared" si="43"/>
        <v>2300.0048574447619</v>
      </c>
      <c r="AS115" s="335">
        <f t="shared" si="43"/>
        <v>2312.4050037832048</v>
      </c>
      <c r="AT115" s="335">
        <f t="shared" si="43"/>
        <v>2351.2054037791636</v>
      </c>
      <c r="AU115" s="335">
        <f t="shared" si="43"/>
        <v>2410.3743087349753</v>
      </c>
    </row>
    <row r="116" spans="1:50" ht="14.25" outlineLevel="1">
      <c r="A116" s="334" t="s">
        <v>261</v>
      </c>
      <c r="B116" s="335">
        <f t="shared" ref="B116:AU116" ca="1" si="44">$C$54*$C$15*
(-PMT($C$16,$C$18-$C$17+1,
SUMIFS($B$114:$AU$114,$B$64:$AU$64,"&gt;="&amp;(B$64-(ROUNDDOWN($C$18,0))+1),$B$64:$AU$64,"&lt;="&amp;(B$64-(ROUNDUP($C$17,0)))))
+
IFERROR(-PMT($C$16,$C$18-$C$17+1,
(_xlfn.XLOOKUP(B$64-(ROUNDUP($C$18,0))+1,$B$64:$AU$64,$B$114:$AU$114,""))*($C$18-(ROUNDDOWN($C$18,0)))),0)
+
IFERROR(-PMT($C$16,$C$18-$C$17+1,
(_xlfn.XLOOKUP(B$64-(ROUNDDOWN($C$17,0)),$B$64:$AU$64,$B$114:$AU$114,"")*($C$17-ROUNDDOWN($C$17,0)))),0)
+
(((SUMIFS($B$114:$AU$114,$B$64:$AU$64,"&gt;"&amp;B$64-ROUNDDOWN($C$17,0),$B$64:$AU$64,"&lt;="&amp;B$64)+(IFERROR(SUMIF($B$64:$AU$64,ROUNDDOWN(B$64-$C$17,0)+1,$B$114:$AU$114)*(1-($C$17-ROUNDDOWN($C$17,0))),"")))*$C$16)
))</f>
        <v>0.26965183941389109</v>
      </c>
      <c r="C116" s="335">
        <f t="shared" ca="1" si="44"/>
        <v>0.71280540524475677</v>
      </c>
      <c r="D116" s="335">
        <f t="shared" ca="1" si="44"/>
        <v>1.1403245444891603</v>
      </c>
      <c r="E116" s="335">
        <f t="shared" ca="1" si="44"/>
        <v>1.5300687520588334</v>
      </c>
      <c r="F116" s="335">
        <f t="shared" ca="1" si="44"/>
        <v>2.3441209485153447</v>
      </c>
      <c r="G116" s="335">
        <f t="shared" ca="1" si="44"/>
        <v>2.8529257214513848</v>
      </c>
      <c r="H116" s="335">
        <f t="shared" ca="1" si="44"/>
        <v>3.4821333439715398</v>
      </c>
      <c r="I116" s="335">
        <f t="shared" ca="1" si="44"/>
        <v>3.9137886899683618</v>
      </c>
      <c r="J116" s="335">
        <f t="shared" ca="1" si="44"/>
        <v>4.834849641633074</v>
      </c>
      <c r="K116" s="335">
        <f t="shared" ca="1" si="44"/>
        <v>6.3102587916926547</v>
      </c>
      <c r="L116" s="335">
        <f t="shared" ca="1" si="44"/>
        <v>7.5786345916411095</v>
      </c>
      <c r="M116" s="335">
        <f t="shared" ca="1" si="44"/>
        <v>9.0828722883726094</v>
      </c>
      <c r="N116" s="335">
        <f t="shared" ca="1" si="44"/>
        <v>11.220239917602498</v>
      </c>
      <c r="O116" s="335">
        <f t="shared" ca="1" si="44"/>
        <v>12.846956563939045</v>
      </c>
      <c r="P116" s="335">
        <f t="shared" ca="1" si="44"/>
        <v>14.838242649559078</v>
      </c>
      <c r="Q116" s="335">
        <f t="shared" ca="1" si="44"/>
        <v>16.636968090799432</v>
      </c>
      <c r="R116" s="335">
        <f t="shared" ca="1" si="44"/>
        <v>18.389511665186809</v>
      </c>
      <c r="S116" s="335">
        <f t="shared" ca="1" si="44"/>
        <v>20.236989050832548</v>
      </c>
      <c r="T116" s="335">
        <f t="shared" ca="1" si="44"/>
        <v>21.850451261010576</v>
      </c>
      <c r="U116" s="335">
        <f t="shared" ca="1" si="44"/>
        <v>23.880909111860518</v>
      </c>
      <c r="V116" s="335">
        <f t="shared" ca="1" si="44"/>
        <v>25.933664319643235</v>
      </c>
      <c r="W116" s="335">
        <f t="shared" ca="1" si="44"/>
        <v>28.039342737725743</v>
      </c>
      <c r="X116" s="335">
        <f t="shared" ca="1" si="44"/>
        <v>30.336070812956606</v>
      </c>
      <c r="Y116" s="335">
        <f t="shared" ca="1" si="44"/>
        <v>32.44215299620992</v>
      </c>
      <c r="Z116" s="335">
        <f t="shared" ca="1" si="44"/>
        <v>34.041845998452629</v>
      </c>
      <c r="AA116" s="335">
        <f t="shared" ca="1" si="44"/>
        <v>35.335929915010006</v>
      </c>
      <c r="AB116" s="335">
        <f t="shared" ca="1" si="44"/>
        <v>36.425745097136669</v>
      </c>
      <c r="AC116" s="335">
        <f t="shared" ca="1" si="44"/>
        <v>36.850718064263233</v>
      </c>
      <c r="AD116" s="335">
        <f t="shared" ca="1" si="44"/>
        <v>37.743528354490209</v>
      </c>
      <c r="AE116" s="335">
        <f t="shared" ca="1" si="44"/>
        <v>39.161679865751807</v>
      </c>
      <c r="AF116" s="335">
        <f t="shared" ca="1" si="44"/>
        <v>40.755080615043262</v>
      </c>
      <c r="AG116" s="335">
        <f t="shared" ca="1" si="44"/>
        <v>42.487297168413214</v>
      </c>
      <c r="AH116" s="335">
        <f t="shared" ca="1" si="44"/>
        <v>43.770928761087497</v>
      </c>
      <c r="AI116" s="335">
        <f t="shared" ca="1" si="44"/>
        <v>45.471739313122669</v>
      </c>
      <c r="AJ116" s="335">
        <f t="shared" ca="1" si="44"/>
        <v>47.150486645017537</v>
      </c>
      <c r="AK116" s="335">
        <f t="shared" ca="1" si="44"/>
        <v>48.196470983976184</v>
      </c>
      <c r="AL116" s="335">
        <f t="shared" ca="1" si="44"/>
        <v>49.269859107448035</v>
      </c>
      <c r="AM116" s="335">
        <f t="shared" ca="1" si="44"/>
        <v>50.227653754547454</v>
      </c>
      <c r="AN116" s="335">
        <f t="shared" ca="1" si="44"/>
        <v>50.20154447201044</v>
      </c>
      <c r="AO116" s="335">
        <f t="shared" ca="1" si="44"/>
        <v>51.195278097823071</v>
      </c>
      <c r="AP116" s="335">
        <f t="shared" ca="1" si="44"/>
        <v>52.568779997250388</v>
      </c>
      <c r="AQ116" s="335">
        <f t="shared" ca="1" si="44"/>
        <v>53.857082264396908</v>
      </c>
      <c r="AR116" s="335">
        <f t="shared" ca="1" si="44"/>
        <v>55.008306911508818</v>
      </c>
      <c r="AS116" s="335">
        <f t="shared" ca="1" si="44"/>
        <v>55.707604637525371</v>
      </c>
      <c r="AT116" s="335">
        <f t="shared" ca="1" si="44"/>
        <v>56.707913410778545</v>
      </c>
      <c r="AU116" s="335">
        <f t="shared" ca="1" si="44"/>
        <v>57.354447850982183</v>
      </c>
    </row>
    <row r="117" spans="1:50" ht="14.25" outlineLevel="1">
      <c r="A117" s="334" t="s">
        <v>262</v>
      </c>
      <c r="B117" s="335">
        <f t="shared" ref="B117:AU117" ca="1" si="45">$C$55*$C$21*
(-PMT($C$22,$C$24-$C$23+1,
SUMIFS($B$114:$AU$114,$B$64:$AU$64,"&gt;="&amp;(B$64-(ROUNDDOWN($C$24,0))+1),$B$64:$AU$64,"&lt;="&amp;(B$64-(ROUNDUP($C$23,0)))))
+
IFERROR(-PMT($C$22,$C$24-$C$23+1,
(_xlfn.XLOOKUP(B$64-(ROUNDUP($C$24,0))+1,$B$64:$AU$64,$B$114:$AU$114,""))*($C$24-(ROUNDDOWN($C$24,0)))),0)
+
IFERROR(-PMT($C$22,$C$24-$C$23+1,
(_xlfn.XLOOKUP(B$64-(ROUNDDOWN($C$23,0)),$B$64:$AU$64,$B$114:$AU$114,"")*($C$23-ROUNDDOWN($C$23,0)))),0)
+
(((SUMIFS($B$114:$AU$114,$B$64:$AU$64,"&gt;"&amp;B$64-ROUNDDOWN($C$23,0),$B$64:$AU$64,"&lt;="&amp;B$64)+(IFERROR(SUMIF($B$64:$AU$64,ROUNDDOWN(B$64-$C$23,0)+1,$B$114:$AU$114)*(1-($C$23-ROUNDDOWN($C$23,0))),"")))*$C$22)
))</f>
        <v>2.3185689444609636</v>
      </c>
      <c r="C117" s="335">
        <f t="shared" ca="1" si="45"/>
        <v>6.1289716385271102</v>
      </c>
      <c r="D117" s="335">
        <f t="shared" ca="1" si="45"/>
        <v>10.522241700828735</v>
      </c>
      <c r="E117" s="335">
        <f t="shared" ca="1" si="45"/>
        <v>15.212805113331997</v>
      </c>
      <c r="F117" s="335">
        <f t="shared" ca="1" si="45"/>
        <v>23.613453831733732</v>
      </c>
      <c r="G117" s="335">
        <f t="shared" ca="1" si="45"/>
        <v>29.279674894973997</v>
      </c>
      <c r="H117" s="335">
        <f t="shared" ca="1" si="45"/>
        <v>37.087369355508457</v>
      </c>
      <c r="I117" s="335">
        <f t="shared" ca="1" si="45"/>
        <v>42.21423579183066</v>
      </c>
      <c r="J117" s="335">
        <f t="shared" ca="1" si="45"/>
        <v>47.558050847135299</v>
      </c>
      <c r="K117" s="335">
        <f t="shared" ca="1" si="45"/>
        <v>54.626166933410047</v>
      </c>
      <c r="L117" s="335">
        <f t="shared" ca="1" si="45"/>
        <v>60.074377850590295</v>
      </c>
      <c r="M117" s="335">
        <f t="shared" ca="1" si="45"/>
        <v>68.145364520762243</v>
      </c>
      <c r="N117" s="335">
        <f t="shared" ca="1" si="45"/>
        <v>75.765571631760238</v>
      </c>
      <c r="O117" s="335">
        <f t="shared" ca="1" si="45"/>
        <v>83.658046355931745</v>
      </c>
      <c r="P117" s="335">
        <f t="shared" ca="1" si="45"/>
        <v>93.435864388969279</v>
      </c>
      <c r="Q117" s="335">
        <f t="shared" ca="1" si="45"/>
        <v>104.27736744925414</v>
      </c>
      <c r="R117" s="335">
        <f t="shared" ca="1" si="45"/>
        <v>111.77234175145504</v>
      </c>
      <c r="S117" s="335">
        <f t="shared" ca="1" si="45"/>
        <v>115.6633539510175</v>
      </c>
      <c r="T117" s="335">
        <f t="shared" ca="1" si="45"/>
        <v>119.76595531671039</v>
      </c>
      <c r="U117" s="335">
        <f t="shared" ca="1" si="45"/>
        <v>122.61161710578604</v>
      </c>
      <c r="V117" s="335">
        <f t="shared" ca="1" si="45"/>
        <v>122.70153601258093</v>
      </c>
      <c r="W117" s="335">
        <f t="shared" ca="1" si="45"/>
        <v>125.90146964475012</v>
      </c>
      <c r="X117" s="335">
        <f t="shared" ca="1" si="45"/>
        <v>129.50684605448677</v>
      </c>
      <c r="Y117" s="335">
        <f t="shared" ca="1" si="45"/>
        <v>136.73128127775348</v>
      </c>
      <c r="Z117" s="335">
        <f t="shared" ca="1" si="45"/>
        <v>143.71085753858938</v>
      </c>
      <c r="AA117" s="335">
        <f t="shared" ca="1" si="45"/>
        <v>150.45630806354836</v>
      </c>
      <c r="AB117" s="335">
        <f t="shared" ca="1" si="45"/>
        <v>159.45979628479719</v>
      </c>
      <c r="AC117" s="335">
        <f t="shared" ca="1" si="45"/>
        <v>164.35763538360717</v>
      </c>
      <c r="AD117" s="335">
        <f t="shared" ca="1" si="45"/>
        <v>169.30854007300471</v>
      </c>
      <c r="AE117" s="335">
        <f t="shared" ca="1" si="45"/>
        <v>176.53218975268865</v>
      </c>
      <c r="AF117" s="335">
        <f t="shared" ca="1" si="45"/>
        <v>177.26737356394651</v>
      </c>
      <c r="AG117" s="335">
        <f t="shared" ca="1" si="45"/>
        <v>178.94180852633446</v>
      </c>
      <c r="AH117" s="335">
        <f t="shared" ca="1" si="45"/>
        <v>179.6564831576612</v>
      </c>
      <c r="AI117" s="335">
        <f t="shared" ca="1" si="45"/>
        <v>183.87818129775604</v>
      </c>
      <c r="AJ117" s="335">
        <f t="shared" ca="1" si="45"/>
        <v>189.15808980034009</v>
      </c>
      <c r="AK117" s="335">
        <f t="shared" ca="1" si="45"/>
        <v>192.22616942442201</v>
      </c>
      <c r="AL117" s="335">
        <f t="shared" ca="1" si="45"/>
        <v>197.29046694976518</v>
      </c>
      <c r="AM117" s="335">
        <f t="shared" ca="1" si="45"/>
        <v>200.59857364602564</v>
      </c>
      <c r="AN117" s="335">
        <f t="shared" ca="1" si="45"/>
        <v>203.05166565152754</v>
      </c>
      <c r="AO117" s="335">
        <f t="shared" ca="1" si="45"/>
        <v>205.91059023373006</v>
      </c>
      <c r="AP117" s="335">
        <f t="shared" ca="1" si="45"/>
        <v>209.40584441686605</v>
      </c>
      <c r="AQ117" s="335">
        <f t="shared" ca="1" si="45"/>
        <v>210.72448572817407</v>
      </c>
      <c r="AR117" s="335">
        <f t="shared" ca="1" si="45"/>
        <v>209.67008835766185</v>
      </c>
      <c r="AS117" s="335">
        <f t="shared" ca="1" si="45"/>
        <v>211.03999239147799</v>
      </c>
      <c r="AT117" s="335">
        <f t="shared" ca="1" si="45"/>
        <v>211.97631339166256</v>
      </c>
      <c r="AU117" s="335">
        <f t="shared" ca="1" si="45"/>
        <v>210.80302334694809</v>
      </c>
    </row>
    <row r="118" spans="1:50" ht="14.25" outlineLevel="1">
      <c r="A118" s="334" t="s">
        <v>263</v>
      </c>
      <c r="B118" s="335">
        <f t="shared" ref="B118:AU118" ca="1" si="46">$C$56*$C$27*
(-PMT($C$28,$C$30-$C$29+1,
SUMIFS($B$114:$AU$114,$B$64:$AU$64,"&gt;="&amp;(B$64-(ROUNDDOWN($C$30,0))+1),$B$64:$AU$64,"&lt;="&amp;(B$64-(ROUNDUP($C$29,0)))))
+
IFERROR(-PMT($C$28,$C$30-$C$29+1,
(_xlfn.XLOOKUP(B$64-(ROUNDUP($C$30,0))+1,$B$64:$AU$64,$B$114:$AU$114,""))*($C$30-(ROUNDDOWN($C$30,0)))),0)
+
IFERROR(-PMT($C$28,$C$30-$C$29+1,
(_xlfn.XLOOKUP(B$64-(ROUNDDOWN($C$29,0)),$B$64:$AU$64,$B$114:$AU$114,"")*($C$29-ROUNDDOWN($C$29,0)))),0)
+
(((SUMIFS($B$114:$AU$114,$B$64:$AU$64,"&gt;"&amp;B$64-ROUNDDOWN($C$29,0),$B$64:$AU$64,"&lt;="&amp;B$64)+(IFERROR(SUMIF($B$64:$AU$64,ROUNDDOWN(B$64-$C$29,0)+1,$B$114:$AU$114)*(1-($C$29-ROUNDDOWN($C$29,0))),"")))*$C$28)
))</f>
        <v>0.38303398531991556</v>
      </c>
      <c r="C118" s="335">
        <f t="shared" ca="1" si="46"/>
        <v>1.01252302124816</v>
      </c>
      <c r="D118" s="335">
        <f t="shared" ca="1" si="46"/>
        <v>1.6198037283305091</v>
      </c>
      <c r="E118" s="335">
        <f t="shared" ca="1" si="46"/>
        <v>2.1734260488948602</v>
      </c>
      <c r="F118" s="335">
        <f t="shared" ca="1" si="46"/>
        <v>3.3297677142990745</v>
      </c>
      <c r="G118" s="335">
        <f t="shared" ca="1" si="46"/>
        <v>4.0525127189357706</v>
      </c>
      <c r="H118" s="335">
        <f t="shared" ca="1" si="46"/>
        <v>4.9462870902562601</v>
      </c>
      <c r="I118" s="335">
        <f t="shared" ca="1" si="46"/>
        <v>5.5346224641148254</v>
      </c>
      <c r="J118" s="335">
        <f t="shared" ca="1" si="46"/>
        <v>6.2065585758255022</v>
      </c>
      <c r="K118" s="335">
        <f t="shared" ca="1" si="46"/>
        <v>7.2841345367785539</v>
      </c>
      <c r="L118" s="335">
        <f t="shared" ca="1" si="46"/>
        <v>8.1056356091452351</v>
      </c>
      <c r="M118" s="335">
        <f t="shared" ca="1" si="46"/>
        <v>9.3065552613664639</v>
      </c>
      <c r="N118" s="335">
        <f t="shared" ca="1" si="46"/>
        <v>10.497689433575996</v>
      </c>
      <c r="O118" s="335">
        <f t="shared" ca="1" si="46"/>
        <v>11.626616164964789</v>
      </c>
      <c r="P118" s="335">
        <f t="shared" ca="1" si="46"/>
        <v>13.030165450189145</v>
      </c>
      <c r="Q118" s="335">
        <f t="shared" ca="1" si="46"/>
        <v>14.704340144789166</v>
      </c>
      <c r="R118" s="335">
        <f t="shared" ca="1" si="46"/>
        <v>16.268049531255702</v>
      </c>
      <c r="S118" s="335">
        <f t="shared" ca="1" si="46"/>
        <v>17.389494991983202</v>
      </c>
      <c r="T118" s="335">
        <f t="shared" ca="1" si="46"/>
        <v>18.327106947896503</v>
      </c>
      <c r="U118" s="335">
        <f t="shared" ca="1" si="46"/>
        <v>18.976927666045704</v>
      </c>
      <c r="V118" s="335">
        <f t="shared" ca="1" si="46"/>
        <v>19.547618787418564</v>
      </c>
      <c r="W118" s="335">
        <f t="shared" ca="1" si="46"/>
        <v>20.273832234356373</v>
      </c>
      <c r="X118" s="335">
        <f t="shared" ca="1" si="46"/>
        <v>20.876116485081965</v>
      </c>
      <c r="Y118" s="335">
        <f t="shared" ca="1" si="46"/>
        <v>21.535294862459928</v>
      </c>
      <c r="Z118" s="335">
        <f t="shared" ca="1" si="46"/>
        <v>22.367124952309815</v>
      </c>
      <c r="AA118" s="335">
        <f t="shared" ca="1" si="46"/>
        <v>23.45907395298736</v>
      </c>
      <c r="AB118" s="335">
        <f t="shared" ca="1" si="46"/>
        <v>24.96396616756072</v>
      </c>
      <c r="AC118" s="335">
        <f t="shared" ca="1" si="46"/>
        <v>25.840095919667878</v>
      </c>
      <c r="AD118" s="335">
        <f t="shared" ca="1" si="46"/>
        <v>26.522092433788348</v>
      </c>
      <c r="AE118" s="335">
        <f t="shared" ca="1" si="46"/>
        <v>27.761599381053461</v>
      </c>
      <c r="AF118" s="335">
        <f t="shared" ca="1" si="46"/>
        <v>28.242281020039389</v>
      </c>
      <c r="AG118" s="335">
        <f t="shared" ca="1" si="46"/>
        <v>29.058197202950559</v>
      </c>
      <c r="AH118" s="335">
        <f t="shared" ca="1" si="46"/>
        <v>29.442228057911926</v>
      </c>
      <c r="AI118" s="335">
        <f t="shared" ca="1" si="46"/>
        <v>29.559120326240247</v>
      </c>
      <c r="AJ118" s="335">
        <f t="shared" ca="1" si="46"/>
        <v>29.831080004606445</v>
      </c>
      <c r="AK118" s="335">
        <f t="shared" ca="1" si="46"/>
        <v>30.14743018141025</v>
      </c>
      <c r="AL118" s="335">
        <f t="shared" ca="1" si="46"/>
        <v>31.148190644722266</v>
      </c>
      <c r="AM118" s="335">
        <f t="shared" ca="1" si="46"/>
        <v>31.97052248620264</v>
      </c>
      <c r="AN118" s="335">
        <f t="shared" ca="1" si="46"/>
        <v>32.61781143521015</v>
      </c>
      <c r="AO118" s="335">
        <f t="shared" ca="1" si="46"/>
        <v>33.465229675616875</v>
      </c>
      <c r="AP118" s="335">
        <f t="shared" ca="1" si="46"/>
        <v>34.421841501813425</v>
      </c>
      <c r="AQ118" s="335">
        <f t="shared" ca="1" si="46"/>
        <v>35.077639401770533</v>
      </c>
      <c r="AR118" s="335">
        <f t="shared" ca="1" si="46"/>
        <v>35.141852234603647</v>
      </c>
      <c r="AS118" s="335">
        <f t="shared" ca="1" si="46"/>
        <v>35.007841254801058</v>
      </c>
      <c r="AT118" s="335">
        <f t="shared" ca="1" si="46"/>
        <v>34.789181828905349</v>
      </c>
      <c r="AU118" s="335">
        <f t="shared" ca="1" si="46"/>
        <v>34.770470544255993</v>
      </c>
    </row>
    <row r="119" spans="1:50" ht="14.25" outlineLevel="1">
      <c r="A119" s="314" t="s">
        <v>264</v>
      </c>
      <c r="B119" s="311">
        <f t="shared" ref="B119:AU119" si="47">$C$53*$D$9*
(IFERROR(-PMT($D$10,$D$12+1,
SUMIFS($B$114:$AU$114,$B$64:$AU$64,"&gt;"&amp;B$64-ROUNDDOWN($D$12,0),$B$64:$AU$64,"&lt;="&amp;B$64)),"")+
IFERROR(-PMT($D$10, $D$12+1, SUMIF($B$64:$AU$64,ROUNDDOWN(B$64-$D$12,0)+1,$B$114:$AU$114)* (($D$12-ROUNDDOWN($D$12,0)))),"")
)</f>
        <v>1.1174661544776712</v>
      </c>
      <c r="C119" s="311">
        <f t="shared" si="47"/>
        <v>2.9539420788713633</v>
      </c>
      <c r="D119" s="311">
        <f t="shared" si="47"/>
        <v>4.7256272620151085</v>
      </c>
      <c r="E119" s="311">
        <f t="shared" si="47"/>
        <v>6.3407690752861727</v>
      </c>
      <c r="F119" s="311">
        <f t="shared" si="47"/>
        <v>9.7142887200829939</v>
      </c>
      <c r="G119" s="311">
        <f t="shared" si="47"/>
        <v>11.822830290682166</v>
      </c>
      <c r="H119" s="311">
        <f t="shared" si="47"/>
        <v>14.43033418842645</v>
      </c>
      <c r="I119" s="311">
        <f t="shared" si="47"/>
        <v>16.015351957085713</v>
      </c>
      <c r="J119" s="311">
        <f t="shared" si="47"/>
        <v>17.638169321374402</v>
      </c>
      <c r="K119" s="311">
        <f t="shared" si="47"/>
        <v>20.373810539235809</v>
      </c>
      <c r="L119" s="311">
        <f t="shared" si="47"/>
        <v>22.387831692185625</v>
      </c>
      <c r="M119" s="311">
        <f t="shared" si="47"/>
        <v>25.319042455469894</v>
      </c>
      <c r="N119" s="311">
        <f t="shared" si="47"/>
        <v>28.179176487209855</v>
      </c>
      <c r="O119" s="311">
        <f t="shared" si="47"/>
        <v>30.93675562163812</v>
      </c>
      <c r="P119" s="311">
        <f t="shared" si="47"/>
        <v>34.561473394643755</v>
      </c>
      <c r="Q119" s="311">
        <f t="shared" si="47"/>
        <v>39.082493273719358</v>
      </c>
      <c r="R119" s="311">
        <f t="shared" si="47"/>
        <v>43.146278856147255</v>
      </c>
      <c r="S119" s="311">
        <f t="shared" si="47"/>
        <v>45.883602629297243</v>
      </c>
      <c r="T119" s="311">
        <f t="shared" si="47"/>
        <v>48.684475728608561</v>
      </c>
      <c r="U119" s="311">
        <f t="shared" si="47"/>
        <v>51.700388500944214</v>
      </c>
      <c r="V119" s="311">
        <f t="shared" si="47"/>
        <v>54.945664094832871</v>
      </c>
      <c r="W119" s="311">
        <f t="shared" si="47"/>
        <v>58.422735065716267</v>
      </c>
      <c r="X119" s="311">
        <f t="shared" si="47"/>
        <v>62.224806652403764</v>
      </c>
      <c r="Y119" s="311">
        <f t="shared" si="47"/>
        <v>66.603154455647498</v>
      </c>
      <c r="Z119" s="311">
        <f t="shared" si="47"/>
        <v>71.006656321190334</v>
      </c>
      <c r="AA119" s="311">
        <f t="shared" si="47"/>
        <v>74.988582228253748</v>
      </c>
      <c r="AB119" s="311">
        <f t="shared" si="47"/>
        <v>78.855600010593747</v>
      </c>
      <c r="AC119" s="311">
        <f t="shared" si="47"/>
        <v>81.564726756168554</v>
      </c>
      <c r="AD119" s="311">
        <f t="shared" si="47"/>
        <v>83.927423918251463</v>
      </c>
      <c r="AE119" s="311">
        <f t="shared" si="47"/>
        <v>86.473944094601606</v>
      </c>
      <c r="AF119" s="311">
        <f t="shared" si="47"/>
        <v>88.337713910709837</v>
      </c>
      <c r="AG119" s="311">
        <f t="shared" si="47"/>
        <v>90.666940671743191</v>
      </c>
      <c r="AH119" s="311">
        <f t="shared" si="47"/>
        <v>92.966208325975984</v>
      </c>
      <c r="AI119" s="311">
        <f t="shared" si="47"/>
        <v>95.275369318475015</v>
      </c>
      <c r="AJ119" s="311">
        <f t="shared" si="47"/>
        <v>97.557154921814956</v>
      </c>
      <c r="AK119" s="311">
        <f t="shared" si="47"/>
        <v>99.622715437500233</v>
      </c>
      <c r="AL119" s="311">
        <f t="shared" si="47"/>
        <v>101.87828543522205</v>
      </c>
      <c r="AM119" s="311">
        <f t="shared" si="47"/>
        <v>103.88264106068806</v>
      </c>
      <c r="AN119" s="311">
        <f t="shared" si="47"/>
        <v>105.73818421654111</v>
      </c>
      <c r="AO119" s="311">
        <f t="shared" si="47"/>
        <v>107.61325996320505</v>
      </c>
      <c r="AP119" s="311">
        <f t="shared" si="47"/>
        <v>109.48173682700917</v>
      </c>
      <c r="AQ119" s="311">
        <f t="shared" si="47"/>
        <v>111.44637318179046</v>
      </c>
      <c r="AR119" s="311">
        <f t="shared" si="47"/>
        <v>113.31505950075599</v>
      </c>
      <c r="AS119" s="311">
        <f t="shared" si="47"/>
        <v>114.9564875937704</v>
      </c>
      <c r="AT119" s="311">
        <f t="shared" si="47"/>
        <v>116.7863816112533</v>
      </c>
      <c r="AU119" s="311">
        <f t="shared" si="47"/>
        <v>118.66979743313762</v>
      </c>
    </row>
    <row r="120" spans="1:50" ht="14.25" outlineLevel="1">
      <c r="A120" s="314" t="s">
        <v>265</v>
      </c>
      <c r="B120" s="311">
        <f t="shared" ref="B120:AU120" ca="1" si="48">$C$54*$D$15*
(IFERROR(-PMT($D$16,$D$18+1,
SUMIFS($B$114:$AU$114,$B$64:$AU$64,"&gt;"&amp;B$64-ROUNDDOWN($D$18,0),$B$64:$AU$64,"&lt;="&amp;B$64)),"")+
IFERROR(-PMT($D$16, $D$18+1, SUMIF($B$64:$AU$64,ROUNDDOWN(B$64-$D$18,0)+1,$B$114:$AU$114)* (($D$18-ROUNDDOWN($D$18,0)))),"")
)</f>
        <v>9.8767219904490045</v>
      </c>
      <c r="C120" s="311">
        <f t="shared" ca="1" si="48"/>
        <v>26.108410149154459</v>
      </c>
      <c r="D120" s="311">
        <f t="shared" ca="1" si="48"/>
        <v>41.767445492992387</v>
      </c>
      <c r="E120" s="311">
        <f t="shared" ca="1" si="48"/>
        <v>56.042872628666537</v>
      </c>
      <c r="F120" s="311">
        <f t="shared" ca="1" si="48"/>
        <v>85.859718112054509</v>
      </c>
      <c r="G120" s="311">
        <f t="shared" ca="1" si="48"/>
        <v>104.49605784786246</v>
      </c>
      <c r="H120" s="311">
        <f t="shared" ca="1" si="48"/>
        <v>127.54247494411021</v>
      </c>
      <c r="I120" s="311">
        <f t="shared" ca="1" si="48"/>
        <v>141.55165078200105</v>
      </c>
      <c r="J120" s="311">
        <f t="shared" ca="1" si="48"/>
        <v>155.89491825737659</v>
      </c>
      <c r="K120" s="311">
        <f t="shared" ca="1" si="48"/>
        <v>180.07387675752003</v>
      </c>
      <c r="L120" s="311">
        <f t="shared" ca="1" si="48"/>
        <v>197.87479800319909</v>
      </c>
      <c r="M120" s="311">
        <f t="shared" ca="1" si="48"/>
        <v>223.78229747274929</v>
      </c>
      <c r="N120" s="311">
        <f t="shared" ca="1" si="48"/>
        <v>249.06158541693026</v>
      </c>
      <c r="O120" s="311">
        <f t="shared" ca="1" si="48"/>
        <v>273.43444214129488</v>
      </c>
      <c r="P120" s="311">
        <f t="shared" ca="1" si="48"/>
        <v>305.47150169282099</v>
      </c>
      <c r="Q120" s="311">
        <f t="shared" ca="1" si="48"/>
        <v>345.43052531067269</v>
      </c>
      <c r="R120" s="311">
        <f t="shared" ca="1" si="48"/>
        <v>381.34828466795369</v>
      </c>
      <c r="S120" s="311">
        <f t="shared" ca="1" si="48"/>
        <v>405.54211442907655</v>
      </c>
      <c r="T120" s="311">
        <f t="shared" ca="1" si="48"/>
        <v>430.2976247607121</v>
      </c>
      <c r="U120" s="311">
        <f t="shared" ca="1" si="48"/>
        <v>456.95376273898205</v>
      </c>
      <c r="V120" s="311">
        <f t="shared" ca="1" si="48"/>
        <v>485.63712347862776</v>
      </c>
      <c r="W120" s="311">
        <f t="shared" ca="1" si="48"/>
        <v>516.36920711522612</v>
      </c>
      <c r="X120" s="311">
        <f t="shared" ca="1" si="48"/>
        <v>549.97380793380796</v>
      </c>
      <c r="Y120" s="311">
        <f t="shared" ca="1" si="48"/>
        <v>588.67182474340404</v>
      </c>
      <c r="Z120" s="311">
        <f t="shared" ca="1" si="48"/>
        <v>628.7072461409939</v>
      </c>
      <c r="AA120" s="311">
        <f t="shared" ca="1" si="48"/>
        <v>674.49568568997836</v>
      </c>
      <c r="AB120" s="311">
        <f t="shared" ca="1" si="48"/>
        <v>724.84134904651626</v>
      </c>
      <c r="AC120" s="311">
        <f t="shared" ca="1" si="48"/>
        <v>764.28878562505236</v>
      </c>
      <c r="AD120" s="311">
        <f t="shared" ca="1" si="48"/>
        <v>801.20152995384956</v>
      </c>
      <c r="AE120" s="311">
        <f t="shared" ca="1" si="48"/>
        <v>852.26351059208525</v>
      </c>
      <c r="AF120" s="311">
        <f t="shared" ca="1" si="48"/>
        <v>887.87067257319609</v>
      </c>
      <c r="AG120" s="311">
        <f t="shared" ca="1" si="48"/>
        <v>930.48365172884394</v>
      </c>
      <c r="AH120" s="311">
        <f t="shared" ca="1" si="48"/>
        <v>964.85261824324039</v>
      </c>
      <c r="AI120" s="311">
        <f t="shared" ca="1" si="48"/>
        <v>1000.7158478224778</v>
      </c>
      <c r="AJ120" s="311">
        <f t="shared" ca="1" si="48"/>
        <v>1034.8376345413235</v>
      </c>
      <c r="AK120" s="311">
        <f t="shared" ca="1" si="48"/>
        <v>1055.8179533237274</v>
      </c>
      <c r="AL120" s="311">
        <f t="shared" ca="1" si="48"/>
        <v>1085.9097697963725</v>
      </c>
      <c r="AM120" s="311">
        <f t="shared" ca="1" si="48"/>
        <v>1114.4746642746766</v>
      </c>
      <c r="AN120" s="311">
        <f t="shared" ca="1" si="48"/>
        <v>1126.8816484769488</v>
      </c>
      <c r="AO120" s="311">
        <f t="shared" ca="1" si="48"/>
        <v>1157.3284207472138</v>
      </c>
      <c r="AP120" s="311">
        <f t="shared" ca="1" si="48"/>
        <v>1190.4654326502416</v>
      </c>
      <c r="AQ120" s="311">
        <f t="shared" ca="1" si="48"/>
        <v>1228.074371760028</v>
      </c>
      <c r="AR120" s="311">
        <f t="shared" ca="1" si="48"/>
        <v>1254.5173131576892</v>
      </c>
      <c r="AS120" s="311">
        <f t="shared" ca="1" si="48"/>
        <v>1270.1867311916048</v>
      </c>
      <c r="AT120" s="311">
        <f t="shared" ca="1" si="48"/>
        <v>1295.2040635221711</v>
      </c>
      <c r="AU120" s="311">
        <f t="shared" ca="1" si="48"/>
        <v>1315.1631802726613</v>
      </c>
    </row>
    <row r="121" spans="1:50" ht="14.25" outlineLevel="1">
      <c r="A121" s="314" t="s">
        <v>266</v>
      </c>
      <c r="B121" s="311">
        <f t="shared" ref="B121:AU121" ca="1" si="49">$C$55*$D$21*
(IFERROR(-PMT($D$22,$D$24+1,
SUMIFS($B$114:$AU$114,$B$64:$AU$64,"&gt;"&amp;B$64-ROUNDDOWN($D$24,0),$B$64:$AU$64,"&lt;="&amp;B$64)),"")+
IFERROR(-PMT($D$22, $D$24+1, SUMIF($B$64:$AU$64,ROUNDDOWN(B$64-$D$24,0)+1,$B$114:$AU$114)* (($D$24-ROUNDDOWN($D$24,0)))),"")
)</f>
        <v>5.1432956792972266</v>
      </c>
      <c r="C121" s="311">
        <f t="shared" ca="1" si="49"/>
        <v>13.595935295467541</v>
      </c>
      <c r="D121" s="311">
        <f t="shared" ca="1" si="49"/>
        <v>21.750366381389281</v>
      </c>
      <c r="E121" s="311">
        <f t="shared" ca="1" si="49"/>
        <v>29.184284515162467</v>
      </c>
      <c r="F121" s="311">
        <f t="shared" ca="1" si="49"/>
        <v>44.711384771024861</v>
      </c>
      <c r="G121" s="311">
        <f t="shared" ca="1" si="49"/>
        <v>54.416244919339995</v>
      </c>
      <c r="H121" s="311">
        <f t="shared" ca="1" si="49"/>
        <v>66.417649594801972</v>
      </c>
      <c r="I121" s="311">
        <f t="shared" ca="1" si="49"/>
        <v>73.712917561969235</v>
      </c>
      <c r="J121" s="311">
        <f t="shared" ca="1" si="49"/>
        <v>81.182163502519359</v>
      </c>
      <c r="K121" s="311">
        <f t="shared" ca="1" si="49"/>
        <v>93.773338277303253</v>
      </c>
      <c r="L121" s="311">
        <f t="shared" ca="1" si="49"/>
        <v>103.04315486411691</v>
      </c>
      <c r="M121" s="311">
        <f t="shared" ca="1" si="49"/>
        <v>116.53446607161958</v>
      </c>
      <c r="N121" s="311">
        <f t="shared" ca="1" si="49"/>
        <v>129.69863659142842</v>
      </c>
      <c r="O121" s="311">
        <f t="shared" ca="1" si="49"/>
        <v>142.39078372321742</v>
      </c>
      <c r="P121" s="311">
        <f t="shared" ca="1" si="49"/>
        <v>159.07405881469964</v>
      </c>
      <c r="Q121" s="311">
        <f t="shared" ca="1" si="49"/>
        <v>179.88269084072766</v>
      </c>
      <c r="R121" s="311">
        <f t="shared" ca="1" si="49"/>
        <v>198.58683748887512</v>
      </c>
      <c r="S121" s="311">
        <f t="shared" ca="1" si="49"/>
        <v>211.18575646182666</v>
      </c>
      <c r="T121" s="311">
        <f t="shared" ca="1" si="49"/>
        <v>224.07717017688569</v>
      </c>
      <c r="U121" s="311">
        <f t="shared" ca="1" si="49"/>
        <v>237.95833433468675</v>
      </c>
      <c r="V121" s="311">
        <f t="shared" ca="1" si="49"/>
        <v>252.89517324769909</v>
      </c>
      <c r="W121" s="311">
        <f t="shared" ca="1" si="49"/>
        <v>268.89888309563941</v>
      </c>
      <c r="X121" s="311">
        <f t="shared" ca="1" si="49"/>
        <v>286.39845414379272</v>
      </c>
      <c r="Y121" s="311">
        <f t="shared" ca="1" si="49"/>
        <v>306.55041780609264</v>
      </c>
      <c r="Z121" s="311">
        <f t="shared" ca="1" si="49"/>
        <v>327.39883391947421</v>
      </c>
      <c r="AA121" s="311">
        <f t="shared" ca="1" si="49"/>
        <v>349.05550419136051</v>
      </c>
      <c r="AB121" s="311">
        <f t="shared" ca="1" si="49"/>
        <v>368.72209433699629</v>
      </c>
      <c r="AC121" s="311">
        <f t="shared" ca="1" si="49"/>
        <v>380.93851682256081</v>
      </c>
      <c r="AD121" s="311">
        <f t="shared" ca="1" si="49"/>
        <v>392.31282974784648</v>
      </c>
      <c r="AE121" s="311">
        <f t="shared" ca="1" si="49"/>
        <v>408.02708334268561</v>
      </c>
      <c r="AF121" s="311">
        <f t="shared" ca="1" si="49"/>
        <v>413.51879128311197</v>
      </c>
      <c r="AG121" s="311">
        <f t="shared" ca="1" si="49"/>
        <v>425.02780683075952</v>
      </c>
      <c r="AH121" s="311">
        <f t="shared" ca="1" si="49"/>
        <v>432.92570267653866</v>
      </c>
      <c r="AI121" s="311">
        <f t="shared" ca="1" si="49"/>
        <v>444.23218602268224</v>
      </c>
      <c r="AJ121" s="311">
        <f t="shared" ca="1" si="49"/>
        <v>457.30283654433879</v>
      </c>
      <c r="AK121" s="311">
        <f t="shared" ca="1" si="49"/>
        <v>465.37780951605873</v>
      </c>
      <c r="AL121" s="311">
        <f t="shared" ca="1" si="49"/>
        <v>478.14839807552806</v>
      </c>
      <c r="AM121" s="311">
        <f t="shared" ca="1" si="49"/>
        <v>487.13244016852002</v>
      </c>
      <c r="AN121" s="311">
        <f t="shared" ca="1" si="49"/>
        <v>495.8521820456985</v>
      </c>
      <c r="AO121" s="311">
        <f t="shared" ca="1" si="49"/>
        <v>507.24179488499834</v>
      </c>
      <c r="AP121" s="311">
        <f t="shared" ca="1" si="49"/>
        <v>517.97482378769871</v>
      </c>
      <c r="AQ121" s="311">
        <f t="shared" ca="1" si="49"/>
        <v>525.1186873404946</v>
      </c>
      <c r="AR121" s="311">
        <f t="shared" ca="1" si="49"/>
        <v>530.24414431811965</v>
      </c>
      <c r="AS121" s="311">
        <f t="shared" ca="1" si="49"/>
        <v>538.0788778143118</v>
      </c>
      <c r="AT121" s="311">
        <f t="shared" ca="1" si="49"/>
        <v>547.18918332955582</v>
      </c>
      <c r="AU121" s="311">
        <f t="shared" ca="1" si="49"/>
        <v>556.58497891769707</v>
      </c>
    </row>
    <row r="122" spans="1:50" ht="14.25" outlineLevel="1">
      <c r="A122" s="314" t="s">
        <v>267</v>
      </c>
      <c r="B122" s="311">
        <f t="shared" ref="B122:AU122" ca="1" si="50">$C$56*$D$27*
(IFERROR(-PMT($D$28,$D$30+1,
SUMIFS($B$114:$AU$114,$B$64:$AU$64,"&gt;"&amp;B$64-ROUNDDOWN($D$30,0),$B$64:$AU$64,"&lt;="&amp;B$64)),"")+
IFERROR(-PMT($D$28, $D$30+1, SUMIF($B$64:$AU$64,ROUNDDOWN(B$64-$D$30,0)+1,$B$114:$AU$114)* (($D$30-ROUNDDOWN($D$30,0)))),"")
)</f>
        <v>1.4377619709083385</v>
      </c>
      <c r="C122" s="311">
        <f t="shared" ca="1" si="50"/>
        <v>3.8006212253044374</v>
      </c>
      <c r="D122" s="311">
        <f t="shared" ca="1" si="50"/>
        <v>6.0801189716469208</v>
      </c>
      <c r="E122" s="311">
        <f t="shared" ca="1" si="50"/>
        <v>8.1582038133578667</v>
      </c>
      <c r="F122" s="311">
        <f t="shared" ca="1" si="50"/>
        <v>12.498664805367262</v>
      </c>
      <c r="G122" s="311">
        <f t="shared" ca="1" si="50"/>
        <v>15.211571028199451</v>
      </c>
      <c r="H122" s="311">
        <f t="shared" ca="1" si="50"/>
        <v>18.566455583897106</v>
      </c>
      <c r="I122" s="311">
        <f t="shared" ca="1" si="50"/>
        <v>20.60578202064049</v>
      </c>
      <c r="J122" s="311">
        <f t="shared" ca="1" si="50"/>
        <v>22.693742432465747</v>
      </c>
      <c r="K122" s="311">
        <f t="shared" ca="1" si="50"/>
        <v>26.213491906156939</v>
      </c>
      <c r="L122" s="311">
        <f t="shared" ca="1" si="50"/>
        <v>28.804785620703232</v>
      </c>
      <c r="M122" s="311">
        <f t="shared" ca="1" si="50"/>
        <v>32.57616012478136</v>
      </c>
      <c r="N122" s="311">
        <f t="shared" ca="1" si="50"/>
        <v>36.256085396843481</v>
      </c>
      <c r="O122" s="311">
        <f t="shared" ca="1" si="50"/>
        <v>39.804060783269854</v>
      </c>
      <c r="P122" s="311">
        <f t="shared" ca="1" si="50"/>
        <v>44.467720034532839</v>
      </c>
      <c r="Q122" s="311">
        <f t="shared" ca="1" si="50"/>
        <v>50.284585651276124</v>
      </c>
      <c r="R122" s="311">
        <f t="shared" ca="1" si="50"/>
        <v>55.513161340059703</v>
      </c>
      <c r="S122" s="311">
        <f t="shared" ca="1" si="50"/>
        <v>59.03507563458075</v>
      </c>
      <c r="T122" s="311">
        <f t="shared" ca="1" si="50"/>
        <v>62.638754199156416</v>
      </c>
      <c r="U122" s="311">
        <f t="shared" ca="1" si="50"/>
        <v>66.519108583283383</v>
      </c>
      <c r="V122" s="311">
        <f t="shared" ca="1" si="50"/>
        <v>70.694567334596584</v>
      </c>
      <c r="W122" s="311">
        <f t="shared" ca="1" si="50"/>
        <v>75.168260244268808</v>
      </c>
      <c r="X122" s="311">
        <f t="shared" ca="1" si="50"/>
        <v>80.060107676163156</v>
      </c>
      <c r="Y122" s="311">
        <f t="shared" ca="1" si="50"/>
        <v>85.693407567788356</v>
      </c>
      <c r="Z122" s="311">
        <f t="shared" ca="1" si="50"/>
        <v>91.521394467734297</v>
      </c>
      <c r="AA122" s="311">
        <f t="shared" ca="1" si="50"/>
        <v>98.186852618163854</v>
      </c>
      <c r="AB122" s="311">
        <f t="shared" ca="1" si="50"/>
        <v>105.51570932225873</v>
      </c>
      <c r="AC122" s="311">
        <f t="shared" ca="1" si="50"/>
        <v>111.25810282258037</v>
      </c>
      <c r="AD122" s="311">
        <f t="shared" ca="1" si="50"/>
        <v>116.63151923433401</v>
      </c>
      <c r="AE122" s="311">
        <f t="shared" ca="1" si="50"/>
        <v>124.06465079275056</v>
      </c>
      <c r="AF122" s="311">
        <f t="shared" ca="1" si="50"/>
        <v>128.11865723650294</v>
      </c>
      <c r="AG122" s="311">
        <f t="shared" ca="1" si="50"/>
        <v>132.15743960124692</v>
      </c>
      <c r="AH122" s="311">
        <f t="shared" ca="1" si="50"/>
        <v>134.86317715467638</v>
      </c>
      <c r="AI122" s="311">
        <f t="shared" ca="1" si="50"/>
        <v>137.96252605635459</v>
      </c>
      <c r="AJ122" s="311">
        <f t="shared" ca="1" si="50"/>
        <v>140.45808886408065</v>
      </c>
      <c r="AK122" s="311">
        <f t="shared" ca="1" si="50"/>
        <v>142.77819488679393</v>
      </c>
      <c r="AL122" s="311">
        <f t="shared" ca="1" si="50"/>
        <v>146.22414451217918</v>
      </c>
      <c r="AM122" s="311">
        <f t="shared" ca="1" si="50"/>
        <v>150.14651068266917</v>
      </c>
      <c r="AN122" s="311">
        <f t="shared" ca="1" si="50"/>
        <v>154.13031008252466</v>
      </c>
      <c r="AO122" s="311">
        <f t="shared" ca="1" si="50"/>
        <v>158.12406491918978</v>
      </c>
      <c r="AP122" s="311">
        <f t="shared" ca="1" si="50"/>
        <v>163.48809342280146</v>
      </c>
      <c r="AQ122" s="311">
        <f t="shared" ca="1" si="50"/>
        <v>167.53349950519873</v>
      </c>
      <c r="AR122" s="311">
        <f t="shared" ca="1" si="50"/>
        <v>169.7694054298548</v>
      </c>
      <c r="AS122" s="311">
        <f t="shared" ca="1" si="50"/>
        <v>171.93994687927173</v>
      </c>
      <c r="AT122" s="311">
        <f t="shared" ca="1" si="50"/>
        <v>173.78366942124532</v>
      </c>
      <c r="AU122" s="311">
        <f t="shared" ca="1" si="50"/>
        <v>174.84655465983434</v>
      </c>
    </row>
    <row r="123" spans="1:50" s="33" customFormat="1" ht="14.25">
      <c r="A123" s="341"/>
      <c r="B123" s="342"/>
      <c r="C123" s="342"/>
      <c r="D123" s="342"/>
      <c r="E123" s="342"/>
      <c r="F123" s="342"/>
      <c r="G123" s="342"/>
      <c r="H123" s="342"/>
      <c r="I123" s="342"/>
      <c r="J123" s="342"/>
      <c r="K123" s="342"/>
      <c r="L123" s="342"/>
      <c r="M123" s="342"/>
      <c r="N123" s="342"/>
      <c r="O123" s="342"/>
      <c r="P123" s="342"/>
      <c r="Q123" s="342"/>
      <c r="R123" s="342"/>
      <c r="S123" s="342"/>
      <c r="T123" s="342"/>
      <c r="U123" s="342"/>
      <c r="V123" s="342"/>
      <c r="W123" s="342"/>
      <c r="X123" s="342"/>
      <c r="Y123" s="342"/>
      <c r="Z123" s="342"/>
      <c r="AA123" s="342"/>
      <c r="AB123" s="342"/>
      <c r="AC123" s="342"/>
      <c r="AD123" s="342"/>
      <c r="AE123" s="342"/>
      <c r="AF123" s="342"/>
      <c r="AG123" s="342"/>
      <c r="AH123" s="342"/>
      <c r="AI123" s="342"/>
      <c r="AJ123" s="342"/>
      <c r="AK123" s="342"/>
      <c r="AL123" s="342"/>
      <c r="AM123" s="342"/>
      <c r="AN123" s="342"/>
      <c r="AO123" s="342"/>
      <c r="AP123" s="342"/>
      <c r="AQ123" s="342"/>
      <c r="AR123" s="342"/>
      <c r="AS123" s="342"/>
      <c r="AT123" s="342"/>
      <c r="AU123" s="342"/>
    </row>
    <row r="124" spans="1:50" ht="21">
      <c r="A124" s="331" t="s">
        <v>337</v>
      </c>
      <c r="B124" s="313">
        <f t="shared" ref="B124:AU124" ca="1" si="51">B98-B111</f>
        <v>24.134689849488591</v>
      </c>
      <c r="C124" s="313">
        <f t="shared" ca="1" si="51"/>
        <v>16.195052762027515</v>
      </c>
      <c r="D124" s="313">
        <f t="shared" ca="1" si="51"/>
        <v>18.343762021318085</v>
      </c>
      <c r="E124" s="313">
        <f t="shared" ca="1" si="51"/>
        <v>18.432580123052304</v>
      </c>
      <c r="F124" s="313">
        <f t="shared" ca="1" si="51"/>
        <v>18.475502272546294</v>
      </c>
      <c r="G124" s="313">
        <f t="shared" ca="1" si="51"/>
        <v>15.440084137915562</v>
      </c>
      <c r="H124" s="313">
        <f t="shared" ca="1" si="51"/>
        <v>14.061168831578414</v>
      </c>
      <c r="I124" s="313">
        <f t="shared" ca="1" si="51"/>
        <v>15.935132726585834</v>
      </c>
      <c r="J124" s="313">
        <f t="shared" ca="1" si="51"/>
        <v>15.226593946621279</v>
      </c>
      <c r="K124" s="313">
        <f t="shared" ca="1" si="51"/>
        <v>9.5801035334216067</v>
      </c>
      <c r="L124" s="313">
        <f t="shared" ca="1" si="51"/>
        <v>8.840965489905102</v>
      </c>
      <c r="M124" s="313">
        <f t="shared" ca="1" si="51"/>
        <v>5.4307580143074574</v>
      </c>
      <c r="N124" s="313">
        <f t="shared" ca="1" si="51"/>
        <v>-3.3673066333672068</v>
      </c>
      <c r="O124" s="313">
        <f t="shared" ca="1" si="51"/>
        <v>-7.0888834665117884</v>
      </c>
      <c r="P124" s="313">
        <f t="shared" ca="1" si="51"/>
        <v>-8.0278191366833198</v>
      </c>
      <c r="Q124" s="313">
        <f t="shared" ca="1" si="51"/>
        <v>-6.5938341293090161</v>
      </c>
      <c r="R124" s="313">
        <f t="shared" ca="1" si="51"/>
        <v>-9.4396713726057442</v>
      </c>
      <c r="S124" s="313">
        <f t="shared" ca="1" si="51"/>
        <v>-11.820036340766592</v>
      </c>
      <c r="T124" s="313">
        <f t="shared" ca="1" si="51"/>
        <v>-14.257627725128714</v>
      </c>
      <c r="U124" s="313">
        <f t="shared" ca="1" si="51"/>
        <v>-16.437375455728898</v>
      </c>
      <c r="V124" s="313">
        <f t="shared" ca="1" si="51"/>
        <v>-16.621497529177759</v>
      </c>
      <c r="W124" s="313">
        <f t="shared" ca="1" si="51"/>
        <v>-14.068922776146792</v>
      </c>
      <c r="X124" s="313">
        <f t="shared" ca="1" si="51"/>
        <v>-16.084202377823203</v>
      </c>
      <c r="Y124" s="313">
        <f t="shared" ca="1" si="51"/>
        <v>-27.981855393753904</v>
      </c>
      <c r="Z124" s="313">
        <f t="shared" ca="1" si="51"/>
        <v>-33.162198217568402</v>
      </c>
      <c r="AA124" s="313">
        <f t="shared" ca="1" si="51"/>
        <v>-39.179718554504689</v>
      </c>
      <c r="AB124" s="313">
        <f t="shared" ca="1" si="51"/>
        <v>-62.307119478362438</v>
      </c>
      <c r="AC124" s="313">
        <f t="shared" ca="1" si="51"/>
        <v>-69.792670301152157</v>
      </c>
      <c r="AD124" s="313">
        <f t="shared" ca="1" si="51"/>
        <v>-63.492417097552334</v>
      </c>
      <c r="AE124" s="313">
        <f t="shared" ca="1" si="51"/>
        <v>-58.487142974428934</v>
      </c>
      <c r="AF124" s="313">
        <f t="shared" ca="1" si="51"/>
        <v>-55.13955549129787</v>
      </c>
      <c r="AG124" s="313">
        <f ca="1">AG98-AG111</f>
        <v>-59.676647645648245</v>
      </c>
      <c r="AH124" s="313">
        <f t="shared" ca="1" si="51"/>
        <v>-60.291105327863988</v>
      </c>
      <c r="AI124" s="313">
        <f t="shared" ca="1" si="51"/>
        <v>-54.89646889888536</v>
      </c>
      <c r="AJ124" s="313">
        <f t="shared" ca="1" si="51"/>
        <v>-53.582767592093205</v>
      </c>
      <c r="AK124" s="313">
        <f t="shared" ca="1" si="51"/>
        <v>-43.762454963437449</v>
      </c>
      <c r="AL124" s="313">
        <f t="shared" ca="1" si="51"/>
        <v>-34.47601905831425</v>
      </c>
      <c r="AM124" s="313">
        <f t="shared" ca="1" si="51"/>
        <v>-29.811082461877049</v>
      </c>
      <c r="AN124" s="313">
        <f t="shared" ca="1" si="51"/>
        <v>-19.130284656702315</v>
      </c>
      <c r="AO124" s="313">
        <f t="shared" ca="1" si="51"/>
        <v>-8.3447532502186732</v>
      </c>
      <c r="AP124" s="313">
        <f t="shared" ca="1" si="51"/>
        <v>9.3030607281798439</v>
      </c>
      <c r="AQ124" s="313">
        <f t="shared" ca="1" si="51"/>
        <v>14.024244877541605</v>
      </c>
      <c r="AR124" s="313">
        <f t="shared" ca="1" si="51"/>
        <v>16.753747082574591</v>
      </c>
      <c r="AS124" s="313">
        <f t="shared" ca="1" si="51"/>
        <v>23.835194325942211</v>
      </c>
      <c r="AT124" s="313">
        <f t="shared" ca="1" si="51"/>
        <v>31.332461538789175</v>
      </c>
      <c r="AU124" s="313">
        <f t="shared" ca="1" si="51"/>
        <v>39.254584658879139</v>
      </c>
      <c r="AW124" s="54"/>
    </row>
    <row r="125" spans="1:50" s="33" customFormat="1" ht="14.25">
      <c r="A125" s="343"/>
      <c r="B125" s="342"/>
      <c r="C125" s="342"/>
      <c r="D125" s="342"/>
      <c r="E125" s="342"/>
      <c r="F125" s="342"/>
      <c r="G125" s="342"/>
      <c r="H125" s="342"/>
      <c r="I125" s="342"/>
      <c r="J125" s="342"/>
      <c r="K125" s="342"/>
      <c r="L125" s="342"/>
      <c r="M125" s="342"/>
      <c r="N125" s="342"/>
      <c r="O125" s="342"/>
      <c r="P125" s="342"/>
      <c r="Q125" s="342"/>
      <c r="R125" s="342"/>
      <c r="S125" s="342"/>
      <c r="T125" s="342"/>
      <c r="U125" s="342"/>
      <c r="V125" s="342"/>
      <c r="W125" s="342"/>
      <c r="X125" s="342"/>
      <c r="Y125" s="342"/>
      <c r="Z125" s="342"/>
      <c r="AA125" s="342"/>
      <c r="AB125" s="342"/>
      <c r="AC125" s="342"/>
      <c r="AD125" s="342"/>
      <c r="AE125" s="342"/>
      <c r="AF125" s="342"/>
      <c r="AG125" s="342"/>
      <c r="AH125" s="342"/>
      <c r="AI125" s="342"/>
      <c r="AJ125" s="342"/>
      <c r="AK125" s="342"/>
      <c r="AL125" s="342"/>
      <c r="AM125" s="342"/>
      <c r="AN125" s="342"/>
      <c r="AO125" s="342"/>
      <c r="AP125" s="342"/>
      <c r="AQ125" s="342"/>
      <c r="AR125" s="342"/>
      <c r="AS125" s="342"/>
      <c r="AT125" s="342"/>
      <c r="AU125" s="342"/>
    </row>
    <row r="126" spans="1:50" ht="22.05" customHeight="1">
      <c r="A126" s="350" t="s">
        <v>338</v>
      </c>
      <c r="B126" s="316">
        <f>B127-B128</f>
        <v>0</v>
      </c>
      <c r="C126" s="316">
        <f t="shared" ref="C126:AU126" si="52">C127-C128</f>
        <v>0</v>
      </c>
      <c r="D126" s="316">
        <f t="shared" si="52"/>
        <v>-4.5999999999999985E-2</v>
      </c>
      <c r="E126" s="316">
        <f t="shared" si="52"/>
        <v>-4.5000000000000012E-2</v>
      </c>
      <c r="F126" s="316">
        <f t="shared" si="52"/>
        <v>-3.5799999999999998E-2</v>
      </c>
      <c r="G126" s="316">
        <f t="shared" si="52"/>
        <v>2.6100000000000012E-2</v>
      </c>
      <c r="H126" s="316">
        <f t="shared" si="52"/>
        <v>1.6500000000000015E-2</v>
      </c>
      <c r="I126" s="316">
        <f t="shared" si="52"/>
        <v>2.0299999999999985E-2</v>
      </c>
      <c r="J126" s="316">
        <f t="shared" si="52"/>
        <v>0.15039999999999998</v>
      </c>
      <c r="K126" s="316">
        <f t="shared" si="52"/>
        <v>2.9799999999999993E-2</v>
      </c>
      <c r="L126" s="316">
        <f t="shared" si="52"/>
        <v>4.3300000000000005E-2</v>
      </c>
      <c r="M126" s="316">
        <f t="shared" si="52"/>
        <v>2.3299999999999987E-2</v>
      </c>
      <c r="N126" s="316">
        <f t="shared" si="52"/>
        <v>7.1000000000000008E-2</v>
      </c>
      <c r="O126" s="316">
        <f t="shared" si="52"/>
        <v>9.369999999999995E-2</v>
      </c>
      <c r="P126" s="316">
        <f t="shared" si="52"/>
        <v>0.10639999999999999</v>
      </c>
      <c r="Q126" s="316">
        <f t="shared" si="52"/>
        <v>9.1799999999999993E-2</v>
      </c>
      <c r="R126" s="316">
        <f t="shared" si="52"/>
        <v>9.8799999999999999E-2</v>
      </c>
      <c r="S126" s="316">
        <f t="shared" si="52"/>
        <v>0.11179999999999995</v>
      </c>
      <c r="T126" s="316">
        <f t="shared" si="52"/>
        <v>0.10639999999999999</v>
      </c>
      <c r="U126" s="316">
        <f t="shared" si="52"/>
        <v>0.10620000000000002</v>
      </c>
      <c r="V126" s="316">
        <f t="shared" si="52"/>
        <v>0.11049999999999999</v>
      </c>
      <c r="W126" s="316">
        <f t="shared" si="52"/>
        <v>0.10770000000000002</v>
      </c>
      <c r="X126" s="316">
        <f t="shared" si="52"/>
        <v>9.8899999999999988E-2</v>
      </c>
      <c r="Y126" s="316">
        <f t="shared" si="52"/>
        <v>0.28599999999999998</v>
      </c>
      <c r="Z126" s="316">
        <f t="shared" si="52"/>
        <v>0.36310000000000003</v>
      </c>
      <c r="AA126" s="316">
        <f t="shared" si="52"/>
        <v>0.68120000000000003</v>
      </c>
      <c r="AB126" s="316">
        <f t="shared" si="52"/>
        <v>0.67900000000000005</v>
      </c>
      <c r="AC126" s="316">
        <f t="shared" si="52"/>
        <v>0.70599999999999996</v>
      </c>
      <c r="AD126" s="316">
        <f t="shared" si="52"/>
        <v>0.74329999999999996</v>
      </c>
      <c r="AE126" s="316">
        <f t="shared" si="52"/>
        <v>0.78590000000000004</v>
      </c>
      <c r="AF126" s="316">
        <f t="shared" si="52"/>
        <v>0.82899999999999996</v>
      </c>
      <c r="AG126" s="316">
        <f t="shared" si="52"/>
        <v>0.89749999999999996</v>
      </c>
      <c r="AH126" s="316">
        <f t="shared" si="52"/>
        <v>0.97199999999999998</v>
      </c>
      <c r="AI126" s="316">
        <f t="shared" si="52"/>
        <v>1.0492999999999999</v>
      </c>
      <c r="AJ126" s="316">
        <f t="shared" si="52"/>
        <v>1.1368</v>
      </c>
      <c r="AK126" s="316">
        <f t="shared" si="52"/>
        <v>1.2198</v>
      </c>
      <c r="AL126" s="316">
        <f t="shared" si="52"/>
        <v>1.2932999999999999</v>
      </c>
      <c r="AM126" s="316">
        <f t="shared" si="52"/>
        <v>1.3791</v>
      </c>
      <c r="AN126" s="316">
        <f t="shared" si="52"/>
        <v>1.4714</v>
      </c>
      <c r="AO126" s="316">
        <f t="shared" si="52"/>
        <v>1.5426</v>
      </c>
      <c r="AP126" s="316">
        <f t="shared" si="52"/>
        <v>1.5763</v>
      </c>
      <c r="AQ126" s="316">
        <f t="shared" si="52"/>
        <v>1.617</v>
      </c>
      <c r="AR126" s="316">
        <f t="shared" si="52"/>
        <v>1.6862999999999999</v>
      </c>
      <c r="AS126" s="316">
        <f t="shared" si="52"/>
        <v>1.7415</v>
      </c>
      <c r="AT126" s="316">
        <f t="shared" si="52"/>
        <v>1.8198000000000001</v>
      </c>
      <c r="AU126" s="316">
        <f t="shared" si="52"/>
        <v>1.8980999999999999</v>
      </c>
    </row>
    <row r="127" spans="1:50" ht="14.25">
      <c r="A127" s="352" t="s">
        <v>339</v>
      </c>
      <c r="B127" s="352" cm="1">
        <f t="array" ref="B127:AU127">TRANSPOSE('OSeMOSYS (Input)'!S139:S184)</f>
        <v>0.43909999999999999</v>
      </c>
      <c r="C127" s="352">
        <v>0.1041</v>
      </c>
      <c r="D127" s="352">
        <v>0.1522</v>
      </c>
      <c r="E127" s="352">
        <v>0.1928</v>
      </c>
      <c r="F127" s="352">
        <v>0.16259999999999999</v>
      </c>
      <c r="G127" s="352">
        <v>0.33929999999999999</v>
      </c>
      <c r="H127" s="352">
        <v>0.38719999999999999</v>
      </c>
      <c r="I127" s="352">
        <v>0.432</v>
      </c>
      <c r="J127" s="352">
        <v>0.45739999999999997</v>
      </c>
      <c r="K127" s="352">
        <v>0.31640000000000001</v>
      </c>
      <c r="L127" s="352">
        <v>0.34350000000000003</v>
      </c>
      <c r="M127" s="352">
        <v>0.31509999999999999</v>
      </c>
      <c r="N127" s="352">
        <v>0.37140000000000001</v>
      </c>
      <c r="O127" s="352">
        <v>0.39389999999999997</v>
      </c>
      <c r="P127" s="352">
        <v>0.40089999999999998</v>
      </c>
      <c r="Q127" s="352">
        <v>0.37890000000000001</v>
      </c>
      <c r="R127" s="352">
        <v>0.38590000000000002</v>
      </c>
      <c r="S127" s="352">
        <v>0.39889999999999998</v>
      </c>
      <c r="T127" s="352">
        <v>0.38819999999999999</v>
      </c>
      <c r="U127" s="352">
        <v>0.38800000000000001</v>
      </c>
      <c r="V127" s="352">
        <v>0.39229999999999998</v>
      </c>
      <c r="W127" s="352">
        <v>0.38950000000000001</v>
      </c>
      <c r="X127" s="352">
        <v>0.38069999999999998</v>
      </c>
      <c r="Y127" s="352">
        <v>0.56779999999999997</v>
      </c>
      <c r="Z127" s="352">
        <v>0.64490000000000003</v>
      </c>
      <c r="AA127" s="352">
        <v>0.68120000000000003</v>
      </c>
      <c r="AB127" s="352">
        <v>0.67900000000000005</v>
      </c>
      <c r="AC127" s="352">
        <v>0.70599999999999996</v>
      </c>
      <c r="AD127" s="352">
        <v>0.74329999999999996</v>
      </c>
      <c r="AE127" s="352">
        <v>0.78590000000000004</v>
      </c>
      <c r="AF127" s="352">
        <v>0.82899999999999996</v>
      </c>
      <c r="AG127" s="352">
        <v>0.89749999999999996</v>
      </c>
      <c r="AH127" s="352">
        <v>0.97199999999999998</v>
      </c>
      <c r="AI127" s="352">
        <v>1.0492999999999999</v>
      </c>
      <c r="AJ127" s="352">
        <v>1.1368</v>
      </c>
      <c r="AK127" s="352">
        <v>1.2198</v>
      </c>
      <c r="AL127" s="352">
        <v>1.2932999999999999</v>
      </c>
      <c r="AM127" s="352">
        <v>1.3791</v>
      </c>
      <c r="AN127" s="352">
        <v>1.4714</v>
      </c>
      <c r="AO127" s="352">
        <v>1.5426</v>
      </c>
      <c r="AP127" s="352">
        <v>1.5763</v>
      </c>
      <c r="AQ127" s="352">
        <v>1.617</v>
      </c>
      <c r="AR127" s="352">
        <v>1.6862999999999999</v>
      </c>
      <c r="AS127" s="352">
        <v>1.7415</v>
      </c>
      <c r="AT127" s="352">
        <v>1.8198000000000001</v>
      </c>
      <c r="AU127" s="352">
        <v>1.8980999999999999</v>
      </c>
    </row>
    <row r="128" spans="1:50" ht="14.25">
      <c r="A128" s="352" t="s">
        <v>340</v>
      </c>
      <c r="B128" s="352" cm="1">
        <f t="array" ref="B128:AU128">TRANSPOSE('OSeMOSYS (Input)'!R139:R184)</f>
        <v>0.43909999999999999</v>
      </c>
      <c r="C128" s="352">
        <v>0.1041</v>
      </c>
      <c r="D128" s="352">
        <v>0.19819999999999999</v>
      </c>
      <c r="E128" s="352">
        <v>0.23780000000000001</v>
      </c>
      <c r="F128" s="352">
        <v>0.19839999999999999</v>
      </c>
      <c r="G128" s="352">
        <v>0.31319999999999998</v>
      </c>
      <c r="H128" s="352">
        <v>0.37069999999999997</v>
      </c>
      <c r="I128" s="352">
        <v>0.41170000000000001</v>
      </c>
      <c r="J128" s="352">
        <v>0.307</v>
      </c>
      <c r="K128" s="352">
        <v>0.28660000000000002</v>
      </c>
      <c r="L128" s="352">
        <v>0.30020000000000002</v>
      </c>
      <c r="M128" s="352">
        <v>0.2918</v>
      </c>
      <c r="N128" s="352">
        <v>0.3004</v>
      </c>
      <c r="O128" s="352">
        <v>0.30020000000000002</v>
      </c>
      <c r="P128" s="352">
        <v>0.29449999999999998</v>
      </c>
      <c r="Q128" s="352">
        <v>0.28710000000000002</v>
      </c>
      <c r="R128" s="352">
        <v>0.28710000000000002</v>
      </c>
      <c r="S128" s="352">
        <v>0.28710000000000002</v>
      </c>
      <c r="T128" s="352">
        <v>0.28179999999999999</v>
      </c>
      <c r="U128" s="352">
        <v>0.28179999999999999</v>
      </c>
      <c r="V128" s="352">
        <v>0.28179999999999999</v>
      </c>
      <c r="W128" s="352">
        <v>0.28179999999999999</v>
      </c>
      <c r="X128" s="352">
        <v>0.28179999999999999</v>
      </c>
      <c r="Y128" s="352">
        <v>0.28179999999999999</v>
      </c>
      <c r="Z128" s="352">
        <v>0.28179999999999999</v>
      </c>
      <c r="AA128" s="352">
        <v>0</v>
      </c>
      <c r="AB128" s="352">
        <v>0</v>
      </c>
      <c r="AC128" s="352">
        <v>0</v>
      </c>
      <c r="AD128" s="352">
        <v>0</v>
      </c>
      <c r="AE128" s="352">
        <v>0</v>
      </c>
      <c r="AF128" s="352">
        <v>0</v>
      </c>
      <c r="AG128" s="352">
        <v>0</v>
      </c>
      <c r="AH128" s="352">
        <v>0</v>
      </c>
      <c r="AI128" s="352">
        <v>0</v>
      </c>
      <c r="AJ128" s="352">
        <v>0</v>
      </c>
      <c r="AK128" s="352">
        <v>0</v>
      </c>
      <c r="AL128" s="352">
        <v>0</v>
      </c>
      <c r="AM128" s="352">
        <v>0</v>
      </c>
      <c r="AN128" s="352">
        <v>0</v>
      </c>
      <c r="AO128" s="352">
        <v>0</v>
      </c>
      <c r="AP128" s="352">
        <v>0</v>
      </c>
      <c r="AQ128" s="352">
        <v>0</v>
      </c>
      <c r="AR128" s="352">
        <v>0</v>
      </c>
      <c r="AS128" s="352">
        <v>0</v>
      </c>
      <c r="AT128" s="352">
        <v>0</v>
      </c>
      <c r="AU128" s="352">
        <v>0</v>
      </c>
    </row>
    <row r="129" spans="1:47" ht="14.25">
      <c r="A129" s="2"/>
      <c r="B129" s="15"/>
      <c r="C129" s="15"/>
      <c r="D129" s="15"/>
      <c r="E129" s="15"/>
      <c r="F129" s="15"/>
      <c r="G129" s="15"/>
      <c r="H129" s="15"/>
      <c r="I129" s="15"/>
      <c r="J129" s="15"/>
      <c r="K129" s="15"/>
      <c r="L129" s="15"/>
      <c r="M129" s="15"/>
      <c r="N129" s="15"/>
      <c r="O129" s="15"/>
      <c r="P129" s="15"/>
      <c r="Q129" s="15"/>
      <c r="R129" s="15"/>
      <c r="S129" s="15"/>
      <c r="T129" s="15"/>
      <c r="U129" s="15"/>
      <c r="V129" s="15"/>
      <c r="W129" s="15"/>
      <c r="X129" s="15"/>
      <c r="Y129" s="15"/>
      <c r="Z129" s="15"/>
      <c r="AA129" s="15"/>
      <c r="AB129" s="15"/>
      <c r="AC129" s="15"/>
      <c r="AD129" s="15"/>
      <c r="AE129" s="15"/>
      <c r="AF129" s="15"/>
      <c r="AG129" s="15"/>
      <c r="AH129" s="15"/>
      <c r="AI129" s="15"/>
      <c r="AJ129" s="15"/>
      <c r="AK129" s="15"/>
      <c r="AL129" s="15"/>
      <c r="AM129" s="15"/>
      <c r="AN129" s="15"/>
      <c r="AO129" s="15"/>
      <c r="AP129" s="15"/>
      <c r="AQ129" s="15"/>
      <c r="AR129" s="15"/>
      <c r="AS129" s="15"/>
      <c r="AT129" s="15"/>
    </row>
    <row r="130" spans="1:47" ht="22.05" customHeight="1">
      <c r="A130" s="350" t="s">
        <v>341</v>
      </c>
      <c r="B130" s="351"/>
      <c r="C130" s="351"/>
      <c r="D130" s="351"/>
      <c r="E130" s="351"/>
      <c r="F130" s="351"/>
      <c r="G130" s="351"/>
      <c r="H130" s="351"/>
      <c r="I130" s="351"/>
      <c r="J130" s="351"/>
      <c r="K130" s="351"/>
      <c r="L130" s="351"/>
      <c r="M130" s="351"/>
      <c r="N130" s="351"/>
      <c r="O130" s="351"/>
      <c r="P130" s="351"/>
      <c r="Q130" s="351"/>
      <c r="R130" s="351"/>
      <c r="S130" s="351"/>
      <c r="T130" s="351"/>
      <c r="U130" s="351"/>
      <c r="V130" s="351"/>
      <c r="W130" s="351"/>
      <c r="X130" s="351"/>
      <c r="Y130" s="351"/>
      <c r="Z130" s="351"/>
      <c r="AA130" s="351"/>
      <c r="AB130" s="351"/>
      <c r="AC130" s="351"/>
      <c r="AD130" s="351"/>
      <c r="AE130" s="351"/>
      <c r="AF130" s="351"/>
      <c r="AG130" s="351"/>
      <c r="AH130" s="351"/>
      <c r="AI130" s="351"/>
      <c r="AJ130" s="351"/>
      <c r="AK130" s="351"/>
      <c r="AL130" s="351"/>
      <c r="AM130" s="351"/>
      <c r="AN130" s="351"/>
      <c r="AO130" s="351"/>
      <c r="AP130" s="351"/>
      <c r="AQ130" s="351"/>
      <c r="AR130" s="351"/>
      <c r="AS130" s="351"/>
      <c r="AT130" s="351"/>
      <c r="AU130" s="351"/>
    </row>
    <row r="131" spans="1:47" ht="14.55" customHeight="1">
      <c r="A131" s="316" t="s">
        <v>342</v>
      </c>
      <c r="B131" s="380"/>
      <c r="C131" s="380"/>
      <c r="D131" s="380"/>
      <c r="E131" s="380"/>
      <c r="F131" s="380"/>
      <c r="G131" s="380"/>
      <c r="H131" s="380"/>
      <c r="I131" s="380"/>
      <c r="J131" s="380"/>
      <c r="K131" s="380"/>
      <c r="L131" s="380"/>
      <c r="M131" s="380"/>
      <c r="N131" s="380"/>
      <c r="O131" s="380"/>
      <c r="P131" s="380"/>
      <c r="Q131" s="380"/>
      <c r="R131" s="380"/>
      <c r="S131" s="380"/>
      <c r="T131" s="380"/>
      <c r="U131" s="380"/>
      <c r="V131" s="380"/>
      <c r="W131" s="380"/>
      <c r="X131" s="380"/>
      <c r="Y131" s="380"/>
      <c r="Z131" s="380"/>
      <c r="AA131" s="380"/>
      <c r="AB131" s="380"/>
      <c r="AC131" s="380"/>
      <c r="AD131" s="380"/>
      <c r="AE131" s="380"/>
      <c r="AF131" s="380"/>
      <c r="AG131" s="380"/>
      <c r="AH131" s="380"/>
      <c r="AI131" s="380"/>
      <c r="AJ131" s="380"/>
      <c r="AK131" s="380"/>
      <c r="AL131" s="380"/>
      <c r="AM131" s="380"/>
      <c r="AN131" s="380"/>
      <c r="AO131" s="380"/>
      <c r="AP131" s="380"/>
      <c r="AQ131" s="380"/>
      <c r="AR131" s="380"/>
      <c r="AS131" s="380"/>
      <c r="AT131" s="380"/>
      <c r="AU131" s="380"/>
    </row>
    <row r="132" spans="1:47" ht="14.25">
      <c r="A132" s="316" t="str">
        <f>"Annual GDP "&amp;$B$5&amp;" (Million "&amp;$B$6&amp;")"</f>
        <v>Annual GDP Foreign Currency (Million USD)</v>
      </c>
      <c r="B132" s="351">
        <f>B131
*IF($B$5="Local Currency",HLOOKUP(B64,'Financing Baseline'!$R$37:$BL$39,3,FALSE)/HLOOKUP(B64,'Financing Baseline'!$R$37:$BL$39,2,FALSE),HLOOKUP(B64,'Financing Baseline'!$R$37:$BL$39,2,FALSE))</f>
        <v>0</v>
      </c>
      <c r="C132" s="351">
        <f>C131
*IF($B$5="Local Currency",HLOOKUP(C64,'Financing Baseline'!$R$37:$BL$39,3,FALSE)/HLOOKUP(C64,'Financing Baseline'!$R$37:$BL$39,2,FALSE),HLOOKUP(C64,'Financing Baseline'!$R$37:$BL$39,2,FALSE))</f>
        <v>0</v>
      </c>
      <c r="D132" s="351">
        <f>D131
*IF($B$5="Local Currency",HLOOKUP(D64,'Financing Baseline'!$R$37:$BL$39,3,FALSE)/HLOOKUP(D64,'Financing Baseline'!$R$37:$BL$39,2,FALSE),HLOOKUP(D64,'Financing Baseline'!$R$37:$BL$39,2,FALSE))</f>
        <v>0</v>
      </c>
      <c r="E132" s="351">
        <f>E131
*IF($B$5="Local Currency",HLOOKUP(E64,'Financing Baseline'!$R$37:$BL$39,3,FALSE)/HLOOKUP(E64,'Financing Baseline'!$R$37:$BL$39,2,FALSE),HLOOKUP(E64,'Financing Baseline'!$R$37:$BL$39,2,FALSE))</f>
        <v>0</v>
      </c>
      <c r="F132" s="351">
        <f>F131
*IF($B$5="Local Currency",HLOOKUP(F64,'Financing Baseline'!$R$37:$BL$39,3,FALSE)/HLOOKUP(F64,'Financing Baseline'!$R$37:$BL$39,2,FALSE),HLOOKUP(F64,'Financing Baseline'!$R$37:$BL$39,2,FALSE))</f>
        <v>0</v>
      </c>
      <c r="G132" s="351">
        <f>G131
*IF($B$5="Local Currency",HLOOKUP(G64,'Financing Baseline'!$R$37:$BL$39,3,FALSE)/HLOOKUP(G64,'Financing Baseline'!$R$37:$BL$39,2,FALSE),HLOOKUP(G64,'Financing Baseline'!$R$37:$BL$39,2,FALSE))</f>
        <v>0</v>
      </c>
      <c r="H132" s="351">
        <f>H131
*IF($B$5="Local Currency",HLOOKUP(H64,'Financing Baseline'!$R$37:$BL$39,3,FALSE)/HLOOKUP(H64,'Financing Baseline'!$R$37:$BL$39,2,FALSE),HLOOKUP(H64,'Financing Baseline'!$R$37:$BL$39,2,FALSE))</f>
        <v>0</v>
      </c>
      <c r="I132" s="351">
        <f>I131
*IF($B$5="Local Currency",HLOOKUP(I64,'Financing Baseline'!$R$37:$BL$39,3,FALSE)/HLOOKUP(I64,'Financing Baseline'!$R$37:$BL$39,2,FALSE),HLOOKUP(I64,'Financing Baseline'!$R$37:$BL$39,2,FALSE))</f>
        <v>0</v>
      </c>
      <c r="J132" s="351">
        <f>J131
*IF($B$5="Local Currency",HLOOKUP(J64,'Financing Baseline'!$R$37:$BL$39,3,FALSE)/HLOOKUP(J64,'Financing Baseline'!$R$37:$BL$39,2,FALSE),HLOOKUP(J64,'Financing Baseline'!$R$37:$BL$39,2,FALSE))</f>
        <v>0</v>
      </c>
      <c r="K132" s="351">
        <f>K131
*IF($B$5="Local Currency",HLOOKUP(K64,'Financing Baseline'!$R$37:$BL$39,3,FALSE)/HLOOKUP(K64,'Financing Baseline'!$R$37:$BL$39,2,FALSE),HLOOKUP(K64,'Financing Baseline'!$R$37:$BL$39,2,FALSE))</f>
        <v>0</v>
      </c>
      <c r="L132" s="351">
        <f>L131
*IF($B$5="Local Currency",HLOOKUP(L64,'Financing Baseline'!$R$37:$BL$39,3,FALSE)/HLOOKUP(L64,'Financing Baseline'!$R$37:$BL$39,2,FALSE),HLOOKUP(L64,'Financing Baseline'!$R$37:$BL$39,2,FALSE))</f>
        <v>0</v>
      </c>
      <c r="M132" s="351">
        <f>M131
*IF($B$5="Local Currency",HLOOKUP(M64,'Financing Baseline'!$R$37:$BL$39,3,FALSE)/HLOOKUP(M64,'Financing Baseline'!$R$37:$BL$39,2,FALSE),HLOOKUP(M64,'Financing Baseline'!$R$37:$BL$39,2,FALSE))</f>
        <v>0</v>
      </c>
      <c r="N132" s="351">
        <f>N131
*IF($B$5="Local Currency",HLOOKUP(N64,'Financing Baseline'!$R$37:$BL$39,3,FALSE)/HLOOKUP(N64,'Financing Baseline'!$R$37:$BL$39,2,FALSE),HLOOKUP(N64,'Financing Baseline'!$R$37:$BL$39,2,FALSE))</f>
        <v>0</v>
      </c>
      <c r="O132" s="351">
        <f>O131
*IF($B$5="Local Currency",HLOOKUP(O64,'Financing Baseline'!$R$37:$BL$39,3,FALSE)/HLOOKUP(O64,'Financing Baseline'!$R$37:$BL$39,2,FALSE),HLOOKUP(O64,'Financing Baseline'!$R$37:$BL$39,2,FALSE))</f>
        <v>0</v>
      </c>
      <c r="P132" s="351">
        <f>P131
*IF($B$5="Local Currency",HLOOKUP(P64,'Financing Baseline'!$R$37:$BL$39,3,FALSE)/HLOOKUP(P64,'Financing Baseline'!$R$37:$BL$39,2,FALSE),HLOOKUP(P64,'Financing Baseline'!$R$37:$BL$39,2,FALSE))</f>
        <v>0</v>
      </c>
      <c r="Q132" s="351">
        <f>Q131
*IF($B$5="Local Currency",HLOOKUP(Q64,'Financing Baseline'!$R$37:$BL$39,3,FALSE)/HLOOKUP(Q64,'Financing Baseline'!$R$37:$BL$39,2,FALSE),HLOOKUP(Q64,'Financing Baseline'!$R$37:$BL$39,2,FALSE))</f>
        <v>0</v>
      </c>
      <c r="R132" s="351">
        <f>R131
*IF($B$5="Local Currency",HLOOKUP(R64,'Financing Baseline'!$R$37:$BL$39,3,FALSE)/HLOOKUP(R64,'Financing Baseline'!$R$37:$BL$39,2,FALSE),HLOOKUP(R64,'Financing Baseline'!$R$37:$BL$39,2,FALSE))</f>
        <v>0</v>
      </c>
      <c r="S132" s="351">
        <f>S131
*IF($B$5="Local Currency",HLOOKUP(S64,'Financing Baseline'!$R$37:$BL$39,3,FALSE)/HLOOKUP(S64,'Financing Baseline'!$R$37:$BL$39,2,FALSE),HLOOKUP(S64,'Financing Baseline'!$R$37:$BL$39,2,FALSE))</f>
        <v>0</v>
      </c>
      <c r="T132" s="351">
        <f>T131
*IF($B$5="Local Currency",HLOOKUP(T64,'Financing Baseline'!$R$37:$BL$39,3,FALSE)/HLOOKUP(T64,'Financing Baseline'!$R$37:$BL$39,2,FALSE),HLOOKUP(T64,'Financing Baseline'!$R$37:$BL$39,2,FALSE))</f>
        <v>0</v>
      </c>
      <c r="U132" s="351">
        <f>U131
*IF($B$5="Local Currency",HLOOKUP(U64,'Financing Baseline'!$R$37:$BL$39,3,FALSE)/HLOOKUP(U64,'Financing Baseline'!$R$37:$BL$39,2,FALSE),HLOOKUP(U64,'Financing Baseline'!$R$37:$BL$39,2,FALSE))</f>
        <v>0</v>
      </c>
      <c r="V132" s="351">
        <f>V131
*IF($B$5="Local Currency",HLOOKUP(V64,'Financing Baseline'!$R$37:$BL$39,3,FALSE)/HLOOKUP(V64,'Financing Baseline'!$R$37:$BL$39,2,FALSE),HLOOKUP(V64,'Financing Baseline'!$R$37:$BL$39,2,FALSE))</f>
        <v>0</v>
      </c>
      <c r="W132" s="351">
        <f>W131
*IF($B$5="Local Currency",HLOOKUP(W64,'Financing Baseline'!$R$37:$BL$39,3,FALSE)/HLOOKUP(W64,'Financing Baseline'!$R$37:$BL$39,2,FALSE),HLOOKUP(W64,'Financing Baseline'!$R$37:$BL$39,2,FALSE))</f>
        <v>0</v>
      </c>
      <c r="X132" s="351">
        <f>X131
*IF($B$5="Local Currency",HLOOKUP(X64,'Financing Baseline'!$R$37:$BL$39,3,FALSE)/HLOOKUP(X64,'Financing Baseline'!$R$37:$BL$39,2,FALSE),HLOOKUP(X64,'Financing Baseline'!$R$37:$BL$39,2,FALSE))</f>
        <v>0</v>
      </c>
      <c r="Y132" s="351">
        <f>Y131
*IF($B$5="Local Currency",HLOOKUP(Y64,'Financing Baseline'!$R$37:$BL$39,3,FALSE)/HLOOKUP(Y64,'Financing Baseline'!$R$37:$BL$39,2,FALSE),HLOOKUP(Y64,'Financing Baseline'!$R$37:$BL$39,2,FALSE))</f>
        <v>0</v>
      </c>
      <c r="Z132" s="351">
        <f>Z131
*IF($B$5="Local Currency",HLOOKUP(Z64,'Financing Baseline'!$R$37:$BL$39,3,FALSE)/HLOOKUP(Z64,'Financing Baseline'!$R$37:$BL$39,2,FALSE),HLOOKUP(Z64,'Financing Baseline'!$R$37:$BL$39,2,FALSE))</f>
        <v>0</v>
      </c>
      <c r="AA132" s="351">
        <f>AA131
*IF($B$5="Local Currency",HLOOKUP(AA64,'Financing Baseline'!$R$37:$BL$39,3,FALSE)/HLOOKUP(AA64,'Financing Baseline'!$R$37:$BL$39,2,FALSE),HLOOKUP(AA64,'Financing Baseline'!$R$37:$BL$39,2,FALSE))</f>
        <v>0</v>
      </c>
      <c r="AB132" s="351">
        <f>AB131
*IF($B$5="Local Currency",HLOOKUP(AB64,'Financing Baseline'!$R$37:$BL$39,3,FALSE)/HLOOKUP(AB64,'Financing Baseline'!$R$37:$BL$39,2,FALSE),HLOOKUP(AB64,'Financing Baseline'!$R$37:$BL$39,2,FALSE))</f>
        <v>0</v>
      </c>
      <c r="AC132" s="351">
        <f>AC131
*IF($B$5="Local Currency",HLOOKUP(AC64,'Financing Baseline'!$R$37:$BL$39,3,FALSE)/HLOOKUP(AC64,'Financing Baseline'!$R$37:$BL$39,2,FALSE),HLOOKUP(AC64,'Financing Baseline'!$R$37:$BL$39,2,FALSE))</f>
        <v>0</v>
      </c>
      <c r="AD132" s="351">
        <f>AD131
*IF($B$5="Local Currency",HLOOKUP(AD64,'Financing Baseline'!$R$37:$BL$39,3,FALSE)/HLOOKUP(AD64,'Financing Baseline'!$R$37:$BL$39,2,FALSE),HLOOKUP(AD64,'Financing Baseline'!$R$37:$BL$39,2,FALSE))</f>
        <v>0</v>
      </c>
      <c r="AE132" s="351">
        <f>AE131
*IF($B$5="Local Currency",HLOOKUP(AE64,'Financing Baseline'!$R$37:$BL$39,3,FALSE)/HLOOKUP(AE64,'Financing Baseline'!$R$37:$BL$39,2,FALSE),HLOOKUP(AE64,'Financing Baseline'!$R$37:$BL$39,2,FALSE))</f>
        <v>0</v>
      </c>
      <c r="AF132" s="351">
        <f>AF131
*IF($B$5="Local Currency",HLOOKUP(AF64,'Financing Baseline'!$R$37:$BL$39,3,FALSE)/HLOOKUP(AF64,'Financing Baseline'!$R$37:$BL$39,2,FALSE),HLOOKUP(AF64,'Financing Baseline'!$R$37:$BL$39,2,FALSE))</f>
        <v>0</v>
      </c>
      <c r="AG132" s="351">
        <f>AG131
*IF($B$5="Local Currency",HLOOKUP(AG64,'Financing Baseline'!$R$37:$BL$39,3,FALSE)/HLOOKUP(AG64,'Financing Baseline'!$R$37:$BL$39,2,FALSE),HLOOKUP(AG64,'Financing Baseline'!$R$37:$BL$39,2,FALSE))</f>
        <v>0</v>
      </c>
      <c r="AH132" s="351">
        <f>AH131
*IF($B$5="Local Currency",HLOOKUP(AH64,'Financing Baseline'!$R$37:$BL$39,3,FALSE)/HLOOKUP(AH64,'Financing Baseline'!$R$37:$BL$39,2,FALSE),HLOOKUP(AH64,'Financing Baseline'!$R$37:$BL$39,2,FALSE))</f>
        <v>0</v>
      </c>
      <c r="AI132" s="351">
        <f>AI131
*IF($B$5="Local Currency",HLOOKUP(AI64,'Financing Baseline'!$R$37:$BL$39,3,FALSE)/HLOOKUP(AI64,'Financing Baseline'!$R$37:$BL$39,2,FALSE),HLOOKUP(AI64,'Financing Baseline'!$R$37:$BL$39,2,FALSE))</f>
        <v>0</v>
      </c>
      <c r="AJ132" s="351">
        <f>AJ131
*IF($B$5="Local Currency",HLOOKUP(AJ64,'Financing Baseline'!$R$37:$BL$39,3,FALSE)/HLOOKUP(AJ64,'Financing Baseline'!$R$37:$BL$39,2,FALSE),HLOOKUP(AJ64,'Financing Baseline'!$R$37:$BL$39,2,FALSE))</f>
        <v>0</v>
      </c>
      <c r="AK132" s="351">
        <f>AK131
*IF($B$5="Local Currency",HLOOKUP(AK64,'Financing Baseline'!$R$37:$BL$39,3,FALSE)/HLOOKUP(AK64,'Financing Baseline'!$R$37:$BL$39,2,FALSE),HLOOKUP(AK64,'Financing Baseline'!$R$37:$BL$39,2,FALSE))</f>
        <v>0</v>
      </c>
      <c r="AL132" s="351">
        <f>AL131
*IF($B$5="Local Currency",HLOOKUP(AL64,'Financing Baseline'!$R$37:$BL$39,3,FALSE)/HLOOKUP(AL64,'Financing Baseline'!$R$37:$BL$39,2,FALSE),HLOOKUP(AL64,'Financing Baseline'!$R$37:$BL$39,2,FALSE))</f>
        <v>0</v>
      </c>
      <c r="AM132" s="351">
        <f>AM131
*IF($B$5="Local Currency",HLOOKUP(AM64,'Financing Baseline'!$R$37:$BL$39,3,FALSE)/HLOOKUP(AM64,'Financing Baseline'!$R$37:$BL$39,2,FALSE),HLOOKUP(AM64,'Financing Baseline'!$R$37:$BL$39,2,FALSE))</f>
        <v>0</v>
      </c>
      <c r="AN132" s="351">
        <f>AN131
*IF($B$5="Local Currency",HLOOKUP(AN64,'Financing Baseline'!$R$37:$BL$39,3,FALSE)/HLOOKUP(AN64,'Financing Baseline'!$R$37:$BL$39,2,FALSE),HLOOKUP(AN64,'Financing Baseline'!$R$37:$BL$39,2,FALSE))</f>
        <v>0</v>
      </c>
      <c r="AO132" s="351">
        <f>AO131
*IF($B$5="Local Currency",HLOOKUP(AO64,'Financing Baseline'!$R$37:$BL$39,3,FALSE)/HLOOKUP(AO64,'Financing Baseline'!$R$37:$BL$39,2,FALSE),HLOOKUP(AO64,'Financing Baseline'!$R$37:$BL$39,2,FALSE))</f>
        <v>0</v>
      </c>
      <c r="AP132" s="351">
        <f>AP131
*IF($B$5="Local Currency",HLOOKUP(AP64,'Financing Baseline'!$R$37:$BL$39,3,FALSE)/HLOOKUP(AP64,'Financing Baseline'!$R$37:$BL$39,2,FALSE),HLOOKUP(AP64,'Financing Baseline'!$R$37:$BL$39,2,FALSE))</f>
        <v>0</v>
      </c>
      <c r="AQ132" s="351">
        <f>AQ131
*IF($B$5="Local Currency",HLOOKUP(AQ64,'Financing Baseline'!$R$37:$BL$39,3,FALSE)/HLOOKUP(AQ64,'Financing Baseline'!$R$37:$BL$39,2,FALSE),HLOOKUP(AQ64,'Financing Baseline'!$R$37:$BL$39,2,FALSE))</f>
        <v>0</v>
      </c>
      <c r="AR132" s="351">
        <f>AR131
*IF($B$5="Local Currency",HLOOKUP(AR64,'Financing Baseline'!$R$37:$BL$39,3,FALSE)/HLOOKUP(AR64,'Financing Baseline'!$R$37:$BL$39,2,FALSE),HLOOKUP(AR64,'Financing Baseline'!$R$37:$BL$39,2,FALSE))</f>
        <v>0</v>
      </c>
      <c r="AS132" s="351">
        <f>AS131
*IF($B$5="Local Currency",HLOOKUP(AS64,'Financing Baseline'!$R$37:$BL$39,3,FALSE)/HLOOKUP(AS64,'Financing Baseline'!$R$37:$BL$39,2,FALSE),HLOOKUP(AS64,'Financing Baseline'!$R$37:$BL$39,2,FALSE))</f>
        <v>0</v>
      </c>
      <c r="AT132" s="351">
        <f>AT131
*IF($B$5="Local Currency",HLOOKUP(AT64,'Financing Baseline'!$R$37:$BL$39,3,FALSE)/HLOOKUP(AT64,'Financing Baseline'!$R$37:$BL$39,2,FALSE),HLOOKUP(AT64,'Financing Baseline'!$R$37:$BL$39,2,FALSE))</f>
        <v>0</v>
      </c>
      <c r="AU132" s="351">
        <f>AU131
*IF($B$5="Local Currency",HLOOKUP(AU64,'Financing Baseline'!$R$37:$BL$39,3,FALSE)/HLOOKUP(AU64,'Financing Baseline'!$R$37:$BL$39,2,FALSE),HLOOKUP(AU64,'Financing Baseline'!$R$37:$BL$39,2,FALSE))</f>
        <v>0</v>
      </c>
    </row>
    <row r="133" spans="1:47" ht="14.25">
      <c r="A133" s="316" t="s">
        <v>343</v>
      </c>
      <c r="B133" s="353">
        <f t="shared" ref="B133:AU133" ca="1" si="53">IFERROR((B67/B132), 0)</f>
        <v>8.5917292367772274E-3</v>
      </c>
      <c r="C133" s="353">
        <f t="shared" ca="1" si="53"/>
        <v>8.6135215782058693E-3</v>
      </c>
      <c r="D133" s="353">
        <f t="shared" ca="1" si="53"/>
        <v>8.4363619865743481E-3</v>
      </c>
      <c r="E133" s="353">
        <f t="shared" ca="1" si="53"/>
        <v>8.2040567902135191E-3</v>
      </c>
      <c r="F133" s="353">
        <f t="shared" ca="1" si="53"/>
        <v>7.9540537945599205E-3</v>
      </c>
      <c r="G133" s="353">
        <f t="shared" ca="1" si="53"/>
        <v>7.8168339415684383E-3</v>
      </c>
      <c r="H133" s="353">
        <f t="shared" ca="1" si="53"/>
        <v>7.9117468677579236E-3</v>
      </c>
      <c r="I133" s="353">
        <f t="shared" ca="1" si="53"/>
        <v>7.7039059798352958E-3</v>
      </c>
      <c r="J133" s="353">
        <f t="shared" ca="1" si="53"/>
        <v>7.3965623817371182E-3</v>
      </c>
      <c r="K133" s="353">
        <f t="shared" ca="1" si="53"/>
        <v>7.3236749285696991E-3</v>
      </c>
      <c r="L133" s="353">
        <f t="shared" ca="1" si="53"/>
        <v>7.3077955545482352E-3</v>
      </c>
      <c r="M133" s="353">
        <f t="shared" ca="1" si="53"/>
        <v>7.2075998241753099E-3</v>
      </c>
      <c r="N133" s="353">
        <f t="shared" ca="1" si="53"/>
        <v>6.6797170068860975E-3</v>
      </c>
      <c r="O133" s="353">
        <f t="shared" ca="1" si="53"/>
        <v>6.3676853045953018E-3</v>
      </c>
      <c r="P133" s="353">
        <f t="shared" ca="1" si="53"/>
        <v>6.4115578364993464E-3</v>
      </c>
      <c r="Q133" s="353">
        <f t="shared" ca="1" si="53"/>
        <v>6.4921108380100387E-3</v>
      </c>
      <c r="R133" s="353">
        <f t="shared" ca="1" si="53"/>
        <v>6.5762586145427411E-3</v>
      </c>
      <c r="S133" s="353">
        <f t="shared" ca="1" si="53"/>
        <v>6.6241437906638502E-3</v>
      </c>
      <c r="T133" s="353">
        <f t="shared" ca="1" si="53"/>
        <v>6.4664077204297093E-3</v>
      </c>
      <c r="U133" s="353">
        <f t="shared" ca="1" si="53"/>
        <v>6.2525641820223681E-3</v>
      </c>
      <c r="V133" s="353">
        <f t="shared" ca="1" si="53"/>
        <v>6.2816599439645604E-3</v>
      </c>
      <c r="W133" s="353">
        <f t="shared" ca="1" si="53"/>
        <v>6.3897927281852023E-3</v>
      </c>
      <c r="X133" s="353">
        <f t="shared" ca="1" si="53"/>
        <v>6.3813636546565739E-3</v>
      </c>
      <c r="Y133" s="353">
        <f t="shared" ca="1" si="53"/>
        <v>6.3485329729690374E-3</v>
      </c>
      <c r="Z133" s="353">
        <f t="shared" ca="1" si="53"/>
        <v>6.3602469682617537E-3</v>
      </c>
      <c r="AA133" s="353">
        <f t="shared" ca="1" si="53"/>
        <v>6.4203373258576394E-3</v>
      </c>
      <c r="AB133" s="353">
        <f t="shared" ca="1" si="53"/>
        <v>6.3933596595899759E-3</v>
      </c>
      <c r="AC133" s="353">
        <f t="shared" ca="1" si="53"/>
        <v>6.3296068870295442E-3</v>
      </c>
      <c r="AD133" s="353">
        <f t="shared" ca="1" si="53"/>
        <v>6.2136339888111463E-3</v>
      </c>
      <c r="AE133" s="353">
        <f t="shared" ca="1" si="53"/>
        <v>6.2017066354719532E-3</v>
      </c>
      <c r="AF133" s="353">
        <f t="shared" ca="1" si="53"/>
        <v>6.0848927294101587E-3</v>
      </c>
      <c r="AG133" s="353">
        <f t="shared" ca="1" si="53"/>
        <v>5.9555362726063706E-3</v>
      </c>
      <c r="AH133" s="353">
        <f t="shared" ca="1" si="53"/>
        <v>5.8264319336619654E-3</v>
      </c>
      <c r="AI133" s="353">
        <f t="shared" ca="1" si="53"/>
        <v>5.696333394241593E-3</v>
      </c>
      <c r="AJ133" s="353">
        <f t="shared" ca="1" si="53"/>
        <v>5.582691445279106E-3</v>
      </c>
      <c r="AK133" s="353">
        <f t="shared" ca="1" si="53"/>
        <v>5.4735152873746197E-3</v>
      </c>
      <c r="AL133" s="353">
        <f t="shared" ca="1" si="53"/>
        <v>5.3411363499079227E-3</v>
      </c>
      <c r="AM133" s="353">
        <f t="shared" ca="1" si="53"/>
        <v>5.2064272855549846E-3</v>
      </c>
      <c r="AN133" s="353">
        <f t="shared" ca="1" si="53"/>
        <v>5.0126458721659996E-3</v>
      </c>
      <c r="AO133" s="353">
        <f t="shared" ca="1" si="53"/>
        <v>4.8762579671633131E-3</v>
      </c>
      <c r="AP133" s="353">
        <f t="shared" ca="1" si="53"/>
        <v>4.7660765716312798E-3</v>
      </c>
      <c r="AQ133" s="353">
        <f t="shared" ca="1" si="53"/>
        <v>4.6180501243535156E-3</v>
      </c>
      <c r="AR133" s="353">
        <f t="shared" ca="1" si="53"/>
        <v>4.4376972981978544E-3</v>
      </c>
      <c r="AS133" s="353">
        <f t="shared" ca="1" si="53"/>
        <v>4.2602865839703168E-3</v>
      </c>
      <c r="AT133" s="353">
        <f t="shared" ca="1" si="53"/>
        <v>4.1206319983230306E-3</v>
      </c>
      <c r="AU133" s="353">
        <f t="shared" ca="1" si="53"/>
        <v>3.994009409412482E-3</v>
      </c>
    </row>
    <row r="134" spans="1:47" ht="14.25">
      <c r="A134" s="316" t="s">
        <v>344</v>
      </c>
      <c r="B134" s="353">
        <f t="shared" ref="B134:AU134" si="54">IFERROR((B66/B132), 0)</f>
        <v>0</v>
      </c>
      <c r="C134" s="353">
        <f t="shared" si="54"/>
        <v>0</v>
      </c>
      <c r="D134" s="353">
        <f t="shared" si="54"/>
        <v>0</v>
      </c>
      <c r="E134" s="353">
        <f t="shared" si="54"/>
        <v>0</v>
      </c>
      <c r="F134" s="353">
        <f t="shared" si="54"/>
        <v>0</v>
      </c>
      <c r="G134" s="353">
        <f t="shared" si="54"/>
        <v>0</v>
      </c>
      <c r="H134" s="353">
        <f t="shared" si="54"/>
        <v>0</v>
      </c>
      <c r="I134" s="353">
        <f t="shared" si="54"/>
        <v>0</v>
      </c>
      <c r="J134" s="353">
        <f t="shared" si="54"/>
        <v>0</v>
      </c>
      <c r="K134" s="353">
        <f t="shared" si="54"/>
        <v>0</v>
      </c>
      <c r="L134" s="353">
        <f t="shared" si="54"/>
        <v>0</v>
      </c>
      <c r="M134" s="353">
        <f t="shared" si="54"/>
        <v>0</v>
      </c>
      <c r="N134" s="353">
        <f t="shared" si="54"/>
        <v>0</v>
      </c>
      <c r="O134" s="353">
        <f t="shared" si="54"/>
        <v>0</v>
      </c>
      <c r="P134" s="353">
        <f t="shared" si="54"/>
        <v>0</v>
      </c>
      <c r="Q134" s="353">
        <f t="shared" si="54"/>
        <v>0</v>
      </c>
      <c r="R134" s="353">
        <f t="shared" si="54"/>
        <v>0</v>
      </c>
      <c r="S134" s="353">
        <f t="shared" si="54"/>
        <v>0</v>
      </c>
      <c r="T134" s="353">
        <f t="shared" si="54"/>
        <v>0</v>
      </c>
      <c r="U134" s="353">
        <f t="shared" si="54"/>
        <v>0</v>
      </c>
      <c r="V134" s="353">
        <f t="shared" si="54"/>
        <v>0</v>
      </c>
      <c r="W134" s="353">
        <f t="shared" si="54"/>
        <v>0</v>
      </c>
      <c r="X134" s="353">
        <f t="shared" si="54"/>
        <v>0</v>
      </c>
      <c r="Y134" s="353">
        <f t="shared" si="54"/>
        <v>0</v>
      </c>
      <c r="Z134" s="353">
        <f t="shared" si="54"/>
        <v>0</v>
      </c>
      <c r="AA134" s="353">
        <f t="shared" si="54"/>
        <v>0</v>
      </c>
      <c r="AB134" s="353">
        <f t="shared" si="54"/>
        <v>0</v>
      </c>
      <c r="AC134" s="353">
        <f t="shared" si="54"/>
        <v>0</v>
      </c>
      <c r="AD134" s="353">
        <f t="shared" si="54"/>
        <v>0</v>
      </c>
      <c r="AE134" s="353">
        <f t="shared" si="54"/>
        <v>0</v>
      </c>
      <c r="AF134" s="353">
        <f t="shared" si="54"/>
        <v>0</v>
      </c>
      <c r="AG134" s="353">
        <f t="shared" si="54"/>
        <v>0</v>
      </c>
      <c r="AH134" s="353">
        <f t="shared" si="54"/>
        <v>0</v>
      </c>
      <c r="AI134" s="353">
        <f t="shared" si="54"/>
        <v>0</v>
      </c>
      <c r="AJ134" s="353">
        <f t="shared" si="54"/>
        <v>0</v>
      </c>
      <c r="AK134" s="353">
        <f t="shared" si="54"/>
        <v>0</v>
      </c>
      <c r="AL134" s="353">
        <f t="shared" si="54"/>
        <v>0</v>
      </c>
      <c r="AM134" s="353">
        <f t="shared" si="54"/>
        <v>0</v>
      </c>
      <c r="AN134" s="353">
        <f t="shared" si="54"/>
        <v>0</v>
      </c>
      <c r="AO134" s="353">
        <f t="shared" si="54"/>
        <v>0</v>
      </c>
      <c r="AP134" s="353">
        <f t="shared" si="54"/>
        <v>0</v>
      </c>
      <c r="AQ134" s="353">
        <f t="shared" si="54"/>
        <v>0</v>
      </c>
      <c r="AR134" s="353">
        <f t="shared" si="54"/>
        <v>0</v>
      </c>
      <c r="AS134" s="353">
        <f t="shared" si="54"/>
        <v>0</v>
      </c>
      <c r="AT134" s="353">
        <f t="shared" si="54"/>
        <v>0</v>
      </c>
      <c r="AU134" s="353">
        <f t="shared" si="54"/>
        <v>0</v>
      </c>
    </row>
    <row r="135" spans="1:47" ht="14.25">
      <c r="A135" s="2"/>
      <c r="B135" s="20"/>
      <c r="C135" s="20"/>
      <c r="D135" s="20"/>
      <c r="E135" s="20"/>
      <c r="F135" s="20"/>
      <c r="G135" s="20"/>
      <c r="H135" s="20"/>
      <c r="I135" s="20"/>
      <c r="J135" s="20"/>
      <c r="K135" s="20"/>
      <c r="L135" s="20"/>
      <c r="M135" s="20"/>
      <c r="N135" s="20"/>
      <c r="O135" s="20"/>
      <c r="P135" s="20"/>
      <c r="Q135" s="20"/>
      <c r="R135" s="20"/>
      <c r="S135" s="20"/>
      <c r="T135" s="20"/>
      <c r="U135" s="20"/>
      <c r="V135" s="20"/>
      <c r="W135" s="20"/>
      <c r="X135" s="20"/>
      <c r="Y135" s="20"/>
      <c r="Z135" s="20"/>
      <c r="AA135" s="20"/>
      <c r="AB135" s="20"/>
      <c r="AC135" s="20"/>
      <c r="AD135" s="20"/>
      <c r="AE135" s="20"/>
      <c r="AF135" s="20"/>
      <c r="AG135" s="20"/>
      <c r="AH135" s="20"/>
      <c r="AI135" s="20"/>
      <c r="AJ135" s="20"/>
      <c r="AK135" s="20"/>
      <c r="AL135" s="20"/>
      <c r="AM135" s="20"/>
      <c r="AN135" s="20"/>
      <c r="AO135" s="20"/>
      <c r="AP135" s="20"/>
      <c r="AQ135" s="20"/>
      <c r="AR135" s="20"/>
      <c r="AS135" s="20"/>
      <c r="AT135" s="20"/>
      <c r="AU135" s="20"/>
    </row>
    <row r="136" spans="1:47" ht="15" customHeight="1">
      <c r="B136" s="15"/>
      <c r="C136" s="15"/>
      <c r="D136" s="15"/>
      <c r="E136" s="15"/>
      <c r="F136" s="15"/>
      <c r="G136" s="15"/>
      <c r="H136" s="15"/>
      <c r="I136" s="15"/>
      <c r="J136" s="15"/>
      <c r="K136" s="15"/>
      <c r="L136" s="15"/>
      <c r="M136" s="15"/>
      <c r="N136" s="15"/>
      <c r="O136" s="15"/>
      <c r="P136" s="15"/>
      <c r="Q136" s="15"/>
      <c r="R136" s="15"/>
      <c r="S136" s="15"/>
      <c r="T136" s="15"/>
      <c r="U136" s="15"/>
      <c r="V136" s="15"/>
      <c r="W136" s="15"/>
      <c r="X136" s="15"/>
      <c r="Y136" s="15"/>
      <c r="Z136" s="15"/>
      <c r="AA136" s="15"/>
      <c r="AB136" s="15"/>
      <c r="AC136" s="15"/>
      <c r="AD136" s="15"/>
      <c r="AE136" s="15"/>
      <c r="AF136" s="15"/>
      <c r="AG136" s="15"/>
      <c r="AH136" s="15"/>
      <c r="AI136" s="15"/>
      <c r="AJ136" s="15"/>
      <c r="AK136" s="15"/>
      <c r="AL136" s="15"/>
      <c r="AM136" s="15"/>
      <c r="AN136" s="15"/>
      <c r="AO136" s="15"/>
      <c r="AP136" s="15"/>
      <c r="AQ136" s="15"/>
      <c r="AR136" s="15"/>
      <c r="AS136" s="15"/>
      <c r="AT136" s="15"/>
      <c r="AU136" s="15"/>
    </row>
  </sheetData>
  <mergeCells count="50">
    <mergeCell ref="F58:H58"/>
    <mergeCell ref="F55:H55"/>
    <mergeCell ref="F56:H56"/>
    <mergeCell ref="A62:B62"/>
    <mergeCell ref="C62:E62"/>
    <mergeCell ref="A60:B60"/>
    <mergeCell ref="C60:E60"/>
    <mergeCell ref="C55:E55"/>
    <mergeCell ref="C56:E56"/>
    <mergeCell ref="C58:E58"/>
    <mergeCell ref="C54:E54"/>
    <mergeCell ref="C48:E48"/>
    <mergeCell ref="F48:G48"/>
    <mergeCell ref="C49:E49"/>
    <mergeCell ref="F49:G49"/>
    <mergeCell ref="C50:E50"/>
    <mergeCell ref="F50:G50"/>
    <mergeCell ref="C51:E51"/>
    <mergeCell ref="F51:G51"/>
    <mergeCell ref="C53:E53"/>
    <mergeCell ref="A52:H52"/>
    <mergeCell ref="F53:H53"/>
    <mergeCell ref="F54:H54"/>
    <mergeCell ref="C47:E47"/>
    <mergeCell ref="F47:G47"/>
    <mergeCell ref="C40:E40"/>
    <mergeCell ref="C42:E42"/>
    <mergeCell ref="C43:E43"/>
    <mergeCell ref="C44:E44"/>
    <mergeCell ref="C46:E46"/>
    <mergeCell ref="F46:G46"/>
    <mergeCell ref="A45:H45"/>
    <mergeCell ref="A41:H41"/>
    <mergeCell ref="F40:H40"/>
    <mergeCell ref="F42:H42"/>
    <mergeCell ref="F43:H43"/>
    <mergeCell ref="F44:H44"/>
    <mergeCell ref="C39:E39"/>
    <mergeCell ref="A20:H20"/>
    <mergeCell ref="A26:H26"/>
    <mergeCell ref="A32:H32"/>
    <mergeCell ref="A38:H38"/>
    <mergeCell ref="F39:H39"/>
    <mergeCell ref="A14:H14"/>
    <mergeCell ref="A3:G3"/>
    <mergeCell ref="C5:E5"/>
    <mergeCell ref="F5:H5"/>
    <mergeCell ref="A7:H7"/>
    <mergeCell ref="A8:H8"/>
    <mergeCell ref="A4:H4"/>
  </mergeCells>
  <conditionalFormatting sqref="B65:AU68 B70:AU79 B81:AU85 B87:AU96 B98:AU109 B111:AU125">
    <cfRule type="expression" dxfId="25" priority="8">
      <formula>$B$5="USD"</formula>
    </cfRule>
  </conditionalFormatting>
  <conditionalFormatting sqref="E9 E15 E21 E27">
    <cfRule type="cellIs" dxfId="24" priority="7" operator="notEqual">
      <formula>1</formula>
    </cfRule>
  </conditionalFormatting>
  <conditionalFormatting sqref="E33">
    <cfRule type="cellIs" dxfId="23" priority="6" operator="notEqual">
      <formula>1</formula>
    </cfRule>
  </conditionalFormatting>
  <conditionalFormatting sqref="H9">
    <cfRule type="cellIs" dxfId="22" priority="5" operator="notEqual">
      <formula>1</formula>
    </cfRule>
  </conditionalFormatting>
  <conditionalFormatting sqref="H15">
    <cfRule type="cellIs" dxfId="21" priority="4" operator="notEqual">
      <formula>1</formula>
    </cfRule>
  </conditionalFormatting>
  <conditionalFormatting sqref="H21">
    <cfRule type="cellIs" dxfId="20" priority="3" operator="notEqual">
      <formula>1</formula>
    </cfRule>
  </conditionalFormatting>
  <conditionalFormatting sqref="H27">
    <cfRule type="cellIs" dxfId="19" priority="2" operator="notEqual">
      <formula>1</formula>
    </cfRule>
  </conditionalFormatting>
  <conditionalFormatting sqref="H33">
    <cfRule type="cellIs" dxfId="18" priority="1" operator="notEqual">
      <formula>1</formula>
    </cfRule>
  </conditionalFormatting>
  <dataValidations count="7">
    <dataValidation type="list" allowBlank="1" showInputMessage="1" showErrorMessage="1" sqref="B5" xr:uid="{B04384E3-4BD6-1842-9D4D-CA54E41F740C}">
      <formula1>"Foreign Currency, Local Currency"</formula1>
    </dataValidation>
    <dataValidation type="whole" allowBlank="1" showInputMessage="1" showErrorMessage="1" sqref="C49:E49" xr:uid="{AE3293BC-0475-D940-805C-682E8478209B}">
      <formula1>1</formula1>
      <formula2>50</formula2>
    </dataValidation>
    <dataValidation type="list" allowBlank="1" showInputMessage="1" showErrorMessage="1" sqref="C47" xr:uid="{2D3E85D9-8103-DE4A-A6D0-7E49AFE4B138}">
      <formula1>"Domestic Public, International Funds"</formula1>
    </dataValidation>
    <dataValidation type="list" allowBlank="1" showInputMessage="1" showErrorMessage="1" sqref="C51" xr:uid="{49775578-8D73-E24D-BDE4-E9179F91BC6A}">
      <formula1>"Government Budget, Grant, Loan, Equity"</formula1>
    </dataValidation>
    <dataValidation type="list" allowBlank="1" showInputMessage="1" showErrorMessage="1" sqref="C46" xr:uid="{5C16CE91-F81C-8544-A090-F491A11D5ACE}">
      <formula1>"Yes, No"</formula1>
    </dataValidation>
    <dataValidation type="list" allowBlank="1" showInputMessage="1" showErrorMessage="1" sqref="C60:E60" xr:uid="{55EDC8FF-F23A-8047-B431-82FDBF3D1B52}">
      <formula1>"Grant, Loan, Grant&amp;Loan, Carbon Credits, Interest Rate, Debt Write-Off"</formula1>
    </dataValidation>
    <dataValidation type="list" allowBlank="1" showInputMessage="1" showErrorMessage="1" sqref="C62:E62" xr:uid="{F15CE1D9-8816-DB48-BA09-968083EC97E4}">
      <formula1>"Net Zero, Least Cost, Incremental"</formula1>
    </dataValidation>
  </dataValidations>
  <pageMargins left="0.7" right="0.7" top="0.75" bottom="0.75" header="0.3" footer="0.3"/>
  <pageSetup paperSize="9" orientation="portrait" r:id="rId1"/>
  <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16B5B6-3792-4427-854D-702373538D17}">
  <sheetPr codeName="Sheet3">
    <tabColor rgb="FFFF0000"/>
  </sheetPr>
  <dimension ref="A1:FR517"/>
  <sheetViews>
    <sheetView showGridLines="0" topLeftCell="A171" zoomScale="55" zoomScaleNormal="55" workbookViewId="0">
      <selection activeCell="S49" sqref="S49:T230"/>
    </sheetView>
  </sheetViews>
  <sheetFormatPr defaultColWidth="10.46484375" defaultRowHeight="14.25"/>
  <cols>
    <col min="1" max="1" width="115.796875" style="139" bestFit="1" customWidth="1"/>
    <col min="2" max="2" width="60.46484375" style="139" bestFit="1" customWidth="1"/>
    <col min="3" max="3" width="18" style="139" bestFit="1" customWidth="1"/>
    <col min="4" max="4" width="12.46484375" style="139" bestFit="1" customWidth="1"/>
    <col min="5" max="5" width="12.796875" style="139" bestFit="1" customWidth="1"/>
    <col min="6" max="6" width="27.46484375" style="146" bestFit="1" customWidth="1"/>
    <col min="7" max="7" width="32.796875" style="146" bestFit="1" customWidth="1"/>
    <col min="8" max="8" width="27.46484375" style="146" bestFit="1" customWidth="1"/>
    <col min="9" max="9" width="30.796875" style="146" bestFit="1" customWidth="1"/>
    <col min="10" max="10" width="27.46484375" style="146" bestFit="1" customWidth="1"/>
    <col min="11" max="11" width="29.46484375" style="140" bestFit="1" customWidth="1"/>
    <col min="12" max="12" width="17.46484375" style="148" bestFit="1" customWidth="1"/>
    <col min="13" max="13" width="20.19921875" style="149" bestFit="1" customWidth="1"/>
    <col min="14" max="14" width="20.53125" style="149" bestFit="1" customWidth="1"/>
    <col min="15" max="15" width="20.46484375" style="149" bestFit="1" customWidth="1"/>
    <col min="16" max="16" width="10.53125" style="147" bestFit="1" customWidth="1"/>
    <col min="17" max="17" width="11.19921875" style="139" bestFit="1" customWidth="1"/>
    <col min="18" max="18" width="14.796875" style="139" bestFit="1" customWidth="1"/>
    <col min="19" max="19" width="18.796875" style="139" bestFit="1" customWidth="1"/>
    <col min="20" max="20" width="26.796875" style="139" bestFit="1" customWidth="1"/>
    <col min="21" max="21" width="34.796875" style="149" bestFit="1" customWidth="1"/>
    <col min="22" max="22" width="47.46484375" style="139" bestFit="1" customWidth="1"/>
    <col min="23" max="23" width="36.46484375" style="139" bestFit="1" customWidth="1"/>
    <col min="24" max="24" width="25.796875" style="139" bestFit="1" customWidth="1"/>
    <col min="25" max="25" width="20" style="139" bestFit="1" customWidth="1"/>
    <col min="26" max="26" width="24.796875" style="139" bestFit="1" customWidth="1"/>
    <col min="27" max="27" width="10.46484375" style="139" bestFit="1" customWidth="1"/>
    <col min="28" max="28" width="10.46484375" style="139" customWidth="1"/>
    <col min="29" max="87" width="10.46484375" style="139" bestFit="1" customWidth="1"/>
    <col min="88" max="88" width="6.46484375" style="139" customWidth="1"/>
    <col min="89" max="147" width="7.46484375" style="139" bestFit="1" customWidth="1"/>
    <col min="148" max="148" width="8.46484375" style="139" bestFit="1" customWidth="1"/>
    <col min="149" max="149" width="9.796875" style="139" customWidth="1"/>
    <col min="150" max="16384" width="10.46484375" style="139"/>
  </cols>
  <sheetData>
    <row r="1" spans="1:48" customFormat="1" ht="46.9">
      <c r="A1" s="498" t="s">
        <v>0</v>
      </c>
      <c r="B1" s="497"/>
      <c r="C1" s="497"/>
      <c r="D1" s="497"/>
      <c r="E1" s="497"/>
      <c r="F1" s="481"/>
      <c r="G1" s="481"/>
      <c r="H1" s="481"/>
      <c r="I1" s="481"/>
      <c r="J1" s="481"/>
      <c r="K1" s="481"/>
      <c r="L1" s="481"/>
      <c r="M1" s="481"/>
      <c r="N1" s="481"/>
      <c r="O1" s="481"/>
      <c r="P1" s="481"/>
      <c r="Q1" s="481"/>
      <c r="R1" s="481"/>
      <c r="S1" s="481"/>
      <c r="T1" s="481"/>
      <c r="U1" s="481"/>
      <c r="V1" s="481"/>
      <c r="W1" s="481"/>
      <c r="X1" s="481"/>
      <c r="Y1" s="481"/>
      <c r="Z1" s="481"/>
      <c r="AA1" s="481"/>
      <c r="AB1" s="481"/>
      <c r="AC1" s="481"/>
      <c r="AD1" s="481"/>
      <c r="AE1" s="481"/>
      <c r="AF1" s="481"/>
      <c r="AG1" s="481"/>
      <c r="AH1" s="481"/>
      <c r="AI1" s="481"/>
      <c r="AJ1" s="481"/>
      <c r="AK1" s="481"/>
      <c r="AL1" s="481"/>
      <c r="AM1" s="481"/>
      <c r="AN1" s="481"/>
      <c r="AO1" s="481"/>
      <c r="AP1" s="481"/>
      <c r="AQ1" s="481"/>
      <c r="AR1" s="481"/>
      <c r="AS1" s="481"/>
      <c r="AT1" s="481"/>
      <c r="AU1" s="481"/>
      <c r="AV1" s="481"/>
    </row>
    <row r="2" spans="1:48" customFormat="1" ht="25.5">
      <c r="A2" s="499" t="s">
        <v>6</v>
      </c>
      <c r="B2" s="497"/>
      <c r="C2" s="497"/>
      <c r="D2" s="497"/>
      <c r="E2" s="497"/>
      <c r="F2" s="481"/>
      <c r="G2" s="481"/>
      <c r="H2" s="481"/>
      <c r="I2" s="481"/>
      <c r="J2" s="481"/>
      <c r="K2" s="481"/>
      <c r="L2" s="481"/>
      <c r="M2" s="481"/>
      <c r="N2" s="481"/>
      <c r="O2" s="481"/>
      <c r="P2" s="481"/>
      <c r="Q2" s="481"/>
      <c r="R2" s="481"/>
      <c r="S2" s="481"/>
      <c r="T2" s="481"/>
      <c r="U2" s="481"/>
      <c r="V2" s="481"/>
      <c r="W2" s="481"/>
      <c r="X2" s="481"/>
      <c r="Y2" s="481"/>
      <c r="Z2" s="481"/>
      <c r="AA2" s="481"/>
      <c r="AB2" s="481"/>
      <c r="AC2" s="481"/>
      <c r="AD2" s="481"/>
      <c r="AE2" s="481"/>
      <c r="AF2" s="481"/>
      <c r="AG2" s="481"/>
      <c r="AH2" s="481"/>
      <c r="AI2" s="481"/>
      <c r="AJ2" s="481"/>
      <c r="AK2" s="481"/>
      <c r="AL2" s="481"/>
      <c r="AM2" s="481"/>
      <c r="AN2" s="481"/>
      <c r="AO2" s="481"/>
      <c r="AP2" s="481"/>
      <c r="AQ2" s="481"/>
      <c r="AR2" s="481"/>
      <c r="AS2" s="481"/>
      <c r="AT2" s="481"/>
      <c r="AU2" s="481"/>
      <c r="AV2" s="481"/>
    </row>
    <row r="3" spans="1:48" customFormat="1" ht="25.5">
      <c r="A3" s="500"/>
      <c r="B3" s="501"/>
      <c r="C3" s="501"/>
      <c r="D3" s="501"/>
      <c r="E3" s="501"/>
    </row>
    <row r="4" spans="1:48" ht="31.05" customHeight="1">
      <c r="A4" s="297" t="s">
        <v>345</v>
      </c>
      <c r="B4" s="142"/>
      <c r="F4" s="139"/>
      <c r="G4" s="139"/>
      <c r="H4" s="139"/>
      <c r="I4" s="139"/>
      <c r="J4" s="139"/>
      <c r="L4" s="139"/>
      <c r="M4" s="139"/>
      <c r="N4" s="139"/>
      <c r="O4" s="139"/>
      <c r="P4" s="139"/>
      <c r="U4" s="139"/>
    </row>
    <row r="5" spans="1:48">
      <c r="A5" s="143" t="s">
        <v>346</v>
      </c>
      <c r="B5" s="577" t="str">
        <f>'High Level Dashboard'!B5</f>
        <v>Foreign Currency</v>
      </c>
      <c r="F5" s="139"/>
      <c r="G5" s="139"/>
      <c r="H5" s="139"/>
      <c r="I5" s="139"/>
      <c r="J5" s="139"/>
      <c r="L5" s="139"/>
      <c r="M5" s="139"/>
      <c r="N5" s="139"/>
      <c r="O5" s="139"/>
      <c r="P5" s="139"/>
      <c r="U5" s="139"/>
    </row>
    <row r="6" spans="1:48">
      <c r="A6" s="143" t="s">
        <v>347</v>
      </c>
      <c r="B6" s="578" t="str">
        <f>'High Level Dashboard'!B6</f>
        <v>USD</v>
      </c>
      <c r="F6" s="139"/>
      <c r="G6" s="139"/>
      <c r="H6" s="139"/>
      <c r="I6" s="139"/>
      <c r="J6" s="139"/>
      <c r="L6" s="139"/>
      <c r="M6" s="139"/>
      <c r="N6" s="139"/>
      <c r="O6" s="139"/>
      <c r="P6" s="139"/>
      <c r="U6" s="139"/>
    </row>
    <row r="7" spans="1:48">
      <c r="A7" s="391" t="str">
        <f>"Currency Contribution "&amp;'Financing Baseline'!A38&amp;" (%)"</f>
        <v>Currency Contribution Foreign Currency (%)</v>
      </c>
      <c r="B7" s="579">
        <f>SUMIFS($K$49:$K$329,$L$49:$L$329,$C$38)/SUM($K$49:$K$329)</f>
        <v>1</v>
      </c>
      <c r="F7" s="139"/>
      <c r="G7" s="139"/>
      <c r="H7" s="139"/>
      <c r="I7" s="139"/>
      <c r="J7" s="139"/>
      <c r="L7" s="139"/>
      <c r="M7" s="139"/>
      <c r="N7" s="139"/>
      <c r="O7" s="139"/>
      <c r="P7" s="139"/>
      <c r="U7" s="139"/>
    </row>
    <row r="8" spans="1:48" ht="14.65" thickBot="1">
      <c r="A8" s="392" t="str">
        <f>"Currency Contribution "&amp;'Financing Baseline'!A39&amp;" (%)"</f>
        <v>Currency Contribution Local Currency (%)</v>
      </c>
      <c r="B8" s="579">
        <f>SUMIFS(K49:K329,L49:L329,"&lt;&gt;"&amp;$C$38)/SUM(K49:K329)</f>
        <v>0</v>
      </c>
      <c r="F8" s="139"/>
      <c r="G8" s="139"/>
      <c r="H8" s="139"/>
      <c r="I8" s="139"/>
      <c r="J8" s="139"/>
      <c r="L8" s="139"/>
      <c r="M8" s="139"/>
      <c r="N8" s="139"/>
      <c r="O8" s="139"/>
      <c r="P8" s="139"/>
      <c r="U8" s="139"/>
    </row>
    <row r="9" spans="1:48">
      <c r="A9" s="143" t="s">
        <v>348</v>
      </c>
      <c r="B9" s="144">
        <v>2024</v>
      </c>
      <c r="F9" s="139"/>
      <c r="G9" s="139"/>
      <c r="H9" s="139"/>
      <c r="I9" s="139"/>
      <c r="J9" s="139"/>
      <c r="L9" s="139"/>
      <c r="M9" s="139"/>
      <c r="N9" s="139"/>
      <c r="O9" s="139"/>
      <c r="P9" s="139"/>
      <c r="U9" s="139"/>
    </row>
    <row r="10" spans="1:48">
      <c r="A10" s="143" t="s">
        <v>349</v>
      </c>
      <c r="B10" s="575">
        <f ca="1">'High Level Dashboard'!E34</f>
        <v>5.3333243291175086E-2</v>
      </c>
      <c r="D10" s="145"/>
      <c r="F10" s="139"/>
      <c r="G10" s="139"/>
      <c r="H10" s="139"/>
      <c r="I10" s="139"/>
      <c r="J10" s="139"/>
      <c r="L10" s="139"/>
      <c r="M10" s="139"/>
      <c r="N10" s="139"/>
      <c r="O10" s="139"/>
      <c r="P10" s="139"/>
      <c r="U10" s="139"/>
      <c r="Y10" s="143"/>
    </row>
    <row r="11" spans="1:48">
      <c r="A11" s="143" t="s">
        <v>350</v>
      </c>
      <c r="B11" s="576">
        <f>IFERROR(_xlfn.MAXIFS(P49:P496,G49:G496,"Loan"),10%)</f>
        <v>0.18</v>
      </c>
      <c r="D11" s="145"/>
      <c r="F11" s="139"/>
      <c r="G11" s="139"/>
      <c r="H11" s="139"/>
      <c r="I11" s="139"/>
      <c r="J11" s="139"/>
      <c r="L11" s="139"/>
      <c r="M11" s="139"/>
      <c r="N11" s="139"/>
      <c r="O11" s="139"/>
      <c r="P11" s="139"/>
      <c r="U11" s="139"/>
      <c r="Y11" s="143"/>
    </row>
    <row r="12" spans="1:48">
      <c r="A12" s="143" t="s">
        <v>351</v>
      </c>
      <c r="B12" s="144">
        <v>1</v>
      </c>
      <c r="K12" s="147"/>
      <c r="P12" s="149"/>
      <c r="Q12" s="149"/>
      <c r="R12" s="149"/>
      <c r="S12" s="149"/>
      <c r="AG12" s="149"/>
    </row>
    <row r="13" spans="1:48" ht="14.65" thickBot="1">
      <c r="B13" s="143"/>
      <c r="C13" s="143"/>
      <c r="D13" s="143"/>
      <c r="E13" s="143"/>
      <c r="F13" s="143"/>
      <c r="G13" s="143"/>
      <c r="H13" s="143"/>
      <c r="I13" s="143"/>
      <c r="J13" s="143"/>
      <c r="K13" s="143"/>
      <c r="L13" s="143"/>
      <c r="M13" s="143"/>
      <c r="N13" s="143"/>
      <c r="O13" s="143"/>
      <c r="P13" s="143"/>
      <c r="Q13" s="143"/>
      <c r="R13" s="143"/>
      <c r="S13" s="143"/>
      <c r="T13" s="143"/>
      <c r="AG13" s="149"/>
    </row>
    <row r="14" spans="1:48" ht="29.25" customHeight="1" thickBot="1">
      <c r="A14" s="254"/>
      <c r="B14" s="732" t="s">
        <v>352</v>
      </c>
      <c r="C14" s="733"/>
      <c r="D14" s="733"/>
      <c r="E14" s="733"/>
      <c r="F14" s="733"/>
      <c r="G14" s="733"/>
      <c r="H14" s="733"/>
      <c r="I14" s="733"/>
      <c r="J14" s="734"/>
      <c r="K14" s="739" t="s">
        <v>353</v>
      </c>
      <c r="L14" s="740"/>
      <c r="M14" s="139"/>
      <c r="N14" s="139"/>
      <c r="O14" s="139"/>
      <c r="U14" s="139"/>
      <c r="AF14" s="149"/>
    </row>
    <row r="15" spans="1:48" ht="14.55" customHeight="1">
      <c r="A15" s="255"/>
      <c r="B15" s="256" t="str">
        <f>"Volume ("&amp;$B$6&amp;")"</f>
        <v>Volume (USD)</v>
      </c>
      <c r="C15" s="247" t="s">
        <v>354</v>
      </c>
      <c r="D15" s="247" t="s">
        <v>355</v>
      </c>
      <c r="E15" s="247" t="s">
        <v>356</v>
      </c>
      <c r="F15" s="247" t="s">
        <v>357</v>
      </c>
      <c r="G15" s="247" t="s">
        <v>358</v>
      </c>
      <c r="H15" s="247" t="s">
        <v>359</v>
      </c>
      <c r="I15" s="394"/>
      <c r="J15" s="395"/>
      <c r="K15" s="247" t="s">
        <v>288</v>
      </c>
      <c r="L15" s="251" t="s">
        <v>289</v>
      </c>
      <c r="M15" s="139"/>
      <c r="N15" s="139"/>
      <c r="O15" s="139"/>
      <c r="U15" s="139"/>
    </row>
    <row r="16" spans="1:48" ht="14.55" customHeight="1">
      <c r="A16" s="252" t="s">
        <v>360</v>
      </c>
      <c r="B16" s="283">
        <f>SUM(B17:B20)</f>
        <v>10983.174660651679</v>
      </c>
      <c r="C16" s="284">
        <f>IFERROR(SUMPRODUCT(B17:B20,C17:C20)/SUM(B17:B20), 0)</f>
        <v>5.33332432911751E-2</v>
      </c>
      <c r="D16" s="285">
        <f>IFERROR(SUMPRODUCT(D17:D20,B17:B20)/SUM(B17:B20), 0)</f>
        <v>27.139903748899407</v>
      </c>
      <c r="E16" s="285">
        <f>IFERROR(SUMPRODUCT(B17:B20,E17:E20)/SUM(B17:B20),0)</f>
        <v>5.3556465393965462</v>
      </c>
      <c r="F16" s="286">
        <f>IFERROR(SUMPRODUCT(B17:B20,F17:F20)/SUM(B17:B20),0)</f>
        <v>10.025427317429008</v>
      </c>
      <c r="G16" s="286">
        <f ca="1">IFERROR(SUMPRODUCT(B17:B20,G17:G20)/SUM(B17:B20),0)</f>
        <v>7.647705515127293</v>
      </c>
      <c r="H16" s="286">
        <f ca="1">IFERROR(SUMPRODUCT(B17:B20,H17:H20)/SUM(B17:B20),0)</f>
        <v>191.60971199338812</v>
      </c>
      <c r="I16" s="396"/>
      <c r="J16" s="397"/>
      <c r="K16" s="298">
        <f>IFERROR(SUMPRODUCT(K17:K20,B17:B20)/SUM(B17:B20),0)</f>
        <v>0.79897796934435694</v>
      </c>
      <c r="L16" s="299">
        <f>1-K16</f>
        <v>0.20102203065564306</v>
      </c>
      <c r="M16" s="139"/>
      <c r="N16" s="139"/>
      <c r="O16" s="139"/>
      <c r="U16" s="139"/>
    </row>
    <row r="17" spans="1:38" ht="14.55" customHeight="1">
      <c r="A17" s="250" t="s">
        <v>361</v>
      </c>
      <c r="B17" s="257">
        <f>IF($B$5="Local Currency",SUMIF(F49:F516, "Conc_IFI", M49:M516),SUMIF(F49:F516, "Conc_IFI", IF($B$5="Local Currency",M49:M516,N49:N516)))</f>
        <v>8169.4329206552075</v>
      </c>
      <c r="C17" s="258" cm="1">
        <f t="array" ref="C17">IFERROR(SUMPRODUCT(IF($F$49:$F$516="Conc_IFI",1,0),IF($B$5="Local Currency",M49:M516,N49:N516),P49:P516)/SUMPRODUCT(IF($F$49:$F$516="Conc_IFI",1,0),IF($B$5="Local Currency",M49:M516,N49:N516)), 0)</f>
        <v>2.434618960702992E-2</v>
      </c>
      <c r="D17" s="259" cm="1">
        <f t="array" ref="D17">IFERROR(SUMPRODUCT(IF($F$49:$F$516="Conc_IFI",1,0),IF($B$5="Local Currency",M49:M516,N49:N516),Q49:Q516)/SUMPRODUCT(IF($F$49:$F$516="Conc_IFI",1,0),IF($B$5="Local Currency",M49:M516,N49:N516)), 0)</f>
        <v>27.211158266012998</v>
      </c>
      <c r="E17" s="260" cm="1">
        <f t="array" ref="E17">IFERROR(SUMPRODUCT(IF($F$49:$F$516="Conc_IFI",1,0),IF($B$5="Local Currency",M49:M516,N49:N516),S49:S516)/SUMPRODUCT(IF($F$49:$F$516="Conc_IFI",1,0),IF($B$5="Local Currency",M49:M516,N49:N516)), 0)</f>
        <v>6.8070529378245963</v>
      </c>
      <c r="F17" s="261" cm="1">
        <f t="array" ref="F17">IFERROR(SUMPRODUCT(IF($F$49:$F$516="Conc_IFI",1,0),IF($B$5="Local Currency",M49:M516,N49:N516),U49:U516)/SUMPRODUCT(IF($F$49:$F$516="Conc_IFI",1,0),IF($B$5="Local Currency",M49:M516,N49:N516)), 0)</f>
        <v>8.8318947079002328</v>
      </c>
      <c r="G17" s="261" cm="1">
        <f t="array" aca="1" ref="G17" ca="1">IFERROR(SUMPRODUCT(IF($F$49:$F$516="Conc_IFI",1,0),IF($B$5="Local Currency",M49:M516,N49:N516),V49:V516)/SUMPRODUCT(IF($F$49:$F$516="Conc_IFI",1,0),IF($B$5="Local Currency",M49:M516,N49:N516)), 0)</f>
        <v>6.6343905091685764</v>
      </c>
      <c r="H17" s="261" cm="1">
        <f t="array" aca="1" ref="H17" ca="1">IFERROR(SUMPRODUCT(IF($F$49:$F$516="Conc_IFI",1,0),IF($B$5="Local Currency",M49:M516,N49:N516),W49:W516)/SUMPRODUCT(IF($F$49:$F$516="Conc_IFI",1,0),IF($B$5="Local Currency",M49:M516,N49:N516)), 0)</f>
        <v>166.60804571989468</v>
      </c>
      <c r="I17" s="398"/>
      <c r="J17" s="399"/>
      <c r="K17" s="275">
        <f>IFERROR(SUMIFS($N$49:$N$496,$F$49:$F$496,"Conc_IFI",$G$49:$G$496,"Loan")/SUMIF($F$49:$F$496,"Conc_IFI",$N$49:$N$496),0)</f>
        <v>0.9834115372940152</v>
      </c>
      <c r="L17" s="276">
        <f>1-K17</f>
        <v>1.6588462705984797E-2</v>
      </c>
      <c r="M17" s="139"/>
      <c r="N17" s="139"/>
      <c r="O17" s="139"/>
      <c r="U17" s="139"/>
    </row>
    <row r="18" spans="1:38" ht="14.55" customHeight="1">
      <c r="A18" s="250" t="s">
        <v>298</v>
      </c>
      <c r="B18" s="257">
        <f>IF($B$5="Local Currency",SUMIF(F49:F516,"Conc_DPS",M49:M516),SUMIF(F49:F516,"Conc_DPS",IF($B$5="Local Currency",M49:M516,N49:N516)))</f>
        <v>1220.2117399964704</v>
      </c>
      <c r="C18" s="258" cm="1">
        <f t="array" ref="C18">IFERROR(SUMPRODUCT(IF($F$49:$F$516="Conc_DPS",1,0),IF($B$5="Local Currency",M49:M516,N49:N516),P49:P516)/SUMPRODUCT(IF($F$49:$F$516="Conc_DPS",1,0),IF($B$5="Local Currency",M49:M516,N49:N516)), 0)</f>
        <v>0.16809274415432321</v>
      </c>
      <c r="D18" s="259" cm="1">
        <f t="array" ref="D18">IFERROR(SUMPRODUCT(IF($F$49:$F$516="Conc_DPS",1,0),IF($B$5="Local Currency",M49:M516,N49:N516),Q49:Q516)/SUMPRODUCT(IF($F$49:$F$516="Conc_DPS",1,0),IF($B$5="Local Currency",M49:M516,N49:N516)), 0)</f>
        <v>32.113959991915102</v>
      </c>
      <c r="E18" s="260" cm="1">
        <f t="array" ref="E18">IFERROR(SUMPRODUCT(IF($F$49:$F$516="Conc_DPS",1,0),IF($B$5="Local Currency",M49:M516,N49:N516),S49:S516)/SUMPRODUCT(IF($F$49:$F$516="Conc_DPS",1,0),IF($B$5="Local Currency",M49:M516,N49:N516)), 0)</f>
        <v>1.1983239892481525</v>
      </c>
      <c r="F18" s="261" cm="1">
        <f t="array" ref="F18">IFERROR(SUMPRODUCT(IF($F$49:$F$516="Conc_DPS",1,0),IF($B$5="Local Currency",M49:M516,N49:N516),U49:U516)/SUMPRODUCT(IF($F$49:$F$516="Conc_DPS",1,0),IF($B$5="Local Currency",M49:M516,N49:N516)), 0)</f>
        <v>21.692611007937725</v>
      </c>
      <c r="G18" s="261" cm="1">
        <f t="array" aca="1" ref="G18" ca="1">IFERROR(SUMPRODUCT(IF($F$49:$F$516="Conc_DPS",1,0),IF($B$5="Local Currency",M49:M516,N49:N516),V49:V516)/SUMPRODUCT(IF($F$49:$F$516="Conc_DPS",1,0),IF($B$5="Local Currency",M49:M516,N49:N516)), 0)</f>
        <v>16.963209768277363</v>
      </c>
      <c r="H18" s="261" cm="1">
        <f t="array" aca="1" ref="H18" ca="1">IFERROR(SUMPRODUCT(IF($F$49:$F$516="Conc_DPS",1,0),IF($B$5="Local Currency",M49:M516,N49:N516),W49:W516)/SUMPRODUCT(IF($F$49:$F$516="Conc_DPS",1,0),IF($B$5="Local Currency",M49:M516,N49:N516)), 0)</f>
        <v>446.09482673898714</v>
      </c>
      <c r="I18" s="398"/>
      <c r="J18" s="399"/>
      <c r="K18" s="275">
        <f>IFERROR(SUMIFS($N$49:$N$496,$F$49:$F$496,"Conc_DPS",$G$49:$G$496,"Loan")/SUMIF($F$49:$F$496,"Conc_DPS",$N$49:$N$496),0)</f>
        <v>0.1688067679143915</v>
      </c>
      <c r="L18" s="276">
        <f>1-K18</f>
        <v>0.83119323208560847</v>
      </c>
      <c r="M18" s="139"/>
      <c r="N18" s="139"/>
      <c r="O18" s="139"/>
      <c r="U18" s="139"/>
    </row>
    <row r="19" spans="1:38" ht="14.55" customHeight="1">
      <c r="A19" s="250" t="s">
        <v>299</v>
      </c>
      <c r="B19" s="257">
        <f>IF($B$5="Local Currency",SUMIF(F49:F516,"Comm_Intl",M49:M516),SUMIF(F49:F516,"Comm_Intl",IF($B$5="Local Currency",M49:M516,N49:N516)))</f>
        <v>1337.8920000000001</v>
      </c>
      <c r="C19" s="258" cm="1">
        <f t="array" ref="C19">IFERROR(SUMPRODUCT(IF($F$49:$F$516="Comm_Intl",1,0),IF($B$5="Local Currency",M49:M516,N49:N516),P49:P516)/SUMPRODUCT(IF($F$49:$F$516="Comm_Intl",1,0),IF($B$5="Local Currency",M49:M516,N49:N516)), 0)</f>
        <v>0.10866077920474615</v>
      </c>
      <c r="D19" s="259" cm="1">
        <f t="array" ref="D19">IFERROR(SUMPRODUCT(IF($F$49:$F$516="Comm_Intl",1,0),IF($B$5="Local Currency",M49:M516,N49:N516),Q49:Q516)/SUMPRODUCT(IF($F$49:$F$516="Comm_Intl",1,0),IF($B$5="Local Currency",M49:M516,N49:N516)), 0)</f>
        <v>22.029274410789515</v>
      </c>
      <c r="E19" s="260" cm="1">
        <f t="array" ref="E19">IFERROR(SUMPRODUCT(IF($F$49:$F$516="Comm_Intl",1,0),IF($B$5="Local Currency",M49:M516,N49:N516),S49:S516)/SUMPRODUCT(IF($F$49:$F$516="Comm_Intl",1,0),IF($B$5="Local Currency",M49:M516,N49:N516)), 0)</f>
        <v>1.0191629817653443</v>
      </c>
      <c r="F19" s="261" cm="1">
        <f t="array" ref="F19">IFERROR(SUMPRODUCT(IF($F$49:$F$516="Comm_Intl",1,0),IF($B$5="Local Currency",M49:M516,N49:N516),U49:U516)/SUMPRODUCT(IF($F$49:$F$516="Comm_Intl",1,0),IF($B$5="Local Currency",M49:M516,N49:N516)), 0)</f>
        <v>7.0831866879010716</v>
      </c>
      <c r="G19" s="261" cm="1">
        <f t="array" aca="1" ref="G19" ca="1">IFERROR(SUMPRODUCT(IF($F$49:$F$516="Comm_Intl",1,0),IF($B$5="Local Currency",M49:M516,N49:N516),V49:V516)/SUMPRODUCT(IF($F$49:$F$516="Comm_Intl",1,0),IF($B$5="Local Currency",M49:M516,N49:N516)), 0)</f>
        <v>5.7902260910726007</v>
      </c>
      <c r="H19" s="261" cm="1">
        <f t="array" aca="1" ref="H19" ca="1">IFERROR(SUMPRODUCT(IF($F$49:$F$516="Comm_Intl",1,0),IF($B$5="Local Currency",M49:M516,N49:N516),W49:W516)/SUMPRODUCT(IF($F$49:$F$516="Comm_Intl",1,0),IF($B$5="Local Currency",M49:M516,N49:N516)), 0)</f>
        <v>123.00436272526051</v>
      </c>
      <c r="I19" s="398"/>
      <c r="J19" s="399"/>
      <c r="K19" s="275">
        <f>IFERROR(SUMIFS($N$49:$N$496,$F$49:$F$496,"Comm_Intl",$G$49:$G$496,"Loan")/SUMIF($F$49:$F$496,"Comm_Intl",$N$49:$N$496),0)</f>
        <v>0.36177808074194329</v>
      </c>
      <c r="L19" s="276">
        <f>1-K19</f>
        <v>0.63822191925805671</v>
      </c>
      <c r="M19" s="139"/>
      <c r="N19" s="139"/>
      <c r="O19" s="139"/>
      <c r="U19" s="139"/>
    </row>
    <row r="20" spans="1:38" ht="14.55" customHeight="1" thickBot="1">
      <c r="A20" s="253" t="s">
        <v>300</v>
      </c>
      <c r="B20" s="262">
        <f>IF($B$5="Local Currency",SUMIF(F49:F516,"Comm_Dom",M49:M516),SUMIF(F49:F516,"Comm_Dom",IF($B$5="Local Currency",M49:M516,N49:N516)))</f>
        <v>255.63800000000001</v>
      </c>
      <c r="C20" s="263" cm="1">
        <f t="array" ref="C20">IFERROR(SUMPRODUCT(IF($F$49:$F$516="Comm_Dom",1,0),IF($B$5="Local Currency",M49:M516,N49:N516),P49:P516)/SUMPRODUCT(IF($F$49:$F$516="Comm_Dom",1,0),IF($B$5="Local Currency",M49:M516,N49:N516)), 0)</f>
        <v>0.14234439473277466</v>
      </c>
      <c r="D20" s="264" cm="1">
        <f t="array" ref="D20">IFERROR(SUMPRODUCT(IF($F$49:$F$516="Comm_Dom",1,0),IF($B$5="Local Currency",M49:M516,N49:N516),Q49:Q516)/SUMPRODUCT(IF($F$49:$F$516="Comm_Dom",1,0),IF($B$5="Local Currency",M49:M516,N49:N516)), 0)</f>
        <v>27.867335842089204</v>
      </c>
      <c r="E20" s="264" cm="1">
        <f t="array" ref="E20">IFERROR(SUMPRODUCT(IF($F$49:$F$516="Comm_Dom",1,0),IF($B$5="Local Currency",M49:M516,N49:N516),S49:S516)/SUMPRODUCT(IF($F$49:$F$516="Comm_Dom",1,0),IF($B$5="Local Currency",M49:M516,N49:N516)), 0)</f>
        <v>1.5119035511152488</v>
      </c>
      <c r="F20" s="265" cm="1">
        <f t="array" ref="F20">IFERROR(SUMPRODUCT(IF($F$49:$F$516="Comm_Dom",1,0),IF($B$5="Local Currency",M49:M516,N49:N516),U49:U516)/SUMPRODUCT(IF($F$49:$F$516="Comm_Dom",1,0),IF($B$5="Local Currency",M49:M516,N49:N516)), 0)</f>
        <v>7.8757088899111931</v>
      </c>
      <c r="G20" s="265" cm="1">
        <f t="array" aca="1" ref="G20" ca="1">IFERROR(SUMPRODUCT(IF($F$49:$F$516="Comm_Dom",1,0),IF($B$5="Local Currency",M49:M516,N49:N516),V49:V516)/SUMPRODUCT(IF($F$49:$F$516="Comm_Dom",1,0),IF($B$5="Local Currency",M49:M516,N49:N516)), 0)</f>
        <v>5.2866644202966926</v>
      </c>
      <c r="H20" s="265" cm="1">
        <f t="array" aca="1" ref="H20" ca="1">IFERROR(SUMPRODUCT(IF($F$49:$F$516="Comm_Dom",1,0),IF($B$5="Local Currency",M49:M516,N49:N516),W49:W516)/SUMPRODUCT(IF($F$49:$F$516="Comm_Dom",1,0),IF($B$5="Local Currency",M49:M516,N49:N516)), 0)</f>
        <v>134.92901038414988</v>
      </c>
      <c r="I20" s="400"/>
      <c r="J20" s="401"/>
      <c r="K20" s="275">
        <f>IFERROR(SUMIFS($N$49:$N$496,$F$49:$F$496,"Comm_Dom",$G$49:$G$496,"Loan")/SUMIF($F$49:$F$496,"Comm_Dom",$N$49:$N$496),0)</f>
        <v>0.20106556928156219</v>
      </c>
      <c r="L20" s="276">
        <f>1-K20</f>
        <v>0.79893443071843784</v>
      </c>
      <c r="M20" s="139"/>
      <c r="N20" s="139"/>
      <c r="O20" s="139"/>
      <c r="U20" s="139"/>
    </row>
    <row r="21" spans="1:38" ht="29.25" customHeight="1" thickBot="1">
      <c r="A21" s="249"/>
      <c r="B21" s="732" t="s">
        <v>289</v>
      </c>
      <c r="C21" s="733"/>
      <c r="D21" s="733"/>
      <c r="E21" s="733"/>
      <c r="F21" s="733"/>
      <c r="G21" s="733"/>
      <c r="H21" s="733"/>
      <c r="I21" s="733"/>
      <c r="J21" s="734"/>
      <c r="K21" s="741" t="s">
        <v>362</v>
      </c>
      <c r="L21" s="742"/>
      <c r="M21" s="242"/>
      <c r="N21" s="242"/>
      <c r="O21" s="242"/>
      <c r="Q21" s="242"/>
      <c r="R21" s="242"/>
      <c r="S21" s="242"/>
      <c r="T21" s="242"/>
      <c r="U21" s="244"/>
      <c r="V21" s="245"/>
      <c r="W21" s="245"/>
      <c r="X21" s="246"/>
      <c r="Y21" s="246"/>
      <c r="Z21" s="246"/>
      <c r="AA21" s="246"/>
      <c r="AB21" s="242"/>
      <c r="AC21" s="242"/>
      <c r="AD21" s="143"/>
      <c r="AE21" s="143"/>
      <c r="AF21" s="248"/>
      <c r="AI21" s="219"/>
      <c r="AL21" s="147"/>
    </row>
    <row r="22" spans="1:38" ht="14.55" customHeight="1">
      <c r="A22" s="250"/>
      <c r="B22" s="256" t="str">
        <f>"Volume ("&amp;$B$6&amp;")"</f>
        <v>Volume (USD)</v>
      </c>
      <c r="C22" s="247" t="s">
        <v>363</v>
      </c>
      <c r="D22" s="247" t="s">
        <v>355</v>
      </c>
      <c r="E22" s="247" t="s">
        <v>356</v>
      </c>
      <c r="F22" s="247" t="s">
        <v>357</v>
      </c>
      <c r="G22" s="247" t="s">
        <v>358</v>
      </c>
      <c r="H22" s="247" t="s">
        <v>359</v>
      </c>
      <c r="I22" s="394"/>
      <c r="J22" s="395"/>
      <c r="K22" s="294" t="s">
        <v>176</v>
      </c>
      <c r="L22" s="277">
        <f>IFERROR(SUMIF(I49:I516, "Bilateral Agency", IF($B$5="Local Currency",M49:M516,IF($B$5="Local Currency",M49:M516,N49:N516))) / B16, 0)</f>
        <v>0.40590063319341357</v>
      </c>
      <c r="M22" s="242"/>
      <c r="N22" s="242"/>
      <c r="O22" s="242"/>
      <c r="Q22" s="242"/>
      <c r="R22" s="242"/>
      <c r="S22" s="242"/>
      <c r="T22" s="242"/>
      <c r="U22" s="244"/>
      <c r="V22" s="245"/>
      <c r="W22" s="245"/>
      <c r="X22" s="246"/>
      <c r="Y22" s="246"/>
      <c r="Z22" s="246"/>
      <c r="AA22" s="246"/>
      <c r="AB22" s="242"/>
      <c r="AC22" s="242"/>
      <c r="AD22" s="143"/>
      <c r="AE22" s="143"/>
      <c r="AF22" s="248"/>
      <c r="AI22" s="219"/>
      <c r="AL22" s="147"/>
    </row>
    <row r="23" spans="1:38" ht="14.55" customHeight="1">
      <c r="A23" s="252" t="s">
        <v>360</v>
      </c>
      <c r="B23" s="283">
        <f>SUM(B24:B27)</f>
        <v>2207.860073329804</v>
      </c>
      <c r="C23" s="284">
        <f>IFERROR(SUMPRODUCT(B24:B27,C24:C27)/SUM(B24:B27), 0)</f>
        <v>0.15723629478101941</v>
      </c>
      <c r="D23" s="285">
        <f>IFERROR(SUMPRODUCT(D24:D27,B24:B27)/SUM(B24:B27), 0)</f>
        <v>29.849348755989151</v>
      </c>
      <c r="E23" s="285">
        <f>IFERROR(SUMPRODUCT(B24:B27,E24:E27)/SUM(B24:B27),0)</f>
        <v>0</v>
      </c>
      <c r="F23" s="286">
        <f>IFERROR(SUMPRODUCT(B24:B27,F24:F27)/SUM(B24:B27),0)</f>
        <v>15.083811266393637</v>
      </c>
      <c r="G23" s="286">
        <f ca="1">IFERROR(SUMPRODUCT(B24:B27,G24:G27)/SUM(B24:B27),0)</f>
        <v>11.628454171038515</v>
      </c>
      <c r="H23" s="286">
        <f ca="1">IFERROR(SUMPRODUCT(B24:B27,H24:H27)/SUM(B24:B27),0)</f>
        <v>305.95661339508092</v>
      </c>
      <c r="I23" s="396"/>
      <c r="J23" s="397"/>
      <c r="K23" s="294" t="s">
        <v>178</v>
      </c>
      <c r="L23" s="277">
        <f>IFERROR(SUMIF(I49:I516, "Multilateral Agency", IF($B$5="Local Currency",M49:M516,IF($B$5="Local Currency",M49:M516,N49:N516))) / B16, 0)</f>
        <v>0.31720668013269276</v>
      </c>
      <c r="N23" s="147"/>
      <c r="O23" s="150"/>
      <c r="U23" s="244"/>
      <c r="V23" s="245"/>
      <c r="W23" s="245"/>
      <c r="X23" s="246"/>
      <c r="Y23" s="246"/>
      <c r="Z23" s="246"/>
      <c r="AA23" s="246"/>
      <c r="AB23" s="242"/>
      <c r="AC23" s="242"/>
      <c r="AD23" s="143"/>
      <c r="AE23" s="143"/>
      <c r="AF23" s="248"/>
      <c r="AI23" s="219"/>
      <c r="AL23" s="147"/>
    </row>
    <row r="24" spans="1:38" ht="14.55" customHeight="1">
      <c r="A24" s="250" t="s">
        <v>361</v>
      </c>
      <c r="B24" s="257">
        <f>IF($B$5="Local Currency",SUMIFS(M49:M516, F49:F516, "Conc_IFI", G49:G516,"Equity"),SUMIFS(IF($B$5="Local Currency",M49:M516,N49:N516), F49:F516, "Conc_IFI", G49:G516,"Equity"))</f>
        <v>135.51833333333335</v>
      </c>
      <c r="C24" s="266" cm="1">
        <f t="array" ref="C24">IFERROR(
SUMPRODUCT(IF($F$49:$F$516="Conc_IFI",1,0),IF($G$49:$G$516="Equity",1,0),IF($B$5="Local Currency",M49:M516,N49:N516),P49:P516)/
SUMPRODUCT(IF($F$49:$F$516="Conc_IFI",1,0),IF($G$49:$G$516="Equity",1,0),IF($B$5="Local Currency",M49:M516,N49:N516)), 0)</f>
        <v>0.1509303169312885</v>
      </c>
      <c r="D24" s="267" cm="1">
        <f t="array" ref="D24">IFERROR(
SUMPRODUCT(IF($F$49:$F$516="Conc_IFI",1,0),IF($G$49:$G$516="Equity",1,0),IF($B$5="Local Currency",M49:M516,N49:N516),Q49:Q516)
/SUMPRODUCT(IF($F$49:$F$516="Conc_IFI",1,0),IF($G$49:$G$516="Equity",1,0),IF($B$5="Local Currency",M49:M516,N49:N516)), 0)</f>
        <v>24.88710014635166</v>
      </c>
      <c r="E24" s="268" cm="1">
        <f t="array" ref="E24">IFERROR(
SUMPRODUCT(IF($F$49:$F$516="Conc_IFI",1,0),IF($G$49:$G$516="Equity",1,0),IF($B$5="Local Currency",M49:M516,N49:N516),S49:S516)/
SUMPRODUCT(IF($F$49:$F$516="Conc_IFI",1,0),IF($G$49:$G$516="Equity",1,0),IF($B$5="Local Currency",M49:M516,N49:N516)), 0)</f>
        <v>0</v>
      </c>
      <c r="F24" s="269" cm="1">
        <f t="array" ref="F24">IFERROR(
SUMPRODUCT(IF($F$49:$F$516="Conc_IFI",1,0),IF($G$49:$G$516="Equity",1,0),IF($B$5="Local Currency",M49:M516,N49:N516),U49:U516)/
SUMPRODUCT(IF($F$49:$F$516="Conc_IFI",1,0),IF($G$49:$G$516="Equity",1,0),IF($B$5="Local Currency",M49:M516,N49:N516)), 0)</f>
        <v>4.4830147842784953</v>
      </c>
      <c r="G24" s="269" cm="1">
        <f t="array" aca="1" ref="G24" ca="1">IFERROR(
SUMPRODUCT(IF($F$49:$F$516="Conc_IFI",1,0),IF($G$49:$G$516="Equity",1,0),IF($B$5="Local Currency",M49:M516,N49:N516),V49:V516)/
SUMPRODUCT(IF($F$49:$F$516="Conc_IFI",1,0),IF($G$49:$G$516="Equity",1,0),IF($B$5="Local Currency",M49:M516,N49:N516)), 0)</f>
        <v>3.4673950570770371</v>
      </c>
      <c r="H24" s="269" cm="1">
        <f t="array" aca="1" ref="H24" ca="1">IFERROR(
SUMPRODUCT(IF($F$49:$F$516="Conc_IFI",1,0),IF($G$49:$G$516="Equity",1,0),IF($B$5="Local Currency",M49:M516,N49:N516),W49:W516)/
SUMPRODUCT(IF($F$49:$F$516="Conc_IFI",1,0),IF($G$49:$G$516="Equity",1,0),IF($B$5="Local Currency",M49:M516,N49:N516)), 0)</f>
        <v>86.619580345838514</v>
      </c>
      <c r="I24" s="402"/>
      <c r="J24" s="403"/>
      <c r="K24" s="294" t="s">
        <v>182</v>
      </c>
      <c r="L24" s="277">
        <f>IFERROR(SUMIF(I49:I516, "Foreign Government", IF($B$5="Local Currency",M49:M516,IF($B$5="Local Currency",M49:M516,N49:N516))) / B16, 0)</f>
        <v>1.6177471950487719E-2</v>
      </c>
      <c r="N24" s="147"/>
      <c r="O24" s="150"/>
      <c r="U24" s="244"/>
      <c r="V24" s="245"/>
      <c r="W24" s="245"/>
      <c r="X24" s="246"/>
      <c r="Y24" s="246"/>
      <c r="Z24" s="246"/>
      <c r="AA24" s="246"/>
      <c r="AB24" s="242"/>
      <c r="AC24" s="242"/>
      <c r="AD24" s="143"/>
      <c r="AE24" s="143"/>
      <c r="AF24" s="248"/>
      <c r="AI24" s="219"/>
      <c r="AL24" s="147"/>
    </row>
    <row r="25" spans="1:38" ht="14.55" customHeight="1">
      <c r="A25" s="250" t="s">
        <v>298</v>
      </c>
      <c r="B25" s="257">
        <f>IF($B$5="Local Currency",SUMIFS(M49:M516, F49:F516, "Conc_DPS", G49:G516,"Equity"),SUMIFS(IF($B$5="Local Currency",M49:M516,N49:N516),F49:F516, "Conc_DPS", G49:G516,"Equity"))</f>
        <v>1014.2317399964705</v>
      </c>
      <c r="C25" s="266" cm="1">
        <f t="array" ref="C25">IFERROR(
SUMPRODUCT(IF($F$49:$F$516="Conc_DPS",1,0),IF($G$49:$G$516="Equity",1,0),IF($B$5="Local Currency",M49:M516,N49:N516),P49:P516)/
SUMPRODUCT(IF($F$49:$F$516="Conc_DPS",1,0),IF($G$49:$G$516="Equity",1,0),IF($B$5="Local Currency",M49:M516,N49:N516)), 0)</f>
        <v>0.19684646462160904</v>
      </c>
      <c r="D25" s="267" cm="1">
        <f t="array" ref="D25">IFERROR(
SUMPRODUCT(IF($F$49:$F$516="Conc_DPS",1,0),IF($G$49:$G$516="Equity",1,0),IF($B$5="Local Currency",M49:M516,N49:N516),Q49:Q516)/
SUMPRODUCT(IF($F$49:$F$516="Conc_DPS",1,0),IF($G$49:$G$516="Equity",1,0),IF($B$5="Local Currency",M49:M516,N49:N516)), 0)</f>
        <v>34.03767170610525</v>
      </c>
      <c r="E25" s="268" cm="1">
        <f t="array" ref="E25">IFERROR(
SUMPRODUCT(IF($F$49:$F$516="Conc_DPS",1,0),IF($G$49:$G$516="Equity",1,0),IF($B$5="Local Currency",M49:M516,N49:N516),S49:S516)/
SUMPRODUCT(IF($F$49:$F$516="Conc_DPS",1,0),IF($G$49:$G$516="Equity",1,0),IF($B$5="Local Currency",M49:M516,N49:N516)), 0)</f>
        <v>0</v>
      </c>
      <c r="F25" s="269" cm="1">
        <f t="array" ref="F25">IFERROR(
SUMPRODUCT(IF($F$49:$F$516="Conc_DPS",1,0),IF($G$49:$G$516="Equity",1,0),IF($B$5="Local Currency",M49:M516,N49:N516),U49:U516)/
SUMPRODUCT(IF($F$49:$F$516="Conc_DPS",1,0),IF($G$49:$G$516="Equity",1,0),IF($B$5="Local Currency",M49:M516,N49:N516)), 0)</f>
        <v>25.28388034432583</v>
      </c>
      <c r="G25" s="269" cm="1">
        <f t="array" aca="1" ref="G25" ca="1">IFERROR(
SUMPRODUCT(IF($F$49:$F$516="Conc_DPS",1,0),IF($G$49:$G$516="Equity",1,0),IF($B$5="Local Currency",M49:M516,N49:N516),V49:V516)/
SUMPRODUCT(IF($F$49:$F$516="Conc_DPS",1,0),IF($G$49:$G$516="Equity",1,0),IF($B$5="Local Currency",M49:M516,N49:N516)), 0)</f>
        <v>19.742114858957081</v>
      </c>
      <c r="H25" s="269" cm="1">
        <f t="array" aca="1" ref="H25" ca="1">IFERROR(
SUMPRODUCT(IF($F$49:$F$516="Conc_DPS",1,0),IF($G$49:$G$516="Equity",1,0),IF($B$5="Local Currency",M49:M516,N49:N516),W49:W516)/
SUMPRODUCT(IF($F$49:$F$516="Conc_DPS",1,0),IF($G$49:$G$516="Equity",1,0),IF($B$5="Local Currency",M49:M516,N49:N516)), 0)</f>
        <v>521.77798555428399</v>
      </c>
      <c r="I25" s="402"/>
      <c r="J25" s="403"/>
      <c r="K25" s="294" t="s">
        <v>183</v>
      </c>
      <c r="L25" s="277">
        <f>IFERROR(SUMIF(I49:I516, "National Government", IF($B$5="Local Currency",M49:M516,IF($B$5="Local Currency",M49:M516,N49:N516))) / B16, 0)</f>
        <v>0.10071876066576493</v>
      </c>
      <c r="N25" s="147"/>
      <c r="O25" s="150"/>
      <c r="U25" s="244"/>
      <c r="V25" s="245"/>
      <c r="W25" s="245"/>
      <c r="X25" s="246"/>
      <c r="Y25" s="246"/>
      <c r="Z25" s="246"/>
      <c r="AA25" s="246"/>
      <c r="AB25" s="242"/>
      <c r="AC25" s="242"/>
      <c r="AD25" s="143"/>
      <c r="AE25" s="143"/>
      <c r="AF25" s="248"/>
      <c r="AI25" s="219"/>
      <c r="AL25" s="147"/>
    </row>
    <row r="26" spans="1:38" ht="14.55" customHeight="1">
      <c r="A26" s="250" t="s">
        <v>299</v>
      </c>
      <c r="B26" s="257">
        <f>IF($B$5="Local Currency",SUMIFS(M49:M516,F49:F516,"Comm_Intl",G49:G516,"Equity"),SUMIFS(IF($B$5="Local Currency",M49:M516,N49:N516),F49:F516,"Comm_Intl",G49:G516,"Equity"))</f>
        <v>853.87200000000007</v>
      </c>
      <c r="C26" s="266" cm="1">
        <f t="array" ref="C26">IFERROR(
SUMPRODUCT(IF($F$49:$F$516="Comm_Intl",1,0),IF($G$49:$G$516="Equity",1,0),IF($B$5="Local Currency",M49:M516,N49:N516),P49:P516)/
SUMPRODUCT(IF($F$49:$F$516="Comm_Intl",1,0),IF($G$49:$G$516="Equity",1,0),IF($B$5="Local Currency",M49:M516,N49:N516)), 0)</f>
        <v>0.11526585951992803</v>
      </c>
      <c r="D26" s="267" cm="1">
        <f t="array" ref="D26">IFERROR(
SUMPRODUCT(IF($F$49:$F$516="Comm_Intl",1,0),IF($G$49:$G$516="Equity",1,0),IF($B$5="Local Currency",M49:M516,N49:N516),Q49:Q516)/
SUMPRODUCT(IF($F$49:$F$516="Comm_Intl",1,0),IF($G$49:$G$516="Equity",1,0),IF($B$5="Local Currency",M49:M516,N49:N516)), 0)</f>
        <v>25.574664586729632</v>
      </c>
      <c r="E26" s="268" cm="1">
        <f t="array" ref="E26">IFERROR(
SUMPRODUCT(IF($F$49:$F$516="Comm_Intl",1,0),IF($G$49:$G$516="Equity",1,0),IF($B$5="Local Currency",M49:M516,N49:N516),S49:S516)/
SUMPRODUCT(IF($F$49:$F$516="Comm_Intl",1,0),IF($G$49:$G$516="Equity",1,0),IF($B$5="Local Currency",M49:M516,N49:N516)), 0)</f>
        <v>0</v>
      </c>
      <c r="F26" s="269" cm="1">
        <f t="array" ref="F26">IFERROR(
SUMPRODUCT(IF($F$49:$F$516="Comm_Intl",1,0),IF($G$49:$G$516="Equity",1,0),IF($B$5="Local Currency",M49:M516,N49:N516),U49:U516)/
SUMPRODUCT(IF($F$49:$F$516="Comm_Intl",1,0),IF($G$49:$G$516="Equity",1,0),IF($B$5="Local Currency",M49:M516,N49:N516)), 0)</f>
        <v>6.2906938053498846</v>
      </c>
      <c r="G26" s="269" cm="1">
        <f t="array" aca="1" ref="G26" ca="1">IFERROR(
SUMPRODUCT(IF($F$49:$F$516="Comm_Intl",1,0),IF($G$49:$G$516="Equity",1,0),IF($B$5="Local Currency",M49:M516,N49:N516),V49:V516)/
SUMPRODUCT(IF($F$49:$F$516="Comm_Intl",1,0),IF($G$49:$G$516="Equity",1,0),IF($B$5="Local Currency",M49:M516,N49:N516)), 0)</f>
        <v>4.8210049895088405</v>
      </c>
      <c r="H26" s="269" cm="1">
        <f t="array" aca="1" ref="H26" ca="1">IFERROR(
SUMPRODUCT(IF($F$49:$F$516="Comm_Intl",1,0),IF($G$49:$G$516="Equity",1,0),IF($B$5="Local Currency",M49:M516,N49:N516),W49:W516)/
SUMPRODUCT(IF($F$49:$F$516="Comm_Intl",1,0),IF($G$49:$G$516="Equity",1,0),IF($B$5="Local Currency",M49:M516,N49:N516)), 0)</f>
        <v>123.79107616541435</v>
      </c>
      <c r="I26" s="402"/>
      <c r="J26" s="403"/>
      <c r="K26" s="294" t="s">
        <v>364</v>
      </c>
      <c r="L26" s="277">
        <f>IFERROR(SUMIF(I49:I516, "Domestic Public Sector", IF($B$5="Local Currency",M49:M516,IF($B$5="Local Currency",M49:M516,N49:N516))) / B16, 0)</f>
        <v>0</v>
      </c>
      <c r="M26" s="139"/>
      <c r="N26" s="139"/>
      <c r="O26" s="150"/>
      <c r="U26" s="244"/>
      <c r="V26" s="245"/>
      <c r="W26" s="245"/>
      <c r="X26" s="246"/>
      <c r="Y26" s="246"/>
      <c r="Z26" s="246"/>
      <c r="AA26" s="246"/>
      <c r="AB26" s="242"/>
      <c r="AC26" s="242"/>
      <c r="AD26" s="143"/>
      <c r="AE26" s="143"/>
      <c r="AF26" s="248"/>
      <c r="AI26" s="219"/>
      <c r="AL26" s="147"/>
    </row>
    <row r="27" spans="1:38" ht="14.55" customHeight="1" thickBot="1">
      <c r="A27" s="250" t="s">
        <v>300</v>
      </c>
      <c r="B27" s="257">
        <f>IF($B$5="Local Currency",SUMIFS(M49:M516,F49:F516,"Comm_Dom",G49:G516,"Equity"),SUMIFS(IF($B$5="Local Currency",M49:M516,N49:N516),F49:F516,"Comm_Dom",G49:G516,"Equity"))</f>
        <v>204.23800000000003</v>
      </c>
      <c r="C27" s="266" cm="1">
        <f t="array" ref="C27">IFERROR(
SUMPRODUCT(IF($F$49:$F$516="Comm_Dom",1,0),IF($G$49:$G$516="Equity",1,0),IF($B$5="Local Currency",M49:M516,N49:N516),P49:P516)/
SUMPRODUCT(IF($F$49:$F$516="Comm_Dom",1,0),IF($G$49:$G$516="Equity",1,0),IF($B$5="Local Currency",M49:M516,N49:N516)), 0)</f>
        <v>0.14018786905473027</v>
      </c>
      <c r="D27" s="268" cm="1">
        <f t="array" ref="D27">IFERROR(
SUMPRODUCT(IF($F$49:$F$516="Comm_Dom",1,0),IF($G$49:$G$516="Equity",1,0),IF($B$5="Local Currency",M49:M516,N49:N516),Q49:Q516)/
SUMPRODUCT(IF($F$49:$F$516="Comm_Dom",1,0),IF($G$49:$G$516="Equity",1,0),IF($B$5="Local Currency",M49:M516,N49:N516)), 0)</f>
        <v>30.214504646539815</v>
      </c>
      <c r="E27" s="268" cm="1">
        <f t="array" ref="E27">IFERROR(
SUMPRODUCT(IF($F$49:$F$516="Comm_Dom",1,0),IF($G$49:$G$516="Equity",1,0),IF($B$5="Local Currency",M49:M516,N49:N516),S49:S516)/
SUMPRODUCT(IF($F$49:$F$516="Comm_Dom",1,0),IF($G$49:$G$516="Equity",1,0),IF($B$5="Local Currency",M49:M516,N49:N516)), 0)</f>
        <v>0</v>
      </c>
      <c r="F27" s="269" cm="1">
        <f t="array" ref="F27">IFERROR(
SUMPRODUCT(IF($F$49:$F$516="Comm_Dom",1,0),IF($G$49:$G$516="Equity",1,0),IF($B$5="Local Currency",M49:M516,N49:N516),U49:U516)/
SUMPRODUCT(IF($F$49:$F$516="Comm_Dom",1,0),IF($G$49:$G$516="Equity",1,0),IF($B$5="Local Currency",M49:M516,N49:N516)), 0)</f>
        <v>8.2269347544962237</v>
      </c>
      <c r="G27" s="269" cm="1">
        <f t="array" aca="1" ref="G27" ca="1">IFERROR(
SUMPRODUCT(IF($F$49:$F$516="Comm_Dom",1,0),IF($G$49:$G$516="Equity",1,0),IF($B$5="Local Currency",M49:M516,N49:N516),V49:V516)/
SUMPRODUCT(IF($F$49:$F$516="Comm_Dom",1,0),IF($G$49:$G$516="Equity",1,0),IF($B$5="Local Currency",M49:M516,N49:N516)), 0)</f>
        <v>5.2120731823947306</v>
      </c>
      <c r="H27" s="269" cm="1">
        <f t="array" aca="1" ref="H27" ca="1">IFERROR(
SUMPRODUCT(IF($F$49:$F$516="Comm_Dom",1,0),IF($G$49:$G$516="Equity",1,0),IF($B$5="Local Currency",M49:M516,N49:N516),W49:W516)/
SUMPRODUCT(IF($F$49:$F$516="Comm_Dom",1,0),IF($G$49:$G$516="Equity",1,0),IF($B$5="Local Currency",M49:M516,N49:N516)), 0)</f>
        <v>141.33178818638871</v>
      </c>
      <c r="I27" s="402"/>
      <c r="J27" s="403"/>
      <c r="K27" s="294" t="s">
        <v>180</v>
      </c>
      <c r="L27" s="277">
        <f>IFERROR(SUMIF(I49:I516, "Climate Funds", IF($B$5="Local Currency",M49:M516,IF($B$5="Local Currency",M49:M516,N49:N516))) / B16, 0)</f>
        <v>2.3220881746850729E-2</v>
      </c>
      <c r="M27" s="139"/>
      <c r="N27" s="139"/>
      <c r="O27" s="150"/>
      <c r="U27" s="244"/>
      <c r="V27" s="245"/>
      <c r="W27" s="245"/>
      <c r="X27" s="246"/>
      <c r="Y27" s="246"/>
      <c r="Z27" s="246"/>
      <c r="AA27" s="246"/>
      <c r="AB27" s="242"/>
      <c r="AC27" s="242"/>
      <c r="AD27" s="143"/>
      <c r="AE27" s="143"/>
      <c r="AF27" s="248"/>
      <c r="AI27" s="219"/>
      <c r="AL27" s="147"/>
    </row>
    <row r="28" spans="1:38" ht="14.55" customHeight="1">
      <c r="A28" s="249"/>
      <c r="B28" s="726" t="s">
        <v>288</v>
      </c>
      <c r="C28" s="727"/>
      <c r="D28" s="727"/>
      <c r="E28" s="727"/>
      <c r="F28" s="727"/>
      <c r="G28" s="727"/>
      <c r="H28" s="727"/>
      <c r="I28" s="727"/>
      <c r="J28" s="728"/>
      <c r="K28" s="294" t="s">
        <v>184</v>
      </c>
      <c r="L28" s="277">
        <f>IFERROR(SUMIF(I49:I516, "Commercial Bank", IF($B$5="Local Currency",M49:M516,IF($B$5="Local Currency",M49:M516,N49:N516))) / B16, 0)</f>
        <v>3.1322455540335345E-2</v>
      </c>
      <c r="N28" s="147"/>
      <c r="O28" s="150"/>
      <c r="U28" s="244"/>
      <c r="V28" s="245"/>
      <c r="W28" s="245"/>
      <c r="X28" s="246"/>
      <c r="Y28" s="246"/>
      <c r="Z28" s="246"/>
      <c r="AA28" s="246"/>
      <c r="AB28" s="242"/>
      <c r="AC28" s="242"/>
      <c r="AD28" s="143"/>
      <c r="AE28" s="143"/>
      <c r="AF28" s="248"/>
      <c r="AI28" s="219"/>
      <c r="AL28" s="147"/>
    </row>
    <row r="29" spans="1:38" ht="14.55" customHeight="1" thickBot="1">
      <c r="A29" s="250"/>
      <c r="B29" s="729"/>
      <c r="C29" s="730"/>
      <c r="D29" s="730"/>
      <c r="E29" s="730"/>
      <c r="F29" s="730"/>
      <c r="G29" s="730"/>
      <c r="H29" s="730"/>
      <c r="I29" s="730"/>
      <c r="J29" s="731"/>
      <c r="K29" s="294" t="s">
        <v>365</v>
      </c>
      <c r="L29" s="277">
        <f>IFERROR(SUMIF(I49:I516, "Private Equity Fund", IF($B$5="Local Currency",M49:M516,IF($B$5="Local Currency",M49:M516,N49:N516))) / B16, 0)</f>
        <v>0.10545311677045466</v>
      </c>
      <c r="N29" s="147"/>
      <c r="O29" s="150"/>
      <c r="U29" s="244"/>
      <c r="V29" s="245"/>
      <c r="W29" s="245"/>
      <c r="X29" s="246"/>
      <c r="Y29" s="246"/>
      <c r="Z29" s="246"/>
      <c r="AA29" s="246"/>
      <c r="AB29" s="242"/>
      <c r="AC29" s="242"/>
      <c r="AD29" s="143"/>
      <c r="AE29" s="143"/>
      <c r="AF29" s="248"/>
      <c r="AI29" s="219"/>
      <c r="AL29" s="147"/>
    </row>
    <row r="30" spans="1:38" ht="20.55" customHeight="1" thickBot="1">
      <c r="A30" s="250"/>
      <c r="B30" s="256" t="str">
        <f>"Volume ("&amp;$B$6&amp;")"</f>
        <v>Volume (USD)</v>
      </c>
      <c r="C30" s="247" t="s">
        <v>366</v>
      </c>
      <c r="D30" s="247" t="s">
        <v>355</v>
      </c>
      <c r="E30" s="247" t="s">
        <v>356</v>
      </c>
      <c r="F30" s="247" t="s">
        <v>357</v>
      </c>
      <c r="G30" s="247" t="s">
        <v>358</v>
      </c>
      <c r="H30" s="247" t="s">
        <v>359</v>
      </c>
      <c r="I30" s="247" t="s">
        <v>367</v>
      </c>
      <c r="J30" s="251" t="s">
        <v>368</v>
      </c>
      <c r="K30" s="735" t="s">
        <v>369</v>
      </c>
      <c r="L30" s="736"/>
      <c r="N30" s="147"/>
      <c r="O30" s="150"/>
      <c r="U30" s="244"/>
      <c r="V30" s="245"/>
      <c r="W30" s="245"/>
      <c r="X30" s="246"/>
      <c r="Y30" s="246"/>
      <c r="Z30" s="246"/>
      <c r="AA30" s="246"/>
      <c r="AB30" s="242"/>
      <c r="AC30" s="242"/>
      <c r="AD30" s="143"/>
      <c r="AE30" s="143"/>
      <c r="AF30" s="248"/>
      <c r="AI30" s="219"/>
      <c r="AL30" s="147"/>
    </row>
    <row r="31" spans="1:38" ht="14.55" customHeight="1">
      <c r="A31" s="252" t="s">
        <v>360</v>
      </c>
      <c r="B31" s="283">
        <f>SUM(B32:B35)</f>
        <v>8775.3145873218746</v>
      </c>
      <c r="C31" s="284">
        <f>IFERROR(SUMPRODUCT(B32:B35,C32:C35)/SUM(B32:B35), 0)</f>
        <v>2.7191343009561438E-2</v>
      </c>
      <c r="D31" s="285">
        <f>IFERROR(SUMPRODUCT(D32:D35,B32:B35)/SUM(B32:B35), 0)</f>
        <v>26.458210187659002</v>
      </c>
      <c r="E31" s="285">
        <f>IFERROR(SUMPRODUCT(B32:B35,E32:E35)/SUM(B32:B35),0)</f>
        <v>6.703121669038512</v>
      </c>
      <c r="F31" s="286">
        <f>IFERROR(SUMPRODUCT(B32:B35,F32:F35)/SUM(B32:B35),0)</f>
        <v>8.7527431480629758</v>
      </c>
      <c r="G31" s="286">
        <f ca="1">IFERROR(SUMPRODUCT(B32:B35,G32:G35)/SUM(B32:B35),0)</f>
        <v>6.6461532708299238</v>
      </c>
      <c r="H31" s="286">
        <f ca="1">IFERROR(SUMPRODUCT(B32:B35,H32:H35)/SUM(B32:B35),0)</f>
        <v>162.84014987666112</v>
      </c>
      <c r="I31" s="284">
        <f>IFERROR(SUMPRODUCT(B32:B35,I32:I35)/SUM(B32:B35),0)</f>
        <v>0.22371976175434236</v>
      </c>
      <c r="J31" s="284">
        <f>IFERROR(SUMPRODUCT(B32:B35,J32:J35)/SUM(B32:B35),0)</f>
        <v>0.77615488661420806</v>
      </c>
      <c r="K31" s="278" t="s">
        <v>370</v>
      </c>
      <c r="L31" s="280">
        <f>IFERROR(SUMIF(H49:H516, "Public", IF($B$5="Local Currency",M49:M516,IF($B$5="Local Currency",M49:M516,N49:N516)))/B16, 0)</f>
        <v>0.86302412130531136</v>
      </c>
      <c r="N31" s="147"/>
      <c r="O31" s="150"/>
      <c r="U31" s="244"/>
      <c r="V31" s="245"/>
      <c r="W31" s="245"/>
      <c r="X31" s="246"/>
      <c r="Y31" s="246"/>
      <c r="Z31" s="246"/>
      <c r="AA31" s="246"/>
      <c r="AB31" s="242"/>
      <c r="AC31" s="242"/>
      <c r="AD31" s="143"/>
      <c r="AE31" s="143"/>
      <c r="AF31" s="248"/>
      <c r="AI31" s="219"/>
      <c r="AL31" s="147"/>
    </row>
    <row r="32" spans="1:38">
      <c r="A32" s="250" t="s">
        <v>361</v>
      </c>
      <c r="B32" s="257">
        <f>IF($B$5="Local Currency",SUMIFS( M49:M516, F49:F516, "Conc_IFI", G49:G516,"Loan"),SUMIFS( IF($B$5="Local Currency",M49:M516,N49:N516), F49:F516, "Conc_IFI", G49:G516,"Loan"))</f>
        <v>8033.914587321874</v>
      </c>
      <c r="C32" s="266" cm="1">
        <f t="array" ref="C32">IFERROR(
SUMPRODUCT(IF($F$49:$F$516="Conc_IFI",1,0),IF($G$49:$G$516="Loan",1,0),IF($B$5="Local Currency",M49:M516,N49:N516),P49:P516)/
SUMPRODUCT(IF($F$49:$F$516="Conc_IFI",1,0),IF($G$49:$G$516="Loan",1,0),IF($B$5="Local Currency",M49:M516,N49:N516)), 0)</f>
        <v>2.2210932905582154E-2</v>
      </c>
      <c r="D32" s="267" cm="1">
        <f t="array" ref="D32">IFERROR(
SUMPRODUCT(IF($F$49:$F$516="Conc_IFI",1,0),IF($G$49:$G$516="Loan",1,0),IF($B$5="Local Currency",M49:M516,N49:N516),Q49:Q516)
/SUMPRODUCT(IF($F$49:$F$516="Conc_IFI",1,0),IF($G$49:$G$516="Loan",1,0),IF($B$5="Local Currency",M49:M516,N49:N516)), 0)</f>
        <v>27.250361132750378</v>
      </c>
      <c r="E32" s="268" cm="1">
        <f t="array" ref="E32">IFERROR(
SUMPRODUCT(IF($F$49:$F$516="Conc_IFI",1,0),IF($G$49:$G$516="Loan",1,0),IF($B$5="Local Currency",M49:M516,N49:N516),S49:S516)/
SUMPRODUCT(IF($F$49:$F$516="Conc_IFI",1,0),IF($G$49:$G$516="Loan",1,0),IF($B$5="Local Currency",M49:M516,N49:N516)), 0)</f>
        <v>6.9218762234121112</v>
      </c>
      <c r="F32" s="269" cm="1">
        <f t="array" ref="F32">IFERROR(
SUMPRODUCT(IF($F$49:$F$516="Conc_IFI",1,0),IF($G$49:$G$516="Loan",1,0),IF($B$5="Local Currency",M49:M516,N49:N516),U49:U516)/
SUMPRODUCT(IF($F$49:$F$516="Conc_IFI",1,0),IF($G$49:$G$516="Loan",1,0),IF($B$5="Local Currency",M49:M516,N49:N516)), 0)</f>
        <v>8.9052528389470886</v>
      </c>
      <c r="G32" s="269" cm="1">
        <f t="array" aca="1" ref="G32" ca="1">IFERROR(
SUMPRODUCT(IF($F$49:$F$516="Conc_IFI",1,0),IF($G$49:$G$516="Loan",1,0),IF($B$5="Local Currency",M49:M516,N49:N516),V49:V516)/
SUMPRODUCT(IF($F$49:$F$516="Conc_IFI",1,0),IF($G$49:$G$516="Loan",1,0),IF($B$5="Local Currency",M49:M516,N49:N516)), 0)</f>
        <v>6.6878122801715918</v>
      </c>
      <c r="H32" s="269" cm="1">
        <f t="array" aca="1" ref="H32" ca="1">IFERROR(
SUMPRODUCT(IF($F$49:$F$516="Conc_IFI",1,0),IF($G$49:$G$516="Loan",1,0),IF($B$5="Local Currency",M49:M516,N49:N516),W49:W516)/
SUMPRODUCT(IF($F$49:$F$516="Conc_IFI",1,0),IF($G$49:$G$516="Loan",1,0),IF($B$5="Local Currency",M49:M516,N49:N516)), 0)</f>
        <v>167.95731367582854</v>
      </c>
      <c r="I32" s="270" cm="1">
        <f t="array" ref="I32">IFERROR(
SUMPRODUCT(IF($F$49:$F$516="Conc_IFI",1,0),IF($G$49:$G$516="Loan",1,0),IF($B$5="Local Currency",M49:M516,N49:N516),X49:X516)/
SUMPRODUCT(IF($F$49:$F$516="Conc_IFI",1,0),IF($G$49:$G$516="Loan",1,0),IF($B$5="Local Currency",M49:M516,N49:N516),IF($G$49:$G$516="Equity",0,1)), 0)</f>
        <v>0.19386327212276647</v>
      </c>
      <c r="J32" s="270" cm="1">
        <f t="array" ref="J32">IFERROR(
SUMPRODUCT(IF($F$49:$F$516="Conc_IFI",1,0),IF($G$49:$G$516="Loan",1,0),IF($B$5="Local Currency",M49:M516,N49:N516),Y49:Y516)/
SUMPRODUCT(IF($F$49:$F$516="Conc_IFI",1,0),IF($G$49:$G$516="Loan",1,0),IF($B$5="Local Currency",M49:M516,N49:N516),IF($G$49:$G$516="Equity",0,1)), 0)</f>
        <v>0.80599980832350315</v>
      </c>
      <c r="K32" s="279" t="s">
        <v>371</v>
      </c>
      <c r="L32" s="277">
        <f>IFERROR(SUMIF(H49:H516, "Private", IF($B$5="Local Currency",M49:M516,IF($B$5="Local Currency",M49:M516,N49:N516))) / B16, 0)</f>
        <v>0.13697587869468839</v>
      </c>
      <c r="N32" s="147"/>
      <c r="O32" s="150"/>
      <c r="U32" s="244"/>
      <c r="V32" s="245"/>
      <c r="W32" s="245"/>
      <c r="X32" s="246"/>
      <c r="Y32" s="246"/>
      <c r="Z32" s="246"/>
      <c r="AA32" s="246"/>
      <c r="AB32" s="242"/>
      <c r="AC32" s="242"/>
      <c r="AD32" s="143"/>
      <c r="AE32" s="143"/>
      <c r="AF32" s="248"/>
      <c r="AI32" s="219"/>
      <c r="AL32" s="147"/>
    </row>
    <row r="33" spans="1:174">
      <c r="A33" s="250" t="s">
        <v>298</v>
      </c>
      <c r="B33" s="257">
        <f>IF($B$5="Local Currency",SUMIFS(M49:M516,F49:F516,"Conc_DPS",G49:G516,"Loan"),SUMIFS(IF($B$5="Local Currency",M49:M516,N49:N516),F49:F516,"Conc_DPS",G49:G516,"Loan"))</f>
        <v>205.98000000000002</v>
      </c>
      <c r="C33" s="266" cm="1">
        <f t="array" ref="C33">IFERROR(
SUMPRODUCT(IF($F$49:$F$516="Conc_DPS",1,0),IF($G$49:$G$516="Loan",1,0),IF($B$5="Local Currency",M49:M516,N49:N516),P49:P516)/
SUMPRODUCT(IF($F$49:$F$516="Conc_DPS",1,0),IF($G$49:$G$516="Loan",1,0),IF($B$5="Local Currency",M49:M516,N49:N516)), 0)</f>
        <v>2.6511348189144572E-2</v>
      </c>
      <c r="D33" s="267" cm="1">
        <f t="array" ref="D33">IFERROR(
SUMPRODUCT(IF($F$49:$F$516="Conc_DPS",1,0),IF($G$49:$G$516="Loan",1,0),IF($B$5="Local Currency",M49:M516,N49:N516),Q49:Q516)/
SUMPRODUCT(IF($F$49:$F$516="Conc_DPS",1,0),IF($G$49:$G$516="Loan",1,0),IF($B$5="Local Currency",M49:M516,N49:N516)), 0)</f>
        <v>22.641732207010385</v>
      </c>
      <c r="E33" s="268" cm="1">
        <f t="array" ref="E33">IFERROR(
SUMPRODUCT(IF($F$49:$F$516="Conc_DPS",1,0),IF($G$49:$G$516="Loan",1,0),IF($B$5="Local Currency",M49:M516,N49:N516),S49:S516)/
SUMPRODUCT(IF($F$49:$F$516="Conc_DPS",1,0),IF($G$49:$G$516="Loan",1,0),IF($B$5="Local Currency",M49:M516,N49:N516)), 0)</f>
        <v>7.0987911447713357</v>
      </c>
      <c r="F33" s="269" cm="1">
        <f t="array" ref="F33">IFERROR(
SUMPRODUCT(IF($F$49:$F$516="Conc_DPS",1,0),IF($G$49:$G$516="Loan",1,0),IF($B$5="Local Currency",M49:M516,N49:N516),U49:U516)/
SUMPRODUCT(IF($F$49:$F$516="Conc_DPS",1,0),IF($G$49:$G$516="Loan",1,0),IF($B$5="Local Currency",M49:M516,N49:N516)), 0)</f>
        <v>4.0094410504618514</v>
      </c>
      <c r="G33" s="269" cm="1">
        <f t="array" aca="1" ref="G33" ca="1">IFERROR(
SUMPRODUCT(IF($F$49:$F$516="Conc_DPS",1,0),IF($G$49:$G$516="Loan",1,0),IF($B$5="Local Currency",M49:M516,N49:N516),V49:V516)/
SUMPRODUCT(IF($F$49:$F$516="Conc_DPS",1,0),IF($G$49:$G$516="Loan",1,0),IF($B$5="Local Currency",M49:M516,N49:N516)), 0)</f>
        <v>3.2800670097321634</v>
      </c>
      <c r="H33" s="269" cm="1">
        <f t="array" aca="1" ref="H33" ca="1">IFERROR(
SUMPRODUCT(IF($F$49:$F$516="Conc_DPS",1,0),IF($G$49:$G$516="Loan",1,0),IF($B$5="Local Currency",M49:M516,N49:N516),W49:W516)/
SUMPRODUCT(IF($F$49:$F$516="Conc_DPS",1,0),IF($G$49:$G$516="Loan",1,0),IF($B$5="Local Currency",M49:M516,N49:N516)), 0)</f>
        <v>73.436015914306253</v>
      </c>
      <c r="I33" s="270" cm="1">
        <f t="array" ref="I33">IFERROR(
SUMPRODUCT(IF($F$49:$F$516="Conc_DPS",1,0),IF($G$49:$G$516="Loan",1,0),IF($B$5="Local Currency",M49:M516,N49:N516),X49:X516)/
SUMPRODUCT(IF($F$49:$F$516="Conc_DPS",1,0),IF($G$49:$G$516="Loan",1,0),IF($B$5="Local Currency",M49:M516,N49:N516),IF($G$49:$G$516="Equity",0,1)), 0)</f>
        <v>0.22868714221826006</v>
      </c>
      <c r="J33" s="270" cm="1">
        <f t="array" ref="J33">IFERROR(
SUMPRODUCT(IF($F$49:$F$516="Conc_DPS",1,0),IF($G$49:$G$516="Loan",1,0),IF($B$5="Local Currency",M49:M516,N49:N516),Y49:Y516)/
SUMPRODUCT(IF($F$49:$F$516="Conc_DPS",1,0),IF($G$49:$G$516="Loan",1,0),IF($B$5="Local Currency",M49:M516,N49:N516),IF($G$49:$G$516="Equity",0,1)), 0)</f>
        <v>0.77131285778173986</v>
      </c>
      <c r="K33" s="279" t="s">
        <v>372</v>
      </c>
      <c r="L33" s="281">
        <f>IFERROR((SUMIF(F49:F516, "Comm_Dom", IF($B$5="Local Currency",M49:M516,IF($B$5="Local Currency",M49:M516,N49:N516))) + SUMIF(F49:F516, "Conc_DPS", IF($B$5="Local Currency",M49:M516,IF($B$5="Local Currency",M49:M516,N49:N516)))) / B16, 0)</f>
        <v>0.13437369299824117</v>
      </c>
      <c r="N33" s="147"/>
      <c r="O33" s="150"/>
      <c r="U33" s="244"/>
      <c r="V33" s="245"/>
      <c r="W33" s="245"/>
      <c r="X33" s="246"/>
      <c r="Y33" s="246"/>
      <c r="Z33" s="246"/>
      <c r="AA33" s="246"/>
      <c r="AB33" s="242"/>
      <c r="AC33" s="242"/>
      <c r="AD33" s="143"/>
      <c r="AE33" s="143"/>
      <c r="AF33" s="248"/>
      <c r="AI33" s="219"/>
      <c r="AL33" s="147"/>
    </row>
    <row r="34" spans="1:174">
      <c r="A34" s="250" t="s">
        <v>299</v>
      </c>
      <c r="B34" s="257">
        <f>IF($B$5="Local Currency",SUMIFS(M49:M516,F49:F516,"Comm_Intl",G49:G516,"Loan"),SUMIFS(IF($B$5="Local Currency",M49:M516,N49:N516),F49:F516,"Comm_Intl",G49:G516,"Loan"))</f>
        <v>484.02</v>
      </c>
      <c r="C34" s="266" cm="1">
        <f t="array" ref="C34">IFERROR(
SUMPRODUCT(IF($F$49:$F$516="Comm_Intl",1,0),IF($G$49:$G$516="Loan",1,0),IF($B$5="Local Currency",M49:M516,N49:N516),P49:P516)/
SUMPRODUCT(IF($F$49:$F$516="Comm_Intl",1,0),IF($G$49:$G$516="Loan",1,0),IF($B$5="Local Currency",M49:M516,N49:N516)), 0)</f>
        <v>9.7008588925656475E-2</v>
      </c>
      <c r="D34" s="267" cm="1">
        <f t="array" ref="D34">IFERROR(
SUMPRODUCT(IF($F$49:$F$516="Comm_Intl",1,0),IF($G$49:$G$516="Loan",1,0),IF($B$5="Local Currency",M49:M516,N49:N516),Q49:Q516)/
SUMPRODUCT(IF($F$49:$F$516="Comm_Intl",1,0),IF($G$49:$G$516="Loan",1,0),IF($B$5="Local Currency",M49:M516,N49:N516)), 0)</f>
        <v>15.774761373496961</v>
      </c>
      <c r="E34" s="268" cm="1">
        <f t="array" ref="E34">IFERROR(
SUMPRODUCT(IF($F$49:$F$516="Comm_Intl",1,0),IF($G$49:$G$516="Loan",1,0),IF($B$5="Local Currency",M49:M516,N49:N516),S49:S516)/
SUMPRODUCT(IF($F$49:$F$516="Comm_Intl",1,0),IF($G$49:$G$516="Loan",1,0),IF($B$5="Local Currency",M49:M516,N49:N516)), 0)</f>
        <v>2.8170943349448372</v>
      </c>
      <c r="F34" s="269" cm="1">
        <f t="array" ref="F34">IFERROR(
SUMPRODUCT(IF($F$49:$F$516="Comm_Intl",1,0),IF($G$49:$G$516="Loan",1,0),IF($B$5="Local Currency",M49:M516,N49:N516),U49:U516)/
SUMPRODUCT(IF($F$49:$F$516="Comm_Intl",1,0),IF($G$49:$G$516="Loan",1,0),IF($B$5="Local Currency",M49:M516,N49:N516)), 0)</f>
        <v>8.4812435504475534</v>
      </c>
      <c r="G34" s="269" cm="1">
        <f t="array" aca="1" ref="G34" ca="1">IFERROR(
SUMPRODUCT(IF($F$49:$F$516="Comm_Intl",1,0),IF($G$49:$G$516="Loan",1,0),IF($B$5="Local Currency",M49:M516,N49:N516),V49:V516)/
SUMPRODUCT(IF($F$49:$F$516="Comm_Intl",1,0),IF($G$49:$G$516="Loan",1,0),IF($B$5="Local Currency",M49:M516,N49:N516)), 0)</f>
        <v>7.5000537023995069</v>
      </c>
      <c r="H34" s="269" cm="1">
        <f t="array" aca="1" ref="H34" ca="1">IFERROR(
SUMPRODUCT(IF($F$49:$F$516="Comm_Intl",1,0),IF($G$49:$G$516="Loan",1,0),IF($B$5="Local Currency",M49:M516,N49:N516),W49:W516)/
SUMPRODUCT(IF($F$49:$F$516="Comm_Intl",1,0),IF($G$49:$G$516="Loan",1,0),IF($B$5="Local Currency",M49:M516,N49:N516)), 0)</f>
        <v>121.61650152413027</v>
      </c>
      <c r="I34" s="270" cm="1">
        <f t="array" ref="I34">IFERROR(
SUMPRODUCT(IF($F$49:$F$516="Comm_Intl",1,0),IF($G$49:$G$516="Loan",1,0),IF($B$5="Local Currency",M49:M516,N49:N516),X49:X516)/
SUMPRODUCT(IF($F$49:$F$516="Comm_Intl",1,0),IF($G$49:$G$516="Loan",1,0),IF($B$5="Local Currency",M49:M516,N49:N516),IF($G$49:$G$516="Equity",0,1)), 0)</f>
        <v>0.66103184640162871</v>
      </c>
      <c r="J34" s="270" cm="1">
        <f t="array" ref="J34">IFERROR(
SUMPRODUCT(IF($F$49:$F$516="Comm_Intl",1,0),IF($G$49:$G$516="Loan",1,0),IF($B$5="Local Currency",M49:M516,N49:N516),Y49:Y516)/
SUMPRODUCT(IF($F$49:$F$516="Comm_Intl",1,0),IF($G$49:$G$516="Loan",1,0),IF($B$5="Local Currency",M49:M516,N49:N516),IF($G$49:$G$516="Equity",0,1)), 0)</f>
        <v>0.33896815359837118</v>
      </c>
      <c r="K34" s="279" t="s">
        <v>373</v>
      </c>
      <c r="L34" s="281">
        <f>IFERROR((SUMIF(F49:F516, "Comm_Intl", IF($B$5="Local Currency",M49:M516,IF($B$5="Local Currency",M49:M516,N49:N516))) + SUMIF(F49:F516, "Conc_IFI", IF($B$5="Local Currency",M49:M516,IF($B$5="Local Currency",M49:M516,N49:N516)))) / B16, 0)</f>
        <v>0.8656263070017588</v>
      </c>
      <c r="N34" s="147"/>
      <c r="O34" s="150"/>
      <c r="U34" s="244"/>
      <c r="V34" s="245"/>
      <c r="W34" s="245"/>
      <c r="X34" s="246"/>
      <c r="Y34" s="246"/>
      <c r="Z34" s="246"/>
      <c r="AA34" s="246"/>
      <c r="AB34" s="242"/>
      <c r="AC34" s="242"/>
      <c r="AD34" s="143"/>
      <c r="AE34" s="143"/>
      <c r="AF34" s="248"/>
      <c r="AI34" s="219"/>
      <c r="AL34" s="147"/>
    </row>
    <row r="35" spans="1:174" ht="14.65" thickBot="1">
      <c r="A35" s="253" t="s">
        <v>300</v>
      </c>
      <c r="B35" s="262">
        <f>IF($B$5="Local Currency",SUMIFS(M49:M516,F49:F516,"Comm_Dom",G49:G516,"Loan"),SUMIFS(IF($B$5="Local Currency",M49:M516,N49:N516),F49:F516,"Comm_Dom",G49:G516,"Loan"))</f>
        <v>51.4</v>
      </c>
      <c r="C35" s="271" cm="1">
        <f t="array" ref="C35">IFERROR(
SUMPRODUCT(IF($F$49:$F$516="Comm_Dom",1,0),IF($G$49:$G$516="Loan",1,0),IF($B$5="Local Currency",M49:M516,N49:N516),P49:P516)/
SUMPRODUCT(IF($F$49:$F$516="Comm_Dom",1,0),IF($G$49:$G$516="Loan",1,0),IF($B$5="Local Currency",M49:M516,N49:N516)), 0)</f>
        <v>0.15091335371005937</v>
      </c>
      <c r="D35" s="272" cm="1">
        <f t="array" ref="D35">IFERROR(
SUMPRODUCT(IF($F$49:$F$516="Comm_Dom",1,0),IF($G$49:$G$516="Loan",1,0),IF($B$5="Local Currency",M49:M516,N49:N516),Q49:Q516)/
SUMPRODUCT(IF($F$49:$F$516="Comm_Dom",1,0),IF($G$49:$G$516="Loan",1,0),IF($B$5="Local Currency",M49:M516,N49:N516)), 0)</f>
        <v>18.540856031128406</v>
      </c>
      <c r="E35" s="272" cm="1">
        <f t="array" ref="E35">IFERROR(
SUMPRODUCT(IF($F$49:$F$516="Comm_Dom",1,0),IF($G$49:$G$516="Loan",1,0),IF($B$5="Local Currency",M49:M516,N49:N516),S49:S516)/
SUMPRODUCT(IF($F$49:$F$516="Comm_Dom",1,0),IF($G$49:$G$516="Loan",1,0),IF($B$5="Local Currency",M49:M516,N49:N516)), 0)</f>
        <v>7.5194552529182879</v>
      </c>
      <c r="F35" s="273" cm="1">
        <f t="array" ref="F35">IFERROR(
SUMPRODUCT(IF($F$49:$F$516="Comm_Dom",1,0),IF($G$49:$G$516="Loan",1,0),IF($B$5="Local Currency",M49:M516,N49:N516),U49:U516)/
SUMPRODUCT(IF($F$49:$F$516="Comm_Dom",1,0),IF($G$49:$G$516="Loan",1,0),IF($B$5="Local Currency",M49:M516,N49:N516)), 0)</f>
        <v>6.4801122336637702</v>
      </c>
      <c r="G35" s="273" cm="1">
        <f t="array" aca="1" ref="G35" ca="1">IFERROR(
SUMPRODUCT(IF($F$49:$F$516="Comm_Dom",1,0),IF($G$49:$G$516="Loan",1,0),IF($B$5="Local Currency",M49:M516,N49:N516),V49:V516)/
SUMPRODUCT(IF($F$49:$F$516="Comm_Dom",1,0),IF($G$49:$G$516="Loan",1,0),IF($B$5="Local Currency",M49:M516,N49:N516)), 0)</f>
        <v>5.5830528492192739</v>
      </c>
      <c r="H35" s="273" cm="1">
        <f t="array" aca="1" ref="H35" ca="1">IFERROR(
SUMPRODUCT(IF($F$49:$F$516="Comm_Dom",1,0),IF($G$49:$G$516="Loan",1,0),IF($B$5="Local Currency",M49:M516,N49:N516),W49:W516)/
SUMPRODUCT(IF($F$49:$F$516="Comm_Dom",1,0),IF($G$49:$G$516="Loan",1,0),IF($B$5="Local Currency",M49:M516,N49:N516)), 0)</f>
        <v>109.48756033018762</v>
      </c>
      <c r="I35" s="274" cm="1">
        <f t="array" ref="I35">IFERROR(
SUMPRODUCT(IF($F$49:$F$516="Comm_Dom",1,0),IF($G$49:$G$516="Loan",1,0),IF($B$5="Local Currency",M49:M516,N49:N516),X49:X516)/
SUMPRODUCT(IF($F$49:$F$516="Comm_Dom",1,0),IF($G$49:$G$516="Loan",1,0),IF($B$5="Local Currency",M49:M516,N49:N516),IF($G$49:$G$516="Equity",0,1)), 0)</f>
        <v>0.75238729752096856</v>
      </c>
      <c r="J35" s="274" cm="1">
        <f t="array" ref="J35">IFERROR(
SUMPRODUCT(IF($F$49:$F$516="Comm_Dom",1,0),IF($G$49:$G$516="Loan",1,0),IF($B$5="Local Currency",M49:M516,N49:N516),Y49:Y516)/
SUMPRODUCT(IF($F$49:$F$516="Comm_Dom",1,0),IF($G$49:$G$516="Loan",1,0),IF($B$5="Local Currency",M49:M516,N49:N516),IF($G$49:$G$516="Equity",0,1)), 0)</f>
        <v>0.24761270247903155</v>
      </c>
      <c r="K35" s="295"/>
      <c r="L35" s="282"/>
      <c r="N35" s="147"/>
      <c r="O35" s="150"/>
      <c r="U35" s="244"/>
      <c r="V35" s="245"/>
      <c r="W35" s="245"/>
      <c r="X35" s="246"/>
      <c r="Y35" s="246"/>
      <c r="Z35" s="246"/>
      <c r="AA35" s="246"/>
      <c r="AB35" s="242"/>
      <c r="AC35" s="242"/>
      <c r="AD35" s="143"/>
      <c r="AE35" s="143"/>
      <c r="AF35" s="248"/>
      <c r="AI35" s="219"/>
      <c r="AL35" s="147"/>
    </row>
    <row r="36" spans="1:174">
      <c r="F36" s="139"/>
      <c r="G36" s="139"/>
      <c r="H36" s="139"/>
      <c r="I36" s="139"/>
      <c r="J36" s="139"/>
      <c r="K36" s="139"/>
      <c r="L36" s="139"/>
      <c r="M36" s="139"/>
      <c r="N36" s="139"/>
      <c r="O36" s="139"/>
      <c r="P36" s="139"/>
      <c r="U36" s="139"/>
    </row>
    <row r="37" spans="1:174" ht="44.25" customHeight="1" thickBot="1">
      <c r="A37" s="322" t="s">
        <v>374</v>
      </c>
      <c r="B37" s="287" t="s">
        <v>375</v>
      </c>
      <c r="C37" s="288" t="s">
        <v>56</v>
      </c>
      <c r="D37" s="289">
        <v>2010</v>
      </c>
      <c r="E37" s="289">
        <v>2011</v>
      </c>
      <c r="F37" s="289">
        <v>2012</v>
      </c>
      <c r="G37" s="289">
        <v>2013</v>
      </c>
      <c r="H37" s="289">
        <v>2014</v>
      </c>
      <c r="I37" s="289">
        <v>2015</v>
      </c>
      <c r="J37" s="289">
        <v>2016</v>
      </c>
      <c r="K37" s="289">
        <v>2017</v>
      </c>
      <c r="L37" s="289">
        <v>2018</v>
      </c>
      <c r="M37" s="289">
        <v>2019</v>
      </c>
      <c r="N37" s="289">
        <v>2020</v>
      </c>
      <c r="O37" s="289">
        <v>2021</v>
      </c>
      <c r="P37" s="289">
        <v>2022</v>
      </c>
      <c r="Q37" s="289">
        <v>2023</v>
      </c>
      <c r="R37" s="289">
        <v>2024</v>
      </c>
      <c r="S37" s="289">
        <v>2025</v>
      </c>
      <c r="T37" s="289">
        <v>2026</v>
      </c>
      <c r="U37" s="289">
        <v>2027</v>
      </c>
      <c r="V37" s="289">
        <v>2028</v>
      </c>
      <c r="W37" s="289">
        <v>2029</v>
      </c>
      <c r="X37" s="289">
        <v>2030</v>
      </c>
      <c r="Y37" s="289">
        <v>2031</v>
      </c>
      <c r="Z37" s="289">
        <v>2032</v>
      </c>
      <c r="AA37" s="289">
        <v>2033</v>
      </c>
      <c r="AB37" s="289">
        <v>2034</v>
      </c>
      <c r="AC37" s="289">
        <v>2035</v>
      </c>
      <c r="AD37" s="289">
        <v>2036</v>
      </c>
      <c r="AE37" s="289">
        <v>2037</v>
      </c>
      <c r="AF37" s="289">
        <v>2038</v>
      </c>
      <c r="AG37" s="289">
        <v>2039</v>
      </c>
      <c r="AH37" s="289">
        <v>2040</v>
      </c>
      <c r="AI37" s="289">
        <v>2041</v>
      </c>
      <c r="AJ37" s="289">
        <v>2042</v>
      </c>
      <c r="AK37" s="289">
        <v>2043</v>
      </c>
      <c r="AL37" s="289">
        <v>2044</v>
      </c>
      <c r="AM37" s="289">
        <v>2045</v>
      </c>
      <c r="AN37" s="289">
        <v>2046</v>
      </c>
      <c r="AO37" s="289">
        <v>2047</v>
      </c>
      <c r="AP37" s="289">
        <v>2048</v>
      </c>
      <c r="AQ37" s="289">
        <v>2049</v>
      </c>
      <c r="AR37" s="289">
        <v>2050</v>
      </c>
      <c r="AS37" s="289">
        <v>2051</v>
      </c>
      <c r="AT37" s="289">
        <v>2052</v>
      </c>
      <c r="AU37" s="289">
        <v>2053</v>
      </c>
      <c r="AV37" s="289">
        <v>2054</v>
      </c>
      <c r="AW37" s="289">
        <v>2055</v>
      </c>
      <c r="AX37" s="289">
        <v>2056</v>
      </c>
      <c r="AY37" s="289">
        <v>2057</v>
      </c>
      <c r="AZ37" s="289">
        <v>2058</v>
      </c>
      <c r="BA37" s="289">
        <v>2059</v>
      </c>
      <c r="BB37" s="289">
        <v>2060</v>
      </c>
      <c r="BC37" s="289">
        <v>2061</v>
      </c>
      <c r="BD37" s="289">
        <v>2062</v>
      </c>
      <c r="BE37" s="289">
        <v>2063</v>
      </c>
      <c r="BF37" s="289">
        <v>2064</v>
      </c>
      <c r="BG37" s="289">
        <v>2065</v>
      </c>
      <c r="BH37" s="289">
        <v>2066</v>
      </c>
      <c r="BI37" s="289">
        <v>2067</v>
      </c>
      <c r="BJ37" s="289">
        <v>2068</v>
      </c>
      <c r="BK37" s="289">
        <v>2069</v>
      </c>
      <c r="BL37" s="289">
        <v>2070</v>
      </c>
    </row>
    <row r="38" spans="1:174">
      <c r="A38" s="290" t="s">
        <v>284</v>
      </c>
      <c r="B38" s="291" t="s">
        <v>376</v>
      </c>
      <c r="C38" s="292" t="s">
        <v>110</v>
      </c>
      <c r="D38" s="293">
        <v>1</v>
      </c>
      <c r="E38" s="293">
        <v>1</v>
      </c>
      <c r="F38" s="293">
        <v>1</v>
      </c>
      <c r="G38" s="293">
        <v>1</v>
      </c>
      <c r="H38" s="293">
        <v>1</v>
      </c>
      <c r="I38" s="293">
        <v>1</v>
      </c>
      <c r="J38" s="293">
        <v>1</v>
      </c>
      <c r="K38" s="293">
        <v>1</v>
      </c>
      <c r="L38" s="293">
        <v>1</v>
      </c>
      <c r="M38" s="293">
        <v>1</v>
      </c>
      <c r="N38" s="293">
        <v>1</v>
      </c>
      <c r="O38" s="293">
        <v>1</v>
      </c>
      <c r="P38" s="293">
        <v>1</v>
      </c>
      <c r="Q38" s="293">
        <v>1</v>
      </c>
      <c r="R38" s="293">
        <v>1</v>
      </c>
      <c r="S38" s="293">
        <v>1</v>
      </c>
      <c r="T38" s="293">
        <v>1</v>
      </c>
      <c r="U38" s="293">
        <v>1</v>
      </c>
      <c r="V38" s="293">
        <v>1</v>
      </c>
      <c r="W38" s="293">
        <v>1</v>
      </c>
      <c r="X38" s="293">
        <v>1</v>
      </c>
      <c r="Y38" s="293">
        <v>1</v>
      </c>
      <c r="Z38" s="293">
        <v>1</v>
      </c>
      <c r="AA38" s="293">
        <v>1</v>
      </c>
      <c r="AB38" s="293">
        <v>1</v>
      </c>
      <c r="AC38" s="293">
        <v>1</v>
      </c>
      <c r="AD38" s="293">
        <v>1</v>
      </c>
      <c r="AE38" s="293">
        <v>1</v>
      </c>
      <c r="AF38" s="293">
        <v>1</v>
      </c>
      <c r="AG38" s="293">
        <v>1</v>
      </c>
      <c r="AH38" s="293">
        <v>1</v>
      </c>
      <c r="AI38" s="293">
        <v>1</v>
      </c>
      <c r="AJ38" s="293">
        <v>1</v>
      </c>
      <c r="AK38" s="293">
        <v>1</v>
      </c>
      <c r="AL38" s="293">
        <v>1</v>
      </c>
      <c r="AM38" s="293">
        <v>1</v>
      </c>
      <c r="AN38" s="293">
        <v>1</v>
      </c>
      <c r="AO38" s="293">
        <v>1</v>
      </c>
      <c r="AP38" s="293">
        <v>1</v>
      </c>
      <c r="AQ38" s="293">
        <v>1</v>
      </c>
      <c r="AR38" s="293">
        <v>1</v>
      </c>
      <c r="AS38" s="293">
        <v>1</v>
      </c>
      <c r="AT38" s="293">
        <v>1</v>
      </c>
      <c r="AU38" s="293">
        <v>1</v>
      </c>
      <c r="AV38" s="293">
        <v>1</v>
      </c>
      <c r="AW38" s="293">
        <v>1</v>
      </c>
      <c r="AX38" s="293">
        <v>1</v>
      </c>
      <c r="AY38" s="293">
        <v>1</v>
      </c>
      <c r="AZ38" s="293">
        <v>1</v>
      </c>
      <c r="BA38" s="293">
        <v>1</v>
      </c>
      <c r="BB38" s="293">
        <v>1</v>
      </c>
      <c r="BC38" s="293">
        <v>1</v>
      </c>
      <c r="BD38" s="293">
        <v>1</v>
      </c>
      <c r="BE38" s="293">
        <v>1</v>
      </c>
      <c r="BF38" s="293">
        <v>1</v>
      </c>
      <c r="BG38" s="293">
        <v>1</v>
      </c>
      <c r="BH38" s="293">
        <v>1</v>
      </c>
      <c r="BI38" s="293">
        <v>1</v>
      </c>
      <c r="BJ38" s="293">
        <v>1</v>
      </c>
      <c r="BK38" s="293">
        <v>1</v>
      </c>
      <c r="BL38" s="293">
        <v>1</v>
      </c>
    </row>
    <row r="39" spans="1:174">
      <c r="A39" s="137" t="s">
        <v>377</v>
      </c>
      <c r="B39" s="138" t="s">
        <v>378</v>
      </c>
      <c r="C39" s="151" t="s">
        <v>379</v>
      </c>
      <c r="D39" s="152">
        <v>1</v>
      </c>
      <c r="E39" s="152">
        <v>1</v>
      </c>
      <c r="F39" s="152">
        <v>1</v>
      </c>
      <c r="G39" s="152">
        <v>1</v>
      </c>
      <c r="H39" s="152">
        <v>1</v>
      </c>
      <c r="I39" s="152">
        <v>1</v>
      </c>
      <c r="J39" s="152">
        <v>1</v>
      </c>
      <c r="K39" s="152">
        <v>1</v>
      </c>
      <c r="L39" s="152">
        <v>1</v>
      </c>
      <c r="M39" s="152">
        <v>1</v>
      </c>
      <c r="N39" s="152">
        <v>1</v>
      </c>
      <c r="O39" s="152">
        <v>1</v>
      </c>
      <c r="P39" s="152">
        <v>1</v>
      </c>
      <c r="Q39" s="152">
        <v>1</v>
      </c>
      <c r="R39" s="152">
        <v>1</v>
      </c>
      <c r="S39" s="152">
        <v>1</v>
      </c>
      <c r="T39" s="152">
        <v>1</v>
      </c>
      <c r="U39" s="152">
        <v>1</v>
      </c>
      <c r="V39" s="152">
        <v>1</v>
      </c>
      <c r="W39" s="152">
        <v>1</v>
      </c>
      <c r="X39" s="152">
        <v>1</v>
      </c>
      <c r="Y39" s="152">
        <v>1</v>
      </c>
      <c r="Z39" s="152">
        <v>1</v>
      </c>
      <c r="AA39" s="152">
        <v>1</v>
      </c>
      <c r="AB39" s="152">
        <v>1</v>
      </c>
      <c r="AC39" s="152">
        <v>1</v>
      </c>
      <c r="AD39" s="152">
        <v>1</v>
      </c>
      <c r="AE39" s="152">
        <v>1</v>
      </c>
      <c r="AF39" s="152">
        <v>1</v>
      </c>
      <c r="AG39" s="152">
        <v>1</v>
      </c>
      <c r="AH39" s="152">
        <v>1</v>
      </c>
      <c r="AI39" s="152">
        <v>1</v>
      </c>
      <c r="AJ39" s="152">
        <v>1</v>
      </c>
      <c r="AK39" s="152">
        <v>1</v>
      </c>
      <c r="AL39" s="152">
        <v>1</v>
      </c>
      <c r="AM39" s="152">
        <v>1</v>
      </c>
      <c r="AN39" s="152">
        <v>1</v>
      </c>
      <c r="AO39" s="152">
        <v>1</v>
      </c>
      <c r="AP39" s="152">
        <v>1</v>
      </c>
      <c r="AQ39" s="152">
        <v>1</v>
      </c>
      <c r="AR39" s="152">
        <v>1</v>
      </c>
      <c r="AS39" s="152">
        <v>1</v>
      </c>
      <c r="AT39" s="152">
        <v>1</v>
      </c>
      <c r="AU39" s="152">
        <v>1</v>
      </c>
      <c r="AV39" s="152">
        <v>1</v>
      </c>
      <c r="AW39" s="152">
        <v>1</v>
      </c>
      <c r="AX39" s="152">
        <v>1</v>
      </c>
      <c r="AY39" s="152">
        <v>1</v>
      </c>
      <c r="AZ39" s="152">
        <v>1</v>
      </c>
      <c r="BA39" s="152">
        <v>1</v>
      </c>
      <c r="BB39" s="152">
        <v>1</v>
      </c>
      <c r="BC39" s="152">
        <v>1</v>
      </c>
      <c r="BD39" s="152">
        <v>1</v>
      </c>
      <c r="BE39" s="152">
        <v>1</v>
      </c>
      <c r="BF39" s="152">
        <v>1</v>
      </c>
      <c r="BG39" s="152">
        <v>1</v>
      </c>
      <c r="BH39" s="152">
        <v>1</v>
      </c>
      <c r="BI39" s="152">
        <v>1</v>
      </c>
      <c r="BJ39" s="152">
        <v>1</v>
      </c>
      <c r="BK39" s="152">
        <v>1</v>
      </c>
      <c r="BL39" s="152">
        <v>1</v>
      </c>
    </row>
    <row r="40" spans="1:174">
      <c r="A40" s="153" t="s">
        <v>380</v>
      </c>
      <c r="B40" s="154"/>
      <c r="C40" s="155"/>
      <c r="D40" s="156"/>
      <c r="E40" s="156"/>
      <c r="F40" s="156"/>
      <c r="G40" s="156"/>
      <c r="H40" s="156"/>
      <c r="I40" s="156"/>
      <c r="J40" s="156"/>
      <c r="K40" s="156"/>
      <c r="L40" s="156"/>
      <c r="M40" s="156"/>
      <c r="N40" s="156"/>
      <c r="O40" s="156"/>
      <c r="P40" s="156"/>
      <c r="Q40" s="156"/>
      <c r="R40" s="156"/>
      <c r="S40" s="156"/>
      <c r="T40" s="156"/>
      <c r="U40" s="156"/>
      <c r="V40" s="156"/>
      <c r="W40" s="156"/>
      <c r="X40" s="156"/>
      <c r="Y40" s="156"/>
      <c r="Z40" s="156"/>
      <c r="AA40" s="156"/>
      <c r="AB40" s="156"/>
      <c r="AC40" s="156"/>
      <c r="AD40" s="156"/>
      <c r="AE40" s="156"/>
      <c r="AF40" s="156"/>
      <c r="AG40" s="156"/>
      <c r="AH40" s="156"/>
      <c r="AI40" s="156"/>
      <c r="AJ40" s="156"/>
      <c r="AK40" s="156"/>
      <c r="AL40" s="156"/>
      <c r="AM40" s="156"/>
      <c r="AN40" s="156"/>
      <c r="AO40" s="156"/>
      <c r="AP40" s="156"/>
      <c r="AQ40" s="156"/>
      <c r="AR40" s="156"/>
      <c r="AS40" s="156"/>
      <c r="AT40" s="156"/>
      <c r="AU40" s="156"/>
      <c r="AV40" s="156"/>
      <c r="AW40" s="156"/>
      <c r="AX40" s="156"/>
      <c r="AY40" s="156"/>
      <c r="AZ40" s="156"/>
      <c r="BA40" s="156"/>
      <c r="BB40" s="156"/>
      <c r="BC40" s="156"/>
      <c r="BD40" s="156"/>
      <c r="BE40" s="156"/>
      <c r="BF40" s="156"/>
      <c r="BG40" s="156"/>
      <c r="BH40" s="156"/>
      <c r="BI40" s="156"/>
      <c r="BJ40" s="156"/>
      <c r="BK40" s="156"/>
      <c r="BL40" s="156"/>
    </row>
    <row r="41" spans="1:174">
      <c r="A41" s="153" t="s">
        <v>381</v>
      </c>
      <c r="B41" s="154"/>
      <c r="C41" s="155"/>
      <c r="D41" s="156"/>
      <c r="E41" s="156"/>
      <c r="F41" s="156"/>
      <c r="G41" s="156"/>
      <c r="H41" s="156"/>
      <c r="I41" s="156"/>
      <c r="J41" s="156"/>
      <c r="K41" s="156"/>
      <c r="L41" s="156"/>
      <c r="M41" s="156"/>
      <c r="N41" s="156"/>
      <c r="O41" s="156"/>
      <c r="P41" s="156"/>
      <c r="Q41" s="156"/>
      <c r="R41" s="156"/>
      <c r="S41" s="156"/>
      <c r="T41" s="156"/>
      <c r="U41" s="156"/>
      <c r="V41" s="156"/>
      <c r="W41" s="156"/>
      <c r="X41" s="156"/>
      <c r="Y41" s="156"/>
      <c r="Z41" s="156"/>
      <c r="AA41" s="156"/>
      <c r="AB41" s="156"/>
      <c r="AC41" s="156"/>
      <c r="AD41" s="156"/>
      <c r="AE41" s="156"/>
      <c r="AF41" s="156"/>
      <c r="AG41" s="156"/>
      <c r="AH41" s="156"/>
      <c r="AI41" s="156"/>
      <c r="AJ41" s="156"/>
      <c r="AK41" s="156"/>
      <c r="AL41" s="156"/>
      <c r="AM41" s="156"/>
      <c r="AN41" s="156"/>
      <c r="AO41" s="156"/>
      <c r="AP41" s="156"/>
      <c r="AQ41" s="156"/>
      <c r="AR41" s="156"/>
      <c r="AS41" s="156"/>
      <c r="AT41" s="156"/>
      <c r="AU41" s="156"/>
      <c r="AV41" s="156"/>
      <c r="AW41" s="156"/>
      <c r="AX41" s="156"/>
      <c r="AY41" s="156"/>
      <c r="AZ41" s="156"/>
      <c r="BA41" s="156"/>
      <c r="BB41" s="156"/>
      <c r="BC41" s="156"/>
      <c r="BD41" s="156"/>
      <c r="BE41" s="156"/>
      <c r="BF41" s="156"/>
      <c r="BG41" s="156"/>
      <c r="BH41" s="156"/>
      <c r="BI41" s="156"/>
      <c r="BJ41" s="156"/>
      <c r="BK41" s="156"/>
      <c r="BL41" s="156"/>
    </row>
    <row r="42" spans="1:174">
      <c r="A42" s="153" t="s">
        <v>382</v>
      </c>
      <c r="B42" s="154"/>
      <c r="C42" s="155"/>
      <c r="D42" s="156"/>
      <c r="E42" s="156"/>
      <c r="F42" s="156"/>
      <c r="G42" s="156"/>
      <c r="H42" s="156"/>
      <c r="I42" s="156"/>
      <c r="J42" s="156"/>
      <c r="K42" s="156"/>
      <c r="L42" s="156"/>
      <c r="M42" s="156"/>
      <c r="N42" s="156"/>
      <c r="O42" s="156"/>
      <c r="P42" s="156"/>
      <c r="Q42" s="156"/>
      <c r="R42" s="156"/>
      <c r="S42" s="156"/>
      <c r="T42" s="156"/>
      <c r="U42" s="156"/>
      <c r="V42" s="156"/>
      <c r="W42" s="156"/>
      <c r="X42" s="156"/>
      <c r="Y42" s="156"/>
      <c r="Z42" s="156"/>
      <c r="AA42" s="156"/>
      <c r="AB42" s="156"/>
      <c r="AC42" s="156"/>
      <c r="AD42" s="156"/>
      <c r="AE42" s="156"/>
      <c r="AF42" s="156"/>
      <c r="AG42" s="156"/>
      <c r="AH42" s="156"/>
      <c r="AI42" s="156"/>
      <c r="AJ42" s="156"/>
      <c r="AK42" s="156"/>
      <c r="AL42" s="156"/>
      <c r="AM42" s="156"/>
      <c r="AN42" s="156"/>
      <c r="AO42" s="156"/>
      <c r="AP42" s="156"/>
      <c r="AQ42" s="156"/>
      <c r="AR42" s="156"/>
      <c r="AS42" s="156"/>
      <c r="AT42" s="156"/>
      <c r="AU42" s="156"/>
      <c r="AV42" s="156"/>
      <c r="AW42" s="156"/>
      <c r="AX42" s="156"/>
      <c r="AY42" s="156"/>
      <c r="AZ42" s="156"/>
      <c r="BA42" s="156"/>
      <c r="BB42" s="156"/>
      <c r="BC42" s="156"/>
      <c r="BD42" s="156"/>
      <c r="BE42" s="156"/>
      <c r="BF42" s="156"/>
      <c r="BG42" s="156"/>
      <c r="BH42" s="156"/>
      <c r="BI42" s="156"/>
      <c r="BJ42" s="156"/>
      <c r="BK42" s="156"/>
      <c r="BL42" s="156"/>
    </row>
    <row r="43" spans="1:174">
      <c r="A43" s="153" t="s">
        <v>383</v>
      </c>
      <c r="B43" s="154"/>
      <c r="C43" s="155"/>
      <c r="D43" s="156"/>
      <c r="E43" s="156"/>
      <c r="F43" s="156"/>
      <c r="G43" s="156"/>
      <c r="H43" s="156"/>
      <c r="I43" s="156"/>
      <c r="J43" s="156"/>
      <c r="K43" s="156"/>
      <c r="L43" s="156"/>
      <c r="M43" s="156"/>
      <c r="N43" s="156"/>
      <c r="O43" s="156"/>
      <c r="P43" s="156"/>
      <c r="Q43" s="156"/>
      <c r="R43" s="156"/>
      <c r="S43" s="156"/>
      <c r="T43" s="156"/>
      <c r="U43" s="156"/>
      <c r="V43" s="156"/>
      <c r="W43" s="156"/>
      <c r="X43" s="156"/>
      <c r="Y43" s="156"/>
      <c r="Z43" s="156"/>
      <c r="AA43" s="156"/>
      <c r="AB43" s="156"/>
      <c r="AC43" s="156"/>
      <c r="AD43" s="156"/>
      <c r="AE43" s="156"/>
      <c r="AF43" s="156"/>
      <c r="AG43" s="156"/>
      <c r="AH43" s="156"/>
      <c r="AI43" s="156"/>
      <c r="AJ43" s="156"/>
      <c r="AK43" s="156"/>
      <c r="AL43" s="156"/>
      <c r="AM43" s="156"/>
      <c r="AN43" s="156"/>
      <c r="AO43" s="156"/>
      <c r="AP43" s="156"/>
      <c r="AQ43" s="156"/>
      <c r="AR43" s="156"/>
      <c r="AS43" s="156"/>
      <c r="AT43" s="156"/>
      <c r="AU43" s="156"/>
      <c r="AV43" s="156"/>
      <c r="AW43" s="156"/>
      <c r="AX43" s="156"/>
      <c r="AY43" s="156"/>
      <c r="AZ43" s="156"/>
      <c r="BA43" s="156"/>
      <c r="BB43" s="156"/>
      <c r="BC43" s="156"/>
      <c r="BD43" s="156"/>
      <c r="BE43" s="156"/>
      <c r="BF43" s="156"/>
      <c r="BG43" s="156"/>
      <c r="BH43" s="156"/>
      <c r="BI43" s="156"/>
      <c r="BJ43" s="156"/>
      <c r="BK43" s="156"/>
      <c r="BL43" s="156"/>
    </row>
    <row r="44" spans="1:174">
      <c r="A44" s="153" t="s">
        <v>384</v>
      </c>
      <c r="B44" s="154"/>
      <c r="C44" s="155"/>
      <c r="D44" s="156"/>
      <c r="E44" s="156"/>
      <c r="F44" s="156"/>
      <c r="G44" s="156"/>
      <c r="H44" s="156"/>
      <c r="I44" s="156"/>
      <c r="J44" s="156"/>
      <c r="K44" s="156"/>
      <c r="L44" s="156"/>
      <c r="M44" s="156"/>
      <c r="N44" s="156"/>
      <c r="O44" s="156"/>
      <c r="P44" s="156"/>
      <c r="Q44" s="156"/>
      <c r="R44" s="156"/>
      <c r="S44" s="156"/>
      <c r="T44" s="156"/>
      <c r="U44" s="156"/>
      <c r="V44" s="156"/>
      <c r="W44" s="156"/>
      <c r="X44" s="156"/>
      <c r="Y44" s="156"/>
      <c r="Z44" s="156"/>
      <c r="AA44" s="156"/>
      <c r="AB44" s="156"/>
      <c r="AC44" s="156"/>
      <c r="AD44" s="156"/>
      <c r="AE44" s="156"/>
      <c r="AF44" s="156"/>
      <c r="AG44" s="156"/>
      <c r="AH44" s="156"/>
      <c r="AI44" s="156"/>
      <c r="AJ44" s="156"/>
      <c r="AK44" s="156"/>
      <c r="AL44" s="156"/>
      <c r="AM44" s="156"/>
      <c r="AN44" s="156"/>
      <c r="AO44" s="156"/>
      <c r="AP44" s="156"/>
      <c r="AQ44" s="156"/>
      <c r="AR44" s="156"/>
      <c r="AS44" s="156"/>
      <c r="AT44" s="156"/>
      <c r="AU44" s="156"/>
      <c r="AV44" s="156"/>
      <c r="AW44" s="156"/>
      <c r="AX44" s="156"/>
      <c r="AY44" s="156"/>
      <c r="AZ44" s="156"/>
      <c r="BA44" s="156"/>
      <c r="BB44" s="156"/>
      <c r="BC44" s="156"/>
      <c r="BD44" s="156"/>
      <c r="BE44" s="156"/>
      <c r="BF44" s="156"/>
      <c r="BG44" s="156"/>
      <c r="BH44" s="156"/>
      <c r="BI44" s="156"/>
      <c r="BJ44" s="156"/>
      <c r="BK44" s="156"/>
      <c r="BL44" s="156"/>
    </row>
    <row r="45" spans="1:174">
      <c r="F45" s="139"/>
      <c r="G45" s="139"/>
      <c r="H45" s="139"/>
      <c r="I45" s="139"/>
      <c r="J45" s="139"/>
      <c r="K45" s="139"/>
      <c r="L45" s="139"/>
      <c r="M45" s="139"/>
      <c r="N45" s="139"/>
      <c r="O45" s="139"/>
      <c r="P45" s="139"/>
      <c r="U45" s="139"/>
    </row>
    <row r="46" spans="1:174" ht="44.25" customHeight="1">
      <c r="A46" s="297" t="s">
        <v>385</v>
      </c>
      <c r="B46" s="141"/>
      <c r="C46" s="141"/>
      <c r="D46" s="141"/>
      <c r="E46" s="141"/>
      <c r="F46" s="141"/>
      <c r="G46" s="141"/>
      <c r="H46" s="141"/>
      <c r="I46" s="141"/>
      <c r="J46" s="141"/>
      <c r="K46" s="141"/>
      <c r="L46" s="141"/>
      <c r="M46" s="141"/>
      <c r="N46" s="141"/>
      <c r="O46" s="141"/>
      <c r="P46" s="141"/>
      <c r="Q46" s="141"/>
      <c r="R46" s="141"/>
      <c r="S46" s="141"/>
      <c r="T46" s="141"/>
      <c r="U46" s="141"/>
      <c r="V46" s="141"/>
      <c r="W46" s="141"/>
      <c r="X46" s="141"/>
      <c r="Y46" s="141"/>
      <c r="Z46" s="141"/>
      <c r="AA46" s="141"/>
      <c r="AB46" s="141"/>
      <c r="AC46" s="141"/>
      <c r="AD46" s="141"/>
      <c r="AE46" s="141"/>
      <c r="AF46" s="141"/>
      <c r="AG46" s="142"/>
      <c r="AH46" s="142"/>
      <c r="AI46" s="142"/>
      <c r="AJ46" s="142"/>
      <c r="AK46" s="142"/>
      <c r="AL46" s="142"/>
      <c r="AM46" s="142"/>
      <c r="AN46" s="142"/>
      <c r="AO46" s="142"/>
      <c r="AP46" s="142"/>
      <c r="AQ46" s="142"/>
      <c r="AR46" s="142"/>
      <c r="AS46" s="142"/>
      <c r="AT46" s="142"/>
      <c r="AU46" s="142"/>
      <c r="AV46" s="142"/>
      <c r="AW46" s="142"/>
      <c r="AX46" s="142"/>
      <c r="AY46" s="142"/>
      <c r="AZ46" s="142"/>
      <c r="BA46" s="142"/>
      <c r="BB46" s="142"/>
      <c r="BC46" s="142"/>
      <c r="BD46" s="142"/>
      <c r="BE46" s="142"/>
      <c r="BF46" s="142"/>
      <c r="BG46" s="142"/>
      <c r="BH46" s="142"/>
      <c r="BI46" s="142"/>
      <c r="BJ46" s="142"/>
      <c r="BK46" s="142"/>
      <c r="BL46" s="142"/>
      <c r="BM46" s="142"/>
      <c r="BN46" s="142"/>
      <c r="BO46" s="142"/>
      <c r="BP46" s="142"/>
      <c r="BQ46" s="142"/>
      <c r="BR46" s="142"/>
      <c r="BS46" s="142"/>
      <c r="BT46" s="142"/>
      <c r="BU46" s="142"/>
      <c r="BV46" s="142"/>
      <c r="BW46" s="142"/>
      <c r="BX46" s="142"/>
      <c r="BY46" s="142"/>
      <c r="BZ46" s="142"/>
      <c r="CA46" s="142"/>
      <c r="CB46" s="142"/>
      <c r="CC46" s="142"/>
      <c r="CD46" s="142"/>
      <c r="CE46" s="142"/>
      <c r="CF46" s="142"/>
      <c r="CG46" s="142"/>
      <c r="CH46" s="142"/>
      <c r="CI46" s="142"/>
      <c r="CK46" s="142"/>
      <c r="CL46" s="142"/>
      <c r="CM46" s="142"/>
      <c r="CN46" s="142"/>
      <c r="CO46" s="142"/>
      <c r="CP46" s="142"/>
      <c r="CQ46" s="142"/>
      <c r="CR46" s="142"/>
      <c r="CS46" s="142"/>
      <c r="CT46" s="142"/>
      <c r="CU46" s="142"/>
      <c r="CV46" s="142"/>
      <c r="CW46" s="142"/>
      <c r="CX46" s="142"/>
      <c r="CY46" s="142"/>
      <c r="CZ46" s="142"/>
      <c r="DA46" s="142"/>
      <c r="DB46" s="142"/>
      <c r="DC46" s="142"/>
      <c r="DD46" s="142"/>
      <c r="DE46" s="142"/>
      <c r="DF46" s="142"/>
      <c r="DG46" s="142"/>
      <c r="DH46" s="142"/>
      <c r="DI46" s="142"/>
      <c r="DJ46" s="142"/>
      <c r="DK46" s="142"/>
      <c r="DL46" s="142"/>
      <c r="DM46" s="142"/>
      <c r="DN46" s="142"/>
      <c r="DO46" s="142"/>
      <c r="DP46" s="142"/>
      <c r="DQ46" s="142"/>
      <c r="DR46" s="142"/>
      <c r="DS46" s="142"/>
      <c r="DT46" s="142"/>
      <c r="DU46" s="142"/>
      <c r="DV46" s="142"/>
      <c r="DW46" s="142"/>
      <c r="DX46" s="142"/>
      <c r="DY46" s="142"/>
      <c r="DZ46" s="142"/>
      <c r="EA46" s="142"/>
      <c r="EB46" s="142"/>
      <c r="EC46" s="142"/>
      <c r="ED46" s="142"/>
      <c r="EE46" s="142"/>
      <c r="EF46" s="142"/>
      <c r="EG46" s="142"/>
      <c r="EH46" s="142"/>
      <c r="EI46" s="142"/>
      <c r="EJ46" s="142"/>
      <c r="EK46" s="142"/>
      <c r="EL46" s="142"/>
      <c r="EM46" s="142"/>
      <c r="EN46" s="142"/>
      <c r="EO46" s="142"/>
      <c r="EP46" s="142"/>
      <c r="EQ46" s="142"/>
      <c r="ER46" s="142"/>
      <c r="ES46" s="142"/>
    </row>
    <row r="47" spans="1:174">
      <c r="A47" s="157" t="s">
        <v>386</v>
      </c>
      <c r="B47" s="157"/>
      <c r="C47" s="157"/>
      <c r="D47" s="157"/>
      <c r="E47" s="157"/>
      <c r="F47" s="157"/>
      <c r="G47" s="157"/>
      <c r="H47" s="157"/>
      <c r="I47" s="157"/>
      <c r="J47" s="157"/>
      <c r="K47" s="158"/>
      <c r="L47" s="158"/>
      <c r="M47" s="158"/>
      <c r="N47" s="158"/>
      <c r="O47" s="158"/>
      <c r="P47" s="157"/>
      <c r="Q47" s="157"/>
      <c r="R47" s="157"/>
      <c r="S47" s="157"/>
      <c r="T47" s="157"/>
      <c r="U47" s="157"/>
      <c r="V47" s="157"/>
      <c r="W47" s="157"/>
      <c r="X47" s="157"/>
      <c r="Y47" s="159"/>
      <c r="Z47" s="157"/>
      <c r="AA47" s="738" t="s">
        <v>387</v>
      </c>
      <c r="AB47" s="738"/>
      <c r="AC47" s="738"/>
      <c r="AD47" s="738"/>
      <c r="AE47" s="738"/>
      <c r="CK47" s="737" t="s">
        <v>388</v>
      </c>
      <c r="CL47" s="737"/>
      <c r="CM47" s="737"/>
      <c r="CN47" s="737"/>
    </row>
    <row r="48" spans="1:174" s="327" customFormat="1" ht="18.399999999999999" thickBot="1">
      <c r="A48" s="323" t="s">
        <v>14</v>
      </c>
      <c r="B48" s="323" t="s">
        <v>20</v>
      </c>
      <c r="C48" s="323" t="s">
        <v>25</v>
      </c>
      <c r="D48" s="323" t="s">
        <v>31</v>
      </c>
      <c r="E48" s="324" t="s">
        <v>50</v>
      </c>
      <c r="F48" s="324" t="s">
        <v>36</v>
      </c>
      <c r="G48" s="324" t="s">
        <v>43</v>
      </c>
      <c r="H48" s="324" t="s">
        <v>49</v>
      </c>
      <c r="I48" s="324" t="s">
        <v>55</v>
      </c>
      <c r="J48" s="324" t="s">
        <v>62</v>
      </c>
      <c r="K48" s="324" t="s">
        <v>37</v>
      </c>
      <c r="L48" s="324" t="s">
        <v>56</v>
      </c>
      <c r="M48" s="324" t="str">
        <f>"Volume in "&amp;C39</f>
        <v>Volume in KES</v>
      </c>
      <c r="N48" s="324" t="str">
        <f>"Volume in "&amp;C38</f>
        <v>Volume in USD</v>
      </c>
      <c r="O48" s="324" t="s">
        <v>389</v>
      </c>
      <c r="P48" s="324" t="s">
        <v>72</v>
      </c>
      <c r="Q48" s="324" t="s">
        <v>76</v>
      </c>
      <c r="R48" s="324" t="s">
        <v>390</v>
      </c>
      <c r="S48" s="324" t="s">
        <v>82</v>
      </c>
      <c r="T48" s="324" t="s">
        <v>86</v>
      </c>
      <c r="U48" s="324" t="s">
        <v>357</v>
      </c>
      <c r="V48" s="324" t="s">
        <v>358</v>
      </c>
      <c r="W48" s="324" t="s">
        <v>359</v>
      </c>
      <c r="X48" s="324" t="s">
        <v>367</v>
      </c>
      <c r="Y48" s="323" t="s">
        <v>368</v>
      </c>
      <c r="Z48" s="323" t="s">
        <v>391</v>
      </c>
      <c r="AA48" s="563">
        <v>2010</v>
      </c>
      <c r="AB48" s="563">
        <v>2011</v>
      </c>
      <c r="AC48" s="563">
        <v>2012</v>
      </c>
      <c r="AD48" s="563">
        <v>2013</v>
      </c>
      <c r="AE48" s="563">
        <v>2014</v>
      </c>
      <c r="AF48" s="563">
        <v>2015</v>
      </c>
      <c r="AG48" s="563">
        <v>2016</v>
      </c>
      <c r="AH48" s="563">
        <v>2017</v>
      </c>
      <c r="AI48" s="563">
        <v>2018</v>
      </c>
      <c r="AJ48" s="563">
        <v>2019</v>
      </c>
      <c r="AK48" s="563">
        <v>2020</v>
      </c>
      <c r="AL48" s="563">
        <v>2021</v>
      </c>
      <c r="AM48" s="563">
        <v>2022</v>
      </c>
      <c r="AN48" s="563">
        <v>2023</v>
      </c>
      <c r="AO48" s="563">
        <v>2024</v>
      </c>
      <c r="AP48" s="563">
        <v>2025</v>
      </c>
      <c r="AQ48" s="563">
        <v>2026</v>
      </c>
      <c r="AR48" s="563">
        <v>2027</v>
      </c>
      <c r="AS48" s="563">
        <v>2028</v>
      </c>
      <c r="AT48" s="563">
        <v>2029</v>
      </c>
      <c r="AU48" s="563">
        <v>2030</v>
      </c>
      <c r="AV48" s="563">
        <v>2031</v>
      </c>
      <c r="AW48" s="563">
        <v>2032</v>
      </c>
      <c r="AX48" s="563">
        <v>2033</v>
      </c>
      <c r="AY48" s="563">
        <v>2034</v>
      </c>
      <c r="AZ48" s="563">
        <v>2035</v>
      </c>
      <c r="BA48" s="563">
        <v>2036</v>
      </c>
      <c r="BB48" s="563">
        <v>2037</v>
      </c>
      <c r="BC48" s="563">
        <v>2038</v>
      </c>
      <c r="BD48" s="563">
        <v>2039</v>
      </c>
      <c r="BE48" s="563">
        <v>2040</v>
      </c>
      <c r="BF48" s="563">
        <v>2041</v>
      </c>
      <c r="BG48" s="563">
        <v>2042</v>
      </c>
      <c r="BH48" s="563">
        <v>2043</v>
      </c>
      <c r="BI48" s="563">
        <v>2044</v>
      </c>
      <c r="BJ48" s="563">
        <v>2045</v>
      </c>
      <c r="BK48" s="563">
        <v>2046</v>
      </c>
      <c r="BL48" s="563">
        <v>2047</v>
      </c>
      <c r="BM48" s="563">
        <v>2048</v>
      </c>
      <c r="BN48" s="563">
        <v>2049</v>
      </c>
      <c r="BO48" s="563">
        <v>2050</v>
      </c>
      <c r="BP48" s="563">
        <v>2051</v>
      </c>
      <c r="BQ48" s="563">
        <v>2052</v>
      </c>
      <c r="BR48" s="563">
        <v>2053</v>
      </c>
      <c r="BS48" s="563">
        <v>2054</v>
      </c>
      <c r="BT48" s="563">
        <v>2055</v>
      </c>
      <c r="BU48" s="563">
        <v>2056</v>
      </c>
      <c r="BV48" s="563">
        <v>2057</v>
      </c>
      <c r="BW48" s="563">
        <v>2058</v>
      </c>
      <c r="BX48" s="563">
        <v>2059</v>
      </c>
      <c r="BY48" s="563">
        <v>2060</v>
      </c>
      <c r="BZ48" s="563">
        <v>2061</v>
      </c>
      <c r="CA48" s="563">
        <v>2062</v>
      </c>
      <c r="CB48" s="563">
        <v>2063</v>
      </c>
      <c r="CC48" s="563">
        <v>2064</v>
      </c>
      <c r="CD48" s="563">
        <v>2065</v>
      </c>
      <c r="CE48" s="563">
        <v>2066</v>
      </c>
      <c r="CF48" s="563">
        <v>2067</v>
      </c>
      <c r="CG48" s="563">
        <v>2068</v>
      </c>
      <c r="CH48" s="563">
        <v>2069</v>
      </c>
      <c r="CI48" s="563">
        <v>2070</v>
      </c>
      <c r="CJ48" s="325"/>
      <c r="CK48" s="564">
        <v>2010</v>
      </c>
      <c r="CL48" s="564">
        <v>2011</v>
      </c>
      <c r="CM48" s="564">
        <v>2012</v>
      </c>
      <c r="CN48" s="564">
        <v>2013</v>
      </c>
      <c r="CO48" s="564">
        <v>2014</v>
      </c>
      <c r="CP48" s="564">
        <v>2015</v>
      </c>
      <c r="CQ48" s="564">
        <v>2016</v>
      </c>
      <c r="CR48" s="564">
        <v>2017</v>
      </c>
      <c r="CS48" s="564">
        <v>2018</v>
      </c>
      <c r="CT48" s="564">
        <v>2019</v>
      </c>
      <c r="CU48" s="564">
        <v>2020</v>
      </c>
      <c r="CV48" s="564">
        <v>2021</v>
      </c>
      <c r="CW48" s="564">
        <v>2022</v>
      </c>
      <c r="CX48" s="564">
        <v>2023</v>
      </c>
      <c r="CY48" s="564">
        <v>2024</v>
      </c>
      <c r="CZ48" s="564">
        <v>2025</v>
      </c>
      <c r="DA48" s="564">
        <v>2026</v>
      </c>
      <c r="DB48" s="564">
        <v>2027</v>
      </c>
      <c r="DC48" s="564">
        <v>2028</v>
      </c>
      <c r="DD48" s="564">
        <v>2029</v>
      </c>
      <c r="DE48" s="564">
        <v>2030</v>
      </c>
      <c r="DF48" s="564">
        <v>2031</v>
      </c>
      <c r="DG48" s="564">
        <v>2032</v>
      </c>
      <c r="DH48" s="564">
        <v>2033</v>
      </c>
      <c r="DI48" s="564">
        <v>2034</v>
      </c>
      <c r="DJ48" s="564">
        <v>2035</v>
      </c>
      <c r="DK48" s="564">
        <v>2036</v>
      </c>
      <c r="DL48" s="564">
        <v>2037</v>
      </c>
      <c r="DM48" s="564">
        <v>2038</v>
      </c>
      <c r="DN48" s="564">
        <v>2039</v>
      </c>
      <c r="DO48" s="564">
        <v>2040</v>
      </c>
      <c r="DP48" s="564">
        <v>2041</v>
      </c>
      <c r="DQ48" s="564">
        <v>2042</v>
      </c>
      <c r="DR48" s="564">
        <v>2043</v>
      </c>
      <c r="DS48" s="564">
        <v>2044</v>
      </c>
      <c r="DT48" s="564">
        <v>2045</v>
      </c>
      <c r="DU48" s="564">
        <v>2046</v>
      </c>
      <c r="DV48" s="564">
        <v>2047</v>
      </c>
      <c r="DW48" s="564">
        <v>2048</v>
      </c>
      <c r="DX48" s="564">
        <v>2049</v>
      </c>
      <c r="DY48" s="564">
        <v>2050</v>
      </c>
      <c r="DZ48" s="564">
        <v>2051</v>
      </c>
      <c r="EA48" s="564">
        <v>2052</v>
      </c>
      <c r="EB48" s="564">
        <v>2053</v>
      </c>
      <c r="EC48" s="564">
        <v>2054</v>
      </c>
      <c r="ED48" s="564">
        <v>2055</v>
      </c>
      <c r="EE48" s="564">
        <v>2056</v>
      </c>
      <c r="EF48" s="564">
        <v>2057</v>
      </c>
      <c r="EG48" s="564">
        <v>2058</v>
      </c>
      <c r="EH48" s="564">
        <v>2059</v>
      </c>
      <c r="EI48" s="564">
        <v>2060</v>
      </c>
      <c r="EJ48" s="564">
        <v>2061</v>
      </c>
      <c r="EK48" s="564">
        <v>2062</v>
      </c>
      <c r="EL48" s="564">
        <v>2063</v>
      </c>
      <c r="EM48" s="564">
        <v>2064</v>
      </c>
      <c r="EN48" s="564">
        <v>2065</v>
      </c>
      <c r="EO48" s="564">
        <v>2066</v>
      </c>
      <c r="EP48" s="564">
        <v>2067</v>
      </c>
      <c r="EQ48" s="564">
        <v>2068</v>
      </c>
      <c r="ER48" s="564">
        <v>2069</v>
      </c>
      <c r="ES48" s="564">
        <v>2070</v>
      </c>
      <c r="ET48" s="326"/>
      <c r="EU48" s="326"/>
      <c r="EV48" s="326"/>
      <c r="EW48" s="326"/>
      <c r="EX48" s="326"/>
      <c r="EY48" s="326"/>
      <c r="EZ48" s="326"/>
      <c r="FA48" s="326"/>
      <c r="FB48" s="326"/>
      <c r="FC48" s="326"/>
      <c r="FD48" s="326"/>
      <c r="FE48" s="326"/>
      <c r="FF48" s="326"/>
      <c r="FG48" s="326"/>
      <c r="FH48" s="326"/>
      <c r="FI48" s="326"/>
      <c r="FJ48" s="326"/>
      <c r="FK48" s="326"/>
      <c r="FL48" s="326"/>
      <c r="FM48" s="326"/>
      <c r="FN48" s="326"/>
      <c r="FO48" s="326"/>
      <c r="FP48" s="326"/>
      <c r="FQ48" s="326"/>
      <c r="FR48" s="326"/>
    </row>
    <row r="49" spans="1:149">
      <c r="A49" s="139" t="s">
        <v>392</v>
      </c>
      <c r="B49" s="160" t="s">
        <v>393</v>
      </c>
      <c r="C49" s="161" t="s">
        <v>29</v>
      </c>
      <c r="D49" s="161" t="s">
        <v>394</v>
      </c>
      <c r="E49" s="160">
        <v>2014</v>
      </c>
      <c r="F49" s="161" t="s">
        <v>395</v>
      </c>
      <c r="G49" s="161" t="s">
        <v>289</v>
      </c>
      <c r="H49" s="161" t="s">
        <v>396</v>
      </c>
      <c r="I49" s="161" t="s">
        <v>176</v>
      </c>
      <c r="J49" s="161" t="s">
        <v>397</v>
      </c>
      <c r="K49" s="162">
        <v>42.75</v>
      </c>
      <c r="L49" s="163" t="s">
        <v>110</v>
      </c>
      <c r="M49" s="164">
        <f t="shared" ref="M49:M112" si="0">IFERROR(K49*HLOOKUP(E49,$C$37:$BL$39,3,FALSE)/VLOOKUP(L49,$C$37:$BJ$44,MATCH(E49,$C$37:$BL$37,0),FALSE),"")</f>
        <v>42.75</v>
      </c>
      <c r="N49" s="164">
        <f t="shared" ref="N49:N112" si="1">IFERROR(K49*HLOOKUP(E49,$C$37:$BL$39,2,FALSE)/VLOOKUP(L49,$C$37:$BJ$44,MATCH(E49,$C$37:$BL$37,0),FALSE),"")</f>
        <v>42.75</v>
      </c>
      <c r="O49" s="165">
        <f t="shared" ref="O49:O112" si="2">IFERROR(IF($B$5="Foreign Currency",HLOOKUP(E49,$D$37:$BL$39,2,FALSE)/VLOOKUP(L49,$C$38:$BJ$44,MATCH(E49,$C$37:$BL$37,0),FALSE),HLOOKUP(E49,$D$37:$BL$39,3,FALSE)/VLOOKUP(L49,$C$38:$BJ$44,MATCH(E49,$C$37:$BL$37,0),FALSE)),"")</f>
        <v>1</v>
      </c>
      <c r="P49" s="166">
        <v>0.16800000000000001</v>
      </c>
      <c r="Q49" s="167">
        <v>25</v>
      </c>
      <c r="R49" s="168">
        <f t="shared" ref="R49:R80" si="3">IFERROR(IF($Q49="","",IF(($Q49-($B$9-$E49))&lt;=0,0,(Q49-($B$9-$E49)))),"NA")</f>
        <v>15</v>
      </c>
      <c r="S49" s="169">
        <v>0</v>
      </c>
      <c r="T49" s="161" t="s">
        <v>398</v>
      </c>
      <c r="U49" s="171">
        <f t="shared" ref="U49:U112" si="4">IFERROR(SUM(AA49:CI49)/(Q49), 0)</f>
        <v>7.6034001199403045</v>
      </c>
      <c r="V49" s="171">
        <f t="shared" ref="V49:V112" ca="1" si="5">IFERROR(SUM(CK49:ES49)/(Q49),0)</f>
        <v>6.0198926681559763</v>
      </c>
      <c r="W49" s="171">
        <f t="shared" ref="W49:W111" ca="1" si="6">SUM(CK49:ES49)</f>
        <v>150.4973167038994</v>
      </c>
      <c r="X49" s="172">
        <f t="shared" ref="X49:X112" si="7">IFERROR(IF(T49="Equity", "Equity", 1-Y49), 0)</f>
        <v>0.94791174892528507</v>
      </c>
      <c r="Y49" s="172">
        <f t="shared" ref="Y49:Y112" si="8">IFERROR(IF(ISNUMBER(SEARCH("EPP",T49)),(1-((P49/$B$12)/(((1+$B$11)^(1/$B$12))-1)))  *  (1-  (((1/((1+((((1+$B$11)^(1/$B$12))-1)))^($B$12*S49)))-(1/((1+((((1+$B$11)^(1/$B$12))-1)))^($B$12*(Q49+S49)))))/(((((1+$B$11)^(1/$B$12))-1))*(($B$12*(Q49+S49))-($B$12*S49))))),IF(ISNUMBER(SEARCH("Lump",T49)),(1-((1+P49*(Q49+S49))/((1+$B$11)^(Q49+S49)))),IF((T49="Equity"),"Equity",""))),"ERROR")</f>
        <v>5.2088251074714924E-2</v>
      </c>
      <c r="Z49" s="173">
        <f t="shared" ref="Z49:Z112" si="9">SUM(AA49:CI49)</f>
        <v>190.0850029985076</v>
      </c>
      <c r="AA49" s="171">
        <f t="shared" ref="AA49:AJ58" si="10">IFERROR(
    IF($T49="Equity",
        IF(AND(AA$48&gt;=$E49, AA$48&lt;=($E49+$Q49)),
$K49*$P49*(VLOOKUP($C$39,$C$37:$BL$44,MATCH($E49,$C$37:$BL$37,0),FALSE)/VLOOKUP($L49,$C$37:$BL$44,MATCH($E49,$C$37:$BL$37,0),FALSE))*
IF($B$5="Foreign Currency",VLOOKUP($C$38,$C$37:$BL$44,MATCH(AA$48,$C$37:$BL$37,0),FALSE)/VLOOKUP($C$39,$C$37:$BL$44,MATCH(AA$48,$C$37:$BL$37,0),FALSE),1),
0),
    IF($T49="Lump Sum Principal",
        IF(AND(AA$48&gt;=$E49, AA$48&lt;($E49+$Q49)),
$K49*$P49*(VLOOKUP($C$39,$C$37:$BL$44,MATCH($E49,$C$37:$BL$37,0),FALSE)/VLOOKUP($L49,$C$37:$BL$44,MATCH($E49,$C$37:$BL$37,0),FALSE))*
IF($B$5="Foreign Currency",VLOOKUP($C$38,$C$37:$BL$44,MATCH(AA$48,$C$37:$BL$37,0),FALSE)/VLOOKUP($C$39,$C$37:$BL$44,MATCH(AA$48,$C$37:$BL$37,0),FALSE),1),
        IF(AA$48=($E49+$Q49),
$K49*(1+$P49)*(VLOOKUP($C$39,$C$37:$BL$44,MATCH($E49,$C$37:$BL$37,0),FALSE)/VLOOKUP($L49,$C$37:$BL$44,MATCH($E49,$C$37:$BL$37,0),FALSE))*
IF($B$5="Foreign Currency",VLOOKUP($C$38,$C$37:$BL$44,MATCH(AA$48,$C$37:$BL$37,0),FALSE)/VLOOKUP($C$39,$C$37:$BL$44,MATCH(AA$48,$C$37:$BL$37,0),FALSE),1),
0)),
    IF($T49="Lump Sum Principal and Interest",
        IF(AA$48=($E49+$Q49),
$K49*((1+$P49)^$Q49)*(VLOOKUP($C$39,$C$37:$BL$44,MATCH($E49,$C$37:$BL$37,0),FALSE)/VLOOKUP($L49,$C$37:$BL$44,MATCH($E49,$C$37:$BL$37,0),FALSE))*
IF($B$5="Foreign Currency",VLOOKUP($C$38,$C$37:$BL$44,MATCH(AA$48,$C$37:$BL$37,0),FALSE)/VLOOKUP($C$39,$C$37:$BL$44,MATCH(AA$48,$C$37:$BL$37,0),FALSE),1),
0),
    IF($T49="EPP with Grace Years for Principal",
        IF(AND(AA$48&gt;=$E49, AA$48&lt;($E49+$S49)),
$K49*$P49*(VLOOKUP($C$39,$C$37:$BL$44,MATCH($E49,$C$37:$BL$37,0),FALSE)/VLOOKUP($L49,$C$37:$BL$44,MATCH($E49,$C$37:$BL$37,0),FALSE))*
IF($B$5="Foreign Currency",VLOOKUP($C$38,$C$37:$BL$44,MATCH(AA$48,$C$37:$BL$37,0),FALSE)/VLOOKUP($C$39,$C$37:$BL$44,MATCH(AA$48,$C$37:$BL$37,0),FALSE),1),
        IF(AND(AA$48&gt;=($E49+$S49), AA$48&lt;=($E49+$Q49)),
-PMT($P49,($Q49-$S49+1),($K49*(VLOOKUP($C$39,$C$37:$BL$44,MATCH($E49,$C$37:$BL$37,0),FALSE)/VLOOKUP($L49,$C$37:$BL$44,MATCH($E49,$C$37:$BL$37,0),FALSE))*
IF($B$5="Foreign Currency",VLOOKUP($C$38,$C$37:$BL$44,MATCH(AA$48,$C$37:$BL$37,0),FALSE)/VLOOKUP($C$39,$C$37:$BL$44,MATCH(AA$48,$C$37:$BL$37,0),FALSE),1)),0),
0)),
    IF($T49="Equal Principal Payments (EPP)",
        IF(AND(AA$48&gt;=$E49, AA$48&lt;=($E49+$Q49)),
-PMT($P49,($Q49-$S49+1),($K49*(VLOOKUP($C$39,$C$37:$BL$44,MATCH($E49,$C$37:$BL$37,0),FALSE)/VLOOKUP($L49,$C$37:$BL$44,MATCH($E49,$C$37:$BL$37,0),FALSE))*
IF($B$5="Foreign Currency",VLOOKUP($C$38,$C$37:$BL$44,MATCH(AA$48,$C$37:$BL$37,0),FALSE)/VLOOKUP($C$39,$C$37:$BL$44,MATCH(AA$48,$C$37:$BL$37,0),FALSE),1)),0), 0),
    IF($T49="EPP with Grace Years for Principal and on Interest",
        IF(AND(AA$48&gt;=($E49+$S49), AA$48&lt;=($E49+$Q49)),
-PMT($P49,($Q49-$S49+1),($K49*(VLOOKUP($C$39,$C$37:$BL$44,MATCH($E49,$C$37:$BL$37,0),FALSE)/VLOOKUP($L49,$C$37:$BL$44,MATCH($E49,$C$37:$BL$37,0),FALSE))*
IF($B$5="Foreign Currency",VLOOKUP($C$38,$C$37:$BL$44,MATCH(AA$48,$C$37:$BL$37,0),FALSE)/VLOOKUP($C$39,$C$37:$BL$44,MATCH(AA$48,$C$37:$BL$37,0),FALSE),1))*((1+$P49)^$S49),0), 0),
    0)))))),"")</f>
        <v>0</v>
      </c>
      <c r="AB49" s="171">
        <f t="shared" si="10"/>
        <v>0</v>
      </c>
      <c r="AC49" s="171">
        <f t="shared" si="10"/>
        <v>0</v>
      </c>
      <c r="AD49" s="171">
        <f t="shared" si="10"/>
        <v>0</v>
      </c>
      <c r="AE49" s="171">
        <f t="shared" si="10"/>
        <v>7.3109616537887572</v>
      </c>
      <c r="AF49" s="171">
        <f t="shared" si="10"/>
        <v>7.3109616537887572</v>
      </c>
      <c r="AG49" s="171">
        <f t="shared" si="10"/>
        <v>7.3109616537887572</v>
      </c>
      <c r="AH49" s="171">
        <f t="shared" si="10"/>
        <v>7.3109616537887572</v>
      </c>
      <c r="AI49" s="171">
        <f t="shared" si="10"/>
        <v>7.3109616537887572</v>
      </c>
      <c r="AJ49" s="171">
        <f t="shared" si="10"/>
        <v>7.3109616537887572</v>
      </c>
      <c r="AK49" s="171">
        <f t="shared" ref="AK49:AT58" si="11">IFERROR(
    IF($T49="Equity",
        IF(AND(AK$48&gt;=$E49, AK$48&lt;=($E49+$Q49)),
$K49*$P49*(VLOOKUP($C$39,$C$37:$BL$44,MATCH($E49,$C$37:$BL$37,0),FALSE)/VLOOKUP($L49,$C$37:$BL$44,MATCH($E49,$C$37:$BL$37,0),FALSE))*
IF($B$5="Foreign Currency",VLOOKUP($C$38,$C$37:$BL$44,MATCH(AK$48,$C$37:$BL$37,0),FALSE)/VLOOKUP($C$39,$C$37:$BL$44,MATCH(AK$48,$C$37:$BL$37,0),FALSE),1),
0),
    IF($T49="Lump Sum Principal",
        IF(AND(AK$48&gt;=$E49, AK$48&lt;($E49+$Q49)),
$K49*$P49*(VLOOKUP($C$39,$C$37:$BL$44,MATCH($E49,$C$37:$BL$37,0),FALSE)/VLOOKUP($L49,$C$37:$BL$44,MATCH($E49,$C$37:$BL$37,0),FALSE))*
IF($B$5="Foreign Currency",VLOOKUP($C$38,$C$37:$BL$44,MATCH(AK$48,$C$37:$BL$37,0),FALSE)/VLOOKUP($C$39,$C$37:$BL$44,MATCH(AK$48,$C$37:$BL$37,0),FALSE),1),
        IF(AK$48=($E49+$Q49),
$K49*(1+$P49)*(VLOOKUP($C$39,$C$37:$BL$44,MATCH($E49,$C$37:$BL$37,0),FALSE)/VLOOKUP($L49,$C$37:$BL$44,MATCH($E49,$C$37:$BL$37,0),FALSE))*
IF($B$5="Foreign Currency",VLOOKUP($C$38,$C$37:$BL$44,MATCH(AK$48,$C$37:$BL$37,0),FALSE)/VLOOKUP($C$39,$C$37:$BL$44,MATCH(AK$48,$C$37:$BL$37,0),FALSE),1),
0)),
    IF($T49="Lump Sum Principal and Interest",
        IF(AK$48=($E49+$Q49),
$K49*((1+$P49)^$Q49)*(VLOOKUP($C$39,$C$37:$BL$44,MATCH($E49,$C$37:$BL$37,0),FALSE)/VLOOKUP($L49,$C$37:$BL$44,MATCH($E49,$C$37:$BL$37,0),FALSE))*
IF($B$5="Foreign Currency",VLOOKUP($C$38,$C$37:$BL$44,MATCH(AK$48,$C$37:$BL$37,0),FALSE)/VLOOKUP($C$39,$C$37:$BL$44,MATCH(AK$48,$C$37:$BL$37,0),FALSE),1),
0),
    IF($T49="EPP with Grace Years for Principal",
        IF(AND(AK$48&gt;=$E49, AK$48&lt;($E49+$S49)),
$K49*$P49*(VLOOKUP($C$39,$C$37:$BL$44,MATCH($E49,$C$37:$BL$37,0),FALSE)/VLOOKUP($L49,$C$37:$BL$44,MATCH($E49,$C$37:$BL$37,0),FALSE))*
IF($B$5="Foreign Currency",VLOOKUP($C$38,$C$37:$BL$44,MATCH(AK$48,$C$37:$BL$37,0),FALSE)/VLOOKUP($C$39,$C$37:$BL$44,MATCH(AK$48,$C$37:$BL$37,0),FALSE),1),
        IF(AND(AK$48&gt;=($E49+$S49), AK$48&lt;=($E49+$Q49)),
-PMT($P49,($Q49-$S49+1),($K49*(VLOOKUP($C$39,$C$37:$BL$44,MATCH($E49,$C$37:$BL$37,0),FALSE)/VLOOKUP($L49,$C$37:$BL$44,MATCH($E49,$C$37:$BL$37,0),FALSE))*
IF($B$5="Foreign Currency",VLOOKUP($C$38,$C$37:$BL$44,MATCH(AK$48,$C$37:$BL$37,0),FALSE)/VLOOKUP($C$39,$C$37:$BL$44,MATCH(AK$48,$C$37:$BL$37,0),FALSE),1)),0),
0)),
    IF($T49="Equal Principal Payments (EPP)",
        IF(AND(AK$48&gt;=$E49, AK$48&lt;=($E49+$Q49)),
-PMT($P49,($Q49-$S49+1),($K49*(VLOOKUP($C$39,$C$37:$BL$44,MATCH($E49,$C$37:$BL$37,0),FALSE)/VLOOKUP($L49,$C$37:$BL$44,MATCH($E49,$C$37:$BL$37,0),FALSE))*
IF($B$5="Foreign Currency",VLOOKUP($C$38,$C$37:$BL$44,MATCH(AK$48,$C$37:$BL$37,0),FALSE)/VLOOKUP($C$39,$C$37:$BL$44,MATCH(AK$48,$C$37:$BL$37,0),FALSE),1)),0), 0),
    IF($T49="EPP with Grace Years for Principal and on Interest",
        IF(AND(AK$48&gt;=($E49+$S49), AK$48&lt;=($E49+$Q49)),
-PMT($P49,($Q49-$S49+1),($K49*(VLOOKUP($C$39,$C$37:$BL$44,MATCH($E49,$C$37:$BL$37,0),FALSE)/VLOOKUP($L49,$C$37:$BL$44,MATCH($E49,$C$37:$BL$37,0),FALSE))*
IF($B$5="Foreign Currency",VLOOKUP($C$38,$C$37:$BL$44,MATCH(AK$48,$C$37:$BL$37,0),FALSE)/VLOOKUP($C$39,$C$37:$BL$44,MATCH(AK$48,$C$37:$BL$37,0),FALSE),1))*((1+$P49)^$S49),0), 0),
    0)))))),"")</f>
        <v>7.3109616537887572</v>
      </c>
      <c r="AL49" s="171">
        <f t="shared" si="11"/>
        <v>7.3109616537887572</v>
      </c>
      <c r="AM49" s="171">
        <f t="shared" si="11"/>
        <v>7.3109616537887572</v>
      </c>
      <c r="AN49" s="171">
        <f t="shared" si="11"/>
        <v>7.3109616537887572</v>
      </c>
      <c r="AO49" s="171">
        <f t="shared" si="11"/>
        <v>7.3109616537887572</v>
      </c>
      <c r="AP49" s="171">
        <f t="shared" si="11"/>
        <v>7.3109616537887572</v>
      </c>
      <c r="AQ49" s="171">
        <f t="shared" si="11"/>
        <v>7.3109616537887572</v>
      </c>
      <c r="AR49" s="171">
        <f t="shared" si="11"/>
        <v>7.3109616537887572</v>
      </c>
      <c r="AS49" s="171">
        <f t="shared" si="11"/>
        <v>7.3109616537887572</v>
      </c>
      <c r="AT49" s="171">
        <f t="shared" si="11"/>
        <v>7.3109616537887572</v>
      </c>
      <c r="AU49" s="171">
        <f t="shared" ref="AU49:BD58" si="12">IFERROR(
    IF($T49="Equity",
        IF(AND(AU$48&gt;=$E49, AU$48&lt;=($E49+$Q49)),
$K49*$P49*(VLOOKUP($C$39,$C$37:$BL$44,MATCH($E49,$C$37:$BL$37,0),FALSE)/VLOOKUP($L49,$C$37:$BL$44,MATCH($E49,$C$37:$BL$37,0),FALSE))*
IF($B$5="Foreign Currency",VLOOKUP($C$38,$C$37:$BL$44,MATCH(AU$48,$C$37:$BL$37,0),FALSE)/VLOOKUP($C$39,$C$37:$BL$44,MATCH(AU$48,$C$37:$BL$37,0),FALSE),1),
0),
    IF($T49="Lump Sum Principal",
        IF(AND(AU$48&gt;=$E49, AU$48&lt;($E49+$Q49)),
$K49*$P49*(VLOOKUP($C$39,$C$37:$BL$44,MATCH($E49,$C$37:$BL$37,0),FALSE)/VLOOKUP($L49,$C$37:$BL$44,MATCH($E49,$C$37:$BL$37,0),FALSE))*
IF($B$5="Foreign Currency",VLOOKUP($C$38,$C$37:$BL$44,MATCH(AU$48,$C$37:$BL$37,0),FALSE)/VLOOKUP($C$39,$C$37:$BL$44,MATCH(AU$48,$C$37:$BL$37,0),FALSE),1),
        IF(AU$48=($E49+$Q49),
$K49*(1+$P49)*(VLOOKUP($C$39,$C$37:$BL$44,MATCH($E49,$C$37:$BL$37,0),FALSE)/VLOOKUP($L49,$C$37:$BL$44,MATCH($E49,$C$37:$BL$37,0),FALSE))*
IF($B$5="Foreign Currency",VLOOKUP($C$38,$C$37:$BL$44,MATCH(AU$48,$C$37:$BL$37,0),FALSE)/VLOOKUP($C$39,$C$37:$BL$44,MATCH(AU$48,$C$37:$BL$37,0),FALSE),1),
0)),
    IF($T49="Lump Sum Principal and Interest",
        IF(AU$48=($E49+$Q49),
$K49*((1+$P49)^$Q49)*(VLOOKUP($C$39,$C$37:$BL$44,MATCH($E49,$C$37:$BL$37,0),FALSE)/VLOOKUP($L49,$C$37:$BL$44,MATCH($E49,$C$37:$BL$37,0),FALSE))*
IF($B$5="Foreign Currency",VLOOKUP($C$38,$C$37:$BL$44,MATCH(AU$48,$C$37:$BL$37,0),FALSE)/VLOOKUP($C$39,$C$37:$BL$44,MATCH(AU$48,$C$37:$BL$37,0),FALSE),1),
0),
    IF($T49="EPP with Grace Years for Principal",
        IF(AND(AU$48&gt;=$E49, AU$48&lt;($E49+$S49)),
$K49*$P49*(VLOOKUP($C$39,$C$37:$BL$44,MATCH($E49,$C$37:$BL$37,0),FALSE)/VLOOKUP($L49,$C$37:$BL$44,MATCH($E49,$C$37:$BL$37,0),FALSE))*
IF($B$5="Foreign Currency",VLOOKUP($C$38,$C$37:$BL$44,MATCH(AU$48,$C$37:$BL$37,0),FALSE)/VLOOKUP($C$39,$C$37:$BL$44,MATCH(AU$48,$C$37:$BL$37,0),FALSE),1),
        IF(AND(AU$48&gt;=($E49+$S49), AU$48&lt;=($E49+$Q49)),
-PMT($P49,($Q49-$S49+1),($K49*(VLOOKUP($C$39,$C$37:$BL$44,MATCH($E49,$C$37:$BL$37,0),FALSE)/VLOOKUP($L49,$C$37:$BL$44,MATCH($E49,$C$37:$BL$37,0),FALSE))*
IF($B$5="Foreign Currency",VLOOKUP($C$38,$C$37:$BL$44,MATCH(AU$48,$C$37:$BL$37,0),FALSE)/VLOOKUP($C$39,$C$37:$BL$44,MATCH(AU$48,$C$37:$BL$37,0),FALSE),1)),0),
0)),
    IF($T49="Equal Principal Payments (EPP)",
        IF(AND(AU$48&gt;=$E49, AU$48&lt;=($E49+$Q49)),
-PMT($P49,($Q49-$S49+1),($K49*(VLOOKUP($C$39,$C$37:$BL$44,MATCH($E49,$C$37:$BL$37,0),FALSE)/VLOOKUP($L49,$C$37:$BL$44,MATCH($E49,$C$37:$BL$37,0),FALSE))*
IF($B$5="Foreign Currency",VLOOKUP($C$38,$C$37:$BL$44,MATCH(AU$48,$C$37:$BL$37,0),FALSE)/VLOOKUP($C$39,$C$37:$BL$44,MATCH(AU$48,$C$37:$BL$37,0),FALSE),1)),0), 0),
    IF($T49="EPP with Grace Years for Principal and on Interest",
        IF(AND(AU$48&gt;=($E49+$S49), AU$48&lt;=($E49+$Q49)),
-PMT($P49,($Q49-$S49+1),($K49*(VLOOKUP($C$39,$C$37:$BL$44,MATCH($E49,$C$37:$BL$37,0),FALSE)/VLOOKUP($L49,$C$37:$BL$44,MATCH($E49,$C$37:$BL$37,0),FALSE))*
IF($B$5="Foreign Currency",VLOOKUP($C$38,$C$37:$BL$44,MATCH(AU$48,$C$37:$BL$37,0),FALSE)/VLOOKUP($C$39,$C$37:$BL$44,MATCH(AU$48,$C$37:$BL$37,0),FALSE),1))*((1+$P49)^$S49),0), 0),
    0)))))),"")</f>
        <v>7.3109616537887572</v>
      </c>
      <c r="AV49" s="171">
        <f t="shared" si="12"/>
        <v>7.3109616537887572</v>
      </c>
      <c r="AW49" s="171">
        <f t="shared" si="12"/>
        <v>7.3109616537887572</v>
      </c>
      <c r="AX49" s="171">
        <f t="shared" si="12"/>
        <v>7.3109616537887572</v>
      </c>
      <c r="AY49" s="171">
        <f t="shared" si="12"/>
        <v>7.3109616537887572</v>
      </c>
      <c r="AZ49" s="171">
        <f t="shared" si="12"/>
        <v>7.3109616537887572</v>
      </c>
      <c r="BA49" s="171">
        <f t="shared" si="12"/>
        <v>7.3109616537887572</v>
      </c>
      <c r="BB49" s="171">
        <f t="shared" si="12"/>
        <v>7.3109616537887572</v>
      </c>
      <c r="BC49" s="171">
        <f t="shared" si="12"/>
        <v>7.3109616537887572</v>
      </c>
      <c r="BD49" s="171">
        <f t="shared" si="12"/>
        <v>7.3109616537887572</v>
      </c>
      <c r="BE49" s="171">
        <f t="shared" ref="BE49:BN58" si="13">IFERROR(
    IF($T49="Equity",
        IF(AND(BE$48&gt;=$E49, BE$48&lt;=($E49+$Q49)),
$K49*$P49*(VLOOKUP($C$39,$C$37:$BL$44,MATCH($E49,$C$37:$BL$37,0),FALSE)/VLOOKUP($L49,$C$37:$BL$44,MATCH($E49,$C$37:$BL$37,0),FALSE))*
IF($B$5="Foreign Currency",VLOOKUP($C$38,$C$37:$BL$44,MATCH(BE$48,$C$37:$BL$37,0),FALSE)/VLOOKUP($C$39,$C$37:$BL$44,MATCH(BE$48,$C$37:$BL$37,0),FALSE),1),
0),
    IF($T49="Lump Sum Principal",
        IF(AND(BE$48&gt;=$E49, BE$48&lt;($E49+$Q49)),
$K49*$P49*(VLOOKUP($C$39,$C$37:$BL$44,MATCH($E49,$C$37:$BL$37,0),FALSE)/VLOOKUP($L49,$C$37:$BL$44,MATCH($E49,$C$37:$BL$37,0),FALSE))*
IF($B$5="Foreign Currency",VLOOKUP($C$38,$C$37:$BL$44,MATCH(BE$48,$C$37:$BL$37,0),FALSE)/VLOOKUP($C$39,$C$37:$BL$44,MATCH(BE$48,$C$37:$BL$37,0),FALSE),1),
        IF(BE$48=($E49+$Q49),
$K49*(1+$P49)*(VLOOKUP($C$39,$C$37:$BL$44,MATCH($E49,$C$37:$BL$37,0),FALSE)/VLOOKUP($L49,$C$37:$BL$44,MATCH($E49,$C$37:$BL$37,0),FALSE))*
IF($B$5="Foreign Currency",VLOOKUP($C$38,$C$37:$BL$44,MATCH(BE$48,$C$37:$BL$37,0),FALSE)/VLOOKUP($C$39,$C$37:$BL$44,MATCH(BE$48,$C$37:$BL$37,0),FALSE),1),
0)),
    IF($T49="Lump Sum Principal and Interest",
        IF(BE$48=($E49+$Q49),
$K49*((1+$P49)^$Q49)*(VLOOKUP($C$39,$C$37:$BL$44,MATCH($E49,$C$37:$BL$37,0),FALSE)/VLOOKUP($L49,$C$37:$BL$44,MATCH($E49,$C$37:$BL$37,0),FALSE))*
IF($B$5="Foreign Currency",VLOOKUP($C$38,$C$37:$BL$44,MATCH(BE$48,$C$37:$BL$37,0),FALSE)/VLOOKUP($C$39,$C$37:$BL$44,MATCH(BE$48,$C$37:$BL$37,0),FALSE),1),
0),
    IF($T49="EPP with Grace Years for Principal",
        IF(AND(BE$48&gt;=$E49, BE$48&lt;($E49+$S49)),
$K49*$P49*(VLOOKUP($C$39,$C$37:$BL$44,MATCH($E49,$C$37:$BL$37,0),FALSE)/VLOOKUP($L49,$C$37:$BL$44,MATCH($E49,$C$37:$BL$37,0),FALSE))*
IF($B$5="Foreign Currency",VLOOKUP($C$38,$C$37:$BL$44,MATCH(BE$48,$C$37:$BL$37,0),FALSE)/VLOOKUP($C$39,$C$37:$BL$44,MATCH(BE$48,$C$37:$BL$37,0),FALSE),1),
        IF(AND(BE$48&gt;=($E49+$S49), BE$48&lt;=($E49+$Q49)),
-PMT($P49,($Q49-$S49+1),($K49*(VLOOKUP($C$39,$C$37:$BL$44,MATCH($E49,$C$37:$BL$37,0),FALSE)/VLOOKUP($L49,$C$37:$BL$44,MATCH($E49,$C$37:$BL$37,0),FALSE))*
IF($B$5="Foreign Currency",VLOOKUP($C$38,$C$37:$BL$44,MATCH(BE$48,$C$37:$BL$37,0),FALSE)/VLOOKUP($C$39,$C$37:$BL$44,MATCH(BE$48,$C$37:$BL$37,0),FALSE),1)),0),
0)),
    IF($T49="Equal Principal Payments (EPP)",
        IF(AND(BE$48&gt;=$E49, BE$48&lt;=($E49+$Q49)),
-PMT($P49,($Q49-$S49+1),($K49*(VLOOKUP($C$39,$C$37:$BL$44,MATCH($E49,$C$37:$BL$37,0),FALSE)/VLOOKUP($L49,$C$37:$BL$44,MATCH($E49,$C$37:$BL$37,0),FALSE))*
IF($B$5="Foreign Currency",VLOOKUP($C$38,$C$37:$BL$44,MATCH(BE$48,$C$37:$BL$37,0),FALSE)/VLOOKUP($C$39,$C$37:$BL$44,MATCH(BE$48,$C$37:$BL$37,0),FALSE),1)),0), 0),
    IF($T49="EPP with Grace Years for Principal and on Interest",
        IF(AND(BE$48&gt;=($E49+$S49), BE$48&lt;=($E49+$Q49)),
-PMT($P49,($Q49-$S49+1),($K49*(VLOOKUP($C$39,$C$37:$BL$44,MATCH($E49,$C$37:$BL$37,0),FALSE)/VLOOKUP($L49,$C$37:$BL$44,MATCH($E49,$C$37:$BL$37,0),FALSE))*
IF($B$5="Foreign Currency",VLOOKUP($C$38,$C$37:$BL$44,MATCH(BE$48,$C$37:$BL$37,0),FALSE)/VLOOKUP($C$39,$C$37:$BL$44,MATCH(BE$48,$C$37:$BL$37,0),FALSE),1))*((1+$P49)^$S49),0), 0),
    0)))))),"")</f>
        <v>0</v>
      </c>
      <c r="BF49" s="171">
        <f t="shared" si="13"/>
        <v>0</v>
      </c>
      <c r="BG49" s="171">
        <f t="shared" si="13"/>
        <v>0</v>
      </c>
      <c r="BH49" s="171">
        <f t="shared" si="13"/>
        <v>0</v>
      </c>
      <c r="BI49" s="171">
        <f t="shared" si="13"/>
        <v>0</v>
      </c>
      <c r="BJ49" s="171">
        <f t="shared" si="13"/>
        <v>0</v>
      </c>
      <c r="BK49" s="171">
        <f t="shared" si="13"/>
        <v>0</v>
      </c>
      <c r="BL49" s="171">
        <f t="shared" si="13"/>
        <v>0</v>
      </c>
      <c r="BM49" s="171">
        <f t="shared" si="13"/>
        <v>0</v>
      </c>
      <c r="BN49" s="171">
        <f t="shared" si="13"/>
        <v>0</v>
      </c>
      <c r="BO49" s="171">
        <f t="shared" ref="BO49:BX58" si="14">IFERROR(
    IF($T49="Equity",
        IF(AND(BO$48&gt;=$E49, BO$48&lt;=($E49+$Q49)),
$K49*$P49*(VLOOKUP($C$39,$C$37:$BL$44,MATCH($E49,$C$37:$BL$37,0),FALSE)/VLOOKUP($L49,$C$37:$BL$44,MATCH($E49,$C$37:$BL$37,0),FALSE))*
IF($B$5="Foreign Currency",VLOOKUP($C$38,$C$37:$BL$44,MATCH(BO$48,$C$37:$BL$37,0),FALSE)/VLOOKUP($C$39,$C$37:$BL$44,MATCH(BO$48,$C$37:$BL$37,0),FALSE),1),
0),
    IF($T49="Lump Sum Principal",
        IF(AND(BO$48&gt;=$E49, BO$48&lt;($E49+$Q49)),
$K49*$P49*(VLOOKUP($C$39,$C$37:$BL$44,MATCH($E49,$C$37:$BL$37,0),FALSE)/VLOOKUP($L49,$C$37:$BL$44,MATCH($E49,$C$37:$BL$37,0),FALSE))*
IF($B$5="Foreign Currency",VLOOKUP($C$38,$C$37:$BL$44,MATCH(BO$48,$C$37:$BL$37,0),FALSE)/VLOOKUP($C$39,$C$37:$BL$44,MATCH(BO$48,$C$37:$BL$37,0),FALSE),1),
        IF(BO$48=($E49+$Q49),
$K49*(1+$P49)*(VLOOKUP($C$39,$C$37:$BL$44,MATCH($E49,$C$37:$BL$37,0),FALSE)/VLOOKUP($L49,$C$37:$BL$44,MATCH($E49,$C$37:$BL$37,0),FALSE))*
IF($B$5="Foreign Currency",VLOOKUP($C$38,$C$37:$BL$44,MATCH(BO$48,$C$37:$BL$37,0),FALSE)/VLOOKUP($C$39,$C$37:$BL$44,MATCH(BO$48,$C$37:$BL$37,0),FALSE),1),
0)),
    IF($T49="Lump Sum Principal and Interest",
        IF(BO$48=($E49+$Q49),
$K49*((1+$P49)^$Q49)*(VLOOKUP($C$39,$C$37:$BL$44,MATCH($E49,$C$37:$BL$37,0),FALSE)/VLOOKUP($L49,$C$37:$BL$44,MATCH($E49,$C$37:$BL$37,0),FALSE))*
IF($B$5="Foreign Currency",VLOOKUP($C$38,$C$37:$BL$44,MATCH(BO$48,$C$37:$BL$37,0),FALSE)/VLOOKUP($C$39,$C$37:$BL$44,MATCH(BO$48,$C$37:$BL$37,0),FALSE),1),
0),
    IF($T49="EPP with Grace Years for Principal",
        IF(AND(BO$48&gt;=$E49, BO$48&lt;($E49+$S49)),
$K49*$P49*(VLOOKUP($C$39,$C$37:$BL$44,MATCH($E49,$C$37:$BL$37,0),FALSE)/VLOOKUP($L49,$C$37:$BL$44,MATCH($E49,$C$37:$BL$37,0),FALSE))*
IF($B$5="Foreign Currency",VLOOKUP($C$38,$C$37:$BL$44,MATCH(BO$48,$C$37:$BL$37,0),FALSE)/VLOOKUP($C$39,$C$37:$BL$44,MATCH(BO$48,$C$37:$BL$37,0),FALSE),1),
        IF(AND(BO$48&gt;=($E49+$S49), BO$48&lt;=($E49+$Q49)),
-PMT($P49,($Q49-$S49+1),($K49*(VLOOKUP($C$39,$C$37:$BL$44,MATCH($E49,$C$37:$BL$37,0),FALSE)/VLOOKUP($L49,$C$37:$BL$44,MATCH($E49,$C$37:$BL$37,0),FALSE))*
IF($B$5="Foreign Currency",VLOOKUP($C$38,$C$37:$BL$44,MATCH(BO$48,$C$37:$BL$37,0),FALSE)/VLOOKUP($C$39,$C$37:$BL$44,MATCH(BO$48,$C$37:$BL$37,0),FALSE),1)),0),
0)),
    IF($T49="Equal Principal Payments (EPP)",
        IF(AND(BO$48&gt;=$E49, BO$48&lt;=($E49+$Q49)),
-PMT($P49,($Q49-$S49+1),($K49*(VLOOKUP($C$39,$C$37:$BL$44,MATCH($E49,$C$37:$BL$37,0),FALSE)/VLOOKUP($L49,$C$37:$BL$44,MATCH($E49,$C$37:$BL$37,0),FALSE))*
IF($B$5="Foreign Currency",VLOOKUP($C$38,$C$37:$BL$44,MATCH(BO$48,$C$37:$BL$37,0),FALSE)/VLOOKUP($C$39,$C$37:$BL$44,MATCH(BO$48,$C$37:$BL$37,0),FALSE),1)),0), 0),
    IF($T49="EPP with Grace Years for Principal and on Interest",
        IF(AND(BO$48&gt;=($E49+$S49), BO$48&lt;=($E49+$Q49)),
-PMT($P49,($Q49-$S49+1),($K49*(VLOOKUP($C$39,$C$37:$BL$44,MATCH($E49,$C$37:$BL$37,0),FALSE)/VLOOKUP($L49,$C$37:$BL$44,MATCH($E49,$C$37:$BL$37,0),FALSE))*
IF($B$5="Foreign Currency",VLOOKUP($C$38,$C$37:$BL$44,MATCH(BO$48,$C$37:$BL$37,0),FALSE)/VLOOKUP($C$39,$C$37:$BL$44,MATCH(BO$48,$C$37:$BL$37,0),FALSE),1))*((1+$P49)^$S49),0), 0),
    0)))))),"")</f>
        <v>0</v>
      </c>
      <c r="BP49" s="171">
        <f t="shared" si="14"/>
        <v>0</v>
      </c>
      <c r="BQ49" s="171">
        <f t="shared" si="14"/>
        <v>0</v>
      </c>
      <c r="BR49" s="171">
        <f t="shared" si="14"/>
        <v>0</v>
      </c>
      <c r="BS49" s="171">
        <f t="shared" si="14"/>
        <v>0</v>
      </c>
      <c r="BT49" s="171">
        <f t="shared" si="14"/>
        <v>0</v>
      </c>
      <c r="BU49" s="171">
        <f t="shared" si="14"/>
        <v>0</v>
      </c>
      <c r="BV49" s="171">
        <f t="shared" si="14"/>
        <v>0</v>
      </c>
      <c r="BW49" s="171">
        <f t="shared" si="14"/>
        <v>0</v>
      </c>
      <c r="BX49" s="171">
        <f t="shared" si="14"/>
        <v>0</v>
      </c>
      <c r="BY49" s="171">
        <f t="shared" ref="BY49:CI58" si="15">IFERROR(
    IF($T49="Equity",
        IF(AND(BY$48&gt;=$E49, BY$48&lt;=($E49+$Q49)),
$K49*$P49*(VLOOKUP($C$39,$C$37:$BL$44,MATCH($E49,$C$37:$BL$37,0),FALSE)/VLOOKUP($L49,$C$37:$BL$44,MATCH($E49,$C$37:$BL$37,0),FALSE))*
IF($B$5="Foreign Currency",VLOOKUP($C$38,$C$37:$BL$44,MATCH(BY$48,$C$37:$BL$37,0),FALSE)/VLOOKUP($C$39,$C$37:$BL$44,MATCH(BY$48,$C$37:$BL$37,0),FALSE),1),
0),
    IF($T49="Lump Sum Principal",
        IF(AND(BY$48&gt;=$E49, BY$48&lt;($E49+$Q49)),
$K49*$P49*(VLOOKUP($C$39,$C$37:$BL$44,MATCH($E49,$C$37:$BL$37,0),FALSE)/VLOOKUP($L49,$C$37:$BL$44,MATCH($E49,$C$37:$BL$37,0),FALSE))*
IF($B$5="Foreign Currency",VLOOKUP($C$38,$C$37:$BL$44,MATCH(BY$48,$C$37:$BL$37,0),FALSE)/VLOOKUP($C$39,$C$37:$BL$44,MATCH(BY$48,$C$37:$BL$37,0),FALSE),1),
        IF(BY$48=($E49+$Q49),
$K49*(1+$P49)*(VLOOKUP($C$39,$C$37:$BL$44,MATCH($E49,$C$37:$BL$37,0),FALSE)/VLOOKUP($L49,$C$37:$BL$44,MATCH($E49,$C$37:$BL$37,0),FALSE))*
IF($B$5="Foreign Currency",VLOOKUP($C$38,$C$37:$BL$44,MATCH(BY$48,$C$37:$BL$37,0),FALSE)/VLOOKUP($C$39,$C$37:$BL$44,MATCH(BY$48,$C$37:$BL$37,0),FALSE),1),
0)),
    IF($T49="Lump Sum Principal and Interest",
        IF(BY$48=($E49+$Q49),
$K49*((1+$P49)^$Q49)*(VLOOKUP($C$39,$C$37:$BL$44,MATCH($E49,$C$37:$BL$37,0),FALSE)/VLOOKUP($L49,$C$37:$BL$44,MATCH($E49,$C$37:$BL$37,0),FALSE))*
IF($B$5="Foreign Currency",VLOOKUP($C$38,$C$37:$BL$44,MATCH(BY$48,$C$37:$BL$37,0),FALSE)/VLOOKUP($C$39,$C$37:$BL$44,MATCH(BY$48,$C$37:$BL$37,0),FALSE),1),
0),
    IF($T49="EPP with Grace Years for Principal",
        IF(AND(BY$48&gt;=$E49, BY$48&lt;($E49+$S49)),
$K49*$P49*(VLOOKUP($C$39,$C$37:$BL$44,MATCH($E49,$C$37:$BL$37,0),FALSE)/VLOOKUP($L49,$C$37:$BL$44,MATCH($E49,$C$37:$BL$37,0),FALSE))*
IF($B$5="Foreign Currency",VLOOKUP($C$38,$C$37:$BL$44,MATCH(BY$48,$C$37:$BL$37,0),FALSE)/VLOOKUP($C$39,$C$37:$BL$44,MATCH(BY$48,$C$37:$BL$37,0),FALSE),1),
        IF(AND(BY$48&gt;=($E49+$S49), BY$48&lt;=($E49+$Q49)),
-PMT($P49,($Q49-$S49+1),($K49*(VLOOKUP($C$39,$C$37:$BL$44,MATCH($E49,$C$37:$BL$37,0),FALSE)/VLOOKUP($L49,$C$37:$BL$44,MATCH($E49,$C$37:$BL$37,0),FALSE))*
IF($B$5="Foreign Currency",VLOOKUP($C$38,$C$37:$BL$44,MATCH(BY$48,$C$37:$BL$37,0),FALSE)/VLOOKUP($C$39,$C$37:$BL$44,MATCH(BY$48,$C$37:$BL$37,0),FALSE),1)),0),
0)),
    IF($T49="Equal Principal Payments (EPP)",
        IF(AND(BY$48&gt;=$E49, BY$48&lt;=($E49+$Q49)),
-PMT($P49,($Q49-$S49+1),($K49*(VLOOKUP($C$39,$C$37:$BL$44,MATCH($E49,$C$37:$BL$37,0),FALSE)/VLOOKUP($L49,$C$37:$BL$44,MATCH($E49,$C$37:$BL$37,0),FALSE))*
IF($B$5="Foreign Currency",VLOOKUP($C$38,$C$37:$BL$44,MATCH(BY$48,$C$37:$BL$37,0),FALSE)/VLOOKUP($C$39,$C$37:$BL$44,MATCH(BY$48,$C$37:$BL$37,0),FALSE),1)),0), 0),
    IF($T49="EPP with Grace Years for Principal and on Interest",
        IF(AND(BY$48&gt;=($E49+$S49), BY$48&lt;=($E49+$Q49)),
-PMT($P49,($Q49-$S49+1),($K49*(VLOOKUP($C$39,$C$37:$BL$44,MATCH($E49,$C$37:$BL$37,0),FALSE)/VLOOKUP($L49,$C$37:$BL$44,MATCH($E49,$C$37:$BL$37,0),FALSE))*
IF($B$5="Foreign Currency",VLOOKUP($C$38,$C$37:$BL$44,MATCH(BY$48,$C$37:$BL$37,0),FALSE)/VLOOKUP($C$39,$C$37:$BL$44,MATCH(BY$48,$C$37:$BL$37,0),FALSE),1))*((1+$P49)^$S49),0), 0),
    0)))))),"")</f>
        <v>0</v>
      </c>
      <c r="BZ49" s="171">
        <f t="shared" si="15"/>
        <v>0</v>
      </c>
      <c r="CA49" s="171">
        <f t="shared" si="15"/>
        <v>0</v>
      </c>
      <c r="CB49" s="171">
        <f t="shared" si="15"/>
        <v>0</v>
      </c>
      <c r="CC49" s="171">
        <f t="shared" si="15"/>
        <v>0</v>
      </c>
      <c r="CD49" s="171">
        <f t="shared" si="15"/>
        <v>0</v>
      </c>
      <c r="CE49" s="171">
        <f t="shared" si="15"/>
        <v>0</v>
      </c>
      <c r="CF49" s="171">
        <f t="shared" si="15"/>
        <v>0</v>
      </c>
      <c r="CG49" s="171">
        <f t="shared" si="15"/>
        <v>0</v>
      </c>
      <c r="CH49" s="171">
        <f t="shared" si="15"/>
        <v>0</v>
      </c>
      <c r="CI49" s="171">
        <f t="shared" si="15"/>
        <v>0</v>
      </c>
      <c r="CJ49" s="243"/>
      <c r="CK49" s="171">
        <f t="shared" ref="CK49:CK112" si="16">IF(CK$48&lt;$B$9,AA49,AA49*((1/(1+$B$10))^(CK$48-$B$9+1)))</f>
        <v>0</v>
      </c>
      <c r="CL49" s="171">
        <f t="shared" ref="CL49:CL112" si="17">IF(CL$48&lt;$B$9,AB49,AB49*((1/(1+$B$10))^(CL$48-$B$9+1)))</f>
        <v>0</v>
      </c>
      <c r="CM49" s="171">
        <f t="shared" ref="CM49:CM112" si="18">IF(CM$48&lt;$B$9,AC49,AC49*((1/(1+$B$10))^(CM$48-$B$9+1)))</f>
        <v>0</v>
      </c>
      <c r="CN49" s="171">
        <f t="shared" ref="CN49:CN112" si="19">IF(CN$48&lt;$B$9,AD49,AD49*((1/(1+$B$10))^(CN$48-$B$9+1)))</f>
        <v>0</v>
      </c>
      <c r="CO49" s="171">
        <f t="shared" ref="CO49:CO112" si="20">IF(CO$48&lt;$B$9,AE49,AE49*((1/(1+$B$10))^(CO$48-$B$9+1)))</f>
        <v>7.3109616537887572</v>
      </c>
      <c r="CP49" s="171">
        <f t="shared" ref="CP49:CP112" si="21">IF(CP$48&lt;$B$9,AF49,AF49*((1/(1+$B$10))^(CP$48-$B$9+1)))</f>
        <v>7.3109616537887572</v>
      </c>
      <c r="CQ49" s="171">
        <f t="shared" ref="CQ49:CQ112" si="22">IF(CQ$48&lt;$B$9,AG49,AG49*((1/(1+$B$10))^(CQ$48-$B$9+1)))</f>
        <v>7.3109616537887572</v>
      </c>
      <c r="CR49" s="171">
        <f t="shared" ref="CR49:CR112" si="23">IF(CR$48&lt;$B$9,AH49,AH49*((1/(1+$B$10))^(CR$48-$B$9+1)))</f>
        <v>7.3109616537887572</v>
      </c>
      <c r="CS49" s="171">
        <f t="shared" ref="CS49:CS112" si="24">IF(CS$48&lt;$B$9,AI49,AI49*((1/(1+$B$10))^(CS$48-$B$9+1)))</f>
        <v>7.3109616537887572</v>
      </c>
      <c r="CT49" s="171">
        <f t="shared" ref="CT49:CT112" si="25">IF(CT$48&lt;$B$9,AJ49,AJ49*((1/(1+$B$10))^(CT$48-$B$9+1)))</f>
        <v>7.3109616537887572</v>
      </c>
      <c r="CU49" s="171">
        <f t="shared" ref="CU49:CU112" si="26">IF(CU$48&lt;$B$9,AK49,AK49*((1/(1+$B$10))^(CU$48-$B$9+1)))</f>
        <v>7.3109616537887572</v>
      </c>
      <c r="CV49" s="171">
        <f t="shared" ref="CV49:CV112" si="27">IF(CV$48&lt;$B$9,AL49,AL49*((1/(1+$B$10))^(CV$48-$B$9+1)))</f>
        <v>7.3109616537887572</v>
      </c>
      <c r="CW49" s="171">
        <f t="shared" ref="CW49:CW112" si="28">IF(CW$48&lt;$B$9,AM49,AM49*((1/(1+$B$10))^(CW$48-$B$9+1)))</f>
        <v>7.3109616537887572</v>
      </c>
      <c r="CX49" s="171">
        <f t="shared" ref="CX49:CX112" si="29">IF(CX$48&lt;$B$9,AN49,AN49*((1/(1+$B$10))^(CX$48-$B$9+1)))</f>
        <v>7.3109616537887572</v>
      </c>
      <c r="CY49" s="171">
        <f t="shared" ref="CY49:CY112" ca="1" si="30">IF(CY$48&lt;$B$9,AO49,AO49*((1/(1+$B$10))^(CY$48-$B$9+1)))</f>
        <v>6.9407869734989207</v>
      </c>
      <c r="CZ49" s="171">
        <f t="shared" ref="CZ49:CZ112" ca="1" si="31">IF(CZ$48&lt;$B$9,AP49,AP49*((1/(1+$B$10))^(CZ$48-$B$9+1)))</f>
        <v>6.5893552849544532</v>
      </c>
      <c r="DA49" s="171">
        <f t="shared" ref="DA49:DA112" ca="1" si="32">IF(DA$48&lt;$B$9,AQ49,AQ49*((1/(1+$B$10))^(DA$48-$B$9+1)))</f>
        <v>6.2557175774361697</v>
      </c>
      <c r="DB49" s="171">
        <f t="shared" ref="DB49:DB112" ca="1" si="33">IF(DB$48&lt;$B$9,AR49,AR49*((1/(1+$B$10))^(DB$48-$B$9+1)))</f>
        <v>5.9389728913235187</v>
      </c>
      <c r="DC49" s="171">
        <f t="shared" ref="DC49:DC112" ca="1" si="34">IF(DC$48&lt;$B$9,AS49,AS49*((1/(1+$B$10))^(DC$48-$B$9+1)))</f>
        <v>5.6382658851314691</v>
      </c>
      <c r="DD49" s="171">
        <f t="shared" ref="DD49:DD112" ca="1" si="35">IF(DD$48&lt;$B$9,AT49,AT49*((1/(1+$B$10))^(DD$48-$B$9+1)))</f>
        <v>5.3527845257351956</v>
      </c>
      <c r="DE49" s="171">
        <f t="shared" ref="DE49:DE112" ca="1" si="36">IF(DE$48&lt;$B$9,AU49,AU49*((1/(1+$B$10))^(DE$48-$B$9+1)))</f>
        <v>5.0817578955452323</v>
      </c>
      <c r="DF49" s="171">
        <f t="shared" ref="DF49:DF112" ca="1" si="37">IF(DF$48&lt;$B$9,AV49,AV49*((1/(1+$B$10))^(DF$48-$B$9+1)))</f>
        <v>4.8244541107115433</v>
      </c>
      <c r="DG49" s="171">
        <f t="shared" ref="DG49:DG112" ca="1" si="38">IF(DG$48&lt;$B$9,AW49,AW49*((1/(1+$B$10))^(DG$48-$B$9+1)))</f>
        <v>4.5801783447348292</v>
      </c>
      <c r="DH49" s="171">
        <f t="shared" ref="DH49:DH112" ca="1" si="39">IF(DH$48&lt;$B$9,AX49,AX49*((1/(1+$B$10))^(DH$48-$B$9+1)))</f>
        <v>4.3482709521479714</v>
      </c>
      <c r="DI49" s="171">
        <f t="shared" ref="DI49:DI112" ca="1" si="40">IF(DI$48&lt;$B$9,AY49,AY49*((1/(1+$B$10))^(DI$48-$B$9+1)))</f>
        <v>4.1281056872008071</v>
      </c>
      <c r="DJ49" s="171">
        <f t="shared" ref="DJ49:DJ112" ca="1" si="41">IF(DJ$48&lt;$B$9,AZ49,AZ49*((1/(1+$B$10))^(DJ$48-$B$9+1)))</f>
        <v>3.9190880127379275</v>
      </c>
      <c r="DK49" s="171">
        <f t="shared" ref="DK49:DK112" ca="1" si="42">IF(DK$48&lt;$B$9,BA49,BA49*((1/(1+$B$10))^(DK$48-$B$9+1)))</f>
        <v>3.7206534947027827</v>
      </c>
      <c r="DL49" s="171">
        <f t="shared" ref="DL49:DL112" ca="1" si="43">IF(DL$48&lt;$B$9,BB49,BB49*((1/(1+$B$10))^(DL$48-$B$9+1)))</f>
        <v>3.5322662779325902</v>
      </c>
      <c r="DM49" s="171">
        <f t="shared" ref="DM49:DM112" ca="1" si="44">IF(DM$48&lt;$B$9,BC49,BC49*((1/(1+$B$10))^(DM$48-$B$9+1)))</f>
        <v>3.3534176391280557</v>
      </c>
      <c r="DN49" s="171">
        <f t="shared" ref="DN49:DN112" ca="1" si="45">IF(DN$48&lt;$B$9,BD49,BD49*((1/(1+$B$10))^(DN$48-$B$9+1)))</f>
        <v>3.183624613090335</v>
      </c>
      <c r="DO49" s="171">
        <f t="shared" ref="DO49:DO112" ca="1" si="46">IF(DO$48&lt;$B$9,BE49,BE49*((1/(1+$B$10))^(DO$48-$B$9+1)))</f>
        <v>0</v>
      </c>
      <c r="DP49" s="171">
        <f t="shared" ref="DP49:DP112" ca="1" si="47">IF(DP$48&lt;$B$9,BF49,BF49*((1/(1+$B$10))^(DP$48-$B$9+1)))</f>
        <v>0</v>
      </c>
      <c r="DQ49" s="171">
        <f t="shared" ref="DQ49:DQ112" ca="1" si="48">IF(DQ$48&lt;$B$9,BG49,BG49*((1/(1+$B$10))^(DQ$48-$B$9+1)))</f>
        <v>0</v>
      </c>
      <c r="DR49" s="171">
        <f t="shared" ref="DR49:DR112" ca="1" si="49">IF(DR$48&lt;$B$9,BH49,BH49*((1/(1+$B$10))^(DR$48-$B$9+1)))</f>
        <v>0</v>
      </c>
      <c r="DS49" s="171">
        <f t="shared" ref="DS49:DS112" ca="1" si="50">IF(DS$48&lt;$B$9,BI49,BI49*((1/(1+$B$10))^(DS$48-$B$9+1)))</f>
        <v>0</v>
      </c>
      <c r="DT49" s="171">
        <f t="shared" ref="DT49:DT112" ca="1" si="51">IF(DT$48&lt;$B$9,BJ49,BJ49*((1/(1+$B$10))^(DT$48-$B$9+1)))</f>
        <v>0</v>
      </c>
      <c r="DU49" s="171">
        <f t="shared" ref="DU49:DU112" ca="1" si="52">IF(DU$48&lt;$B$9,BK49,BK49*((1/(1+$B$10))^(DU$48-$B$9+1)))</f>
        <v>0</v>
      </c>
      <c r="DV49" s="171">
        <f t="shared" ref="DV49:DV112" ca="1" si="53">IF(DV$48&lt;$B$9,BL49,BL49*((1/(1+$B$10))^(DV$48-$B$9+1)))</f>
        <v>0</v>
      </c>
      <c r="DW49" s="171">
        <f t="shared" ref="DW49:DW112" ca="1" si="54">IF(DW$48&lt;$B$9,BM49,BM49*((1/(1+$B$10))^(DW$48-$B$9+1)))</f>
        <v>0</v>
      </c>
      <c r="DX49" s="171">
        <f t="shared" ref="DX49:DX112" ca="1" si="55">IF(DX$48&lt;$B$9,BN49,BN49*((1/(1+$B$10))^(DX$48-$B$9+1)))</f>
        <v>0</v>
      </c>
      <c r="DY49" s="171">
        <f t="shared" ref="DY49:DY112" ca="1" si="56">IF(DY$48&lt;$B$9,BO49,BO49*((1/(1+$B$10))^(DY$48-$B$9+1)))</f>
        <v>0</v>
      </c>
      <c r="DZ49" s="171">
        <f t="shared" ref="DZ49:DZ112" ca="1" si="57">IF(DZ$48&lt;$B$9,BP49,BP49*((1/(1+$B$10))^(DZ$48-$B$9+1)))</f>
        <v>0</v>
      </c>
      <c r="EA49" s="171">
        <f t="shared" ref="EA49:EA112" ca="1" si="58">IF(EA$48&lt;$B$9,BQ49,BQ49*((1/(1+$B$10))^(EA$48-$B$9+1)))</f>
        <v>0</v>
      </c>
      <c r="EB49" s="171">
        <f t="shared" ref="EB49:EB112" ca="1" si="59">IF(EB$48&lt;$B$9,BR49,BR49*((1/(1+$B$10))^(EB$48-$B$9+1)))</f>
        <v>0</v>
      </c>
      <c r="EC49" s="171">
        <f t="shared" ref="EC49:EC112" ca="1" si="60">IF(EC$48&lt;$B$9,BS49,BS49*((1/(1+$B$10))^(EC$48-$B$9+1)))</f>
        <v>0</v>
      </c>
      <c r="ED49" s="171">
        <f t="shared" ref="ED49:ED112" ca="1" si="61">IF(ED$48&lt;$B$9,BT49,BT49*((1/(1+$B$10))^(ED$48-$B$9+1)))</f>
        <v>0</v>
      </c>
      <c r="EE49" s="171">
        <f t="shared" ref="EE49:EE112" ca="1" si="62">IF(EE$48&lt;$B$9,BU49,BU49*((1/(1+$B$10))^(EE$48-$B$9+1)))</f>
        <v>0</v>
      </c>
      <c r="EF49" s="171">
        <f t="shared" ref="EF49:EF112" ca="1" si="63">IF(EF$48&lt;$B$9,BV49,BV49*((1/(1+$B$10))^(EF$48-$B$9+1)))</f>
        <v>0</v>
      </c>
      <c r="EG49" s="171">
        <f t="shared" ref="EG49:EG112" ca="1" si="64">IF(EG$48&lt;$B$9,BW49,BW49*((1/(1+$B$10))^(EG$48-$B$9+1)))</f>
        <v>0</v>
      </c>
      <c r="EH49" s="171">
        <f t="shared" ref="EH49:EH112" ca="1" si="65">IF(EH$48&lt;$B$9,BX49,BX49*((1/(1+$B$10))^(EH$48-$B$9+1)))</f>
        <v>0</v>
      </c>
      <c r="EI49" s="171">
        <f t="shared" ref="EI49:EI112" ca="1" si="66">IF(EI$48&lt;$B$9,BY49,BY49*((1/(1+$B$10))^(EI$48-$B$9+1)))</f>
        <v>0</v>
      </c>
      <c r="EJ49" s="171">
        <f t="shared" ref="EJ49:EJ112" ca="1" si="67">IF(EJ$48&lt;$B$9,BZ49,BZ49*((1/(1+$B$10))^(EJ$48-$B$9+1)))</f>
        <v>0</v>
      </c>
      <c r="EK49" s="171">
        <f t="shared" ref="EK49:EK112" ca="1" si="68">IF(EK$48&lt;$B$9,CA49,CA49*((1/(1+$B$10))^(EK$48-$B$9+1)))</f>
        <v>0</v>
      </c>
      <c r="EL49" s="171">
        <f t="shared" ref="EL49:EL112" ca="1" si="69">IF(EL$48&lt;$B$9,CB49,CB49*((1/(1+$B$10))^(EL$48-$B$9+1)))</f>
        <v>0</v>
      </c>
      <c r="EM49" s="171">
        <f t="shared" ref="EM49:EM112" ca="1" si="70">IF(EM$48&lt;$B$9,CC49,CC49*((1/(1+$B$10))^(EM$48-$B$9+1)))</f>
        <v>0</v>
      </c>
      <c r="EN49" s="171">
        <f t="shared" ref="EN49:EN112" ca="1" si="71">IF(EN$48&lt;$B$9,CD49,CD49*((1/(1+$B$10))^(EN$48-$B$9+1)))</f>
        <v>0</v>
      </c>
      <c r="EO49" s="171">
        <f t="shared" ref="EO49:EO112" ca="1" si="72">IF(EO$48&lt;$B$9,CE49,CE49*((1/(1+$B$10))^(EO$48-$B$9+1)))</f>
        <v>0</v>
      </c>
      <c r="EP49" s="171">
        <f t="shared" ref="EP49:EP112" ca="1" si="73">IF(EP$48&lt;$B$9,CF49,CF49*((1/(1+$B$10))^(EP$48-$B$9+1)))</f>
        <v>0</v>
      </c>
      <c r="EQ49" s="171">
        <f t="shared" ref="EQ49:EQ112" ca="1" si="74">IF(EQ$48&lt;$B$9,CG49,CG49*((1/(1+$B$10))^(EQ$48-$B$9+1)))</f>
        <v>0</v>
      </c>
      <c r="ER49" s="171">
        <f t="shared" ref="ER49:ER112" ca="1" si="75">IF(ER$48&lt;$B$9,CH49,CH49*((1/(1+$B$10))^(ER$48-$B$9+1)))</f>
        <v>0</v>
      </c>
      <c r="ES49" s="171">
        <f t="shared" ref="ES49:ES112" ca="1" si="76">IF(ES$48&lt;$B$9,CI49,CI49*((1/(1+$B$10))^(ES$48-$B$9+1)))</f>
        <v>0</v>
      </c>
    </row>
    <row r="50" spans="1:149">
      <c r="A50" s="139" t="s">
        <v>392</v>
      </c>
      <c r="B50" s="160" t="s">
        <v>399</v>
      </c>
      <c r="C50" s="160" t="s">
        <v>29</v>
      </c>
      <c r="D50" s="161" t="s">
        <v>394</v>
      </c>
      <c r="E50" s="160">
        <v>2014</v>
      </c>
      <c r="F50" s="160" t="s">
        <v>400</v>
      </c>
      <c r="G50" s="160" t="s">
        <v>289</v>
      </c>
      <c r="H50" s="160" t="s">
        <v>396</v>
      </c>
      <c r="I50" s="174" t="s">
        <v>180</v>
      </c>
      <c r="J50" s="160" t="s">
        <v>401</v>
      </c>
      <c r="K50" s="175">
        <v>42.75</v>
      </c>
      <c r="L50" s="163" t="s">
        <v>110</v>
      </c>
      <c r="M50" s="164">
        <f t="shared" si="0"/>
        <v>42.75</v>
      </c>
      <c r="N50" s="164">
        <f t="shared" si="1"/>
        <v>42.75</v>
      </c>
      <c r="O50" s="165">
        <f t="shared" si="2"/>
        <v>1</v>
      </c>
      <c r="P50" s="176">
        <v>0.16800000000000001</v>
      </c>
      <c r="Q50" s="177">
        <v>25</v>
      </c>
      <c r="R50" s="168">
        <f t="shared" si="3"/>
        <v>15</v>
      </c>
      <c r="S50" s="178">
        <v>0</v>
      </c>
      <c r="T50" s="160" t="s">
        <v>289</v>
      </c>
      <c r="U50" s="171">
        <f t="shared" si="4"/>
        <v>7.4692799999999968</v>
      </c>
      <c r="V50" s="171">
        <f t="shared" ca="1" si="5"/>
        <v>5.913704816149683</v>
      </c>
      <c r="W50" s="171">
        <f t="shared" ca="1" si="6"/>
        <v>147.84262040374207</v>
      </c>
      <c r="X50" s="172" t="str">
        <f t="shared" si="7"/>
        <v>Equity</v>
      </c>
      <c r="Y50" s="172" t="str">
        <f t="shared" si="8"/>
        <v>Equity</v>
      </c>
      <c r="Z50" s="173">
        <f t="shared" si="9"/>
        <v>186.73199999999991</v>
      </c>
      <c r="AA50" s="171">
        <f t="shared" si="10"/>
        <v>0</v>
      </c>
      <c r="AB50" s="171">
        <f t="shared" si="10"/>
        <v>0</v>
      </c>
      <c r="AC50" s="171">
        <f t="shared" si="10"/>
        <v>0</v>
      </c>
      <c r="AD50" s="171">
        <f t="shared" si="10"/>
        <v>0</v>
      </c>
      <c r="AE50" s="171">
        <f t="shared" si="10"/>
        <v>7.1820000000000004</v>
      </c>
      <c r="AF50" s="171">
        <f t="shared" si="10"/>
        <v>7.1820000000000004</v>
      </c>
      <c r="AG50" s="171">
        <f t="shared" si="10"/>
        <v>7.1820000000000004</v>
      </c>
      <c r="AH50" s="171">
        <f t="shared" si="10"/>
        <v>7.1820000000000004</v>
      </c>
      <c r="AI50" s="171">
        <f t="shared" si="10"/>
        <v>7.1820000000000004</v>
      </c>
      <c r="AJ50" s="171">
        <f t="shared" si="10"/>
        <v>7.1820000000000004</v>
      </c>
      <c r="AK50" s="171">
        <f t="shared" si="11"/>
        <v>7.1820000000000004</v>
      </c>
      <c r="AL50" s="171">
        <f t="shared" si="11"/>
        <v>7.1820000000000004</v>
      </c>
      <c r="AM50" s="171">
        <f t="shared" si="11"/>
        <v>7.1820000000000004</v>
      </c>
      <c r="AN50" s="171">
        <f t="shared" si="11"/>
        <v>7.1820000000000004</v>
      </c>
      <c r="AO50" s="171">
        <f t="shared" si="11"/>
        <v>7.1820000000000004</v>
      </c>
      <c r="AP50" s="171">
        <f t="shared" si="11"/>
        <v>7.1820000000000004</v>
      </c>
      <c r="AQ50" s="171">
        <f t="shared" si="11"/>
        <v>7.1820000000000004</v>
      </c>
      <c r="AR50" s="171">
        <f t="shared" si="11"/>
        <v>7.1820000000000004</v>
      </c>
      <c r="AS50" s="171">
        <f t="shared" si="11"/>
        <v>7.1820000000000004</v>
      </c>
      <c r="AT50" s="171">
        <f t="shared" si="11"/>
        <v>7.1820000000000004</v>
      </c>
      <c r="AU50" s="171">
        <f t="shared" si="12"/>
        <v>7.1820000000000004</v>
      </c>
      <c r="AV50" s="171">
        <f t="shared" si="12"/>
        <v>7.1820000000000004</v>
      </c>
      <c r="AW50" s="171">
        <f t="shared" si="12"/>
        <v>7.1820000000000004</v>
      </c>
      <c r="AX50" s="171">
        <f t="shared" si="12"/>
        <v>7.1820000000000004</v>
      </c>
      <c r="AY50" s="171">
        <f t="shared" si="12"/>
        <v>7.1820000000000004</v>
      </c>
      <c r="AZ50" s="171">
        <f t="shared" si="12"/>
        <v>7.1820000000000004</v>
      </c>
      <c r="BA50" s="171">
        <f t="shared" si="12"/>
        <v>7.1820000000000004</v>
      </c>
      <c r="BB50" s="171">
        <f t="shared" si="12"/>
        <v>7.1820000000000004</v>
      </c>
      <c r="BC50" s="171">
        <f t="shared" si="12"/>
        <v>7.1820000000000004</v>
      </c>
      <c r="BD50" s="171">
        <f t="shared" si="12"/>
        <v>7.1820000000000004</v>
      </c>
      <c r="BE50" s="171">
        <f t="shared" si="13"/>
        <v>0</v>
      </c>
      <c r="BF50" s="171">
        <f t="shared" si="13"/>
        <v>0</v>
      </c>
      <c r="BG50" s="171">
        <f t="shared" si="13"/>
        <v>0</v>
      </c>
      <c r="BH50" s="171">
        <f t="shared" si="13"/>
        <v>0</v>
      </c>
      <c r="BI50" s="171">
        <f t="shared" si="13"/>
        <v>0</v>
      </c>
      <c r="BJ50" s="171">
        <f t="shared" si="13"/>
        <v>0</v>
      </c>
      <c r="BK50" s="171">
        <f t="shared" si="13"/>
        <v>0</v>
      </c>
      <c r="BL50" s="171">
        <f t="shared" si="13"/>
        <v>0</v>
      </c>
      <c r="BM50" s="171">
        <f t="shared" si="13"/>
        <v>0</v>
      </c>
      <c r="BN50" s="171">
        <f t="shared" si="13"/>
        <v>0</v>
      </c>
      <c r="BO50" s="171">
        <f t="shared" si="14"/>
        <v>0</v>
      </c>
      <c r="BP50" s="171">
        <f t="shared" si="14"/>
        <v>0</v>
      </c>
      <c r="BQ50" s="171">
        <f t="shared" si="14"/>
        <v>0</v>
      </c>
      <c r="BR50" s="171">
        <f t="shared" si="14"/>
        <v>0</v>
      </c>
      <c r="BS50" s="171">
        <f t="shared" si="14"/>
        <v>0</v>
      </c>
      <c r="BT50" s="171">
        <f t="shared" si="14"/>
        <v>0</v>
      </c>
      <c r="BU50" s="171">
        <f t="shared" si="14"/>
        <v>0</v>
      </c>
      <c r="BV50" s="171">
        <f t="shared" si="14"/>
        <v>0</v>
      </c>
      <c r="BW50" s="171">
        <f t="shared" si="14"/>
        <v>0</v>
      </c>
      <c r="BX50" s="171">
        <f t="shared" si="14"/>
        <v>0</v>
      </c>
      <c r="BY50" s="171">
        <f t="shared" si="15"/>
        <v>0</v>
      </c>
      <c r="BZ50" s="171">
        <f t="shared" si="15"/>
        <v>0</v>
      </c>
      <c r="CA50" s="171">
        <f t="shared" si="15"/>
        <v>0</v>
      </c>
      <c r="CB50" s="171">
        <f t="shared" si="15"/>
        <v>0</v>
      </c>
      <c r="CC50" s="171">
        <f t="shared" si="15"/>
        <v>0</v>
      </c>
      <c r="CD50" s="171">
        <f t="shared" si="15"/>
        <v>0</v>
      </c>
      <c r="CE50" s="171">
        <f t="shared" si="15"/>
        <v>0</v>
      </c>
      <c r="CF50" s="171">
        <f t="shared" si="15"/>
        <v>0</v>
      </c>
      <c r="CG50" s="171">
        <f t="shared" si="15"/>
        <v>0</v>
      </c>
      <c r="CH50" s="171">
        <f t="shared" si="15"/>
        <v>0</v>
      </c>
      <c r="CI50" s="171">
        <f t="shared" si="15"/>
        <v>0</v>
      </c>
      <c r="CJ50" s="243"/>
      <c r="CK50" s="171">
        <f t="shared" si="16"/>
        <v>0</v>
      </c>
      <c r="CL50" s="171">
        <f t="shared" si="17"/>
        <v>0</v>
      </c>
      <c r="CM50" s="171">
        <f t="shared" si="18"/>
        <v>0</v>
      </c>
      <c r="CN50" s="171">
        <f t="shared" si="19"/>
        <v>0</v>
      </c>
      <c r="CO50" s="171">
        <f t="shared" si="20"/>
        <v>7.1820000000000004</v>
      </c>
      <c r="CP50" s="171">
        <f t="shared" si="21"/>
        <v>7.1820000000000004</v>
      </c>
      <c r="CQ50" s="171">
        <f t="shared" si="22"/>
        <v>7.1820000000000004</v>
      </c>
      <c r="CR50" s="171">
        <f t="shared" si="23"/>
        <v>7.1820000000000004</v>
      </c>
      <c r="CS50" s="171">
        <f t="shared" si="24"/>
        <v>7.1820000000000004</v>
      </c>
      <c r="CT50" s="171">
        <f t="shared" si="25"/>
        <v>7.1820000000000004</v>
      </c>
      <c r="CU50" s="171">
        <f t="shared" si="26"/>
        <v>7.1820000000000004</v>
      </c>
      <c r="CV50" s="171">
        <f t="shared" si="27"/>
        <v>7.1820000000000004</v>
      </c>
      <c r="CW50" s="171">
        <f t="shared" si="28"/>
        <v>7.1820000000000004</v>
      </c>
      <c r="CX50" s="171">
        <f t="shared" si="29"/>
        <v>7.1820000000000004</v>
      </c>
      <c r="CY50" s="171">
        <f t="shared" ca="1" si="30"/>
        <v>6.8183550132336093</v>
      </c>
      <c r="CZ50" s="171">
        <f t="shared" ca="1" si="31"/>
        <v>6.4731224013489115</v>
      </c>
      <c r="DA50" s="171">
        <f t="shared" ca="1" si="32"/>
        <v>6.1453698936942525</v>
      </c>
      <c r="DB50" s="171">
        <f t="shared" ca="1" si="33"/>
        <v>5.8342124231196175</v>
      </c>
      <c r="DC50" s="171">
        <f t="shared" ca="1" si="34"/>
        <v>5.538809735929747</v>
      </c>
      <c r="DD50" s="171">
        <f t="shared" ca="1" si="35"/>
        <v>5.2583641228520897</v>
      </c>
      <c r="DE50" s="171">
        <f t="shared" ca="1" si="36"/>
        <v>4.9921182648922713</v>
      </c>
      <c r="DF50" s="171">
        <f t="shared" ca="1" si="37"/>
        <v>4.7393531882599946</v>
      </c>
      <c r="DG50" s="171">
        <f t="shared" ca="1" si="38"/>
        <v>4.4993863228428319</v>
      </c>
      <c r="DH50" s="171">
        <f t="shared" ca="1" si="39"/>
        <v>4.2715696589849834</v>
      </c>
      <c r="DI50" s="171">
        <f t="shared" ca="1" si="40"/>
        <v>4.0552879975935445</v>
      </c>
      <c r="DJ50" s="171">
        <f t="shared" ca="1" si="41"/>
        <v>3.8499572888468432</v>
      </c>
      <c r="DK50" s="171">
        <f t="shared" ca="1" si="42"/>
        <v>3.6550230550186775</v>
      </c>
      <c r="DL50" s="171">
        <f t="shared" ca="1" si="43"/>
        <v>3.4699588931594287</v>
      </c>
      <c r="DM50" s="171">
        <f t="shared" ca="1" si="44"/>
        <v>3.2942650535906624</v>
      </c>
      <c r="DN50" s="171">
        <f t="shared" ca="1" si="45"/>
        <v>3.1274670903745712</v>
      </c>
      <c r="DO50" s="171">
        <f t="shared" ca="1" si="46"/>
        <v>0</v>
      </c>
      <c r="DP50" s="171">
        <f t="shared" ca="1" si="47"/>
        <v>0</v>
      </c>
      <c r="DQ50" s="171">
        <f t="shared" ca="1" si="48"/>
        <v>0</v>
      </c>
      <c r="DR50" s="171">
        <f t="shared" ca="1" si="49"/>
        <v>0</v>
      </c>
      <c r="DS50" s="171">
        <f t="shared" ca="1" si="50"/>
        <v>0</v>
      </c>
      <c r="DT50" s="171">
        <f t="shared" ca="1" si="51"/>
        <v>0</v>
      </c>
      <c r="DU50" s="171">
        <f t="shared" ca="1" si="52"/>
        <v>0</v>
      </c>
      <c r="DV50" s="171">
        <f t="shared" ca="1" si="53"/>
        <v>0</v>
      </c>
      <c r="DW50" s="171">
        <f t="shared" ca="1" si="54"/>
        <v>0</v>
      </c>
      <c r="DX50" s="171">
        <f t="shared" ca="1" si="55"/>
        <v>0</v>
      </c>
      <c r="DY50" s="171">
        <f t="shared" ca="1" si="56"/>
        <v>0</v>
      </c>
      <c r="DZ50" s="171">
        <f t="shared" ca="1" si="57"/>
        <v>0</v>
      </c>
      <c r="EA50" s="171">
        <f t="shared" ca="1" si="58"/>
        <v>0</v>
      </c>
      <c r="EB50" s="171">
        <f t="shared" ca="1" si="59"/>
        <v>0</v>
      </c>
      <c r="EC50" s="171">
        <f t="shared" ca="1" si="60"/>
        <v>0</v>
      </c>
      <c r="ED50" s="171">
        <f t="shared" ca="1" si="61"/>
        <v>0</v>
      </c>
      <c r="EE50" s="171">
        <f t="shared" ca="1" si="62"/>
        <v>0</v>
      </c>
      <c r="EF50" s="171">
        <f t="shared" ca="1" si="63"/>
        <v>0</v>
      </c>
      <c r="EG50" s="171">
        <f t="shared" ca="1" si="64"/>
        <v>0</v>
      </c>
      <c r="EH50" s="171">
        <f t="shared" ca="1" si="65"/>
        <v>0</v>
      </c>
      <c r="EI50" s="171">
        <f t="shared" ca="1" si="66"/>
        <v>0</v>
      </c>
      <c r="EJ50" s="171">
        <f t="shared" ca="1" si="67"/>
        <v>0</v>
      </c>
      <c r="EK50" s="171">
        <f t="shared" ca="1" si="68"/>
        <v>0</v>
      </c>
      <c r="EL50" s="171">
        <f t="shared" ca="1" si="69"/>
        <v>0</v>
      </c>
      <c r="EM50" s="171">
        <f t="shared" ca="1" si="70"/>
        <v>0</v>
      </c>
      <c r="EN50" s="171">
        <f t="shared" ca="1" si="71"/>
        <v>0</v>
      </c>
      <c r="EO50" s="171">
        <f t="shared" ca="1" si="72"/>
        <v>0</v>
      </c>
      <c r="EP50" s="171">
        <f t="shared" ca="1" si="73"/>
        <v>0</v>
      </c>
      <c r="EQ50" s="171">
        <f t="shared" ca="1" si="74"/>
        <v>0</v>
      </c>
      <c r="ER50" s="171">
        <f t="shared" ca="1" si="75"/>
        <v>0</v>
      </c>
      <c r="ES50" s="171">
        <f t="shared" ca="1" si="76"/>
        <v>0</v>
      </c>
    </row>
    <row r="51" spans="1:149">
      <c r="A51" s="139" t="s">
        <v>392</v>
      </c>
      <c r="B51" s="160" t="s">
        <v>399</v>
      </c>
      <c r="C51" s="160" t="s">
        <v>29</v>
      </c>
      <c r="D51" s="161" t="s">
        <v>394</v>
      </c>
      <c r="E51" s="160">
        <v>2014</v>
      </c>
      <c r="F51" s="160" t="s">
        <v>400</v>
      </c>
      <c r="G51" s="160" t="s">
        <v>402</v>
      </c>
      <c r="H51" s="160" t="s">
        <v>396</v>
      </c>
      <c r="I51" s="174" t="s">
        <v>180</v>
      </c>
      <c r="J51" s="160" t="s">
        <v>401</v>
      </c>
      <c r="K51" s="179">
        <v>71.25</v>
      </c>
      <c r="L51" s="163" t="s">
        <v>110</v>
      </c>
      <c r="M51" s="164">
        <f t="shared" si="0"/>
        <v>71.25</v>
      </c>
      <c r="N51" s="164">
        <f t="shared" si="1"/>
        <v>71.25</v>
      </c>
      <c r="O51" s="165">
        <f t="shared" si="2"/>
        <v>1</v>
      </c>
      <c r="P51" s="180">
        <v>4.9550000000000004E-2</v>
      </c>
      <c r="Q51" s="177">
        <v>21</v>
      </c>
      <c r="R51" s="168">
        <f t="shared" si="3"/>
        <v>11</v>
      </c>
      <c r="S51" s="181">
        <v>6.4</v>
      </c>
      <c r="T51" s="174" t="s">
        <v>403</v>
      </c>
      <c r="U51" s="171">
        <f t="shared" si="4"/>
        <v>5.9372771198836869</v>
      </c>
      <c r="V51" s="171">
        <f t="shared" ca="1" si="5"/>
        <v>4.8896437660498231</v>
      </c>
      <c r="W51" s="171">
        <f t="shared" ca="1" si="6"/>
        <v>102.68251908704629</v>
      </c>
      <c r="X51" s="172">
        <f t="shared" si="7"/>
        <v>0.33969276944257842</v>
      </c>
      <c r="Y51" s="172">
        <f t="shared" si="8"/>
        <v>0.66030723055742158</v>
      </c>
      <c r="Z51" s="173">
        <f t="shared" si="9"/>
        <v>124.68281951755743</v>
      </c>
      <c r="AA51" s="171">
        <f t="shared" si="10"/>
        <v>0</v>
      </c>
      <c r="AB51" s="171">
        <f t="shared" si="10"/>
        <v>0</v>
      </c>
      <c r="AC51" s="171">
        <f t="shared" si="10"/>
        <v>0</v>
      </c>
      <c r="AD51" s="171">
        <f t="shared" si="10"/>
        <v>0</v>
      </c>
      <c r="AE51" s="171">
        <f t="shared" si="10"/>
        <v>3.5304375000000001</v>
      </c>
      <c r="AF51" s="171">
        <f t="shared" si="10"/>
        <v>3.5304375000000001</v>
      </c>
      <c r="AG51" s="171">
        <f t="shared" si="10"/>
        <v>3.5304375000000001</v>
      </c>
      <c r="AH51" s="171">
        <f t="shared" si="10"/>
        <v>3.5304375000000001</v>
      </c>
      <c r="AI51" s="171">
        <f t="shared" si="10"/>
        <v>3.5304375000000001</v>
      </c>
      <c r="AJ51" s="171">
        <f t="shared" si="10"/>
        <v>3.5304375000000001</v>
      </c>
      <c r="AK51" s="171">
        <f t="shared" si="11"/>
        <v>3.5304375000000001</v>
      </c>
      <c r="AL51" s="171">
        <f t="shared" si="11"/>
        <v>6.6646504678371619</v>
      </c>
      <c r="AM51" s="171">
        <f t="shared" si="11"/>
        <v>6.6646504678371619</v>
      </c>
      <c r="AN51" s="171">
        <f t="shared" si="11"/>
        <v>6.6646504678371619</v>
      </c>
      <c r="AO51" s="171">
        <f t="shared" si="11"/>
        <v>6.6646504678371619</v>
      </c>
      <c r="AP51" s="171">
        <f t="shared" si="11"/>
        <v>6.6646504678371619</v>
      </c>
      <c r="AQ51" s="171">
        <f t="shared" si="11"/>
        <v>6.6646504678371619</v>
      </c>
      <c r="AR51" s="171">
        <f t="shared" si="11"/>
        <v>6.6646504678371619</v>
      </c>
      <c r="AS51" s="171">
        <f t="shared" si="11"/>
        <v>6.6646504678371619</v>
      </c>
      <c r="AT51" s="171">
        <f t="shared" si="11"/>
        <v>6.6646504678371619</v>
      </c>
      <c r="AU51" s="171">
        <f t="shared" si="12"/>
        <v>6.6646504678371619</v>
      </c>
      <c r="AV51" s="171">
        <f t="shared" si="12"/>
        <v>6.6646504678371619</v>
      </c>
      <c r="AW51" s="171">
        <f t="shared" si="12"/>
        <v>6.6646504678371619</v>
      </c>
      <c r="AX51" s="171">
        <f t="shared" si="12"/>
        <v>6.6646504678371619</v>
      </c>
      <c r="AY51" s="171">
        <f t="shared" si="12"/>
        <v>6.6646504678371619</v>
      </c>
      <c r="AZ51" s="171">
        <f t="shared" si="12"/>
        <v>6.6646504678371619</v>
      </c>
      <c r="BA51" s="171">
        <f t="shared" si="12"/>
        <v>0</v>
      </c>
      <c r="BB51" s="171">
        <f t="shared" si="12"/>
        <v>0</v>
      </c>
      <c r="BC51" s="171">
        <f t="shared" si="12"/>
        <v>0</v>
      </c>
      <c r="BD51" s="171">
        <f t="shared" si="12"/>
        <v>0</v>
      </c>
      <c r="BE51" s="171">
        <f t="shared" si="13"/>
        <v>0</v>
      </c>
      <c r="BF51" s="171">
        <f t="shared" si="13"/>
        <v>0</v>
      </c>
      <c r="BG51" s="171">
        <f t="shared" si="13"/>
        <v>0</v>
      </c>
      <c r="BH51" s="171">
        <f t="shared" si="13"/>
        <v>0</v>
      </c>
      <c r="BI51" s="171">
        <f t="shared" si="13"/>
        <v>0</v>
      </c>
      <c r="BJ51" s="171">
        <f t="shared" si="13"/>
        <v>0</v>
      </c>
      <c r="BK51" s="171">
        <f t="shared" si="13"/>
        <v>0</v>
      </c>
      <c r="BL51" s="171">
        <f t="shared" si="13"/>
        <v>0</v>
      </c>
      <c r="BM51" s="171">
        <f t="shared" si="13"/>
        <v>0</v>
      </c>
      <c r="BN51" s="171">
        <f t="shared" si="13"/>
        <v>0</v>
      </c>
      <c r="BO51" s="171">
        <f t="shared" si="14"/>
        <v>0</v>
      </c>
      <c r="BP51" s="171">
        <f t="shared" si="14"/>
        <v>0</v>
      </c>
      <c r="BQ51" s="171">
        <f t="shared" si="14"/>
        <v>0</v>
      </c>
      <c r="BR51" s="171">
        <f t="shared" si="14"/>
        <v>0</v>
      </c>
      <c r="BS51" s="171">
        <f t="shared" si="14"/>
        <v>0</v>
      </c>
      <c r="BT51" s="171">
        <f t="shared" si="14"/>
        <v>0</v>
      </c>
      <c r="BU51" s="171">
        <f t="shared" si="14"/>
        <v>0</v>
      </c>
      <c r="BV51" s="171">
        <f t="shared" si="14"/>
        <v>0</v>
      </c>
      <c r="BW51" s="171">
        <f t="shared" si="14"/>
        <v>0</v>
      </c>
      <c r="BX51" s="171">
        <f t="shared" si="14"/>
        <v>0</v>
      </c>
      <c r="BY51" s="171">
        <f t="shared" si="15"/>
        <v>0</v>
      </c>
      <c r="BZ51" s="171">
        <f t="shared" si="15"/>
        <v>0</v>
      </c>
      <c r="CA51" s="171">
        <f t="shared" si="15"/>
        <v>0</v>
      </c>
      <c r="CB51" s="171">
        <f t="shared" si="15"/>
        <v>0</v>
      </c>
      <c r="CC51" s="171">
        <f t="shared" si="15"/>
        <v>0</v>
      </c>
      <c r="CD51" s="171">
        <f t="shared" si="15"/>
        <v>0</v>
      </c>
      <c r="CE51" s="171">
        <f t="shared" si="15"/>
        <v>0</v>
      </c>
      <c r="CF51" s="171">
        <f t="shared" si="15"/>
        <v>0</v>
      </c>
      <c r="CG51" s="171">
        <f t="shared" si="15"/>
        <v>0</v>
      </c>
      <c r="CH51" s="171">
        <f t="shared" si="15"/>
        <v>0</v>
      </c>
      <c r="CI51" s="171">
        <f t="shared" si="15"/>
        <v>0</v>
      </c>
      <c r="CJ51" s="243"/>
      <c r="CK51" s="171">
        <f t="shared" si="16"/>
        <v>0</v>
      </c>
      <c r="CL51" s="171">
        <f t="shared" si="17"/>
        <v>0</v>
      </c>
      <c r="CM51" s="171">
        <f t="shared" si="18"/>
        <v>0</v>
      </c>
      <c r="CN51" s="171">
        <f t="shared" si="19"/>
        <v>0</v>
      </c>
      <c r="CO51" s="171">
        <f t="shared" si="20"/>
        <v>3.5304375000000001</v>
      </c>
      <c r="CP51" s="171">
        <f t="shared" si="21"/>
        <v>3.5304375000000001</v>
      </c>
      <c r="CQ51" s="171">
        <f t="shared" si="22"/>
        <v>3.5304375000000001</v>
      </c>
      <c r="CR51" s="171">
        <f t="shared" si="23"/>
        <v>3.5304375000000001</v>
      </c>
      <c r="CS51" s="171">
        <f t="shared" si="24"/>
        <v>3.5304375000000001</v>
      </c>
      <c r="CT51" s="171">
        <f t="shared" si="25"/>
        <v>3.5304375000000001</v>
      </c>
      <c r="CU51" s="171">
        <f t="shared" si="26"/>
        <v>3.5304375000000001</v>
      </c>
      <c r="CV51" s="171">
        <f t="shared" si="27"/>
        <v>6.6646504678371619</v>
      </c>
      <c r="CW51" s="171">
        <f t="shared" si="28"/>
        <v>6.6646504678371619</v>
      </c>
      <c r="CX51" s="171">
        <f t="shared" si="29"/>
        <v>6.6646504678371619</v>
      </c>
      <c r="CY51" s="171">
        <f t="shared" ca="1" si="30"/>
        <v>6.3272003521062699</v>
      </c>
      <c r="CZ51" s="171">
        <f t="shared" ca="1" si="31"/>
        <v>6.0068362907988346</v>
      </c>
      <c r="DA51" s="171">
        <f t="shared" ca="1" si="32"/>
        <v>5.7026931686218054</v>
      </c>
      <c r="DB51" s="171">
        <f t="shared" ca="1" si="33"/>
        <v>5.4139496735178971</v>
      </c>
      <c r="DC51" s="171">
        <f t="shared" ca="1" si="34"/>
        <v>5.1398260787837948</v>
      </c>
      <c r="DD51" s="171">
        <f t="shared" ca="1" si="35"/>
        <v>4.8795821374859818</v>
      </c>
      <c r="DE51" s="171">
        <f t="shared" ca="1" si="36"/>
        <v>4.632515083488264</v>
      </c>
      <c r="DF51" s="171">
        <f t="shared" ca="1" si="37"/>
        <v>4.3979577336929152</v>
      </c>
      <c r="DG51" s="171">
        <f t="shared" ca="1" si="38"/>
        <v>4.1752766863707338</v>
      </c>
      <c r="DH51" s="171">
        <f t="shared" ca="1" si="39"/>
        <v>3.9638706107147446</v>
      </c>
      <c r="DI51" s="171">
        <f t="shared" ca="1" si="40"/>
        <v>3.7631686229986414</v>
      </c>
      <c r="DJ51" s="171">
        <f t="shared" ca="1" si="41"/>
        <v>3.5726287449549154</v>
      </c>
      <c r="DK51" s="171">
        <f t="shared" ca="1" si="42"/>
        <v>0</v>
      </c>
      <c r="DL51" s="171">
        <f t="shared" ca="1" si="43"/>
        <v>0</v>
      </c>
      <c r="DM51" s="171">
        <f t="shared" ca="1" si="44"/>
        <v>0</v>
      </c>
      <c r="DN51" s="171">
        <f t="shared" ca="1" si="45"/>
        <v>0</v>
      </c>
      <c r="DO51" s="171">
        <f t="shared" ca="1" si="46"/>
        <v>0</v>
      </c>
      <c r="DP51" s="171">
        <f t="shared" ca="1" si="47"/>
        <v>0</v>
      </c>
      <c r="DQ51" s="171">
        <f t="shared" ca="1" si="48"/>
        <v>0</v>
      </c>
      <c r="DR51" s="171">
        <f t="shared" ca="1" si="49"/>
        <v>0</v>
      </c>
      <c r="DS51" s="171">
        <f t="shared" ca="1" si="50"/>
        <v>0</v>
      </c>
      <c r="DT51" s="171">
        <f t="shared" ca="1" si="51"/>
        <v>0</v>
      </c>
      <c r="DU51" s="171">
        <f t="shared" ca="1" si="52"/>
        <v>0</v>
      </c>
      <c r="DV51" s="171">
        <f t="shared" ca="1" si="53"/>
        <v>0</v>
      </c>
      <c r="DW51" s="171">
        <f t="shared" ca="1" si="54"/>
        <v>0</v>
      </c>
      <c r="DX51" s="171">
        <f t="shared" ca="1" si="55"/>
        <v>0</v>
      </c>
      <c r="DY51" s="171">
        <f t="shared" ca="1" si="56"/>
        <v>0</v>
      </c>
      <c r="DZ51" s="171">
        <f t="shared" ca="1" si="57"/>
        <v>0</v>
      </c>
      <c r="EA51" s="171">
        <f t="shared" ca="1" si="58"/>
        <v>0</v>
      </c>
      <c r="EB51" s="171">
        <f t="shared" ca="1" si="59"/>
        <v>0</v>
      </c>
      <c r="EC51" s="171">
        <f t="shared" ca="1" si="60"/>
        <v>0</v>
      </c>
      <c r="ED51" s="171">
        <f t="shared" ca="1" si="61"/>
        <v>0</v>
      </c>
      <c r="EE51" s="171">
        <f t="shared" ca="1" si="62"/>
        <v>0</v>
      </c>
      <c r="EF51" s="171">
        <f t="shared" ca="1" si="63"/>
        <v>0</v>
      </c>
      <c r="EG51" s="171">
        <f t="shared" ca="1" si="64"/>
        <v>0</v>
      </c>
      <c r="EH51" s="171">
        <f t="shared" ca="1" si="65"/>
        <v>0</v>
      </c>
      <c r="EI51" s="171">
        <f t="shared" ca="1" si="66"/>
        <v>0</v>
      </c>
      <c r="EJ51" s="171">
        <f t="shared" ca="1" si="67"/>
        <v>0</v>
      </c>
      <c r="EK51" s="171">
        <f t="shared" ca="1" si="68"/>
        <v>0</v>
      </c>
      <c r="EL51" s="171">
        <f t="shared" ca="1" si="69"/>
        <v>0</v>
      </c>
      <c r="EM51" s="171">
        <f t="shared" ca="1" si="70"/>
        <v>0</v>
      </c>
      <c r="EN51" s="171">
        <f t="shared" ca="1" si="71"/>
        <v>0</v>
      </c>
      <c r="EO51" s="171">
        <f t="shared" ca="1" si="72"/>
        <v>0</v>
      </c>
      <c r="EP51" s="171">
        <f t="shared" ca="1" si="73"/>
        <v>0</v>
      </c>
      <c r="EQ51" s="171">
        <f t="shared" ca="1" si="74"/>
        <v>0</v>
      </c>
      <c r="ER51" s="171">
        <f t="shared" ca="1" si="75"/>
        <v>0</v>
      </c>
      <c r="ES51" s="171">
        <f t="shared" ca="1" si="76"/>
        <v>0</v>
      </c>
    </row>
    <row r="52" spans="1:149">
      <c r="A52" s="139" t="s">
        <v>392</v>
      </c>
      <c r="B52" s="170" t="s">
        <v>404</v>
      </c>
      <c r="C52" s="161" t="s">
        <v>29</v>
      </c>
      <c r="D52" s="161" t="s">
        <v>394</v>
      </c>
      <c r="E52" s="160">
        <v>2014</v>
      </c>
      <c r="F52" s="161" t="s">
        <v>405</v>
      </c>
      <c r="G52" s="161" t="s">
        <v>289</v>
      </c>
      <c r="H52" s="161" t="s">
        <v>406</v>
      </c>
      <c r="I52" s="161" t="s">
        <v>365</v>
      </c>
      <c r="J52" s="161" t="s">
        <v>407</v>
      </c>
      <c r="K52" s="162">
        <v>17.100000000000001</v>
      </c>
      <c r="L52" s="163" t="s">
        <v>110</v>
      </c>
      <c r="M52" s="164">
        <f t="shared" si="0"/>
        <v>17.100000000000001</v>
      </c>
      <c r="N52" s="164">
        <f t="shared" si="1"/>
        <v>17.100000000000001</v>
      </c>
      <c r="O52" s="165">
        <f t="shared" si="2"/>
        <v>1</v>
      </c>
      <c r="P52" s="166">
        <v>0.16800000000000001</v>
      </c>
      <c r="Q52" s="167">
        <v>25</v>
      </c>
      <c r="R52" s="168">
        <f t="shared" si="3"/>
        <v>15</v>
      </c>
      <c r="S52" s="169">
        <v>0</v>
      </c>
      <c r="T52" s="161" t="s">
        <v>289</v>
      </c>
      <c r="U52" s="171">
        <f t="shared" si="4"/>
        <v>2.9877119999999997</v>
      </c>
      <c r="V52" s="171">
        <f t="shared" ca="1" si="5"/>
        <v>2.3654819264598732</v>
      </c>
      <c r="W52" s="171">
        <f t="shared" ca="1" si="6"/>
        <v>59.137048161496828</v>
      </c>
      <c r="X52" s="172" t="str">
        <f t="shared" si="7"/>
        <v>Equity</v>
      </c>
      <c r="Y52" s="172" t="str">
        <f t="shared" si="8"/>
        <v>Equity</v>
      </c>
      <c r="Z52" s="173">
        <f t="shared" si="9"/>
        <v>74.692799999999991</v>
      </c>
      <c r="AA52" s="171">
        <f t="shared" si="10"/>
        <v>0</v>
      </c>
      <c r="AB52" s="171">
        <f t="shared" si="10"/>
        <v>0</v>
      </c>
      <c r="AC52" s="171">
        <f t="shared" si="10"/>
        <v>0</v>
      </c>
      <c r="AD52" s="171">
        <f t="shared" si="10"/>
        <v>0</v>
      </c>
      <c r="AE52" s="171">
        <f t="shared" si="10"/>
        <v>2.8728000000000002</v>
      </c>
      <c r="AF52" s="171">
        <f t="shared" si="10"/>
        <v>2.8728000000000002</v>
      </c>
      <c r="AG52" s="171">
        <f t="shared" si="10"/>
        <v>2.8728000000000002</v>
      </c>
      <c r="AH52" s="171">
        <f t="shared" si="10"/>
        <v>2.8728000000000002</v>
      </c>
      <c r="AI52" s="171">
        <f t="shared" si="10"/>
        <v>2.8728000000000002</v>
      </c>
      <c r="AJ52" s="171">
        <f t="shared" si="10"/>
        <v>2.8728000000000002</v>
      </c>
      <c r="AK52" s="171">
        <f t="shared" si="11"/>
        <v>2.8728000000000002</v>
      </c>
      <c r="AL52" s="171">
        <f t="shared" si="11"/>
        <v>2.8728000000000002</v>
      </c>
      <c r="AM52" s="171">
        <f t="shared" si="11"/>
        <v>2.8728000000000002</v>
      </c>
      <c r="AN52" s="171">
        <f t="shared" si="11"/>
        <v>2.8728000000000002</v>
      </c>
      <c r="AO52" s="171">
        <f t="shared" si="11"/>
        <v>2.8728000000000002</v>
      </c>
      <c r="AP52" s="171">
        <f t="shared" si="11"/>
        <v>2.8728000000000002</v>
      </c>
      <c r="AQ52" s="171">
        <f t="shared" si="11"/>
        <v>2.8728000000000002</v>
      </c>
      <c r="AR52" s="171">
        <f t="shared" si="11"/>
        <v>2.8728000000000002</v>
      </c>
      <c r="AS52" s="171">
        <f t="shared" si="11"/>
        <v>2.8728000000000002</v>
      </c>
      <c r="AT52" s="171">
        <f t="shared" si="11"/>
        <v>2.8728000000000002</v>
      </c>
      <c r="AU52" s="171">
        <f t="shared" si="12"/>
        <v>2.8728000000000002</v>
      </c>
      <c r="AV52" s="171">
        <f t="shared" si="12"/>
        <v>2.8728000000000002</v>
      </c>
      <c r="AW52" s="171">
        <f t="shared" si="12"/>
        <v>2.8728000000000002</v>
      </c>
      <c r="AX52" s="171">
        <f t="shared" si="12"/>
        <v>2.8728000000000002</v>
      </c>
      <c r="AY52" s="171">
        <f t="shared" si="12"/>
        <v>2.8728000000000002</v>
      </c>
      <c r="AZ52" s="171">
        <f t="shared" si="12"/>
        <v>2.8728000000000002</v>
      </c>
      <c r="BA52" s="171">
        <f t="shared" si="12"/>
        <v>2.8728000000000002</v>
      </c>
      <c r="BB52" s="171">
        <f t="shared" si="12"/>
        <v>2.8728000000000002</v>
      </c>
      <c r="BC52" s="171">
        <f t="shared" si="12"/>
        <v>2.8728000000000002</v>
      </c>
      <c r="BD52" s="171">
        <f t="shared" si="12"/>
        <v>2.8728000000000002</v>
      </c>
      <c r="BE52" s="171">
        <f t="shared" si="13"/>
        <v>0</v>
      </c>
      <c r="BF52" s="171">
        <f t="shared" si="13"/>
        <v>0</v>
      </c>
      <c r="BG52" s="171">
        <f t="shared" si="13"/>
        <v>0</v>
      </c>
      <c r="BH52" s="171">
        <f t="shared" si="13"/>
        <v>0</v>
      </c>
      <c r="BI52" s="171">
        <f t="shared" si="13"/>
        <v>0</v>
      </c>
      <c r="BJ52" s="171">
        <f t="shared" si="13"/>
        <v>0</v>
      </c>
      <c r="BK52" s="171">
        <f t="shared" si="13"/>
        <v>0</v>
      </c>
      <c r="BL52" s="171">
        <f t="shared" si="13"/>
        <v>0</v>
      </c>
      <c r="BM52" s="171">
        <f t="shared" si="13"/>
        <v>0</v>
      </c>
      <c r="BN52" s="171">
        <f t="shared" si="13"/>
        <v>0</v>
      </c>
      <c r="BO52" s="171">
        <f t="shared" si="14"/>
        <v>0</v>
      </c>
      <c r="BP52" s="171">
        <f t="shared" si="14"/>
        <v>0</v>
      </c>
      <c r="BQ52" s="171">
        <f t="shared" si="14"/>
        <v>0</v>
      </c>
      <c r="BR52" s="171">
        <f t="shared" si="14"/>
        <v>0</v>
      </c>
      <c r="BS52" s="171">
        <f t="shared" si="14"/>
        <v>0</v>
      </c>
      <c r="BT52" s="171">
        <f t="shared" si="14"/>
        <v>0</v>
      </c>
      <c r="BU52" s="171">
        <f t="shared" si="14"/>
        <v>0</v>
      </c>
      <c r="BV52" s="171">
        <f t="shared" si="14"/>
        <v>0</v>
      </c>
      <c r="BW52" s="171">
        <f t="shared" si="14"/>
        <v>0</v>
      </c>
      <c r="BX52" s="171">
        <f t="shared" si="14"/>
        <v>0</v>
      </c>
      <c r="BY52" s="171">
        <f t="shared" si="15"/>
        <v>0</v>
      </c>
      <c r="BZ52" s="171">
        <f t="shared" si="15"/>
        <v>0</v>
      </c>
      <c r="CA52" s="171">
        <f t="shared" si="15"/>
        <v>0</v>
      </c>
      <c r="CB52" s="171">
        <f t="shared" si="15"/>
        <v>0</v>
      </c>
      <c r="CC52" s="171">
        <f t="shared" si="15"/>
        <v>0</v>
      </c>
      <c r="CD52" s="171">
        <f t="shared" si="15"/>
        <v>0</v>
      </c>
      <c r="CE52" s="171">
        <f t="shared" si="15"/>
        <v>0</v>
      </c>
      <c r="CF52" s="171">
        <f t="shared" si="15"/>
        <v>0</v>
      </c>
      <c r="CG52" s="171">
        <f t="shared" si="15"/>
        <v>0</v>
      </c>
      <c r="CH52" s="171">
        <f t="shared" si="15"/>
        <v>0</v>
      </c>
      <c r="CI52" s="171">
        <f t="shared" si="15"/>
        <v>0</v>
      </c>
      <c r="CJ52" s="243"/>
      <c r="CK52" s="171">
        <f t="shared" si="16"/>
        <v>0</v>
      </c>
      <c r="CL52" s="171">
        <f t="shared" si="17"/>
        <v>0</v>
      </c>
      <c r="CM52" s="171">
        <f t="shared" si="18"/>
        <v>0</v>
      </c>
      <c r="CN52" s="171">
        <f t="shared" si="19"/>
        <v>0</v>
      </c>
      <c r="CO52" s="171">
        <f t="shared" si="20"/>
        <v>2.8728000000000002</v>
      </c>
      <c r="CP52" s="171">
        <f t="shared" si="21"/>
        <v>2.8728000000000002</v>
      </c>
      <c r="CQ52" s="171">
        <f t="shared" si="22"/>
        <v>2.8728000000000002</v>
      </c>
      <c r="CR52" s="171">
        <f t="shared" si="23"/>
        <v>2.8728000000000002</v>
      </c>
      <c r="CS52" s="171">
        <f t="shared" si="24"/>
        <v>2.8728000000000002</v>
      </c>
      <c r="CT52" s="171">
        <f t="shared" si="25"/>
        <v>2.8728000000000002</v>
      </c>
      <c r="CU52" s="171">
        <f t="shared" si="26"/>
        <v>2.8728000000000002</v>
      </c>
      <c r="CV52" s="171">
        <f t="shared" si="27"/>
        <v>2.8728000000000002</v>
      </c>
      <c r="CW52" s="171">
        <f t="shared" si="28"/>
        <v>2.8728000000000002</v>
      </c>
      <c r="CX52" s="171">
        <f t="shared" si="29"/>
        <v>2.8728000000000002</v>
      </c>
      <c r="CY52" s="171">
        <f t="shared" ca="1" si="30"/>
        <v>2.7273420052934436</v>
      </c>
      <c r="CZ52" s="171">
        <f t="shared" ca="1" si="31"/>
        <v>2.5892489605395648</v>
      </c>
      <c r="DA52" s="171">
        <f t="shared" ca="1" si="32"/>
        <v>2.458147957477701</v>
      </c>
      <c r="DB52" s="171">
        <f t="shared" ca="1" si="33"/>
        <v>2.3336849692478472</v>
      </c>
      <c r="DC52" s="171">
        <f t="shared" ca="1" si="34"/>
        <v>2.2155238943718989</v>
      </c>
      <c r="DD52" s="171">
        <f t="shared" ca="1" si="35"/>
        <v>2.1033456491408358</v>
      </c>
      <c r="DE52" s="171">
        <f t="shared" ca="1" si="36"/>
        <v>1.9968473059569085</v>
      </c>
      <c r="DF52" s="171">
        <f t="shared" ca="1" si="37"/>
        <v>1.8957412753039977</v>
      </c>
      <c r="DG52" s="171">
        <f t="shared" ca="1" si="38"/>
        <v>1.7997545291371329</v>
      </c>
      <c r="DH52" s="171">
        <f t="shared" ca="1" si="39"/>
        <v>1.7086278635939935</v>
      </c>
      <c r="DI52" s="171">
        <f t="shared" ca="1" si="40"/>
        <v>1.6221151990374179</v>
      </c>
      <c r="DJ52" s="171">
        <f t="shared" ca="1" si="41"/>
        <v>1.5399829155387372</v>
      </c>
      <c r="DK52" s="171">
        <f t="shared" ca="1" si="42"/>
        <v>1.462009222007471</v>
      </c>
      <c r="DL52" s="171">
        <f t="shared" ca="1" si="43"/>
        <v>1.3879835572637715</v>
      </c>
      <c r="DM52" s="171">
        <f t="shared" ca="1" si="44"/>
        <v>1.317706021436265</v>
      </c>
      <c r="DN52" s="171">
        <f t="shared" ca="1" si="45"/>
        <v>1.2509868361498286</v>
      </c>
      <c r="DO52" s="171">
        <f t="shared" ca="1" si="46"/>
        <v>0</v>
      </c>
      <c r="DP52" s="171">
        <f t="shared" ca="1" si="47"/>
        <v>0</v>
      </c>
      <c r="DQ52" s="171">
        <f t="shared" ca="1" si="48"/>
        <v>0</v>
      </c>
      <c r="DR52" s="171">
        <f t="shared" ca="1" si="49"/>
        <v>0</v>
      </c>
      <c r="DS52" s="171">
        <f t="shared" ca="1" si="50"/>
        <v>0</v>
      </c>
      <c r="DT52" s="171">
        <f t="shared" ca="1" si="51"/>
        <v>0</v>
      </c>
      <c r="DU52" s="171">
        <f t="shared" ca="1" si="52"/>
        <v>0</v>
      </c>
      <c r="DV52" s="171">
        <f t="shared" ca="1" si="53"/>
        <v>0</v>
      </c>
      <c r="DW52" s="171">
        <f t="shared" ca="1" si="54"/>
        <v>0</v>
      </c>
      <c r="DX52" s="171">
        <f t="shared" ca="1" si="55"/>
        <v>0</v>
      </c>
      <c r="DY52" s="171">
        <f t="shared" ca="1" si="56"/>
        <v>0</v>
      </c>
      <c r="DZ52" s="171">
        <f t="shared" ca="1" si="57"/>
        <v>0</v>
      </c>
      <c r="EA52" s="171">
        <f t="shared" ca="1" si="58"/>
        <v>0</v>
      </c>
      <c r="EB52" s="171">
        <f t="shared" ca="1" si="59"/>
        <v>0</v>
      </c>
      <c r="EC52" s="171">
        <f t="shared" ca="1" si="60"/>
        <v>0</v>
      </c>
      <c r="ED52" s="171">
        <f t="shared" ca="1" si="61"/>
        <v>0</v>
      </c>
      <c r="EE52" s="171">
        <f t="shared" ca="1" si="62"/>
        <v>0</v>
      </c>
      <c r="EF52" s="171">
        <f t="shared" ca="1" si="63"/>
        <v>0</v>
      </c>
      <c r="EG52" s="171">
        <f t="shared" ca="1" si="64"/>
        <v>0</v>
      </c>
      <c r="EH52" s="171">
        <f t="shared" ca="1" si="65"/>
        <v>0</v>
      </c>
      <c r="EI52" s="171">
        <f t="shared" ca="1" si="66"/>
        <v>0</v>
      </c>
      <c r="EJ52" s="171">
        <f t="shared" ca="1" si="67"/>
        <v>0</v>
      </c>
      <c r="EK52" s="171">
        <f t="shared" ca="1" si="68"/>
        <v>0</v>
      </c>
      <c r="EL52" s="171">
        <f t="shared" ca="1" si="69"/>
        <v>0</v>
      </c>
      <c r="EM52" s="171">
        <f t="shared" ca="1" si="70"/>
        <v>0</v>
      </c>
      <c r="EN52" s="171">
        <f t="shared" ca="1" si="71"/>
        <v>0</v>
      </c>
      <c r="EO52" s="171">
        <f t="shared" ca="1" si="72"/>
        <v>0</v>
      </c>
      <c r="EP52" s="171">
        <f t="shared" ca="1" si="73"/>
        <v>0</v>
      </c>
      <c r="EQ52" s="171">
        <f t="shared" ca="1" si="74"/>
        <v>0</v>
      </c>
      <c r="ER52" s="171">
        <f t="shared" ca="1" si="75"/>
        <v>0</v>
      </c>
      <c r="ES52" s="171">
        <f t="shared" ca="1" si="76"/>
        <v>0</v>
      </c>
    </row>
    <row r="53" spans="1:149">
      <c r="A53" s="139" t="s">
        <v>392</v>
      </c>
      <c r="B53" s="174" t="s">
        <v>408</v>
      </c>
      <c r="C53" s="160" t="s">
        <v>29</v>
      </c>
      <c r="D53" s="161" t="s">
        <v>394</v>
      </c>
      <c r="E53" s="160">
        <v>2014</v>
      </c>
      <c r="F53" s="160" t="s">
        <v>405</v>
      </c>
      <c r="G53" s="160" t="s">
        <v>289</v>
      </c>
      <c r="H53" s="160" t="s">
        <v>406</v>
      </c>
      <c r="I53" s="160" t="s">
        <v>365</v>
      </c>
      <c r="J53" s="160" t="s">
        <v>407</v>
      </c>
      <c r="K53" s="175">
        <v>11.4</v>
      </c>
      <c r="L53" s="163" t="s">
        <v>110</v>
      </c>
      <c r="M53" s="164">
        <f t="shared" si="0"/>
        <v>11.4</v>
      </c>
      <c r="N53" s="164">
        <f t="shared" si="1"/>
        <v>11.4</v>
      </c>
      <c r="O53" s="165">
        <f t="shared" si="2"/>
        <v>1</v>
      </c>
      <c r="P53" s="176">
        <v>0.16800000000000001</v>
      </c>
      <c r="Q53" s="177">
        <v>25</v>
      </c>
      <c r="R53" s="168">
        <f t="shared" si="3"/>
        <v>15</v>
      </c>
      <c r="S53" s="178">
        <v>0</v>
      </c>
      <c r="T53" s="160" t="s">
        <v>289</v>
      </c>
      <c r="U53" s="171">
        <f t="shared" si="4"/>
        <v>1.9918079999999991</v>
      </c>
      <c r="V53" s="171">
        <f t="shared" ca="1" si="5"/>
        <v>1.5769879509732485</v>
      </c>
      <c r="W53" s="171">
        <f t="shared" ca="1" si="6"/>
        <v>39.424698774331212</v>
      </c>
      <c r="X53" s="172" t="str">
        <f t="shared" si="7"/>
        <v>Equity</v>
      </c>
      <c r="Y53" s="172" t="str">
        <f t="shared" si="8"/>
        <v>Equity</v>
      </c>
      <c r="Z53" s="173">
        <f t="shared" si="9"/>
        <v>49.79519999999998</v>
      </c>
      <c r="AA53" s="171">
        <f t="shared" si="10"/>
        <v>0</v>
      </c>
      <c r="AB53" s="171">
        <f t="shared" si="10"/>
        <v>0</v>
      </c>
      <c r="AC53" s="171">
        <f t="shared" si="10"/>
        <v>0</v>
      </c>
      <c r="AD53" s="171">
        <f t="shared" si="10"/>
        <v>0</v>
      </c>
      <c r="AE53" s="171">
        <f t="shared" si="10"/>
        <v>1.9152000000000002</v>
      </c>
      <c r="AF53" s="171">
        <f t="shared" si="10"/>
        <v>1.9152000000000002</v>
      </c>
      <c r="AG53" s="171">
        <f t="shared" si="10"/>
        <v>1.9152000000000002</v>
      </c>
      <c r="AH53" s="171">
        <f t="shared" si="10"/>
        <v>1.9152000000000002</v>
      </c>
      <c r="AI53" s="171">
        <f t="shared" si="10"/>
        <v>1.9152000000000002</v>
      </c>
      <c r="AJ53" s="171">
        <f t="shared" si="10"/>
        <v>1.9152000000000002</v>
      </c>
      <c r="AK53" s="171">
        <f t="shared" si="11"/>
        <v>1.9152000000000002</v>
      </c>
      <c r="AL53" s="171">
        <f t="shared" si="11"/>
        <v>1.9152000000000002</v>
      </c>
      <c r="AM53" s="171">
        <f t="shared" si="11"/>
        <v>1.9152000000000002</v>
      </c>
      <c r="AN53" s="171">
        <f t="shared" si="11"/>
        <v>1.9152000000000002</v>
      </c>
      <c r="AO53" s="171">
        <f t="shared" si="11"/>
        <v>1.9152000000000002</v>
      </c>
      <c r="AP53" s="171">
        <f t="shared" si="11"/>
        <v>1.9152000000000002</v>
      </c>
      <c r="AQ53" s="171">
        <f t="shared" si="11"/>
        <v>1.9152000000000002</v>
      </c>
      <c r="AR53" s="171">
        <f t="shared" si="11"/>
        <v>1.9152000000000002</v>
      </c>
      <c r="AS53" s="171">
        <f t="shared" si="11"/>
        <v>1.9152000000000002</v>
      </c>
      <c r="AT53" s="171">
        <f t="shared" si="11"/>
        <v>1.9152000000000002</v>
      </c>
      <c r="AU53" s="171">
        <f t="shared" si="12"/>
        <v>1.9152000000000002</v>
      </c>
      <c r="AV53" s="171">
        <f t="shared" si="12"/>
        <v>1.9152000000000002</v>
      </c>
      <c r="AW53" s="171">
        <f t="shared" si="12"/>
        <v>1.9152000000000002</v>
      </c>
      <c r="AX53" s="171">
        <f t="shared" si="12"/>
        <v>1.9152000000000002</v>
      </c>
      <c r="AY53" s="171">
        <f t="shared" si="12"/>
        <v>1.9152000000000002</v>
      </c>
      <c r="AZ53" s="171">
        <f t="shared" si="12"/>
        <v>1.9152000000000002</v>
      </c>
      <c r="BA53" s="171">
        <f t="shared" si="12"/>
        <v>1.9152000000000002</v>
      </c>
      <c r="BB53" s="171">
        <f t="shared" si="12"/>
        <v>1.9152000000000002</v>
      </c>
      <c r="BC53" s="171">
        <f t="shared" si="12"/>
        <v>1.9152000000000002</v>
      </c>
      <c r="BD53" s="171">
        <f t="shared" si="12"/>
        <v>1.9152000000000002</v>
      </c>
      <c r="BE53" s="171">
        <f t="shared" si="13"/>
        <v>0</v>
      </c>
      <c r="BF53" s="171">
        <f t="shared" si="13"/>
        <v>0</v>
      </c>
      <c r="BG53" s="171">
        <f t="shared" si="13"/>
        <v>0</v>
      </c>
      <c r="BH53" s="171">
        <f t="shared" si="13"/>
        <v>0</v>
      </c>
      <c r="BI53" s="171">
        <f t="shared" si="13"/>
        <v>0</v>
      </c>
      <c r="BJ53" s="171">
        <f t="shared" si="13"/>
        <v>0</v>
      </c>
      <c r="BK53" s="171">
        <f t="shared" si="13"/>
        <v>0</v>
      </c>
      <c r="BL53" s="171">
        <f t="shared" si="13"/>
        <v>0</v>
      </c>
      <c r="BM53" s="171">
        <f t="shared" si="13"/>
        <v>0</v>
      </c>
      <c r="BN53" s="171">
        <f t="shared" si="13"/>
        <v>0</v>
      </c>
      <c r="BO53" s="171">
        <f t="shared" si="14"/>
        <v>0</v>
      </c>
      <c r="BP53" s="171">
        <f t="shared" si="14"/>
        <v>0</v>
      </c>
      <c r="BQ53" s="171">
        <f t="shared" si="14"/>
        <v>0</v>
      </c>
      <c r="BR53" s="171">
        <f t="shared" si="14"/>
        <v>0</v>
      </c>
      <c r="BS53" s="171">
        <f t="shared" si="14"/>
        <v>0</v>
      </c>
      <c r="BT53" s="171">
        <f t="shared" si="14"/>
        <v>0</v>
      </c>
      <c r="BU53" s="171">
        <f t="shared" si="14"/>
        <v>0</v>
      </c>
      <c r="BV53" s="171">
        <f t="shared" si="14"/>
        <v>0</v>
      </c>
      <c r="BW53" s="171">
        <f t="shared" si="14"/>
        <v>0</v>
      </c>
      <c r="BX53" s="171">
        <f t="shared" si="14"/>
        <v>0</v>
      </c>
      <c r="BY53" s="171">
        <f t="shared" si="15"/>
        <v>0</v>
      </c>
      <c r="BZ53" s="171">
        <f t="shared" si="15"/>
        <v>0</v>
      </c>
      <c r="CA53" s="171">
        <f t="shared" si="15"/>
        <v>0</v>
      </c>
      <c r="CB53" s="171">
        <f t="shared" si="15"/>
        <v>0</v>
      </c>
      <c r="CC53" s="171">
        <f t="shared" si="15"/>
        <v>0</v>
      </c>
      <c r="CD53" s="171">
        <f t="shared" si="15"/>
        <v>0</v>
      </c>
      <c r="CE53" s="171">
        <f t="shared" si="15"/>
        <v>0</v>
      </c>
      <c r="CF53" s="171">
        <f t="shared" si="15"/>
        <v>0</v>
      </c>
      <c r="CG53" s="171">
        <f t="shared" si="15"/>
        <v>0</v>
      </c>
      <c r="CH53" s="171">
        <f t="shared" si="15"/>
        <v>0</v>
      </c>
      <c r="CI53" s="171">
        <f t="shared" si="15"/>
        <v>0</v>
      </c>
      <c r="CJ53" s="243"/>
      <c r="CK53" s="171">
        <f t="shared" si="16"/>
        <v>0</v>
      </c>
      <c r="CL53" s="171">
        <f t="shared" si="17"/>
        <v>0</v>
      </c>
      <c r="CM53" s="171">
        <f t="shared" si="18"/>
        <v>0</v>
      </c>
      <c r="CN53" s="171">
        <f t="shared" si="19"/>
        <v>0</v>
      </c>
      <c r="CO53" s="171">
        <f t="shared" si="20"/>
        <v>1.9152000000000002</v>
      </c>
      <c r="CP53" s="171">
        <f t="shared" si="21"/>
        <v>1.9152000000000002</v>
      </c>
      <c r="CQ53" s="171">
        <f t="shared" si="22"/>
        <v>1.9152000000000002</v>
      </c>
      <c r="CR53" s="171">
        <f t="shared" si="23"/>
        <v>1.9152000000000002</v>
      </c>
      <c r="CS53" s="171">
        <f t="shared" si="24"/>
        <v>1.9152000000000002</v>
      </c>
      <c r="CT53" s="171">
        <f t="shared" si="25"/>
        <v>1.9152000000000002</v>
      </c>
      <c r="CU53" s="171">
        <f t="shared" si="26"/>
        <v>1.9152000000000002</v>
      </c>
      <c r="CV53" s="171">
        <f t="shared" si="27"/>
        <v>1.9152000000000002</v>
      </c>
      <c r="CW53" s="171">
        <f t="shared" si="28"/>
        <v>1.9152000000000002</v>
      </c>
      <c r="CX53" s="171">
        <f t="shared" si="29"/>
        <v>1.9152000000000002</v>
      </c>
      <c r="CY53" s="171">
        <f t="shared" ca="1" si="30"/>
        <v>1.8182280035289624</v>
      </c>
      <c r="CZ53" s="171">
        <f t="shared" ca="1" si="31"/>
        <v>1.7261659736930433</v>
      </c>
      <c r="DA53" s="171">
        <f t="shared" ca="1" si="32"/>
        <v>1.6387653049851343</v>
      </c>
      <c r="DB53" s="171">
        <f t="shared" ca="1" si="33"/>
        <v>1.5557899794985648</v>
      </c>
      <c r="DC53" s="171">
        <f t="shared" ca="1" si="34"/>
        <v>1.4770159295812659</v>
      </c>
      <c r="DD53" s="171">
        <f t="shared" ca="1" si="35"/>
        <v>1.4022304327605573</v>
      </c>
      <c r="DE53" s="171">
        <f t="shared" ca="1" si="36"/>
        <v>1.3312315373046057</v>
      </c>
      <c r="DF53" s="171">
        <f t="shared" ca="1" si="37"/>
        <v>1.2638275168693318</v>
      </c>
      <c r="DG53" s="171">
        <f t="shared" ca="1" si="38"/>
        <v>1.1998363527580886</v>
      </c>
      <c r="DH53" s="171">
        <f t="shared" ca="1" si="39"/>
        <v>1.1390852423959958</v>
      </c>
      <c r="DI53" s="171">
        <f t="shared" ca="1" si="40"/>
        <v>1.0814101326916119</v>
      </c>
      <c r="DJ53" s="171">
        <f t="shared" ca="1" si="41"/>
        <v>1.0266552770258248</v>
      </c>
      <c r="DK53" s="171">
        <f t="shared" ca="1" si="42"/>
        <v>0.97467281467164735</v>
      </c>
      <c r="DL53" s="171">
        <f t="shared" ca="1" si="43"/>
        <v>0.92532237150918106</v>
      </c>
      <c r="DM53" s="171">
        <f t="shared" ca="1" si="44"/>
        <v>0.87847068095751002</v>
      </c>
      <c r="DN53" s="171">
        <f t="shared" ca="1" si="45"/>
        <v>0.8339912240998858</v>
      </c>
      <c r="DO53" s="171">
        <f t="shared" ca="1" si="46"/>
        <v>0</v>
      </c>
      <c r="DP53" s="171">
        <f t="shared" ca="1" si="47"/>
        <v>0</v>
      </c>
      <c r="DQ53" s="171">
        <f t="shared" ca="1" si="48"/>
        <v>0</v>
      </c>
      <c r="DR53" s="171">
        <f t="shared" ca="1" si="49"/>
        <v>0</v>
      </c>
      <c r="DS53" s="171">
        <f t="shared" ca="1" si="50"/>
        <v>0</v>
      </c>
      <c r="DT53" s="171">
        <f t="shared" ca="1" si="51"/>
        <v>0</v>
      </c>
      <c r="DU53" s="171">
        <f t="shared" ca="1" si="52"/>
        <v>0</v>
      </c>
      <c r="DV53" s="171">
        <f t="shared" ca="1" si="53"/>
        <v>0</v>
      </c>
      <c r="DW53" s="171">
        <f t="shared" ca="1" si="54"/>
        <v>0</v>
      </c>
      <c r="DX53" s="171">
        <f t="shared" ca="1" si="55"/>
        <v>0</v>
      </c>
      <c r="DY53" s="171">
        <f t="shared" ca="1" si="56"/>
        <v>0</v>
      </c>
      <c r="DZ53" s="171">
        <f t="shared" ca="1" si="57"/>
        <v>0</v>
      </c>
      <c r="EA53" s="171">
        <f t="shared" ca="1" si="58"/>
        <v>0</v>
      </c>
      <c r="EB53" s="171">
        <f t="shared" ca="1" si="59"/>
        <v>0</v>
      </c>
      <c r="EC53" s="171">
        <f t="shared" ca="1" si="60"/>
        <v>0</v>
      </c>
      <c r="ED53" s="171">
        <f t="shared" ca="1" si="61"/>
        <v>0</v>
      </c>
      <c r="EE53" s="171">
        <f t="shared" ca="1" si="62"/>
        <v>0</v>
      </c>
      <c r="EF53" s="171">
        <f t="shared" ca="1" si="63"/>
        <v>0</v>
      </c>
      <c r="EG53" s="171">
        <f t="shared" ca="1" si="64"/>
        <v>0</v>
      </c>
      <c r="EH53" s="171">
        <f t="shared" ca="1" si="65"/>
        <v>0</v>
      </c>
      <c r="EI53" s="171">
        <f t="shared" ca="1" si="66"/>
        <v>0</v>
      </c>
      <c r="EJ53" s="171">
        <f t="shared" ca="1" si="67"/>
        <v>0</v>
      </c>
      <c r="EK53" s="171">
        <f t="shared" ca="1" si="68"/>
        <v>0</v>
      </c>
      <c r="EL53" s="171">
        <f t="shared" ca="1" si="69"/>
        <v>0</v>
      </c>
      <c r="EM53" s="171">
        <f t="shared" ca="1" si="70"/>
        <v>0</v>
      </c>
      <c r="EN53" s="171">
        <f t="shared" ca="1" si="71"/>
        <v>0</v>
      </c>
      <c r="EO53" s="171">
        <f t="shared" ca="1" si="72"/>
        <v>0</v>
      </c>
      <c r="EP53" s="171">
        <f t="shared" ca="1" si="73"/>
        <v>0</v>
      </c>
      <c r="EQ53" s="171">
        <f t="shared" ca="1" si="74"/>
        <v>0</v>
      </c>
      <c r="ER53" s="171">
        <f t="shared" ca="1" si="75"/>
        <v>0</v>
      </c>
      <c r="ES53" s="171">
        <f t="shared" ca="1" si="76"/>
        <v>0</v>
      </c>
    </row>
    <row r="54" spans="1:149">
      <c r="A54" s="139" t="s">
        <v>392</v>
      </c>
      <c r="B54" s="160" t="s">
        <v>409</v>
      </c>
      <c r="C54" s="160" t="s">
        <v>29</v>
      </c>
      <c r="D54" s="161" t="s">
        <v>394</v>
      </c>
      <c r="E54" s="160">
        <v>2018</v>
      </c>
      <c r="F54" s="161" t="s">
        <v>395</v>
      </c>
      <c r="G54" s="160" t="s">
        <v>402</v>
      </c>
      <c r="H54" s="160" t="s">
        <v>396</v>
      </c>
      <c r="I54" s="160" t="s">
        <v>178</v>
      </c>
      <c r="J54" s="160" t="s">
        <v>397</v>
      </c>
      <c r="K54" s="182">
        <v>192</v>
      </c>
      <c r="L54" s="163" t="s">
        <v>110</v>
      </c>
      <c r="M54" s="164">
        <f t="shared" si="0"/>
        <v>192</v>
      </c>
      <c r="N54" s="164">
        <f t="shared" si="1"/>
        <v>192</v>
      </c>
      <c r="O54" s="165">
        <f t="shared" si="2"/>
        <v>1</v>
      </c>
      <c r="P54" s="180">
        <v>2.3903633306096857E-2</v>
      </c>
      <c r="Q54" s="183">
        <v>32.668289591298226</v>
      </c>
      <c r="R54" s="168">
        <f t="shared" si="3"/>
        <v>26.668289591298226</v>
      </c>
      <c r="S54" s="183">
        <v>6.9579862261231415</v>
      </c>
      <c r="T54" s="170" t="s">
        <v>403</v>
      </c>
      <c r="U54" s="171">
        <f t="shared" si="4"/>
        <v>8.789625827962654</v>
      </c>
      <c r="V54" s="171">
        <f t="shared" ca="1" si="5"/>
        <v>4.9365731513389282</v>
      </c>
      <c r="W54" s="171">
        <f t="shared" ca="1" si="6"/>
        <v>161.26940129656779</v>
      </c>
      <c r="X54" s="172">
        <f t="shared" si="7"/>
        <v>0.17920836052863021</v>
      </c>
      <c r="Y54" s="172">
        <f t="shared" si="8"/>
        <v>0.82079163947136979</v>
      </c>
      <c r="Z54" s="173">
        <f t="shared" si="9"/>
        <v>287.14204194703842</v>
      </c>
      <c r="AA54" s="171">
        <f t="shared" si="10"/>
        <v>0</v>
      </c>
      <c r="AB54" s="171">
        <f t="shared" si="10"/>
        <v>0</v>
      </c>
      <c r="AC54" s="171">
        <f t="shared" si="10"/>
        <v>0</v>
      </c>
      <c r="AD54" s="171">
        <f t="shared" si="10"/>
        <v>0</v>
      </c>
      <c r="AE54" s="171">
        <f t="shared" si="10"/>
        <v>0</v>
      </c>
      <c r="AF54" s="171">
        <f t="shared" si="10"/>
        <v>0</v>
      </c>
      <c r="AG54" s="171">
        <f t="shared" si="10"/>
        <v>0</v>
      </c>
      <c r="AH54" s="171">
        <f t="shared" si="10"/>
        <v>0</v>
      </c>
      <c r="AI54" s="171">
        <f t="shared" si="10"/>
        <v>4.5894975947705969</v>
      </c>
      <c r="AJ54" s="171">
        <f t="shared" si="10"/>
        <v>4.5894975947705969</v>
      </c>
      <c r="AK54" s="171">
        <f t="shared" si="11"/>
        <v>4.5894975947705969</v>
      </c>
      <c r="AL54" s="171">
        <f t="shared" si="11"/>
        <v>4.5894975947705969</v>
      </c>
      <c r="AM54" s="171">
        <f t="shared" si="11"/>
        <v>4.5894975947705969</v>
      </c>
      <c r="AN54" s="171">
        <f t="shared" si="11"/>
        <v>4.5894975947705969</v>
      </c>
      <c r="AO54" s="171">
        <f t="shared" si="11"/>
        <v>4.5894975947705969</v>
      </c>
      <c r="AP54" s="171">
        <f t="shared" si="11"/>
        <v>9.8082907224478628</v>
      </c>
      <c r="AQ54" s="171">
        <f t="shared" si="11"/>
        <v>9.8082907224478628</v>
      </c>
      <c r="AR54" s="171">
        <f t="shared" si="11"/>
        <v>9.8082907224478628</v>
      </c>
      <c r="AS54" s="171">
        <f t="shared" si="11"/>
        <v>9.8082907224478628</v>
      </c>
      <c r="AT54" s="171">
        <f t="shared" si="11"/>
        <v>9.8082907224478628</v>
      </c>
      <c r="AU54" s="171">
        <f t="shared" si="12"/>
        <v>9.8082907224478628</v>
      </c>
      <c r="AV54" s="171">
        <f t="shared" si="12"/>
        <v>9.8082907224478628</v>
      </c>
      <c r="AW54" s="171">
        <f t="shared" si="12"/>
        <v>9.8082907224478628</v>
      </c>
      <c r="AX54" s="171">
        <f t="shared" si="12"/>
        <v>9.8082907224478628</v>
      </c>
      <c r="AY54" s="171">
        <f t="shared" si="12"/>
        <v>9.8082907224478628</v>
      </c>
      <c r="AZ54" s="171">
        <f t="shared" si="12"/>
        <v>9.8082907224478628</v>
      </c>
      <c r="BA54" s="171">
        <f t="shared" si="12"/>
        <v>9.8082907224478628</v>
      </c>
      <c r="BB54" s="171">
        <f t="shared" si="12"/>
        <v>9.8082907224478628</v>
      </c>
      <c r="BC54" s="171">
        <f t="shared" si="12"/>
        <v>9.8082907224478628</v>
      </c>
      <c r="BD54" s="171">
        <f t="shared" si="12"/>
        <v>9.8082907224478628</v>
      </c>
      <c r="BE54" s="171">
        <f t="shared" si="13"/>
        <v>9.8082907224478628</v>
      </c>
      <c r="BF54" s="171">
        <f t="shared" si="13"/>
        <v>9.8082907224478628</v>
      </c>
      <c r="BG54" s="171">
        <f t="shared" si="13"/>
        <v>9.8082907224478628</v>
      </c>
      <c r="BH54" s="171">
        <f t="shared" si="13"/>
        <v>9.8082907224478628</v>
      </c>
      <c r="BI54" s="171">
        <f t="shared" si="13"/>
        <v>9.8082907224478628</v>
      </c>
      <c r="BJ54" s="171">
        <f t="shared" si="13"/>
        <v>9.8082907224478628</v>
      </c>
      <c r="BK54" s="171">
        <f t="shared" si="13"/>
        <v>9.8082907224478628</v>
      </c>
      <c r="BL54" s="171">
        <f t="shared" si="13"/>
        <v>9.8082907224478628</v>
      </c>
      <c r="BM54" s="171">
        <f t="shared" si="13"/>
        <v>9.8082907224478628</v>
      </c>
      <c r="BN54" s="171">
        <f t="shared" si="13"/>
        <v>9.8082907224478628</v>
      </c>
      <c r="BO54" s="171">
        <f t="shared" si="14"/>
        <v>9.8082907224478628</v>
      </c>
      <c r="BP54" s="171">
        <f t="shared" si="14"/>
        <v>0</v>
      </c>
      <c r="BQ54" s="171">
        <f t="shared" si="14"/>
        <v>0</v>
      </c>
      <c r="BR54" s="171">
        <f t="shared" si="14"/>
        <v>0</v>
      </c>
      <c r="BS54" s="171">
        <f t="shared" si="14"/>
        <v>0</v>
      </c>
      <c r="BT54" s="171">
        <f t="shared" si="14"/>
        <v>0</v>
      </c>
      <c r="BU54" s="171">
        <f t="shared" si="14"/>
        <v>0</v>
      </c>
      <c r="BV54" s="171">
        <f t="shared" si="14"/>
        <v>0</v>
      </c>
      <c r="BW54" s="171">
        <f t="shared" si="14"/>
        <v>0</v>
      </c>
      <c r="BX54" s="171">
        <f t="shared" si="14"/>
        <v>0</v>
      </c>
      <c r="BY54" s="171">
        <f t="shared" si="15"/>
        <v>0</v>
      </c>
      <c r="BZ54" s="171">
        <f t="shared" si="15"/>
        <v>0</v>
      </c>
      <c r="CA54" s="171">
        <f t="shared" si="15"/>
        <v>0</v>
      </c>
      <c r="CB54" s="171">
        <f t="shared" si="15"/>
        <v>0</v>
      </c>
      <c r="CC54" s="171">
        <f t="shared" si="15"/>
        <v>0</v>
      </c>
      <c r="CD54" s="171">
        <f t="shared" si="15"/>
        <v>0</v>
      </c>
      <c r="CE54" s="171">
        <f t="shared" si="15"/>
        <v>0</v>
      </c>
      <c r="CF54" s="171">
        <f t="shared" si="15"/>
        <v>0</v>
      </c>
      <c r="CG54" s="171">
        <f t="shared" si="15"/>
        <v>0</v>
      </c>
      <c r="CH54" s="171">
        <f t="shared" si="15"/>
        <v>0</v>
      </c>
      <c r="CI54" s="171">
        <f t="shared" si="15"/>
        <v>0</v>
      </c>
      <c r="CJ54" s="243"/>
      <c r="CK54" s="171">
        <f t="shared" si="16"/>
        <v>0</v>
      </c>
      <c r="CL54" s="171">
        <f t="shared" si="17"/>
        <v>0</v>
      </c>
      <c r="CM54" s="171">
        <f t="shared" si="18"/>
        <v>0</v>
      </c>
      <c r="CN54" s="171">
        <f t="shared" si="19"/>
        <v>0</v>
      </c>
      <c r="CO54" s="171">
        <f t="shared" si="20"/>
        <v>0</v>
      </c>
      <c r="CP54" s="171">
        <f t="shared" si="21"/>
        <v>0</v>
      </c>
      <c r="CQ54" s="171">
        <f t="shared" si="22"/>
        <v>0</v>
      </c>
      <c r="CR54" s="171">
        <f t="shared" si="23"/>
        <v>0</v>
      </c>
      <c r="CS54" s="171">
        <f t="shared" si="24"/>
        <v>4.5894975947705969</v>
      </c>
      <c r="CT54" s="171">
        <f t="shared" si="25"/>
        <v>4.5894975947705969</v>
      </c>
      <c r="CU54" s="171">
        <f t="shared" si="26"/>
        <v>4.5894975947705969</v>
      </c>
      <c r="CV54" s="171">
        <f t="shared" si="27"/>
        <v>4.5894975947705969</v>
      </c>
      <c r="CW54" s="171">
        <f t="shared" si="28"/>
        <v>4.5894975947705969</v>
      </c>
      <c r="CX54" s="171">
        <f t="shared" si="29"/>
        <v>4.5894975947705969</v>
      </c>
      <c r="CY54" s="171">
        <f t="shared" ca="1" si="30"/>
        <v>4.3571183421787367</v>
      </c>
      <c r="CZ54" s="171">
        <f t="shared" ca="1" si="31"/>
        <v>8.8401930373739841</v>
      </c>
      <c r="DA54" s="171">
        <f t="shared" ca="1" si="32"/>
        <v>8.3925890440450779</v>
      </c>
      <c r="DB54" s="171">
        <f t="shared" ca="1" si="33"/>
        <v>7.9676485077240615</v>
      </c>
      <c r="DC54" s="171">
        <f t="shared" ca="1" si="34"/>
        <v>7.5642239134396592</v>
      </c>
      <c r="DD54" s="171">
        <f t="shared" ca="1" si="35"/>
        <v>7.1812258481513283</v>
      </c>
      <c r="DE54" s="171">
        <f t="shared" ca="1" si="36"/>
        <v>6.817620058884069</v>
      </c>
      <c r="DF54" s="171">
        <f t="shared" ca="1" si="37"/>
        <v>6.4724246598181843</v>
      </c>
      <c r="DG54" s="171">
        <f t="shared" ca="1" si="38"/>
        <v>6.1447074807920012</v>
      </c>
      <c r="DH54" s="171">
        <f t="shared" ca="1" si="39"/>
        <v>5.8335835500573925</v>
      </c>
      <c r="DI54" s="171">
        <f t="shared" ca="1" si="40"/>
        <v>5.5382127044905225</v>
      </c>
      <c r="DJ54" s="171">
        <f t="shared" ca="1" si="41"/>
        <v>5.2577973208043742</v>
      </c>
      <c r="DK54" s="171">
        <f t="shared" ca="1" si="42"/>
        <v>4.9915801616364153</v>
      </c>
      <c r="DL54" s="171">
        <f t="shared" ca="1" si="43"/>
        <v>4.7388423306949425</v>
      </c>
      <c r="DM54" s="171">
        <f t="shared" ca="1" si="44"/>
        <v>4.4989013314421475</v>
      </c>
      <c r="DN54" s="171">
        <f t="shared" ca="1" si="45"/>
        <v>4.271109224071556</v>
      </c>
      <c r="DO54" s="171">
        <f t="shared" ca="1" si="46"/>
        <v>4.0548508758029245</v>
      </c>
      <c r="DP54" s="171">
        <f t="shared" ca="1" si="47"/>
        <v>3.8495422997696402</v>
      </c>
      <c r="DQ54" s="171">
        <f t="shared" ca="1" si="48"/>
        <v>3.6546290780129715</v>
      </c>
      <c r="DR54" s="171">
        <f t="shared" ca="1" si="49"/>
        <v>3.4695848643245704</v>
      </c>
      <c r="DS54" s="171">
        <f t="shared" ca="1" si="50"/>
        <v>3.2939099628943027</v>
      </c>
      <c r="DT54" s="171">
        <f t="shared" ca="1" si="51"/>
        <v>3.1271299789251596</v>
      </c>
      <c r="DU54" s="171">
        <f t="shared" ca="1" si="52"/>
        <v>2.9687945375713549</v>
      </c>
      <c r="DV54" s="171">
        <f t="shared" ca="1" si="53"/>
        <v>2.8184760677402116</v>
      </c>
      <c r="DW54" s="171">
        <f t="shared" ca="1" si="54"/>
        <v>2.6757686474736038</v>
      </c>
      <c r="DX54" s="171">
        <f t="shared" ca="1" si="55"/>
        <v>2.5402869077909993</v>
      </c>
      <c r="DY54" s="171">
        <f t="shared" ca="1" si="56"/>
        <v>2.4116649920340381</v>
      </c>
      <c r="DZ54" s="171">
        <f t="shared" ca="1" si="57"/>
        <v>0</v>
      </c>
      <c r="EA54" s="171">
        <f t="shared" ca="1" si="58"/>
        <v>0</v>
      </c>
      <c r="EB54" s="171">
        <f t="shared" ca="1" si="59"/>
        <v>0</v>
      </c>
      <c r="EC54" s="171">
        <f t="shared" ca="1" si="60"/>
        <v>0</v>
      </c>
      <c r="ED54" s="171">
        <f t="shared" ca="1" si="61"/>
        <v>0</v>
      </c>
      <c r="EE54" s="171">
        <f t="shared" ca="1" si="62"/>
        <v>0</v>
      </c>
      <c r="EF54" s="171">
        <f t="shared" ca="1" si="63"/>
        <v>0</v>
      </c>
      <c r="EG54" s="171">
        <f t="shared" ca="1" si="64"/>
        <v>0</v>
      </c>
      <c r="EH54" s="171">
        <f t="shared" ca="1" si="65"/>
        <v>0</v>
      </c>
      <c r="EI54" s="171">
        <f t="shared" ca="1" si="66"/>
        <v>0</v>
      </c>
      <c r="EJ54" s="171">
        <f t="shared" ca="1" si="67"/>
        <v>0</v>
      </c>
      <c r="EK54" s="171">
        <f t="shared" ca="1" si="68"/>
        <v>0</v>
      </c>
      <c r="EL54" s="171">
        <f t="shared" ca="1" si="69"/>
        <v>0</v>
      </c>
      <c r="EM54" s="171">
        <f t="shared" ca="1" si="70"/>
        <v>0</v>
      </c>
      <c r="EN54" s="171">
        <f t="shared" ca="1" si="71"/>
        <v>0</v>
      </c>
      <c r="EO54" s="171">
        <f t="shared" ca="1" si="72"/>
        <v>0</v>
      </c>
      <c r="EP54" s="171">
        <f t="shared" ca="1" si="73"/>
        <v>0</v>
      </c>
      <c r="EQ54" s="171">
        <f t="shared" ca="1" si="74"/>
        <v>0</v>
      </c>
      <c r="ER54" s="171">
        <f t="shared" ca="1" si="75"/>
        <v>0</v>
      </c>
      <c r="ES54" s="171">
        <f t="shared" ca="1" si="76"/>
        <v>0</v>
      </c>
    </row>
    <row r="55" spans="1:149">
      <c r="A55" s="139" t="s">
        <v>410</v>
      </c>
      <c r="B55" s="161" t="s">
        <v>411</v>
      </c>
      <c r="C55" s="161" t="s">
        <v>412</v>
      </c>
      <c r="D55" s="161" t="s">
        <v>394</v>
      </c>
      <c r="E55" s="160">
        <v>2022</v>
      </c>
      <c r="F55" s="161" t="s">
        <v>395</v>
      </c>
      <c r="G55" s="161" t="s">
        <v>402</v>
      </c>
      <c r="H55" s="170" t="s">
        <v>396</v>
      </c>
      <c r="I55" s="170" t="s">
        <v>180</v>
      </c>
      <c r="J55" s="161" t="s">
        <v>397</v>
      </c>
      <c r="K55" s="184">
        <v>35</v>
      </c>
      <c r="L55" s="163" t="s">
        <v>110</v>
      </c>
      <c r="M55" s="164">
        <f t="shared" si="0"/>
        <v>35</v>
      </c>
      <c r="N55" s="164">
        <f t="shared" si="1"/>
        <v>35</v>
      </c>
      <c r="O55" s="165">
        <f t="shared" si="2"/>
        <v>1</v>
      </c>
      <c r="P55" s="180">
        <v>4.9550000000000004E-2</v>
      </c>
      <c r="Q55" s="185">
        <v>15</v>
      </c>
      <c r="R55" s="168">
        <f t="shared" si="3"/>
        <v>13</v>
      </c>
      <c r="S55" s="186">
        <v>1</v>
      </c>
      <c r="T55" s="170" t="s">
        <v>403</v>
      </c>
      <c r="U55" s="171">
        <f t="shared" si="4"/>
        <v>3.4773479380843701</v>
      </c>
      <c r="V55" s="171">
        <f t="shared" ca="1" si="5"/>
        <v>2.5116385414709272</v>
      </c>
      <c r="W55" s="171">
        <f t="shared" ca="1" si="6"/>
        <v>37.674578122063906</v>
      </c>
      <c r="X55" s="172">
        <f t="shared" si="7"/>
        <v>0.48375119038607373</v>
      </c>
      <c r="Y55" s="172">
        <f t="shared" si="8"/>
        <v>0.51624880961392627</v>
      </c>
      <c r="Z55" s="173">
        <f t="shared" si="9"/>
        <v>52.160219071265551</v>
      </c>
      <c r="AA55" s="171">
        <f t="shared" si="10"/>
        <v>0</v>
      </c>
      <c r="AB55" s="171">
        <f t="shared" si="10"/>
        <v>0</v>
      </c>
      <c r="AC55" s="171">
        <f t="shared" si="10"/>
        <v>0</v>
      </c>
      <c r="AD55" s="171">
        <f t="shared" si="10"/>
        <v>0</v>
      </c>
      <c r="AE55" s="171">
        <f t="shared" si="10"/>
        <v>0</v>
      </c>
      <c r="AF55" s="171">
        <f t="shared" si="10"/>
        <v>0</v>
      </c>
      <c r="AG55" s="171">
        <f t="shared" si="10"/>
        <v>0</v>
      </c>
      <c r="AH55" s="171">
        <f t="shared" si="10"/>
        <v>0</v>
      </c>
      <c r="AI55" s="171">
        <f t="shared" si="10"/>
        <v>0</v>
      </c>
      <c r="AJ55" s="171">
        <f t="shared" si="10"/>
        <v>0</v>
      </c>
      <c r="AK55" s="171">
        <f t="shared" si="11"/>
        <v>0</v>
      </c>
      <c r="AL55" s="171">
        <f t="shared" si="11"/>
        <v>0</v>
      </c>
      <c r="AM55" s="171">
        <f t="shared" si="11"/>
        <v>1.7342500000000001</v>
      </c>
      <c r="AN55" s="171">
        <f t="shared" si="11"/>
        <v>3.3617312714177037</v>
      </c>
      <c r="AO55" s="171">
        <f t="shared" si="11"/>
        <v>3.3617312714177037</v>
      </c>
      <c r="AP55" s="171">
        <f t="shared" si="11"/>
        <v>3.3617312714177037</v>
      </c>
      <c r="AQ55" s="171">
        <f t="shared" si="11"/>
        <v>3.3617312714177037</v>
      </c>
      <c r="AR55" s="171">
        <f t="shared" si="11"/>
        <v>3.3617312714177037</v>
      </c>
      <c r="AS55" s="171">
        <f t="shared" si="11"/>
        <v>3.3617312714177037</v>
      </c>
      <c r="AT55" s="171">
        <f t="shared" si="11"/>
        <v>3.3617312714177037</v>
      </c>
      <c r="AU55" s="171">
        <f t="shared" si="12"/>
        <v>3.3617312714177037</v>
      </c>
      <c r="AV55" s="171">
        <f t="shared" si="12"/>
        <v>3.3617312714177037</v>
      </c>
      <c r="AW55" s="171">
        <f t="shared" si="12"/>
        <v>3.3617312714177037</v>
      </c>
      <c r="AX55" s="171">
        <f t="shared" si="12"/>
        <v>3.3617312714177037</v>
      </c>
      <c r="AY55" s="171">
        <f t="shared" si="12"/>
        <v>3.3617312714177037</v>
      </c>
      <c r="AZ55" s="171">
        <f t="shared" si="12"/>
        <v>3.3617312714177037</v>
      </c>
      <c r="BA55" s="171">
        <f t="shared" si="12"/>
        <v>3.3617312714177037</v>
      </c>
      <c r="BB55" s="171">
        <f t="shared" si="12"/>
        <v>3.3617312714177037</v>
      </c>
      <c r="BC55" s="171">
        <f t="shared" si="12"/>
        <v>0</v>
      </c>
      <c r="BD55" s="171">
        <f t="shared" si="12"/>
        <v>0</v>
      </c>
      <c r="BE55" s="171">
        <f t="shared" si="13"/>
        <v>0</v>
      </c>
      <c r="BF55" s="171">
        <f t="shared" si="13"/>
        <v>0</v>
      </c>
      <c r="BG55" s="171">
        <f t="shared" si="13"/>
        <v>0</v>
      </c>
      <c r="BH55" s="171">
        <f t="shared" si="13"/>
        <v>0</v>
      </c>
      <c r="BI55" s="171">
        <f t="shared" si="13"/>
        <v>0</v>
      </c>
      <c r="BJ55" s="171">
        <f t="shared" si="13"/>
        <v>0</v>
      </c>
      <c r="BK55" s="171">
        <f t="shared" si="13"/>
        <v>0</v>
      </c>
      <c r="BL55" s="171">
        <f t="shared" si="13"/>
        <v>0</v>
      </c>
      <c r="BM55" s="171">
        <f t="shared" si="13"/>
        <v>0</v>
      </c>
      <c r="BN55" s="171">
        <f t="shared" si="13"/>
        <v>0</v>
      </c>
      <c r="BO55" s="171">
        <f t="shared" si="14"/>
        <v>0</v>
      </c>
      <c r="BP55" s="171">
        <f t="shared" si="14"/>
        <v>0</v>
      </c>
      <c r="BQ55" s="171">
        <f t="shared" si="14"/>
        <v>0</v>
      </c>
      <c r="BR55" s="171">
        <f t="shared" si="14"/>
        <v>0</v>
      </c>
      <c r="BS55" s="171">
        <f t="shared" si="14"/>
        <v>0</v>
      </c>
      <c r="BT55" s="171">
        <f t="shared" si="14"/>
        <v>0</v>
      </c>
      <c r="BU55" s="171">
        <f t="shared" si="14"/>
        <v>0</v>
      </c>
      <c r="BV55" s="171">
        <f t="shared" si="14"/>
        <v>0</v>
      </c>
      <c r="BW55" s="171">
        <f t="shared" si="14"/>
        <v>0</v>
      </c>
      <c r="BX55" s="171">
        <f t="shared" si="14"/>
        <v>0</v>
      </c>
      <c r="BY55" s="171">
        <f t="shared" si="15"/>
        <v>0</v>
      </c>
      <c r="BZ55" s="171">
        <f t="shared" si="15"/>
        <v>0</v>
      </c>
      <c r="CA55" s="171">
        <f t="shared" si="15"/>
        <v>0</v>
      </c>
      <c r="CB55" s="171">
        <f t="shared" si="15"/>
        <v>0</v>
      </c>
      <c r="CC55" s="171">
        <f t="shared" si="15"/>
        <v>0</v>
      </c>
      <c r="CD55" s="171">
        <f t="shared" si="15"/>
        <v>0</v>
      </c>
      <c r="CE55" s="171">
        <f t="shared" si="15"/>
        <v>0</v>
      </c>
      <c r="CF55" s="171">
        <f t="shared" si="15"/>
        <v>0</v>
      </c>
      <c r="CG55" s="171">
        <f t="shared" si="15"/>
        <v>0</v>
      </c>
      <c r="CH55" s="171">
        <f t="shared" si="15"/>
        <v>0</v>
      </c>
      <c r="CI55" s="171">
        <f t="shared" si="15"/>
        <v>0</v>
      </c>
      <c r="CJ55" s="243"/>
      <c r="CK55" s="171">
        <f t="shared" si="16"/>
        <v>0</v>
      </c>
      <c r="CL55" s="171">
        <f t="shared" si="17"/>
        <v>0</v>
      </c>
      <c r="CM55" s="171">
        <f t="shared" si="18"/>
        <v>0</v>
      </c>
      <c r="CN55" s="171">
        <f t="shared" si="19"/>
        <v>0</v>
      </c>
      <c r="CO55" s="171">
        <f t="shared" si="20"/>
        <v>0</v>
      </c>
      <c r="CP55" s="171">
        <f t="shared" si="21"/>
        <v>0</v>
      </c>
      <c r="CQ55" s="171">
        <f t="shared" si="22"/>
        <v>0</v>
      </c>
      <c r="CR55" s="171">
        <f t="shared" si="23"/>
        <v>0</v>
      </c>
      <c r="CS55" s="171">
        <f t="shared" si="24"/>
        <v>0</v>
      </c>
      <c r="CT55" s="171">
        <f t="shared" si="25"/>
        <v>0</v>
      </c>
      <c r="CU55" s="171">
        <f t="shared" si="26"/>
        <v>0</v>
      </c>
      <c r="CV55" s="171">
        <f t="shared" si="27"/>
        <v>0</v>
      </c>
      <c r="CW55" s="171">
        <f t="shared" si="28"/>
        <v>1.7342500000000001</v>
      </c>
      <c r="CX55" s="171">
        <f t="shared" si="29"/>
        <v>3.3617312714177037</v>
      </c>
      <c r="CY55" s="171">
        <f t="shared" ca="1" si="30"/>
        <v>3.191517302647604</v>
      </c>
      <c r="CZ55" s="171">
        <f t="shared" ca="1" si="31"/>
        <v>3.0299217488623076</v>
      </c>
      <c r="DA55" s="171">
        <f t="shared" ca="1" si="32"/>
        <v>2.8765082353189722</v>
      </c>
      <c r="DB55" s="171">
        <f t="shared" ca="1" si="33"/>
        <v>2.7308624821630287</v>
      </c>
      <c r="DC55" s="171">
        <f t="shared" ca="1" si="34"/>
        <v>2.592591185701457</v>
      </c>
      <c r="DD55" s="171">
        <f t="shared" ca="1" si="35"/>
        <v>2.4613209563203555</v>
      </c>
      <c r="DE55" s="171">
        <f t="shared" ca="1" si="36"/>
        <v>2.3366973101787574</v>
      </c>
      <c r="DF55" s="171">
        <f t="shared" ca="1" si="37"/>
        <v>2.2183837119558363</v>
      </c>
      <c r="DG55" s="171">
        <f t="shared" ca="1" si="38"/>
        <v>2.106060666066536</v>
      </c>
      <c r="DH55" s="171">
        <f t="shared" ca="1" si="39"/>
        <v>1.9994248538915171</v>
      </c>
      <c r="DI55" s="171">
        <f t="shared" ca="1" si="40"/>
        <v>1.8981883146916041</v>
      </c>
      <c r="DJ55" s="171">
        <f t="shared" ca="1" si="41"/>
        <v>1.8020776679948416</v>
      </c>
      <c r="DK55" s="171">
        <f t="shared" ca="1" si="42"/>
        <v>1.7108333753563014</v>
      </c>
      <c r="DL55" s="171">
        <f t="shared" ca="1" si="43"/>
        <v>1.6242090394970778</v>
      </c>
      <c r="DM55" s="171">
        <f t="shared" ca="1" si="44"/>
        <v>0</v>
      </c>
      <c r="DN55" s="171">
        <f t="shared" ca="1" si="45"/>
        <v>0</v>
      </c>
      <c r="DO55" s="171">
        <f t="shared" ca="1" si="46"/>
        <v>0</v>
      </c>
      <c r="DP55" s="171">
        <f t="shared" ca="1" si="47"/>
        <v>0</v>
      </c>
      <c r="DQ55" s="171">
        <f t="shared" ca="1" si="48"/>
        <v>0</v>
      </c>
      <c r="DR55" s="171">
        <f t="shared" ca="1" si="49"/>
        <v>0</v>
      </c>
      <c r="DS55" s="171">
        <f t="shared" ca="1" si="50"/>
        <v>0</v>
      </c>
      <c r="DT55" s="171">
        <f t="shared" ca="1" si="51"/>
        <v>0</v>
      </c>
      <c r="DU55" s="171">
        <f t="shared" ca="1" si="52"/>
        <v>0</v>
      </c>
      <c r="DV55" s="171">
        <f t="shared" ca="1" si="53"/>
        <v>0</v>
      </c>
      <c r="DW55" s="171">
        <f t="shared" ca="1" si="54"/>
        <v>0</v>
      </c>
      <c r="DX55" s="171">
        <f t="shared" ca="1" si="55"/>
        <v>0</v>
      </c>
      <c r="DY55" s="171">
        <f t="shared" ca="1" si="56"/>
        <v>0</v>
      </c>
      <c r="DZ55" s="171">
        <f t="shared" ca="1" si="57"/>
        <v>0</v>
      </c>
      <c r="EA55" s="171">
        <f t="shared" ca="1" si="58"/>
        <v>0</v>
      </c>
      <c r="EB55" s="171">
        <f t="shared" ca="1" si="59"/>
        <v>0</v>
      </c>
      <c r="EC55" s="171">
        <f t="shared" ca="1" si="60"/>
        <v>0</v>
      </c>
      <c r="ED55" s="171">
        <f t="shared" ca="1" si="61"/>
        <v>0</v>
      </c>
      <c r="EE55" s="171">
        <f t="shared" ca="1" si="62"/>
        <v>0</v>
      </c>
      <c r="EF55" s="171">
        <f t="shared" ca="1" si="63"/>
        <v>0</v>
      </c>
      <c r="EG55" s="171">
        <f t="shared" ca="1" si="64"/>
        <v>0</v>
      </c>
      <c r="EH55" s="171">
        <f t="shared" ca="1" si="65"/>
        <v>0</v>
      </c>
      <c r="EI55" s="171">
        <f t="shared" ca="1" si="66"/>
        <v>0</v>
      </c>
      <c r="EJ55" s="171">
        <f t="shared" ca="1" si="67"/>
        <v>0</v>
      </c>
      <c r="EK55" s="171">
        <f t="shared" ca="1" si="68"/>
        <v>0</v>
      </c>
      <c r="EL55" s="171">
        <f t="shared" ca="1" si="69"/>
        <v>0</v>
      </c>
      <c r="EM55" s="171">
        <f t="shared" ca="1" si="70"/>
        <v>0</v>
      </c>
      <c r="EN55" s="171">
        <f t="shared" ca="1" si="71"/>
        <v>0</v>
      </c>
      <c r="EO55" s="171">
        <f t="shared" ca="1" si="72"/>
        <v>0</v>
      </c>
      <c r="EP55" s="171">
        <f t="shared" ca="1" si="73"/>
        <v>0</v>
      </c>
      <c r="EQ55" s="171">
        <f t="shared" ca="1" si="74"/>
        <v>0</v>
      </c>
      <c r="ER55" s="171">
        <f t="shared" ca="1" si="75"/>
        <v>0</v>
      </c>
      <c r="ES55" s="171">
        <f t="shared" ca="1" si="76"/>
        <v>0</v>
      </c>
    </row>
    <row r="56" spans="1:149">
      <c r="A56" s="139" t="s">
        <v>410</v>
      </c>
      <c r="B56" s="160" t="s">
        <v>413</v>
      </c>
      <c r="C56" s="160" t="s">
        <v>412</v>
      </c>
      <c r="D56" s="161" t="s">
        <v>394</v>
      </c>
      <c r="E56" s="160">
        <v>2022</v>
      </c>
      <c r="F56" s="160" t="s">
        <v>405</v>
      </c>
      <c r="G56" s="160" t="s">
        <v>402</v>
      </c>
      <c r="H56" s="160" t="s">
        <v>406</v>
      </c>
      <c r="I56" s="160" t="s">
        <v>184</v>
      </c>
      <c r="J56" s="160" t="s">
        <v>407</v>
      </c>
      <c r="K56" s="187">
        <v>41</v>
      </c>
      <c r="L56" s="163" t="s">
        <v>110</v>
      </c>
      <c r="M56" s="164">
        <f t="shared" si="0"/>
        <v>41</v>
      </c>
      <c r="N56" s="164">
        <f t="shared" si="1"/>
        <v>41</v>
      </c>
      <c r="O56" s="165">
        <f t="shared" si="2"/>
        <v>1</v>
      </c>
      <c r="P56" s="180">
        <v>8.0329758713136745E-2</v>
      </c>
      <c r="Q56" s="183">
        <v>15</v>
      </c>
      <c r="R56" s="168">
        <f t="shared" si="3"/>
        <v>13</v>
      </c>
      <c r="S56" s="186">
        <v>1.5</v>
      </c>
      <c r="T56" s="170" t="s">
        <v>403</v>
      </c>
      <c r="U56" s="171">
        <f t="shared" si="4"/>
        <v>5.0009908452467018</v>
      </c>
      <c r="V56" s="171">
        <f t="shared" ca="1" si="5"/>
        <v>3.5969228260316846</v>
      </c>
      <c r="W56" s="171">
        <f t="shared" ca="1" si="6"/>
        <v>53.953842390475266</v>
      </c>
      <c r="X56" s="172">
        <f t="shared" si="7"/>
        <v>0.5929092273482659</v>
      </c>
      <c r="Y56" s="172">
        <f t="shared" si="8"/>
        <v>0.4070907726517341</v>
      </c>
      <c r="Z56" s="173">
        <f t="shared" si="9"/>
        <v>75.014862678700524</v>
      </c>
      <c r="AA56" s="171">
        <f t="shared" si="10"/>
        <v>0</v>
      </c>
      <c r="AB56" s="171">
        <f t="shared" si="10"/>
        <v>0</v>
      </c>
      <c r="AC56" s="171">
        <f t="shared" si="10"/>
        <v>0</v>
      </c>
      <c r="AD56" s="171">
        <f t="shared" si="10"/>
        <v>0</v>
      </c>
      <c r="AE56" s="171">
        <f t="shared" si="10"/>
        <v>0</v>
      </c>
      <c r="AF56" s="171">
        <f t="shared" si="10"/>
        <v>0</v>
      </c>
      <c r="AG56" s="171">
        <f t="shared" si="10"/>
        <v>0</v>
      </c>
      <c r="AH56" s="171">
        <f t="shared" si="10"/>
        <v>0</v>
      </c>
      <c r="AI56" s="171">
        <f t="shared" si="10"/>
        <v>0</v>
      </c>
      <c r="AJ56" s="171">
        <f t="shared" si="10"/>
        <v>0</v>
      </c>
      <c r="AK56" s="171">
        <f t="shared" si="11"/>
        <v>0</v>
      </c>
      <c r="AL56" s="171">
        <f t="shared" si="11"/>
        <v>0</v>
      </c>
      <c r="AM56" s="171">
        <f t="shared" si="11"/>
        <v>3.2935201072386064</v>
      </c>
      <c r="AN56" s="171">
        <f t="shared" si="11"/>
        <v>3.2935201072386064</v>
      </c>
      <c r="AO56" s="171">
        <f t="shared" si="11"/>
        <v>4.8877016045873809</v>
      </c>
      <c r="AP56" s="171">
        <f t="shared" si="11"/>
        <v>4.8877016045873809</v>
      </c>
      <c r="AQ56" s="171">
        <f t="shared" si="11"/>
        <v>4.8877016045873809</v>
      </c>
      <c r="AR56" s="171">
        <f t="shared" si="11"/>
        <v>4.8877016045873809</v>
      </c>
      <c r="AS56" s="171">
        <f t="shared" si="11"/>
        <v>4.8877016045873809</v>
      </c>
      <c r="AT56" s="171">
        <f t="shared" si="11"/>
        <v>4.8877016045873809</v>
      </c>
      <c r="AU56" s="171">
        <f t="shared" si="12"/>
        <v>4.8877016045873809</v>
      </c>
      <c r="AV56" s="171">
        <f t="shared" si="12"/>
        <v>4.8877016045873809</v>
      </c>
      <c r="AW56" s="171">
        <f t="shared" si="12"/>
        <v>4.8877016045873809</v>
      </c>
      <c r="AX56" s="171">
        <f t="shared" si="12"/>
        <v>4.8877016045873809</v>
      </c>
      <c r="AY56" s="171">
        <f t="shared" si="12"/>
        <v>4.8877016045873809</v>
      </c>
      <c r="AZ56" s="171">
        <f t="shared" si="12"/>
        <v>4.8877016045873809</v>
      </c>
      <c r="BA56" s="171">
        <f t="shared" si="12"/>
        <v>4.8877016045873809</v>
      </c>
      <c r="BB56" s="171">
        <f t="shared" si="12"/>
        <v>4.8877016045873809</v>
      </c>
      <c r="BC56" s="171">
        <f t="shared" si="12"/>
        <v>0</v>
      </c>
      <c r="BD56" s="171">
        <f t="shared" si="12"/>
        <v>0</v>
      </c>
      <c r="BE56" s="171">
        <f t="shared" si="13"/>
        <v>0</v>
      </c>
      <c r="BF56" s="171">
        <f t="shared" si="13"/>
        <v>0</v>
      </c>
      <c r="BG56" s="171">
        <f t="shared" si="13"/>
        <v>0</v>
      </c>
      <c r="BH56" s="171">
        <f t="shared" si="13"/>
        <v>0</v>
      </c>
      <c r="BI56" s="171">
        <f t="shared" si="13"/>
        <v>0</v>
      </c>
      <c r="BJ56" s="171">
        <f t="shared" si="13"/>
        <v>0</v>
      </c>
      <c r="BK56" s="171">
        <f t="shared" si="13"/>
        <v>0</v>
      </c>
      <c r="BL56" s="171">
        <f t="shared" si="13"/>
        <v>0</v>
      </c>
      <c r="BM56" s="171">
        <f t="shared" si="13"/>
        <v>0</v>
      </c>
      <c r="BN56" s="171">
        <f t="shared" si="13"/>
        <v>0</v>
      </c>
      <c r="BO56" s="171">
        <f t="shared" si="14"/>
        <v>0</v>
      </c>
      <c r="BP56" s="171">
        <f t="shared" si="14"/>
        <v>0</v>
      </c>
      <c r="BQ56" s="171">
        <f t="shared" si="14"/>
        <v>0</v>
      </c>
      <c r="BR56" s="171">
        <f t="shared" si="14"/>
        <v>0</v>
      </c>
      <c r="BS56" s="171">
        <f t="shared" si="14"/>
        <v>0</v>
      </c>
      <c r="BT56" s="171">
        <f t="shared" si="14"/>
        <v>0</v>
      </c>
      <c r="BU56" s="171">
        <f t="shared" si="14"/>
        <v>0</v>
      </c>
      <c r="BV56" s="171">
        <f t="shared" si="14"/>
        <v>0</v>
      </c>
      <c r="BW56" s="171">
        <f t="shared" si="14"/>
        <v>0</v>
      </c>
      <c r="BX56" s="171">
        <f t="shared" si="14"/>
        <v>0</v>
      </c>
      <c r="BY56" s="171">
        <f t="shared" si="15"/>
        <v>0</v>
      </c>
      <c r="BZ56" s="171">
        <f t="shared" si="15"/>
        <v>0</v>
      </c>
      <c r="CA56" s="171">
        <f t="shared" si="15"/>
        <v>0</v>
      </c>
      <c r="CB56" s="171">
        <f t="shared" si="15"/>
        <v>0</v>
      </c>
      <c r="CC56" s="171">
        <f t="shared" si="15"/>
        <v>0</v>
      </c>
      <c r="CD56" s="171">
        <f t="shared" si="15"/>
        <v>0</v>
      </c>
      <c r="CE56" s="171">
        <f t="shared" si="15"/>
        <v>0</v>
      </c>
      <c r="CF56" s="171">
        <f t="shared" si="15"/>
        <v>0</v>
      </c>
      <c r="CG56" s="171">
        <f t="shared" si="15"/>
        <v>0</v>
      </c>
      <c r="CH56" s="171">
        <f t="shared" si="15"/>
        <v>0</v>
      </c>
      <c r="CI56" s="171">
        <f t="shared" si="15"/>
        <v>0</v>
      </c>
      <c r="CJ56" s="243"/>
      <c r="CK56" s="171">
        <f t="shared" si="16"/>
        <v>0</v>
      </c>
      <c r="CL56" s="171">
        <f t="shared" si="17"/>
        <v>0</v>
      </c>
      <c r="CM56" s="171">
        <f t="shared" si="18"/>
        <v>0</v>
      </c>
      <c r="CN56" s="171">
        <f t="shared" si="19"/>
        <v>0</v>
      </c>
      <c r="CO56" s="171">
        <f t="shared" si="20"/>
        <v>0</v>
      </c>
      <c r="CP56" s="171">
        <f t="shared" si="21"/>
        <v>0</v>
      </c>
      <c r="CQ56" s="171">
        <f t="shared" si="22"/>
        <v>0</v>
      </c>
      <c r="CR56" s="171">
        <f t="shared" si="23"/>
        <v>0</v>
      </c>
      <c r="CS56" s="171">
        <f t="shared" si="24"/>
        <v>0</v>
      </c>
      <c r="CT56" s="171">
        <f t="shared" si="25"/>
        <v>0</v>
      </c>
      <c r="CU56" s="171">
        <f t="shared" si="26"/>
        <v>0</v>
      </c>
      <c r="CV56" s="171">
        <f t="shared" si="27"/>
        <v>0</v>
      </c>
      <c r="CW56" s="171">
        <f t="shared" si="28"/>
        <v>3.2935201072386064</v>
      </c>
      <c r="CX56" s="171">
        <f t="shared" si="29"/>
        <v>3.2935201072386064</v>
      </c>
      <c r="CY56" s="171">
        <f t="shared" ca="1" si="30"/>
        <v>4.6402234389902981</v>
      </c>
      <c r="CZ56" s="171">
        <f t="shared" ca="1" si="31"/>
        <v>4.4052757933394027</v>
      </c>
      <c r="DA56" s="171">
        <f t="shared" ca="1" si="32"/>
        <v>4.1822242119454724</v>
      </c>
      <c r="DB56" s="171">
        <f t="shared" ca="1" si="33"/>
        <v>3.9704663634064863</v>
      </c>
      <c r="DC56" s="171">
        <f t="shared" ca="1" si="34"/>
        <v>3.7694304140640531</v>
      </c>
      <c r="DD56" s="171">
        <f t="shared" ca="1" si="35"/>
        <v>3.5785734838163288</v>
      </c>
      <c r="DE56" s="171">
        <f t="shared" ca="1" si="36"/>
        <v>3.3973801801175054</v>
      </c>
      <c r="DF56" s="171">
        <f t="shared" ca="1" si="37"/>
        <v>3.2253612062050534</v>
      </c>
      <c r="DG56" s="171">
        <f t="shared" ca="1" si="38"/>
        <v>3.0620520397963555</v>
      </c>
      <c r="DH56" s="171">
        <f t="shared" ca="1" si="39"/>
        <v>2.9070116786866715</v>
      </c>
      <c r="DI56" s="171">
        <f t="shared" ca="1" si="40"/>
        <v>2.7598214498610294</v>
      </c>
      <c r="DJ56" s="171">
        <f t="shared" ca="1" si="41"/>
        <v>2.6200838789041487</v>
      </c>
      <c r="DK56" s="171">
        <f t="shared" ca="1" si="42"/>
        <v>2.4874216166553409</v>
      </c>
      <c r="DL56" s="171">
        <f t="shared" ca="1" si="43"/>
        <v>2.3614764202099123</v>
      </c>
      <c r="DM56" s="171">
        <f t="shared" ca="1" si="44"/>
        <v>0</v>
      </c>
      <c r="DN56" s="171">
        <f t="shared" ca="1" si="45"/>
        <v>0</v>
      </c>
      <c r="DO56" s="171">
        <f t="shared" ca="1" si="46"/>
        <v>0</v>
      </c>
      <c r="DP56" s="171">
        <f t="shared" ca="1" si="47"/>
        <v>0</v>
      </c>
      <c r="DQ56" s="171">
        <f t="shared" ca="1" si="48"/>
        <v>0</v>
      </c>
      <c r="DR56" s="171">
        <f t="shared" ca="1" si="49"/>
        <v>0</v>
      </c>
      <c r="DS56" s="171">
        <f t="shared" ca="1" si="50"/>
        <v>0</v>
      </c>
      <c r="DT56" s="171">
        <f t="shared" ca="1" si="51"/>
        <v>0</v>
      </c>
      <c r="DU56" s="171">
        <f t="shared" ca="1" si="52"/>
        <v>0</v>
      </c>
      <c r="DV56" s="171">
        <f t="shared" ca="1" si="53"/>
        <v>0</v>
      </c>
      <c r="DW56" s="171">
        <f t="shared" ca="1" si="54"/>
        <v>0</v>
      </c>
      <c r="DX56" s="171">
        <f t="shared" ca="1" si="55"/>
        <v>0</v>
      </c>
      <c r="DY56" s="171">
        <f t="shared" ca="1" si="56"/>
        <v>0</v>
      </c>
      <c r="DZ56" s="171">
        <f t="shared" ca="1" si="57"/>
        <v>0</v>
      </c>
      <c r="EA56" s="171">
        <f t="shared" ca="1" si="58"/>
        <v>0</v>
      </c>
      <c r="EB56" s="171">
        <f t="shared" ca="1" si="59"/>
        <v>0</v>
      </c>
      <c r="EC56" s="171">
        <f t="shared" ca="1" si="60"/>
        <v>0</v>
      </c>
      <c r="ED56" s="171">
        <f t="shared" ca="1" si="61"/>
        <v>0</v>
      </c>
      <c r="EE56" s="171">
        <f t="shared" ca="1" si="62"/>
        <v>0</v>
      </c>
      <c r="EF56" s="171">
        <f t="shared" ca="1" si="63"/>
        <v>0</v>
      </c>
      <c r="EG56" s="171">
        <f t="shared" ca="1" si="64"/>
        <v>0</v>
      </c>
      <c r="EH56" s="171">
        <f t="shared" ca="1" si="65"/>
        <v>0</v>
      </c>
      <c r="EI56" s="171">
        <f t="shared" ca="1" si="66"/>
        <v>0</v>
      </c>
      <c r="EJ56" s="171">
        <f t="shared" ca="1" si="67"/>
        <v>0</v>
      </c>
      <c r="EK56" s="171">
        <f t="shared" ca="1" si="68"/>
        <v>0</v>
      </c>
      <c r="EL56" s="171">
        <f t="shared" ca="1" si="69"/>
        <v>0</v>
      </c>
      <c r="EM56" s="171">
        <f t="shared" ca="1" si="70"/>
        <v>0</v>
      </c>
      <c r="EN56" s="171">
        <f t="shared" ca="1" si="71"/>
        <v>0</v>
      </c>
      <c r="EO56" s="171">
        <f t="shared" ca="1" si="72"/>
        <v>0</v>
      </c>
      <c r="EP56" s="171">
        <f t="shared" ca="1" si="73"/>
        <v>0</v>
      </c>
      <c r="EQ56" s="171">
        <f t="shared" ca="1" si="74"/>
        <v>0</v>
      </c>
      <c r="ER56" s="171">
        <f t="shared" ca="1" si="75"/>
        <v>0</v>
      </c>
      <c r="ES56" s="171">
        <f t="shared" ca="1" si="76"/>
        <v>0</v>
      </c>
    </row>
    <row r="57" spans="1:149">
      <c r="A57" s="139" t="s">
        <v>410</v>
      </c>
      <c r="B57" s="160" t="s">
        <v>414</v>
      </c>
      <c r="C57" s="161" t="s">
        <v>412</v>
      </c>
      <c r="D57" s="161" t="s">
        <v>394</v>
      </c>
      <c r="E57" s="161">
        <v>2019</v>
      </c>
      <c r="F57" s="161" t="s">
        <v>405</v>
      </c>
      <c r="G57" s="161" t="s">
        <v>289</v>
      </c>
      <c r="H57" s="161" t="s">
        <v>406</v>
      </c>
      <c r="I57" s="161" t="s">
        <v>365</v>
      </c>
      <c r="J57" s="161" t="s">
        <v>397</v>
      </c>
      <c r="K57" s="188">
        <v>11</v>
      </c>
      <c r="L57" s="163" t="s">
        <v>110</v>
      </c>
      <c r="M57" s="164">
        <f t="shared" si="0"/>
        <v>11</v>
      </c>
      <c r="N57" s="164">
        <f t="shared" si="1"/>
        <v>11</v>
      </c>
      <c r="O57" s="165">
        <f t="shared" si="2"/>
        <v>1</v>
      </c>
      <c r="P57" s="176">
        <v>5.2999999999999999E-2</v>
      </c>
      <c r="Q57" s="177">
        <v>24</v>
      </c>
      <c r="R57" s="168">
        <f t="shared" si="3"/>
        <v>19</v>
      </c>
      <c r="S57" s="169">
        <v>0</v>
      </c>
      <c r="T57" s="161" t="s">
        <v>289</v>
      </c>
      <c r="U57" s="171">
        <f t="shared" si="4"/>
        <v>0.60729166666666679</v>
      </c>
      <c r="V57" s="171">
        <f t="shared" ca="1" si="5"/>
        <v>0.41581005982238445</v>
      </c>
      <c r="W57" s="171">
        <f t="shared" ca="1" si="6"/>
        <v>9.9794414357372272</v>
      </c>
      <c r="X57" s="172" t="str">
        <f t="shared" si="7"/>
        <v>Equity</v>
      </c>
      <c r="Y57" s="172" t="str">
        <f t="shared" si="8"/>
        <v>Equity</v>
      </c>
      <c r="Z57" s="173">
        <f t="shared" si="9"/>
        <v>14.575000000000003</v>
      </c>
      <c r="AA57" s="171">
        <f t="shared" si="10"/>
        <v>0</v>
      </c>
      <c r="AB57" s="171">
        <f t="shared" si="10"/>
        <v>0</v>
      </c>
      <c r="AC57" s="171">
        <f t="shared" si="10"/>
        <v>0</v>
      </c>
      <c r="AD57" s="171">
        <f t="shared" si="10"/>
        <v>0</v>
      </c>
      <c r="AE57" s="171">
        <f t="shared" si="10"/>
        <v>0</v>
      </c>
      <c r="AF57" s="171">
        <f t="shared" si="10"/>
        <v>0</v>
      </c>
      <c r="AG57" s="171">
        <f t="shared" si="10"/>
        <v>0</v>
      </c>
      <c r="AH57" s="171">
        <f t="shared" si="10"/>
        <v>0</v>
      </c>
      <c r="AI57" s="171">
        <f t="shared" si="10"/>
        <v>0</v>
      </c>
      <c r="AJ57" s="171">
        <f t="shared" si="10"/>
        <v>0.58299999999999996</v>
      </c>
      <c r="AK57" s="171">
        <f t="shared" si="11"/>
        <v>0.58299999999999996</v>
      </c>
      <c r="AL57" s="171">
        <f t="shared" si="11"/>
        <v>0.58299999999999996</v>
      </c>
      <c r="AM57" s="171">
        <f t="shared" si="11"/>
        <v>0.58299999999999996</v>
      </c>
      <c r="AN57" s="171">
        <f t="shared" si="11"/>
        <v>0.58299999999999996</v>
      </c>
      <c r="AO57" s="171">
        <f t="shared" si="11"/>
        <v>0.58299999999999996</v>
      </c>
      <c r="AP57" s="171">
        <f t="shared" si="11"/>
        <v>0.58299999999999996</v>
      </c>
      <c r="AQ57" s="171">
        <f t="shared" si="11"/>
        <v>0.58299999999999996</v>
      </c>
      <c r="AR57" s="171">
        <f t="shared" si="11"/>
        <v>0.58299999999999996</v>
      </c>
      <c r="AS57" s="171">
        <f t="shared" si="11"/>
        <v>0.58299999999999996</v>
      </c>
      <c r="AT57" s="171">
        <f t="shared" si="11"/>
        <v>0.58299999999999996</v>
      </c>
      <c r="AU57" s="171">
        <f t="shared" si="12"/>
        <v>0.58299999999999996</v>
      </c>
      <c r="AV57" s="171">
        <f t="shared" si="12"/>
        <v>0.58299999999999996</v>
      </c>
      <c r="AW57" s="171">
        <f t="shared" si="12"/>
        <v>0.58299999999999996</v>
      </c>
      <c r="AX57" s="171">
        <f t="shared" si="12"/>
        <v>0.58299999999999996</v>
      </c>
      <c r="AY57" s="171">
        <f t="shared" si="12"/>
        <v>0.58299999999999996</v>
      </c>
      <c r="AZ57" s="171">
        <f t="shared" si="12"/>
        <v>0.58299999999999996</v>
      </c>
      <c r="BA57" s="171">
        <f t="shared" si="12"/>
        <v>0.58299999999999996</v>
      </c>
      <c r="BB57" s="171">
        <f t="shared" si="12"/>
        <v>0.58299999999999996</v>
      </c>
      <c r="BC57" s="171">
        <f t="shared" si="12"/>
        <v>0.58299999999999996</v>
      </c>
      <c r="BD57" s="171">
        <f t="shared" si="12"/>
        <v>0.58299999999999996</v>
      </c>
      <c r="BE57" s="171">
        <f t="shared" si="13"/>
        <v>0.58299999999999996</v>
      </c>
      <c r="BF57" s="171">
        <f t="shared" si="13"/>
        <v>0.58299999999999996</v>
      </c>
      <c r="BG57" s="171">
        <f t="shared" si="13"/>
        <v>0.58299999999999996</v>
      </c>
      <c r="BH57" s="171">
        <f t="shared" si="13"/>
        <v>0.58299999999999996</v>
      </c>
      <c r="BI57" s="171">
        <f t="shared" si="13"/>
        <v>0</v>
      </c>
      <c r="BJ57" s="171">
        <f t="shared" si="13"/>
        <v>0</v>
      </c>
      <c r="BK57" s="171">
        <f t="shared" si="13"/>
        <v>0</v>
      </c>
      <c r="BL57" s="171">
        <f t="shared" si="13"/>
        <v>0</v>
      </c>
      <c r="BM57" s="171">
        <f t="shared" si="13"/>
        <v>0</v>
      </c>
      <c r="BN57" s="171">
        <f t="shared" si="13"/>
        <v>0</v>
      </c>
      <c r="BO57" s="171">
        <f t="shared" si="14"/>
        <v>0</v>
      </c>
      <c r="BP57" s="171">
        <f t="shared" si="14"/>
        <v>0</v>
      </c>
      <c r="BQ57" s="171">
        <f t="shared" si="14"/>
        <v>0</v>
      </c>
      <c r="BR57" s="171">
        <f t="shared" si="14"/>
        <v>0</v>
      </c>
      <c r="BS57" s="171">
        <f t="shared" si="14"/>
        <v>0</v>
      </c>
      <c r="BT57" s="171">
        <f t="shared" si="14"/>
        <v>0</v>
      </c>
      <c r="BU57" s="171">
        <f t="shared" si="14"/>
        <v>0</v>
      </c>
      <c r="BV57" s="171">
        <f t="shared" si="14"/>
        <v>0</v>
      </c>
      <c r="BW57" s="171">
        <f t="shared" si="14"/>
        <v>0</v>
      </c>
      <c r="BX57" s="171">
        <f t="shared" si="14"/>
        <v>0</v>
      </c>
      <c r="BY57" s="171">
        <f t="shared" si="15"/>
        <v>0</v>
      </c>
      <c r="BZ57" s="171">
        <f t="shared" si="15"/>
        <v>0</v>
      </c>
      <c r="CA57" s="171">
        <f t="shared" si="15"/>
        <v>0</v>
      </c>
      <c r="CB57" s="171">
        <f t="shared" si="15"/>
        <v>0</v>
      </c>
      <c r="CC57" s="171">
        <f t="shared" si="15"/>
        <v>0</v>
      </c>
      <c r="CD57" s="171">
        <f t="shared" si="15"/>
        <v>0</v>
      </c>
      <c r="CE57" s="171">
        <f t="shared" si="15"/>
        <v>0</v>
      </c>
      <c r="CF57" s="171">
        <f t="shared" si="15"/>
        <v>0</v>
      </c>
      <c r="CG57" s="171">
        <f t="shared" si="15"/>
        <v>0</v>
      </c>
      <c r="CH57" s="171">
        <f t="shared" si="15"/>
        <v>0</v>
      </c>
      <c r="CI57" s="171">
        <f t="shared" si="15"/>
        <v>0</v>
      </c>
      <c r="CJ57" s="243"/>
      <c r="CK57" s="171">
        <f t="shared" si="16"/>
        <v>0</v>
      </c>
      <c r="CL57" s="171">
        <f t="shared" si="17"/>
        <v>0</v>
      </c>
      <c r="CM57" s="171">
        <f t="shared" si="18"/>
        <v>0</v>
      </c>
      <c r="CN57" s="171">
        <f t="shared" si="19"/>
        <v>0</v>
      </c>
      <c r="CO57" s="171">
        <f t="shared" si="20"/>
        <v>0</v>
      </c>
      <c r="CP57" s="171">
        <f t="shared" si="21"/>
        <v>0</v>
      </c>
      <c r="CQ57" s="171">
        <f t="shared" si="22"/>
        <v>0</v>
      </c>
      <c r="CR57" s="171">
        <f t="shared" si="23"/>
        <v>0</v>
      </c>
      <c r="CS57" s="171">
        <f t="shared" si="24"/>
        <v>0</v>
      </c>
      <c r="CT57" s="171">
        <f t="shared" si="25"/>
        <v>0.58299999999999996</v>
      </c>
      <c r="CU57" s="171">
        <f t="shared" si="26"/>
        <v>0.58299999999999996</v>
      </c>
      <c r="CV57" s="171">
        <f t="shared" si="27"/>
        <v>0.58299999999999996</v>
      </c>
      <c r="CW57" s="171">
        <f t="shared" si="28"/>
        <v>0.58299999999999996</v>
      </c>
      <c r="CX57" s="171">
        <f t="shared" si="29"/>
        <v>0.58299999999999996</v>
      </c>
      <c r="CY57" s="171">
        <f t="shared" ca="1" si="30"/>
        <v>0.55348105997148334</v>
      </c>
      <c r="CZ57" s="171">
        <f t="shared" ca="1" si="31"/>
        <v>0.52545674742222426</v>
      </c>
      <c r="DA57" s="171">
        <f t="shared" ca="1" si="32"/>
        <v>0.49885138513279714</v>
      </c>
      <c r="DB57" s="171">
        <f t="shared" ca="1" si="33"/>
        <v>0.47359312763558015</v>
      </c>
      <c r="DC57" s="171">
        <f t="shared" ca="1" si="34"/>
        <v>0.44961376720231716</v>
      </c>
      <c r="DD57" s="171">
        <f t="shared" ca="1" si="35"/>
        <v>0.42684854965507768</v>
      </c>
      <c r="DE57" s="171">
        <f t="shared" ca="1" si="36"/>
        <v>0.40523599950322942</v>
      </c>
      <c r="DF57" s="171">
        <f t="shared" ca="1" si="37"/>
        <v>0.38471775393422114</v>
      </c>
      <c r="DG57" s="171">
        <f t="shared" ca="1" si="38"/>
        <v>0.36523840520988177</v>
      </c>
      <c r="DH57" s="171">
        <f t="shared" ca="1" si="39"/>
        <v>0.34674535104264065</v>
      </c>
      <c r="DI57" s="171">
        <f t="shared" ca="1" si="40"/>
        <v>0.32918865254762408</v>
      </c>
      <c r="DJ57" s="171">
        <f t="shared" ca="1" si="41"/>
        <v>0.31252089938703831</v>
      </c>
      <c r="DK57" s="171">
        <f t="shared" ca="1" si="42"/>
        <v>0.29669708174267456</v>
      </c>
      <c r="DL57" s="171">
        <f t="shared" ca="1" si="43"/>
        <v>0.28167446877080854</v>
      </c>
      <c r="DM57" s="171">
        <f t="shared" ca="1" si="44"/>
        <v>0.26741249321127203</v>
      </c>
      <c r="DN57" s="171">
        <f t="shared" ca="1" si="45"/>
        <v>0.25387264183909425</v>
      </c>
      <c r="DO57" s="171">
        <f t="shared" ca="1" si="46"/>
        <v>0.24101835146288619</v>
      </c>
      <c r="DP57" s="171">
        <f t="shared" ca="1" si="47"/>
        <v>0.22881491018912137</v>
      </c>
      <c r="DQ57" s="171">
        <f t="shared" ca="1" si="48"/>
        <v>0.21722936368568557</v>
      </c>
      <c r="DR57" s="171">
        <f t="shared" ca="1" si="49"/>
        <v>0.20623042619156792</v>
      </c>
      <c r="DS57" s="171">
        <f t="shared" ca="1" si="50"/>
        <v>0</v>
      </c>
      <c r="DT57" s="171">
        <f t="shared" ca="1" si="51"/>
        <v>0</v>
      </c>
      <c r="DU57" s="171">
        <f t="shared" ca="1" si="52"/>
        <v>0</v>
      </c>
      <c r="DV57" s="171">
        <f t="shared" ca="1" si="53"/>
        <v>0</v>
      </c>
      <c r="DW57" s="171">
        <f t="shared" ca="1" si="54"/>
        <v>0</v>
      </c>
      <c r="DX57" s="171">
        <f t="shared" ca="1" si="55"/>
        <v>0</v>
      </c>
      <c r="DY57" s="171">
        <f t="shared" ca="1" si="56"/>
        <v>0</v>
      </c>
      <c r="DZ57" s="171">
        <f t="shared" ca="1" si="57"/>
        <v>0</v>
      </c>
      <c r="EA57" s="171">
        <f t="shared" ca="1" si="58"/>
        <v>0</v>
      </c>
      <c r="EB57" s="171">
        <f t="shared" ca="1" si="59"/>
        <v>0</v>
      </c>
      <c r="EC57" s="171">
        <f t="shared" ca="1" si="60"/>
        <v>0</v>
      </c>
      <c r="ED57" s="171">
        <f t="shared" ca="1" si="61"/>
        <v>0</v>
      </c>
      <c r="EE57" s="171">
        <f t="shared" ca="1" si="62"/>
        <v>0</v>
      </c>
      <c r="EF57" s="171">
        <f t="shared" ca="1" si="63"/>
        <v>0</v>
      </c>
      <c r="EG57" s="171">
        <f t="shared" ca="1" si="64"/>
        <v>0</v>
      </c>
      <c r="EH57" s="171">
        <f t="shared" ca="1" si="65"/>
        <v>0</v>
      </c>
      <c r="EI57" s="171">
        <f t="shared" ca="1" si="66"/>
        <v>0</v>
      </c>
      <c r="EJ57" s="171">
        <f t="shared" ca="1" si="67"/>
        <v>0</v>
      </c>
      <c r="EK57" s="171">
        <f t="shared" ca="1" si="68"/>
        <v>0</v>
      </c>
      <c r="EL57" s="171">
        <f t="shared" ca="1" si="69"/>
        <v>0</v>
      </c>
      <c r="EM57" s="171">
        <f t="shared" ca="1" si="70"/>
        <v>0</v>
      </c>
      <c r="EN57" s="171">
        <f t="shared" ca="1" si="71"/>
        <v>0</v>
      </c>
      <c r="EO57" s="171">
        <f t="shared" ca="1" si="72"/>
        <v>0</v>
      </c>
      <c r="EP57" s="171">
        <f t="shared" ca="1" si="73"/>
        <v>0</v>
      </c>
      <c r="EQ57" s="171">
        <f t="shared" ca="1" si="74"/>
        <v>0</v>
      </c>
      <c r="ER57" s="171">
        <f t="shared" ca="1" si="75"/>
        <v>0</v>
      </c>
      <c r="ES57" s="171">
        <f t="shared" ca="1" si="76"/>
        <v>0</v>
      </c>
    </row>
    <row r="58" spans="1:149">
      <c r="A58" s="139" t="s">
        <v>415</v>
      </c>
      <c r="B58" s="160" t="s">
        <v>416</v>
      </c>
      <c r="C58" s="160" t="s">
        <v>17</v>
      </c>
      <c r="D58" s="161" t="s">
        <v>417</v>
      </c>
      <c r="E58" s="160">
        <v>2015</v>
      </c>
      <c r="F58" s="160" t="s">
        <v>405</v>
      </c>
      <c r="G58" s="160" t="s">
        <v>402</v>
      </c>
      <c r="H58" s="160" t="s">
        <v>406</v>
      </c>
      <c r="I58" s="160" t="s">
        <v>184</v>
      </c>
      <c r="J58" s="160" t="s">
        <v>401</v>
      </c>
      <c r="K58" s="187">
        <v>21</v>
      </c>
      <c r="L58" s="163" t="s">
        <v>110</v>
      </c>
      <c r="M58" s="164">
        <f t="shared" si="0"/>
        <v>21</v>
      </c>
      <c r="N58" s="164">
        <f t="shared" si="1"/>
        <v>21</v>
      </c>
      <c r="O58" s="165">
        <f t="shared" si="2"/>
        <v>1</v>
      </c>
      <c r="P58" s="180">
        <v>8.0329758713136745E-2</v>
      </c>
      <c r="Q58" s="183">
        <v>15</v>
      </c>
      <c r="R58" s="168">
        <f t="shared" si="3"/>
        <v>6</v>
      </c>
      <c r="S58" s="186">
        <v>1.5</v>
      </c>
      <c r="T58" s="170" t="s">
        <v>403</v>
      </c>
      <c r="U58" s="171">
        <f t="shared" si="4"/>
        <v>2.561483115858068</v>
      </c>
      <c r="V58" s="171">
        <f t="shared" ca="1" si="5"/>
        <v>2.3473740357359958</v>
      </c>
      <c r="W58" s="171">
        <f t="shared" ca="1" si="6"/>
        <v>35.210610536039937</v>
      </c>
      <c r="X58" s="172">
        <f t="shared" si="7"/>
        <v>0.5929092273482659</v>
      </c>
      <c r="Y58" s="172">
        <f t="shared" si="8"/>
        <v>0.4070907726517341</v>
      </c>
      <c r="Z58" s="173">
        <f t="shared" si="9"/>
        <v>38.422246737871021</v>
      </c>
      <c r="AA58" s="171">
        <f t="shared" si="10"/>
        <v>0</v>
      </c>
      <c r="AB58" s="171">
        <f t="shared" si="10"/>
        <v>0</v>
      </c>
      <c r="AC58" s="171">
        <f t="shared" si="10"/>
        <v>0</v>
      </c>
      <c r="AD58" s="171">
        <f t="shared" si="10"/>
        <v>0</v>
      </c>
      <c r="AE58" s="171">
        <f t="shared" si="10"/>
        <v>0</v>
      </c>
      <c r="AF58" s="171">
        <f t="shared" si="10"/>
        <v>1.6869249329758715</v>
      </c>
      <c r="AG58" s="171">
        <f t="shared" si="10"/>
        <v>1.6869249329758715</v>
      </c>
      <c r="AH58" s="171">
        <f t="shared" si="10"/>
        <v>2.5034569194228053</v>
      </c>
      <c r="AI58" s="171">
        <f t="shared" si="10"/>
        <v>2.5034569194228053</v>
      </c>
      <c r="AJ58" s="171">
        <f t="shared" si="10"/>
        <v>2.5034569194228053</v>
      </c>
      <c r="AK58" s="171">
        <f t="shared" si="11"/>
        <v>2.5034569194228053</v>
      </c>
      <c r="AL58" s="171">
        <f t="shared" si="11"/>
        <v>2.5034569194228053</v>
      </c>
      <c r="AM58" s="171">
        <f t="shared" si="11"/>
        <v>2.5034569194228053</v>
      </c>
      <c r="AN58" s="171">
        <f t="shared" si="11"/>
        <v>2.5034569194228053</v>
      </c>
      <c r="AO58" s="171">
        <f t="shared" si="11"/>
        <v>2.5034569194228053</v>
      </c>
      <c r="AP58" s="171">
        <f t="shared" si="11"/>
        <v>2.5034569194228053</v>
      </c>
      <c r="AQ58" s="171">
        <f t="shared" si="11"/>
        <v>2.5034569194228053</v>
      </c>
      <c r="AR58" s="171">
        <f t="shared" si="11"/>
        <v>2.5034569194228053</v>
      </c>
      <c r="AS58" s="171">
        <f t="shared" si="11"/>
        <v>2.5034569194228053</v>
      </c>
      <c r="AT58" s="171">
        <f t="shared" si="11"/>
        <v>2.5034569194228053</v>
      </c>
      <c r="AU58" s="171">
        <f t="shared" si="12"/>
        <v>2.5034569194228053</v>
      </c>
      <c r="AV58" s="171">
        <f t="shared" si="12"/>
        <v>0</v>
      </c>
      <c r="AW58" s="171">
        <f t="shared" si="12"/>
        <v>0</v>
      </c>
      <c r="AX58" s="171">
        <f t="shared" si="12"/>
        <v>0</v>
      </c>
      <c r="AY58" s="171">
        <f t="shared" si="12"/>
        <v>0</v>
      </c>
      <c r="AZ58" s="171">
        <f t="shared" si="12"/>
        <v>0</v>
      </c>
      <c r="BA58" s="171">
        <f t="shared" si="12"/>
        <v>0</v>
      </c>
      <c r="BB58" s="171">
        <f t="shared" si="12"/>
        <v>0</v>
      </c>
      <c r="BC58" s="171">
        <f t="shared" si="12"/>
        <v>0</v>
      </c>
      <c r="BD58" s="171">
        <f t="shared" si="12"/>
        <v>0</v>
      </c>
      <c r="BE58" s="171">
        <f t="shared" si="13"/>
        <v>0</v>
      </c>
      <c r="BF58" s="171">
        <f t="shared" si="13"/>
        <v>0</v>
      </c>
      <c r="BG58" s="171">
        <f t="shared" si="13"/>
        <v>0</v>
      </c>
      <c r="BH58" s="171">
        <f t="shared" si="13"/>
        <v>0</v>
      </c>
      <c r="BI58" s="171">
        <f t="shared" si="13"/>
        <v>0</v>
      </c>
      <c r="BJ58" s="171">
        <f t="shared" si="13"/>
        <v>0</v>
      </c>
      <c r="BK58" s="171">
        <f t="shared" si="13"/>
        <v>0</v>
      </c>
      <c r="BL58" s="171">
        <f t="shared" si="13"/>
        <v>0</v>
      </c>
      <c r="BM58" s="171">
        <f t="shared" si="13"/>
        <v>0</v>
      </c>
      <c r="BN58" s="171">
        <f t="shared" si="13"/>
        <v>0</v>
      </c>
      <c r="BO58" s="171">
        <f t="shared" si="14"/>
        <v>0</v>
      </c>
      <c r="BP58" s="171">
        <f t="shared" si="14"/>
        <v>0</v>
      </c>
      <c r="BQ58" s="171">
        <f t="shared" si="14"/>
        <v>0</v>
      </c>
      <c r="BR58" s="171">
        <f t="shared" si="14"/>
        <v>0</v>
      </c>
      <c r="BS58" s="171">
        <f t="shared" si="14"/>
        <v>0</v>
      </c>
      <c r="BT58" s="171">
        <f t="shared" si="14"/>
        <v>0</v>
      </c>
      <c r="BU58" s="171">
        <f t="shared" si="14"/>
        <v>0</v>
      </c>
      <c r="BV58" s="171">
        <f t="shared" si="14"/>
        <v>0</v>
      </c>
      <c r="BW58" s="171">
        <f t="shared" si="14"/>
        <v>0</v>
      </c>
      <c r="BX58" s="171">
        <f t="shared" si="14"/>
        <v>0</v>
      </c>
      <c r="BY58" s="171">
        <f t="shared" si="15"/>
        <v>0</v>
      </c>
      <c r="BZ58" s="171">
        <f t="shared" si="15"/>
        <v>0</v>
      </c>
      <c r="CA58" s="171">
        <f t="shared" si="15"/>
        <v>0</v>
      </c>
      <c r="CB58" s="171">
        <f t="shared" si="15"/>
        <v>0</v>
      </c>
      <c r="CC58" s="171">
        <f t="shared" si="15"/>
        <v>0</v>
      </c>
      <c r="CD58" s="171">
        <f t="shared" si="15"/>
        <v>0</v>
      </c>
      <c r="CE58" s="171">
        <f t="shared" si="15"/>
        <v>0</v>
      </c>
      <c r="CF58" s="171">
        <f t="shared" si="15"/>
        <v>0</v>
      </c>
      <c r="CG58" s="171">
        <f t="shared" si="15"/>
        <v>0</v>
      </c>
      <c r="CH58" s="171">
        <f t="shared" si="15"/>
        <v>0</v>
      </c>
      <c r="CI58" s="171">
        <f t="shared" si="15"/>
        <v>0</v>
      </c>
      <c r="CJ58" s="243"/>
      <c r="CK58" s="171">
        <f t="shared" si="16"/>
        <v>0</v>
      </c>
      <c r="CL58" s="171">
        <f t="shared" si="17"/>
        <v>0</v>
      </c>
      <c r="CM58" s="171">
        <f t="shared" si="18"/>
        <v>0</v>
      </c>
      <c r="CN58" s="171">
        <f t="shared" si="19"/>
        <v>0</v>
      </c>
      <c r="CO58" s="171">
        <f t="shared" si="20"/>
        <v>0</v>
      </c>
      <c r="CP58" s="171">
        <f t="shared" si="21"/>
        <v>1.6869249329758715</v>
      </c>
      <c r="CQ58" s="171">
        <f t="shared" si="22"/>
        <v>1.6869249329758715</v>
      </c>
      <c r="CR58" s="171">
        <f t="shared" si="23"/>
        <v>2.5034569194228053</v>
      </c>
      <c r="CS58" s="171">
        <f t="shared" si="24"/>
        <v>2.5034569194228053</v>
      </c>
      <c r="CT58" s="171">
        <f t="shared" si="25"/>
        <v>2.5034569194228053</v>
      </c>
      <c r="CU58" s="171">
        <f t="shared" si="26"/>
        <v>2.5034569194228053</v>
      </c>
      <c r="CV58" s="171">
        <f t="shared" si="27"/>
        <v>2.5034569194228053</v>
      </c>
      <c r="CW58" s="171">
        <f t="shared" si="28"/>
        <v>2.5034569194228053</v>
      </c>
      <c r="CX58" s="171">
        <f t="shared" si="29"/>
        <v>2.5034569194228053</v>
      </c>
      <c r="CY58" s="171">
        <f t="shared" ca="1" si="30"/>
        <v>2.3766998102145434</v>
      </c>
      <c r="CZ58" s="171">
        <f t="shared" ca="1" si="31"/>
        <v>2.2563607721982315</v>
      </c>
      <c r="DA58" s="171">
        <f t="shared" ca="1" si="32"/>
        <v>2.1421148402647545</v>
      </c>
      <c r="DB58" s="171">
        <f t="shared" ca="1" si="33"/>
        <v>2.0336535032082006</v>
      </c>
      <c r="DC58" s="171">
        <f t="shared" ca="1" si="34"/>
        <v>1.9306838706181739</v>
      </c>
      <c r="DD58" s="171">
        <f t="shared" ca="1" si="35"/>
        <v>1.8329278819547052</v>
      </c>
      <c r="DE58" s="171">
        <f t="shared" ca="1" si="36"/>
        <v>1.7401215556699423</v>
      </c>
      <c r="DF58" s="171">
        <f t="shared" ca="1" si="37"/>
        <v>0</v>
      </c>
      <c r="DG58" s="171">
        <f t="shared" ca="1" si="38"/>
        <v>0</v>
      </c>
      <c r="DH58" s="171">
        <f t="shared" ca="1" si="39"/>
        <v>0</v>
      </c>
      <c r="DI58" s="171">
        <f t="shared" ca="1" si="40"/>
        <v>0</v>
      </c>
      <c r="DJ58" s="171">
        <f t="shared" ca="1" si="41"/>
        <v>0</v>
      </c>
      <c r="DK58" s="171">
        <f t="shared" ca="1" si="42"/>
        <v>0</v>
      </c>
      <c r="DL58" s="171">
        <f t="shared" ca="1" si="43"/>
        <v>0</v>
      </c>
      <c r="DM58" s="171">
        <f t="shared" ca="1" si="44"/>
        <v>0</v>
      </c>
      <c r="DN58" s="171">
        <f t="shared" ca="1" si="45"/>
        <v>0</v>
      </c>
      <c r="DO58" s="171">
        <f t="shared" ca="1" si="46"/>
        <v>0</v>
      </c>
      <c r="DP58" s="171">
        <f t="shared" ca="1" si="47"/>
        <v>0</v>
      </c>
      <c r="DQ58" s="171">
        <f t="shared" ca="1" si="48"/>
        <v>0</v>
      </c>
      <c r="DR58" s="171">
        <f t="shared" ca="1" si="49"/>
        <v>0</v>
      </c>
      <c r="DS58" s="171">
        <f t="shared" ca="1" si="50"/>
        <v>0</v>
      </c>
      <c r="DT58" s="171">
        <f t="shared" ca="1" si="51"/>
        <v>0</v>
      </c>
      <c r="DU58" s="171">
        <f t="shared" ca="1" si="52"/>
        <v>0</v>
      </c>
      <c r="DV58" s="171">
        <f t="shared" ca="1" si="53"/>
        <v>0</v>
      </c>
      <c r="DW58" s="171">
        <f t="shared" ca="1" si="54"/>
        <v>0</v>
      </c>
      <c r="DX58" s="171">
        <f t="shared" ca="1" si="55"/>
        <v>0</v>
      </c>
      <c r="DY58" s="171">
        <f t="shared" ca="1" si="56"/>
        <v>0</v>
      </c>
      <c r="DZ58" s="171">
        <f t="shared" ca="1" si="57"/>
        <v>0</v>
      </c>
      <c r="EA58" s="171">
        <f t="shared" ca="1" si="58"/>
        <v>0</v>
      </c>
      <c r="EB58" s="171">
        <f t="shared" ca="1" si="59"/>
        <v>0</v>
      </c>
      <c r="EC58" s="171">
        <f t="shared" ca="1" si="60"/>
        <v>0</v>
      </c>
      <c r="ED58" s="171">
        <f t="shared" ca="1" si="61"/>
        <v>0</v>
      </c>
      <c r="EE58" s="171">
        <f t="shared" ca="1" si="62"/>
        <v>0</v>
      </c>
      <c r="EF58" s="171">
        <f t="shared" ca="1" si="63"/>
        <v>0</v>
      </c>
      <c r="EG58" s="171">
        <f t="shared" ca="1" si="64"/>
        <v>0</v>
      </c>
      <c r="EH58" s="171">
        <f t="shared" ca="1" si="65"/>
        <v>0</v>
      </c>
      <c r="EI58" s="171">
        <f t="shared" ca="1" si="66"/>
        <v>0</v>
      </c>
      <c r="EJ58" s="171">
        <f t="shared" ca="1" si="67"/>
        <v>0</v>
      </c>
      <c r="EK58" s="171">
        <f t="shared" ca="1" si="68"/>
        <v>0</v>
      </c>
      <c r="EL58" s="171">
        <f t="shared" ca="1" si="69"/>
        <v>0</v>
      </c>
      <c r="EM58" s="171">
        <f t="shared" ca="1" si="70"/>
        <v>0</v>
      </c>
      <c r="EN58" s="171">
        <f t="shared" ca="1" si="71"/>
        <v>0</v>
      </c>
      <c r="EO58" s="171">
        <f t="shared" ca="1" si="72"/>
        <v>0</v>
      </c>
      <c r="EP58" s="171">
        <f t="shared" ca="1" si="73"/>
        <v>0</v>
      </c>
      <c r="EQ58" s="171">
        <f t="shared" ca="1" si="74"/>
        <v>0</v>
      </c>
      <c r="ER58" s="171">
        <f t="shared" ca="1" si="75"/>
        <v>0</v>
      </c>
      <c r="ES58" s="171">
        <f t="shared" ca="1" si="76"/>
        <v>0</v>
      </c>
    </row>
    <row r="59" spans="1:149">
      <c r="A59" s="139" t="s">
        <v>415</v>
      </c>
      <c r="B59" s="161" t="s">
        <v>418</v>
      </c>
      <c r="C59" s="161" t="s">
        <v>17</v>
      </c>
      <c r="D59" s="161" t="s">
        <v>417</v>
      </c>
      <c r="E59" s="161">
        <v>2015</v>
      </c>
      <c r="F59" s="161" t="s">
        <v>405</v>
      </c>
      <c r="G59" s="161" t="s">
        <v>289</v>
      </c>
      <c r="H59" s="161" t="s">
        <v>406</v>
      </c>
      <c r="I59" s="161" t="s">
        <v>365</v>
      </c>
      <c r="J59" s="161" t="s">
        <v>407</v>
      </c>
      <c r="K59" s="184">
        <v>8</v>
      </c>
      <c r="L59" s="163" t="s">
        <v>110</v>
      </c>
      <c r="M59" s="164">
        <f t="shared" si="0"/>
        <v>8</v>
      </c>
      <c r="N59" s="164">
        <f t="shared" si="1"/>
        <v>8</v>
      </c>
      <c r="O59" s="165">
        <f t="shared" si="2"/>
        <v>1</v>
      </c>
      <c r="P59" s="166">
        <v>0.12</v>
      </c>
      <c r="Q59" s="167">
        <v>30</v>
      </c>
      <c r="R59" s="168">
        <f t="shared" si="3"/>
        <v>21</v>
      </c>
      <c r="S59" s="169">
        <v>0</v>
      </c>
      <c r="T59" s="161" t="s">
        <v>289</v>
      </c>
      <c r="U59" s="171">
        <f t="shared" si="4"/>
        <v>0.99200000000000066</v>
      </c>
      <c r="V59" s="171">
        <f t="shared" ca="1" si="5"/>
        <v>0.6967055866721481</v>
      </c>
      <c r="W59" s="171">
        <f t="shared" ca="1" si="6"/>
        <v>20.901167600164442</v>
      </c>
      <c r="X59" s="172" t="str">
        <f t="shared" si="7"/>
        <v>Equity</v>
      </c>
      <c r="Y59" s="172" t="str">
        <f t="shared" si="8"/>
        <v>Equity</v>
      </c>
      <c r="Z59" s="173">
        <f t="shared" si="9"/>
        <v>29.760000000000019</v>
      </c>
      <c r="AA59" s="171">
        <f t="shared" ref="AA59:AJ68" si="77">IFERROR(
    IF($T59="Equity",
        IF(AND(AA$48&gt;=$E59, AA$48&lt;=($E59+$Q59)),
$K59*$P59*(VLOOKUP($C$39,$C$37:$BL$44,MATCH($E59,$C$37:$BL$37,0),FALSE)/VLOOKUP($L59,$C$37:$BL$44,MATCH($E59,$C$37:$BL$37,0),FALSE))*
IF($B$5="Foreign Currency",VLOOKUP($C$38,$C$37:$BL$44,MATCH(AA$48,$C$37:$BL$37,0),FALSE)/VLOOKUP($C$39,$C$37:$BL$44,MATCH(AA$48,$C$37:$BL$37,0),FALSE),1),
0),
    IF($T59="Lump Sum Principal",
        IF(AND(AA$48&gt;=$E59, AA$48&lt;($E59+$Q59)),
$K59*$P59*(VLOOKUP($C$39,$C$37:$BL$44,MATCH($E59,$C$37:$BL$37,0),FALSE)/VLOOKUP($L59,$C$37:$BL$44,MATCH($E59,$C$37:$BL$37,0),FALSE))*
IF($B$5="Foreign Currency",VLOOKUP($C$38,$C$37:$BL$44,MATCH(AA$48,$C$37:$BL$37,0),FALSE)/VLOOKUP($C$39,$C$37:$BL$44,MATCH(AA$48,$C$37:$BL$37,0),FALSE),1),
        IF(AA$48=($E59+$Q59),
$K59*(1+$P59)*(VLOOKUP($C$39,$C$37:$BL$44,MATCH($E59,$C$37:$BL$37,0),FALSE)/VLOOKUP($L59,$C$37:$BL$44,MATCH($E59,$C$37:$BL$37,0),FALSE))*
IF($B$5="Foreign Currency",VLOOKUP($C$38,$C$37:$BL$44,MATCH(AA$48,$C$37:$BL$37,0),FALSE)/VLOOKUP($C$39,$C$37:$BL$44,MATCH(AA$48,$C$37:$BL$37,0),FALSE),1),
0)),
    IF($T59="Lump Sum Principal and Interest",
        IF(AA$48=($E59+$Q59),
$K59*((1+$P59)^$Q59)*(VLOOKUP($C$39,$C$37:$BL$44,MATCH($E59,$C$37:$BL$37,0),FALSE)/VLOOKUP($L59,$C$37:$BL$44,MATCH($E59,$C$37:$BL$37,0),FALSE))*
IF($B$5="Foreign Currency",VLOOKUP($C$38,$C$37:$BL$44,MATCH(AA$48,$C$37:$BL$37,0),FALSE)/VLOOKUP($C$39,$C$37:$BL$44,MATCH(AA$48,$C$37:$BL$37,0),FALSE),1),
0),
    IF($T59="EPP with Grace Years for Principal",
        IF(AND(AA$48&gt;=$E59, AA$48&lt;($E59+$S59)),
$K59*$P59*(VLOOKUP($C$39,$C$37:$BL$44,MATCH($E59,$C$37:$BL$37,0),FALSE)/VLOOKUP($L59,$C$37:$BL$44,MATCH($E59,$C$37:$BL$37,0),FALSE))*
IF($B$5="Foreign Currency",VLOOKUP($C$38,$C$37:$BL$44,MATCH(AA$48,$C$37:$BL$37,0),FALSE)/VLOOKUP($C$39,$C$37:$BL$44,MATCH(AA$48,$C$37:$BL$37,0),FALSE),1),
        IF(AND(AA$48&gt;=($E59+$S59), AA$48&lt;=($E59+$Q59)),
-PMT($P59,($Q59-$S59+1),($K59*(VLOOKUP($C$39,$C$37:$BL$44,MATCH($E59,$C$37:$BL$37,0),FALSE)/VLOOKUP($L59,$C$37:$BL$44,MATCH($E59,$C$37:$BL$37,0),FALSE))*
IF($B$5="Foreign Currency",VLOOKUP($C$38,$C$37:$BL$44,MATCH(AA$48,$C$37:$BL$37,0),FALSE)/VLOOKUP($C$39,$C$37:$BL$44,MATCH(AA$48,$C$37:$BL$37,0),FALSE),1)),0),
0)),
    IF($T59="Equal Principal Payments (EPP)",
        IF(AND(AA$48&gt;=$E59, AA$48&lt;=($E59+$Q59)),
-PMT($P59,($Q59-$S59+1),($K59*(VLOOKUP($C$39,$C$37:$BL$44,MATCH($E59,$C$37:$BL$37,0),FALSE)/VLOOKUP($L59,$C$37:$BL$44,MATCH($E59,$C$37:$BL$37,0),FALSE))*
IF($B$5="Foreign Currency",VLOOKUP($C$38,$C$37:$BL$44,MATCH(AA$48,$C$37:$BL$37,0),FALSE)/VLOOKUP($C$39,$C$37:$BL$44,MATCH(AA$48,$C$37:$BL$37,0),FALSE),1)),0), 0),
    IF($T59="EPP with Grace Years for Principal and on Interest",
        IF(AND(AA$48&gt;=($E59+$S59), AA$48&lt;=($E59+$Q59)),
-PMT($P59,($Q59-$S59+1),($K59*(VLOOKUP($C$39,$C$37:$BL$44,MATCH($E59,$C$37:$BL$37,0),FALSE)/VLOOKUP($L59,$C$37:$BL$44,MATCH($E59,$C$37:$BL$37,0),FALSE))*
IF($B$5="Foreign Currency",VLOOKUP($C$38,$C$37:$BL$44,MATCH(AA$48,$C$37:$BL$37,0),FALSE)/VLOOKUP($C$39,$C$37:$BL$44,MATCH(AA$48,$C$37:$BL$37,0),FALSE),1))*((1+$P59)^$S59),0), 0),
    0)))))),"")</f>
        <v>0</v>
      </c>
      <c r="AB59" s="171">
        <f t="shared" si="77"/>
        <v>0</v>
      </c>
      <c r="AC59" s="171">
        <f t="shared" si="77"/>
        <v>0</v>
      </c>
      <c r="AD59" s="171">
        <f t="shared" si="77"/>
        <v>0</v>
      </c>
      <c r="AE59" s="171">
        <f t="shared" si="77"/>
        <v>0</v>
      </c>
      <c r="AF59" s="171">
        <f t="shared" si="77"/>
        <v>0.96</v>
      </c>
      <c r="AG59" s="171">
        <f t="shared" si="77"/>
        <v>0.96</v>
      </c>
      <c r="AH59" s="171">
        <f t="shared" si="77"/>
        <v>0.96</v>
      </c>
      <c r="AI59" s="171">
        <f t="shared" si="77"/>
        <v>0.96</v>
      </c>
      <c r="AJ59" s="171">
        <f t="shared" si="77"/>
        <v>0.96</v>
      </c>
      <c r="AK59" s="171">
        <f t="shared" ref="AK59:AT68" si="78">IFERROR(
    IF($T59="Equity",
        IF(AND(AK$48&gt;=$E59, AK$48&lt;=($E59+$Q59)),
$K59*$P59*(VLOOKUP($C$39,$C$37:$BL$44,MATCH($E59,$C$37:$BL$37,0),FALSE)/VLOOKUP($L59,$C$37:$BL$44,MATCH($E59,$C$37:$BL$37,0),FALSE))*
IF($B$5="Foreign Currency",VLOOKUP($C$38,$C$37:$BL$44,MATCH(AK$48,$C$37:$BL$37,0),FALSE)/VLOOKUP($C$39,$C$37:$BL$44,MATCH(AK$48,$C$37:$BL$37,0),FALSE),1),
0),
    IF($T59="Lump Sum Principal",
        IF(AND(AK$48&gt;=$E59, AK$48&lt;($E59+$Q59)),
$K59*$P59*(VLOOKUP($C$39,$C$37:$BL$44,MATCH($E59,$C$37:$BL$37,0),FALSE)/VLOOKUP($L59,$C$37:$BL$44,MATCH($E59,$C$37:$BL$37,0),FALSE))*
IF($B$5="Foreign Currency",VLOOKUP($C$38,$C$37:$BL$44,MATCH(AK$48,$C$37:$BL$37,0),FALSE)/VLOOKUP($C$39,$C$37:$BL$44,MATCH(AK$48,$C$37:$BL$37,0),FALSE),1),
        IF(AK$48=($E59+$Q59),
$K59*(1+$P59)*(VLOOKUP($C$39,$C$37:$BL$44,MATCH($E59,$C$37:$BL$37,0),FALSE)/VLOOKUP($L59,$C$37:$BL$44,MATCH($E59,$C$37:$BL$37,0),FALSE))*
IF($B$5="Foreign Currency",VLOOKUP($C$38,$C$37:$BL$44,MATCH(AK$48,$C$37:$BL$37,0),FALSE)/VLOOKUP($C$39,$C$37:$BL$44,MATCH(AK$48,$C$37:$BL$37,0),FALSE),1),
0)),
    IF($T59="Lump Sum Principal and Interest",
        IF(AK$48=($E59+$Q59),
$K59*((1+$P59)^$Q59)*(VLOOKUP($C$39,$C$37:$BL$44,MATCH($E59,$C$37:$BL$37,0),FALSE)/VLOOKUP($L59,$C$37:$BL$44,MATCH($E59,$C$37:$BL$37,0),FALSE))*
IF($B$5="Foreign Currency",VLOOKUP($C$38,$C$37:$BL$44,MATCH(AK$48,$C$37:$BL$37,0),FALSE)/VLOOKUP($C$39,$C$37:$BL$44,MATCH(AK$48,$C$37:$BL$37,0),FALSE),1),
0),
    IF($T59="EPP with Grace Years for Principal",
        IF(AND(AK$48&gt;=$E59, AK$48&lt;($E59+$S59)),
$K59*$P59*(VLOOKUP($C$39,$C$37:$BL$44,MATCH($E59,$C$37:$BL$37,0),FALSE)/VLOOKUP($L59,$C$37:$BL$44,MATCH($E59,$C$37:$BL$37,0),FALSE))*
IF($B$5="Foreign Currency",VLOOKUP($C$38,$C$37:$BL$44,MATCH(AK$48,$C$37:$BL$37,0),FALSE)/VLOOKUP($C$39,$C$37:$BL$44,MATCH(AK$48,$C$37:$BL$37,0),FALSE),1),
        IF(AND(AK$48&gt;=($E59+$S59), AK$48&lt;=($E59+$Q59)),
-PMT($P59,($Q59-$S59+1),($K59*(VLOOKUP($C$39,$C$37:$BL$44,MATCH($E59,$C$37:$BL$37,0),FALSE)/VLOOKUP($L59,$C$37:$BL$44,MATCH($E59,$C$37:$BL$37,0),FALSE))*
IF($B$5="Foreign Currency",VLOOKUP($C$38,$C$37:$BL$44,MATCH(AK$48,$C$37:$BL$37,0),FALSE)/VLOOKUP($C$39,$C$37:$BL$44,MATCH(AK$48,$C$37:$BL$37,0),FALSE),1)),0),
0)),
    IF($T59="Equal Principal Payments (EPP)",
        IF(AND(AK$48&gt;=$E59, AK$48&lt;=($E59+$Q59)),
-PMT($P59,($Q59-$S59+1),($K59*(VLOOKUP($C$39,$C$37:$BL$44,MATCH($E59,$C$37:$BL$37,0),FALSE)/VLOOKUP($L59,$C$37:$BL$44,MATCH($E59,$C$37:$BL$37,0),FALSE))*
IF($B$5="Foreign Currency",VLOOKUP($C$38,$C$37:$BL$44,MATCH(AK$48,$C$37:$BL$37,0),FALSE)/VLOOKUP($C$39,$C$37:$BL$44,MATCH(AK$48,$C$37:$BL$37,0),FALSE),1)),0), 0),
    IF($T59="EPP with Grace Years for Principal and on Interest",
        IF(AND(AK$48&gt;=($E59+$S59), AK$48&lt;=($E59+$Q59)),
-PMT($P59,($Q59-$S59+1),($K59*(VLOOKUP($C$39,$C$37:$BL$44,MATCH($E59,$C$37:$BL$37,0),FALSE)/VLOOKUP($L59,$C$37:$BL$44,MATCH($E59,$C$37:$BL$37,0),FALSE))*
IF($B$5="Foreign Currency",VLOOKUP($C$38,$C$37:$BL$44,MATCH(AK$48,$C$37:$BL$37,0),FALSE)/VLOOKUP($C$39,$C$37:$BL$44,MATCH(AK$48,$C$37:$BL$37,0),FALSE),1))*((1+$P59)^$S59),0), 0),
    0)))))),"")</f>
        <v>0.96</v>
      </c>
      <c r="AL59" s="171">
        <f t="shared" si="78"/>
        <v>0.96</v>
      </c>
      <c r="AM59" s="171">
        <f t="shared" si="78"/>
        <v>0.96</v>
      </c>
      <c r="AN59" s="171">
        <f t="shared" si="78"/>
        <v>0.96</v>
      </c>
      <c r="AO59" s="171">
        <f t="shared" si="78"/>
        <v>0.96</v>
      </c>
      <c r="AP59" s="171">
        <f t="shared" si="78"/>
        <v>0.96</v>
      </c>
      <c r="AQ59" s="171">
        <f t="shared" si="78"/>
        <v>0.96</v>
      </c>
      <c r="AR59" s="171">
        <f t="shared" si="78"/>
        <v>0.96</v>
      </c>
      <c r="AS59" s="171">
        <f t="shared" si="78"/>
        <v>0.96</v>
      </c>
      <c r="AT59" s="171">
        <f t="shared" si="78"/>
        <v>0.96</v>
      </c>
      <c r="AU59" s="171">
        <f t="shared" ref="AU59:BD68" si="79">IFERROR(
    IF($T59="Equity",
        IF(AND(AU$48&gt;=$E59, AU$48&lt;=($E59+$Q59)),
$K59*$P59*(VLOOKUP($C$39,$C$37:$BL$44,MATCH($E59,$C$37:$BL$37,0),FALSE)/VLOOKUP($L59,$C$37:$BL$44,MATCH($E59,$C$37:$BL$37,0),FALSE))*
IF($B$5="Foreign Currency",VLOOKUP($C$38,$C$37:$BL$44,MATCH(AU$48,$C$37:$BL$37,0),FALSE)/VLOOKUP($C$39,$C$37:$BL$44,MATCH(AU$48,$C$37:$BL$37,0),FALSE),1),
0),
    IF($T59="Lump Sum Principal",
        IF(AND(AU$48&gt;=$E59, AU$48&lt;($E59+$Q59)),
$K59*$P59*(VLOOKUP($C$39,$C$37:$BL$44,MATCH($E59,$C$37:$BL$37,0),FALSE)/VLOOKUP($L59,$C$37:$BL$44,MATCH($E59,$C$37:$BL$37,0),FALSE))*
IF($B$5="Foreign Currency",VLOOKUP($C$38,$C$37:$BL$44,MATCH(AU$48,$C$37:$BL$37,0),FALSE)/VLOOKUP($C$39,$C$37:$BL$44,MATCH(AU$48,$C$37:$BL$37,0),FALSE),1),
        IF(AU$48=($E59+$Q59),
$K59*(1+$P59)*(VLOOKUP($C$39,$C$37:$BL$44,MATCH($E59,$C$37:$BL$37,0),FALSE)/VLOOKUP($L59,$C$37:$BL$44,MATCH($E59,$C$37:$BL$37,0),FALSE))*
IF($B$5="Foreign Currency",VLOOKUP($C$38,$C$37:$BL$44,MATCH(AU$48,$C$37:$BL$37,0),FALSE)/VLOOKUP($C$39,$C$37:$BL$44,MATCH(AU$48,$C$37:$BL$37,0),FALSE),1),
0)),
    IF($T59="Lump Sum Principal and Interest",
        IF(AU$48=($E59+$Q59),
$K59*((1+$P59)^$Q59)*(VLOOKUP($C$39,$C$37:$BL$44,MATCH($E59,$C$37:$BL$37,0),FALSE)/VLOOKUP($L59,$C$37:$BL$44,MATCH($E59,$C$37:$BL$37,0),FALSE))*
IF($B$5="Foreign Currency",VLOOKUP($C$38,$C$37:$BL$44,MATCH(AU$48,$C$37:$BL$37,0),FALSE)/VLOOKUP($C$39,$C$37:$BL$44,MATCH(AU$48,$C$37:$BL$37,0),FALSE),1),
0),
    IF($T59="EPP with Grace Years for Principal",
        IF(AND(AU$48&gt;=$E59, AU$48&lt;($E59+$S59)),
$K59*$P59*(VLOOKUP($C$39,$C$37:$BL$44,MATCH($E59,$C$37:$BL$37,0),FALSE)/VLOOKUP($L59,$C$37:$BL$44,MATCH($E59,$C$37:$BL$37,0),FALSE))*
IF($B$5="Foreign Currency",VLOOKUP($C$38,$C$37:$BL$44,MATCH(AU$48,$C$37:$BL$37,0),FALSE)/VLOOKUP($C$39,$C$37:$BL$44,MATCH(AU$48,$C$37:$BL$37,0),FALSE),1),
        IF(AND(AU$48&gt;=($E59+$S59), AU$48&lt;=($E59+$Q59)),
-PMT($P59,($Q59-$S59+1),($K59*(VLOOKUP($C$39,$C$37:$BL$44,MATCH($E59,$C$37:$BL$37,0),FALSE)/VLOOKUP($L59,$C$37:$BL$44,MATCH($E59,$C$37:$BL$37,0),FALSE))*
IF($B$5="Foreign Currency",VLOOKUP($C$38,$C$37:$BL$44,MATCH(AU$48,$C$37:$BL$37,0),FALSE)/VLOOKUP($C$39,$C$37:$BL$44,MATCH(AU$48,$C$37:$BL$37,0),FALSE),1)),0),
0)),
    IF($T59="Equal Principal Payments (EPP)",
        IF(AND(AU$48&gt;=$E59, AU$48&lt;=($E59+$Q59)),
-PMT($P59,($Q59-$S59+1),($K59*(VLOOKUP($C$39,$C$37:$BL$44,MATCH($E59,$C$37:$BL$37,0),FALSE)/VLOOKUP($L59,$C$37:$BL$44,MATCH($E59,$C$37:$BL$37,0),FALSE))*
IF($B$5="Foreign Currency",VLOOKUP($C$38,$C$37:$BL$44,MATCH(AU$48,$C$37:$BL$37,0),FALSE)/VLOOKUP($C$39,$C$37:$BL$44,MATCH(AU$48,$C$37:$BL$37,0),FALSE),1)),0), 0),
    IF($T59="EPP with Grace Years for Principal and on Interest",
        IF(AND(AU$48&gt;=($E59+$S59), AU$48&lt;=($E59+$Q59)),
-PMT($P59,($Q59-$S59+1),($K59*(VLOOKUP($C$39,$C$37:$BL$44,MATCH($E59,$C$37:$BL$37,0),FALSE)/VLOOKUP($L59,$C$37:$BL$44,MATCH($E59,$C$37:$BL$37,0),FALSE))*
IF($B$5="Foreign Currency",VLOOKUP($C$38,$C$37:$BL$44,MATCH(AU$48,$C$37:$BL$37,0),FALSE)/VLOOKUP($C$39,$C$37:$BL$44,MATCH(AU$48,$C$37:$BL$37,0),FALSE),1))*((1+$P59)^$S59),0), 0),
    0)))))),"")</f>
        <v>0.96</v>
      </c>
      <c r="AV59" s="171">
        <f t="shared" si="79"/>
        <v>0.96</v>
      </c>
      <c r="AW59" s="171">
        <f t="shared" si="79"/>
        <v>0.96</v>
      </c>
      <c r="AX59" s="171">
        <f t="shared" si="79"/>
        <v>0.96</v>
      </c>
      <c r="AY59" s="171">
        <f t="shared" si="79"/>
        <v>0.96</v>
      </c>
      <c r="AZ59" s="171">
        <f t="shared" si="79"/>
        <v>0.96</v>
      </c>
      <c r="BA59" s="171">
        <f t="shared" si="79"/>
        <v>0.96</v>
      </c>
      <c r="BB59" s="171">
        <f t="shared" si="79"/>
        <v>0.96</v>
      </c>
      <c r="BC59" s="171">
        <f t="shared" si="79"/>
        <v>0.96</v>
      </c>
      <c r="BD59" s="171">
        <f t="shared" si="79"/>
        <v>0.96</v>
      </c>
      <c r="BE59" s="171">
        <f t="shared" ref="BE59:BN68" si="80">IFERROR(
    IF($T59="Equity",
        IF(AND(BE$48&gt;=$E59, BE$48&lt;=($E59+$Q59)),
$K59*$P59*(VLOOKUP($C$39,$C$37:$BL$44,MATCH($E59,$C$37:$BL$37,0),FALSE)/VLOOKUP($L59,$C$37:$BL$44,MATCH($E59,$C$37:$BL$37,0),FALSE))*
IF($B$5="Foreign Currency",VLOOKUP($C$38,$C$37:$BL$44,MATCH(BE$48,$C$37:$BL$37,0),FALSE)/VLOOKUP($C$39,$C$37:$BL$44,MATCH(BE$48,$C$37:$BL$37,0),FALSE),1),
0),
    IF($T59="Lump Sum Principal",
        IF(AND(BE$48&gt;=$E59, BE$48&lt;($E59+$Q59)),
$K59*$P59*(VLOOKUP($C$39,$C$37:$BL$44,MATCH($E59,$C$37:$BL$37,0),FALSE)/VLOOKUP($L59,$C$37:$BL$44,MATCH($E59,$C$37:$BL$37,0),FALSE))*
IF($B$5="Foreign Currency",VLOOKUP($C$38,$C$37:$BL$44,MATCH(BE$48,$C$37:$BL$37,0),FALSE)/VLOOKUP($C$39,$C$37:$BL$44,MATCH(BE$48,$C$37:$BL$37,0),FALSE),1),
        IF(BE$48=($E59+$Q59),
$K59*(1+$P59)*(VLOOKUP($C$39,$C$37:$BL$44,MATCH($E59,$C$37:$BL$37,0),FALSE)/VLOOKUP($L59,$C$37:$BL$44,MATCH($E59,$C$37:$BL$37,0),FALSE))*
IF($B$5="Foreign Currency",VLOOKUP($C$38,$C$37:$BL$44,MATCH(BE$48,$C$37:$BL$37,0),FALSE)/VLOOKUP($C$39,$C$37:$BL$44,MATCH(BE$48,$C$37:$BL$37,0),FALSE),1),
0)),
    IF($T59="Lump Sum Principal and Interest",
        IF(BE$48=($E59+$Q59),
$K59*((1+$P59)^$Q59)*(VLOOKUP($C$39,$C$37:$BL$44,MATCH($E59,$C$37:$BL$37,0),FALSE)/VLOOKUP($L59,$C$37:$BL$44,MATCH($E59,$C$37:$BL$37,0),FALSE))*
IF($B$5="Foreign Currency",VLOOKUP($C$38,$C$37:$BL$44,MATCH(BE$48,$C$37:$BL$37,0),FALSE)/VLOOKUP($C$39,$C$37:$BL$44,MATCH(BE$48,$C$37:$BL$37,0),FALSE),1),
0),
    IF($T59="EPP with Grace Years for Principal",
        IF(AND(BE$48&gt;=$E59, BE$48&lt;($E59+$S59)),
$K59*$P59*(VLOOKUP($C$39,$C$37:$BL$44,MATCH($E59,$C$37:$BL$37,0),FALSE)/VLOOKUP($L59,$C$37:$BL$44,MATCH($E59,$C$37:$BL$37,0),FALSE))*
IF($B$5="Foreign Currency",VLOOKUP($C$38,$C$37:$BL$44,MATCH(BE$48,$C$37:$BL$37,0),FALSE)/VLOOKUP($C$39,$C$37:$BL$44,MATCH(BE$48,$C$37:$BL$37,0),FALSE),1),
        IF(AND(BE$48&gt;=($E59+$S59), BE$48&lt;=($E59+$Q59)),
-PMT($P59,($Q59-$S59+1),($K59*(VLOOKUP($C$39,$C$37:$BL$44,MATCH($E59,$C$37:$BL$37,0),FALSE)/VLOOKUP($L59,$C$37:$BL$44,MATCH($E59,$C$37:$BL$37,0),FALSE))*
IF($B$5="Foreign Currency",VLOOKUP($C$38,$C$37:$BL$44,MATCH(BE$48,$C$37:$BL$37,0),FALSE)/VLOOKUP($C$39,$C$37:$BL$44,MATCH(BE$48,$C$37:$BL$37,0),FALSE),1)),0),
0)),
    IF($T59="Equal Principal Payments (EPP)",
        IF(AND(BE$48&gt;=$E59, BE$48&lt;=($E59+$Q59)),
-PMT($P59,($Q59-$S59+1),($K59*(VLOOKUP($C$39,$C$37:$BL$44,MATCH($E59,$C$37:$BL$37,0),FALSE)/VLOOKUP($L59,$C$37:$BL$44,MATCH($E59,$C$37:$BL$37,0),FALSE))*
IF($B$5="Foreign Currency",VLOOKUP($C$38,$C$37:$BL$44,MATCH(BE$48,$C$37:$BL$37,0),FALSE)/VLOOKUP($C$39,$C$37:$BL$44,MATCH(BE$48,$C$37:$BL$37,0),FALSE),1)),0), 0),
    IF($T59="EPP with Grace Years for Principal and on Interest",
        IF(AND(BE$48&gt;=($E59+$S59), BE$48&lt;=($E59+$Q59)),
-PMT($P59,($Q59-$S59+1),($K59*(VLOOKUP($C$39,$C$37:$BL$44,MATCH($E59,$C$37:$BL$37,0),FALSE)/VLOOKUP($L59,$C$37:$BL$44,MATCH($E59,$C$37:$BL$37,0),FALSE))*
IF($B$5="Foreign Currency",VLOOKUP($C$38,$C$37:$BL$44,MATCH(BE$48,$C$37:$BL$37,0),FALSE)/VLOOKUP($C$39,$C$37:$BL$44,MATCH(BE$48,$C$37:$BL$37,0),FALSE),1))*((1+$P59)^$S59),0), 0),
    0)))))),"")</f>
        <v>0.96</v>
      </c>
      <c r="BF59" s="171">
        <f t="shared" si="80"/>
        <v>0.96</v>
      </c>
      <c r="BG59" s="171">
        <f t="shared" si="80"/>
        <v>0.96</v>
      </c>
      <c r="BH59" s="171">
        <f t="shared" si="80"/>
        <v>0.96</v>
      </c>
      <c r="BI59" s="171">
        <f t="shared" si="80"/>
        <v>0.96</v>
      </c>
      <c r="BJ59" s="171">
        <f t="shared" si="80"/>
        <v>0.96</v>
      </c>
      <c r="BK59" s="171">
        <f t="shared" si="80"/>
        <v>0</v>
      </c>
      <c r="BL59" s="171">
        <f t="shared" si="80"/>
        <v>0</v>
      </c>
      <c r="BM59" s="171">
        <f t="shared" si="80"/>
        <v>0</v>
      </c>
      <c r="BN59" s="171">
        <f t="shared" si="80"/>
        <v>0</v>
      </c>
      <c r="BO59" s="171">
        <f t="shared" ref="BO59:BX68" si="81">IFERROR(
    IF($T59="Equity",
        IF(AND(BO$48&gt;=$E59, BO$48&lt;=($E59+$Q59)),
$K59*$P59*(VLOOKUP($C$39,$C$37:$BL$44,MATCH($E59,$C$37:$BL$37,0),FALSE)/VLOOKUP($L59,$C$37:$BL$44,MATCH($E59,$C$37:$BL$37,0),FALSE))*
IF($B$5="Foreign Currency",VLOOKUP($C$38,$C$37:$BL$44,MATCH(BO$48,$C$37:$BL$37,0),FALSE)/VLOOKUP($C$39,$C$37:$BL$44,MATCH(BO$48,$C$37:$BL$37,0),FALSE),1),
0),
    IF($T59="Lump Sum Principal",
        IF(AND(BO$48&gt;=$E59, BO$48&lt;($E59+$Q59)),
$K59*$P59*(VLOOKUP($C$39,$C$37:$BL$44,MATCH($E59,$C$37:$BL$37,0),FALSE)/VLOOKUP($L59,$C$37:$BL$44,MATCH($E59,$C$37:$BL$37,0),FALSE))*
IF($B$5="Foreign Currency",VLOOKUP($C$38,$C$37:$BL$44,MATCH(BO$48,$C$37:$BL$37,0),FALSE)/VLOOKUP($C$39,$C$37:$BL$44,MATCH(BO$48,$C$37:$BL$37,0),FALSE),1),
        IF(BO$48=($E59+$Q59),
$K59*(1+$P59)*(VLOOKUP($C$39,$C$37:$BL$44,MATCH($E59,$C$37:$BL$37,0),FALSE)/VLOOKUP($L59,$C$37:$BL$44,MATCH($E59,$C$37:$BL$37,0),FALSE))*
IF($B$5="Foreign Currency",VLOOKUP($C$38,$C$37:$BL$44,MATCH(BO$48,$C$37:$BL$37,0),FALSE)/VLOOKUP($C$39,$C$37:$BL$44,MATCH(BO$48,$C$37:$BL$37,0),FALSE),1),
0)),
    IF($T59="Lump Sum Principal and Interest",
        IF(BO$48=($E59+$Q59),
$K59*((1+$P59)^$Q59)*(VLOOKUP($C$39,$C$37:$BL$44,MATCH($E59,$C$37:$BL$37,0),FALSE)/VLOOKUP($L59,$C$37:$BL$44,MATCH($E59,$C$37:$BL$37,0),FALSE))*
IF($B$5="Foreign Currency",VLOOKUP($C$38,$C$37:$BL$44,MATCH(BO$48,$C$37:$BL$37,0),FALSE)/VLOOKUP($C$39,$C$37:$BL$44,MATCH(BO$48,$C$37:$BL$37,0),FALSE),1),
0),
    IF($T59="EPP with Grace Years for Principal",
        IF(AND(BO$48&gt;=$E59, BO$48&lt;($E59+$S59)),
$K59*$P59*(VLOOKUP($C$39,$C$37:$BL$44,MATCH($E59,$C$37:$BL$37,0),FALSE)/VLOOKUP($L59,$C$37:$BL$44,MATCH($E59,$C$37:$BL$37,0),FALSE))*
IF($B$5="Foreign Currency",VLOOKUP($C$38,$C$37:$BL$44,MATCH(BO$48,$C$37:$BL$37,0),FALSE)/VLOOKUP($C$39,$C$37:$BL$44,MATCH(BO$48,$C$37:$BL$37,0),FALSE),1),
        IF(AND(BO$48&gt;=($E59+$S59), BO$48&lt;=($E59+$Q59)),
-PMT($P59,($Q59-$S59+1),($K59*(VLOOKUP($C$39,$C$37:$BL$44,MATCH($E59,$C$37:$BL$37,0),FALSE)/VLOOKUP($L59,$C$37:$BL$44,MATCH($E59,$C$37:$BL$37,0),FALSE))*
IF($B$5="Foreign Currency",VLOOKUP($C$38,$C$37:$BL$44,MATCH(BO$48,$C$37:$BL$37,0),FALSE)/VLOOKUP($C$39,$C$37:$BL$44,MATCH(BO$48,$C$37:$BL$37,0),FALSE),1)),0),
0)),
    IF($T59="Equal Principal Payments (EPP)",
        IF(AND(BO$48&gt;=$E59, BO$48&lt;=($E59+$Q59)),
-PMT($P59,($Q59-$S59+1),($K59*(VLOOKUP($C$39,$C$37:$BL$44,MATCH($E59,$C$37:$BL$37,0),FALSE)/VLOOKUP($L59,$C$37:$BL$44,MATCH($E59,$C$37:$BL$37,0),FALSE))*
IF($B$5="Foreign Currency",VLOOKUP($C$38,$C$37:$BL$44,MATCH(BO$48,$C$37:$BL$37,0),FALSE)/VLOOKUP($C$39,$C$37:$BL$44,MATCH(BO$48,$C$37:$BL$37,0),FALSE),1)),0), 0),
    IF($T59="EPP with Grace Years for Principal and on Interest",
        IF(AND(BO$48&gt;=($E59+$S59), BO$48&lt;=($E59+$Q59)),
-PMT($P59,($Q59-$S59+1),($K59*(VLOOKUP($C$39,$C$37:$BL$44,MATCH($E59,$C$37:$BL$37,0),FALSE)/VLOOKUP($L59,$C$37:$BL$44,MATCH($E59,$C$37:$BL$37,0),FALSE))*
IF($B$5="Foreign Currency",VLOOKUP($C$38,$C$37:$BL$44,MATCH(BO$48,$C$37:$BL$37,0),FALSE)/VLOOKUP($C$39,$C$37:$BL$44,MATCH(BO$48,$C$37:$BL$37,0),FALSE),1))*((1+$P59)^$S59),0), 0),
    0)))))),"")</f>
        <v>0</v>
      </c>
      <c r="BP59" s="171">
        <f t="shared" si="81"/>
        <v>0</v>
      </c>
      <c r="BQ59" s="171">
        <f t="shared" si="81"/>
        <v>0</v>
      </c>
      <c r="BR59" s="171">
        <f t="shared" si="81"/>
        <v>0</v>
      </c>
      <c r="BS59" s="171">
        <f t="shared" si="81"/>
        <v>0</v>
      </c>
      <c r="BT59" s="171">
        <f t="shared" si="81"/>
        <v>0</v>
      </c>
      <c r="BU59" s="171">
        <f t="shared" si="81"/>
        <v>0</v>
      </c>
      <c r="BV59" s="171">
        <f t="shared" si="81"/>
        <v>0</v>
      </c>
      <c r="BW59" s="171">
        <f t="shared" si="81"/>
        <v>0</v>
      </c>
      <c r="BX59" s="171">
        <f t="shared" si="81"/>
        <v>0</v>
      </c>
      <c r="BY59" s="171">
        <f t="shared" ref="BY59:CI68" si="82">IFERROR(
    IF($T59="Equity",
        IF(AND(BY$48&gt;=$E59, BY$48&lt;=($E59+$Q59)),
$K59*$P59*(VLOOKUP($C$39,$C$37:$BL$44,MATCH($E59,$C$37:$BL$37,0),FALSE)/VLOOKUP($L59,$C$37:$BL$44,MATCH($E59,$C$37:$BL$37,0),FALSE))*
IF($B$5="Foreign Currency",VLOOKUP($C$38,$C$37:$BL$44,MATCH(BY$48,$C$37:$BL$37,0),FALSE)/VLOOKUP($C$39,$C$37:$BL$44,MATCH(BY$48,$C$37:$BL$37,0),FALSE),1),
0),
    IF($T59="Lump Sum Principal",
        IF(AND(BY$48&gt;=$E59, BY$48&lt;($E59+$Q59)),
$K59*$P59*(VLOOKUP($C$39,$C$37:$BL$44,MATCH($E59,$C$37:$BL$37,0),FALSE)/VLOOKUP($L59,$C$37:$BL$44,MATCH($E59,$C$37:$BL$37,0),FALSE))*
IF($B$5="Foreign Currency",VLOOKUP($C$38,$C$37:$BL$44,MATCH(BY$48,$C$37:$BL$37,0),FALSE)/VLOOKUP($C$39,$C$37:$BL$44,MATCH(BY$48,$C$37:$BL$37,0),FALSE),1),
        IF(BY$48=($E59+$Q59),
$K59*(1+$P59)*(VLOOKUP($C$39,$C$37:$BL$44,MATCH($E59,$C$37:$BL$37,0),FALSE)/VLOOKUP($L59,$C$37:$BL$44,MATCH($E59,$C$37:$BL$37,0),FALSE))*
IF($B$5="Foreign Currency",VLOOKUP($C$38,$C$37:$BL$44,MATCH(BY$48,$C$37:$BL$37,0),FALSE)/VLOOKUP($C$39,$C$37:$BL$44,MATCH(BY$48,$C$37:$BL$37,0),FALSE),1),
0)),
    IF($T59="Lump Sum Principal and Interest",
        IF(BY$48=($E59+$Q59),
$K59*((1+$P59)^$Q59)*(VLOOKUP($C$39,$C$37:$BL$44,MATCH($E59,$C$37:$BL$37,0),FALSE)/VLOOKUP($L59,$C$37:$BL$44,MATCH($E59,$C$37:$BL$37,0),FALSE))*
IF($B$5="Foreign Currency",VLOOKUP($C$38,$C$37:$BL$44,MATCH(BY$48,$C$37:$BL$37,0),FALSE)/VLOOKUP($C$39,$C$37:$BL$44,MATCH(BY$48,$C$37:$BL$37,0),FALSE),1),
0),
    IF($T59="EPP with Grace Years for Principal",
        IF(AND(BY$48&gt;=$E59, BY$48&lt;($E59+$S59)),
$K59*$P59*(VLOOKUP($C$39,$C$37:$BL$44,MATCH($E59,$C$37:$BL$37,0),FALSE)/VLOOKUP($L59,$C$37:$BL$44,MATCH($E59,$C$37:$BL$37,0),FALSE))*
IF($B$5="Foreign Currency",VLOOKUP($C$38,$C$37:$BL$44,MATCH(BY$48,$C$37:$BL$37,0),FALSE)/VLOOKUP($C$39,$C$37:$BL$44,MATCH(BY$48,$C$37:$BL$37,0),FALSE),1),
        IF(AND(BY$48&gt;=($E59+$S59), BY$48&lt;=($E59+$Q59)),
-PMT($P59,($Q59-$S59+1),($K59*(VLOOKUP($C$39,$C$37:$BL$44,MATCH($E59,$C$37:$BL$37,0),FALSE)/VLOOKUP($L59,$C$37:$BL$44,MATCH($E59,$C$37:$BL$37,0),FALSE))*
IF($B$5="Foreign Currency",VLOOKUP($C$38,$C$37:$BL$44,MATCH(BY$48,$C$37:$BL$37,0),FALSE)/VLOOKUP($C$39,$C$37:$BL$44,MATCH(BY$48,$C$37:$BL$37,0),FALSE),1)),0),
0)),
    IF($T59="Equal Principal Payments (EPP)",
        IF(AND(BY$48&gt;=$E59, BY$48&lt;=($E59+$Q59)),
-PMT($P59,($Q59-$S59+1),($K59*(VLOOKUP($C$39,$C$37:$BL$44,MATCH($E59,$C$37:$BL$37,0),FALSE)/VLOOKUP($L59,$C$37:$BL$44,MATCH($E59,$C$37:$BL$37,0),FALSE))*
IF($B$5="Foreign Currency",VLOOKUP($C$38,$C$37:$BL$44,MATCH(BY$48,$C$37:$BL$37,0),FALSE)/VLOOKUP($C$39,$C$37:$BL$44,MATCH(BY$48,$C$37:$BL$37,0),FALSE),1)),0), 0),
    IF($T59="EPP with Grace Years for Principal and on Interest",
        IF(AND(BY$48&gt;=($E59+$S59), BY$48&lt;=($E59+$Q59)),
-PMT($P59,($Q59-$S59+1),($K59*(VLOOKUP($C$39,$C$37:$BL$44,MATCH($E59,$C$37:$BL$37,0),FALSE)/VLOOKUP($L59,$C$37:$BL$44,MATCH($E59,$C$37:$BL$37,0),FALSE))*
IF($B$5="Foreign Currency",VLOOKUP($C$38,$C$37:$BL$44,MATCH(BY$48,$C$37:$BL$37,0),FALSE)/VLOOKUP($C$39,$C$37:$BL$44,MATCH(BY$48,$C$37:$BL$37,0),FALSE),1))*((1+$P59)^$S59),0), 0),
    0)))))),"")</f>
        <v>0</v>
      </c>
      <c r="BZ59" s="171">
        <f t="shared" si="82"/>
        <v>0</v>
      </c>
      <c r="CA59" s="171">
        <f t="shared" si="82"/>
        <v>0</v>
      </c>
      <c r="CB59" s="171">
        <f t="shared" si="82"/>
        <v>0</v>
      </c>
      <c r="CC59" s="171">
        <f t="shared" si="82"/>
        <v>0</v>
      </c>
      <c r="CD59" s="171">
        <f t="shared" si="82"/>
        <v>0</v>
      </c>
      <c r="CE59" s="171">
        <f t="shared" si="82"/>
        <v>0</v>
      </c>
      <c r="CF59" s="171">
        <f t="shared" si="82"/>
        <v>0</v>
      </c>
      <c r="CG59" s="171">
        <f t="shared" si="82"/>
        <v>0</v>
      </c>
      <c r="CH59" s="171">
        <f t="shared" si="82"/>
        <v>0</v>
      </c>
      <c r="CI59" s="171">
        <f t="shared" si="82"/>
        <v>0</v>
      </c>
      <c r="CJ59" s="243"/>
      <c r="CK59" s="171">
        <f t="shared" si="16"/>
        <v>0</v>
      </c>
      <c r="CL59" s="171">
        <f t="shared" si="17"/>
        <v>0</v>
      </c>
      <c r="CM59" s="171">
        <f t="shared" si="18"/>
        <v>0</v>
      </c>
      <c r="CN59" s="171">
        <f t="shared" si="19"/>
        <v>0</v>
      </c>
      <c r="CO59" s="171">
        <f t="shared" si="20"/>
        <v>0</v>
      </c>
      <c r="CP59" s="171">
        <f t="shared" si="21"/>
        <v>0.96</v>
      </c>
      <c r="CQ59" s="171">
        <f t="shared" si="22"/>
        <v>0.96</v>
      </c>
      <c r="CR59" s="171">
        <f t="shared" si="23"/>
        <v>0.96</v>
      </c>
      <c r="CS59" s="171">
        <f t="shared" si="24"/>
        <v>0.96</v>
      </c>
      <c r="CT59" s="171">
        <f t="shared" si="25"/>
        <v>0.96</v>
      </c>
      <c r="CU59" s="171">
        <f t="shared" si="26"/>
        <v>0.96</v>
      </c>
      <c r="CV59" s="171">
        <f t="shared" si="27"/>
        <v>0.96</v>
      </c>
      <c r="CW59" s="171">
        <f t="shared" si="28"/>
        <v>0.96</v>
      </c>
      <c r="CX59" s="171">
        <f t="shared" si="29"/>
        <v>0.96</v>
      </c>
      <c r="CY59" s="171">
        <f t="shared" ca="1" si="30"/>
        <v>0.91139248297191089</v>
      </c>
      <c r="CZ59" s="171">
        <f t="shared" ca="1" si="31"/>
        <v>0.86524610210177588</v>
      </c>
      <c r="DA59" s="171">
        <f t="shared" ca="1" si="32"/>
        <v>0.82143624310031771</v>
      </c>
      <c r="DB59" s="171">
        <f t="shared" ca="1" si="33"/>
        <v>0.77984460125241328</v>
      </c>
      <c r="DC59" s="171">
        <f t="shared" ca="1" si="34"/>
        <v>0.7403588619454966</v>
      </c>
      <c r="DD59" s="171">
        <f t="shared" ca="1" si="35"/>
        <v>0.70287239737371277</v>
      </c>
      <c r="DE59" s="171">
        <f t="shared" ca="1" si="36"/>
        <v>0.66728397859879973</v>
      </c>
      <c r="DF59" s="171">
        <f t="shared" ca="1" si="37"/>
        <v>0.63349750219014123</v>
      </c>
      <c r="DG59" s="171">
        <f t="shared" ca="1" si="38"/>
        <v>0.60142173070580873</v>
      </c>
      <c r="DH59" s="171">
        <f t="shared" ca="1" si="39"/>
        <v>0.57097004631378223</v>
      </c>
      <c r="DI59" s="171">
        <f t="shared" ca="1" si="40"/>
        <v>0.54206021688802597</v>
      </c>
      <c r="DJ59" s="171">
        <f t="shared" ca="1" si="41"/>
        <v>0.51461417394778186</v>
      </c>
      <c r="DK59" s="171">
        <f t="shared" ca="1" si="42"/>
        <v>0.48855780184042469</v>
      </c>
      <c r="DL59" s="171">
        <f t="shared" ca="1" si="43"/>
        <v>0.46382073759858694</v>
      </c>
      <c r="DM59" s="171">
        <f t="shared" ca="1" si="44"/>
        <v>0.44033618093108262</v>
      </c>
      <c r="DN59" s="171">
        <f t="shared" ca="1" si="45"/>
        <v>0.41804071383452912</v>
      </c>
      <c r="DO59" s="171">
        <f t="shared" ca="1" si="46"/>
        <v>0.39687412933854332</v>
      </c>
      <c r="DP59" s="171">
        <f t="shared" ca="1" si="47"/>
        <v>0.37677926892205238</v>
      </c>
      <c r="DQ59" s="171">
        <f t="shared" ca="1" si="48"/>
        <v>0.35770186816167776</v>
      </c>
      <c r="DR59" s="171">
        <f t="shared" ca="1" si="49"/>
        <v>0.33959041019537772</v>
      </c>
      <c r="DS59" s="171">
        <f t="shared" ca="1" si="50"/>
        <v>0.32239598660564062</v>
      </c>
      <c r="DT59" s="171">
        <f t="shared" ca="1" si="51"/>
        <v>0.30607216534655596</v>
      </c>
      <c r="DU59" s="171">
        <f t="shared" ca="1" si="52"/>
        <v>0</v>
      </c>
      <c r="DV59" s="171">
        <f t="shared" ca="1" si="53"/>
        <v>0</v>
      </c>
      <c r="DW59" s="171">
        <f t="shared" ca="1" si="54"/>
        <v>0</v>
      </c>
      <c r="DX59" s="171">
        <f t="shared" ca="1" si="55"/>
        <v>0</v>
      </c>
      <c r="DY59" s="171">
        <f t="shared" ca="1" si="56"/>
        <v>0</v>
      </c>
      <c r="DZ59" s="171">
        <f t="shared" ca="1" si="57"/>
        <v>0</v>
      </c>
      <c r="EA59" s="171">
        <f t="shared" ca="1" si="58"/>
        <v>0</v>
      </c>
      <c r="EB59" s="171">
        <f t="shared" ca="1" si="59"/>
        <v>0</v>
      </c>
      <c r="EC59" s="171">
        <f t="shared" ca="1" si="60"/>
        <v>0</v>
      </c>
      <c r="ED59" s="171">
        <f t="shared" ca="1" si="61"/>
        <v>0</v>
      </c>
      <c r="EE59" s="171">
        <f t="shared" ca="1" si="62"/>
        <v>0</v>
      </c>
      <c r="EF59" s="171">
        <f t="shared" ca="1" si="63"/>
        <v>0</v>
      </c>
      <c r="EG59" s="171">
        <f t="shared" ca="1" si="64"/>
        <v>0</v>
      </c>
      <c r="EH59" s="171">
        <f t="shared" ca="1" si="65"/>
        <v>0</v>
      </c>
      <c r="EI59" s="171">
        <f t="shared" ca="1" si="66"/>
        <v>0</v>
      </c>
      <c r="EJ59" s="171">
        <f t="shared" ca="1" si="67"/>
        <v>0</v>
      </c>
      <c r="EK59" s="171">
        <f t="shared" ca="1" si="68"/>
        <v>0</v>
      </c>
      <c r="EL59" s="171">
        <f t="shared" ca="1" si="69"/>
        <v>0</v>
      </c>
      <c r="EM59" s="171">
        <f t="shared" ca="1" si="70"/>
        <v>0</v>
      </c>
      <c r="EN59" s="171">
        <f t="shared" ca="1" si="71"/>
        <v>0</v>
      </c>
      <c r="EO59" s="171">
        <f t="shared" ca="1" si="72"/>
        <v>0</v>
      </c>
      <c r="EP59" s="171">
        <f t="shared" ca="1" si="73"/>
        <v>0</v>
      </c>
      <c r="EQ59" s="171">
        <f t="shared" ca="1" si="74"/>
        <v>0</v>
      </c>
      <c r="ER59" s="171">
        <f t="shared" ca="1" si="75"/>
        <v>0</v>
      </c>
      <c r="ES59" s="171">
        <f t="shared" ca="1" si="76"/>
        <v>0</v>
      </c>
    </row>
    <row r="60" spans="1:149">
      <c r="A60" s="139" t="s">
        <v>419</v>
      </c>
      <c r="B60" s="160" t="s">
        <v>420</v>
      </c>
      <c r="C60" s="160" t="s">
        <v>29</v>
      </c>
      <c r="D60" s="161" t="s">
        <v>394</v>
      </c>
      <c r="E60" s="160">
        <v>2019</v>
      </c>
      <c r="F60" s="160" t="s">
        <v>400</v>
      </c>
      <c r="G60" s="160" t="s">
        <v>289</v>
      </c>
      <c r="H60" s="160" t="s">
        <v>396</v>
      </c>
      <c r="I60" s="160" t="s">
        <v>183</v>
      </c>
      <c r="J60" s="160" t="s">
        <v>401</v>
      </c>
      <c r="K60" s="187">
        <v>19.600000000000001</v>
      </c>
      <c r="L60" s="163" t="s">
        <v>110</v>
      </c>
      <c r="M60" s="164">
        <f t="shared" si="0"/>
        <v>19.600000000000001</v>
      </c>
      <c r="N60" s="164">
        <f t="shared" si="1"/>
        <v>19.600000000000001</v>
      </c>
      <c r="O60" s="165">
        <f t="shared" si="2"/>
        <v>1</v>
      </c>
      <c r="P60" s="176">
        <v>0.29699999999999999</v>
      </c>
      <c r="Q60" s="177">
        <v>25</v>
      </c>
      <c r="R60" s="168">
        <f t="shared" si="3"/>
        <v>20</v>
      </c>
      <c r="S60" s="178">
        <v>0</v>
      </c>
      <c r="T60" s="160" t="s">
        <v>289</v>
      </c>
      <c r="U60" s="171">
        <f t="shared" si="4"/>
        <v>6.0540480000000025</v>
      </c>
      <c r="V60" s="171">
        <f t="shared" ca="1" si="5"/>
        <v>4.0639483977150777</v>
      </c>
      <c r="W60" s="171">
        <f t="shared" ca="1" si="6"/>
        <v>101.59870994287694</v>
      </c>
      <c r="X60" s="172" t="str">
        <f t="shared" si="7"/>
        <v>Equity</v>
      </c>
      <c r="Y60" s="172" t="str">
        <f t="shared" si="8"/>
        <v>Equity</v>
      </c>
      <c r="Z60" s="173">
        <f t="shared" si="9"/>
        <v>151.35120000000006</v>
      </c>
      <c r="AA60" s="171">
        <f t="shared" si="77"/>
        <v>0</v>
      </c>
      <c r="AB60" s="171">
        <f t="shared" si="77"/>
        <v>0</v>
      </c>
      <c r="AC60" s="171">
        <f t="shared" si="77"/>
        <v>0</v>
      </c>
      <c r="AD60" s="171">
        <f t="shared" si="77"/>
        <v>0</v>
      </c>
      <c r="AE60" s="171">
        <f t="shared" si="77"/>
        <v>0</v>
      </c>
      <c r="AF60" s="171">
        <f t="shared" si="77"/>
        <v>0</v>
      </c>
      <c r="AG60" s="171">
        <f t="shared" si="77"/>
        <v>0</v>
      </c>
      <c r="AH60" s="171">
        <f t="shared" si="77"/>
        <v>0</v>
      </c>
      <c r="AI60" s="171">
        <f t="shared" si="77"/>
        <v>0</v>
      </c>
      <c r="AJ60" s="171">
        <f t="shared" si="77"/>
        <v>5.8212000000000002</v>
      </c>
      <c r="AK60" s="171">
        <f t="shared" si="78"/>
        <v>5.8212000000000002</v>
      </c>
      <c r="AL60" s="171">
        <f t="shared" si="78"/>
        <v>5.8212000000000002</v>
      </c>
      <c r="AM60" s="171">
        <f t="shared" si="78"/>
        <v>5.8212000000000002</v>
      </c>
      <c r="AN60" s="171">
        <f t="shared" si="78"/>
        <v>5.8212000000000002</v>
      </c>
      <c r="AO60" s="171">
        <f t="shared" si="78"/>
        <v>5.8212000000000002</v>
      </c>
      <c r="AP60" s="171">
        <f t="shared" si="78"/>
        <v>5.8212000000000002</v>
      </c>
      <c r="AQ60" s="171">
        <f t="shared" si="78"/>
        <v>5.8212000000000002</v>
      </c>
      <c r="AR60" s="171">
        <f t="shared" si="78"/>
        <v>5.8212000000000002</v>
      </c>
      <c r="AS60" s="171">
        <f t="shared" si="78"/>
        <v>5.8212000000000002</v>
      </c>
      <c r="AT60" s="171">
        <f t="shared" si="78"/>
        <v>5.8212000000000002</v>
      </c>
      <c r="AU60" s="171">
        <f t="shared" si="79"/>
        <v>5.8212000000000002</v>
      </c>
      <c r="AV60" s="171">
        <f t="shared" si="79"/>
        <v>5.8212000000000002</v>
      </c>
      <c r="AW60" s="171">
        <f t="shared" si="79"/>
        <v>5.8212000000000002</v>
      </c>
      <c r="AX60" s="171">
        <f t="shared" si="79"/>
        <v>5.8212000000000002</v>
      </c>
      <c r="AY60" s="171">
        <f t="shared" si="79"/>
        <v>5.8212000000000002</v>
      </c>
      <c r="AZ60" s="171">
        <f t="shared" si="79"/>
        <v>5.8212000000000002</v>
      </c>
      <c r="BA60" s="171">
        <f t="shared" si="79"/>
        <v>5.8212000000000002</v>
      </c>
      <c r="BB60" s="171">
        <f t="shared" si="79"/>
        <v>5.8212000000000002</v>
      </c>
      <c r="BC60" s="171">
        <f t="shared" si="79"/>
        <v>5.8212000000000002</v>
      </c>
      <c r="BD60" s="171">
        <f t="shared" si="79"/>
        <v>5.8212000000000002</v>
      </c>
      <c r="BE60" s="171">
        <f t="shared" si="80"/>
        <v>5.8212000000000002</v>
      </c>
      <c r="BF60" s="171">
        <f t="shared" si="80"/>
        <v>5.8212000000000002</v>
      </c>
      <c r="BG60" s="171">
        <f t="shared" si="80"/>
        <v>5.8212000000000002</v>
      </c>
      <c r="BH60" s="171">
        <f t="shared" si="80"/>
        <v>5.8212000000000002</v>
      </c>
      <c r="BI60" s="171">
        <f t="shared" si="80"/>
        <v>5.8212000000000002</v>
      </c>
      <c r="BJ60" s="171">
        <f t="shared" si="80"/>
        <v>0</v>
      </c>
      <c r="BK60" s="171">
        <f t="shared" si="80"/>
        <v>0</v>
      </c>
      <c r="BL60" s="171">
        <f t="shared" si="80"/>
        <v>0</v>
      </c>
      <c r="BM60" s="171">
        <f t="shared" si="80"/>
        <v>0</v>
      </c>
      <c r="BN60" s="171">
        <f t="shared" si="80"/>
        <v>0</v>
      </c>
      <c r="BO60" s="171">
        <f t="shared" si="81"/>
        <v>0</v>
      </c>
      <c r="BP60" s="171">
        <f t="shared" si="81"/>
        <v>0</v>
      </c>
      <c r="BQ60" s="171">
        <f t="shared" si="81"/>
        <v>0</v>
      </c>
      <c r="BR60" s="171">
        <f t="shared" si="81"/>
        <v>0</v>
      </c>
      <c r="BS60" s="171">
        <f t="shared" si="81"/>
        <v>0</v>
      </c>
      <c r="BT60" s="171">
        <f t="shared" si="81"/>
        <v>0</v>
      </c>
      <c r="BU60" s="171">
        <f t="shared" si="81"/>
        <v>0</v>
      </c>
      <c r="BV60" s="171">
        <f t="shared" si="81"/>
        <v>0</v>
      </c>
      <c r="BW60" s="171">
        <f t="shared" si="81"/>
        <v>0</v>
      </c>
      <c r="BX60" s="171">
        <f t="shared" si="81"/>
        <v>0</v>
      </c>
      <c r="BY60" s="171">
        <f t="shared" si="82"/>
        <v>0</v>
      </c>
      <c r="BZ60" s="171">
        <f t="shared" si="82"/>
        <v>0</v>
      </c>
      <c r="CA60" s="171">
        <f t="shared" si="82"/>
        <v>0</v>
      </c>
      <c r="CB60" s="171">
        <f t="shared" si="82"/>
        <v>0</v>
      </c>
      <c r="CC60" s="171">
        <f t="shared" si="82"/>
        <v>0</v>
      </c>
      <c r="CD60" s="171">
        <f t="shared" si="82"/>
        <v>0</v>
      </c>
      <c r="CE60" s="171">
        <f t="shared" si="82"/>
        <v>0</v>
      </c>
      <c r="CF60" s="171">
        <f t="shared" si="82"/>
        <v>0</v>
      </c>
      <c r="CG60" s="171">
        <f t="shared" si="82"/>
        <v>0</v>
      </c>
      <c r="CH60" s="171">
        <f t="shared" si="82"/>
        <v>0</v>
      </c>
      <c r="CI60" s="171">
        <f t="shared" si="82"/>
        <v>0</v>
      </c>
      <c r="CJ60" s="243"/>
      <c r="CK60" s="171">
        <f t="shared" si="16"/>
        <v>0</v>
      </c>
      <c r="CL60" s="171">
        <f t="shared" si="17"/>
        <v>0</v>
      </c>
      <c r="CM60" s="171">
        <f t="shared" si="18"/>
        <v>0</v>
      </c>
      <c r="CN60" s="171">
        <f t="shared" si="19"/>
        <v>0</v>
      </c>
      <c r="CO60" s="171">
        <f t="shared" si="20"/>
        <v>0</v>
      </c>
      <c r="CP60" s="171">
        <f t="shared" si="21"/>
        <v>0</v>
      </c>
      <c r="CQ60" s="171">
        <f t="shared" si="22"/>
        <v>0</v>
      </c>
      <c r="CR60" s="171">
        <f t="shared" si="23"/>
        <v>0</v>
      </c>
      <c r="CS60" s="171">
        <f t="shared" si="24"/>
        <v>0</v>
      </c>
      <c r="CT60" s="171">
        <f t="shared" si="25"/>
        <v>5.8212000000000002</v>
      </c>
      <c r="CU60" s="171">
        <f t="shared" si="26"/>
        <v>5.8212000000000002</v>
      </c>
      <c r="CV60" s="171">
        <f t="shared" si="27"/>
        <v>5.8212000000000002</v>
      </c>
      <c r="CW60" s="171">
        <f t="shared" si="28"/>
        <v>5.8212000000000002</v>
      </c>
      <c r="CX60" s="171">
        <f t="shared" si="29"/>
        <v>5.8212000000000002</v>
      </c>
      <c r="CY60" s="171">
        <f t="shared" ca="1" si="30"/>
        <v>5.5264561686209248</v>
      </c>
      <c r="CZ60" s="171">
        <f t="shared" ca="1" si="31"/>
        <v>5.2466360516196442</v>
      </c>
      <c r="DA60" s="171">
        <f t="shared" ca="1" si="32"/>
        <v>4.9809840190995525</v>
      </c>
      <c r="DB60" s="171">
        <f t="shared" ca="1" si="33"/>
        <v>4.728782700844322</v>
      </c>
      <c r="DC60" s="171">
        <f t="shared" ca="1" si="34"/>
        <v>4.4893510491220052</v>
      </c>
      <c r="DD60" s="171">
        <f t="shared" ca="1" si="35"/>
        <v>4.2620424995748509</v>
      </c>
      <c r="DE60" s="171">
        <f t="shared" ca="1" si="36"/>
        <v>4.0462432252284728</v>
      </c>
      <c r="DF60" s="171">
        <f t="shared" ca="1" si="37"/>
        <v>3.841370478905469</v>
      </c>
      <c r="DG60" s="171">
        <f t="shared" ca="1" si="38"/>
        <v>3.6468710195673482</v>
      </c>
      <c r="DH60" s="171">
        <f t="shared" ca="1" si="39"/>
        <v>3.4622196183351974</v>
      </c>
      <c r="DI60" s="171">
        <f t="shared" ca="1" si="40"/>
        <v>3.2869176401547677</v>
      </c>
      <c r="DJ60" s="171">
        <f t="shared" ca="1" si="41"/>
        <v>3.1204916972758623</v>
      </c>
      <c r="DK60" s="171">
        <f t="shared" ca="1" si="42"/>
        <v>2.9624923709098754</v>
      </c>
      <c r="DL60" s="171">
        <f t="shared" ca="1" si="43"/>
        <v>2.8124929976134316</v>
      </c>
      <c r="DM60" s="171">
        <f t="shared" ca="1" si="44"/>
        <v>2.6700885171208526</v>
      </c>
      <c r="DN60" s="171">
        <f t="shared" ca="1" si="45"/>
        <v>2.5348943785141262</v>
      </c>
      <c r="DO60" s="171">
        <f t="shared" ca="1" si="46"/>
        <v>2.4065455017765922</v>
      </c>
      <c r="DP60" s="171">
        <f t="shared" ca="1" si="47"/>
        <v>2.284695291926095</v>
      </c>
      <c r="DQ60" s="171">
        <f t="shared" ca="1" si="48"/>
        <v>2.1690147030653737</v>
      </c>
      <c r="DR60" s="171">
        <f t="shared" ca="1" si="49"/>
        <v>2.0591913498222216</v>
      </c>
      <c r="DS60" s="171">
        <f t="shared" ca="1" si="50"/>
        <v>1.9549286637799534</v>
      </c>
      <c r="DT60" s="171">
        <f t="shared" ca="1" si="51"/>
        <v>0</v>
      </c>
      <c r="DU60" s="171">
        <f t="shared" ca="1" si="52"/>
        <v>0</v>
      </c>
      <c r="DV60" s="171">
        <f t="shared" ca="1" si="53"/>
        <v>0</v>
      </c>
      <c r="DW60" s="171">
        <f t="shared" ca="1" si="54"/>
        <v>0</v>
      </c>
      <c r="DX60" s="171">
        <f t="shared" ca="1" si="55"/>
        <v>0</v>
      </c>
      <c r="DY60" s="171">
        <f t="shared" ca="1" si="56"/>
        <v>0</v>
      </c>
      <c r="DZ60" s="171">
        <f t="shared" ca="1" si="57"/>
        <v>0</v>
      </c>
      <c r="EA60" s="171">
        <f t="shared" ca="1" si="58"/>
        <v>0</v>
      </c>
      <c r="EB60" s="171">
        <f t="shared" ca="1" si="59"/>
        <v>0</v>
      </c>
      <c r="EC60" s="171">
        <f t="shared" ca="1" si="60"/>
        <v>0</v>
      </c>
      <c r="ED60" s="171">
        <f t="shared" ca="1" si="61"/>
        <v>0</v>
      </c>
      <c r="EE60" s="171">
        <f t="shared" ca="1" si="62"/>
        <v>0</v>
      </c>
      <c r="EF60" s="171">
        <f t="shared" ca="1" si="63"/>
        <v>0</v>
      </c>
      <c r="EG60" s="171">
        <f t="shared" ca="1" si="64"/>
        <v>0</v>
      </c>
      <c r="EH60" s="171">
        <f t="shared" ca="1" si="65"/>
        <v>0</v>
      </c>
      <c r="EI60" s="171">
        <f t="shared" ca="1" si="66"/>
        <v>0</v>
      </c>
      <c r="EJ60" s="171">
        <f t="shared" ca="1" si="67"/>
        <v>0</v>
      </c>
      <c r="EK60" s="171">
        <f t="shared" ca="1" si="68"/>
        <v>0</v>
      </c>
      <c r="EL60" s="171">
        <f t="shared" ca="1" si="69"/>
        <v>0</v>
      </c>
      <c r="EM60" s="171">
        <f t="shared" ca="1" si="70"/>
        <v>0</v>
      </c>
      <c r="EN60" s="171">
        <f t="shared" ca="1" si="71"/>
        <v>0</v>
      </c>
      <c r="EO60" s="171">
        <f t="shared" ca="1" si="72"/>
        <v>0</v>
      </c>
      <c r="EP60" s="171">
        <f t="shared" ca="1" si="73"/>
        <v>0</v>
      </c>
      <c r="EQ60" s="171">
        <f t="shared" ca="1" si="74"/>
        <v>0</v>
      </c>
      <c r="ER60" s="171">
        <f t="shared" ca="1" si="75"/>
        <v>0</v>
      </c>
      <c r="ES60" s="171">
        <f t="shared" ca="1" si="76"/>
        <v>0</v>
      </c>
    </row>
    <row r="61" spans="1:149">
      <c r="A61" s="139" t="s">
        <v>419</v>
      </c>
      <c r="B61" s="161" t="s">
        <v>421</v>
      </c>
      <c r="C61" s="161" t="s">
        <v>29</v>
      </c>
      <c r="D61" s="161" t="s">
        <v>394</v>
      </c>
      <c r="E61" s="161">
        <v>2019</v>
      </c>
      <c r="F61" s="189" t="s">
        <v>395</v>
      </c>
      <c r="G61" s="161" t="s">
        <v>402</v>
      </c>
      <c r="H61" s="189" t="s">
        <v>396</v>
      </c>
      <c r="I61" s="189" t="s">
        <v>176</v>
      </c>
      <c r="J61" s="189" t="s">
        <v>397</v>
      </c>
      <c r="K61" s="184">
        <v>90</v>
      </c>
      <c r="L61" s="163" t="s">
        <v>110</v>
      </c>
      <c r="M61" s="164">
        <f t="shared" si="0"/>
        <v>90</v>
      </c>
      <c r="N61" s="164">
        <f t="shared" si="1"/>
        <v>90</v>
      </c>
      <c r="O61" s="165">
        <f t="shared" si="2"/>
        <v>1</v>
      </c>
      <c r="P61" s="180">
        <v>2.4058710569794983E-2</v>
      </c>
      <c r="Q61" s="183">
        <v>23.583342661777632</v>
      </c>
      <c r="R61" s="168">
        <f t="shared" si="3"/>
        <v>18.583342661777632</v>
      </c>
      <c r="S61" s="186">
        <v>6.5440636898279223</v>
      </c>
      <c r="T61" s="170" t="s">
        <v>403</v>
      </c>
      <c r="U61" s="171">
        <f t="shared" si="4"/>
        <v>5.1182127121928698</v>
      </c>
      <c r="V61" s="171">
        <f t="shared" ca="1" si="5"/>
        <v>3.2387363080074385</v>
      </c>
      <c r="W61" s="171">
        <f t="shared" ca="1" si="6"/>
        <v>76.38022814288</v>
      </c>
      <c r="X61" s="172">
        <f t="shared" si="7"/>
        <v>0.20135495345148102</v>
      </c>
      <c r="Y61" s="172">
        <f t="shared" si="8"/>
        <v>0.79864504654851898</v>
      </c>
      <c r="Z61" s="173">
        <f t="shared" si="9"/>
        <v>120.7045642075107</v>
      </c>
      <c r="AA61" s="171">
        <f t="shared" si="77"/>
        <v>0</v>
      </c>
      <c r="AB61" s="171">
        <f t="shared" si="77"/>
        <v>0</v>
      </c>
      <c r="AC61" s="171">
        <f t="shared" si="77"/>
        <v>0</v>
      </c>
      <c r="AD61" s="171">
        <f t="shared" si="77"/>
        <v>0</v>
      </c>
      <c r="AE61" s="171">
        <f t="shared" si="77"/>
        <v>0</v>
      </c>
      <c r="AF61" s="171">
        <f t="shared" si="77"/>
        <v>0</v>
      </c>
      <c r="AG61" s="171">
        <f t="shared" si="77"/>
        <v>0</v>
      </c>
      <c r="AH61" s="171">
        <f t="shared" si="77"/>
        <v>0</v>
      </c>
      <c r="AI61" s="171">
        <f t="shared" si="77"/>
        <v>0</v>
      </c>
      <c r="AJ61" s="171">
        <f t="shared" si="77"/>
        <v>2.1652839512815483</v>
      </c>
      <c r="AK61" s="171">
        <f t="shared" si="78"/>
        <v>2.1652839512815483</v>
      </c>
      <c r="AL61" s="171">
        <f t="shared" si="78"/>
        <v>2.1652839512815483</v>
      </c>
      <c r="AM61" s="171">
        <f t="shared" si="78"/>
        <v>2.1652839512815483</v>
      </c>
      <c r="AN61" s="171">
        <f t="shared" si="78"/>
        <v>2.1652839512815483</v>
      </c>
      <c r="AO61" s="171">
        <f t="shared" si="78"/>
        <v>2.1652839512815483</v>
      </c>
      <c r="AP61" s="171">
        <f t="shared" si="78"/>
        <v>2.1652839512815483</v>
      </c>
      <c r="AQ61" s="171">
        <f t="shared" si="78"/>
        <v>6.2086809734435224</v>
      </c>
      <c r="AR61" s="171">
        <f t="shared" si="78"/>
        <v>6.2086809734435224</v>
      </c>
      <c r="AS61" s="171">
        <f t="shared" si="78"/>
        <v>6.2086809734435224</v>
      </c>
      <c r="AT61" s="171">
        <f t="shared" si="78"/>
        <v>6.2086809734435224</v>
      </c>
      <c r="AU61" s="171">
        <f t="shared" si="79"/>
        <v>6.2086809734435224</v>
      </c>
      <c r="AV61" s="171">
        <f t="shared" si="79"/>
        <v>6.2086809734435224</v>
      </c>
      <c r="AW61" s="171">
        <f t="shared" si="79"/>
        <v>6.2086809734435224</v>
      </c>
      <c r="AX61" s="171">
        <f t="shared" si="79"/>
        <v>6.2086809734435224</v>
      </c>
      <c r="AY61" s="171">
        <f t="shared" si="79"/>
        <v>6.2086809734435224</v>
      </c>
      <c r="AZ61" s="171">
        <f t="shared" si="79"/>
        <v>6.2086809734435224</v>
      </c>
      <c r="BA61" s="171">
        <f t="shared" si="79"/>
        <v>6.2086809734435224</v>
      </c>
      <c r="BB61" s="171">
        <f t="shared" si="79"/>
        <v>6.2086809734435224</v>
      </c>
      <c r="BC61" s="171">
        <f t="shared" si="79"/>
        <v>6.2086809734435224</v>
      </c>
      <c r="BD61" s="171">
        <f t="shared" si="79"/>
        <v>6.2086809734435224</v>
      </c>
      <c r="BE61" s="171">
        <f t="shared" si="80"/>
        <v>6.2086809734435224</v>
      </c>
      <c r="BF61" s="171">
        <f t="shared" si="80"/>
        <v>6.2086809734435224</v>
      </c>
      <c r="BG61" s="171">
        <f t="shared" si="80"/>
        <v>6.2086809734435224</v>
      </c>
      <c r="BH61" s="171">
        <f t="shared" si="80"/>
        <v>0</v>
      </c>
      <c r="BI61" s="171">
        <f t="shared" si="80"/>
        <v>0</v>
      </c>
      <c r="BJ61" s="171">
        <f t="shared" si="80"/>
        <v>0</v>
      </c>
      <c r="BK61" s="171">
        <f t="shared" si="80"/>
        <v>0</v>
      </c>
      <c r="BL61" s="171">
        <f t="shared" si="80"/>
        <v>0</v>
      </c>
      <c r="BM61" s="171">
        <f t="shared" si="80"/>
        <v>0</v>
      </c>
      <c r="BN61" s="171">
        <f t="shared" si="80"/>
        <v>0</v>
      </c>
      <c r="BO61" s="171">
        <f t="shared" si="81"/>
        <v>0</v>
      </c>
      <c r="BP61" s="171">
        <f t="shared" si="81"/>
        <v>0</v>
      </c>
      <c r="BQ61" s="171">
        <f t="shared" si="81"/>
        <v>0</v>
      </c>
      <c r="BR61" s="171">
        <f t="shared" si="81"/>
        <v>0</v>
      </c>
      <c r="BS61" s="171">
        <f t="shared" si="81"/>
        <v>0</v>
      </c>
      <c r="BT61" s="171">
        <f t="shared" si="81"/>
        <v>0</v>
      </c>
      <c r="BU61" s="171">
        <f t="shared" si="81"/>
        <v>0</v>
      </c>
      <c r="BV61" s="171">
        <f t="shared" si="81"/>
        <v>0</v>
      </c>
      <c r="BW61" s="171">
        <f t="shared" si="81"/>
        <v>0</v>
      </c>
      <c r="BX61" s="171">
        <f t="shared" si="81"/>
        <v>0</v>
      </c>
      <c r="BY61" s="171">
        <f t="shared" si="82"/>
        <v>0</v>
      </c>
      <c r="BZ61" s="171">
        <f t="shared" si="82"/>
        <v>0</v>
      </c>
      <c r="CA61" s="171">
        <f t="shared" si="82"/>
        <v>0</v>
      </c>
      <c r="CB61" s="171">
        <f t="shared" si="82"/>
        <v>0</v>
      </c>
      <c r="CC61" s="171">
        <f t="shared" si="82"/>
        <v>0</v>
      </c>
      <c r="CD61" s="171">
        <f t="shared" si="82"/>
        <v>0</v>
      </c>
      <c r="CE61" s="171">
        <f t="shared" si="82"/>
        <v>0</v>
      </c>
      <c r="CF61" s="171">
        <f t="shared" si="82"/>
        <v>0</v>
      </c>
      <c r="CG61" s="171">
        <f t="shared" si="82"/>
        <v>0</v>
      </c>
      <c r="CH61" s="171">
        <f t="shared" si="82"/>
        <v>0</v>
      </c>
      <c r="CI61" s="171">
        <f t="shared" si="82"/>
        <v>0</v>
      </c>
      <c r="CJ61" s="243"/>
      <c r="CK61" s="171">
        <f t="shared" si="16"/>
        <v>0</v>
      </c>
      <c r="CL61" s="171">
        <f t="shared" si="17"/>
        <v>0</v>
      </c>
      <c r="CM61" s="171">
        <f t="shared" si="18"/>
        <v>0</v>
      </c>
      <c r="CN61" s="171">
        <f t="shared" si="19"/>
        <v>0</v>
      </c>
      <c r="CO61" s="171">
        <f t="shared" si="20"/>
        <v>0</v>
      </c>
      <c r="CP61" s="171">
        <f t="shared" si="21"/>
        <v>0</v>
      </c>
      <c r="CQ61" s="171">
        <f t="shared" si="22"/>
        <v>0</v>
      </c>
      <c r="CR61" s="171">
        <f t="shared" si="23"/>
        <v>0</v>
      </c>
      <c r="CS61" s="171">
        <f t="shared" si="24"/>
        <v>0</v>
      </c>
      <c r="CT61" s="171">
        <f t="shared" si="25"/>
        <v>2.1652839512815483</v>
      </c>
      <c r="CU61" s="171">
        <f t="shared" si="26"/>
        <v>2.1652839512815483</v>
      </c>
      <c r="CV61" s="171">
        <f t="shared" si="27"/>
        <v>2.1652839512815483</v>
      </c>
      <c r="CW61" s="171">
        <f t="shared" si="28"/>
        <v>2.1652839512815483</v>
      </c>
      <c r="CX61" s="171">
        <f t="shared" si="29"/>
        <v>2.1652839512815483</v>
      </c>
      <c r="CY61" s="171">
        <f t="shared" ca="1" si="30"/>
        <v>2.0556494965601253</v>
      </c>
      <c r="CZ61" s="171">
        <f t="shared" ca="1" si="31"/>
        <v>1.9515661445728034</v>
      </c>
      <c r="DA61" s="171">
        <f t="shared" ca="1" si="32"/>
        <v>5.3125370556602824</v>
      </c>
      <c r="DB61" s="171">
        <f t="shared" ca="1" si="33"/>
        <v>5.0435482687901141</v>
      </c>
      <c r="DC61" s="171">
        <f t="shared" ca="1" si="34"/>
        <v>4.7881791455013589</v>
      </c>
      <c r="DD61" s="171">
        <f t="shared" ca="1" si="35"/>
        <v>4.5457400836800064</v>
      </c>
      <c r="DE61" s="171">
        <f t="shared" ca="1" si="36"/>
        <v>4.3155763977188153</v>
      </c>
      <c r="DF61" s="171">
        <f t="shared" ca="1" si="37"/>
        <v>4.0970665505957564</v>
      </c>
      <c r="DG61" s="171">
        <f t="shared" ca="1" si="38"/>
        <v>3.8896204754673218</v>
      </c>
      <c r="DH61" s="171">
        <f t="shared" ca="1" si="39"/>
        <v>3.6926779822443194</v>
      </c>
      <c r="DI61" s="171">
        <f t="shared" ca="1" si="40"/>
        <v>3.5057072448472462</v>
      </c>
      <c r="DJ61" s="171">
        <f t="shared" ca="1" si="41"/>
        <v>3.3282033650561962</v>
      </c>
      <c r="DK61" s="171">
        <f t="shared" ca="1" si="42"/>
        <v>3.1596870090771203</v>
      </c>
      <c r="DL61" s="171">
        <f t="shared" ca="1" si="43"/>
        <v>2.9997031131425911</v>
      </c>
      <c r="DM61" s="171">
        <f t="shared" ca="1" si="44"/>
        <v>2.8478196546516639</v>
      </c>
      <c r="DN61" s="171">
        <f t="shared" ca="1" si="45"/>
        <v>2.7036264855304055</v>
      </c>
      <c r="DO61" s="171">
        <f t="shared" ca="1" si="46"/>
        <v>2.5667342246626852</v>
      </c>
      <c r="DP61" s="171">
        <f t="shared" ca="1" si="47"/>
        <v>2.4367732064003196</v>
      </c>
      <c r="DQ61" s="171">
        <f t="shared" ca="1" si="48"/>
        <v>2.3133924823131378</v>
      </c>
      <c r="DR61" s="171">
        <f t="shared" ca="1" si="49"/>
        <v>0</v>
      </c>
      <c r="DS61" s="171">
        <f t="shared" ca="1" si="50"/>
        <v>0</v>
      </c>
      <c r="DT61" s="171">
        <f t="shared" ca="1" si="51"/>
        <v>0</v>
      </c>
      <c r="DU61" s="171">
        <f t="shared" ca="1" si="52"/>
        <v>0</v>
      </c>
      <c r="DV61" s="171">
        <f t="shared" ca="1" si="53"/>
        <v>0</v>
      </c>
      <c r="DW61" s="171">
        <f t="shared" ca="1" si="54"/>
        <v>0</v>
      </c>
      <c r="DX61" s="171">
        <f t="shared" ca="1" si="55"/>
        <v>0</v>
      </c>
      <c r="DY61" s="171">
        <f t="shared" ca="1" si="56"/>
        <v>0</v>
      </c>
      <c r="DZ61" s="171">
        <f t="shared" ca="1" si="57"/>
        <v>0</v>
      </c>
      <c r="EA61" s="171">
        <f t="shared" ca="1" si="58"/>
        <v>0</v>
      </c>
      <c r="EB61" s="171">
        <f t="shared" ca="1" si="59"/>
        <v>0</v>
      </c>
      <c r="EC61" s="171">
        <f t="shared" ca="1" si="60"/>
        <v>0</v>
      </c>
      <c r="ED61" s="171">
        <f t="shared" ca="1" si="61"/>
        <v>0</v>
      </c>
      <c r="EE61" s="171">
        <f t="shared" ca="1" si="62"/>
        <v>0</v>
      </c>
      <c r="EF61" s="171">
        <f t="shared" ca="1" si="63"/>
        <v>0</v>
      </c>
      <c r="EG61" s="171">
        <f t="shared" ca="1" si="64"/>
        <v>0</v>
      </c>
      <c r="EH61" s="171">
        <f t="shared" ca="1" si="65"/>
        <v>0</v>
      </c>
      <c r="EI61" s="171">
        <f t="shared" ca="1" si="66"/>
        <v>0</v>
      </c>
      <c r="EJ61" s="171">
        <f t="shared" ca="1" si="67"/>
        <v>0</v>
      </c>
      <c r="EK61" s="171">
        <f t="shared" ca="1" si="68"/>
        <v>0</v>
      </c>
      <c r="EL61" s="171">
        <f t="shared" ca="1" si="69"/>
        <v>0</v>
      </c>
      <c r="EM61" s="171">
        <f t="shared" ca="1" si="70"/>
        <v>0</v>
      </c>
      <c r="EN61" s="171">
        <f t="shared" ca="1" si="71"/>
        <v>0</v>
      </c>
      <c r="EO61" s="171">
        <f t="shared" ca="1" si="72"/>
        <v>0</v>
      </c>
      <c r="EP61" s="171">
        <f t="shared" ca="1" si="73"/>
        <v>0</v>
      </c>
      <c r="EQ61" s="171">
        <f t="shared" ca="1" si="74"/>
        <v>0</v>
      </c>
      <c r="ER61" s="171">
        <f t="shared" ca="1" si="75"/>
        <v>0</v>
      </c>
      <c r="ES61" s="171">
        <f t="shared" ca="1" si="76"/>
        <v>0</v>
      </c>
    </row>
    <row r="62" spans="1:149">
      <c r="A62" s="139" t="s">
        <v>422</v>
      </c>
      <c r="B62" s="160" t="s">
        <v>423</v>
      </c>
      <c r="C62" s="160" t="s">
        <v>412</v>
      </c>
      <c r="D62" s="161" t="s">
        <v>394</v>
      </c>
      <c r="E62" s="160">
        <v>2021</v>
      </c>
      <c r="F62" s="160" t="s">
        <v>424</v>
      </c>
      <c r="G62" s="160" t="s">
        <v>402</v>
      </c>
      <c r="H62" s="160" t="s">
        <v>406</v>
      </c>
      <c r="I62" s="160" t="s">
        <v>184</v>
      </c>
      <c r="J62" s="160" t="s">
        <v>401</v>
      </c>
      <c r="K62" s="187">
        <v>15</v>
      </c>
      <c r="L62" s="163" t="s">
        <v>110</v>
      </c>
      <c r="M62" s="164">
        <f t="shared" si="0"/>
        <v>15</v>
      </c>
      <c r="N62" s="164">
        <f t="shared" si="1"/>
        <v>15</v>
      </c>
      <c r="O62" s="165">
        <f t="shared" si="2"/>
        <v>1</v>
      </c>
      <c r="P62" s="180">
        <v>8.0329758713136745E-2</v>
      </c>
      <c r="Q62" s="183">
        <v>15</v>
      </c>
      <c r="R62" s="168">
        <f t="shared" si="3"/>
        <v>12</v>
      </c>
      <c r="S62" s="186">
        <v>1.5</v>
      </c>
      <c r="T62" s="170" t="s">
        <v>425</v>
      </c>
      <c r="U62" s="171">
        <f t="shared" si="4"/>
        <v>2.2852761394101879</v>
      </c>
      <c r="V62" s="171">
        <f t="shared" ca="1" si="5"/>
        <v>1.4895697070102731</v>
      </c>
      <c r="W62" s="171">
        <f t="shared" ca="1" si="6"/>
        <v>22.343545605154098</v>
      </c>
      <c r="X62" s="172">
        <f t="shared" si="7"/>
        <v>0.15151380617185151</v>
      </c>
      <c r="Y62" s="172">
        <f t="shared" si="8"/>
        <v>0.84848619382814849</v>
      </c>
      <c r="Z62" s="173">
        <f t="shared" si="9"/>
        <v>34.279142091152821</v>
      </c>
      <c r="AA62" s="171">
        <f t="shared" si="77"/>
        <v>0</v>
      </c>
      <c r="AB62" s="171">
        <f t="shared" si="77"/>
        <v>0</v>
      </c>
      <c r="AC62" s="171">
        <f t="shared" si="77"/>
        <v>0</v>
      </c>
      <c r="AD62" s="171">
        <f t="shared" si="77"/>
        <v>0</v>
      </c>
      <c r="AE62" s="171">
        <f t="shared" si="77"/>
        <v>0</v>
      </c>
      <c r="AF62" s="171">
        <f t="shared" si="77"/>
        <v>0</v>
      </c>
      <c r="AG62" s="171">
        <f t="shared" si="77"/>
        <v>0</v>
      </c>
      <c r="AH62" s="171">
        <f t="shared" si="77"/>
        <v>0</v>
      </c>
      <c r="AI62" s="171">
        <f t="shared" si="77"/>
        <v>0</v>
      </c>
      <c r="AJ62" s="171">
        <f t="shared" si="77"/>
        <v>0</v>
      </c>
      <c r="AK62" s="171">
        <f t="shared" si="78"/>
        <v>0</v>
      </c>
      <c r="AL62" s="171">
        <f t="shared" si="78"/>
        <v>1.2049463806970513</v>
      </c>
      <c r="AM62" s="171">
        <f t="shared" si="78"/>
        <v>1.2049463806970513</v>
      </c>
      <c r="AN62" s="171">
        <f t="shared" si="78"/>
        <v>1.2049463806970513</v>
      </c>
      <c r="AO62" s="171">
        <f t="shared" si="78"/>
        <v>1.2049463806970513</v>
      </c>
      <c r="AP62" s="171">
        <f t="shared" si="78"/>
        <v>1.2049463806970513</v>
      </c>
      <c r="AQ62" s="171">
        <f t="shared" si="78"/>
        <v>1.2049463806970513</v>
      </c>
      <c r="AR62" s="171">
        <f t="shared" si="78"/>
        <v>1.2049463806970513</v>
      </c>
      <c r="AS62" s="171">
        <f t="shared" si="78"/>
        <v>1.2049463806970513</v>
      </c>
      <c r="AT62" s="171">
        <f t="shared" si="78"/>
        <v>1.2049463806970513</v>
      </c>
      <c r="AU62" s="171">
        <f t="shared" si="79"/>
        <v>1.2049463806970513</v>
      </c>
      <c r="AV62" s="171">
        <f t="shared" si="79"/>
        <v>1.2049463806970513</v>
      </c>
      <c r="AW62" s="171">
        <f t="shared" si="79"/>
        <v>1.2049463806970513</v>
      </c>
      <c r="AX62" s="171">
        <f t="shared" si="79"/>
        <v>1.2049463806970513</v>
      </c>
      <c r="AY62" s="171">
        <f t="shared" si="79"/>
        <v>1.2049463806970513</v>
      </c>
      <c r="AZ62" s="171">
        <f t="shared" si="79"/>
        <v>1.2049463806970513</v>
      </c>
      <c r="BA62" s="171">
        <f t="shared" si="79"/>
        <v>16.204946380697049</v>
      </c>
      <c r="BB62" s="171">
        <f t="shared" si="79"/>
        <v>0</v>
      </c>
      <c r="BC62" s="171">
        <f t="shared" si="79"/>
        <v>0</v>
      </c>
      <c r="BD62" s="171">
        <f t="shared" si="79"/>
        <v>0</v>
      </c>
      <c r="BE62" s="171">
        <f t="shared" si="80"/>
        <v>0</v>
      </c>
      <c r="BF62" s="171">
        <f t="shared" si="80"/>
        <v>0</v>
      </c>
      <c r="BG62" s="171">
        <f t="shared" si="80"/>
        <v>0</v>
      </c>
      <c r="BH62" s="171">
        <f t="shared" si="80"/>
        <v>0</v>
      </c>
      <c r="BI62" s="171">
        <f t="shared" si="80"/>
        <v>0</v>
      </c>
      <c r="BJ62" s="171">
        <f t="shared" si="80"/>
        <v>0</v>
      </c>
      <c r="BK62" s="171">
        <f t="shared" si="80"/>
        <v>0</v>
      </c>
      <c r="BL62" s="171">
        <f t="shared" si="80"/>
        <v>0</v>
      </c>
      <c r="BM62" s="171">
        <f t="shared" si="80"/>
        <v>0</v>
      </c>
      <c r="BN62" s="171">
        <f t="shared" si="80"/>
        <v>0</v>
      </c>
      <c r="BO62" s="171">
        <f t="shared" si="81"/>
        <v>0</v>
      </c>
      <c r="BP62" s="171">
        <f t="shared" si="81"/>
        <v>0</v>
      </c>
      <c r="BQ62" s="171">
        <f t="shared" si="81"/>
        <v>0</v>
      </c>
      <c r="BR62" s="171">
        <f t="shared" si="81"/>
        <v>0</v>
      </c>
      <c r="BS62" s="171">
        <f t="shared" si="81"/>
        <v>0</v>
      </c>
      <c r="BT62" s="171">
        <f t="shared" si="81"/>
        <v>0</v>
      </c>
      <c r="BU62" s="171">
        <f t="shared" si="81"/>
        <v>0</v>
      </c>
      <c r="BV62" s="171">
        <f t="shared" si="81"/>
        <v>0</v>
      </c>
      <c r="BW62" s="171">
        <f t="shared" si="81"/>
        <v>0</v>
      </c>
      <c r="BX62" s="171">
        <f t="shared" si="81"/>
        <v>0</v>
      </c>
      <c r="BY62" s="171">
        <f t="shared" si="82"/>
        <v>0</v>
      </c>
      <c r="BZ62" s="171">
        <f t="shared" si="82"/>
        <v>0</v>
      </c>
      <c r="CA62" s="171">
        <f t="shared" si="82"/>
        <v>0</v>
      </c>
      <c r="CB62" s="171">
        <f t="shared" si="82"/>
        <v>0</v>
      </c>
      <c r="CC62" s="171">
        <f t="shared" si="82"/>
        <v>0</v>
      </c>
      <c r="CD62" s="171">
        <f t="shared" si="82"/>
        <v>0</v>
      </c>
      <c r="CE62" s="171">
        <f t="shared" si="82"/>
        <v>0</v>
      </c>
      <c r="CF62" s="171">
        <f t="shared" si="82"/>
        <v>0</v>
      </c>
      <c r="CG62" s="171">
        <f t="shared" si="82"/>
        <v>0</v>
      </c>
      <c r="CH62" s="171">
        <f t="shared" si="82"/>
        <v>0</v>
      </c>
      <c r="CI62" s="171">
        <f t="shared" si="82"/>
        <v>0</v>
      </c>
      <c r="CJ62" s="243"/>
      <c r="CK62" s="171">
        <f t="shared" si="16"/>
        <v>0</v>
      </c>
      <c r="CL62" s="171">
        <f t="shared" si="17"/>
        <v>0</v>
      </c>
      <c r="CM62" s="171">
        <f t="shared" si="18"/>
        <v>0</v>
      </c>
      <c r="CN62" s="171">
        <f t="shared" si="19"/>
        <v>0</v>
      </c>
      <c r="CO62" s="171">
        <f t="shared" si="20"/>
        <v>0</v>
      </c>
      <c r="CP62" s="171">
        <f t="shared" si="21"/>
        <v>0</v>
      </c>
      <c r="CQ62" s="171">
        <f t="shared" si="22"/>
        <v>0</v>
      </c>
      <c r="CR62" s="171">
        <f t="shared" si="23"/>
        <v>0</v>
      </c>
      <c r="CS62" s="171">
        <f t="shared" si="24"/>
        <v>0</v>
      </c>
      <c r="CT62" s="171">
        <f t="shared" si="25"/>
        <v>0</v>
      </c>
      <c r="CU62" s="171">
        <f t="shared" si="26"/>
        <v>0</v>
      </c>
      <c r="CV62" s="171">
        <f t="shared" si="27"/>
        <v>1.2049463806970513</v>
      </c>
      <c r="CW62" s="171">
        <f t="shared" si="28"/>
        <v>1.2049463806970513</v>
      </c>
      <c r="CX62" s="171">
        <f t="shared" si="29"/>
        <v>1.2049463806970513</v>
      </c>
      <c r="CY62" s="171">
        <f t="shared" ca="1" si="30"/>
        <v>1.1439365351578157</v>
      </c>
      <c r="CZ62" s="171">
        <f t="shared" ca="1" si="31"/>
        <v>1.0860157907705899</v>
      </c>
      <c r="DA62" s="171">
        <f t="shared" ca="1" si="32"/>
        <v>1.0310277376011574</v>
      </c>
      <c r="DB62" s="171">
        <f t="shared" ca="1" si="33"/>
        <v>0.9788238851929485</v>
      </c>
      <c r="DC62" s="171">
        <f t="shared" ca="1" si="34"/>
        <v>0.92926326158147288</v>
      </c>
      <c r="DD62" s="171">
        <f t="shared" ca="1" si="35"/>
        <v>0.88221203261178638</v>
      </c>
      <c r="DE62" s="171">
        <f t="shared" ca="1" si="36"/>
        <v>0.8375431405309921</v>
      </c>
      <c r="DF62" s="171">
        <f t="shared" ca="1" si="37"/>
        <v>0.79513596087982608</v>
      </c>
      <c r="DG62" s="171">
        <f t="shared" ca="1" si="38"/>
        <v>0.75487597675679263</v>
      </c>
      <c r="DH62" s="171">
        <f t="shared" ca="1" si="39"/>
        <v>0.71665446957522883</v>
      </c>
      <c r="DI62" s="171">
        <f t="shared" ca="1" si="40"/>
        <v>0.68036822547821418</v>
      </c>
      <c r="DJ62" s="171">
        <f t="shared" ca="1" si="41"/>
        <v>0.64591925661852345</v>
      </c>
      <c r="DK62" s="171">
        <f t="shared" ca="1" si="42"/>
        <v>8.2469301903075998</v>
      </c>
      <c r="DL62" s="171">
        <f t="shared" ca="1" si="43"/>
        <v>0</v>
      </c>
      <c r="DM62" s="171">
        <f t="shared" ca="1" si="44"/>
        <v>0</v>
      </c>
      <c r="DN62" s="171">
        <f t="shared" ca="1" si="45"/>
        <v>0</v>
      </c>
      <c r="DO62" s="171">
        <f t="shared" ca="1" si="46"/>
        <v>0</v>
      </c>
      <c r="DP62" s="171">
        <f t="shared" ca="1" si="47"/>
        <v>0</v>
      </c>
      <c r="DQ62" s="171">
        <f t="shared" ca="1" si="48"/>
        <v>0</v>
      </c>
      <c r="DR62" s="171">
        <f t="shared" ca="1" si="49"/>
        <v>0</v>
      </c>
      <c r="DS62" s="171">
        <f t="shared" ca="1" si="50"/>
        <v>0</v>
      </c>
      <c r="DT62" s="171">
        <f t="shared" ca="1" si="51"/>
        <v>0</v>
      </c>
      <c r="DU62" s="171">
        <f t="shared" ca="1" si="52"/>
        <v>0</v>
      </c>
      <c r="DV62" s="171">
        <f t="shared" ca="1" si="53"/>
        <v>0</v>
      </c>
      <c r="DW62" s="171">
        <f t="shared" ca="1" si="54"/>
        <v>0</v>
      </c>
      <c r="DX62" s="171">
        <f t="shared" ca="1" si="55"/>
        <v>0</v>
      </c>
      <c r="DY62" s="171">
        <f t="shared" ca="1" si="56"/>
        <v>0</v>
      </c>
      <c r="DZ62" s="171">
        <f t="shared" ca="1" si="57"/>
        <v>0</v>
      </c>
      <c r="EA62" s="171">
        <f t="shared" ca="1" si="58"/>
        <v>0</v>
      </c>
      <c r="EB62" s="171">
        <f t="shared" ca="1" si="59"/>
        <v>0</v>
      </c>
      <c r="EC62" s="171">
        <f t="shared" ca="1" si="60"/>
        <v>0</v>
      </c>
      <c r="ED62" s="171">
        <f t="shared" ca="1" si="61"/>
        <v>0</v>
      </c>
      <c r="EE62" s="171">
        <f t="shared" ca="1" si="62"/>
        <v>0</v>
      </c>
      <c r="EF62" s="171">
        <f t="shared" ca="1" si="63"/>
        <v>0</v>
      </c>
      <c r="EG62" s="171">
        <f t="shared" ca="1" si="64"/>
        <v>0</v>
      </c>
      <c r="EH62" s="171">
        <f t="shared" ca="1" si="65"/>
        <v>0</v>
      </c>
      <c r="EI62" s="171">
        <f t="shared" ca="1" si="66"/>
        <v>0</v>
      </c>
      <c r="EJ62" s="171">
        <f t="shared" ca="1" si="67"/>
        <v>0</v>
      </c>
      <c r="EK62" s="171">
        <f t="shared" ca="1" si="68"/>
        <v>0</v>
      </c>
      <c r="EL62" s="171">
        <f t="shared" ca="1" si="69"/>
        <v>0</v>
      </c>
      <c r="EM62" s="171">
        <f t="shared" ca="1" si="70"/>
        <v>0</v>
      </c>
      <c r="EN62" s="171">
        <f t="shared" ca="1" si="71"/>
        <v>0</v>
      </c>
      <c r="EO62" s="171">
        <f t="shared" ca="1" si="72"/>
        <v>0</v>
      </c>
      <c r="EP62" s="171">
        <f t="shared" ca="1" si="73"/>
        <v>0</v>
      </c>
      <c r="EQ62" s="171">
        <f t="shared" ca="1" si="74"/>
        <v>0</v>
      </c>
      <c r="ER62" s="171">
        <f t="shared" ca="1" si="75"/>
        <v>0</v>
      </c>
      <c r="ES62" s="171">
        <f t="shared" ca="1" si="76"/>
        <v>0</v>
      </c>
    </row>
    <row r="63" spans="1:149">
      <c r="A63" s="139" t="s">
        <v>426</v>
      </c>
      <c r="B63" s="160" t="s">
        <v>427</v>
      </c>
      <c r="C63" s="160" t="s">
        <v>105</v>
      </c>
      <c r="D63" s="160" t="s">
        <v>428</v>
      </c>
      <c r="E63" s="160">
        <v>2012</v>
      </c>
      <c r="F63" s="160" t="s">
        <v>395</v>
      </c>
      <c r="G63" s="160" t="s">
        <v>402</v>
      </c>
      <c r="H63" s="160" t="s">
        <v>396</v>
      </c>
      <c r="I63" s="160" t="s">
        <v>176</v>
      </c>
      <c r="J63" s="160" t="s">
        <v>397</v>
      </c>
      <c r="K63" s="187">
        <v>72.434053551177968</v>
      </c>
      <c r="L63" s="163" t="s">
        <v>110</v>
      </c>
      <c r="M63" s="164">
        <f t="shared" si="0"/>
        <v>72.434053551177968</v>
      </c>
      <c r="N63" s="164">
        <f t="shared" si="1"/>
        <v>72.434053551177968</v>
      </c>
      <c r="O63" s="165">
        <f t="shared" si="2"/>
        <v>1</v>
      </c>
      <c r="P63" s="190">
        <v>1.6E-2</v>
      </c>
      <c r="Q63" s="191">
        <v>21</v>
      </c>
      <c r="R63" s="168">
        <f t="shared" si="3"/>
        <v>9</v>
      </c>
      <c r="S63" s="160">
        <v>9</v>
      </c>
      <c r="T63" s="170" t="s">
        <v>403</v>
      </c>
      <c r="U63" s="171">
        <f t="shared" si="4"/>
        <v>4.3445017282226477</v>
      </c>
      <c r="V63" s="171">
        <f t="shared" ca="1" si="5"/>
        <v>3.633619848855377</v>
      </c>
      <c r="W63" s="171">
        <f t="shared" ca="1" si="6"/>
        <v>76.306016825962914</v>
      </c>
      <c r="X63" s="172">
        <f t="shared" si="7"/>
        <v>0.14155042226386416</v>
      </c>
      <c r="Y63" s="172">
        <f t="shared" si="8"/>
        <v>0.85844957773613584</v>
      </c>
      <c r="Z63" s="173">
        <f t="shared" si="9"/>
        <v>91.2345362926756</v>
      </c>
      <c r="AA63" s="171">
        <f t="shared" si="77"/>
        <v>0</v>
      </c>
      <c r="AB63" s="171">
        <f t="shared" si="77"/>
        <v>0</v>
      </c>
      <c r="AC63" s="171">
        <f t="shared" si="77"/>
        <v>1.1589448568188474</v>
      </c>
      <c r="AD63" s="171">
        <f t="shared" si="77"/>
        <v>1.1589448568188474</v>
      </c>
      <c r="AE63" s="171">
        <f t="shared" si="77"/>
        <v>1.1589448568188474</v>
      </c>
      <c r="AF63" s="171">
        <f t="shared" si="77"/>
        <v>1.1589448568188474</v>
      </c>
      <c r="AG63" s="171">
        <f t="shared" si="77"/>
        <v>1.1589448568188474</v>
      </c>
      <c r="AH63" s="171">
        <f t="shared" si="77"/>
        <v>1.1589448568188474</v>
      </c>
      <c r="AI63" s="171">
        <f t="shared" si="77"/>
        <v>1.1589448568188474</v>
      </c>
      <c r="AJ63" s="171">
        <f t="shared" si="77"/>
        <v>1.1589448568188474</v>
      </c>
      <c r="AK63" s="171">
        <f t="shared" si="78"/>
        <v>1.1589448568188474</v>
      </c>
      <c r="AL63" s="171">
        <f t="shared" si="78"/>
        <v>6.2156948139466159</v>
      </c>
      <c r="AM63" s="171">
        <f t="shared" si="78"/>
        <v>6.2156948139466159</v>
      </c>
      <c r="AN63" s="171">
        <f t="shared" si="78"/>
        <v>6.2156948139466159</v>
      </c>
      <c r="AO63" s="171">
        <f t="shared" si="78"/>
        <v>6.2156948139466159</v>
      </c>
      <c r="AP63" s="171">
        <f t="shared" si="78"/>
        <v>6.2156948139466159</v>
      </c>
      <c r="AQ63" s="171">
        <f t="shared" si="78"/>
        <v>6.2156948139466159</v>
      </c>
      <c r="AR63" s="171">
        <f t="shared" si="78"/>
        <v>6.2156948139466159</v>
      </c>
      <c r="AS63" s="171">
        <f t="shared" si="78"/>
        <v>6.2156948139466159</v>
      </c>
      <c r="AT63" s="171">
        <f t="shared" si="78"/>
        <v>6.2156948139466159</v>
      </c>
      <c r="AU63" s="171">
        <f t="shared" si="79"/>
        <v>6.2156948139466159</v>
      </c>
      <c r="AV63" s="171">
        <f t="shared" si="79"/>
        <v>6.2156948139466159</v>
      </c>
      <c r="AW63" s="171">
        <f t="shared" si="79"/>
        <v>6.2156948139466159</v>
      </c>
      <c r="AX63" s="171">
        <f t="shared" si="79"/>
        <v>6.2156948139466159</v>
      </c>
      <c r="AY63" s="171">
        <f t="shared" si="79"/>
        <v>0</v>
      </c>
      <c r="AZ63" s="171">
        <f t="shared" si="79"/>
        <v>0</v>
      </c>
      <c r="BA63" s="171">
        <f t="shared" si="79"/>
        <v>0</v>
      </c>
      <c r="BB63" s="171">
        <f t="shared" si="79"/>
        <v>0</v>
      </c>
      <c r="BC63" s="171">
        <f t="shared" si="79"/>
        <v>0</v>
      </c>
      <c r="BD63" s="171">
        <f t="shared" si="79"/>
        <v>0</v>
      </c>
      <c r="BE63" s="171">
        <f t="shared" si="80"/>
        <v>0</v>
      </c>
      <c r="BF63" s="171">
        <f t="shared" si="80"/>
        <v>0</v>
      </c>
      <c r="BG63" s="171">
        <f t="shared" si="80"/>
        <v>0</v>
      </c>
      <c r="BH63" s="171">
        <f t="shared" si="80"/>
        <v>0</v>
      </c>
      <c r="BI63" s="171">
        <f t="shared" si="80"/>
        <v>0</v>
      </c>
      <c r="BJ63" s="171">
        <f t="shared" si="80"/>
        <v>0</v>
      </c>
      <c r="BK63" s="171">
        <f t="shared" si="80"/>
        <v>0</v>
      </c>
      <c r="BL63" s="171">
        <f t="shared" si="80"/>
        <v>0</v>
      </c>
      <c r="BM63" s="171">
        <f t="shared" si="80"/>
        <v>0</v>
      </c>
      <c r="BN63" s="171">
        <f t="shared" si="80"/>
        <v>0</v>
      </c>
      <c r="BO63" s="171">
        <f t="shared" si="81"/>
        <v>0</v>
      </c>
      <c r="BP63" s="171">
        <f t="shared" si="81"/>
        <v>0</v>
      </c>
      <c r="BQ63" s="171">
        <f t="shared" si="81"/>
        <v>0</v>
      </c>
      <c r="BR63" s="171">
        <f t="shared" si="81"/>
        <v>0</v>
      </c>
      <c r="BS63" s="171">
        <f t="shared" si="81"/>
        <v>0</v>
      </c>
      <c r="BT63" s="171">
        <f t="shared" si="81"/>
        <v>0</v>
      </c>
      <c r="BU63" s="171">
        <f t="shared" si="81"/>
        <v>0</v>
      </c>
      <c r="BV63" s="171">
        <f t="shared" si="81"/>
        <v>0</v>
      </c>
      <c r="BW63" s="171">
        <f t="shared" si="81"/>
        <v>0</v>
      </c>
      <c r="BX63" s="171">
        <f t="shared" si="81"/>
        <v>0</v>
      </c>
      <c r="BY63" s="171">
        <f t="shared" si="82"/>
        <v>0</v>
      </c>
      <c r="BZ63" s="171">
        <f t="shared" si="82"/>
        <v>0</v>
      </c>
      <c r="CA63" s="171">
        <f t="shared" si="82"/>
        <v>0</v>
      </c>
      <c r="CB63" s="171">
        <f t="shared" si="82"/>
        <v>0</v>
      </c>
      <c r="CC63" s="171">
        <f t="shared" si="82"/>
        <v>0</v>
      </c>
      <c r="CD63" s="171">
        <f t="shared" si="82"/>
        <v>0</v>
      </c>
      <c r="CE63" s="171">
        <f t="shared" si="82"/>
        <v>0</v>
      </c>
      <c r="CF63" s="171">
        <f t="shared" si="82"/>
        <v>0</v>
      </c>
      <c r="CG63" s="171">
        <f t="shared" si="82"/>
        <v>0</v>
      </c>
      <c r="CH63" s="171">
        <f t="shared" si="82"/>
        <v>0</v>
      </c>
      <c r="CI63" s="171">
        <f t="shared" si="82"/>
        <v>0</v>
      </c>
      <c r="CJ63" s="243"/>
      <c r="CK63" s="171">
        <f t="shared" si="16"/>
        <v>0</v>
      </c>
      <c r="CL63" s="171">
        <f t="shared" si="17"/>
        <v>0</v>
      </c>
      <c r="CM63" s="171">
        <f t="shared" si="18"/>
        <v>1.1589448568188474</v>
      </c>
      <c r="CN63" s="171">
        <f t="shared" si="19"/>
        <v>1.1589448568188474</v>
      </c>
      <c r="CO63" s="171">
        <f t="shared" si="20"/>
        <v>1.1589448568188474</v>
      </c>
      <c r="CP63" s="171">
        <f t="shared" si="21"/>
        <v>1.1589448568188474</v>
      </c>
      <c r="CQ63" s="171">
        <f t="shared" si="22"/>
        <v>1.1589448568188474</v>
      </c>
      <c r="CR63" s="171">
        <f t="shared" si="23"/>
        <v>1.1589448568188474</v>
      </c>
      <c r="CS63" s="171">
        <f t="shared" si="24"/>
        <v>1.1589448568188474</v>
      </c>
      <c r="CT63" s="171">
        <f t="shared" si="25"/>
        <v>1.1589448568188474</v>
      </c>
      <c r="CU63" s="171">
        <f t="shared" si="26"/>
        <v>1.1589448568188474</v>
      </c>
      <c r="CV63" s="171">
        <f t="shared" si="27"/>
        <v>6.2156948139466159</v>
      </c>
      <c r="CW63" s="171">
        <f t="shared" si="28"/>
        <v>6.2156948139466159</v>
      </c>
      <c r="CX63" s="171">
        <f t="shared" si="29"/>
        <v>6.2156948139466159</v>
      </c>
      <c r="CY63" s="171">
        <f t="shared" ca="1" si="30"/>
        <v>5.9009765936233709</v>
      </c>
      <c r="CZ63" s="171">
        <f t="shared" ca="1" si="31"/>
        <v>5.6021934475224295</v>
      </c>
      <c r="DA63" s="171">
        <f t="shared" ca="1" si="32"/>
        <v>5.318538537735872</v>
      </c>
      <c r="DB63" s="171">
        <f t="shared" ca="1" si="33"/>
        <v>5.049245878842596</v>
      </c>
      <c r="DC63" s="171">
        <f t="shared" ca="1" si="34"/>
        <v>4.7935882694312939</v>
      </c>
      <c r="DD63" s="171">
        <f t="shared" ca="1" si="35"/>
        <v>4.5508753283562626</v>
      </c>
      <c r="DE63" s="171">
        <f t="shared" ca="1" si="36"/>
        <v>4.3204516304231504</v>
      </c>
      <c r="DF63" s="171">
        <f t="shared" ca="1" si="37"/>
        <v>4.1016949364702038</v>
      </c>
      <c r="DG63" s="171">
        <f t="shared" ca="1" si="38"/>
        <v>3.8940145130655144</v>
      </c>
      <c r="DH63" s="171">
        <f t="shared" ca="1" si="39"/>
        <v>3.6968495372827452</v>
      </c>
      <c r="DI63" s="171">
        <f t="shared" ca="1" si="40"/>
        <v>0</v>
      </c>
      <c r="DJ63" s="171">
        <f t="shared" ca="1" si="41"/>
        <v>0</v>
      </c>
      <c r="DK63" s="171">
        <f t="shared" ca="1" si="42"/>
        <v>0</v>
      </c>
      <c r="DL63" s="171">
        <f t="shared" ca="1" si="43"/>
        <v>0</v>
      </c>
      <c r="DM63" s="171">
        <f t="shared" ca="1" si="44"/>
        <v>0</v>
      </c>
      <c r="DN63" s="171">
        <f t="shared" ca="1" si="45"/>
        <v>0</v>
      </c>
      <c r="DO63" s="171">
        <f t="shared" ca="1" si="46"/>
        <v>0</v>
      </c>
      <c r="DP63" s="171">
        <f t="shared" ca="1" si="47"/>
        <v>0</v>
      </c>
      <c r="DQ63" s="171">
        <f t="shared" ca="1" si="48"/>
        <v>0</v>
      </c>
      <c r="DR63" s="171">
        <f t="shared" ca="1" si="49"/>
        <v>0</v>
      </c>
      <c r="DS63" s="171">
        <f t="shared" ca="1" si="50"/>
        <v>0</v>
      </c>
      <c r="DT63" s="171">
        <f t="shared" ca="1" si="51"/>
        <v>0</v>
      </c>
      <c r="DU63" s="171">
        <f t="shared" ca="1" si="52"/>
        <v>0</v>
      </c>
      <c r="DV63" s="171">
        <f t="shared" ca="1" si="53"/>
        <v>0</v>
      </c>
      <c r="DW63" s="171">
        <f t="shared" ca="1" si="54"/>
        <v>0</v>
      </c>
      <c r="DX63" s="171">
        <f t="shared" ca="1" si="55"/>
        <v>0</v>
      </c>
      <c r="DY63" s="171">
        <f t="shared" ca="1" si="56"/>
        <v>0</v>
      </c>
      <c r="DZ63" s="171">
        <f t="shared" ca="1" si="57"/>
        <v>0</v>
      </c>
      <c r="EA63" s="171">
        <f t="shared" ca="1" si="58"/>
        <v>0</v>
      </c>
      <c r="EB63" s="171">
        <f t="shared" ca="1" si="59"/>
        <v>0</v>
      </c>
      <c r="EC63" s="171">
        <f t="shared" ca="1" si="60"/>
        <v>0</v>
      </c>
      <c r="ED63" s="171">
        <f t="shared" ca="1" si="61"/>
        <v>0</v>
      </c>
      <c r="EE63" s="171">
        <f t="shared" ca="1" si="62"/>
        <v>0</v>
      </c>
      <c r="EF63" s="171">
        <f t="shared" ca="1" si="63"/>
        <v>0</v>
      </c>
      <c r="EG63" s="171">
        <f t="shared" ca="1" si="64"/>
        <v>0</v>
      </c>
      <c r="EH63" s="171">
        <f t="shared" ca="1" si="65"/>
        <v>0</v>
      </c>
      <c r="EI63" s="171">
        <f t="shared" ca="1" si="66"/>
        <v>0</v>
      </c>
      <c r="EJ63" s="171">
        <f t="shared" ca="1" si="67"/>
        <v>0</v>
      </c>
      <c r="EK63" s="171">
        <f t="shared" ca="1" si="68"/>
        <v>0</v>
      </c>
      <c r="EL63" s="171">
        <f t="shared" ca="1" si="69"/>
        <v>0</v>
      </c>
      <c r="EM63" s="171">
        <f t="shared" ca="1" si="70"/>
        <v>0</v>
      </c>
      <c r="EN63" s="171">
        <f t="shared" ca="1" si="71"/>
        <v>0</v>
      </c>
      <c r="EO63" s="171">
        <f t="shared" ca="1" si="72"/>
        <v>0</v>
      </c>
      <c r="EP63" s="171">
        <f t="shared" ca="1" si="73"/>
        <v>0</v>
      </c>
      <c r="EQ63" s="171">
        <f t="shared" ca="1" si="74"/>
        <v>0</v>
      </c>
      <c r="ER63" s="171">
        <f t="shared" ca="1" si="75"/>
        <v>0</v>
      </c>
      <c r="ES63" s="171">
        <f t="shared" ca="1" si="76"/>
        <v>0</v>
      </c>
    </row>
    <row r="64" spans="1:149">
      <c r="A64" s="139" t="s">
        <v>426</v>
      </c>
      <c r="B64" s="160" t="s">
        <v>420</v>
      </c>
      <c r="C64" s="160" t="s">
        <v>105</v>
      </c>
      <c r="D64" s="160" t="s">
        <v>428</v>
      </c>
      <c r="E64" s="160">
        <v>2012</v>
      </c>
      <c r="F64" s="160" t="s">
        <v>400</v>
      </c>
      <c r="G64" s="160" t="s">
        <v>289</v>
      </c>
      <c r="H64" s="160" t="s">
        <v>396</v>
      </c>
      <c r="I64" s="160" t="s">
        <v>183</v>
      </c>
      <c r="J64" s="160" t="s">
        <v>401</v>
      </c>
      <c r="K64" s="187">
        <v>88</v>
      </c>
      <c r="L64" s="163" t="s">
        <v>110</v>
      </c>
      <c r="M64" s="164">
        <f t="shared" si="0"/>
        <v>88</v>
      </c>
      <c r="N64" s="164">
        <f t="shared" si="1"/>
        <v>88</v>
      </c>
      <c r="O64" s="165">
        <f t="shared" si="2"/>
        <v>1</v>
      </c>
      <c r="P64" s="176">
        <v>0.1</v>
      </c>
      <c r="Q64" s="177">
        <v>50</v>
      </c>
      <c r="R64" s="168">
        <f t="shared" si="3"/>
        <v>38</v>
      </c>
      <c r="S64" s="178">
        <v>0</v>
      </c>
      <c r="T64" s="174" t="s">
        <v>289</v>
      </c>
      <c r="U64" s="171">
        <f t="shared" si="4"/>
        <v>8.9760000000000062</v>
      </c>
      <c r="V64" s="171">
        <f t="shared" ca="1" si="5"/>
        <v>4.9770460591967938</v>
      </c>
      <c r="W64" s="171">
        <f t="shared" ca="1" si="6"/>
        <v>248.8523029598397</v>
      </c>
      <c r="X64" s="172" t="str">
        <f t="shared" si="7"/>
        <v>Equity</v>
      </c>
      <c r="Y64" s="172" t="str">
        <f t="shared" si="8"/>
        <v>Equity</v>
      </c>
      <c r="Z64" s="173">
        <f t="shared" si="9"/>
        <v>448.80000000000035</v>
      </c>
      <c r="AA64" s="171">
        <f t="shared" si="77"/>
        <v>0</v>
      </c>
      <c r="AB64" s="171">
        <f t="shared" si="77"/>
        <v>0</v>
      </c>
      <c r="AC64" s="171">
        <f t="shared" si="77"/>
        <v>8.8000000000000007</v>
      </c>
      <c r="AD64" s="171">
        <f t="shared" si="77"/>
        <v>8.8000000000000007</v>
      </c>
      <c r="AE64" s="171">
        <f t="shared" si="77"/>
        <v>8.8000000000000007</v>
      </c>
      <c r="AF64" s="171">
        <f t="shared" si="77"/>
        <v>8.8000000000000007</v>
      </c>
      <c r="AG64" s="171">
        <f t="shared" si="77"/>
        <v>8.8000000000000007</v>
      </c>
      <c r="AH64" s="171">
        <f t="shared" si="77"/>
        <v>8.8000000000000007</v>
      </c>
      <c r="AI64" s="171">
        <f t="shared" si="77"/>
        <v>8.8000000000000007</v>
      </c>
      <c r="AJ64" s="171">
        <f t="shared" si="77"/>
        <v>8.8000000000000007</v>
      </c>
      <c r="AK64" s="171">
        <f t="shared" si="78"/>
        <v>8.8000000000000007</v>
      </c>
      <c r="AL64" s="171">
        <f t="shared" si="78"/>
        <v>8.8000000000000007</v>
      </c>
      <c r="AM64" s="171">
        <f t="shared" si="78"/>
        <v>8.8000000000000007</v>
      </c>
      <c r="AN64" s="171">
        <f t="shared" si="78"/>
        <v>8.8000000000000007</v>
      </c>
      <c r="AO64" s="171">
        <f t="shared" si="78"/>
        <v>8.8000000000000007</v>
      </c>
      <c r="AP64" s="171">
        <f t="shared" si="78"/>
        <v>8.8000000000000007</v>
      </c>
      <c r="AQ64" s="171">
        <f t="shared" si="78"/>
        <v>8.8000000000000007</v>
      </c>
      <c r="AR64" s="171">
        <f t="shared" si="78"/>
        <v>8.8000000000000007</v>
      </c>
      <c r="AS64" s="171">
        <f t="shared" si="78"/>
        <v>8.8000000000000007</v>
      </c>
      <c r="AT64" s="171">
        <f t="shared" si="78"/>
        <v>8.8000000000000007</v>
      </c>
      <c r="AU64" s="171">
        <f t="shared" si="79"/>
        <v>8.8000000000000007</v>
      </c>
      <c r="AV64" s="171">
        <f t="shared" si="79"/>
        <v>8.8000000000000007</v>
      </c>
      <c r="AW64" s="171">
        <f t="shared" si="79"/>
        <v>8.8000000000000007</v>
      </c>
      <c r="AX64" s="171">
        <f t="shared" si="79"/>
        <v>8.8000000000000007</v>
      </c>
      <c r="AY64" s="171">
        <f t="shared" si="79"/>
        <v>8.8000000000000007</v>
      </c>
      <c r="AZ64" s="171">
        <f t="shared" si="79"/>
        <v>8.8000000000000007</v>
      </c>
      <c r="BA64" s="171">
        <f t="shared" si="79"/>
        <v>8.8000000000000007</v>
      </c>
      <c r="BB64" s="171">
        <f t="shared" si="79"/>
        <v>8.8000000000000007</v>
      </c>
      <c r="BC64" s="171">
        <f t="shared" si="79"/>
        <v>8.8000000000000007</v>
      </c>
      <c r="BD64" s="171">
        <f t="shared" si="79"/>
        <v>8.8000000000000007</v>
      </c>
      <c r="BE64" s="171">
        <f t="shared" si="80"/>
        <v>8.8000000000000007</v>
      </c>
      <c r="BF64" s="171">
        <f t="shared" si="80"/>
        <v>8.8000000000000007</v>
      </c>
      <c r="BG64" s="171">
        <f t="shared" si="80"/>
        <v>8.8000000000000007</v>
      </c>
      <c r="BH64" s="171">
        <f t="shared" si="80"/>
        <v>8.8000000000000007</v>
      </c>
      <c r="BI64" s="171">
        <f t="shared" si="80"/>
        <v>8.8000000000000007</v>
      </c>
      <c r="BJ64" s="171">
        <f t="shared" si="80"/>
        <v>8.8000000000000007</v>
      </c>
      <c r="BK64" s="171">
        <f t="shared" si="80"/>
        <v>8.8000000000000007</v>
      </c>
      <c r="BL64" s="171">
        <f t="shared" si="80"/>
        <v>8.8000000000000007</v>
      </c>
      <c r="BM64" s="171">
        <f t="shared" si="80"/>
        <v>8.8000000000000007</v>
      </c>
      <c r="BN64" s="171">
        <f t="shared" si="80"/>
        <v>8.8000000000000007</v>
      </c>
      <c r="BO64" s="171">
        <f t="shared" si="81"/>
        <v>8.8000000000000007</v>
      </c>
      <c r="BP64" s="171">
        <f t="shared" si="81"/>
        <v>8.8000000000000007</v>
      </c>
      <c r="BQ64" s="171">
        <f t="shared" si="81"/>
        <v>8.8000000000000007</v>
      </c>
      <c r="BR64" s="171">
        <f t="shared" si="81"/>
        <v>8.8000000000000007</v>
      </c>
      <c r="BS64" s="171">
        <f t="shared" si="81"/>
        <v>8.8000000000000007</v>
      </c>
      <c r="BT64" s="171">
        <f t="shared" si="81"/>
        <v>8.8000000000000007</v>
      </c>
      <c r="BU64" s="171">
        <f t="shared" si="81"/>
        <v>8.8000000000000007</v>
      </c>
      <c r="BV64" s="171">
        <f t="shared" si="81"/>
        <v>8.8000000000000007</v>
      </c>
      <c r="BW64" s="171">
        <f t="shared" si="81"/>
        <v>8.8000000000000007</v>
      </c>
      <c r="BX64" s="171">
        <f t="shared" si="81"/>
        <v>8.8000000000000007</v>
      </c>
      <c r="BY64" s="171">
        <f t="shared" si="82"/>
        <v>8.8000000000000007</v>
      </c>
      <c r="BZ64" s="171">
        <f t="shared" si="82"/>
        <v>8.8000000000000007</v>
      </c>
      <c r="CA64" s="171">
        <f t="shared" si="82"/>
        <v>8.8000000000000007</v>
      </c>
      <c r="CB64" s="171">
        <f t="shared" si="82"/>
        <v>0</v>
      </c>
      <c r="CC64" s="171">
        <f t="shared" si="82"/>
        <v>0</v>
      </c>
      <c r="CD64" s="171">
        <f t="shared" si="82"/>
        <v>0</v>
      </c>
      <c r="CE64" s="171">
        <f t="shared" si="82"/>
        <v>0</v>
      </c>
      <c r="CF64" s="171">
        <f t="shared" si="82"/>
        <v>0</v>
      </c>
      <c r="CG64" s="171">
        <f t="shared" si="82"/>
        <v>0</v>
      </c>
      <c r="CH64" s="171">
        <f t="shared" si="82"/>
        <v>0</v>
      </c>
      <c r="CI64" s="171">
        <f t="shared" si="82"/>
        <v>0</v>
      </c>
      <c r="CJ64" s="243"/>
      <c r="CK64" s="171">
        <f t="shared" si="16"/>
        <v>0</v>
      </c>
      <c r="CL64" s="171">
        <f t="shared" si="17"/>
        <v>0</v>
      </c>
      <c r="CM64" s="171">
        <f t="shared" si="18"/>
        <v>8.8000000000000007</v>
      </c>
      <c r="CN64" s="171">
        <f t="shared" si="19"/>
        <v>8.8000000000000007</v>
      </c>
      <c r="CO64" s="171">
        <f t="shared" si="20"/>
        <v>8.8000000000000007</v>
      </c>
      <c r="CP64" s="171">
        <f t="shared" si="21"/>
        <v>8.8000000000000007</v>
      </c>
      <c r="CQ64" s="171">
        <f t="shared" si="22"/>
        <v>8.8000000000000007</v>
      </c>
      <c r="CR64" s="171">
        <f t="shared" si="23"/>
        <v>8.8000000000000007</v>
      </c>
      <c r="CS64" s="171">
        <f t="shared" si="24"/>
        <v>8.8000000000000007</v>
      </c>
      <c r="CT64" s="171">
        <f t="shared" si="25"/>
        <v>8.8000000000000007</v>
      </c>
      <c r="CU64" s="171">
        <f t="shared" si="26"/>
        <v>8.8000000000000007</v>
      </c>
      <c r="CV64" s="171">
        <f t="shared" si="27"/>
        <v>8.8000000000000007</v>
      </c>
      <c r="CW64" s="171">
        <f t="shared" si="28"/>
        <v>8.8000000000000007</v>
      </c>
      <c r="CX64" s="171">
        <f t="shared" si="29"/>
        <v>8.8000000000000007</v>
      </c>
      <c r="CY64" s="171">
        <f t="shared" ca="1" si="30"/>
        <v>8.3544310939091844</v>
      </c>
      <c r="CZ64" s="171">
        <f t="shared" ca="1" si="31"/>
        <v>7.9314226025996133</v>
      </c>
      <c r="DA64" s="171">
        <f t="shared" ca="1" si="32"/>
        <v>7.52983222841958</v>
      </c>
      <c r="DB64" s="171">
        <f t="shared" ca="1" si="33"/>
        <v>7.1485755114804563</v>
      </c>
      <c r="DC64" s="171">
        <f t="shared" ca="1" si="34"/>
        <v>6.7866229011670525</v>
      </c>
      <c r="DD64" s="171">
        <f t="shared" ca="1" si="35"/>
        <v>6.4429969759257011</v>
      </c>
      <c r="DE64" s="171">
        <f t="shared" ca="1" si="36"/>
        <v>6.1167698038223319</v>
      </c>
      <c r="DF64" s="171">
        <f t="shared" ca="1" si="37"/>
        <v>5.8070604367429617</v>
      </c>
      <c r="DG64" s="171">
        <f t="shared" ca="1" si="38"/>
        <v>5.5130325314699142</v>
      </c>
      <c r="DH64" s="171">
        <f t="shared" ca="1" si="39"/>
        <v>5.2338920912096709</v>
      </c>
      <c r="DI64" s="171">
        <f t="shared" ca="1" si="40"/>
        <v>4.9688853214735724</v>
      </c>
      <c r="DJ64" s="171">
        <f t="shared" ca="1" si="41"/>
        <v>4.7172965945213337</v>
      </c>
      <c r="DK64" s="171">
        <f t="shared" ca="1" si="42"/>
        <v>4.4784465168705605</v>
      </c>
      <c r="DL64" s="171">
        <f t="shared" ca="1" si="43"/>
        <v>4.2516900946537142</v>
      </c>
      <c r="DM64" s="171">
        <f t="shared" ca="1" si="44"/>
        <v>4.0364149918682584</v>
      </c>
      <c r="DN64" s="171">
        <f t="shared" ca="1" si="45"/>
        <v>3.8320398768165176</v>
      </c>
      <c r="DO64" s="171">
        <f t="shared" ca="1" si="46"/>
        <v>3.6380128522699811</v>
      </c>
      <c r="DP64" s="171">
        <f t="shared" ca="1" si="47"/>
        <v>3.4538099651188139</v>
      </c>
      <c r="DQ64" s="171">
        <f t="shared" ca="1" si="48"/>
        <v>3.2789337914820469</v>
      </c>
      <c r="DR64" s="171">
        <f t="shared" ca="1" si="49"/>
        <v>3.1129120934576293</v>
      </c>
      <c r="DS64" s="171">
        <f t="shared" ca="1" si="50"/>
        <v>2.9552965438850394</v>
      </c>
      <c r="DT64" s="171">
        <f t="shared" ca="1" si="51"/>
        <v>2.8056615156767637</v>
      </c>
      <c r="DU64" s="171">
        <f t="shared" ca="1" si="52"/>
        <v>2.6636029324493542</v>
      </c>
      <c r="DV64" s="171">
        <f t="shared" ca="1" si="53"/>
        <v>2.5287371773502922</v>
      </c>
      <c r="DW64" s="171">
        <f t="shared" ca="1" si="54"/>
        <v>2.4007000571340256</v>
      </c>
      <c r="DX64" s="171">
        <f t="shared" ca="1" si="55"/>
        <v>2.2791458186897788</v>
      </c>
      <c r="DY64" s="171">
        <f t="shared" ca="1" si="56"/>
        <v>2.1637462153653395</v>
      </c>
      <c r="DZ64" s="171">
        <f t="shared" ca="1" si="57"/>
        <v>2.0541896205655124</v>
      </c>
      <c r="EA64" s="171">
        <f t="shared" ca="1" si="58"/>
        <v>1.9501801862315935</v>
      </c>
      <c r="EB64" s="171">
        <f t="shared" ca="1" si="59"/>
        <v>1.8514370439294119</v>
      </c>
      <c r="EC64" s="171">
        <f t="shared" ca="1" si="60"/>
        <v>1.7576935463885432</v>
      </c>
      <c r="ED64" s="171">
        <f t="shared" ca="1" si="61"/>
        <v>1.6686965474445397</v>
      </c>
      <c r="EE64" s="171">
        <f t="shared" ca="1" si="62"/>
        <v>1.5842057184397229</v>
      </c>
      <c r="EF64" s="171">
        <f t="shared" ca="1" si="63"/>
        <v>1.5039928992365408</v>
      </c>
      <c r="EG64" s="171">
        <f t="shared" ca="1" si="64"/>
        <v>1.4278414820909517</v>
      </c>
      <c r="EH64" s="171">
        <f t="shared" ca="1" si="65"/>
        <v>1.3555458267220475</v>
      </c>
      <c r="EI64" s="171">
        <f t="shared" ca="1" si="66"/>
        <v>1.2869107049983526</v>
      </c>
      <c r="EJ64" s="171">
        <f t="shared" ca="1" si="67"/>
        <v>1.2217507737412303</v>
      </c>
      <c r="EK64" s="171">
        <f t="shared" ca="1" si="68"/>
        <v>1.1598900742217428</v>
      </c>
      <c r="EL64" s="171">
        <f t="shared" ca="1" si="69"/>
        <v>0</v>
      </c>
      <c r="EM64" s="171">
        <f t="shared" ca="1" si="70"/>
        <v>0</v>
      </c>
      <c r="EN64" s="171">
        <f t="shared" ca="1" si="71"/>
        <v>0</v>
      </c>
      <c r="EO64" s="171">
        <f t="shared" ca="1" si="72"/>
        <v>0</v>
      </c>
      <c r="EP64" s="171">
        <f t="shared" ca="1" si="73"/>
        <v>0</v>
      </c>
      <c r="EQ64" s="171">
        <f t="shared" ca="1" si="74"/>
        <v>0</v>
      </c>
      <c r="ER64" s="171">
        <f t="shared" ca="1" si="75"/>
        <v>0</v>
      </c>
      <c r="ES64" s="171">
        <f t="shared" ca="1" si="76"/>
        <v>0</v>
      </c>
    </row>
    <row r="65" spans="1:149">
      <c r="A65" s="139" t="s">
        <v>426</v>
      </c>
      <c r="B65" s="160" t="s">
        <v>429</v>
      </c>
      <c r="C65" s="160" t="s">
        <v>105</v>
      </c>
      <c r="D65" s="160" t="s">
        <v>428</v>
      </c>
      <c r="E65" s="160">
        <v>2012</v>
      </c>
      <c r="F65" s="160" t="s">
        <v>395</v>
      </c>
      <c r="G65" s="160" t="s">
        <v>402</v>
      </c>
      <c r="H65" s="160" t="s">
        <v>396</v>
      </c>
      <c r="I65" s="160" t="s">
        <v>178</v>
      </c>
      <c r="J65" s="160" t="s">
        <v>407</v>
      </c>
      <c r="K65" s="187">
        <v>113</v>
      </c>
      <c r="L65" s="163" t="s">
        <v>110</v>
      </c>
      <c r="M65" s="164">
        <f t="shared" si="0"/>
        <v>113</v>
      </c>
      <c r="N65" s="164">
        <f t="shared" si="1"/>
        <v>113</v>
      </c>
      <c r="O65" s="165">
        <f t="shared" si="2"/>
        <v>1</v>
      </c>
      <c r="P65" s="190">
        <v>7.4999999999999997E-3</v>
      </c>
      <c r="Q65" s="191">
        <v>50</v>
      </c>
      <c r="R65" s="168">
        <f t="shared" si="3"/>
        <v>38</v>
      </c>
      <c r="S65" s="191">
        <v>10</v>
      </c>
      <c r="T65" s="170" t="s">
        <v>403</v>
      </c>
      <c r="U65" s="171">
        <f t="shared" si="4"/>
        <v>2.8031534016311355</v>
      </c>
      <c r="V65" s="171">
        <f t="shared" ca="1" si="5"/>
        <v>1.3436386220908638</v>
      </c>
      <c r="W65" s="171">
        <f t="shared" ca="1" si="6"/>
        <v>67.181931104543196</v>
      </c>
      <c r="X65" s="172">
        <f t="shared" si="7"/>
        <v>6.2006313877182473E-2</v>
      </c>
      <c r="Y65" s="172">
        <f t="shared" si="8"/>
        <v>0.93799368612281753</v>
      </c>
      <c r="Z65" s="173">
        <f t="shared" si="9"/>
        <v>140.15767008155677</v>
      </c>
      <c r="AA65" s="171">
        <f t="shared" si="77"/>
        <v>0</v>
      </c>
      <c r="AB65" s="171">
        <f t="shared" si="77"/>
        <v>0</v>
      </c>
      <c r="AC65" s="171">
        <f t="shared" si="77"/>
        <v>0.84749999999999992</v>
      </c>
      <c r="AD65" s="171">
        <f t="shared" si="77"/>
        <v>0.84749999999999992</v>
      </c>
      <c r="AE65" s="171">
        <f t="shared" si="77"/>
        <v>0.84749999999999992</v>
      </c>
      <c r="AF65" s="171">
        <f t="shared" si="77"/>
        <v>0.84749999999999992</v>
      </c>
      <c r="AG65" s="171">
        <f t="shared" si="77"/>
        <v>0.84749999999999992</v>
      </c>
      <c r="AH65" s="171">
        <f t="shared" si="77"/>
        <v>0.84749999999999992</v>
      </c>
      <c r="AI65" s="171">
        <f t="shared" si="77"/>
        <v>0.84749999999999992</v>
      </c>
      <c r="AJ65" s="171">
        <f t="shared" si="77"/>
        <v>0.84749999999999992</v>
      </c>
      <c r="AK65" s="171">
        <f t="shared" si="78"/>
        <v>0.84749999999999992</v>
      </c>
      <c r="AL65" s="171">
        <f t="shared" si="78"/>
        <v>0.84749999999999992</v>
      </c>
      <c r="AM65" s="171">
        <f t="shared" si="78"/>
        <v>3.2117724410135819</v>
      </c>
      <c r="AN65" s="171">
        <f t="shared" si="78"/>
        <v>3.2117724410135819</v>
      </c>
      <c r="AO65" s="171">
        <f t="shared" si="78"/>
        <v>3.2117724410135819</v>
      </c>
      <c r="AP65" s="171">
        <f t="shared" si="78"/>
        <v>3.2117724410135819</v>
      </c>
      <c r="AQ65" s="171">
        <f t="shared" si="78"/>
        <v>3.2117724410135819</v>
      </c>
      <c r="AR65" s="171">
        <f t="shared" si="78"/>
        <v>3.2117724410135819</v>
      </c>
      <c r="AS65" s="171">
        <f t="shared" si="78"/>
        <v>3.2117724410135819</v>
      </c>
      <c r="AT65" s="171">
        <f t="shared" si="78"/>
        <v>3.2117724410135819</v>
      </c>
      <c r="AU65" s="171">
        <f t="shared" si="79"/>
        <v>3.2117724410135819</v>
      </c>
      <c r="AV65" s="171">
        <f t="shared" si="79"/>
        <v>3.2117724410135819</v>
      </c>
      <c r="AW65" s="171">
        <f t="shared" si="79"/>
        <v>3.2117724410135819</v>
      </c>
      <c r="AX65" s="171">
        <f t="shared" si="79"/>
        <v>3.2117724410135819</v>
      </c>
      <c r="AY65" s="171">
        <f t="shared" si="79"/>
        <v>3.2117724410135819</v>
      </c>
      <c r="AZ65" s="171">
        <f t="shared" si="79"/>
        <v>3.2117724410135819</v>
      </c>
      <c r="BA65" s="171">
        <f t="shared" si="79"/>
        <v>3.2117724410135819</v>
      </c>
      <c r="BB65" s="171">
        <f t="shared" si="79"/>
        <v>3.2117724410135819</v>
      </c>
      <c r="BC65" s="171">
        <f t="shared" si="79"/>
        <v>3.2117724410135819</v>
      </c>
      <c r="BD65" s="171">
        <f t="shared" si="79"/>
        <v>3.2117724410135819</v>
      </c>
      <c r="BE65" s="171">
        <f t="shared" si="80"/>
        <v>3.2117724410135819</v>
      </c>
      <c r="BF65" s="171">
        <f t="shared" si="80"/>
        <v>3.2117724410135819</v>
      </c>
      <c r="BG65" s="171">
        <f t="shared" si="80"/>
        <v>3.2117724410135819</v>
      </c>
      <c r="BH65" s="171">
        <f t="shared" si="80"/>
        <v>3.2117724410135819</v>
      </c>
      <c r="BI65" s="171">
        <f t="shared" si="80"/>
        <v>3.2117724410135819</v>
      </c>
      <c r="BJ65" s="171">
        <f t="shared" si="80"/>
        <v>3.2117724410135819</v>
      </c>
      <c r="BK65" s="171">
        <f t="shared" si="80"/>
        <v>3.2117724410135819</v>
      </c>
      <c r="BL65" s="171">
        <f t="shared" si="80"/>
        <v>3.2117724410135819</v>
      </c>
      <c r="BM65" s="171">
        <f t="shared" si="80"/>
        <v>3.2117724410135819</v>
      </c>
      <c r="BN65" s="171">
        <f t="shared" si="80"/>
        <v>3.2117724410135819</v>
      </c>
      <c r="BO65" s="171">
        <f t="shared" si="81"/>
        <v>3.2117724410135819</v>
      </c>
      <c r="BP65" s="171">
        <f t="shared" si="81"/>
        <v>3.2117724410135819</v>
      </c>
      <c r="BQ65" s="171">
        <f t="shared" si="81"/>
        <v>3.2117724410135819</v>
      </c>
      <c r="BR65" s="171">
        <f t="shared" si="81"/>
        <v>3.2117724410135819</v>
      </c>
      <c r="BS65" s="171">
        <f t="shared" si="81"/>
        <v>3.2117724410135819</v>
      </c>
      <c r="BT65" s="171">
        <f t="shared" si="81"/>
        <v>3.2117724410135819</v>
      </c>
      <c r="BU65" s="171">
        <f t="shared" si="81"/>
        <v>3.2117724410135819</v>
      </c>
      <c r="BV65" s="171">
        <f t="shared" si="81"/>
        <v>3.2117724410135819</v>
      </c>
      <c r="BW65" s="171">
        <f t="shared" si="81"/>
        <v>3.2117724410135819</v>
      </c>
      <c r="BX65" s="171">
        <f t="shared" si="81"/>
        <v>3.2117724410135819</v>
      </c>
      <c r="BY65" s="171">
        <f t="shared" si="82"/>
        <v>3.2117724410135819</v>
      </c>
      <c r="BZ65" s="171">
        <f t="shared" si="82"/>
        <v>3.2117724410135819</v>
      </c>
      <c r="CA65" s="171">
        <f t="shared" si="82"/>
        <v>3.2117724410135819</v>
      </c>
      <c r="CB65" s="171">
        <f t="shared" si="82"/>
        <v>0</v>
      </c>
      <c r="CC65" s="171">
        <f t="shared" si="82"/>
        <v>0</v>
      </c>
      <c r="CD65" s="171">
        <f t="shared" si="82"/>
        <v>0</v>
      </c>
      <c r="CE65" s="171">
        <f t="shared" si="82"/>
        <v>0</v>
      </c>
      <c r="CF65" s="171">
        <f t="shared" si="82"/>
        <v>0</v>
      </c>
      <c r="CG65" s="171">
        <f t="shared" si="82"/>
        <v>0</v>
      </c>
      <c r="CH65" s="171">
        <f t="shared" si="82"/>
        <v>0</v>
      </c>
      <c r="CI65" s="171">
        <f t="shared" si="82"/>
        <v>0</v>
      </c>
      <c r="CJ65" s="243"/>
      <c r="CK65" s="171">
        <f t="shared" si="16"/>
        <v>0</v>
      </c>
      <c r="CL65" s="171">
        <f t="shared" si="17"/>
        <v>0</v>
      </c>
      <c r="CM65" s="171">
        <f t="shared" si="18"/>
        <v>0.84749999999999992</v>
      </c>
      <c r="CN65" s="171">
        <f t="shared" si="19"/>
        <v>0.84749999999999992</v>
      </c>
      <c r="CO65" s="171">
        <f t="shared" si="20"/>
        <v>0.84749999999999992</v>
      </c>
      <c r="CP65" s="171">
        <f t="shared" si="21"/>
        <v>0.84749999999999992</v>
      </c>
      <c r="CQ65" s="171">
        <f t="shared" si="22"/>
        <v>0.84749999999999992</v>
      </c>
      <c r="CR65" s="171">
        <f t="shared" si="23"/>
        <v>0.84749999999999992</v>
      </c>
      <c r="CS65" s="171">
        <f t="shared" si="24"/>
        <v>0.84749999999999992</v>
      </c>
      <c r="CT65" s="171">
        <f t="shared" si="25"/>
        <v>0.84749999999999992</v>
      </c>
      <c r="CU65" s="171">
        <f t="shared" si="26"/>
        <v>0.84749999999999992</v>
      </c>
      <c r="CV65" s="171">
        <f t="shared" si="27"/>
        <v>0.84749999999999992</v>
      </c>
      <c r="CW65" s="171">
        <f t="shared" si="28"/>
        <v>3.2117724410135819</v>
      </c>
      <c r="CX65" s="171">
        <f t="shared" si="29"/>
        <v>3.2117724410135819</v>
      </c>
      <c r="CY65" s="171">
        <f t="shared" ca="1" si="30"/>
        <v>3.0491513122459621</v>
      </c>
      <c r="CZ65" s="171">
        <f t="shared" ca="1" si="31"/>
        <v>2.8947641514842788</v>
      </c>
      <c r="DA65" s="171">
        <f t="shared" ca="1" si="32"/>
        <v>2.7481940496243058</v>
      </c>
      <c r="DB65" s="171">
        <f t="shared" ca="1" si="33"/>
        <v>2.6090452068497156</v>
      </c>
      <c r="DC65" s="171">
        <f t="shared" ca="1" si="34"/>
        <v>2.4769418638090888</v>
      </c>
      <c r="DD65" s="171">
        <f t="shared" ca="1" si="35"/>
        <v>2.3515272869104562</v>
      </c>
      <c r="DE65" s="171">
        <f t="shared" ca="1" si="36"/>
        <v>2.232462804993252</v>
      </c>
      <c r="DF65" s="171">
        <f t="shared" ca="1" si="37"/>
        <v>2.1194268947762884</v>
      </c>
      <c r="DG65" s="171">
        <f t="shared" ca="1" si="38"/>
        <v>2.0121143126120922</v>
      </c>
      <c r="DH65" s="171">
        <f t="shared" ca="1" si="39"/>
        <v>1.9102352702029732</v>
      </c>
      <c r="DI65" s="171">
        <f t="shared" ca="1" si="40"/>
        <v>1.8135146520529239</v>
      </c>
      <c r="DJ65" s="171">
        <f t="shared" ca="1" si="41"/>
        <v>1.7216912725421409</v>
      </c>
      <c r="DK65" s="171">
        <f t="shared" ca="1" si="42"/>
        <v>1.6345171706179695</v>
      </c>
      <c r="DL65" s="171">
        <f t="shared" ca="1" si="43"/>
        <v>1.5517569401976392</v>
      </c>
      <c r="DM65" s="171">
        <f t="shared" ca="1" si="44"/>
        <v>1.4731870944746057</v>
      </c>
      <c r="DN65" s="171">
        <f t="shared" ca="1" si="45"/>
        <v>1.3985954624118604</v>
      </c>
      <c r="DO65" s="171">
        <f t="shared" ca="1" si="46"/>
        <v>1.3277806157924932</v>
      </c>
      <c r="DP65" s="171">
        <f t="shared" ca="1" si="47"/>
        <v>1.2605513252803051</v>
      </c>
      <c r="DQ65" s="171">
        <f t="shared" ca="1" si="48"/>
        <v>1.196726044021615</v>
      </c>
      <c r="DR65" s="171">
        <f t="shared" ca="1" si="49"/>
        <v>1.1361324173937624</v>
      </c>
      <c r="DS65" s="171">
        <f t="shared" ca="1" si="50"/>
        <v>1.0786068175764381</v>
      </c>
      <c r="DT65" s="171">
        <f t="shared" ca="1" si="51"/>
        <v>1.0239939016889801</v>
      </c>
      <c r="DU65" s="171">
        <f t="shared" ca="1" si="52"/>
        <v>0.97214619230043153</v>
      </c>
      <c r="DV65" s="171">
        <f t="shared" ca="1" si="53"/>
        <v>0.92292367917956164</v>
      </c>
      <c r="DW65" s="171">
        <f t="shared" ca="1" si="54"/>
        <v>0.87619344120940834</v>
      </c>
      <c r="DX65" s="171">
        <f t="shared" ca="1" si="55"/>
        <v>0.83182928744536011</v>
      </c>
      <c r="DY65" s="171">
        <f t="shared" ca="1" si="56"/>
        <v>0.78971141634748132</v>
      </c>
      <c r="DZ65" s="171">
        <f t="shared" ca="1" si="57"/>
        <v>0.74972609226687037</v>
      </c>
      <c r="EA65" s="171">
        <f t="shared" ca="1" si="58"/>
        <v>0.71176533831242794</v>
      </c>
      <c r="EB65" s="171">
        <f t="shared" ca="1" si="59"/>
        <v>0.67572664476865196</v>
      </c>
      <c r="EC65" s="171">
        <f t="shared" ca="1" si="60"/>
        <v>0.64151269227706265</v>
      </c>
      <c r="ED65" s="171">
        <f t="shared" ca="1" si="61"/>
        <v>0.60903108903373693</v>
      </c>
      <c r="EE65" s="171">
        <f t="shared" ca="1" si="62"/>
        <v>0.57819412129327541</v>
      </c>
      <c r="EF65" s="171">
        <f t="shared" ca="1" si="63"/>
        <v>0.54891851650545886</v>
      </c>
      <c r="EG65" s="171">
        <f t="shared" ca="1" si="64"/>
        <v>0.52112521844496662</v>
      </c>
      <c r="EH65" s="171">
        <f t="shared" ca="1" si="65"/>
        <v>0.49473917372691412</v>
      </c>
      <c r="EI65" s="171">
        <f t="shared" ca="1" si="66"/>
        <v>0.46968912913171235</v>
      </c>
      <c r="EJ65" s="171">
        <f t="shared" ca="1" si="67"/>
        <v>0.44590743919194359</v>
      </c>
      <c r="EK65" s="171">
        <f t="shared" ca="1" si="68"/>
        <v>0.42332988352165812</v>
      </c>
      <c r="EL65" s="171">
        <f t="shared" ca="1" si="69"/>
        <v>0</v>
      </c>
      <c r="EM65" s="171">
        <f t="shared" ca="1" si="70"/>
        <v>0</v>
      </c>
      <c r="EN65" s="171">
        <f t="shared" ca="1" si="71"/>
        <v>0</v>
      </c>
      <c r="EO65" s="171">
        <f t="shared" ca="1" si="72"/>
        <v>0</v>
      </c>
      <c r="EP65" s="171">
        <f t="shared" ca="1" si="73"/>
        <v>0</v>
      </c>
      <c r="EQ65" s="171">
        <f t="shared" ca="1" si="74"/>
        <v>0</v>
      </c>
      <c r="ER65" s="171">
        <f t="shared" ca="1" si="75"/>
        <v>0</v>
      </c>
      <c r="ES65" s="171">
        <f t="shared" ca="1" si="76"/>
        <v>0</v>
      </c>
    </row>
    <row r="66" spans="1:149">
      <c r="A66" s="139" t="s">
        <v>426</v>
      </c>
      <c r="B66" s="160" t="s">
        <v>430</v>
      </c>
      <c r="C66" s="160" t="s">
        <v>105</v>
      </c>
      <c r="D66" s="160" t="s">
        <v>428</v>
      </c>
      <c r="E66" s="160">
        <v>2012</v>
      </c>
      <c r="F66" s="160" t="s">
        <v>395</v>
      </c>
      <c r="G66" s="160" t="s">
        <v>402</v>
      </c>
      <c r="H66" s="160" t="s">
        <v>396</v>
      </c>
      <c r="I66" s="160" t="s">
        <v>178</v>
      </c>
      <c r="J66" s="160" t="s">
        <v>407</v>
      </c>
      <c r="K66" s="187">
        <v>441</v>
      </c>
      <c r="L66" s="163" t="s">
        <v>110</v>
      </c>
      <c r="M66" s="164">
        <f t="shared" si="0"/>
        <v>441</v>
      </c>
      <c r="N66" s="164">
        <f t="shared" si="1"/>
        <v>441</v>
      </c>
      <c r="O66" s="165">
        <f t="shared" si="2"/>
        <v>1</v>
      </c>
      <c r="P66" s="180">
        <v>2.8010093808630395E-2</v>
      </c>
      <c r="Q66" s="183">
        <v>30.795739434207817</v>
      </c>
      <c r="R66" s="168">
        <f t="shared" si="3"/>
        <v>18.795739434207817</v>
      </c>
      <c r="S66" s="183">
        <v>6.5156108439612517</v>
      </c>
      <c r="T66" s="170" t="s">
        <v>403</v>
      </c>
      <c r="U66" s="171">
        <f t="shared" si="4"/>
        <v>21.961355265924585</v>
      </c>
      <c r="V66" s="171">
        <f t="shared" ca="1" si="5"/>
        <v>16.186272276619157</v>
      </c>
      <c r="W66" s="171">
        <f t="shared" ca="1" si="6"/>
        <v>498.46822344190531</v>
      </c>
      <c r="X66" s="172">
        <f t="shared" si="7"/>
        <v>0.20710607883565602</v>
      </c>
      <c r="Y66" s="172">
        <f t="shared" si="8"/>
        <v>0.79289392116434398</v>
      </c>
      <c r="Z66" s="173">
        <f t="shared" si="9"/>
        <v>676.31617439148124</v>
      </c>
      <c r="AA66" s="171">
        <f t="shared" si="77"/>
        <v>0</v>
      </c>
      <c r="AB66" s="171">
        <f t="shared" si="77"/>
        <v>0</v>
      </c>
      <c r="AC66" s="171">
        <f t="shared" si="77"/>
        <v>12.352451369606005</v>
      </c>
      <c r="AD66" s="171">
        <f t="shared" si="77"/>
        <v>12.352451369606005</v>
      </c>
      <c r="AE66" s="171">
        <f t="shared" si="77"/>
        <v>12.352451369606005</v>
      </c>
      <c r="AF66" s="171">
        <f t="shared" si="77"/>
        <v>12.352451369606005</v>
      </c>
      <c r="AG66" s="171">
        <f t="shared" si="77"/>
        <v>12.352451369606005</v>
      </c>
      <c r="AH66" s="171">
        <f t="shared" si="77"/>
        <v>12.352451369606005</v>
      </c>
      <c r="AI66" s="171">
        <f t="shared" si="77"/>
        <v>12.352451369606005</v>
      </c>
      <c r="AJ66" s="171">
        <f t="shared" si="77"/>
        <v>24.577042283509961</v>
      </c>
      <c r="AK66" s="171">
        <f t="shared" si="78"/>
        <v>24.577042283509961</v>
      </c>
      <c r="AL66" s="171">
        <f t="shared" si="78"/>
        <v>24.577042283509961</v>
      </c>
      <c r="AM66" s="171">
        <f t="shared" si="78"/>
        <v>24.577042283509961</v>
      </c>
      <c r="AN66" s="171">
        <f t="shared" si="78"/>
        <v>24.577042283509961</v>
      </c>
      <c r="AO66" s="171">
        <f t="shared" si="78"/>
        <v>24.577042283509961</v>
      </c>
      <c r="AP66" s="171">
        <f t="shared" si="78"/>
        <v>24.577042283509961</v>
      </c>
      <c r="AQ66" s="171">
        <f t="shared" si="78"/>
        <v>24.577042283509961</v>
      </c>
      <c r="AR66" s="171">
        <f t="shared" si="78"/>
        <v>24.577042283509961</v>
      </c>
      <c r="AS66" s="171">
        <f t="shared" si="78"/>
        <v>24.577042283509961</v>
      </c>
      <c r="AT66" s="171">
        <f t="shared" si="78"/>
        <v>24.577042283509961</v>
      </c>
      <c r="AU66" s="171">
        <f t="shared" si="79"/>
        <v>24.577042283509961</v>
      </c>
      <c r="AV66" s="171">
        <f t="shared" si="79"/>
        <v>24.577042283509961</v>
      </c>
      <c r="AW66" s="171">
        <f t="shared" si="79"/>
        <v>24.577042283509961</v>
      </c>
      <c r="AX66" s="171">
        <f t="shared" si="79"/>
        <v>24.577042283509961</v>
      </c>
      <c r="AY66" s="171">
        <f t="shared" si="79"/>
        <v>24.577042283509961</v>
      </c>
      <c r="AZ66" s="171">
        <f t="shared" si="79"/>
        <v>24.577042283509961</v>
      </c>
      <c r="BA66" s="171">
        <f t="shared" si="79"/>
        <v>24.577042283509961</v>
      </c>
      <c r="BB66" s="171">
        <f t="shared" si="79"/>
        <v>24.577042283509961</v>
      </c>
      <c r="BC66" s="171">
        <f t="shared" si="79"/>
        <v>24.577042283509961</v>
      </c>
      <c r="BD66" s="171">
        <f t="shared" si="79"/>
        <v>24.577042283509961</v>
      </c>
      <c r="BE66" s="171">
        <f t="shared" si="80"/>
        <v>24.577042283509961</v>
      </c>
      <c r="BF66" s="171">
        <f t="shared" si="80"/>
        <v>24.577042283509961</v>
      </c>
      <c r="BG66" s="171">
        <f t="shared" si="80"/>
        <v>24.577042283509961</v>
      </c>
      <c r="BH66" s="171">
        <f t="shared" si="80"/>
        <v>0</v>
      </c>
      <c r="BI66" s="171">
        <f t="shared" si="80"/>
        <v>0</v>
      </c>
      <c r="BJ66" s="171">
        <f t="shared" si="80"/>
        <v>0</v>
      </c>
      <c r="BK66" s="171">
        <f t="shared" si="80"/>
        <v>0</v>
      </c>
      <c r="BL66" s="171">
        <f t="shared" si="80"/>
        <v>0</v>
      </c>
      <c r="BM66" s="171">
        <f t="shared" si="80"/>
        <v>0</v>
      </c>
      <c r="BN66" s="171">
        <f t="shared" si="80"/>
        <v>0</v>
      </c>
      <c r="BO66" s="171">
        <f t="shared" si="81"/>
        <v>0</v>
      </c>
      <c r="BP66" s="171">
        <f t="shared" si="81"/>
        <v>0</v>
      </c>
      <c r="BQ66" s="171">
        <f t="shared" si="81"/>
        <v>0</v>
      </c>
      <c r="BR66" s="171">
        <f t="shared" si="81"/>
        <v>0</v>
      </c>
      <c r="BS66" s="171">
        <f t="shared" si="81"/>
        <v>0</v>
      </c>
      <c r="BT66" s="171">
        <f t="shared" si="81"/>
        <v>0</v>
      </c>
      <c r="BU66" s="171">
        <f t="shared" si="81"/>
        <v>0</v>
      </c>
      <c r="BV66" s="171">
        <f t="shared" si="81"/>
        <v>0</v>
      </c>
      <c r="BW66" s="171">
        <f t="shared" si="81"/>
        <v>0</v>
      </c>
      <c r="BX66" s="171">
        <f t="shared" si="81"/>
        <v>0</v>
      </c>
      <c r="BY66" s="171">
        <f t="shared" si="82"/>
        <v>0</v>
      </c>
      <c r="BZ66" s="171">
        <f t="shared" si="82"/>
        <v>0</v>
      </c>
      <c r="CA66" s="171">
        <f t="shared" si="82"/>
        <v>0</v>
      </c>
      <c r="CB66" s="171">
        <f t="shared" si="82"/>
        <v>0</v>
      </c>
      <c r="CC66" s="171">
        <f t="shared" si="82"/>
        <v>0</v>
      </c>
      <c r="CD66" s="171">
        <f t="shared" si="82"/>
        <v>0</v>
      </c>
      <c r="CE66" s="171">
        <f t="shared" si="82"/>
        <v>0</v>
      </c>
      <c r="CF66" s="171">
        <f t="shared" si="82"/>
        <v>0</v>
      </c>
      <c r="CG66" s="171">
        <f t="shared" si="82"/>
        <v>0</v>
      </c>
      <c r="CH66" s="171">
        <f t="shared" si="82"/>
        <v>0</v>
      </c>
      <c r="CI66" s="171">
        <f t="shared" si="82"/>
        <v>0</v>
      </c>
      <c r="CJ66" s="243"/>
      <c r="CK66" s="171">
        <f t="shared" si="16"/>
        <v>0</v>
      </c>
      <c r="CL66" s="171">
        <f t="shared" si="17"/>
        <v>0</v>
      </c>
      <c r="CM66" s="171">
        <f t="shared" si="18"/>
        <v>12.352451369606005</v>
      </c>
      <c r="CN66" s="171">
        <f t="shared" si="19"/>
        <v>12.352451369606005</v>
      </c>
      <c r="CO66" s="171">
        <f t="shared" si="20"/>
        <v>12.352451369606005</v>
      </c>
      <c r="CP66" s="171">
        <f t="shared" si="21"/>
        <v>12.352451369606005</v>
      </c>
      <c r="CQ66" s="171">
        <f t="shared" si="22"/>
        <v>12.352451369606005</v>
      </c>
      <c r="CR66" s="171">
        <f t="shared" si="23"/>
        <v>12.352451369606005</v>
      </c>
      <c r="CS66" s="171">
        <f t="shared" si="24"/>
        <v>12.352451369606005</v>
      </c>
      <c r="CT66" s="171">
        <f t="shared" si="25"/>
        <v>24.577042283509961</v>
      </c>
      <c r="CU66" s="171">
        <f t="shared" si="26"/>
        <v>24.577042283509961</v>
      </c>
      <c r="CV66" s="171">
        <f t="shared" si="27"/>
        <v>24.577042283509961</v>
      </c>
      <c r="CW66" s="171">
        <f t="shared" si="28"/>
        <v>24.577042283509961</v>
      </c>
      <c r="CX66" s="171">
        <f t="shared" si="29"/>
        <v>24.577042283509961</v>
      </c>
      <c r="CY66" s="171">
        <f t="shared" ca="1" si="30"/>
        <v>23.332637073826859</v>
      </c>
      <c r="CZ66" s="171">
        <f t="shared" ca="1" si="31"/>
        <v>22.151239621872421</v>
      </c>
      <c r="DA66" s="171">
        <f t="shared" ca="1" si="32"/>
        <v>21.029659666545914</v>
      </c>
      <c r="DB66" s="171">
        <f t="shared" ca="1" si="33"/>
        <v>19.96486847869534</v>
      </c>
      <c r="DC66" s="171">
        <f t="shared" ca="1" si="34"/>
        <v>18.953990682297693</v>
      </c>
      <c r="DD66" s="171">
        <f t="shared" ca="1" si="35"/>
        <v>17.994296489755996</v>
      </c>
      <c r="DE66" s="171">
        <f t="shared" ca="1" si="36"/>
        <v>17.083194330345268</v>
      </c>
      <c r="DF66" s="171">
        <f t="shared" ca="1" si="37"/>
        <v>16.21822385190109</v>
      </c>
      <c r="DG66" s="171">
        <f t="shared" ca="1" si="38"/>
        <v>15.397049276852503</v>
      </c>
      <c r="DH66" s="171">
        <f t="shared" ca="1" si="39"/>
        <v>14.617453094657778</v>
      </c>
      <c r="DI66" s="171">
        <f t="shared" ca="1" si="40"/>
        <v>13.877330073609995</v>
      </c>
      <c r="DJ66" s="171">
        <f t="shared" ca="1" si="41"/>
        <v>13.174681575841859</v>
      </c>
      <c r="DK66" s="171">
        <f t="shared" ca="1" si="42"/>
        <v>12.507610160177915</v>
      </c>
      <c r="DL66" s="171">
        <f t="shared" ca="1" si="43"/>
        <v>11.874314458259635</v>
      </c>
      <c r="DM66" s="171">
        <f t="shared" ca="1" si="44"/>
        <v>11.273084310106782</v>
      </c>
      <c r="DN66" s="171">
        <f t="shared" ca="1" si="45"/>
        <v>10.702296145979073</v>
      </c>
      <c r="DO66" s="171">
        <f t="shared" ca="1" si="46"/>
        <v>10.160408602067271</v>
      </c>
      <c r="DP66" s="171">
        <f t="shared" ca="1" si="47"/>
        <v>9.6459583581742212</v>
      </c>
      <c r="DQ66" s="171">
        <f t="shared" ca="1" si="48"/>
        <v>9.1575561861458965</v>
      </c>
      <c r="DR66" s="171">
        <f t="shared" ca="1" si="49"/>
        <v>0</v>
      </c>
      <c r="DS66" s="171">
        <f t="shared" ca="1" si="50"/>
        <v>0</v>
      </c>
      <c r="DT66" s="171">
        <f t="shared" ca="1" si="51"/>
        <v>0</v>
      </c>
      <c r="DU66" s="171">
        <f t="shared" ca="1" si="52"/>
        <v>0</v>
      </c>
      <c r="DV66" s="171">
        <f t="shared" ca="1" si="53"/>
        <v>0</v>
      </c>
      <c r="DW66" s="171">
        <f t="shared" ca="1" si="54"/>
        <v>0</v>
      </c>
      <c r="DX66" s="171">
        <f t="shared" ca="1" si="55"/>
        <v>0</v>
      </c>
      <c r="DY66" s="171">
        <f t="shared" ca="1" si="56"/>
        <v>0</v>
      </c>
      <c r="DZ66" s="171">
        <f t="shared" ca="1" si="57"/>
        <v>0</v>
      </c>
      <c r="EA66" s="171">
        <f t="shared" ca="1" si="58"/>
        <v>0</v>
      </c>
      <c r="EB66" s="171">
        <f t="shared" ca="1" si="59"/>
        <v>0</v>
      </c>
      <c r="EC66" s="171">
        <f t="shared" ca="1" si="60"/>
        <v>0</v>
      </c>
      <c r="ED66" s="171">
        <f t="shared" ca="1" si="61"/>
        <v>0</v>
      </c>
      <c r="EE66" s="171">
        <f t="shared" ca="1" si="62"/>
        <v>0</v>
      </c>
      <c r="EF66" s="171">
        <f t="shared" ca="1" si="63"/>
        <v>0</v>
      </c>
      <c r="EG66" s="171">
        <f t="shared" ca="1" si="64"/>
        <v>0</v>
      </c>
      <c r="EH66" s="171">
        <f t="shared" ca="1" si="65"/>
        <v>0</v>
      </c>
      <c r="EI66" s="171">
        <f t="shared" ca="1" si="66"/>
        <v>0</v>
      </c>
      <c r="EJ66" s="171">
        <f t="shared" ca="1" si="67"/>
        <v>0</v>
      </c>
      <c r="EK66" s="171">
        <f t="shared" ca="1" si="68"/>
        <v>0</v>
      </c>
      <c r="EL66" s="171">
        <f t="shared" ca="1" si="69"/>
        <v>0</v>
      </c>
      <c r="EM66" s="171">
        <f t="shared" ca="1" si="70"/>
        <v>0</v>
      </c>
      <c r="EN66" s="171">
        <f t="shared" ca="1" si="71"/>
        <v>0</v>
      </c>
      <c r="EO66" s="171">
        <f t="shared" ca="1" si="72"/>
        <v>0</v>
      </c>
      <c r="EP66" s="171">
        <f t="shared" ca="1" si="73"/>
        <v>0</v>
      </c>
      <c r="EQ66" s="171">
        <f t="shared" ca="1" si="74"/>
        <v>0</v>
      </c>
      <c r="ER66" s="171">
        <f t="shared" ca="1" si="75"/>
        <v>0</v>
      </c>
      <c r="ES66" s="171">
        <f t="shared" ca="1" si="76"/>
        <v>0</v>
      </c>
    </row>
    <row r="67" spans="1:149">
      <c r="A67" s="139" t="s">
        <v>431</v>
      </c>
      <c r="B67" s="160" t="s">
        <v>432</v>
      </c>
      <c r="C67" s="160" t="s">
        <v>105</v>
      </c>
      <c r="D67" s="160" t="s">
        <v>428</v>
      </c>
      <c r="E67" s="160">
        <v>2018</v>
      </c>
      <c r="F67" s="160" t="s">
        <v>395</v>
      </c>
      <c r="G67" s="160" t="s">
        <v>402</v>
      </c>
      <c r="H67" s="160" t="s">
        <v>396</v>
      </c>
      <c r="I67" s="160" t="s">
        <v>178</v>
      </c>
      <c r="J67" s="160" t="s">
        <v>407</v>
      </c>
      <c r="K67" s="187">
        <v>30.58</v>
      </c>
      <c r="L67" s="163" t="s">
        <v>110</v>
      </c>
      <c r="M67" s="164">
        <f t="shared" si="0"/>
        <v>30.58</v>
      </c>
      <c r="N67" s="164">
        <f t="shared" si="1"/>
        <v>30.58</v>
      </c>
      <c r="O67" s="165">
        <f t="shared" si="2"/>
        <v>1</v>
      </c>
      <c r="P67" s="190">
        <v>6.3400000000000001E-3</v>
      </c>
      <c r="Q67" s="191">
        <v>24</v>
      </c>
      <c r="R67" s="168">
        <f t="shared" si="3"/>
        <v>18</v>
      </c>
      <c r="S67" s="160">
        <v>8</v>
      </c>
      <c r="T67" s="170" t="s">
        <v>403</v>
      </c>
      <c r="U67" s="171">
        <f t="shared" si="4"/>
        <v>1.4127214148496428</v>
      </c>
      <c r="V67" s="171">
        <f t="shared" ca="1" si="5"/>
        <v>0.84951696759658113</v>
      </c>
      <c r="W67" s="171">
        <f t="shared" ca="1" si="6"/>
        <v>20.388407222317948</v>
      </c>
      <c r="X67" s="172">
        <f t="shared" si="7"/>
        <v>9.3517329000054716E-2</v>
      </c>
      <c r="Y67" s="172">
        <f t="shared" si="8"/>
        <v>0.90648267099994528</v>
      </c>
      <c r="Z67" s="173">
        <f t="shared" si="9"/>
        <v>33.905313956391424</v>
      </c>
      <c r="AA67" s="171">
        <f t="shared" si="77"/>
        <v>0</v>
      </c>
      <c r="AB67" s="171">
        <f t="shared" si="77"/>
        <v>0</v>
      </c>
      <c r="AC67" s="171">
        <f t="shared" si="77"/>
        <v>0</v>
      </c>
      <c r="AD67" s="171">
        <f t="shared" si="77"/>
        <v>0</v>
      </c>
      <c r="AE67" s="171">
        <f t="shared" si="77"/>
        <v>0</v>
      </c>
      <c r="AF67" s="171">
        <f t="shared" si="77"/>
        <v>0</v>
      </c>
      <c r="AG67" s="171">
        <f t="shared" si="77"/>
        <v>0</v>
      </c>
      <c r="AH67" s="171">
        <f t="shared" si="77"/>
        <v>0</v>
      </c>
      <c r="AI67" s="171">
        <f t="shared" si="77"/>
        <v>0.1938772</v>
      </c>
      <c r="AJ67" s="171">
        <f t="shared" si="77"/>
        <v>0.1938772</v>
      </c>
      <c r="AK67" s="171">
        <f t="shared" si="78"/>
        <v>0.1938772</v>
      </c>
      <c r="AL67" s="171">
        <f t="shared" si="78"/>
        <v>0.1938772</v>
      </c>
      <c r="AM67" s="171">
        <f t="shared" si="78"/>
        <v>0.1938772</v>
      </c>
      <c r="AN67" s="171">
        <f t="shared" si="78"/>
        <v>0.1938772</v>
      </c>
      <c r="AO67" s="171">
        <f t="shared" si="78"/>
        <v>0.1938772</v>
      </c>
      <c r="AP67" s="171">
        <f t="shared" si="78"/>
        <v>0.1938772</v>
      </c>
      <c r="AQ67" s="171">
        <f t="shared" si="78"/>
        <v>1.9031939033171426</v>
      </c>
      <c r="AR67" s="171">
        <f t="shared" si="78"/>
        <v>1.9031939033171426</v>
      </c>
      <c r="AS67" s="171">
        <f t="shared" si="78"/>
        <v>1.9031939033171426</v>
      </c>
      <c r="AT67" s="171">
        <f t="shared" si="78"/>
        <v>1.9031939033171426</v>
      </c>
      <c r="AU67" s="171">
        <f t="shared" si="79"/>
        <v>1.9031939033171426</v>
      </c>
      <c r="AV67" s="171">
        <f t="shared" si="79"/>
        <v>1.9031939033171426</v>
      </c>
      <c r="AW67" s="171">
        <f t="shared" si="79"/>
        <v>1.9031939033171426</v>
      </c>
      <c r="AX67" s="171">
        <f t="shared" si="79"/>
        <v>1.9031939033171426</v>
      </c>
      <c r="AY67" s="171">
        <f t="shared" si="79"/>
        <v>1.9031939033171426</v>
      </c>
      <c r="AZ67" s="171">
        <f t="shared" si="79"/>
        <v>1.9031939033171426</v>
      </c>
      <c r="BA67" s="171">
        <f t="shared" si="79"/>
        <v>1.9031939033171426</v>
      </c>
      <c r="BB67" s="171">
        <f t="shared" si="79"/>
        <v>1.9031939033171426</v>
      </c>
      <c r="BC67" s="171">
        <f t="shared" si="79"/>
        <v>1.9031939033171426</v>
      </c>
      <c r="BD67" s="171">
        <f t="shared" si="79"/>
        <v>1.9031939033171426</v>
      </c>
      <c r="BE67" s="171">
        <f t="shared" si="80"/>
        <v>1.9031939033171426</v>
      </c>
      <c r="BF67" s="171">
        <f t="shared" si="80"/>
        <v>1.9031939033171426</v>
      </c>
      <c r="BG67" s="171">
        <f t="shared" si="80"/>
        <v>1.9031939033171426</v>
      </c>
      <c r="BH67" s="171">
        <f t="shared" si="80"/>
        <v>0</v>
      </c>
      <c r="BI67" s="171">
        <f t="shared" si="80"/>
        <v>0</v>
      </c>
      <c r="BJ67" s="171">
        <f t="shared" si="80"/>
        <v>0</v>
      </c>
      <c r="BK67" s="171">
        <f t="shared" si="80"/>
        <v>0</v>
      </c>
      <c r="BL67" s="171">
        <f t="shared" si="80"/>
        <v>0</v>
      </c>
      <c r="BM67" s="171">
        <f t="shared" si="80"/>
        <v>0</v>
      </c>
      <c r="BN67" s="171">
        <f t="shared" si="80"/>
        <v>0</v>
      </c>
      <c r="BO67" s="171">
        <f t="shared" si="81"/>
        <v>0</v>
      </c>
      <c r="BP67" s="171">
        <f t="shared" si="81"/>
        <v>0</v>
      </c>
      <c r="BQ67" s="171">
        <f t="shared" si="81"/>
        <v>0</v>
      </c>
      <c r="BR67" s="171">
        <f t="shared" si="81"/>
        <v>0</v>
      </c>
      <c r="BS67" s="171">
        <f t="shared" si="81"/>
        <v>0</v>
      </c>
      <c r="BT67" s="171">
        <f t="shared" si="81"/>
        <v>0</v>
      </c>
      <c r="BU67" s="171">
        <f t="shared" si="81"/>
        <v>0</v>
      </c>
      <c r="BV67" s="171">
        <f t="shared" si="81"/>
        <v>0</v>
      </c>
      <c r="BW67" s="171">
        <f t="shared" si="81"/>
        <v>0</v>
      </c>
      <c r="BX67" s="171">
        <f t="shared" si="81"/>
        <v>0</v>
      </c>
      <c r="BY67" s="171">
        <f t="shared" si="82"/>
        <v>0</v>
      </c>
      <c r="BZ67" s="171">
        <f t="shared" si="82"/>
        <v>0</v>
      </c>
      <c r="CA67" s="171">
        <f t="shared" si="82"/>
        <v>0</v>
      </c>
      <c r="CB67" s="171">
        <f t="shared" si="82"/>
        <v>0</v>
      </c>
      <c r="CC67" s="171">
        <f t="shared" si="82"/>
        <v>0</v>
      </c>
      <c r="CD67" s="171">
        <f t="shared" si="82"/>
        <v>0</v>
      </c>
      <c r="CE67" s="171">
        <f t="shared" si="82"/>
        <v>0</v>
      </c>
      <c r="CF67" s="171">
        <f t="shared" si="82"/>
        <v>0</v>
      </c>
      <c r="CG67" s="171">
        <f t="shared" si="82"/>
        <v>0</v>
      </c>
      <c r="CH67" s="171">
        <f t="shared" si="82"/>
        <v>0</v>
      </c>
      <c r="CI67" s="171">
        <f t="shared" si="82"/>
        <v>0</v>
      </c>
      <c r="CJ67" s="243"/>
      <c r="CK67" s="171">
        <f t="shared" si="16"/>
        <v>0</v>
      </c>
      <c r="CL67" s="171">
        <f t="shared" si="17"/>
        <v>0</v>
      </c>
      <c r="CM67" s="171">
        <f t="shared" si="18"/>
        <v>0</v>
      </c>
      <c r="CN67" s="171">
        <f t="shared" si="19"/>
        <v>0</v>
      </c>
      <c r="CO67" s="171">
        <f t="shared" si="20"/>
        <v>0</v>
      </c>
      <c r="CP67" s="171">
        <f t="shared" si="21"/>
        <v>0</v>
      </c>
      <c r="CQ67" s="171">
        <f t="shared" si="22"/>
        <v>0</v>
      </c>
      <c r="CR67" s="171">
        <f t="shared" si="23"/>
        <v>0</v>
      </c>
      <c r="CS67" s="171">
        <f t="shared" si="24"/>
        <v>0.1938772</v>
      </c>
      <c r="CT67" s="171">
        <f t="shared" si="25"/>
        <v>0.1938772</v>
      </c>
      <c r="CU67" s="171">
        <f t="shared" si="26"/>
        <v>0.1938772</v>
      </c>
      <c r="CV67" s="171">
        <f t="shared" si="27"/>
        <v>0.1938772</v>
      </c>
      <c r="CW67" s="171">
        <f t="shared" si="28"/>
        <v>0.1938772</v>
      </c>
      <c r="CX67" s="171">
        <f t="shared" si="29"/>
        <v>0.1938772</v>
      </c>
      <c r="CY67" s="171">
        <f t="shared" ca="1" si="30"/>
        <v>0.18406064864546018</v>
      </c>
      <c r="CZ67" s="171">
        <f t="shared" ca="1" si="31"/>
        <v>0.17474113706917335</v>
      </c>
      <c r="DA67" s="171">
        <f t="shared" ca="1" si="32"/>
        <v>1.6284921352419406</v>
      </c>
      <c r="DB67" s="171">
        <f t="shared" ca="1" si="33"/>
        <v>1.5460369694149803</v>
      </c>
      <c r="DC67" s="171">
        <f t="shared" ca="1" si="34"/>
        <v>1.4677567420015492</v>
      </c>
      <c r="DD67" s="171">
        <f t="shared" ca="1" si="35"/>
        <v>1.3934400640537024</v>
      </c>
      <c r="DE67" s="171">
        <f t="shared" ca="1" si="36"/>
        <v>1.3228862498442109</v>
      </c>
      <c r="DF67" s="171">
        <f t="shared" ca="1" si="37"/>
        <v>1.255904774932203</v>
      </c>
      <c r="DG67" s="171">
        <f t="shared" ca="1" si="38"/>
        <v>1.1923147616684788</v>
      </c>
      <c r="DH67" s="171">
        <f t="shared" ca="1" si="39"/>
        <v>1.1319444907511427</v>
      </c>
      <c r="DI67" s="171">
        <f t="shared" ca="1" si="40"/>
        <v>1.0746309375125616</v>
      </c>
      <c r="DJ67" s="171">
        <f t="shared" ca="1" si="41"/>
        <v>1.0202193316854229</v>
      </c>
      <c r="DK67" s="171">
        <f t="shared" ca="1" si="42"/>
        <v>0.96856273945908433</v>
      </c>
      <c r="DL67" s="171">
        <f t="shared" ca="1" si="43"/>
        <v>0.91952166669759461</v>
      </c>
      <c r="DM67" s="171">
        <f t="shared" ca="1" si="44"/>
        <v>0.87296368224790699</v>
      </c>
      <c r="DN67" s="171">
        <f t="shared" ca="1" si="45"/>
        <v>0.82876306032106473</v>
      </c>
      <c r="DO67" s="171">
        <f t="shared" ca="1" si="46"/>
        <v>0.78680044098064039</v>
      </c>
      <c r="DP67" s="171">
        <f t="shared" ca="1" si="47"/>
        <v>0.74696250782160434</v>
      </c>
      <c r="DQ67" s="171">
        <f t="shared" ca="1" si="48"/>
        <v>0.70914168196922656</v>
      </c>
      <c r="DR67" s="171">
        <f t="shared" ca="1" si="49"/>
        <v>0</v>
      </c>
      <c r="DS67" s="171">
        <f t="shared" ca="1" si="50"/>
        <v>0</v>
      </c>
      <c r="DT67" s="171">
        <f t="shared" ca="1" si="51"/>
        <v>0</v>
      </c>
      <c r="DU67" s="171">
        <f t="shared" ca="1" si="52"/>
        <v>0</v>
      </c>
      <c r="DV67" s="171">
        <f t="shared" ca="1" si="53"/>
        <v>0</v>
      </c>
      <c r="DW67" s="171">
        <f t="shared" ca="1" si="54"/>
        <v>0</v>
      </c>
      <c r="DX67" s="171">
        <f t="shared" ca="1" si="55"/>
        <v>0</v>
      </c>
      <c r="DY67" s="171">
        <f t="shared" ca="1" si="56"/>
        <v>0</v>
      </c>
      <c r="DZ67" s="171">
        <f t="shared" ca="1" si="57"/>
        <v>0</v>
      </c>
      <c r="EA67" s="171">
        <f t="shared" ca="1" si="58"/>
        <v>0</v>
      </c>
      <c r="EB67" s="171">
        <f t="shared" ca="1" si="59"/>
        <v>0</v>
      </c>
      <c r="EC67" s="171">
        <f t="shared" ca="1" si="60"/>
        <v>0</v>
      </c>
      <c r="ED67" s="171">
        <f t="shared" ca="1" si="61"/>
        <v>0</v>
      </c>
      <c r="EE67" s="171">
        <f t="shared" ca="1" si="62"/>
        <v>0</v>
      </c>
      <c r="EF67" s="171">
        <f t="shared" ca="1" si="63"/>
        <v>0</v>
      </c>
      <c r="EG67" s="171">
        <f t="shared" ca="1" si="64"/>
        <v>0</v>
      </c>
      <c r="EH67" s="171">
        <f t="shared" ca="1" si="65"/>
        <v>0</v>
      </c>
      <c r="EI67" s="171">
        <f t="shared" ca="1" si="66"/>
        <v>0</v>
      </c>
      <c r="EJ67" s="171">
        <f t="shared" ca="1" si="67"/>
        <v>0</v>
      </c>
      <c r="EK67" s="171">
        <f t="shared" ca="1" si="68"/>
        <v>0</v>
      </c>
      <c r="EL67" s="171">
        <f t="shared" ca="1" si="69"/>
        <v>0</v>
      </c>
      <c r="EM67" s="171">
        <f t="shared" ca="1" si="70"/>
        <v>0</v>
      </c>
      <c r="EN67" s="171">
        <f t="shared" ca="1" si="71"/>
        <v>0</v>
      </c>
      <c r="EO67" s="171">
        <f t="shared" ca="1" si="72"/>
        <v>0</v>
      </c>
      <c r="EP67" s="171">
        <f t="shared" ca="1" si="73"/>
        <v>0</v>
      </c>
      <c r="EQ67" s="171">
        <f t="shared" ca="1" si="74"/>
        <v>0</v>
      </c>
      <c r="ER67" s="171">
        <f t="shared" ca="1" si="75"/>
        <v>0</v>
      </c>
      <c r="ES67" s="171">
        <f t="shared" ca="1" si="76"/>
        <v>0</v>
      </c>
    </row>
    <row r="68" spans="1:149">
      <c r="A68" s="139" t="s">
        <v>433</v>
      </c>
      <c r="B68" s="161" t="s">
        <v>434</v>
      </c>
      <c r="C68" s="161" t="s">
        <v>435</v>
      </c>
      <c r="D68" s="161" t="s">
        <v>417</v>
      </c>
      <c r="E68" s="161">
        <v>2016</v>
      </c>
      <c r="F68" s="161" t="s">
        <v>400</v>
      </c>
      <c r="G68" s="161" t="s">
        <v>289</v>
      </c>
      <c r="H68" s="161" t="s">
        <v>396</v>
      </c>
      <c r="I68" s="161" t="s">
        <v>183</v>
      </c>
      <c r="J68" s="161" t="s">
        <v>401</v>
      </c>
      <c r="K68" s="184">
        <v>4.3</v>
      </c>
      <c r="L68" s="163" t="s">
        <v>110</v>
      </c>
      <c r="M68" s="164">
        <f t="shared" si="0"/>
        <v>4.3</v>
      </c>
      <c r="N68" s="164">
        <f t="shared" si="1"/>
        <v>4.3</v>
      </c>
      <c r="O68" s="165">
        <f t="shared" si="2"/>
        <v>1</v>
      </c>
      <c r="P68" s="192">
        <v>0</v>
      </c>
      <c r="Q68" s="193">
        <v>20</v>
      </c>
      <c r="R68" s="168">
        <f t="shared" si="3"/>
        <v>12</v>
      </c>
      <c r="S68" s="169">
        <v>0</v>
      </c>
      <c r="T68" s="161" t="s">
        <v>398</v>
      </c>
      <c r="U68" s="171">
        <f t="shared" si="4"/>
        <v>0.21500000000000008</v>
      </c>
      <c r="V68" s="171">
        <f t="shared" ca="1" si="5"/>
        <v>0.17617582192135584</v>
      </c>
      <c r="W68" s="171">
        <f t="shared" ca="1" si="6"/>
        <v>3.5235164384271167</v>
      </c>
      <c r="X68" s="172">
        <f t="shared" si="7"/>
        <v>0.26763732485639435</v>
      </c>
      <c r="Y68" s="172">
        <f t="shared" si="8"/>
        <v>0.73236267514360565</v>
      </c>
      <c r="Z68" s="173">
        <f t="shared" si="9"/>
        <v>4.3000000000000016</v>
      </c>
      <c r="AA68" s="171">
        <f t="shared" si="77"/>
        <v>0</v>
      </c>
      <c r="AB68" s="171">
        <f t="shared" si="77"/>
        <v>0</v>
      </c>
      <c r="AC68" s="171">
        <f t="shared" si="77"/>
        <v>0</v>
      </c>
      <c r="AD68" s="171">
        <f t="shared" si="77"/>
        <v>0</v>
      </c>
      <c r="AE68" s="171">
        <f t="shared" si="77"/>
        <v>0</v>
      </c>
      <c r="AF68" s="171">
        <f t="shared" si="77"/>
        <v>0</v>
      </c>
      <c r="AG68" s="171">
        <f t="shared" si="77"/>
        <v>0.20476190476190476</v>
      </c>
      <c r="AH68" s="171">
        <f t="shared" si="77"/>
        <v>0.20476190476190476</v>
      </c>
      <c r="AI68" s="171">
        <f t="shared" si="77"/>
        <v>0.20476190476190476</v>
      </c>
      <c r="AJ68" s="171">
        <f t="shared" si="77"/>
        <v>0.20476190476190476</v>
      </c>
      <c r="AK68" s="171">
        <f t="shared" si="78"/>
        <v>0.20476190476190476</v>
      </c>
      <c r="AL68" s="171">
        <f t="shared" si="78"/>
        <v>0.20476190476190476</v>
      </c>
      <c r="AM68" s="171">
        <f t="shared" si="78"/>
        <v>0.20476190476190476</v>
      </c>
      <c r="AN68" s="171">
        <f t="shared" si="78"/>
        <v>0.20476190476190476</v>
      </c>
      <c r="AO68" s="171">
        <f t="shared" si="78"/>
        <v>0.20476190476190476</v>
      </c>
      <c r="AP68" s="171">
        <f t="shared" si="78"/>
        <v>0.20476190476190476</v>
      </c>
      <c r="AQ68" s="171">
        <f t="shared" si="78"/>
        <v>0.20476190476190476</v>
      </c>
      <c r="AR68" s="171">
        <f t="shared" si="78"/>
        <v>0.20476190476190476</v>
      </c>
      <c r="AS68" s="171">
        <f t="shared" si="78"/>
        <v>0.20476190476190476</v>
      </c>
      <c r="AT68" s="171">
        <f t="shared" si="78"/>
        <v>0.20476190476190476</v>
      </c>
      <c r="AU68" s="171">
        <f t="shared" si="79"/>
        <v>0.20476190476190476</v>
      </c>
      <c r="AV68" s="171">
        <f t="shared" si="79"/>
        <v>0.20476190476190476</v>
      </c>
      <c r="AW68" s="171">
        <f t="shared" si="79"/>
        <v>0.20476190476190476</v>
      </c>
      <c r="AX68" s="171">
        <f t="shared" si="79"/>
        <v>0.20476190476190476</v>
      </c>
      <c r="AY68" s="171">
        <f t="shared" si="79"/>
        <v>0.20476190476190476</v>
      </c>
      <c r="AZ68" s="171">
        <f t="shared" si="79"/>
        <v>0.20476190476190476</v>
      </c>
      <c r="BA68" s="171">
        <f t="shared" si="79"/>
        <v>0.20476190476190476</v>
      </c>
      <c r="BB68" s="171">
        <f t="shared" si="79"/>
        <v>0</v>
      </c>
      <c r="BC68" s="171">
        <f t="shared" si="79"/>
        <v>0</v>
      </c>
      <c r="BD68" s="171">
        <f t="shared" si="79"/>
        <v>0</v>
      </c>
      <c r="BE68" s="171">
        <f t="shared" si="80"/>
        <v>0</v>
      </c>
      <c r="BF68" s="171">
        <f t="shared" si="80"/>
        <v>0</v>
      </c>
      <c r="BG68" s="171">
        <f t="shared" si="80"/>
        <v>0</v>
      </c>
      <c r="BH68" s="171">
        <f t="shared" si="80"/>
        <v>0</v>
      </c>
      <c r="BI68" s="171">
        <f t="shared" si="80"/>
        <v>0</v>
      </c>
      <c r="BJ68" s="171">
        <f t="shared" si="80"/>
        <v>0</v>
      </c>
      <c r="BK68" s="171">
        <f t="shared" si="80"/>
        <v>0</v>
      </c>
      <c r="BL68" s="171">
        <f t="shared" si="80"/>
        <v>0</v>
      </c>
      <c r="BM68" s="171">
        <f t="shared" si="80"/>
        <v>0</v>
      </c>
      <c r="BN68" s="171">
        <f t="shared" si="80"/>
        <v>0</v>
      </c>
      <c r="BO68" s="171">
        <f t="shared" si="81"/>
        <v>0</v>
      </c>
      <c r="BP68" s="171">
        <f t="shared" si="81"/>
        <v>0</v>
      </c>
      <c r="BQ68" s="171">
        <f t="shared" si="81"/>
        <v>0</v>
      </c>
      <c r="BR68" s="171">
        <f t="shared" si="81"/>
        <v>0</v>
      </c>
      <c r="BS68" s="171">
        <f t="shared" si="81"/>
        <v>0</v>
      </c>
      <c r="BT68" s="171">
        <f t="shared" si="81"/>
        <v>0</v>
      </c>
      <c r="BU68" s="171">
        <f t="shared" si="81"/>
        <v>0</v>
      </c>
      <c r="BV68" s="171">
        <f t="shared" si="81"/>
        <v>0</v>
      </c>
      <c r="BW68" s="171">
        <f t="shared" si="81"/>
        <v>0</v>
      </c>
      <c r="BX68" s="171">
        <f t="shared" si="81"/>
        <v>0</v>
      </c>
      <c r="BY68" s="171">
        <f t="shared" si="82"/>
        <v>0</v>
      </c>
      <c r="BZ68" s="171">
        <f t="shared" si="82"/>
        <v>0</v>
      </c>
      <c r="CA68" s="171">
        <f t="shared" si="82"/>
        <v>0</v>
      </c>
      <c r="CB68" s="171">
        <f t="shared" si="82"/>
        <v>0</v>
      </c>
      <c r="CC68" s="171">
        <f t="shared" si="82"/>
        <v>0</v>
      </c>
      <c r="CD68" s="171">
        <f t="shared" si="82"/>
        <v>0</v>
      </c>
      <c r="CE68" s="171">
        <f t="shared" si="82"/>
        <v>0</v>
      </c>
      <c r="CF68" s="171">
        <f t="shared" si="82"/>
        <v>0</v>
      </c>
      <c r="CG68" s="171">
        <f t="shared" si="82"/>
        <v>0</v>
      </c>
      <c r="CH68" s="171">
        <f t="shared" si="82"/>
        <v>0</v>
      </c>
      <c r="CI68" s="171">
        <f t="shared" si="82"/>
        <v>0</v>
      </c>
      <c r="CJ68" s="243"/>
      <c r="CK68" s="171">
        <f t="shared" si="16"/>
        <v>0</v>
      </c>
      <c r="CL68" s="171">
        <f t="shared" si="17"/>
        <v>0</v>
      </c>
      <c r="CM68" s="171">
        <f t="shared" si="18"/>
        <v>0</v>
      </c>
      <c r="CN68" s="171">
        <f t="shared" si="19"/>
        <v>0</v>
      </c>
      <c r="CO68" s="171">
        <f t="shared" si="20"/>
        <v>0</v>
      </c>
      <c r="CP68" s="171">
        <f t="shared" si="21"/>
        <v>0</v>
      </c>
      <c r="CQ68" s="171">
        <f t="shared" si="22"/>
        <v>0.20476190476190476</v>
      </c>
      <c r="CR68" s="171">
        <f t="shared" si="23"/>
        <v>0.20476190476190476</v>
      </c>
      <c r="CS68" s="171">
        <f t="shared" si="24"/>
        <v>0.20476190476190476</v>
      </c>
      <c r="CT68" s="171">
        <f t="shared" si="25"/>
        <v>0.20476190476190476</v>
      </c>
      <c r="CU68" s="171">
        <f t="shared" si="26"/>
        <v>0.20476190476190476</v>
      </c>
      <c r="CV68" s="171">
        <f t="shared" si="27"/>
        <v>0.20476190476190476</v>
      </c>
      <c r="CW68" s="171">
        <f t="shared" si="28"/>
        <v>0.20476190476190476</v>
      </c>
      <c r="CX68" s="171">
        <f t="shared" si="29"/>
        <v>0.20476190476190476</v>
      </c>
      <c r="CY68" s="171">
        <f t="shared" ca="1" si="30"/>
        <v>0.19439422999896908</v>
      </c>
      <c r="CZ68" s="171">
        <f t="shared" ca="1" si="31"/>
        <v>0.18455149995226372</v>
      </c>
      <c r="DA68" s="171">
        <f t="shared" ca="1" si="32"/>
        <v>0.17520713518508763</v>
      </c>
      <c r="DB68" s="171">
        <f t="shared" ca="1" si="33"/>
        <v>0.1663359020528461</v>
      </c>
      <c r="DC68" s="171">
        <f t="shared" ca="1" si="34"/>
        <v>0.15791384456178748</v>
      </c>
      <c r="DD68" s="171">
        <f t="shared" ca="1" si="35"/>
        <v>0.14991821967792485</v>
      </c>
      <c r="DE68" s="171">
        <f t="shared" ca="1" si="36"/>
        <v>0.14232743591145036</v>
      </c>
      <c r="DF68" s="171">
        <f t="shared" ca="1" si="37"/>
        <v>0.135120995010794</v>
      </c>
      <c r="DG68" s="171">
        <f t="shared" ca="1" si="38"/>
        <v>0.12827943660887786</v>
      </c>
      <c r="DH68" s="171">
        <f t="shared" ca="1" si="39"/>
        <v>0.12178428567208649</v>
      </c>
      <c r="DI68" s="171">
        <f t="shared" ca="1" si="40"/>
        <v>0.11561800261004522</v>
      </c>
      <c r="DJ68" s="171">
        <f t="shared" ca="1" si="41"/>
        <v>0.10976393591148124</v>
      </c>
      <c r="DK68" s="171">
        <f t="shared" ca="1" si="42"/>
        <v>0.10420627717826518</v>
      </c>
      <c r="DL68" s="171">
        <f t="shared" ca="1" si="43"/>
        <v>0</v>
      </c>
      <c r="DM68" s="171">
        <f t="shared" ca="1" si="44"/>
        <v>0</v>
      </c>
      <c r="DN68" s="171">
        <f t="shared" ca="1" si="45"/>
        <v>0</v>
      </c>
      <c r="DO68" s="171">
        <f t="shared" ca="1" si="46"/>
        <v>0</v>
      </c>
      <c r="DP68" s="171">
        <f t="shared" ca="1" si="47"/>
        <v>0</v>
      </c>
      <c r="DQ68" s="171">
        <f t="shared" ca="1" si="48"/>
        <v>0</v>
      </c>
      <c r="DR68" s="171">
        <f t="shared" ca="1" si="49"/>
        <v>0</v>
      </c>
      <c r="DS68" s="171">
        <f t="shared" ca="1" si="50"/>
        <v>0</v>
      </c>
      <c r="DT68" s="171">
        <f t="shared" ca="1" si="51"/>
        <v>0</v>
      </c>
      <c r="DU68" s="171">
        <f t="shared" ca="1" si="52"/>
        <v>0</v>
      </c>
      <c r="DV68" s="171">
        <f t="shared" ca="1" si="53"/>
        <v>0</v>
      </c>
      <c r="DW68" s="171">
        <f t="shared" ca="1" si="54"/>
        <v>0</v>
      </c>
      <c r="DX68" s="171">
        <f t="shared" ca="1" si="55"/>
        <v>0</v>
      </c>
      <c r="DY68" s="171">
        <f t="shared" ca="1" si="56"/>
        <v>0</v>
      </c>
      <c r="DZ68" s="171">
        <f t="shared" ca="1" si="57"/>
        <v>0</v>
      </c>
      <c r="EA68" s="171">
        <f t="shared" ca="1" si="58"/>
        <v>0</v>
      </c>
      <c r="EB68" s="171">
        <f t="shared" ca="1" si="59"/>
        <v>0</v>
      </c>
      <c r="EC68" s="171">
        <f t="shared" ca="1" si="60"/>
        <v>0</v>
      </c>
      <c r="ED68" s="171">
        <f t="shared" ca="1" si="61"/>
        <v>0</v>
      </c>
      <c r="EE68" s="171">
        <f t="shared" ca="1" si="62"/>
        <v>0</v>
      </c>
      <c r="EF68" s="171">
        <f t="shared" ca="1" si="63"/>
        <v>0</v>
      </c>
      <c r="EG68" s="171">
        <f t="shared" ca="1" si="64"/>
        <v>0</v>
      </c>
      <c r="EH68" s="171">
        <f t="shared" ca="1" si="65"/>
        <v>0</v>
      </c>
      <c r="EI68" s="171">
        <f t="shared" ca="1" si="66"/>
        <v>0</v>
      </c>
      <c r="EJ68" s="171">
        <f t="shared" ca="1" si="67"/>
        <v>0</v>
      </c>
      <c r="EK68" s="171">
        <f t="shared" ca="1" si="68"/>
        <v>0</v>
      </c>
      <c r="EL68" s="171">
        <f t="shared" ca="1" si="69"/>
        <v>0</v>
      </c>
      <c r="EM68" s="171">
        <f t="shared" ca="1" si="70"/>
        <v>0</v>
      </c>
      <c r="EN68" s="171">
        <f t="shared" ca="1" si="71"/>
        <v>0</v>
      </c>
      <c r="EO68" s="171">
        <f t="shared" ca="1" si="72"/>
        <v>0</v>
      </c>
      <c r="EP68" s="171">
        <f t="shared" ca="1" si="73"/>
        <v>0</v>
      </c>
      <c r="EQ68" s="171">
        <f t="shared" ca="1" si="74"/>
        <v>0</v>
      </c>
      <c r="ER68" s="171">
        <f t="shared" ca="1" si="75"/>
        <v>0</v>
      </c>
      <c r="ES68" s="171">
        <f t="shared" ca="1" si="76"/>
        <v>0</v>
      </c>
    </row>
    <row r="69" spans="1:149">
      <c r="A69" s="139" t="s">
        <v>436</v>
      </c>
      <c r="B69" s="160" t="s">
        <v>437</v>
      </c>
      <c r="C69" s="160" t="s">
        <v>412</v>
      </c>
      <c r="D69" s="161" t="s">
        <v>394</v>
      </c>
      <c r="E69" s="160">
        <v>2015</v>
      </c>
      <c r="F69" s="160" t="s">
        <v>395</v>
      </c>
      <c r="G69" s="160" t="s">
        <v>402</v>
      </c>
      <c r="H69" s="160" t="s">
        <v>396</v>
      </c>
      <c r="I69" s="160" t="s">
        <v>176</v>
      </c>
      <c r="J69" s="160" t="s">
        <v>438</v>
      </c>
      <c r="K69" s="187">
        <v>135.69999999999999</v>
      </c>
      <c r="L69" s="163" t="s">
        <v>110</v>
      </c>
      <c r="M69" s="164">
        <f t="shared" si="0"/>
        <v>135.69999999999999</v>
      </c>
      <c r="N69" s="164">
        <f t="shared" si="1"/>
        <v>135.69999999999999</v>
      </c>
      <c r="O69" s="165">
        <f t="shared" si="2"/>
        <v>1</v>
      </c>
      <c r="P69" s="180">
        <v>2.6897446266474841E-2</v>
      </c>
      <c r="Q69" s="183">
        <v>19.158759716231955</v>
      </c>
      <c r="R69" s="168">
        <f t="shared" si="3"/>
        <v>10.158759716231955</v>
      </c>
      <c r="S69" s="183">
        <v>6.1170318199528131</v>
      </c>
      <c r="T69" s="170" t="s">
        <v>403</v>
      </c>
      <c r="U69" s="171">
        <f t="shared" si="4"/>
        <v>9.2939150527038077</v>
      </c>
      <c r="V69" s="171">
        <f t="shared" ca="1" si="5"/>
        <v>7.5566655382792165</v>
      </c>
      <c r="W69" s="171">
        <f t="shared" ca="1" si="6"/>
        <v>144.77633930382211</v>
      </c>
      <c r="X69" s="172">
        <f t="shared" si="7"/>
        <v>0.2352820549490191</v>
      </c>
      <c r="Y69" s="172">
        <f t="shared" si="8"/>
        <v>0.7647179450509809</v>
      </c>
      <c r="Z69" s="173">
        <f t="shared" si="9"/>
        <v>178.0598853178235</v>
      </c>
      <c r="AA69" s="171">
        <f t="shared" ref="AA69:AJ78" si="83">IFERROR(
    IF($T69="Equity",
        IF(AND(AA$48&gt;=$E69, AA$48&lt;=($E69+$Q69)),
$K69*$P69*(VLOOKUP($C$39,$C$37:$BL$44,MATCH($E69,$C$37:$BL$37,0),FALSE)/VLOOKUP($L69,$C$37:$BL$44,MATCH($E69,$C$37:$BL$37,0),FALSE))*
IF($B$5="Foreign Currency",VLOOKUP($C$38,$C$37:$BL$44,MATCH(AA$48,$C$37:$BL$37,0),FALSE)/VLOOKUP($C$39,$C$37:$BL$44,MATCH(AA$48,$C$37:$BL$37,0),FALSE),1),
0),
    IF($T69="Lump Sum Principal",
        IF(AND(AA$48&gt;=$E69, AA$48&lt;($E69+$Q69)),
$K69*$P69*(VLOOKUP($C$39,$C$37:$BL$44,MATCH($E69,$C$37:$BL$37,0),FALSE)/VLOOKUP($L69,$C$37:$BL$44,MATCH($E69,$C$37:$BL$37,0),FALSE))*
IF($B$5="Foreign Currency",VLOOKUP($C$38,$C$37:$BL$44,MATCH(AA$48,$C$37:$BL$37,0),FALSE)/VLOOKUP($C$39,$C$37:$BL$44,MATCH(AA$48,$C$37:$BL$37,0),FALSE),1),
        IF(AA$48=($E69+$Q69),
$K69*(1+$P69)*(VLOOKUP($C$39,$C$37:$BL$44,MATCH($E69,$C$37:$BL$37,0),FALSE)/VLOOKUP($L69,$C$37:$BL$44,MATCH($E69,$C$37:$BL$37,0),FALSE))*
IF($B$5="Foreign Currency",VLOOKUP($C$38,$C$37:$BL$44,MATCH(AA$48,$C$37:$BL$37,0),FALSE)/VLOOKUP($C$39,$C$37:$BL$44,MATCH(AA$48,$C$37:$BL$37,0),FALSE),1),
0)),
    IF($T69="Lump Sum Principal and Interest",
        IF(AA$48=($E69+$Q69),
$K69*((1+$P69)^$Q69)*(VLOOKUP($C$39,$C$37:$BL$44,MATCH($E69,$C$37:$BL$37,0),FALSE)/VLOOKUP($L69,$C$37:$BL$44,MATCH($E69,$C$37:$BL$37,0),FALSE))*
IF($B$5="Foreign Currency",VLOOKUP($C$38,$C$37:$BL$44,MATCH(AA$48,$C$37:$BL$37,0),FALSE)/VLOOKUP($C$39,$C$37:$BL$44,MATCH(AA$48,$C$37:$BL$37,0),FALSE),1),
0),
    IF($T69="EPP with Grace Years for Principal",
        IF(AND(AA$48&gt;=$E69, AA$48&lt;($E69+$S69)),
$K69*$P69*(VLOOKUP($C$39,$C$37:$BL$44,MATCH($E69,$C$37:$BL$37,0),FALSE)/VLOOKUP($L69,$C$37:$BL$44,MATCH($E69,$C$37:$BL$37,0),FALSE))*
IF($B$5="Foreign Currency",VLOOKUP($C$38,$C$37:$BL$44,MATCH(AA$48,$C$37:$BL$37,0),FALSE)/VLOOKUP($C$39,$C$37:$BL$44,MATCH(AA$48,$C$37:$BL$37,0),FALSE),1),
        IF(AND(AA$48&gt;=($E69+$S69), AA$48&lt;=($E69+$Q69)),
-PMT($P69,($Q69-$S69+1),($K69*(VLOOKUP($C$39,$C$37:$BL$44,MATCH($E69,$C$37:$BL$37,0),FALSE)/VLOOKUP($L69,$C$37:$BL$44,MATCH($E69,$C$37:$BL$37,0),FALSE))*
IF($B$5="Foreign Currency",VLOOKUP($C$38,$C$37:$BL$44,MATCH(AA$48,$C$37:$BL$37,0),FALSE)/VLOOKUP($C$39,$C$37:$BL$44,MATCH(AA$48,$C$37:$BL$37,0),FALSE),1)),0),
0)),
    IF($T69="Equal Principal Payments (EPP)",
        IF(AND(AA$48&gt;=$E69, AA$48&lt;=($E69+$Q69)),
-PMT($P69,($Q69-$S69+1),($K69*(VLOOKUP($C$39,$C$37:$BL$44,MATCH($E69,$C$37:$BL$37,0),FALSE)/VLOOKUP($L69,$C$37:$BL$44,MATCH($E69,$C$37:$BL$37,0),FALSE))*
IF($B$5="Foreign Currency",VLOOKUP($C$38,$C$37:$BL$44,MATCH(AA$48,$C$37:$BL$37,0),FALSE)/VLOOKUP($C$39,$C$37:$BL$44,MATCH(AA$48,$C$37:$BL$37,0),FALSE),1)),0), 0),
    IF($T69="EPP with Grace Years for Principal and on Interest",
        IF(AND(AA$48&gt;=($E69+$S69), AA$48&lt;=($E69+$Q69)),
-PMT($P69,($Q69-$S69+1),($K69*(VLOOKUP($C$39,$C$37:$BL$44,MATCH($E69,$C$37:$BL$37,0),FALSE)/VLOOKUP($L69,$C$37:$BL$44,MATCH($E69,$C$37:$BL$37,0),FALSE))*
IF($B$5="Foreign Currency",VLOOKUP($C$38,$C$37:$BL$44,MATCH(AA$48,$C$37:$BL$37,0),FALSE)/VLOOKUP($C$39,$C$37:$BL$44,MATCH(AA$48,$C$37:$BL$37,0),FALSE),1))*((1+$P69)^$S69),0), 0),
    0)))))),"")</f>
        <v>0</v>
      </c>
      <c r="AB69" s="171">
        <f t="shared" si="83"/>
        <v>0</v>
      </c>
      <c r="AC69" s="171">
        <f t="shared" si="83"/>
        <v>0</v>
      </c>
      <c r="AD69" s="171">
        <f t="shared" si="83"/>
        <v>0</v>
      </c>
      <c r="AE69" s="171">
        <f t="shared" si="83"/>
        <v>0</v>
      </c>
      <c r="AF69" s="171">
        <f t="shared" si="83"/>
        <v>3.6499834583606354</v>
      </c>
      <c r="AG69" s="171">
        <f t="shared" si="83"/>
        <v>3.6499834583606354</v>
      </c>
      <c r="AH69" s="171">
        <f t="shared" si="83"/>
        <v>3.6499834583606354</v>
      </c>
      <c r="AI69" s="171">
        <f t="shared" si="83"/>
        <v>3.6499834583606354</v>
      </c>
      <c r="AJ69" s="171">
        <f t="shared" si="83"/>
        <v>3.6499834583606354</v>
      </c>
      <c r="AK69" s="171">
        <f t="shared" ref="AK69:AT78" si="84">IFERROR(
    IF($T69="Equity",
        IF(AND(AK$48&gt;=$E69, AK$48&lt;=($E69+$Q69)),
$K69*$P69*(VLOOKUP($C$39,$C$37:$BL$44,MATCH($E69,$C$37:$BL$37,0),FALSE)/VLOOKUP($L69,$C$37:$BL$44,MATCH($E69,$C$37:$BL$37,0),FALSE))*
IF($B$5="Foreign Currency",VLOOKUP($C$38,$C$37:$BL$44,MATCH(AK$48,$C$37:$BL$37,0),FALSE)/VLOOKUP($C$39,$C$37:$BL$44,MATCH(AK$48,$C$37:$BL$37,0),FALSE),1),
0),
    IF($T69="Lump Sum Principal",
        IF(AND(AK$48&gt;=$E69, AK$48&lt;($E69+$Q69)),
$K69*$P69*(VLOOKUP($C$39,$C$37:$BL$44,MATCH($E69,$C$37:$BL$37,0),FALSE)/VLOOKUP($L69,$C$37:$BL$44,MATCH($E69,$C$37:$BL$37,0),FALSE))*
IF($B$5="Foreign Currency",VLOOKUP($C$38,$C$37:$BL$44,MATCH(AK$48,$C$37:$BL$37,0),FALSE)/VLOOKUP($C$39,$C$37:$BL$44,MATCH(AK$48,$C$37:$BL$37,0),FALSE),1),
        IF(AK$48=($E69+$Q69),
$K69*(1+$P69)*(VLOOKUP($C$39,$C$37:$BL$44,MATCH($E69,$C$37:$BL$37,0),FALSE)/VLOOKUP($L69,$C$37:$BL$44,MATCH($E69,$C$37:$BL$37,0),FALSE))*
IF($B$5="Foreign Currency",VLOOKUP($C$38,$C$37:$BL$44,MATCH(AK$48,$C$37:$BL$37,0),FALSE)/VLOOKUP($C$39,$C$37:$BL$44,MATCH(AK$48,$C$37:$BL$37,0),FALSE),1),
0)),
    IF($T69="Lump Sum Principal and Interest",
        IF(AK$48=($E69+$Q69),
$K69*((1+$P69)^$Q69)*(VLOOKUP($C$39,$C$37:$BL$44,MATCH($E69,$C$37:$BL$37,0),FALSE)/VLOOKUP($L69,$C$37:$BL$44,MATCH($E69,$C$37:$BL$37,0),FALSE))*
IF($B$5="Foreign Currency",VLOOKUP($C$38,$C$37:$BL$44,MATCH(AK$48,$C$37:$BL$37,0),FALSE)/VLOOKUP($C$39,$C$37:$BL$44,MATCH(AK$48,$C$37:$BL$37,0),FALSE),1),
0),
    IF($T69="EPP with Grace Years for Principal",
        IF(AND(AK$48&gt;=$E69, AK$48&lt;($E69+$S69)),
$K69*$P69*(VLOOKUP($C$39,$C$37:$BL$44,MATCH($E69,$C$37:$BL$37,0),FALSE)/VLOOKUP($L69,$C$37:$BL$44,MATCH($E69,$C$37:$BL$37,0),FALSE))*
IF($B$5="Foreign Currency",VLOOKUP($C$38,$C$37:$BL$44,MATCH(AK$48,$C$37:$BL$37,0),FALSE)/VLOOKUP($C$39,$C$37:$BL$44,MATCH(AK$48,$C$37:$BL$37,0),FALSE),1),
        IF(AND(AK$48&gt;=($E69+$S69), AK$48&lt;=($E69+$Q69)),
-PMT($P69,($Q69-$S69+1),($K69*(VLOOKUP($C$39,$C$37:$BL$44,MATCH($E69,$C$37:$BL$37,0),FALSE)/VLOOKUP($L69,$C$37:$BL$44,MATCH($E69,$C$37:$BL$37,0),FALSE))*
IF($B$5="Foreign Currency",VLOOKUP($C$38,$C$37:$BL$44,MATCH(AK$48,$C$37:$BL$37,0),FALSE)/VLOOKUP($C$39,$C$37:$BL$44,MATCH(AK$48,$C$37:$BL$37,0),FALSE),1)),0),
0)),
    IF($T69="Equal Principal Payments (EPP)",
        IF(AND(AK$48&gt;=$E69, AK$48&lt;=($E69+$Q69)),
-PMT($P69,($Q69-$S69+1),($K69*(VLOOKUP($C$39,$C$37:$BL$44,MATCH($E69,$C$37:$BL$37,0),FALSE)/VLOOKUP($L69,$C$37:$BL$44,MATCH($E69,$C$37:$BL$37,0),FALSE))*
IF($B$5="Foreign Currency",VLOOKUP($C$38,$C$37:$BL$44,MATCH(AK$48,$C$37:$BL$37,0),FALSE)/VLOOKUP($C$39,$C$37:$BL$44,MATCH(AK$48,$C$37:$BL$37,0),FALSE),1)),0), 0),
    IF($T69="EPP with Grace Years for Principal and on Interest",
        IF(AND(AK$48&gt;=($E69+$S69), AK$48&lt;=($E69+$Q69)),
-PMT($P69,($Q69-$S69+1),($K69*(VLOOKUP($C$39,$C$37:$BL$44,MATCH($E69,$C$37:$BL$37,0),FALSE)/VLOOKUP($L69,$C$37:$BL$44,MATCH($E69,$C$37:$BL$37,0),FALSE))*
IF($B$5="Foreign Currency",VLOOKUP($C$38,$C$37:$BL$44,MATCH(AK$48,$C$37:$BL$37,0),FALSE)/VLOOKUP($C$39,$C$37:$BL$44,MATCH(AK$48,$C$37:$BL$37,0),FALSE),1))*((1+$P69)^$S69),0), 0),
    0)))))),"")</f>
        <v>3.6499834583606354</v>
      </c>
      <c r="AL69" s="171">
        <f t="shared" si="84"/>
        <v>3.6499834583606354</v>
      </c>
      <c r="AM69" s="171">
        <f t="shared" si="84"/>
        <v>11.731538546869155</v>
      </c>
      <c r="AN69" s="171">
        <f t="shared" si="84"/>
        <v>11.731538546869155</v>
      </c>
      <c r="AO69" s="171">
        <f t="shared" si="84"/>
        <v>11.731538546869155</v>
      </c>
      <c r="AP69" s="171">
        <f t="shared" si="84"/>
        <v>11.731538546869155</v>
      </c>
      <c r="AQ69" s="171">
        <f t="shared" si="84"/>
        <v>11.731538546869155</v>
      </c>
      <c r="AR69" s="171">
        <f t="shared" si="84"/>
        <v>11.731538546869155</v>
      </c>
      <c r="AS69" s="171">
        <f t="shared" si="84"/>
        <v>11.731538546869155</v>
      </c>
      <c r="AT69" s="171">
        <f t="shared" si="84"/>
        <v>11.731538546869155</v>
      </c>
      <c r="AU69" s="171">
        <f t="shared" ref="AU69:BD78" si="85">IFERROR(
    IF($T69="Equity",
        IF(AND(AU$48&gt;=$E69, AU$48&lt;=($E69+$Q69)),
$K69*$P69*(VLOOKUP($C$39,$C$37:$BL$44,MATCH($E69,$C$37:$BL$37,0),FALSE)/VLOOKUP($L69,$C$37:$BL$44,MATCH($E69,$C$37:$BL$37,0),FALSE))*
IF($B$5="Foreign Currency",VLOOKUP($C$38,$C$37:$BL$44,MATCH(AU$48,$C$37:$BL$37,0),FALSE)/VLOOKUP($C$39,$C$37:$BL$44,MATCH(AU$48,$C$37:$BL$37,0),FALSE),1),
0),
    IF($T69="Lump Sum Principal",
        IF(AND(AU$48&gt;=$E69, AU$48&lt;($E69+$Q69)),
$K69*$P69*(VLOOKUP($C$39,$C$37:$BL$44,MATCH($E69,$C$37:$BL$37,0),FALSE)/VLOOKUP($L69,$C$37:$BL$44,MATCH($E69,$C$37:$BL$37,0),FALSE))*
IF($B$5="Foreign Currency",VLOOKUP($C$38,$C$37:$BL$44,MATCH(AU$48,$C$37:$BL$37,0),FALSE)/VLOOKUP($C$39,$C$37:$BL$44,MATCH(AU$48,$C$37:$BL$37,0),FALSE),1),
        IF(AU$48=($E69+$Q69),
$K69*(1+$P69)*(VLOOKUP($C$39,$C$37:$BL$44,MATCH($E69,$C$37:$BL$37,0),FALSE)/VLOOKUP($L69,$C$37:$BL$44,MATCH($E69,$C$37:$BL$37,0),FALSE))*
IF($B$5="Foreign Currency",VLOOKUP($C$38,$C$37:$BL$44,MATCH(AU$48,$C$37:$BL$37,0),FALSE)/VLOOKUP($C$39,$C$37:$BL$44,MATCH(AU$48,$C$37:$BL$37,0),FALSE),1),
0)),
    IF($T69="Lump Sum Principal and Interest",
        IF(AU$48=($E69+$Q69),
$K69*((1+$P69)^$Q69)*(VLOOKUP($C$39,$C$37:$BL$44,MATCH($E69,$C$37:$BL$37,0),FALSE)/VLOOKUP($L69,$C$37:$BL$44,MATCH($E69,$C$37:$BL$37,0),FALSE))*
IF($B$5="Foreign Currency",VLOOKUP($C$38,$C$37:$BL$44,MATCH(AU$48,$C$37:$BL$37,0),FALSE)/VLOOKUP($C$39,$C$37:$BL$44,MATCH(AU$48,$C$37:$BL$37,0),FALSE),1),
0),
    IF($T69="EPP with Grace Years for Principal",
        IF(AND(AU$48&gt;=$E69, AU$48&lt;($E69+$S69)),
$K69*$P69*(VLOOKUP($C$39,$C$37:$BL$44,MATCH($E69,$C$37:$BL$37,0),FALSE)/VLOOKUP($L69,$C$37:$BL$44,MATCH($E69,$C$37:$BL$37,0),FALSE))*
IF($B$5="Foreign Currency",VLOOKUP($C$38,$C$37:$BL$44,MATCH(AU$48,$C$37:$BL$37,0),FALSE)/VLOOKUP($C$39,$C$37:$BL$44,MATCH(AU$48,$C$37:$BL$37,0),FALSE),1),
        IF(AND(AU$48&gt;=($E69+$S69), AU$48&lt;=($E69+$Q69)),
-PMT($P69,($Q69-$S69+1),($K69*(VLOOKUP($C$39,$C$37:$BL$44,MATCH($E69,$C$37:$BL$37,0),FALSE)/VLOOKUP($L69,$C$37:$BL$44,MATCH($E69,$C$37:$BL$37,0),FALSE))*
IF($B$5="Foreign Currency",VLOOKUP($C$38,$C$37:$BL$44,MATCH(AU$48,$C$37:$BL$37,0),FALSE)/VLOOKUP($C$39,$C$37:$BL$44,MATCH(AU$48,$C$37:$BL$37,0),FALSE),1)),0),
0)),
    IF($T69="Equal Principal Payments (EPP)",
        IF(AND(AU$48&gt;=$E69, AU$48&lt;=($E69+$Q69)),
-PMT($P69,($Q69-$S69+1),($K69*(VLOOKUP($C$39,$C$37:$BL$44,MATCH($E69,$C$37:$BL$37,0),FALSE)/VLOOKUP($L69,$C$37:$BL$44,MATCH($E69,$C$37:$BL$37,0),FALSE))*
IF($B$5="Foreign Currency",VLOOKUP($C$38,$C$37:$BL$44,MATCH(AU$48,$C$37:$BL$37,0),FALSE)/VLOOKUP($C$39,$C$37:$BL$44,MATCH(AU$48,$C$37:$BL$37,0),FALSE),1)),0), 0),
    IF($T69="EPP with Grace Years for Principal and on Interest",
        IF(AND(AU$48&gt;=($E69+$S69), AU$48&lt;=($E69+$Q69)),
-PMT($P69,($Q69-$S69+1),($K69*(VLOOKUP($C$39,$C$37:$BL$44,MATCH($E69,$C$37:$BL$37,0),FALSE)/VLOOKUP($L69,$C$37:$BL$44,MATCH($E69,$C$37:$BL$37,0),FALSE))*
IF($B$5="Foreign Currency",VLOOKUP($C$38,$C$37:$BL$44,MATCH(AU$48,$C$37:$BL$37,0),FALSE)/VLOOKUP($C$39,$C$37:$BL$44,MATCH(AU$48,$C$37:$BL$37,0),FALSE),1))*((1+$P69)^$S69),0), 0),
    0)))))),"")</f>
        <v>11.731538546869155</v>
      </c>
      <c r="AV69" s="171">
        <f t="shared" si="85"/>
        <v>11.731538546869155</v>
      </c>
      <c r="AW69" s="171">
        <f t="shared" si="85"/>
        <v>11.731538546869155</v>
      </c>
      <c r="AX69" s="171">
        <f t="shared" si="85"/>
        <v>11.731538546869155</v>
      </c>
      <c r="AY69" s="171">
        <f t="shared" si="85"/>
        <v>11.731538546869155</v>
      </c>
      <c r="AZ69" s="171">
        <f t="shared" si="85"/>
        <v>0</v>
      </c>
      <c r="BA69" s="171">
        <f t="shared" si="85"/>
        <v>0</v>
      </c>
      <c r="BB69" s="171">
        <f t="shared" si="85"/>
        <v>0</v>
      </c>
      <c r="BC69" s="171">
        <f t="shared" si="85"/>
        <v>0</v>
      </c>
      <c r="BD69" s="171">
        <f t="shared" si="85"/>
        <v>0</v>
      </c>
      <c r="BE69" s="171">
        <f t="shared" ref="BE69:BN78" si="86">IFERROR(
    IF($T69="Equity",
        IF(AND(BE$48&gt;=$E69, BE$48&lt;=($E69+$Q69)),
$K69*$P69*(VLOOKUP($C$39,$C$37:$BL$44,MATCH($E69,$C$37:$BL$37,0),FALSE)/VLOOKUP($L69,$C$37:$BL$44,MATCH($E69,$C$37:$BL$37,0),FALSE))*
IF($B$5="Foreign Currency",VLOOKUP($C$38,$C$37:$BL$44,MATCH(BE$48,$C$37:$BL$37,0),FALSE)/VLOOKUP($C$39,$C$37:$BL$44,MATCH(BE$48,$C$37:$BL$37,0),FALSE),1),
0),
    IF($T69="Lump Sum Principal",
        IF(AND(BE$48&gt;=$E69, BE$48&lt;($E69+$Q69)),
$K69*$P69*(VLOOKUP($C$39,$C$37:$BL$44,MATCH($E69,$C$37:$BL$37,0),FALSE)/VLOOKUP($L69,$C$37:$BL$44,MATCH($E69,$C$37:$BL$37,0),FALSE))*
IF($B$5="Foreign Currency",VLOOKUP($C$38,$C$37:$BL$44,MATCH(BE$48,$C$37:$BL$37,0),FALSE)/VLOOKUP($C$39,$C$37:$BL$44,MATCH(BE$48,$C$37:$BL$37,0),FALSE),1),
        IF(BE$48=($E69+$Q69),
$K69*(1+$P69)*(VLOOKUP($C$39,$C$37:$BL$44,MATCH($E69,$C$37:$BL$37,0),FALSE)/VLOOKUP($L69,$C$37:$BL$44,MATCH($E69,$C$37:$BL$37,0),FALSE))*
IF($B$5="Foreign Currency",VLOOKUP($C$38,$C$37:$BL$44,MATCH(BE$48,$C$37:$BL$37,0),FALSE)/VLOOKUP($C$39,$C$37:$BL$44,MATCH(BE$48,$C$37:$BL$37,0),FALSE),1),
0)),
    IF($T69="Lump Sum Principal and Interest",
        IF(BE$48=($E69+$Q69),
$K69*((1+$P69)^$Q69)*(VLOOKUP($C$39,$C$37:$BL$44,MATCH($E69,$C$37:$BL$37,0),FALSE)/VLOOKUP($L69,$C$37:$BL$44,MATCH($E69,$C$37:$BL$37,0),FALSE))*
IF($B$5="Foreign Currency",VLOOKUP($C$38,$C$37:$BL$44,MATCH(BE$48,$C$37:$BL$37,0),FALSE)/VLOOKUP($C$39,$C$37:$BL$44,MATCH(BE$48,$C$37:$BL$37,0),FALSE),1),
0),
    IF($T69="EPP with Grace Years for Principal",
        IF(AND(BE$48&gt;=$E69, BE$48&lt;($E69+$S69)),
$K69*$P69*(VLOOKUP($C$39,$C$37:$BL$44,MATCH($E69,$C$37:$BL$37,0),FALSE)/VLOOKUP($L69,$C$37:$BL$44,MATCH($E69,$C$37:$BL$37,0),FALSE))*
IF($B$5="Foreign Currency",VLOOKUP($C$38,$C$37:$BL$44,MATCH(BE$48,$C$37:$BL$37,0),FALSE)/VLOOKUP($C$39,$C$37:$BL$44,MATCH(BE$48,$C$37:$BL$37,0),FALSE),1),
        IF(AND(BE$48&gt;=($E69+$S69), BE$48&lt;=($E69+$Q69)),
-PMT($P69,($Q69-$S69+1),($K69*(VLOOKUP($C$39,$C$37:$BL$44,MATCH($E69,$C$37:$BL$37,0),FALSE)/VLOOKUP($L69,$C$37:$BL$44,MATCH($E69,$C$37:$BL$37,0),FALSE))*
IF($B$5="Foreign Currency",VLOOKUP($C$38,$C$37:$BL$44,MATCH(BE$48,$C$37:$BL$37,0),FALSE)/VLOOKUP($C$39,$C$37:$BL$44,MATCH(BE$48,$C$37:$BL$37,0),FALSE),1)),0),
0)),
    IF($T69="Equal Principal Payments (EPP)",
        IF(AND(BE$48&gt;=$E69, BE$48&lt;=($E69+$Q69)),
-PMT($P69,($Q69-$S69+1),($K69*(VLOOKUP($C$39,$C$37:$BL$44,MATCH($E69,$C$37:$BL$37,0),FALSE)/VLOOKUP($L69,$C$37:$BL$44,MATCH($E69,$C$37:$BL$37,0),FALSE))*
IF($B$5="Foreign Currency",VLOOKUP($C$38,$C$37:$BL$44,MATCH(BE$48,$C$37:$BL$37,0),FALSE)/VLOOKUP($C$39,$C$37:$BL$44,MATCH(BE$48,$C$37:$BL$37,0),FALSE),1)),0), 0),
    IF($T69="EPP with Grace Years for Principal and on Interest",
        IF(AND(BE$48&gt;=($E69+$S69), BE$48&lt;=($E69+$Q69)),
-PMT($P69,($Q69-$S69+1),($K69*(VLOOKUP($C$39,$C$37:$BL$44,MATCH($E69,$C$37:$BL$37,0),FALSE)/VLOOKUP($L69,$C$37:$BL$44,MATCH($E69,$C$37:$BL$37,0),FALSE))*
IF($B$5="Foreign Currency",VLOOKUP($C$38,$C$37:$BL$44,MATCH(BE$48,$C$37:$BL$37,0),FALSE)/VLOOKUP($C$39,$C$37:$BL$44,MATCH(BE$48,$C$37:$BL$37,0),FALSE),1))*((1+$P69)^$S69),0), 0),
    0)))))),"")</f>
        <v>0</v>
      </c>
      <c r="BF69" s="171">
        <f t="shared" si="86"/>
        <v>0</v>
      </c>
      <c r="BG69" s="171">
        <f t="shared" si="86"/>
        <v>0</v>
      </c>
      <c r="BH69" s="171">
        <f t="shared" si="86"/>
        <v>0</v>
      </c>
      <c r="BI69" s="171">
        <f t="shared" si="86"/>
        <v>0</v>
      </c>
      <c r="BJ69" s="171">
        <f t="shared" si="86"/>
        <v>0</v>
      </c>
      <c r="BK69" s="171">
        <f t="shared" si="86"/>
        <v>0</v>
      </c>
      <c r="BL69" s="171">
        <f t="shared" si="86"/>
        <v>0</v>
      </c>
      <c r="BM69" s="171">
        <f t="shared" si="86"/>
        <v>0</v>
      </c>
      <c r="BN69" s="171">
        <f t="shared" si="86"/>
        <v>0</v>
      </c>
      <c r="BO69" s="171">
        <f t="shared" ref="BO69:BX78" si="87">IFERROR(
    IF($T69="Equity",
        IF(AND(BO$48&gt;=$E69, BO$48&lt;=($E69+$Q69)),
$K69*$P69*(VLOOKUP($C$39,$C$37:$BL$44,MATCH($E69,$C$37:$BL$37,0),FALSE)/VLOOKUP($L69,$C$37:$BL$44,MATCH($E69,$C$37:$BL$37,0),FALSE))*
IF($B$5="Foreign Currency",VLOOKUP($C$38,$C$37:$BL$44,MATCH(BO$48,$C$37:$BL$37,0),FALSE)/VLOOKUP($C$39,$C$37:$BL$44,MATCH(BO$48,$C$37:$BL$37,0),FALSE),1),
0),
    IF($T69="Lump Sum Principal",
        IF(AND(BO$48&gt;=$E69, BO$48&lt;($E69+$Q69)),
$K69*$P69*(VLOOKUP($C$39,$C$37:$BL$44,MATCH($E69,$C$37:$BL$37,0),FALSE)/VLOOKUP($L69,$C$37:$BL$44,MATCH($E69,$C$37:$BL$37,0),FALSE))*
IF($B$5="Foreign Currency",VLOOKUP($C$38,$C$37:$BL$44,MATCH(BO$48,$C$37:$BL$37,0),FALSE)/VLOOKUP($C$39,$C$37:$BL$44,MATCH(BO$48,$C$37:$BL$37,0),FALSE),1),
        IF(BO$48=($E69+$Q69),
$K69*(1+$P69)*(VLOOKUP($C$39,$C$37:$BL$44,MATCH($E69,$C$37:$BL$37,0),FALSE)/VLOOKUP($L69,$C$37:$BL$44,MATCH($E69,$C$37:$BL$37,0),FALSE))*
IF($B$5="Foreign Currency",VLOOKUP($C$38,$C$37:$BL$44,MATCH(BO$48,$C$37:$BL$37,0),FALSE)/VLOOKUP($C$39,$C$37:$BL$44,MATCH(BO$48,$C$37:$BL$37,0),FALSE),1),
0)),
    IF($T69="Lump Sum Principal and Interest",
        IF(BO$48=($E69+$Q69),
$K69*((1+$P69)^$Q69)*(VLOOKUP($C$39,$C$37:$BL$44,MATCH($E69,$C$37:$BL$37,0),FALSE)/VLOOKUP($L69,$C$37:$BL$44,MATCH($E69,$C$37:$BL$37,0),FALSE))*
IF($B$5="Foreign Currency",VLOOKUP($C$38,$C$37:$BL$44,MATCH(BO$48,$C$37:$BL$37,0),FALSE)/VLOOKUP($C$39,$C$37:$BL$44,MATCH(BO$48,$C$37:$BL$37,0),FALSE),1),
0),
    IF($T69="EPP with Grace Years for Principal",
        IF(AND(BO$48&gt;=$E69, BO$48&lt;($E69+$S69)),
$K69*$P69*(VLOOKUP($C$39,$C$37:$BL$44,MATCH($E69,$C$37:$BL$37,0),FALSE)/VLOOKUP($L69,$C$37:$BL$44,MATCH($E69,$C$37:$BL$37,0),FALSE))*
IF($B$5="Foreign Currency",VLOOKUP($C$38,$C$37:$BL$44,MATCH(BO$48,$C$37:$BL$37,0),FALSE)/VLOOKUP($C$39,$C$37:$BL$44,MATCH(BO$48,$C$37:$BL$37,0),FALSE),1),
        IF(AND(BO$48&gt;=($E69+$S69), BO$48&lt;=($E69+$Q69)),
-PMT($P69,($Q69-$S69+1),($K69*(VLOOKUP($C$39,$C$37:$BL$44,MATCH($E69,$C$37:$BL$37,0),FALSE)/VLOOKUP($L69,$C$37:$BL$44,MATCH($E69,$C$37:$BL$37,0),FALSE))*
IF($B$5="Foreign Currency",VLOOKUP($C$38,$C$37:$BL$44,MATCH(BO$48,$C$37:$BL$37,0),FALSE)/VLOOKUP($C$39,$C$37:$BL$44,MATCH(BO$48,$C$37:$BL$37,0),FALSE),1)),0),
0)),
    IF($T69="Equal Principal Payments (EPP)",
        IF(AND(BO$48&gt;=$E69, BO$48&lt;=($E69+$Q69)),
-PMT($P69,($Q69-$S69+1),($K69*(VLOOKUP($C$39,$C$37:$BL$44,MATCH($E69,$C$37:$BL$37,0),FALSE)/VLOOKUP($L69,$C$37:$BL$44,MATCH($E69,$C$37:$BL$37,0),FALSE))*
IF($B$5="Foreign Currency",VLOOKUP($C$38,$C$37:$BL$44,MATCH(BO$48,$C$37:$BL$37,0),FALSE)/VLOOKUP($C$39,$C$37:$BL$44,MATCH(BO$48,$C$37:$BL$37,0),FALSE),1)),0), 0),
    IF($T69="EPP with Grace Years for Principal and on Interest",
        IF(AND(BO$48&gt;=($E69+$S69), BO$48&lt;=($E69+$Q69)),
-PMT($P69,($Q69-$S69+1),($K69*(VLOOKUP($C$39,$C$37:$BL$44,MATCH($E69,$C$37:$BL$37,0),FALSE)/VLOOKUP($L69,$C$37:$BL$44,MATCH($E69,$C$37:$BL$37,0),FALSE))*
IF($B$5="Foreign Currency",VLOOKUP($C$38,$C$37:$BL$44,MATCH(BO$48,$C$37:$BL$37,0),FALSE)/VLOOKUP($C$39,$C$37:$BL$44,MATCH(BO$48,$C$37:$BL$37,0),FALSE),1))*((1+$P69)^$S69),0), 0),
    0)))))),"")</f>
        <v>0</v>
      </c>
      <c r="BP69" s="171">
        <f t="shared" si="87"/>
        <v>0</v>
      </c>
      <c r="BQ69" s="171">
        <f t="shared" si="87"/>
        <v>0</v>
      </c>
      <c r="BR69" s="171">
        <f t="shared" si="87"/>
        <v>0</v>
      </c>
      <c r="BS69" s="171">
        <f t="shared" si="87"/>
        <v>0</v>
      </c>
      <c r="BT69" s="171">
        <f t="shared" si="87"/>
        <v>0</v>
      </c>
      <c r="BU69" s="171">
        <f t="shared" si="87"/>
        <v>0</v>
      </c>
      <c r="BV69" s="171">
        <f t="shared" si="87"/>
        <v>0</v>
      </c>
      <c r="BW69" s="171">
        <f t="shared" si="87"/>
        <v>0</v>
      </c>
      <c r="BX69" s="171">
        <f t="shared" si="87"/>
        <v>0</v>
      </c>
      <c r="BY69" s="171">
        <f t="shared" ref="BY69:CI78" si="88">IFERROR(
    IF($T69="Equity",
        IF(AND(BY$48&gt;=$E69, BY$48&lt;=($E69+$Q69)),
$K69*$P69*(VLOOKUP($C$39,$C$37:$BL$44,MATCH($E69,$C$37:$BL$37,0),FALSE)/VLOOKUP($L69,$C$37:$BL$44,MATCH($E69,$C$37:$BL$37,0),FALSE))*
IF($B$5="Foreign Currency",VLOOKUP($C$38,$C$37:$BL$44,MATCH(BY$48,$C$37:$BL$37,0),FALSE)/VLOOKUP($C$39,$C$37:$BL$44,MATCH(BY$48,$C$37:$BL$37,0),FALSE),1),
0),
    IF($T69="Lump Sum Principal",
        IF(AND(BY$48&gt;=$E69, BY$48&lt;($E69+$Q69)),
$K69*$P69*(VLOOKUP($C$39,$C$37:$BL$44,MATCH($E69,$C$37:$BL$37,0),FALSE)/VLOOKUP($L69,$C$37:$BL$44,MATCH($E69,$C$37:$BL$37,0),FALSE))*
IF($B$5="Foreign Currency",VLOOKUP($C$38,$C$37:$BL$44,MATCH(BY$48,$C$37:$BL$37,0),FALSE)/VLOOKUP($C$39,$C$37:$BL$44,MATCH(BY$48,$C$37:$BL$37,0),FALSE),1),
        IF(BY$48=($E69+$Q69),
$K69*(1+$P69)*(VLOOKUP($C$39,$C$37:$BL$44,MATCH($E69,$C$37:$BL$37,0),FALSE)/VLOOKUP($L69,$C$37:$BL$44,MATCH($E69,$C$37:$BL$37,0),FALSE))*
IF($B$5="Foreign Currency",VLOOKUP($C$38,$C$37:$BL$44,MATCH(BY$48,$C$37:$BL$37,0),FALSE)/VLOOKUP($C$39,$C$37:$BL$44,MATCH(BY$48,$C$37:$BL$37,0),FALSE),1),
0)),
    IF($T69="Lump Sum Principal and Interest",
        IF(BY$48=($E69+$Q69),
$K69*((1+$P69)^$Q69)*(VLOOKUP($C$39,$C$37:$BL$44,MATCH($E69,$C$37:$BL$37,0),FALSE)/VLOOKUP($L69,$C$37:$BL$44,MATCH($E69,$C$37:$BL$37,0),FALSE))*
IF($B$5="Foreign Currency",VLOOKUP($C$38,$C$37:$BL$44,MATCH(BY$48,$C$37:$BL$37,0),FALSE)/VLOOKUP($C$39,$C$37:$BL$44,MATCH(BY$48,$C$37:$BL$37,0),FALSE),1),
0),
    IF($T69="EPP with Grace Years for Principal",
        IF(AND(BY$48&gt;=$E69, BY$48&lt;($E69+$S69)),
$K69*$P69*(VLOOKUP($C$39,$C$37:$BL$44,MATCH($E69,$C$37:$BL$37,0),FALSE)/VLOOKUP($L69,$C$37:$BL$44,MATCH($E69,$C$37:$BL$37,0),FALSE))*
IF($B$5="Foreign Currency",VLOOKUP($C$38,$C$37:$BL$44,MATCH(BY$48,$C$37:$BL$37,0),FALSE)/VLOOKUP($C$39,$C$37:$BL$44,MATCH(BY$48,$C$37:$BL$37,0),FALSE),1),
        IF(AND(BY$48&gt;=($E69+$S69), BY$48&lt;=($E69+$Q69)),
-PMT($P69,($Q69-$S69+1),($K69*(VLOOKUP($C$39,$C$37:$BL$44,MATCH($E69,$C$37:$BL$37,0),FALSE)/VLOOKUP($L69,$C$37:$BL$44,MATCH($E69,$C$37:$BL$37,0),FALSE))*
IF($B$5="Foreign Currency",VLOOKUP($C$38,$C$37:$BL$44,MATCH(BY$48,$C$37:$BL$37,0),FALSE)/VLOOKUP($C$39,$C$37:$BL$44,MATCH(BY$48,$C$37:$BL$37,0),FALSE),1)),0),
0)),
    IF($T69="Equal Principal Payments (EPP)",
        IF(AND(BY$48&gt;=$E69, BY$48&lt;=($E69+$Q69)),
-PMT($P69,($Q69-$S69+1),($K69*(VLOOKUP($C$39,$C$37:$BL$44,MATCH($E69,$C$37:$BL$37,0),FALSE)/VLOOKUP($L69,$C$37:$BL$44,MATCH($E69,$C$37:$BL$37,0),FALSE))*
IF($B$5="Foreign Currency",VLOOKUP($C$38,$C$37:$BL$44,MATCH(BY$48,$C$37:$BL$37,0),FALSE)/VLOOKUP($C$39,$C$37:$BL$44,MATCH(BY$48,$C$37:$BL$37,0),FALSE),1)),0), 0),
    IF($T69="EPP with Grace Years for Principal and on Interest",
        IF(AND(BY$48&gt;=($E69+$S69), BY$48&lt;=($E69+$Q69)),
-PMT($P69,($Q69-$S69+1),($K69*(VLOOKUP($C$39,$C$37:$BL$44,MATCH($E69,$C$37:$BL$37,0),FALSE)/VLOOKUP($L69,$C$37:$BL$44,MATCH($E69,$C$37:$BL$37,0),FALSE))*
IF($B$5="Foreign Currency",VLOOKUP($C$38,$C$37:$BL$44,MATCH(BY$48,$C$37:$BL$37,0),FALSE)/VLOOKUP($C$39,$C$37:$BL$44,MATCH(BY$48,$C$37:$BL$37,0),FALSE),1))*((1+$P69)^$S69),0), 0),
    0)))))),"")</f>
        <v>0</v>
      </c>
      <c r="BZ69" s="171">
        <f t="shared" si="88"/>
        <v>0</v>
      </c>
      <c r="CA69" s="171">
        <f t="shared" si="88"/>
        <v>0</v>
      </c>
      <c r="CB69" s="171">
        <f t="shared" si="88"/>
        <v>0</v>
      </c>
      <c r="CC69" s="171">
        <f t="shared" si="88"/>
        <v>0</v>
      </c>
      <c r="CD69" s="171">
        <f t="shared" si="88"/>
        <v>0</v>
      </c>
      <c r="CE69" s="171">
        <f t="shared" si="88"/>
        <v>0</v>
      </c>
      <c r="CF69" s="171">
        <f t="shared" si="88"/>
        <v>0</v>
      </c>
      <c r="CG69" s="171">
        <f t="shared" si="88"/>
        <v>0</v>
      </c>
      <c r="CH69" s="171">
        <f t="shared" si="88"/>
        <v>0</v>
      </c>
      <c r="CI69" s="171">
        <f t="shared" si="88"/>
        <v>0</v>
      </c>
      <c r="CJ69" s="243"/>
      <c r="CK69" s="171">
        <f t="shared" si="16"/>
        <v>0</v>
      </c>
      <c r="CL69" s="171">
        <f t="shared" si="17"/>
        <v>0</v>
      </c>
      <c r="CM69" s="171">
        <f t="shared" si="18"/>
        <v>0</v>
      </c>
      <c r="CN69" s="171">
        <f t="shared" si="19"/>
        <v>0</v>
      </c>
      <c r="CO69" s="171">
        <f t="shared" si="20"/>
        <v>0</v>
      </c>
      <c r="CP69" s="171">
        <f t="shared" si="21"/>
        <v>3.6499834583606354</v>
      </c>
      <c r="CQ69" s="171">
        <f t="shared" si="22"/>
        <v>3.6499834583606354</v>
      </c>
      <c r="CR69" s="171">
        <f t="shared" si="23"/>
        <v>3.6499834583606354</v>
      </c>
      <c r="CS69" s="171">
        <f t="shared" si="24"/>
        <v>3.6499834583606354</v>
      </c>
      <c r="CT69" s="171">
        <f t="shared" si="25"/>
        <v>3.6499834583606354</v>
      </c>
      <c r="CU69" s="171">
        <f t="shared" si="26"/>
        <v>3.6499834583606354</v>
      </c>
      <c r="CV69" s="171">
        <f t="shared" si="27"/>
        <v>3.6499834583606354</v>
      </c>
      <c r="CW69" s="171">
        <f t="shared" si="28"/>
        <v>11.731538546869155</v>
      </c>
      <c r="CX69" s="171">
        <f t="shared" si="29"/>
        <v>11.731538546869155</v>
      </c>
      <c r="CY69" s="171">
        <f t="shared" ca="1" si="30"/>
        <v>11.137537547199752</v>
      </c>
      <c r="CZ69" s="171">
        <f t="shared" ca="1" si="31"/>
        <v>10.573612499307572</v>
      </c>
      <c r="DA69" s="171">
        <f t="shared" ca="1" si="32"/>
        <v>10.038240572632041</v>
      </c>
      <c r="DB69" s="171">
        <f t="shared" ca="1" si="33"/>
        <v>9.5299760418338462</v>
      </c>
      <c r="DC69" s="171">
        <f t="shared" ca="1" si="34"/>
        <v>9.0474463827393468</v>
      </c>
      <c r="DD69" s="171">
        <f t="shared" ca="1" si="35"/>
        <v>8.5893485659583817</v>
      </c>
      <c r="DE69" s="171">
        <f t="shared" ca="1" si="36"/>
        <v>8.1544455381666996</v>
      </c>
      <c r="DF69" s="171">
        <f t="shared" ca="1" si="37"/>
        <v>7.7415628815510091</v>
      </c>
      <c r="DG69" s="171">
        <f t="shared" ca="1" si="38"/>
        <v>7.3495856423957875</v>
      </c>
      <c r="DH69" s="171">
        <f t="shared" ca="1" si="39"/>
        <v>6.9774553202477119</v>
      </c>
      <c r="DI69" s="171">
        <f t="shared" ca="1" si="40"/>
        <v>6.6241670095272207</v>
      </c>
      <c r="DJ69" s="171">
        <f t="shared" ca="1" si="41"/>
        <v>0</v>
      </c>
      <c r="DK69" s="171">
        <f t="shared" ca="1" si="42"/>
        <v>0</v>
      </c>
      <c r="DL69" s="171">
        <f t="shared" ca="1" si="43"/>
        <v>0</v>
      </c>
      <c r="DM69" s="171">
        <f t="shared" ca="1" si="44"/>
        <v>0</v>
      </c>
      <c r="DN69" s="171">
        <f t="shared" ca="1" si="45"/>
        <v>0</v>
      </c>
      <c r="DO69" s="171">
        <f t="shared" ca="1" si="46"/>
        <v>0</v>
      </c>
      <c r="DP69" s="171">
        <f t="shared" ca="1" si="47"/>
        <v>0</v>
      </c>
      <c r="DQ69" s="171">
        <f t="shared" ca="1" si="48"/>
        <v>0</v>
      </c>
      <c r="DR69" s="171">
        <f t="shared" ca="1" si="49"/>
        <v>0</v>
      </c>
      <c r="DS69" s="171">
        <f t="shared" ca="1" si="50"/>
        <v>0</v>
      </c>
      <c r="DT69" s="171">
        <f t="shared" ca="1" si="51"/>
        <v>0</v>
      </c>
      <c r="DU69" s="171">
        <f t="shared" ca="1" si="52"/>
        <v>0</v>
      </c>
      <c r="DV69" s="171">
        <f t="shared" ca="1" si="53"/>
        <v>0</v>
      </c>
      <c r="DW69" s="171">
        <f t="shared" ca="1" si="54"/>
        <v>0</v>
      </c>
      <c r="DX69" s="171">
        <f t="shared" ca="1" si="55"/>
        <v>0</v>
      </c>
      <c r="DY69" s="171">
        <f t="shared" ca="1" si="56"/>
        <v>0</v>
      </c>
      <c r="DZ69" s="171">
        <f t="shared" ca="1" si="57"/>
        <v>0</v>
      </c>
      <c r="EA69" s="171">
        <f t="shared" ca="1" si="58"/>
        <v>0</v>
      </c>
      <c r="EB69" s="171">
        <f t="shared" ca="1" si="59"/>
        <v>0</v>
      </c>
      <c r="EC69" s="171">
        <f t="shared" ca="1" si="60"/>
        <v>0</v>
      </c>
      <c r="ED69" s="171">
        <f t="shared" ca="1" si="61"/>
        <v>0</v>
      </c>
      <c r="EE69" s="171">
        <f t="shared" ca="1" si="62"/>
        <v>0</v>
      </c>
      <c r="EF69" s="171">
        <f t="shared" ca="1" si="63"/>
        <v>0</v>
      </c>
      <c r="EG69" s="171">
        <f t="shared" ca="1" si="64"/>
        <v>0</v>
      </c>
      <c r="EH69" s="171">
        <f t="shared" ca="1" si="65"/>
        <v>0</v>
      </c>
      <c r="EI69" s="171">
        <f t="shared" ca="1" si="66"/>
        <v>0</v>
      </c>
      <c r="EJ69" s="171">
        <f t="shared" ca="1" si="67"/>
        <v>0</v>
      </c>
      <c r="EK69" s="171">
        <f t="shared" ca="1" si="68"/>
        <v>0</v>
      </c>
      <c r="EL69" s="171">
        <f t="shared" ca="1" si="69"/>
        <v>0</v>
      </c>
      <c r="EM69" s="171">
        <f t="shared" ca="1" si="70"/>
        <v>0</v>
      </c>
      <c r="EN69" s="171">
        <f t="shared" ca="1" si="71"/>
        <v>0</v>
      </c>
      <c r="EO69" s="171">
        <f t="shared" ca="1" si="72"/>
        <v>0</v>
      </c>
      <c r="EP69" s="171">
        <f t="shared" ca="1" si="73"/>
        <v>0</v>
      </c>
      <c r="EQ69" s="171">
        <f t="shared" ca="1" si="74"/>
        <v>0</v>
      </c>
      <c r="ER69" s="171">
        <f t="shared" ca="1" si="75"/>
        <v>0</v>
      </c>
      <c r="ES69" s="171">
        <f t="shared" ca="1" si="76"/>
        <v>0</v>
      </c>
    </row>
    <row r="70" spans="1:149">
      <c r="A70" s="139" t="s">
        <v>439</v>
      </c>
      <c r="B70" s="160" t="s">
        <v>437</v>
      </c>
      <c r="C70" s="161" t="s">
        <v>105</v>
      </c>
      <c r="D70" s="161" t="s">
        <v>428</v>
      </c>
      <c r="E70" s="161">
        <v>2012</v>
      </c>
      <c r="F70" s="161" t="s">
        <v>395</v>
      </c>
      <c r="G70" s="161" t="s">
        <v>402</v>
      </c>
      <c r="H70" s="161" t="s">
        <v>396</v>
      </c>
      <c r="I70" s="161" t="s">
        <v>176</v>
      </c>
      <c r="J70" s="161" t="s">
        <v>438</v>
      </c>
      <c r="K70" s="184">
        <v>19.734400000000001</v>
      </c>
      <c r="L70" s="163" t="s">
        <v>110</v>
      </c>
      <c r="M70" s="164">
        <f t="shared" si="0"/>
        <v>19.734400000000001</v>
      </c>
      <c r="N70" s="164">
        <f t="shared" si="1"/>
        <v>19.734400000000001</v>
      </c>
      <c r="O70" s="165">
        <f t="shared" si="2"/>
        <v>1</v>
      </c>
      <c r="P70" s="180">
        <v>2.6897446266474841E-2</v>
      </c>
      <c r="Q70" s="183">
        <v>19.158759716231955</v>
      </c>
      <c r="R70" s="168">
        <f t="shared" si="3"/>
        <v>7.1587597162319554</v>
      </c>
      <c r="S70" s="183">
        <v>6.1170318199528131</v>
      </c>
      <c r="T70" s="170" t="s">
        <v>403</v>
      </c>
      <c r="U70" s="171">
        <f t="shared" si="4"/>
        <v>1.351583177716124</v>
      </c>
      <c r="V70" s="171">
        <f t="shared" ca="1" si="5"/>
        <v>1.2070569098073305</v>
      </c>
      <c r="W70" s="171">
        <f t="shared" ca="1" si="6"/>
        <v>23.125713298816112</v>
      </c>
      <c r="X70" s="172">
        <f t="shared" si="7"/>
        <v>0.2352820549490191</v>
      </c>
      <c r="Y70" s="172">
        <f t="shared" si="8"/>
        <v>0.7647179450509809</v>
      </c>
      <c r="Z70" s="173">
        <f t="shared" si="9"/>
        <v>25.894657338364453</v>
      </c>
      <c r="AA70" s="171">
        <f t="shared" si="83"/>
        <v>0</v>
      </c>
      <c r="AB70" s="171">
        <f t="shared" si="83"/>
        <v>0</v>
      </c>
      <c r="AC70" s="171">
        <f t="shared" si="83"/>
        <v>0.53080496360112117</v>
      </c>
      <c r="AD70" s="171">
        <f t="shared" si="83"/>
        <v>0.53080496360112117</v>
      </c>
      <c r="AE70" s="171">
        <f t="shared" si="83"/>
        <v>0.53080496360112117</v>
      </c>
      <c r="AF70" s="171">
        <f t="shared" si="83"/>
        <v>0.53080496360112117</v>
      </c>
      <c r="AG70" s="171">
        <f t="shared" si="83"/>
        <v>0.53080496360112117</v>
      </c>
      <c r="AH70" s="171">
        <f t="shared" si="83"/>
        <v>0.53080496360112117</v>
      </c>
      <c r="AI70" s="171">
        <f t="shared" si="83"/>
        <v>0.53080496360112117</v>
      </c>
      <c r="AJ70" s="171">
        <f t="shared" si="83"/>
        <v>1.7060786610120464</v>
      </c>
      <c r="AK70" s="171">
        <f t="shared" si="84"/>
        <v>1.7060786610120464</v>
      </c>
      <c r="AL70" s="171">
        <f t="shared" si="84"/>
        <v>1.7060786610120464</v>
      </c>
      <c r="AM70" s="171">
        <f t="shared" si="84"/>
        <v>1.7060786610120464</v>
      </c>
      <c r="AN70" s="171">
        <f t="shared" si="84"/>
        <v>1.7060786610120464</v>
      </c>
      <c r="AO70" s="171">
        <f t="shared" si="84"/>
        <v>1.7060786610120464</v>
      </c>
      <c r="AP70" s="171">
        <f t="shared" si="84"/>
        <v>1.7060786610120464</v>
      </c>
      <c r="AQ70" s="171">
        <f t="shared" si="84"/>
        <v>1.7060786610120464</v>
      </c>
      <c r="AR70" s="171">
        <f t="shared" si="84"/>
        <v>1.7060786610120464</v>
      </c>
      <c r="AS70" s="171">
        <f t="shared" si="84"/>
        <v>1.7060786610120464</v>
      </c>
      <c r="AT70" s="171">
        <f t="shared" si="84"/>
        <v>1.7060786610120464</v>
      </c>
      <c r="AU70" s="171">
        <f t="shared" si="85"/>
        <v>1.7060786610120464</v>
      </c>
      <c r="AV70" s="171">
        <f t="shared" si="85"/>
        <v>1.7060786610120464</v>
      </c>
      <c r="AW70" s="171">
        <f t="shared" si="85"/>
        <v>0</v>
      </c>
      <c r="AX70" s="171">
        <f t="shared" si="85"/>
        <v>0</v>
      </c>
      <c r="AY70" s="171">
        <f t="shared" si="85"/>
        <v>0</v>
      </c>
      <c r="AZ70" s="171">
        <f t="shared" si="85"/>
        <v>0</v>
      </c>
      <c r="BA70" s="171">
        <f t="shared" si="85"/>
        <v>0</v>
      </c>
      <c r="BB70" s="171">
        <f t="shared" si="85"/>
        <v>0</v>
      </c>
      <c r="BC70" s="171">
        <f t="shared" si="85"/>
        <v>0</v>
      </c>
      <c r="BD70" s="171">
        <f t="shared" si="85"/>
        <v>0</v>
      </c>
      <c r="BE70" s="171">
        <f t="shared" si="86"/>
        <v>0</v>
      </c>
      <c r="BF70" s="171">
        <f t="shared" si="86"/>
        <v>0</v>
      </c>
      <c r="BG70" s="171">
        <f t="shared" si="86"/>
        <v>0</v>
      </c>
      <c r="BH70" s="171">
        <f t="shared" si="86"/>
        <v>0</v>
      </c>
      <c r="BI70" s="171">
        <f t="shared" si="86"/>
        <v>0</v>
      </c>
      <c r="BJ70" s="171">
        <f t="shared" si="86"/>
        <v>0</v>
      </c>
      <c r="BK70" s="171">
        <f t="shared" si="86"/>
        <v>0</v>
      </c>
      <c r="BL70" s="171">
        <f t="shared" si="86"/>
        <v>0</v>
      </c>
      <c r="BM70" s="171">
        <f t="shared" si="86"/>
        <v>0</v>
      </c>
      <c r="BN70" s="171">
        <f t="shared" si="86"/>
        <v>0</v>
      </c>
      <c r="BO70" s="171">
        <f t="shared" si="87"/>
        <v>0</v>
      </c>
      <c r="BP70" s="171">
        <f t="shared" si="87"/>
        <v>0</v>
      </c>
      <c r="BQ70" s="171">
        <f t="shared" si="87"/>
        <v>0</v>
      </c>
      <c r="BR70" s="171">
        <f t="shared" si="87"/>
        <v>0</v>
      </c>
      <c r="BS70" s="171">
        <f t="shared" si="87"/>
        <v>0</v>
      </c>
      <c r="BT70" s="171">
        <f t="shared" si="87"/>
        <v>0</v>
      </c>
      <c r="BU70" s="171">
        <f t="shared" si="87"/>
        <v>0</v>
      </c>
      <c r="BV70" s="171">
        <f t="shared" si="87"/>
        <v>0</v>
      </c>
      <c r="BW70" s="171">
        <f t="shared" si="87"/>
        <v>0</v>
      </c>
      <c r="BX70" s="171">
        <f t="shared" si="87"/>
        <v>0</v>
      </c>
      <c r="BY70" s="171">
        <f t="shared" si="88"/>
        <v>0</v>
      </c>
      <c r="BZ70" s="171">
        <f t="shared" si="88"/>
        <v>0</v>
      </c>
      <c r="CA70" s="171">
        <f t="shared" si="88"/>
        <v>0</v>
      </c>
      <c r="CB70" s="171">
        <f t="shared" si="88"/>
        <v>0</v>
      </c>
      <c r="CC70" s="171">
        <f t="shared" si="88"/>
        <v>0</v>
      </c>
      <c r="CD70" s="171">
        <f t="shared" si="88"/>
        <v>0</v>
      </c>
      <c r="CE70" s="171">
        <f t="shared" si="88"/>
        <v>0</v>
      </c>
      <c r="CF70" s="171">
        <f t="shared" si="88"/>
        <v>0</v>
      </c>
      <c r="CG70" s="171">
        <f t="shared" si="88"/>
        <v>0</v>
      </c>
      <c r="CH70" s="171">
        <f t="shared" si="88"/>
        <v>0</v>
      </c>
      <c r="CI70" s="171">
        <f t="shared" si="88"/>
        <v>0</v>
      </c>
      <c r="CJ70" s="243"/>
      <c r="CK70" s="171">
        <f t="shared" si="16"/>
        <v>0</v>
      </c>
      <c r="CL70" s="171">
        <f t="shared" si="17"/>
        <v>0</v>
      </c>
      <c r="CM70" s="171">
        <f t="shared" si="18"/>
        <v>0.53080496360112117</v>
      </c>
      <c r="CN70" s="171">
        <f t="shared" si="19"/>
        <v>0.53080496360112117</v>
      </c>
      <c r="CO70" s="171">
        <f t="shared" si="20"/>
        <v>0.53080496360112117</v>
      </c>
      <c r="CP70" s="171">
        <f t="shared" si="21"/>
        <v>0.53080496360112117</v>
      </c>
      <c r="CQ70" s="171">
        <f t="shared" si="22"/>
        <v>0.53080496360112117</v>
      </c>
      <c r="CR70" s="171">
        <f t="shared" si="23"/>
        <v>0.53080496360112117</v>
      </c>
      <c r="CS70" s="171">
        <f t="shared" si="24"/>
        <v>0.53080496360112117</v>
      </c>
      <c r="CT70" s="171">
        <f t="shared" si="25"/>
        <v>1.7060786610120464</v>
      </c>
      <c r="CU70" s="171">
        <f t="shared" si="26"/>
        <v>1.7060786610120464</v>
      </c>
      <c r="CV70" s="171">
        <f t="shared" si="27"/>
        <v>1.7060786610120464</v>
      </c>
      <c r="CW70" s="171">
        <f t="shared" si="28"/>
        <v>1.7060786610120464</v>
      </c>
      <c r="CX70" s="171">
        <f t="shared" si="29"/>
        <v>1.7060786610120464</v>
      </c>
      <c r="CY70" s="171">
        <f t="shared" ca="1" si="30"/>
        <v>1.6196950697970438</v>
      </c>
      <c r="CZ70" s="171">
        <f t="shared" ca="1" si="31"/>
        <v>1.537685324291344</v>
      </c>
      <c r="DA70" s="171">
        <f t="shared" ca="1" si="32"/>
        <v>1.4598279643076626</v>
      </c>
      <c r="DB70" s="171">
        <f t="shared" ca="1" si="33"/>
        <v>1.3859127428147819</v>
      </c>
      <c r="DC70" s="171">
        <f t="shared" ca="1" si="34"/>
        <v>1.3157400581837244</v>
      </c>
      <c r="DD70" s="171">
        <f t="shared" ca="1" si="35"/>
        <v>1.2491204151809072</v>
      </c>
      <c r="DE70" s="171">
        <f t="shared" ca="1" si="36"/>
        <v>1.1858739132527409</v>
      </c>
      <c r="DF70" s="171">
        <f t="shared" ca="1" si="37"/>
        <v>1.1258297607198251</v>
      </c>
      <c r="DG70" s="171">
        <f t="shared" ca="1" si="38"/>
        <v>0</v>
      </c>
      <c r="DH70" s="171">
        <f t="shared" ca="1" si="39"/>
        <v>0</v>
      </c>
      <c r="DI70" s="171">
        <f t="shared" ca="1" si="40"/>
        <v>0</v>
      </c>
      <c r="DJ70" s="171">
        <f t="shared" ca="1" si="41"/>
        <v>0</v>
      </c>
      <c r="DK70" s="171">
        <f t="shared" ca="1" si="42"/>
        <v>0</v>
      </c>
      <c r="DL70" s="171">
        <f t="shared" ca="1" si="43"/>
        <v>0</v>
      </c>
      <c r="DM70" s="171">
        <f t="shared" ca="1" si="44"/>
        <v>0</v>
      </c>
      <c r="DN70" s="171">
        <f t="shared" ca="1" si="45"/>
        <v>0</v>
      </c>
      <c r="DO70" s="171">
        <f t="shared" ca="1" si="46"/>
        <v>0</v>
      </c>
      <c r="DP70" s="171">
        <f t="shared" ca="1" si="47"/>
        <v>0</v>
      </c>
      <c r="DQ70" s="171">
        <f t="shared" ca="1" si="48"/>
        <v>0</v>
      </c>
      <c r="DR70" s="171">
        <f t="shared" ca="1" si="49"/>
        <v>0</v>
      </c>
      <c r="DS70" s="171">
        <f t="shared" ca="1" si="50"/>
        <v>0</v>
      </c>
      <c r="DT70" s="171">
        <f t="shared" ca="1" si="51"/>
        <v>0</v>
      </c>
      <c r="DU70" s="171">
        <f t="shared" ca="1" si="52"/>
        <v>0</v>
      </c>
      <c r="DV70" s="171">
        <f t="shared" ca="1" si="53"/>
        <v>0</v>
      </c>
      <c r="DW70" s="171">
        <f t="shared" ca="1" si="54"/>
        <v>0</v>
      </c>
      <c r="DX70" s="171">
        <f t="shared" ca="1" si="55"/>
        <v>0</v>
      </c>
      <c r="DY70" s="171">
        <f t="shared" ca="1" si="56"/>
        <v>0</v>
      </c>
      <c r="DZ70" s="171">
        <f t="shared" ca="1" si="57"/>
        <v>0</v>
      </c>
      <c r="EA70" s="171">
        <f t="shared" ca="1" si="58"/>
        <v>0</v>
      </c>
      <c r="EB70" s="171">
        <f t="shared" ca="1" si="59"/>
        <v>0</v>
      </c>
      <c r="EC70" s="171">
        <f t="shared" ca="1" si="60"/>
        <v>0</v>
      </c>
      <c r="ED70" s="171">
        <f t="shared" ca="1" si="61"/>
        <v>0</v>
      </c>
      <c r="EE70" s="171">
        <f t="shared" ca="1" si="62"/>
        <v>0</v>
      </c>
      <c r="EF70" s="171">
        <f t="shared" ca="1" si="63"/>
        <v>0</v>
      </c>
      <c r="EG70" s="171">
        <f t="shared" ca="1" si="64"/>
        <v>0</v>
      </c>
      <c r="EH70" s="171">
        <f t="shared" ca="1" si="65"/>
        <v>0</v>
      </c>
      <c r="EI70" s="171">
        <f t="shared" ca="1" si="66"/>
        <v>0</v>
      </c>
      <c r="EJ70" s="171">
        <f t="shared" ca="1" si="67"/>
        <v>0</v>
      </c>
      <c r="EK70" s="171">
        <f t="shared" ca="1" si="68"/>
        <v>0</v>
      </c>
      <c r="EL70" s="171">
        <f t="shared" ca="1" si="69"/>
        <v>0</v>
      </c>
      <c r="EM70" s="171">
        <f t="shared" ca="1" si="70"/>
        <v>0</v>
      </c>
      <c r="EN70" s="171">
        <f t="shared" ca="1" si="71"/>
        <v>0</v>
      </c>
      <c r="EO70" s="171">
        <f t="shared" ca="1" si="72"/>
        <v>0</v>
      </c>
      <c r="EP70" s="171">
        <f t="shared" ca="1" si="73"/>
        <v>0</v>
      </c>
      <c r="EQ70" s="171">
        <f t="shared" ca="1" si="74"/>
        <v>0</v>
      </c>
      <c r="ER70" s="171">
        <f t="shared" ca="1" si="75"/>
        <v>0</v>
      </c>
      <c r="ES70" s="171">
        <f t="shared" ca="1" si="76"/>
        <v>0</v>
      </c>
    </row>
    <row r="71" spans="1:149">
      <c r="A71" s="139" t="s">
        <v>440</v>
      </c>
      <c r="B71" s="160" t="s">
        <v>437</v>
      </c>
      <c r="C71" s="160" t="s">
        <v>105</v>
      </c>
      <c r="D71" s="161" t="s">
        <v>428</v>
      </c>
      <c r="E71" s="160">
        <v>2012</v>
      </c>
      <c r="F71" s="160" t="s">
        <v>395</v>
      </c>
      <c r="G71" s="160" t="s">
        <v>402</v>
      </c>
      <c r="H71" s="160" t="s">
        <v>396</v>
      </c>
      <c r="I71" s="160" t="s">
        <v>176</v>
      </c>
      <c r="J71" s="160" t="s">
        <v>438</v>
      </c>
      <c r="K71" s="187">
        <v>56.212800000000001</v>
      </c>
      <c r="L71" s="163" t="s">
        <v>110</v>
      </c>
      <c r="M71" s="164">
        <f t="shared" si="0"/>
        <v>56.212800000000001</v>
      </c>
      <c r="N71" s="164">
        <f t="shared" si="1"/>
        <v>56.212800000000001</v>
      </c>
      <c r="O71" s="165">
        <f t="shared" si="2"/>
        <v>1</v>
      </c>
      <c r="P71" s="180">
        <v>2.6897446266474841E-2</v>
      </c>
      <c r="Q71" s="183">
        <v>19.158759716231955</v>
      </c>
      <c r="R71" s="168">
        <f t="shared" si="3"/>
        <v>7.1587597162319554</v>
      </c>
      <c r="S71" s="183">
        <v>6.1170318199528131</v>
      </c>
      <c r="T71" s="170" t="s">
        <v>403</v>
      </c>
      <c r="U71" s="171">
        <f t="shared" si="4"/>
        <v>3.8499409585455306</v>
      </c>
      <c r="V71" s="171">
        <f t="shared" ca="1" si="5"/>
        <v>3.438262559774683</v>
      </c>
      <c r="W71" s="171">
        <f t="shared" ca="1" si="6"/>
        <v>65.872846224039762</v>
      </c>
      <c r="X71" s="172">
        <f t="shared" si="7"/>
        <v>0.2352820549490191</v>
      </c>
      <c r="Y71" s="172">
        <f t="shared" si="8"/>
        <v>0.7647179450509809</v>
      </c>
      <c r="Z71" s="173">
        <f t="shared" si="9"/>
        <v>73.760093746453549</v>
      </c>
      <c r="AA71" s="171">
        <f t="shared" si="83"/>
        <v>0</v>
      </c>
      <c r="AB71" s="171">
        <f t="shared" si="83"/>
        <v>0</v>
      </c>
      <c r="AC71" s="171">
        <f t="shared" si="83"/>
        <v>1.511980767488097</v>
      </c>
      <c r="AD71" s="171">
        <f t="shared" si="83"/>
        <v>1.511980767488097</v>
      </c>
      <c r="AE71" s="171">
        <f t="shared" si="83"/>
        <v>1.511980767488097</v>
      </c>
      <c r="AF71" s="171">
        <f t="shared" si="83"/>
        <v>1.511980767488097</v>
      </c>
      <c r="AG71" s="171">
        <f t="shared" si="83"/>
        <v>1.511980767488097</v>
      </c>
      <c r="AH71" s="171">
        <f t="shared" si="83"/>
        <v>1.511980767488097</v>
      </c>
      <c r="AI71" s="171">
        <f t="shared" si="83"/>
        <v>1.511980767488097</v>
      </c>
      <c r="AJ71" s="171">
        <f t="shared" si="83"/>
        <v>4.8597098749259144</v>
      </c>
      <c r="AK71" s="171">
        <f t="shared" si="84"/>
        <v>4.8597098749259144</v>
      </c>
      <c r="AL71" s="171">
        <f t="shared" si="84"/>
        <v>4.8597098749259144</v>
      </c>
      <c r="AM71" s="171">
        <f t="shared" si="84"/>
        <v>4.8597098749259144</v>
      </c>
      <c r="AN71" s="171">
        <f t="shared" si="84"/>
        <v>4.8597098749259144</v>
      </c>
      <c r="AO71" s="171">
        <f t="shared" si="84"/>
        <v>4.8597098749259144</v>
      </c>
      <c r="AP71" s="171">
        <f t="shared" si="84"/>
        <v>4.8597098749259144</v>
      </c>
      <c r="AQ71" s="171">
        <f t="shared" si="84"/>
        <v>4.8597098749259144</v>
      </c>
      <c r="AR71" s="171">
        <f t="shared" si="84"/>
        <v>4.8597098749259144</v>
      </c>
      <c r="AS71" s="171">
        <f t="shared" si="84"/>
        <v>4.8597098749259144</v>
      </c>
      <c r="AT71" s="171">
        <f t="shared" si="84"/>
        <v>4.8597098749259144</v>
      </c>
      <c r="AU71" s="171">
        <f t="shared" si="85"/>
        <v>4.8597098749259144</v>
      </c>
      <c r="AV71" s="171">
        <f t="shared" si="85"/>
        <v>4.8597098749259144</v>
      </c>
      <c r="AW71" s="171">
        <f t="shared" si="85"/>
        <v>0</v>
      </c>
      <c r="AX71" s="171">
        <f t="shared" si="85"/>
        <v>0</v>
      </c>
      <c r="AY71" s="171">
        <f t="shared" si="85"/>
        <v>0</v>
      </c>
      <c r="AZ71" s="171">
        <f t="shared" si="85"/>
        <v>0</v>
      </c>
      <c r="BA71" s="171">
        <f t="shared" si="85"/>
        <v>0</v>
      </c>
      <c r="BB71" s="171">
        <f t="shared" si="85"/>
        <v>0</v>
      </c>
      <c r="BC71" s="171">
        <f t="shared" si="85"/>
        <v>0</v>
      </c>
      <c r="BD71" s="171">
        <f t="shared" si="85"/>
        <v>0</v>
      </c>
      <c r="BE71" s="171">
        <f t="shared" si="86"/>
        <v>0</v>
      </c>
      <c r="BF71" s="171">
        <f t="shared" si="86"/>
        <v>0</v>
      </c>
      <c r="BG71" s="171">
        <f t="shared" si="86"/>
        <v>0</v>
      </c>
      <c r="BH71" s="171">
        <f t="shared" si="86"/>
        <v>0</v>
      </c>
      <c r="BI71" s="171">
        <f t="shared" si="86"/>
        <v>0</v>
      </c>
      <c r="BJ71" s="171">
        <f t="shared" si="86"/>
        <v>0</v>
      </c>
      <c r="BK71" s="171">
        <f t="shared" si="86"/>
        <v>0</v>
      </c>
      <c r="BL71" s="171">
        <f t="shared" si="86"/>
        <v>0</v>
      </c>
      <c r="BM71" s="171">
        <f t="shared" si="86"/>
        <v>0</v>
      </c>
      <c r="BN71" s="171">
        <f t="shared" si="86"/>
        <v>0</v>
      </c>
      <c r="BO71" s="171">
        <f t="shared" si="87"/>
        <v>0</v>
      </c>
      <c r="BP71" s="171">
        <f t="shared" si="87"/>
        <v>0</v>
      </c>
      <c r="BQ71" s="171">
        <f t="shared" si="87"/>
        <v>0</v>
      </c>
      <c r="BR71" s="171">
        <f t="shared" si="87"/>
        <v>0</v>
      </c>
      <c r="BS71" s="171">
        <f t="shared" si="87"/>
        <v>0</v>
      </c>
      <c r="BT71" s="171">
        <f t="shared" si="87"/>
        <v>0</v>
      </c>
      <c r="BU71" s="171">
        <f t="shared" si="87"/>
        <v>0</v>
      </c>
      <c r="BV71" s="171">
        <f t="shared" si="87"/>
        <v>0</v>
      </c>
      <c r="BW71" s="171">
        <f t="shared" si="87"/>
        <v>0</v>
      </c>
      <c r="BX71" s="171">
        <f t="shared" si="87"/>
        <v>0</v>
      </c>
      <c r="BY71" s="171">
        <f t="shared" si="88"/>
        <v>0</v>
      </c>
      <c r="BZ71" s="171">
        <f t="shared" si="88"/>
        <v>0</v>
      </c>
      <c r="CA71" s="171">
        <f t="shared" si="88"/>
        <v>0</v>
      </c>
      <c r="CB71" s="171">
        <f t="shared" si="88"/>
        <v>0</v>
      </c>
      <c r="CC71" s="171">
        <f t="shared" si="88"/>
        <v>0</v>
      </c>
      <c r="CD71" s="171">
        <f t="shared" si="88"/>
        <v>0</v>
      </c>
      <c r="CE71" s="171">
        <f t="shared" si="88"/>
        <v>0</v>
      </c>
      <c r="CF71" s="171">
        <f t="shared" si="88"/>
        <v>0</v>
      </c>
      <c r="CG71" s="171">
        <f t="shared" si="88"/>
        <v>0</v>
      </c>
      <c r="CH71" s="171">
        <f t="shared" si="88"/>
        <v>0</v>
      </c>
      <c r="CI71" s="171">
        <f t="shared" si="88"/>
        <v>0</v>
      </c>
      <c r="CJ71" s="243"/>
      <c r="CK71" s="171">
        <f t="shared" si="16"/>
        <v>0</v>
      </c>
      <c r="CL71" s="171">
        <f t="shared" si="17"/>
        <v>0</v>
      </c>
      <c r="CM71" s="171">
        <f t="shared" si="18"/>
        <v>1.511980767488097</v>
      </c>
      <c r="CN71" s="171">
        <f t="shared" si="19"/>
        <v>1.511980767488097</v>
      </c>
      <c r="CO71" s="171">
        <f t="shared" si="20"/>
        <v>1.511980767488097</v>
      </c>
      <c r="CP71" s="171">
        <f t="shared" si="21"/>
        <v>1.511980767488097</v>
      </c>
      <c r="CQ71" s="171">
        <f t="shared" si="22"/>
        <v>1.511980767488097</v>
      </c>
      <c r="CR71" s="171">
        <f t="shared" si="23"/>
        <v>1.511980767488097</v>
      </c>
      <c r="CS71" s="171">
        <f t="shared" si="24"/>
        <v>1.511980767488097</v>
      </c>
      <c r="CT71" s="171">
        <f t="shared" si="25"/>
        <v>4.8597098749259144</v>
      </c>
      <c r="CU71" s="171">
        <f t="shared" si="26"/>
        <v>4.8597098749259144</v>
      </c>
      <c r="CV71" s="171">
        <f t="shared" si="27"/>
        <v>4.8597098749259144</v>
      </c>
      <c r="CW71" s="171">
        <f t="shared" si="28"/>
        <v>4.8597098749259144</v>
      </c>
      <c r="CX71" s="171">
        <f t="shared" si="29"/>
        <v>4.8597098749259144</v>
      </c>
      <c r="CY71" s="171">
        <f t="shared" ca="1" si="30"/>
        <v>4.6136490098248375</v>
      </c>
      <c r="CZ71" s="171">
        <f t="shared" ca="1" si="31"/>
        <v>4.3800469027345379</v>
      </c>
      <c r="DA71" s="171">
        <f t="shared" ca="1" si="32"/>
        <v>4.1582727314756855</v>
      </c>
      <c r="DB71" s="171">
        <f t="shared" ca="1" si="33"/>
        <v>3.9477276141812658</v>
      </c>
      <c r="DC71" s="171">
        <f t="shared" ca="1" si="34"/>
        <v>3.7478429920681684</v>
      </c>
      <c r="DD71" s="171">
        <f t="shared" ca="1" si="35"/>
        <v>3.5580790940936287</v>
      </c>
      <c r="DE71" s="171">
        <f t="shared" ca="1" si="36"/>
        <v>3.3779234793504584</v>
      </c>
      <c r="DF71" s="171">
        <f t="shared" ca="1" si="37"/>
        <v>3.2068896532649274</v>
      </c>
      <c r="DG71" s="171">
        <f t="shared" ca="1" si="38"/>
        <v>0</v>
      </c>
      <c r="DH71" s="171">
        <f t="shared" ca="1" si="39"/>
        <v>0</v>
      </c>
      <c r="DI71" s="171">
        <f t="shared" ca="1" si="40"/>
        <v>0</v>
      </c>
      <c r="DJ71" s="171">
        <f t="shared" ca="1" si="41"/>
        <v>0</v>
      </c>
      <c r="DK71" s="171">
        <f t="shared" ca="1" si="42"/>
        <v>0</v>
      </c>
      <c r="DL71" s="171">
        <f t="shared" ca="1" si="43"/>
        <v>0</v>
      </c>
      <c r="DM71" s="171">
        <f t="shared" ca="1" si="44"/>
        <v>0</v>
      </c>
      <c r="DN71" s="171">
        <f t="shared" ca="1" si="45"/>
        <v>0</v>
      </c>
      <c r="DO71" s="171">
        <f t="shared" ca="1" si="46"/>
        <v>0</v>
      </c>
      <c r="DP71" s="171">
        <f t="shared" ca="1" si="47"/>
        <v>0</v>
      </c>
      <c r="DQ71" s="171">
        <f t="shared" ca="1" si="48"/>
        <v>0</v>
      </c>
      <c r="DR71" s="171">
        <f t="shared" ca="1" si="49"/>
        <v>0</v>
      </c>
      <c r="DS71" s="171">
        <f t="shared" ca="1" si="50"/>
        <v>0</v>
      </c>
      <c r="DT71" s="171">
        <f t="shared" ca="1" si="51"/>
        <v>0</v>
      </c>
      <c r="DU71" s="171">
        <f t="shared" ca="1" si="52"/>
        <v>0</v>
      </c>
      <c r="DV71" s="171">
        <f t="shared" ca="1" si="53"/>
        <v>0</v>
      </c>
      <c r="DW71" s="171">
        <f t="shared" ca="1" si="54"/>
        <v>0</v>
      </c>
      <c r="DX71" s="171">
        <f t="shared" ca="1" si="55"/>
        <v>0</v>
      </c>
      <c r="DY71" s="171">
        <f t="shared" ca="1" si="56"/>
        <v>0</v>
      </c>
      <c r="DZ71" s="171">
        <f t="shared" ca="1" si="57"/>
        <v>0</v>
      </c>
      <c r="EA71" s="171">
        <f t="shared" ca="1" si="58"/>
        <v>0</v>
      </c>
      <c r="EB71" s="171">
        <f t="shared" ca="1" si="59"/>
        <v>0</v>
      </c>
      <c r="EC71" s="171">
        <f t="shared" ca="1" si="60"/>
        <v>0</v>
      </c>
      <c r="ED71" s="171">
        <f t="shared" ca="1" si="61"/>
        <v>0</v>
      </c>
      <c r="EE71" s="171">
        <f t="shared" ca="1" si="62"/>
        <v>0</v>
      </c>
      <c r="EF71" s="171">
        <f t="shared" ca="1" si="63"/>
        <v>0</v>
      </c>
      <c r="EG71" s="171">
        <f t="shared" ca="1" si="64"/>
        <v>0</v>
      </c>
      <c r="EH71" s="171">
        <f t="shared" ca="1" si="65"/>
        <v>0</v>
      </c>
      <c r="EI71" s="171">
        <f t="shared" ca="1" si="66"/>
        <v>0</v>
      </c>
      <c r="EJ71" s="171">
        <f t="shared" ca="1" si="67"/>
        <v>0</v>
      </c>
      <c r="EK71" s="171">
        <f t="shared" ca="1" si="68"/>
        <v>0</v>
      </c>
      <c r="EL71" s="171">
        <f t="shared" ca="1" si="69"/>
        <v>0</v>
      </c>
      <c r="EM71" s="171">
        <f t="shared" ca="1" si="70"/>
        <v>0</v>
      </c>
      <c r="EN71" s="171">
        <f t="shared" ca="1" si="71"/>
        <v>0</v>
      </c>
      <c r="EO71" s="171">
        <f t="shared" ca="1" si="72"/>
        <v>0</v>
      </c>
      <c r="EP71" s="171">
        <f t="shared" ca="1" si="73"/>
        <v>0</v>
      </c>
      <c r="EQ71" s="171">
        <f t="shared" ca="1" si="74"/>
        <v>0</v>
      </c>
      <c r="ER71" s="171">
        <f t="shared" ca="1" si="75"/>
        <v>0</v>
      </c>
      <c r="ES71" s="171">
        <f t="shared" ca="1" si="76"/>
        <v>0</v>
      </c>
    </row>
    <row r="72" spans="1:149">
      <c r="A72" s="139" t="s">
        <v>441</v>
      </c>
      <c r="B72" s="160" t="s">
        <v>413</v>
      </c>
      <c r="C72" s="161" t="s">
        <v>34</v>
      </c>
      <c r="D72" s="161" t="s">
        <v>417</v>
      </c>
      <c r="E72" s="161">
        <v>2012</v>
      </c>
      <c r="F72" s="161" t="s">
        <v>405</v>
      </c>
      <c r="G72" s="161" t="s">
        <v>402</v>
      </c>
      <c r="H72" s="161" t="s">
        <v>406</v>
      </c>
      <c r="I72" s="161" t="s">
        <v>184</v>
      </c>
      <c r="J72" s="161" t="s">
        <v>407</v>
      </c>
      <c r="K72" s="187">
        <v>27</v>
      </c>
      <c r="L72" s="163" t="s">
        <v>110</v>
      </c>
      <c r="M72" s="164">
        <f t="shared" si="0"/>
        <v>27</v>
      </c>
      <c r="N72" s="164">
        <f t="shared" si="1"/>
        <v>27</v>
      </c>
      <c r="O72" s="165">
        <f t="shared" si="2"/>
        <v>1</v>
      </c>
      <c r="P72" s="190">
        <v>8.2400000000000001E-2</v>
      </c>
      <c r="Q72" s="191">
        <v>15</v>
      </c>
      <c r="R72" s="168">
        <f t="shared" si="3"/>
        <v>3</v>
      </c>
      <c r="S72" s="178">
        <v>1.5</v>
      </c>
      <c r="T72" s="170" t="s">
        <v>403</v>
      </c>
      <c r="U72" s="171">
        <f t="shared" si="4"/>
        <v>3.3379077957221011</v>
      </c>
      <c r="V72" s="171">
        <f t="shared" ca="1" si="5"/>
        <v>3.2333459833475229</v>
      </c>
      <c r="W72" s="171">
        <f t="shared" ca="1" si="6"/>
        <v>48.50018975021284</v>
      </c>
      <c r="X72" s="172">
        <f t="shared" si="7"/>
        <v>0.60136487182312048</v>
      </c>
      <c r="Y72" s="172">
        <f t="shared" si="8"/>
        <v>0.39863512817687952</v>
      </c>
      <c r="Z72" s="173">
        <f t="shared" si="9"/>
        <v>50.068616935831514</v>
      </c>
      <c r="AA72" s="171">
        <f t="shared" si="83"/>
        <v>0</v>
      </c>
      <c r="AB72" s="171">
        <f t="shared" si="83"/>
        <v>0</v>
      </c>
      <c r="AC72" s="171">
        <f t="shared" si="83"/>
        <v>2.2248000000000001</v>
      </c>
      <c r="AD72" s="171">
        <f t="shared" si="83"/>
        <v>2.2248000000000001</v>
      </c>
      <c r="AE72" s="171">
        <f t="shared" si="83"/>
        <v>3.2585012097022505</v>
      </c>
      <c r="AF72" s="171">
        <f t="shared" si="83"/>
        <v>3.2585012097022505</v>
      </c>
      <c r="AG72" s="171">
        <f t="shared" si="83"/>
        <v>3.2585012097022505</v>
      </c>
      <c r="AH72" s="171">
        <f t="shared" si="83"/>
        <v>3.2585012097022505</v>
      </c>
      <c r="AI72" s="171">
        <f t="shared" si="83"/>
        <v>3.2585012097022505</v>
      </c>
      <c r="AJ72" s="171">
        <f t="shared" si="83"/>
        <v>3.2585012097022505</v>
      </c>
      <c r="AK72" s="171">
        <f t="shared" si="84"/>
        <v>3.2585012097022505</v>
      </c>
      <c r="AL72" s="171">
        <f t="shared" si="84"/>
        <v>3.2585012097022505</v>
      </c>
      <c r="AM72" s="171">
        <f t="shared" si="84"/>
        <v>3.2585012097022505</v>
      </c>
      <c r="AN72" s="171">
        <f t="shared" si="84"/>
        <v>3.2585012097022505</v>
      </c>
      <c r="AO72" s="171">
        <f t="shared" si="84"/>
        <v>3.2585012097022505</v>
      </c>
      <c r="AP72" s="171">
        <f t="shared" si="84"/>
        <v>3.2585012097022505</v>
      </c>
      <c r="AQ72" s="171">
        <f t="shared" si="84"/>
        <v>3.2585012097022505</v>
      </c>
      <c r="AR72" s="171">
        <f t="shared" si="84"/>
        <v>3.2585012097022505</v>
      </c>
      <c r="AS72" s="171">
        <f t="shared" si="84"/>
        <v>0</v>
      </c>
      <c r="AT72" s="171">
        <f t="shared" si="84"/>
        <v>0</v>
      </c>
      <c r="AU72" s="171">
        <f t="shared" si="85"/>
        <v>0</v>
      </c>
      <c r="AV72" s="171">
        <f t="shared" si="85"/>
        <v>0</v>
      </c>
      <c r="AW72" s="171">
        <f t="shared" si="85"/>
        <v>0</v>
      </c>
      <c r="AX72" s="171">
        <f t="shared" si="85"/>
        <v>0</v>
      </c>
      <c r="AY72" s="171">
        <f t="shared" si="85"/>
        <v>0</v>
      </c>
      <c r="AZ72" s="171">
        <f t="shared" si="85"/>
        <v>0</v>
      </c>
      <c r="BA72" s="171">
        <f t="shared" si="85"/>
        <v>0</v>
      </c>
      <c r="BB72" s="171">
        <f t="shared" si="85"/>
        <v>0</v>
      </c>
      <c r="BC72" s="171">
        <f t="shared" si="85"/>
        <v>0</v>
      </c>
      <c r="BD72" s="171">
        <f t="shared" si="85"/>
        <v>0</v>
      </c>
      <c r="BE72" s="171">
        <f t="shared" si="86"/>
        <v>0</v>
      </c>
      <c r="BF72" s="171">
        <f t="shared" si="86"/>
        <v>0</v>
      </c>
      <c r="BG72" s="171">
        <f t="shared" si="86"/>
        <v>0</v>
      </c>
      <c r="BH72" s="171">
        <f t="shared" si="86"/>
        <v>0</v>
      </c>
      <c r="BI72" s="171">
        <f t="shared" si="86"/>
        <v>0</v>
      </c>
      <c r="BJ72" s="171">
        <f t="shared" si="86"/>
        <v>0</v>
      </c>
      <c r="BK72" s="171">
        <f t="shared" si="86"/>
        <v>0</v>
      </c>
      <c r="BL72" s="171">
        <f t="shared" si="86"/>
        <v>0</v>
      </c>
      <c r="BM72" s="171">
        <f t="shared" si="86"/>
        <v>0</v>
      </c>
      <c r="BN72" s="171">
        <f t="shared" si="86"/>
        <v>0</v>
      </c>
      <c r="BO72" s="171">
        <f t="shared" si="87"/>
        <v>0</v>
      </c>
      <c r="BP72" s="171">
        <f t="shared" si="87"/>
        <v>0</v>
      </c>
      <c r="BQ72" s="171">
        <f t="shared" si="87"/>
        <v>0</v>
      </c>
      <c r="BR72" s="171">
        <f t="shared" si="87"/>
        <v>0</v>
      </c>
      <c r="BS72" s="171">
        <f t="shared" si="87"/>
        <v>0</v>
      </c>
      <c r="BT72" s="171">
        <f t="shared" si="87"/>
        <v>0</v>
      </c>
      <c r="BU72" s="171">
        <f t="shared" si="87"/>
        <v>0</v>
      </c>
      <c r="BV72" s="171">
        <f t="shared" si="87"/>
        <v>0</v>
      </c>
      <c r="BW72" s="171">
        <f t="shared" si="87"/>
        <v>0</v>
      </c>
      <c r="BX72" s="171">
        <f t="shared" si="87"/>
        <v>0</v>
      </c>
      <c r="BY72" s="171">
        <f t="shared" si="88"/>
        <v>0</v>
      </c>
      <c r="BZ72" s="171">
        <f t="shared" si="88"/>
        <v>0</v>
      </c>
      <c r="CA72" s="171">
        <f t="shared" si="88"/>
        <v>0</v>
      </c>
      <c r="CB72" s="171">
        <f t="shared" si="88"/>
        <v>0</v>
      </c>
      <c r="CC72" s="171">
        <f t="shared" si="88"/>
        <v>0</v>
      </c>
      <c r="CD72" s="171">
        <f t="shared" si="88"/>
        <v>0</v>
      </c>
      <c r="CE72" s="171">
        <f t="shared" si="88"/>
        <v>0</v>
      </c>
      <c r="CF72" s="171">
        <f t="shared" si="88"/>
        <v>0</v>
      </c>
      <c r="CG72" s="171">
        <f t="shared" si="88"/>
        <v>0</v>
      </c>
      <c r="CH72" s="171">
        <f t="shared" si="88"/>
        <v>0</v>
      </c>
      <c r="CI72" s="171">
        <f t="shared" si="88"/>
        <v>0</v>
      </c>
      <c r="CJ72" s="243"/>
      <c r="CK72" s="171">
        <f t="shared" si="16"/>
        <v>0</v>
      </c>
      <c r="CL72" s="171">
        <f t="shared" si="17"/>
        <v>0</v>
      </c>
      <c r="CM72" s="171">
        <f t="shared" si="18"/>
        <v>2.2248000000000001</v>
      </c>
      <c r="CN72" s="171">
        <f t="shared" si="19"/>
        <v>2.2248000000000001</v>
      </c>
      <c r="CO72" s="171">
        <f t="shared" si="20"/>
        <v>3.2585012097022505</v>
      </c>
      <c r="CP72" s="171">
        <f t="shared" si="21"/>
        <v>3.2585012097022505</v>
      </c>
      <c r="CQ72" s="171">
        <f t="shared" si="22"/>
        <v>3.2585012097022505</v>
      </c>
      <c r="CR72" s="171">
        <f t="shared" si="23"/>
        <v>3.2585012097022505</v>
      </c>
      <c r="CS72" s="171">
        <f t="shared" si="24"/>
        <v>3.2585012097022505</v>
      </c>
      <c r="CT72" s="171">
        <f t="shared" si="25"/>
        <v>3.2585012097022505</v>
      </c>
      <c r="CU72" s="171">
        <f t="shared" si="26"/>
        <v>3.2585012097022505</v>
      </c>
      <c r="CV72" s="171">
        <f t="shared" si="27"/>
        <v>3.2585012097022505</v>
      </c>
      <c r="CW72" s="171">
        <f t="shared" si="28"/>
        <v>3.2585012097022505</v>
      </c>
      <c r="CX72" s="171">
        <f t="shared" si="29"/>
        <v>3.2585012097022505</v>
      </c>
      <c r="CY72" s="171">
        <f t="shared" ca="1" si="30"/>
        <v>3.0935140711224056</v>
      </c>
      <c r="CZ72" s="171">
        <f t="shared" ca="1" si="31"/>
        <v>2.9368806983216604</v>
      </c>
      <c r="DA72" s="171">
        <f t="shared" ca="1" si="32"/>
        <v>2.7881781164954766</v>
      </c>
      <c r="DB72" s="171">
        <f t="shared" ca="1" si="33"/>
        <v>2.6470047672507895</v>
      </c>
      <c r="DC72" s="171">
        <f t="shared" ca="1" si="34"/>
        <v>0</v>
      </c>
      <c r="DD72" s="171">
        <f t="shared" ca="1" si="35"/>
        <v>0</v>
      </c>
      <c r="DE72" s="171">
        <f t="shared" ca="1" si="36"/>
        <v>0</v>
      </c>
      <c r="DF72" s="171">
        <f t="shared" ca="1" si="37"/>
        <v>0</v>
      </c>
      <c r="DG72" s="171">
        <f t="shared" ca="1" si="38"/>
        <v>0</v>
      </c>
      <c r="DH72" s="171">
        <f t="shared" ca="1" si="39"/>
        <v>0</v>
      </c>
      <c r="DI72" s="171">
        <f t="shared" ca="1" si="40"/>
        <v>0</v>
      </c>
      <c r="DJ72" s="171">
        <f t="shared" ca="1" si="41"/>
        <v>0</v>
      </c>
      <c r="DK72" s="171">
        <f t="shared" ca="1" si="42"/>
        <v>0</v>
      </c>
      <c r="DL72" s="171">
        <f t="shared" ca="1" si="43"/>
        <v>0</v>
      </c>
      <c r="DM72" s="171">
        <f t="shared" ca="1" si="44"/>
        <v>0</v>
      </c>
      <c r="DN72" s="171">
        <f t="shared" ca="1" si="45"/>
        <v>0</v>
      </c>
      <c r="DO72" s="171">
        <f t="shared" ca="1" si="46"/>
        <v>0</v>
      </c>
      <c r="DP72" s="171">
        <f t="shared" ca="1" si="47"/>
        <v>0</v>
      </c>
      <c r="DQ72" s="171">
        <f t="shared" ca="1" si="48"/>
        <v>0</v>
      </c>
      <c r="DR72" s="171">
        <f t="shared" ca="1" si="49"/>
        <v>0</v>
      </c>
      <c r="DS72" s="171">
        <f t="shared" ca="1" si="50"/>
        <v>0</v>
      </c>
      <c r="DT72" s="171">
        <f t="shared" ca="1" si="51"/>
        <v>0</v>
      </c>
      <c r="DU72" s="171">
        <f t="shared" ca="1" si="52"/>
        <v>0</v>
      </c>
      <c r="DV72" s="171">
        <f t="shared" ca="1" si="53"/>
        <v>0</v>
      </c>
      <c r="DW72" s="171">
        <f t="shared" ca="1" si="54"/>
        <v>0</v>
      </c>
      <c r="DX72" s="171">
        <f t="shared" ca="1" si="55"/>
        <v>0</v>
      </c>
      <c r="DY72" s="171">
        <f t="shared" ca="1" si="56"/>
        <v>0</v>
      </c>
      <c r="DZ72" s="171">
        <f t="shared" ca="1" si="57"/>
        <v>0</v>
      </c>
      <c r="EA72" s="171">
        <f t="shared" ca="1" si="58"/>
        <v>0</v>
      </c>
      <c r="EB72" s="171">
        <f t="shared" ca="1" si="59"/>
        <v>0</v>
      </c>
      <c r="EC72" s="171">
        <f t="shared" ca="1" si="60"/>
        <v>0</v>
      </c>
      <c r="ED72" s="171">
        <f t="shared" ca="1" si="61"/>
        <v>0</v>
      </c>
      <c r="EE72" s="171">
        <f t="shared" ca="1" si="62"/>
        <v>0</v>
      </c>
      <c r="EF72" s="171">
        <f t="shared" ca="1" si="63"/>
        <v>0</v>
      </c>
      <c r="EG72" s="171">
        <f t="shared" ca="1" si="64"/>
        <v>0</v>
      </c>
      <c r="EH72" s="171">
        <f t="shared" ca="1" si="65"/>
        <v>0</v>
      </c>
      <c r="EI72" s="171">
        <f t="shared" ca="1" si="66"/>
        <v>0</v>
      </c>
      <c r="EJ72" s="171">
        <f t="shared" ca="1" si="67"/>
        <v>0</v>
      </c>
      <c r="EK72" s="171">
        <f t="shared" ca="1" si="68"/>
        <v>0</v>
      </c>
      <c r="EL72" s="171">
        <f t="shared" ca="1" si="69"/>
        <v>0</v>
      </c>
      <c r="EM72" s="171">
        <f t="shared" ca="1" si="70"/>
        <v>0</v>
      </c>
      <c r="EN72" s="171">
        <f t="shared" ca="1" si="71"/>
        <v>0</v>
      </c>
      <c r="EO72" s="171">
        <f t="shared" ca="1" si="72"/>
        <v>0</v>
      </c>
      <c r="EP72" s="171">
        <f t="shared" ca="1" si="73"/>
        <v>0</v>
      </c>
      <c r="EQ72" s="171">
        <f t="shared" ca="1" si="74"/>
        <v>0</v>
      </c>
      <c r="ER72" s="171">
        <f t="shared" ca="1" si="75"/>
        <v>0</v>
      </c>
      <c r="ES72" s="171">
        <f t="shared" ca="1" si="76"/>
        <v>0</v>
      </c>
    </row>
    <row r="73" spans="1:149">
      <c r="A73" s="139" t="s">
        <v>441</v>
      </c>
      <c r="B73" s="160" t="s">
        <v>442</v>
      </c>
      <c r="C73" s="160" t="s">
        <v>34</v>
      </c>
      <c r="D73" s="161" t="s">
        <v>417</v>
      </c>
      <c r="E73" s="160">
        <v>2011</v>
      </c>
      <c r="F73" s="160" t="s">
        <v>395</v>
      </c>
      <c r="G73" s="160" t="s">
        <v>402</v>
      </c>
      <c r="H73" s="160" t="s">
        <v>396</v>
      </c>
      <c r="I73" s="160" t="s">
        <v>178</v>
      </c>
      <c r="J73" s="160" t="s">
        <v>407</v>
      </c>
      <c r="K73" s="187">
        <v>27</v>
      </c>
      <c r="L73" s="163" t="s">
        <v>110</v>
      </c>
      <c r="M73" s="164">
        <f t="shared" si="0"/>
        <v>27</v>
      </c>
      <c r="N73" s="164">
        <f t="shared" si="1"/>
        <v>27</v>
      </c>
      <c r="O73" s="165">
        <f t="shared" si="2"/>
        <v>1</v>
      </c>
      <c r="P73" s="190">
        <v>8.2400000000000001E-2</v>
      </c>
      <c r="Q73" s="191">
        <v>15</v>
      </c>
      <c r="R73" s="168">
        <f t="shared" si="3"/>
        <v>2</v>
      </c>
      <c r="S73" s="178">
        <v>1.5</v>
      </c>
      <c r="T73" s="170" t="s">
        <v>403</v>
      </c>
      <c r="U73" s="171">
        <f t="shared" si="4"/>
        <v>3.3379077957221011</v>
      </c>
      <c r="V73" s="171">
        <f t="shared" ca="1" si="5"/>
        <v>3.2741124128442864</v>
      </c>
      <c r="W73" s="171">
        <f t="shared" ca="1" si="6"/>
        <v>49.111686192664294</v>
      </c>
      <c r="X73" s="172">
        <f t="shared" si="7"/>
        <v>0.60136487182312048</v>
      </c>
      <c r="Y73" s="172">
        <f t="shared" si="8"/>
        <v>0.39863512817687952</v>
      </c>
      <c r="Z73" s="173">
        <f t="shared" si="9"/>
        <v>50.068616935831514</v>
      </c>
      <c r="AA73" s="171">
        <f t="shared" si="83"/>
        <v>0</v>
      </c>
      <c r="AB73" s="171">
        <f t="shared" si="83"/>
        <v>2.2248000000000001</v>
      </c>
      <c r="AC73" s="171">
        <f t="shared" si="83"/>
        <v>2.2248000000000001</v>
      </c>
      <c r="AD73" s="171">
        <f t="shared" si="83"/>
        <v>3.2585012097022505</v>
      </c>
      <c r="AE73" s="171">
        <f t="shared" si="83"/>
        <v>3.2585012097022505</v>
      </c>
      <c r="AF73" s="171">
        <f t="shared" si="83"/>
        <v>3.2585012097022505</v>
      </c>
      <c r="AG73" s="171">
        <f t="shared" si="83"/>
        <v>3.2585012097022505</v>
      </c>
      <c r="AH73" s="171">
        <f t="shared" si="83"/>
        <v>3.2585012097022505</v>
      </c>
      <c r="AI73" s="171">
        <f t="shared" si="83"/>
        <v>3.2585012097022505</v>
      </c>
      <c r="AJ73" s="171">
        <f t="shared" si="83"/>
        <v>3.2585012097022505</v>
      </c>
      <c r="AK73" s="171">
        <f t="shared" si="84"/>
        <v>3.2585012097022505</v>
      </c>
      <c r="AL73" s="171">
        <f t="shared" si="84"/>
        <v>3.2585012097022505</v>
      </c>
      <c r="AM73" s="171">
        <f t="shared" si="84"/>
        <v>3.2585012097022505</v>
      </c>
      <c r="AN73" s="171">
        <f t="shared" si="84"/>
        <v>3.2585012097022505</v>
      </c>
      <c r="AO73" s="171">
        <f t="shared" si="84"/>
        <v>3.2585012097022505</v>
      </c>
      <c r="AP73" s="171">
        <f t="shared" si="84"/>
        <v>3.2585012097022505</v>
      </c>
      <c r="AQ73" s="171">
        <f t="shared" si="84"/>
        <v>3.2585012097022505</v>
      </c>
      <c r="AR73" s="171">
        <f t="shared" si="84"/>
        <v>0</v>
      </c>
      <c r="AS73" s="171">
        <f t="shared" si="84"/>
        <v>0</v>
      </c>
      <c r="AT73" s="171">
        <f t="shared" si="84"/>
        <v>0</v>
      </c>
      <c r="AU73" s="171">
        <f t="shared" si="85"/>
        <v>0</v>
      </c>
      <c r="AV73" s="171">
        <f t="shared" si="85"/>
        <v>0</v>
      </c>
      <c r="AW73" s="171">
        <f t="shared" si="85"/>
        <v>0</v>
      </c>
      <c r="AX73" s="171">
        <f t="shared" si="85"/>
        <v>0</v>
      </c>
      <c r="AY73" s="171">
        <f t="shared" si="85"/>
        <v>0</v>
      </c>
      <c r="AZ73" s="171">
        <f t="shared" si="85"/>
        <v>0</v>
      </c>
      <c r="BA73" s="171">
        <f t="shared" si="85"/>
        <v>0</v>
      </c>
      <c r="BB73" s="171">
        <f t="shared" si="85"/>
        <v>0</v>
      </c>
      <c r="BC73" s="171">
        <f t="shared" si="85"/>
        <v>0</v>
      </c>
      <c r="BD73" s="171">
        <f t="shared" si="85"/>
        <v>0</v>
      </c>
      <c r="BE73" s="171">
        <f t="shared" si="86"/>
        <v>0</v>
      </c>
      <c r="BF73" s="171">
        <f t="shared" si="86"/>
        <v>0</v>
      </c>
      <c r="BG73" s="171">
        <f t="shared" si="86"/>
        <v>0</v>
      </c>
      <c r="BH73" s="171">
        <f t="shared" si="86"/>
        <v>0</v>
      </c>
      <c r="BI73" s="171">
        <f t="shared" si="86"/>
        <v>0</v>
      </c>
      <c r="BJ73" s="171">
        <f t="shared" si="86"/>
        <v>0</v>
      </c>
      <c r="BK73" s="171">
        <f t="shared" si="86"/>
        <v>0</v>
      </c>
      <c r="BL73" s="171">
        <f t="shared" si="86"/>
        <v>0</v>
      </c>
      <c r="BM73" s="171">
        <f t="shared" si="86"/>
        <v>0</v>
      </c>
      <c r="BN73" s="171">
        <f t="shared" si="86"/>
        <v>0</v>
      </c>
      <c r="BO73" s="171">
        <f t="shared" si="87"/>
        <v>0</v>
      </c>
      <c r="BP73" s="171">
        <f t="shared" si="87"/>
        <v>0</v>
      </c>
      <c r="BQ73" s="171">
        <f t="shared" si="87"/>
        <v>0</v>
      </c>
      <c r="BR73" s="171">
        <f t="shared" si="87"/>
        <v>0</v>
      </c>
      <c r="BS73" s="171">
        <f t="shared" si="87"/>
        <v>0</v>
      </c>
      <c r="BT73" s="171">
        <f t="shared" si="87"/>
        <v>0</v>
      </c>
      <c r="BU73" s="171">
        <f t="shared" si="87"/>
        <v>0</v>
      </c>
      <c r="BV73" s="171">
        <f t="shared" si="87"/>
        <v>0</v>
      </c>
      <c r="BW73" s="171">
        <f t="shared" si="87"/>
        <v>0</v>
      </c>
      <c r="BX73" s="171">
        <f t="shared" si="87"/>
        <v>0</v>
      </c>
      <c r="BY73" s="171">
        <f t="shared" si="88"/>
        <v>0</v>
      </c>
      <c r="BZ73" s="171">
        <f t="shared" si="88"/>
        <v>0</v>
      </c>
      <c r="CA73" s="171">
        <f t="shared" si="88"/>
        <v>0</v>
      </c>
      <c r="CB73" s="171">
        <f t="shared" si="88"/>
        <v>0</v>
      </c>
      <c r="CC73" s="171">
        <f t="shared" si="88"/>
        <v>0</v>
      </c>
      <c r="CD73" s="171">
        <f t="shared" si="88"/>
        <v>0</v>
      </c>
      <c r="CE73" s="171">
        <f t="shared" si="88"/>
        <v>0</v>
      </c>
      <c r="CF73" s="171">
        <f t="shared" si="88"/>
        <v>0</v>
      </c>
      <c r="CG73" s="171">
        <f t="shared" si="88"/>
        <v>0</v>
      </c>
      <c r="CH73" s="171">
        <f t="shared" si="88"/>
        <v>0</v>
      </c>
      <c r="CI73" s="171">
        <f t="shared" si="88"/>
        <v>0</v>
      </c>
      <c r="CJ73" s="243"/>
      <c r="CK73" s="171">
        <f t="shared" si="16"/>
        <v>0</v>
      </c>
      <c r="CL73" s="171">
        <f t="shared" si="17"/>
        <v>2.2248000000000001</v>
      </c>
      <c r="CM73" s="171">
        <f t="shared" si="18"/>
        <v>2.2248000000000001</v>
      </c>
      <c r="CN73" s="171">
        <f t="shared" si="19"/>
        <v>3.2585012097022505</v>
      </c>
      <c r="CO73" s="171">
        <f t="shared" si="20"/>
        <v>3.2585012097022505</v>
      </c>
      <c r="CP73" s="171">
        <f t="shared" si="21"/>
        <v>3.2585012097022505</v>
      </c>
      <c r="CQ73" s="171">
        <f t="shared" si="22"/>
        <v>3.2585012097022505</v>
      </c>
      <c r="CR73" s="171">
        <f t="shared" si="23"/>
        <v>3.2585012097022505</v>
      </c>
      <c r="CS73" s="171">
        <f t="shared" si="24"/>
        <v>3.2585012097022505</v>
      </c>
      <c r="CT73" s="171">
        <f t="shared" si="25"/>
        <v>3.2585012097022505</v>
      </c>
      <c r="CU73" s="171">
        <f t="shared" si="26"/>
        <v>3.2585012097022505</v>
      </c>
      <c r="CV73" s="171">
        <f t="shared" si="27"/>
        <v>3.2585012097022505</v>
      </c>
      <c r="CW73" s="171">
        <f t="shared" si="28"/>
        <v>3.2585012097022505</v>
      </c>
      <c r="CX73" s="171">
        <f t="shared" si="29"/>
        <v>3.2585012097022505</v>
      </c>
      <c r="CY73" s="171">
        <f t="shared" ca="1" si="30"/>
        <v>3.0935140711224056</v>
      </c>
      <c r="CZ73" s="171">
        <f t="shared" ca="1" si="31"/>
        <v>2.9368806983216604</v>
      </c>
      <c r="DA73" s="171">
        <f t="shared" ca="1" si="32"/>
        <v>2.7881781164954766</v>
      </c>
      <c r="DB73" s="171">
        <f t="shared" ca="1" si="33"/>
        <v>0</v>
      </c>
      <c r="DC73" s="171">
        <f t="shared" ca="1" si="34"/>
        <v>0</v>
      </c>
      <c r="DD73" s="171">
        <f t="shared" ca="1" si="35"/>
        <v>0</v>
      </c>
      <c r="DE73" s="171">
        <f t="shared" ca="1" si="36"/>
        <v>0</v>
      </c>
      <c r="DF73" s="171">
        <f t="shared" ca="1" si="37"/>
        <v>0</v>
      </c>
      <c r="DG73" s="171">
        <f t="shared" ca="1" si="38"/>
        <v>0</v>
      </c>
      <c r="DH73" s="171">
        <f t="shared" ca="1" si="39"/>
        <v>0</v>
      </c>
      <c r="DI73" s="171">
        <f t="shared" ca="1" si="40"/>
        <v>0</v>
      </c>
      <c r="DJ73" s="171">
        <f t="shared" ca="1" si="41"/>
        <v>0</v>
      </c>
      <c r="DK73" s="171">
        <f t="shared" ca="1" si="42"/>
        <v>0</v>
      </c>
      <c r="DL73" s="171">
        <f t="shared" ca="1" si="43"/>
        <v>0</v>
      </c>
      <c r="DM73" s="171">
        <f t="shared" ca="1" si="44"/>
        <v>0</v>
      </c>
      <c r="DN73" s="171">
        <f t="shared" ca="1" si="45"/>
        <v>0</v>
      </c>
      <c r="DO73" s="171">
        <f t="shared" ca="1" si="46"/>
        <v>0</v>
      </c>
      <c r="DP73" s="171">
        <f t="shared" ca="1" si="47"/>
        <v>0</v>
      </c>
      <c r="DQ73" s="171">
        <f t="shared" ca="1" si="48"/>
        <v>0</v>
      </c>
      <c r="DR73" s="171">
        <f t="shared" ca="1" si="49"/>
        <v>0</v>
      </c>
      <c r="DS73" s="171">
        <f t="shared" ca="1" si="50"/>
        <v>0</v>
      </c>
      <c r="DT73" s="171">
        <f t="shared" ca="1" si="51"/>
        <v>0</v>
      </c>
      <c r="DU73" s="171">
        <f t="shared" ca="1" si="52"/>
        <v>0</v>
      </c>
      <c r="DV73" s="171">
        <f t="shared" ca="1" si="53"/>
        <v>0</v>
      </c>
      <c r="DW73" s="171">
        <f t="shared" ca="1" si="54"/>
        <v>0</v>
      </c>
      <c r="DX73" s="171">
        <f t="shared" ca="1" si="55"/>
        <v>0</v>
      </c>
      <c r="DY73" s="171">
        <f t="shared" ca="1" si="56"/>
        <v>0</v>
      </c>
      <c r="DZ73" s="171">
        <f t="shared" ca="1" si="57"/>
        <v>0</v>
      </c>
      <c r="EA73" s="171">
        <f t="shared" ca="1" si="58"/>
        <v>0</v>
      </c>
      <c r="EB73" s="171">
        <f t="shared" ca="1" si="59"/>
        <v>0</v>
      </c>
      <c r="EC73" s="171">
        <f t="shared" ca="1" si="60"/>
        <v>0</v>
      </c>
      <c r="ED73" s="171">
        <f t="shared" ca="1" si="61"/>
        <v>0</v>
      </c>
      <c r="EE73" s="171">
        <f t="shared" ca="1" si="62"/>
        <v>0</v>
      </c>
      <c r="EF73" s="171">
        <f t="shared" ca="1" si="63"/>
        <v>0</v>
      </c>
      <c r="EG73" s="171">
        <f t="shared" ca="1" si="64"/>
        <v>0</v>
      </c>
      <c r="EH73" s="171">
        <f t="shared" ca="1" si="65"/>
        <v>0</v>
      </c>
      <c r="EI73" s="171">
        <f t="shared" ca="1" si="66"/>
        <v>0</v>
      </c>
      <c r="EJ73" s="171">
        <f t="shared" ca="1" si="67"/>
        <v>0</v>
      </c>
      <c r="EK73" s="171">
        <f t="shared" ca="1" si="68"/>
        <v>0</v>
      </c>
      <c r="EL73" s="171">
        <f t="shared" ca="1" si="69"/>
        <v>0</v>
      </c>
      <c r="EM73" s="171">
        <f t="shared" ca="1" si="70"/>
        <v>0</v>
      </c>
      <c r="EN73" s="171">
        <f t="shared" ca="1" si="71"/>
        <v>0</v>
      </c>
      <c r="EO73" s="171">
        <f t="shared" ca="1" si="72"/>
        <v>0</v>
      </c>
      <c r="EP73" s="171">
        <f t="shared" ca="1" si="73"/>
        <v>0</v>
      </c>
      <c r="EQ73" s="171">
        <f t="shared" ca="1" si="74"/>
        <v>0</v>
      </c>
      <c r="ER73" s="171">
        <f t="shared" ca="1" si="75"/>
        <v>0</v>
      </c>
      <c r="ES73" s="171">
        <f t="shared" ca="1" si="76"/>
        <v>0</v>
      </c>
    </row>
    <row r="74" spans="1:149">
      <c r="A74" s="139" t="s">
        <v>441</v>
      </c>
      <c r="B74" s="160" t="s">
        <v>430</v>
      </c>
      <c r="C74" s="160" t="s">
        <v>34</v>
      </c>
      <c r="D74" s="161" t="s">
        <v>417</v>
      </c>
      <c r="E74" s="160">
        <v>2011</v>
      </c>
      <c r="F74" s="161" t="s">
        <v>395</v>
      </c>
      <c r="G74" s="160" t="s">
        <v>402</v>
      </c>
      <c r="H74" s="160" t="s">
        <v>396</v>
      </c>
      <c r="I74" s="161" t="s">
        <v>178</v>
      </c>
      <c r="J74" s="161" t="s">
        <v>407</v>
      </c>
      <c r="K74" s="187">
        <v>21.6</v>
      </c>
      <c r="L74" s="163" t="s">
        <v>110</v>
      </c>
      <c r="M74" s="164">
        <f t="shared" si="0"/>
        <v>21.6</v>
      </c>
      <c r="N74" s="164">
        <f t="shared" si="1"/>
        <v>21.6</v>
      </c>
      <c r="O74" s="165">
        <f t="shared" si="2"/>
        <v>1</v>
      </c>
      <c r="P74" s="190">
        <v>8.2400000000000001E-2</v>
      </c>
      <c r="Q74" s="191">
        <v>15</v>
      </c>
      <c r="R74" s="168">
        <f t="shared" si="3"/>
        <v>2</v>
      </c>
      <c r="S74" s="178">
        <v>1.5</v>
      </c>
      <c r="T74" s="170" t="s">
        <v>403</v>
      </c>
      <c r="U74" s="171">
        <f t="shared" si="4"/>
        <v>2.6703262365776799</v>
      </c>
      <c r="V74" s="171">
        <f t="shared" ca="1" si="5"/>
        <v>2.6192899302754289</v>
      </c>
      <c r="W74" s="171">
        <f t="shared" ca="1" si="6"/>
        <v>39.289348954131434</v>
      </c>
      <c r="X74" s="172">
        <f t="shared" si="7"/>
        <v>0.60136487182312048</v>
      </c>
      <c r="Y74" s="172">
        <f t="shared" si="8"/>
        <v>0.39863512817687952</v>
      </c>
      <c r="Z74" s="173">
        <f t="shared" si="9"/>
        <v>40.054893548665198</v>
      </c>
      <c r="AA74" s="171">
        <f t="shared" si="83"/>
        <v>0</v>
      </c>
      <c r="AB74" s="171">
        <f t="shared" si="83"/>
        <v>1.7798400000000001</v>
      </c>
      <c r="AC74" s="171">
        <f t="shared" si="83"/>
        <v>1.7798400000000001</v>
      </c>
      <c r="AD74" s="171">
        <f t="shared" si="83"/>
        <v>2.6068009677618007</v>
      </c>
      <c r="AE74" s="171">
        <f t="shared" si="83"/>
        <v>2.6068009677618007</v>
      </c>
      <c r="AF74" s="171">
        <f t="shared" si="83"/>
        <v>2.6068009677618007</v>
      </c>
      <c r="AG74" s="171">
        <f t="shared" si="83"/>
        <v>2.6068009677618007</v>
      </c>
      <c r="AH74" s="171">
        <f t="shared" si="83"/>
        <v>2.6068009677618007</v>
      </c>
      <c r="AI74" s="171">
        <f t="shared" si="83"/>
        <v>2.6068009677618007</v>
      </c>
      <c r="AJ74" s="171">
        <f t="shared" si="83"/>
        <v>2.6068009677618007</v>
      </c>
      <c r="AK74" s="171">
        <f t="shared" si="84"/>
        <v>2.6068009677618007</v>
      </c>
      <c r="AL74" s="171">
        <f t="shared" si="84"/>
        <v>2.6068009677618007</v>
      </c>
      <c r="AM74" s="171">
        <f t="shared" si="84"/>
        <v>2.6068009677618007</v>
      </c>
      <c r="AN74" s="171">
        <f t="shared" si="84"/>
        <v>2.6068009677618007</v>
      </c>
      <c r="AO74" s="171">
        <f t="shared" si="84"/>
        <v>2.6068009677618007</v>
      </c>
      <c r="AP74" s="171">
        <f t="shared" si="84"/>
        <v>2.6068009677618007</v>
      </c>
      <c r="AQ74" s="171">
        <f t="shared" si="84"/>
        <v>2.6068009677618007</v>
      </c>
      <c r="AR74" s="171">
        <f t="shared" si="84"/>
        <v>0</v>
      </c>
      <c r="AS74" s="171">
        <f t="shared" si="84"/>
        <v>0</v>
      </c>
      <c r="AT74" s="171">
        <f t="shared" si="84"/>
        <v>0</v>
      </c>
      <c r="AU74" s="171">
        <f t="shared" si="85"/>
        <v>0</v>
      </c>
      <c r="AV74" s="171">
        <f t="shared" si="85"/>
        <v>0</v>
      </c>
      <c r="AW74" s="171">
        <f t="shared" si="85"/>
        <v>0</v>
      </c>
      <c r="AX74" s="171">
        <f t="shared" si="85"/>
        <v>0</v>
      </c>
      <c r="AY74" s="171">
        <f t="shared" si="85"/>
        <v>0</v>
      </c>
      <c r="AZ74" s="171">
        <f t="shared" si="85"/>
        <v>0</v>
      </c>
      <c r="BA74" s="171">
        <f t="shared" si="85"/>
        <v>0</v>
      </c>
      <c r="BB74" s="171">
        <f t="shared" si="85"/>
        <v>0</v>
      </c>
      <c r="BC74" s="171">
        <f t="shared" si="85"/>
        <v>0</v>
      </c>
      <c r="BD74" s="171">
        <f t="shared" si="85"/>
        <v>0</v>
      </c>
      <c r="BE74" s="171">
        <f t="shared" si="86"/>
        <v>0</v>
      </c>
      <c r="BF74" s="171">
        <f t="shared" si="86"/>
        <v>0</v>
      </c>
      <c r="BG74" s="171">
        <f t="shared" si="86"/>
        <v>0</v>
      </c>
      <c r="BH74" s="171">
        <f t="shared" si="86"/>
        <v>0</v>
      </c>
      <c r="BI74" s="171">
        <f t="shared" si="86"/>
        <v>0</v>
      </c>
      <c r="BJ74" s="171">
        <f t="shared" si="86"/>
        <v>0</v>
      </c>
      <c r="BK74" s="171">
        <f t="shared" si="86"/>
        <v>0</v>
      </c>
      <c r="BL74" s="171">
        <f t="shared" si="86"/>
        <v>0</v>
      </c>
      <c r="BM74" s="171">
        <f t="shared" si="86"/>
        <v>0</v>
      </c>
      <c r="BN74" s="171">
        <f t="shared" si="86"/>
        <v>0</v>
      </c>
      <c r="BO74" s="171">
        <f t="shared" si="87"/>
        <v>0</v>
      </c>
      <c r="BP74" s="171">
        <f t="shared" si="87"/>
        <v>0</v>
      </c>
      <c r="BQ74" s="171">
        <f t="shared" si="87"/>
        <v>0</v>
      </c>
      <c r="BR74" s="171">
        <f t="shared" si="87"/>
        <v>0</v>
      </c>
      <c r="BS74" s="171">
        <f t="shared" si="87"/>
        <v>0</v>
      </c>
      <c r="BT74" s="171">
        <f t="shared" si="87"/>
        <v>0</v>
      </c>
      <c r="BU74" s="171">
        <f t="shared" si="87"/>
        <v>0</v>
      </c>
      <c r="BV74" s="171">
        <f t="shared" si="87"/>
        <v>0</v>
      </c>
      <c r="BW74" s="171">
        <f t="shared" si="87"/>
        <v>0</v>
      </c>
      <c r="BX74" s="171">
        <f t="shared" si="87"/>
        <v>0</v>
      </c>
      <c r="BY74" s="171">
        <f t="shared" si="88"/>
        <v>0</v>
      </c>
      <c r="BZ74" s="171">
        <f t="shared" si="88"/>
        <v>0</v>
      </c>
      <c r="CA74" s="171">
        <f t="shared" si="88"/>
        <v>0</v>
      </c>
      <c r="CB74" s="171">
        <f t="shared" si="88"/>
        <v>0</v>
      </c>
      <c r="CC74" s="171">
        <f t="shared" si="88"/>
        <v>0</v>
      </c>
      <c r="CD74" s="171">
        <f t="shared" si="88"/>
        <v>0</v>
      </c>
      <c r="CE74" s="171">
        <f t="shared" si="88"/>
        <v>0</v>
      </c>
      <c r="CF74" s="171">
        <f t="shared" si="88"/>
        <v>0</v>
      </c>
      <c r="CG74" s="171">
        <f t="shared" si="88"/>
        <v>0</v>
      </c>
      <c r="CH74" s="171">
        <f t="shared" si="88"/>
        <v>0</v>
      </c>
      <c r="CI74" s="171">
        <f t="shared" si="88"/>
        <v>0</v>
      </c>
      <c r="CJ74" s="243"/>
      <c r="CK74" s="171">
        <f t="shared" si="16"/>
        <v>0</v>
      </c>
      <c r="CL74" s="171">
        <f t="shared" si="17"/>
        <v>1.7798400000000001</v>
      </c>
      <c r="CM74" s="171">
        <f t="shared" si="18"/>
        <v>1.7798400000000001</v>
      </c>
      <c r="CN74" s="171">
        <f t="shared" si="19"/>
        <v>2.6068009677618007</v>
      </c>
      <c r="CO74" s="171">
        <f t="shared" si="20"/>
        <v>2.6068009677618007</v>
      </c>
      <c r="CP74" s="171">
        <f t="shared" si="21"/>
        <v>2.6068009677618007</v>
      </c>
      <c r="CQ74" s="171">
        <f t="shared" si="22"/>
        <v>2.6068009677618007</v>
      </c>
      <c r="CR74" s="171">
        <f t="shared" si="23"/>
        <v>2.6068009677618007</v>
      </c>
      <c r="CS74" s="171">
        <f t="shared" si="24"/>
        <v>2.6068009677618007</v>
      </c>
      <c r="CT74" s="171">
        <f t="shared" si="25"/>
        <v>2.6068009677618007</v>
      </c>
      <c r="CU74" s="171">
        <f t="shared" si="26"/>
        <v>2.6068009677618007</v>
      </c>
      <c r="CV74" s="171">
        <f t="shared" si="27"/>
        <v>2.6068009677618007</v>
      </c>
      <c r="CW74" s="171">
        <f t="shared" si="28"/>
        <v>2.6068009677618007</v>
      </c>
      <c r="CX74" s="171">
        <f t="shared" si="29"/>
        <v>2.6068009677618007</v>
      </c>
      <c r="CY74" s="171">
        <f t="shared" ca="1" si="30"/>
        <v>2.474811256897925</v>
      </c>
      <c r="CZ74" s="171">
        <f t="shared" ca="1" si="31"/>
        <v>2.3495045586573284</v>
      </c>
      <c r="DA74" s="171">
        <f t="shared" ca="1" si="32"/>
        <v>2.2305424931963813</v>
      </c>
      <c r="DB74" s="171">
        <f t="shared" ca="1" si="33"/>
        <v>0</v>
      </c>
      <c r="DC74" s="171">
        <f t="shared" ca="1" si="34"/>
        <v>0</v>
      </c>
      <c r="DD74" s="171">
        <f t="shared" ca="1" si="35"/>
        <v>0</v>
      </c>
      <c r="DE74" s="171">
        <f t="shared" ca="1" si="36"/>
        <v>0</v>
      </c>
      <c r="DF74" s="171">
        <f t="shared" ca="1" si="37"/>
        <v>0</v>
      </c>
      <c r="DG74" s="171">
        <f t="shared" ca="1" si="38"/>
        <v>0</v>
      </c>
      <c r="DH74" s="171">
        <f t="shared" ca="1" si="39"/>
        <v>0</v>
      </c>
      <c r="DI74" s="171">
        <f t="shared" ca="1" si="40"/>
        <v>0</v>
      </c>
      <c r="DJ74" s="171">
        <f t="shared" ca="1" si="41"/>
        <v>0</v>
      </c>
      <c r="DK74" s="171">
        <f t="shared" ca="1" si="42"/>
        <v>0</v>
      </c>
      <c r="DL74" s="171">
        <f t="shared" ca="1" si="43"/>
        <v>0</v>
      </c>
      <c r="DM74" s="171">
        <f t="shared" ca="1" si="44"/>
        <v>0</v>
      </c>
      <c r="DN74" s="171">
        <f t="shared" ca="1" si="45"/>
        <v>0</v>
      </c>
      <c r="DO74" s="171">
        <f t="shared" ca="1" si="46"/>
        <v>0</v>
      </c>
      <c r="DP74" s="171">
        <f t="shared" ca="1" si="47"/>
        <v>0</v>
      </c>
      <c r="DQ74" s="171">
        <f t="shared" ca="1" si="48"/>
        <v>0</v>
      </c>
      <c r="DR74" s="171">
        <f t="shared" ca="1" si="49"/>
        <v>0</v>
      </c>
      <c r="DS74" s="171">
        <f t="shared" ca="1" si="50"/>
        <v>0</v>
      </c>
      <c r="DT74" s="171">
        <f t="shared" ca="1" si="51"/>
        <v>0</v>
      </c>
      <c r="DU74" s="171">
        <f t="shared" ca="1" si="52"/>
        <v>0</v>
      </c>
      <c r="DV74" s="171">
        <f t="shared" ca="1" si="53"/>
        <v>0</v>
      </c>
      <c r="DW74" s="171">
        <f t="shared" ca="1" si="54"/>
        <v>0</v>
      </c>
      <c r="DX74" s="171">
        <f t="shared" ca="1" si="55"/>
        <v>0</v>
      </c>
      <c r="DY74" s="171">
        <f t="shared" ca="1" si="56"/>
        <v>0</v>
      </c>
      <c r="DZ74" s="171">
        <f t="shared" ca="1" si="57"/>
        <v>0</v>
      </c>
      <c r="EA74" s="171">
        <f t="shared" ca="1" si="58"/>
        <v>0</v>
      </c>
      <c r="EB74" s="171">
        <f t="shared" ca="1" si="59"/>
        <v>0</v>
      </c>
      <c r="EC74" s="171">
        <f t="shared" ca="1" si="60"/>
        <v>0</v>
      </c>
      <c r="ED74" s="171">
        <f t="shared" ca="1" si="61"/>
        <v>0</v>
      </c>
      <c r="EE74" s="171">
        <f t="shared" ca="1" si="62"/>
        <v>0</v>
      </c>
      <c r="EF74" s="171">
        <f t="shared" ca="1" si="63"/>
        <v>0</v>
      </c>
      <c r="EG74" s="171">
        <f t="shared" ca="1" si="64"/>
        <v>0</v>
      </c>
      <c r="EH74" s="171">
        <f t="shared" ca="1" si="65"/>
        <v>0</v>
      </c>
      <c r="EI74" s="171">
        <f t="shared" ca="1" si="66"/>
        <v>0</v>
      </c>
      <c r="EJ74" s="171">
        <f t="shared" ca="1" si="67"/>
        <v>0</v>
      </c>
      <c r="EK74" s="171">
        <f t="shared" ca="1" si="68"/>
        <v>0</v>
      </c>
      <c r="EL74" s="171">
        <f t="shared" ca="1" si="69"/>
        <v>0</v>
      </c>
      <c r="EM74" s="171">
        <f t="shared" ca="1" si="70"/>
        <v>0</v>
      </c>
      <c r="EN74" s="171">
        <f t="shared" ca="1" si="71"/>
        <v>0</v>
      </c>
      <c r="EO74" s="171">
        <f t="shared" ca="1" si="72"/>
        <v>0</v>
      </c>
      <c r="EP74" s="171">
        <f t="shared" ca="1" si="73"/>
        <v>0</v>
      </c>
      <c r="EQ74" s="171">
        <f t="shared" ca="1" si="74"/>
        <v>0</v>
      </c>
      <c r="ER74" s="171">
        <f t="shared" ca="1" si="75"/>
        <v>0</v>
      </c>
      <c r="ES74" s="171">
        <f t="shared" ca="1" si="76"/>
        <v>0</v>
      </c>
    </row>
    <row r="75" spans="1:149">
      <c r="A75" s="139" t="s">
        <v>441</v>
      </c>
      <c r="B75" s="160" t="s">
        <v>430</v>
      </c>
      <c r="C75" s="161" t="s">
        <v>34</v>
      </c>
      <c r="D75" s="161" t="s">
        <v>417</v>
      </c>
      <c r="E75" s="161">
        <v>2013</v>
      </c>
      <c r="F75" s="161" t="s">
        <v>395</v>
      </c>
      <c r="G75" s="161" t="s">
        <v>402</v>
      </c>
      <c r="H75" s="160" t="s">
        <v>396</v>
      </c>
      <c r="I75" s="161" t="s">
        <v>178</v>
      </c>
      <c r="J75" s="161" t="s">
        <v>407</v>
      </c>
      <c r="K75" s="184">
        <v>5.4</v>
      </c>
      <c r="L75" s="163" t="s">
        <v>110</v>
      </c>
      <c r="M75" s="164">
        <f t="shared" si="0"/>
        <v>5.4</v>
      </c>
      <c r="N75" s="164">
        <f t="shared" si="1"/>
        <v>5.4</v>
      </c>
      <c r="O75" s="165">
        <f t="shared" si="2"/>
        <v>1</v>
      </c>
      <c r="P75" s="190">
        <v>4.4900000000000002E-2</v>
      </c>
      <c r="Q75" s="191">
        <v>15</v>
      </c>
      <c r="R75" s="168">
        <f t="shared" si="3"/>
        <v>4</v>
      </c>
      <c r="S75" s="178">
        <v>14.75</v>
      </c>
      <c r="T75" s="170" t="s">
        <v>403</v>
      </c>
      <c r="U75" s="171">
        <f t="shared" si="4"/>
        <v>0.54503422063434648</v>
      </c>
      <c r="V75" s="171">
        <f t="shared" ca="1" si="5"/>
        <v>0.46802712010431152</v>
      </c>
      <c r="W75" s="171">
        <f t="shared" ca="1" si="6"/>
        <v>7.0204068015646728</v>
      </c>
      <c r="X75" s="172">
        <f t="shared" si="7"/>
        <v>0.27162050203450239</v>
      </c>
      <c r="Y75" s="172">
        <f t="shared" si="8"/>
        <v>0.72837949796549761</v>
      </c>
      <c r="Z75" s="173">
        <f t="shared" si="9"/>
        <v>8.1755133095151979</v>
      </c>
      <c r="AA75" s="171">
        <f t="shared" si="83"/>
        <v>0</v>
      </c>
      <c r="AB75" s="171">
        <f t="shared" si="83"/>
        <v>0</v>
      </c>
      <c r="AC75" s="171">
        <f t="shared" si="83"/>
        <v>0</v>
      </c>
      <c r="AD75" s="171">
        <f t="shared" si="83"/>
        <v>0.24246000000000004</v>
      </c>
      <c r="AE75" s="171">
        <f t="shared" si="83"/>
        <v>0.24246000000000004</v>
      </c>
      <c r="AF75" s="171">
        <f t="shared" si="83"/>
        <v>0.24246000000000004</v>
      </c>
      <c r="AG75" s="171">
        <f t="shared" si="83"/>
        <v>0.24246000000000004</v>
      </c>
      <c r="AH75" s="171">
        <f t="shared" si="83"/>
        <v>0.24246000000000004</v>
      </c>
      <c r="AI75" s="171">
        <f t="shared" si="83"/>
        <v>0.24246000000000004</v>
      </c>
      <c r="AJ75" s="171">
        <f t="shared" si="83"/>
        <v>0.24246000000000004</v>
      </c>
      <c r="AK75" s="171">
        <f t="shared" si="84"/>
        <v>0.24246000000000004</v>
      </c>
      <c r="AL75" s="171">
        <f t="shared" si="84"/>
        <v>0.24246000000000004</v>
      </c>
      <c r="AM75" s="171">
        <f t="shared" si="84"/>
        <v>0.24246000000000004</v>
      </c>
      <c r="AN75" s="171">
        <f t="shared" si="84"/>
        <v>0.24246000000000004</v>
      </c>
      <c r="AO75" s="171">
        <f t="shared" si="84"/>
        <v>0.24246000000000004</v>
      </c>
      <c r="AP75" s="171">
        <f t="shared" si="84"/>
        <v>0.24246000000000004</v>
      </c>
      <c r="AQ75" s="171">
        <f t="shared" si="84"/>
        <v>0.24246000000000004</v>
      </c>
      <c r="AR75" s="171">
        <f t="shared" si="84"/>
        <v>0.24246000000000004</v>
      </c>
      <c r="AS75" s="171">
        <f t="shared" si="84"/>
        <v>4.5386133095151981</v>
      </c>
      <c r="AT75" s="171">
        <f t="shared" si="84"/>
        <v>0</v>
      </c>
      <c r="AU75" s="171">
        <f t="shared" si="85"/>
        <v>0</v>
      </c>
      <c r="AV75" s="171">
        <f t="shared" si="85"/>
        <v>0</v>
      </c>
      <c r="AW75" s="171">
        <f t="shared" si="85"/>
        <v>0</v>
      </c>
      <c r="AX75" s="171">
        <f t="shared" si="85"/>
        <v>0</v>
      </c>
      <c r="AY75" s="171">
        <f t="shared" si="85"/>
        <v>0</v>
      </c>
      <c r="AZ75" s="171">
        <f t="shared" si="85"/>
        <v>0</v>
      </c>
      <c r="BA75" s="171">
        <f t="shared" si="85"/>
        <v>0</v>
      </c>
      <c r="BB75" s="171">
        <f t="shared" si="85"/>
        <v>0</v>
      </c>
      <c r="BC75" s="171">
        <f t="shared" si="85"/>
        <v>0</v>
      </c>
      <c r="BD75" s="171">
        <f t="shared" si="85"/>
        <v>0</v>
      </c>
      <c r="BE75" s="171">
        <f t="shared" si="86"/>
        <v>0</v>
      </c>
      <c r="BF75" s="171">
        <f t="shared" si="86"/>
        <v>0</v>
      </c>
      <c r="BG75" s="171">
        <f t="shared" si="86"/>
        <v>0</v>
      </c>
      <c r="BH75" s="171">
        <f t="shared" si="86"/>
        <v>0</v>
      </c>
      <c r="BI75" s="171">
        <f t="shared" si="86"/>
        <v>0</v>
      </c>
      <c r="BJ75" s="171">
        <f t="shared" si="86"/>
        <v>0</v>
      </c>
      <c r="BK75" s="171">
        <f t="shared" si="86"/>
        <v>0</v>
      </c>
      <c r="BL75" s="171">
        <f t="shared" si="86"/>
        <v>0</v>
      </c>
      <c r="BM75" s="171">
        <f t="shared" si="86"/>
        <v>0</v>
      </c>
      <c r="BN75" s="171">
        <f t="shared" si="86"/>
        <v>0</v>
      </c>
      <c r="BO75" s="171">
        <f t="shared" si="87"/>
        <v>0</v>
      </c>
      <c r="BP75" s="171">
        <f t="shared" si="87"/>
        <v>0</v>
      </c>
      <c r="BQ75" s="171">
        <f t="shared" si="87"/>
        <v>0</v>
      </c>
      <c r="BR75" s="171">
        <f t="shared" si="87"/>
        <v>0</v>
      </c>
      <c r="BS75" s="171">
        <f t="shared" si="87"/>
        <v>0</v>
      </c>
      <c r="BT75" s="171">
        <f t="shared" si="87"/>
        <v>0</v>
      </c>
      <c r="BU75" s="171">
        <f t="shared" si="87"/>
        <v>0</v>
      </c>
      <c r="BV75" s="171">
        <f t="shared" si="87"/>
        <v>0</v>
      </c>
      <c r="BW75" s="171">
        <f t="shared" si="87"/>
        <v>0</v>
      </c>
      <c r="BX75" s="171">
        <f t="shared" si="87"/>
        <v>0</v>
      </c>
      <c r="BY75" s="171">
        <f t="shared" si="88"/>
        <v>0</v>
      </c>
      <c r="BZ75" s="171">
        <f t="shared" si="88"/>
        <v>0</v>
      </c>
      <c r="CA75" s="171">
        <f t="shared" si="88"/>
        <v>0</v>
      </c>
      <c r="CB75" s="171">
        <f t="shared" si="88"/>
        <v>0</v>
      </c>
      <c r="CC75" s="171">
        <f t="shared" si="88"/>
        <v>0</v>
      </c>
      <c r="CD75" s="171">
        <f t="shared" si="88"/>
        <v>0</v>
      </c>
      <c r="CE75" s="171">
        <f t="shared" si="88"/>
        <v>0</v>
      </c>
      <c r="CF75" s="171">
        <f t="shared" si="88"/>
        <v>0</v>
      </c>
      <c r="CG75" s="171">
        <f t="shared" si="88"/>
        <v>0</v>
      </c>
      <c r="CH75" s="171">
        <f t="shared" si="88"/>
        <v>0</v>
      </c>
      <c r="CI75" s="171">
        <f t="shared" si="88"/>
        <v>0</v>
      </c>
      <c r="CJ75" s="243"/>
      <c r="CK75" s="171">
        <f t="shared" si="16"/>
        <v>0</v>
      </c>
      <c r="CL75" s="171">
        <f t="shared" si="17"/>
        <v>0</v>
      </c>
      <c r="CM75" s="171">
        <f t="shared" si="18"/>
        <v>0</v>
      </c>
      <c r="CN75" s="171">
        <f t="shared" si="19"/>
        <v>0.24246000000000004</v>
      </c>
      <c r="CO75" s="171">
        <f t="shared" si="20"/>
        <v>0.24246000000000004</v>
      </c>
      <c r="CP75" s="171">
        <f t="shared" si="21"/>
        <v>0.24246000000000004</v>
      </c>
      <c r="CQ75" s="171">
        <f t="shared" si="22"/>
        <v>0.24246000000000004</v>
      </c>
      <c r="CR75" s="171">
        <f t="shared" si="23"/>
        <v>0.24246000000000004</v>
      </c>
      <c r="CS75" s="171">
        <f t="shared" si="24"/>
        <v>0.24246000000000004</v>
      </c>
      <c r="CT75" s="171">
        <f t="shared" si="25"/>
        <v>0.24246000000000004</v>
      </c>
      <c r="CU75" s="171">
        <f t="shared" si="26"/>
        <v>0.24246000000000004</v>
      </c>
      <c r="CV75" s="171">
        <f t="shared" si="27"/>
        <v>0.24246000000000004</v>
      </c>
      <c r="CW75" s="171">
        <f t="shared" si="28"/>
        <v>0.24246000000000004</v>
      </c>
      <c r="CX75" s="171">
        <f t="shared" si="29"/>
        <v>0.24246000000000004</v>
      </c>
      <c r="CY75" s="171">
        <f t="shared" ca="1" si="30"/>
        <v>0.23018356398059328</v>
      </c>
      <c r="CZ75" s="171">
        <f t="shared" ca="1" si="31"/>
        <v>0.21852871866207982</v>
      </c>
      <c r="DA75" s="171">
        <f t="shared" ca="1" si="32"/>
        <v>0.20746399114802405</v>
      </c>
      <c r="DB75" s="171">
        <f t="shared" ca="1" si="33"/>
        <v>0.19695950210381266</v>
      </c>
      <c r="DC75" s="171">
        <f t="shared" ca="1" si="34"/>
        <v>3.5002110256701626</v>
      </c>
      <c r="DD75" s="171">
        <f t="shared" ca="1" si="35"/>
        <v>0</v>
      </c>
      <c r="DE75" s="171">
        <f t="shared" ca="1" si="36"/>
        <v>0</v>
      </c>
      <c r="DF75" s="171">
        <f t="shared" ca="1" si="37"/>
        <v>0</v>
      </c>
      <c r="DG75" s="171">
        <f t="shared" ca="1" si="38"/>
        <v>0</v>
      </c>
      <c r="DH75" s="171">
        <f t="shared" ca="1" si="39"/>
        <v>0</v>
      </c>
      <c r="DI75" s="171">
        <f t="shared" ca="1" si="40"/>
        <v>0</v>
      </c>
      <c r="DJ75" s="171">
        <f t="shared" ca="1" si="41"/>
        <v>0</v>
      </c>
      <c r="DK75" s="171">
        <f t="shared" ca="1" si="42"/>
        <v>0</v>
      </c>
      <c r="DL75" s="171">
        <f t="shared" ca="1" si="43"/>
        <v>0</v>
      </c>
      <c r="DM75" s="171">
        <f t="shared" ca="1" si="44"/>
        <v>0</v>
      </c>
      <c r="DN75" s="171">
        <f t="shared" ca="1" si="45"/>
        <v>0</v>
      </c>
      <c r="DO75" s="171">
        <f t="shared" ca="1" si="46"/>
        <v>0</v>
      </c>
      <c r="DP75" s="171">
        <f t="shared" ca="1" si="47"/>
        <v>0</v>
      </c>
      <c r="DQ75" s="171">
        <f t="shared" ca="1" si="48"/>
        <v>0</v>
      </c>
      <c r="DR75" s="171">
        <f t="shared" ca="1" si="49"/>
        <v>0</v>
      </c>
      <c r="DS75" s="171">
        <f t="shared" ca="1" si="50"/>
        <v>0</v>
      </c>
      <c r="DT75" s="171">
        <f t="shared" ca="1" si="51"/>
        <v>0</v>
      </c>
      <c r="DU75" s="171">
        <f t="shared" ca="1" si="52"/>
        <v>0</v>
      </c>
      <c r="DV75" s="171">
        <f t="shared" ca="1" si="53"/>
        <v>0</v>
      </c>
      <c r="DW75" s="171">
        <f t="shared" ca="1" si="54"/>
        <v>0</v>
      </c>
      <c r="DX75" s="171">
        <f t="shared" ca="1" si="55"/>
        <v>0</v>
      </c>
      <c r="DY75" s="171">
        <f t="shared" ca="1" si="56"/>
        <v>0</v>
      </c>
      <c r="DZ75" s="171">
        <f t="shared" ca="1" si="57"/>
        <v>0</v>
      </c>
      <c r="EA75" s="171">
        <f t="shared" ca="1" si="58"/>
        <v>0</v>
      </c>
      <c r="EB75" s="171">
        <f t="shared" ca="1" si="59"/>
        <v>0</v>
      </c>
      <c r="EC75" s="171">
        <f t="shared" ca="1" si="60"/>
        <v>0</v>
      </c>
      <c r="ED75" s="171">
        <f t="shared" ca="1" si="61"/>
        <v>0</v>
      </c>
      <c r="EE75" s="171">
        <f t="shared" ca="1" si="62"/>
        <v>0</v>
      </c>
      <c r="EF75" s="171">
        <f t="shared" ca="1" si="63"/>
        <v>0</v>
      </c>
      <c r="EG75" s="171">
        <f t="shared" ca="1" si="64"/>
        <v>0</v>
      </c>
      <c r="EH75" s="171">
        <f t="shared" ca="1" si="65"/>
        <v>0</v>
      </c>
      <c r="EI75" s="171">
        <f t="shared" ca="1" si="66"/>
        <v>0</v>
      </c>
      <c r="EJ75" s="171">
        <f t="shared" ca="1" si="67"/>
        <v>0</v>
      </c>
      <c r="EK75" s="171">
        <f t="shared" ca="1" si="68"/>
        <v>0</v>
      </c>
      <c r="EL75" s="171">
        <f t="shared" ca="1" si="69"/>
        <v>0</v>
      </c>
      <c r="EM75" s="171">
        <f t="shared" ca="1" si="70"/>
        <v>0</v>
      </c>
      <c r="EN75" s="171">
        <f t="shared" ca="1" si="71"/>
        <v>0</v>
      </c>
      <c r="EO75" s="171">
        <f t="shared" ca="1" si="72"/>
        <v>0</v>
      </c>
      <c r="EP75" s="171">
        <f t="shared" ca="1" si="73"/>
        <v>0</v>
      </c>
      <c r="EQ75" s="171">
        <f t="shared" ca="1" si="74"/>
        <v>0</v>
      </c>
      <c r="ER75" s="171">
        <f t="shared" ca="1" si="75"/>
        <v>0</v>
      </c>
      <c r="ES75" s="171">
        <f t="shared" ca="1" si="76"/>
        <v>0</v>
      </c>
    </row>
    <row r="76" spans="1:149">
      <c r="A76" s="139" t="s">
        <v>441</v>
      </c>
      <c r="B76" s="174" t="s">
        <v>443</v>
      </c>
      <c r="C76" s="161" t="s">
        <v>34</v>
      </c>
      <c r="D76" s="161" t="s">
        <v>417</v>
      </c>
      <c r="E76" s="161">
        <v>2011</v>
      </c>
      <c r="F76" s="189" t="s">
        <v>424</v>
      </c>
      <c r="G76" s="161" t="s">
        <v>289</v>
      </c>
      <c r="H76" s="189" t="s">
        <v>406</v>
      </c>
      <c r="I76" s="189" t="s">
        <v>365</v>
      </c>
      <c r="J76" s="189" t="s">
        <v>401</v>
      </c>
      <c r="K76" s="187">
        <v>13.5</v>
      </c>
      <c r="L76" s="163" t="s">
        <v>110</v>
      </c>
      <c r="M76" s="164">
        <f t="shared" si="0"/>
        <v>13.5</v>
      </c>
      <c r="N76" s="164">
        <f t="shared" si="1"/>
        <v>13.5</v>
      </c>
      <c r="O76" s="165">
        <f t="shared" si="2"/>
        <v>1</v>
      </c>
      <c r="P76" s="190">
        <v>0.185</v>
      </c>
      <c r="Q76" s="177">
        <v>25</v>
      </c>
      <c r="R76" s="168">
        <f t="shared" si="3"/>
        <v>12</v>
      </c>
      <c r="S76" s="178">
        <v>0</v>
      </c>
      <c r="T76" s="161" t="s">
        <v>289</v>
      </c>
      <c r="U76" s="171">
        <f t="shared" si="4"/>
        <v>2.5974000000000008</v>
      </c>
      <c r="V76" s="171">
        <f t="shared" ca="1" si="5"/>
        <v>2.2185663107386624</v>
      </c>
      <c r="W76" s="171">
        <f t="shared" ca="1" si="6"/>
        <v>55.464157768466563</v>
      </c>
      <c r="X76" s="172" t="str">
        <f t="shared" si="7"/>
        <v>Equity</v>
      </c>
      <c r="Y76" s="172" t="str">
        <f t="shared" si="8"/>
        <v>Equity</v>
      </c>
      <c r="Z76" s="173">
        <f t="shared" si="9"/>
        <v>64.935000000000016</v>
      </c>
      <c r="AA76" s="171">
        <f t="shared" si="83"/>
        <v>0</v>
      </c>
      <c r="AB76" s="171">
        <f t="shared" si="83"/>
        <v>2.4975000000000001</v>
      </c>
      <c r="AC76" s="171">
        <f t="shared" si="83"/>
        <v>2.4975000000000001</v>
      </c>
      <c r="AD76" s="171">
        <f t="shared" si="83"/>
        <v>2.4975000000000001</v>
      </c>
      <c r="AE76" s="171">
        <f t="shared" si="83"/>
        <v>2.4975000000000001</v>
      </c>
      <c r="AF76" s="171">
        <f t="shared" si="83"/>
        <v>2.4975000000000001</v>
      </c>
      <c r="AG76" s="171">
        <f t="shared" si="83"/>
        <v>2.4975000000000001</v>
      </c>
      <c r="AH76" s="171">
        <f t="shared" si="83"/>
        <v>2.4975000000000001</v>
      </c>
      <c r="AI76" s="171">
        <f t="shared" si="83"/>
        <v>2.4975000000000001</v>
      </c>
      <c r="AJ76" s="171">
        <f t="shared" si="83"/>
        <v>2.4975000000000001</v>
      </c>
      <c r="AK76" s="171">
        <f t="shared" si="84"/>
        <v>2.4975000000000001</v>
      </c>
      <c r="AL76" s="171">
        <f t="shared" si="84"/>
        <v>2.4975000000000001</v>
      </c>
      <c r="AM76" s="171">
        <f t="shared" si="84"/>
        <v>2.4975000000000001</v>
      </c>
      <c r="AN76" s="171">
        <f t="shared" si="84"/>
        <v>2.4975000000000001</v>
      </c>
      <c r="AO76" s="171">
        <f t="shared" si="84"/>
        <v>2.4975000000000001</v>
      </c>
      <c r="AP76" s="171">
        <f t="shared" si="84"/>
        <v>2.4975000000000001</v>
      </c>
      <c r="AQ76" s="171">
        <f t="shared" si="84"/>
        <v>2.4975000000000001</v>
      </c>
      <c r="AR76" s="171">
        <f t="shared" si="84"/>
        <v>2.4975000000000001</v>
      </c>
      <c r="AS76" s="171">
        <f t="shared" si="84"/>
        <v>2.4975000000000001</v>
      </c>
      <c r="AT76" s="171">
        <f t="shared" si="84"/>
        <v>2.4975000000000001</v>
      </c>
      <c r="AU76" s="171">
        <f t="shared" si="85"/>
        <v>2.4975000000000001</v>
      </c>
      <c r="AV76" s="171">
        <f t="shared" si="85"/>
        <v>2.4975000000000001</v>
      </c>
      <c r="AW76" s="171">
        <f t="shared" si="85"/>
        <v>2.4975000000000001</v>
      </c>
      <c r="AX76" s="171">
        <f t="shared" si="85"/>
        <v>2.4975000000000001</v>
      </c>
      <c r="AY76" s="171">
        <f t="shared" si="85"/>
        <v>2.4975000000000001</v>
      </c>
      <c r="AZ76" s="171">
        <f t="shared" si="85"/>
        <v>2.4975000000000001</v>
      </c>
      <c r="BA76" s="171">
        <f t="shared" si="85"/>
        <v>2.4975000000000001</v>
      </c>
      <c r="BB76" s="171">
        <f t="shared" si="85"/>
        <v>0</v>
      </c>
      <c r="BC76" s="171">
        <f t="shared" si="85"/>
        <v>0</v>
      </c>
      <c r="BD76" s="171">
        <f t="shared" si="85"/>
        <v>0</v>
      </c>
      <c r="BE76" s="171">
        <f t="shared" si="86"/>
        <v>0</v>
      </c>
      <c r="BF76" s="171">
        <f t="shared" si="86"/>
        <v>0</v>
      </c>
      <c r="BG76" s="171">
        <f t="shared" si="86"/>
        <v>0</v>
      </c>
      <c r="BH76" s="171">
        <f t="shared" si="86"/>
        <v>0</v>
      </c>
      <c r="BI76" s="171">
        <f t="shared" si="86"/>
        <v>0</v>
      </c>
      <c r="BJ76" s="171">
        <f t="shared" si="86"/>
        <v>0</v>
      </c>
      <c r="BK76" s="171">
        <f t="shared" si="86"/>
        <v>0</v>
      </c>
      <c r="BL76" s="171">
        <f t="shared" si="86"/>
        <v>0</v>
      </c>
      <c r="BM76" s="171">
        <f t="shared" si="86"/>
        <v>0</v>
      </c>
      <c r="BN76" s="171">
        <f t="shared" si="86"/>
        <v>0</v>
      </c>
      <c r="BO76" s="171">
        <f t="shared" si="87"/>
        <v>0</v>
      </c>
      <c r="BP76" s="171">
        <f t="shared" si="87"/>
        <v>0</v>
      </c>
      <c r="BQ76" s="171">
        <f t="shared" si="87"/>
        <v>0</v>
      </c>
      <c r="BR76" s="171">
        <f t="shared" si="87"/>
        <v>0</v>
      </c>
      <c r="BS76" s="171">
        <f t="shared" si="87"/>
        <v>0</v>
      </c>
      <c r="BT76" s="171">
        <f t="shared" si="87"/>
        <v>0</v>
      </c>
      <c r="BU76" s="171">
        <f t="shared" si="87"/>
        <v>0</v>
      </c>
      <c r="BV76" s="171">
        <f t="shared" si="87"/>
        <v>0</v>
      </c>
      <c r="BW76" s="171">
        <f t="shared" si="87"/>
        <v>0</v>
      </c>
      <c r="BX76" s="171">
        <f t="shared" si="87"/>
        <v>0</v>
      </c>
      <c r="BY76" s="171">
        <f t="shared" si="88"/>
        <v>0</v>
      </c>
      <c r="BZ76" s="171">
        <f t="shared" si="88"/>
        <v>0</v>
      </c>
      <c r="CA76" s="171">
        <f t="shared" si="88"/>
        <v>0</v>
      </c>
      <c r="CB76" s="171">
        <f t="shared" si="88"/>
        <v>0</v>
      </c>
      <c r="CC76" s="171">
        <f t="shared" si="88"/>
        <v>0</v>
      </c>
      <c r="CD76" s="171">
        <f t="shared" si="88"/>
        <v>0</v>
      </c>
      <c r="CE76" s="171">
        <f t="shared" si="88"/>
        <v>0</v>
      </c>
      <c r="CF76" s="171">
        <f t="shared" si="88"/>
        <v>0</v>
      </c>
      <c r="CG76" s="171">
        <f t="shared" si="88"/>
        <v>0</v>
      </c>
      <c r="CH76" s="171">
        <f t="shared" si="88"/>
        <v>0</v>
      </c>
      <c r="CI76" s="171">
        <f t="shared" si="88"/>
        <v>0</v>
      </c>
      <c r="CJ76" s="243"/>
      <c r="CK76" s="171">
        <f t="shared" si="16"/>
        <v>0</v>
      </c>
      <c r="CL76" s="171">
        <f t="shared" si="17"/>
        <v>2.4975000000000001</v>
      </c>
      <c r="CM76" s="171">
        <f t="shared" si="18"/>
        <v>2.4975000000000001</v>
      </c>
      <c r="CN76" s="171">
        <f t="shared" si="19"/>
        <v>2.4975000000000001</v>
      </c>
      <c r="CO76" s="171">
        <f t="shared" si="20"/>
        <v>2.4975000000000001</v>
      </c>
      <c r="CP76" s="171">
        <f t="shared" si="21"/>
        <v>2.4975000000000001</v>
      </c>
      <c r="CQ76" s="171">
        <f t="shared" si="22"/>
        <v>2.4975000000000001</v>
      </c>
      <c r="CR76" s="171">
        <f t="shared" si="23"/>
        <v>2.4975000000000001</v>
      </c>
      <c r="CS76" s="171">
        <f t="shared" si="24"/>
        <v>2.4975000000000001</v>
      </c>
      <c r="CT76" s="171">
        <f t="shared" si="25"/>
        <v>2.4975000000000001</v>
      </c>
      <c r="CU76" s="171">
        <f t="shared" si="26"/>
        <v>2.4975000000000001</v>
      </c>
      <c r="CV76" s="171">
        <f t="shared" si="27"/>
        <v>2.4975000000000001</v>
      </c>
      <c r="CW76" s="171">
        <f t="shared" si="28"/>
        <v>2.4975000000000001</v>
      </c>
      <c r="CX76" s="171">
        <f t="shared" si="29"/>
        <v>2.4975000000000001</v>
      </c>
      <c r="CY76" s="171">
        <f t="shared" ca="1" si="30"/>
        <v>2.3710445064816121</v>
      </c>
      <c r="CZ76" s="171">
        <f t="shared" ca="1" si="31"/>
        <v>2.2509918124991515</v>
      </c>
      <c r="DA76" s="171">
        <f t="shared" ca="1" si="32"/>
        <v>2.1370177261906704</v>
      </c>
      <c r="DB76" s="171">
        <f t="shared" ca="1" si="33"/>
        <v>2.0288144704457318</v>
      </c>
      <c r="DC76" s="171">
        <f t="shared" ca="1" si="34"/>
        <v>1.9260898517800811</v>
      </c>
      <c r="DD76" s="171">
        <f t="shared" ca="1" si="35"/>
        <v>1.8285664712925498</v>
      </c>
      <c r="DE76" s="171">
        <f t="shared" ca="1" si="36"/>
        <v>1.7359809755734401</v>
      </c>
      <c r="DF76" s="171">
        <f t="shared" ca="1" si="37"/>
        <v>1.6480833455415393</v>
      </c>
      <c r="DG76" s="171">
        <f t="shared" ca="1" si="38"/>
        <v>1.5646362212893308</v>
      </c>
      <c r="DH76" s="171">
        <f t="shared" ca="1" si="39"/>
        <v>1.4854142611131993</v>
      </c>
      <c r="DI76" s="171">
        <f t="shared" ca="1" si="40"/>
        <v>1.4102035329977551</v>
      </c>
      <c r="DJ76" s="171">
        <f t="shared" ca="1" si="41"/>
        <v>1.3388009369110263</v>
      </c>
      <c r="DK76" s="171">
        <f t="shared" ca="1" si="42"/>
        <v>1.2710136563504799</v>
      </c>
      <c r="DL76" s="171">
        <f t="shared" ca="1" si="43"/>
        <v>0</v>
      </c>
      <c r="DM76" s="171">
        <f t="shared" ca="1" si="44"/>
        <v>0</v>
      </c>
      <c r="DN76" s="171">
        <f t="shared" ca="1" si="45"/>
        <v>0</v>
      </c>
      <c r="DO76" s="171">
        <f t="shared" ca="1" si="46"/>
        <v>0</v>
      </c>
      <c r="DP76" s="171">
        <f t="shared" ca="1" si="47"/>
        <v>0</v>
      </c>
      <c r="DQ76" s="171">
        <f t="shared" ca="1" si="48"/>
        <v>0</v>
      </c>
      <c r="DR76" s="171">
        <f t="shared" ca="1" si="49"/>
        <v>0</v>
      </c>
      <c r="DS76" s="171">
        <f t="shared" ca="1" si="50"/>
        <v>0</v>
      </c>
      <c r="DT76" s="171">
        <f t="shared" ca="1" si="51"/>
        <v>0</v>
      </c>
      <c r="DU76" s="171">
        <f t="shared" ca="1" si="52"/>
        <v>0</v>
      </c>
      <c r="DV76" s="171">
        <f t="shared" ca="1" si="53"/>
        <v>0</v>
      </c>
      <c r="DW76" s="171">
        <f t="shared" ca="1" si="54"/>
        <v>0</v>
      </c>
      <c r="DX76" s="171">
        <f t="shared" ca="1" si="55"/>
        <v>0</v>
      </c>
      <c r="DY76" s="171">
        <f t="shared" ca="1" si="56"/>
        <v>0</v>
      </c>
      <c r="DZ76" s="171">
        <f t="shared" ca="1" si="57"/>
        <v>0</v>
      </c>
      <c r="EA76" s="171">
        <f t="shared" ca="1" si="58"/>
        <v>0</v>
      </c>
      <c r="EB76" s="171">
        <f t="shared" ca="1" si="59"/>
        <v>0</v>
      </c>
      <c r="EC76" s="171">
        <f t="shared" ca="1" si="60"/>
        <v>0</v>
      </c>
      <c r="ED76" s="171">
        <f t="shared" ca="1" si="61"/>
        <v>0</v>
      </c>
      <c r="EE76" s="171">
        <f t="shared" ca="1" si="62"/>
        <v>0</v>
      </c>
      <c r="EF76" s="171">
        <f t="shared" ca="1" si="63"/>
        <v>0</v>
      </c>
      <c r="EG76" s="171">
        <f t="shared" ca="1" si="64"/>
        <v>0</v>
      </c>
      <c r="EH76" s="171">
        <f t="shared" ca="1" si="65"/>
        <v>0</v>
      </c>
      <c r="EI76" s="171">
        <f t="shared" ca="1" si="66"/>
        <v>0</v>
      </c>
      <c r="EJ76" s="171">
        <f t="shared" ca="1" si="67"/>
        <v>0</v>
      </c>
      <c r="EK76" s="171">
        <f t="shared" ca="1" si="68"/>
        <v>0</v>
      </c>
      <c r="EL76" s="171">
        <f t="shared" ca="1" si="69"/>
        <v>0</v>
      </c>
      <c r="EM76" s="171">
        <f t="shared" ca="1" si="70"/>
        <v>0</v>
      </c>
      <c r="EN76" s="171">
        <f t="shared" ca="1" si="71"/>
        <v>0</v>
      </c>
      <c r="EO76" s="171">
        <f t="shared" ca="1" si="72"/>
        <v>0</v>
      </c>
      <c r="EP76" s="171">
        <f t="shared" ca="1" si="73"/>
        <v>0</v>
      </c>
      <c r="EQ76" s="171">
        <f t="shared" ca="1" si="74"/>
        <v>0</v>
      </c>
      <c r="ER76" s="171">
        <f t="shared" ca="1" si="75"/>
        <v>0</v>
      </c>
      <c r="ES76" s="171">
        <f t="shared" ca="1" si="76"/>
        <v>0</v>
      </c>
    </row>
    <row r="77" spans="1:149">
      <c r="A77" s="139" t="s">
        <v>441</v>
      </c>
      <c r="B77" s="160" t="s">
        <v>444</v>
      </c>
      <c r="C77" s="160" t="s">
        <v>34</v>
      </c>
      <c r="D77" s="161" t="s">
        <v>417</v>
      </c>
      <c r="E77" s="160">
        <v>2011</v>
      </c>
      <c r="F77" s="194" t="s">
        <v>405</v>
      </c>
      <c r="G77" s="194" t="s">
        <v>289</v>
      </c>
      <c r="H77" s="194" t="s">
        <v>406</v>
      </c>
      <c r="I77" s="194" t="s">
        <v>365</v>
      </c>
      <c r="J77" s="194" t="s">
        <v>397</v>
      </c>
      <c r="K77" s="187">
        <v>13.5</v>
      </c>
      <c r="L77" s="163" t="s">
        <v>110</v>
      </c>
      <c r="M77" s="164">
        <f t="shared" si="0"/>
        <v>13.5</v>
      </c>
      <c r="N77" s="164">
        <f t="shared" si="1"/>
        <v>13.5</v>
      </c>
      <c r="O77" s="165">
        <f t="shared" si="2"/>
        <v>1</v>
      </c>
      <c r="P77" s="190">
        <v>0.185</v>
      </c>
      <c r="Q77" s="177">
        <v>25</v>
      </c>
      <c r="R77" s="168">
        <f t="shared" si="3"/>
        <v>12</v>
      </c>
      <c r="S77" s="178">
        <v>0</v>
      </c>
      <c r="T77" s="160" t="s">
        <v>289</v>
      </c>
      <c r="U77" s="171">
        <f t="shared" si="4"/>
        <v>2.5974000000000008</v>
      </c>
      <c r="V77" s="171">
        <f t="shared" ca="1" si="5"/>
        <v>2.2185663107386624</v>
      </c>
      <c r="W77" s="171">
        <f t="shared" ca="1" si="6"/>
        <v>55.464157768466563</v>
      </c>
      <c r="X77" s="172" t="str">
        <f t="shared" si="7"/>
        <v>Equity</v>
      </c>
      <c r="Y77" s="172" t="str">
        <f t="shared" si="8"/>
        <v>Equity</v>
      </c>
      <c r="Z77" s="173">
        <f t="shared" si="9"/>
        <v>64.935000000000016</v>
      </c>
      <c r="AA77" s="171">
        <f t="shared" si="83"/>
        <v>0</v>
      </c>
      <c r="AB77" s="171">
        <f t="shared" si="83"/>
        <v>2.4975000000000001</v>
      </c>
      <c r="AC77" s="171">
        <f t="shared" si="83"/>
        <v>2.4975000000000001</v>
      </c>
      <c r="AD77" s="171">
        <f t="shared" si="83"/>
        <v>2.4975000000000001</v>
      </c>
      <c r="AE77" s="171">
        <f t="shared" si="83"/>
        <v>2.4975000000000001</v>
      </c>
      <c r="AF77" s="171">
        <f t="shared" si="83"/>
        <v>2.4975000000000001</v>
      </c>
      <c r="AG77" s="171">
        <f t="shared" si="83"/>
        <v>2.4975000000000001</v>
      </c>
      <c r="AH77" s="171">
        <f t="shared" si="83"/>
        <v>2.4975000000000001</v>
      </c>
      <c r="AI77" s="171">
        <f t="shared" si="83"/>
        <v>2.4975000000000001</v>
      </c>
      <c r="AJ77" s="171">
        <f t="shared" si="83"/>
        <v>2.4975000000000001</v>
      </c>
      <c r="AK77" s="171">
        <f t="shared" si="84"/>
        <v>2.4975000000000001</v>
      </c>
      <c r="AL77" s="171">
        <f t="shared" si="84"/>
        <v>2.4975000000000001</v>
      </c>
      <c r="AM77" s="171">
        <f t="shared" si="84"/>
        <v>2.4975000000000001</v>
      </c>
      <c r="AN77" s="171">
        <f t="shared" si="84"/>
        <v>2.4975000000000001</v>
      </c>
      <c r="AO77" s="171">
        <f t="shared" si="84"/>
        <v>2.4975000000000001</v>
      </c>
      <c r="AP77" s="171">
        <f t="shared" si="84"/>
        <v>2.4975000000000001</v>
      </c>
      <c r="AQ77" s="171">
        <f t="shared" si="84"/>
        <v>2.4975000000000001</v>
      </c>
      <c r="AR77" s="171">
        <f t="shared" si="84"/>
        <v>2.4975000000000001</v>
      </c>
      <c r="AS77" s="171">
        <f t="shared" si="84"/>
        <v>2.4975000000000001</v>
      </c>
      <c r="AT77" s="171">
        <f t="shared" si="84"/>
        <v>2.4975000000000001</v>
      </c>
      <c r="AU77" s="171">
        <f t="shared" si="85"/>
        <v>2.4975000000000001</v>
      </c>
      <c r="AV77" s="171">
        <f t="shared" si="85"/>
        <v>2.4975000000000001</v>
      </c>
      <c r="AW77" s="171">
        <f t="shared" si="85"/>
        <v>2.4975000000000001</v>
      </c>
      <c r="AX77" s="171">
        <f t="shared" si="85"/>
        <v>2.4975000000000001</v>
      </c>
      <c r="AY77" s="171">
        <f t="shared" si="85"/>
        <v>2.4975000000000001</v>
      </c>
      <c r="AZ77" s="171">
        <f t="shared" si="85"/>
        <v>2.4975000000000001</v>
      </c>
      <c r="BA77" s="171">
        <f t="shared" si="85"/>
        <v>2.4975000000000001</v>
      </c>
      <c r="BB77" s="171">
        <f t="shared" si="85"/>
        <v>0</v>
      </c>
      <c r="BC77" s="171">
        <f t="shared" si="85"/>
        <v>0</v>
      </c>
      <c r="BD77" s="171">
        <f t="shared" si="85"/>
        <v>0</v>
      </c>
      <c r="BE77" s="171">
        <f t="shared" si="86"/>
        <v>0</v>
      </c>
      <c r="BF77" s="171">
        <f t="shared" si="86"/>
        <v>0</v>
      </c>
      <c r="BG77" s="171">
        <f t="shared" si="86"/>
        <v>0</v>
      </c>
      <c r="BH77" s="171">
        <f t="shared" si="86"/>
        <v>0</v>
      </c>
      <c r="BI77" s="171">
        <f t="shared" si="86"/>
        <v>0</v>
      </c>
      <c r="BJ77" s="171">
        <f t="shared" si="86"/>
        <v>0</v>
      </c>
      <c r="BK77" s="171">
        <f t="shared" si="86"/>
        <v>0</v>
      </c>
      <c r="BL77" s="171">
        <f t="shared" si="86"/>
        <v>0</v>
      </c>
      <c r="BM77" s="171">
        <f t="shared" si="86"/>
        <v>0</v>
      </c>
      <c r="BN77" s="171">
        <f t="shared" si="86"/>
        <v>0</v>
      </c>
      <c r="BO77" s="171">
        <f t="shared" si="87"/>
        <v>0</v>
      </c>
      <c r="BP77" s="171">
        <f t="shared" si="87"/>
        <v>0</v>
      </c>
      <c r="BQ77" s="171">
        <f t="shared" si="87"/>
        <v>0</v>
      </c>
      <c r="BR77" s="171">
        <f t="shared" si="87"/>
        <v>0</v>
      </c>
      <c r="BS77" s="171">
        <f t="shared" si="87"/>
        <v>0</v>
      </c>
      <c r="BT77" s="171">
        <f t="shared" si="87"/>
        <v>0</v>
      </c>
      <c r="BU77" s="171">
        <f t="shared" si="87"/>
        <v>0</v>
      </c>
      <c r="BV77" s="171">
        <f t="shared" si="87"/>
        <v>0</v>
      </c>
      <c r="BW77" s="171">
        <f t="shared" si="87"/>
        <v>0</v>
      </c>
      <c r="BX77" s="171">
        <f t="shared" si="87"/>
        <v>0</v>
      </c>
      <c r="BY77" s="171">
        <f t="shared" si="88"/>
        <v>0</v>
      </c>
      <c r="BZ77" s="171">
        <f t="shared" si="88"/>
        <v>0</v>
      </c>
      <c r="CA77" s="171">
        <f t="shared" si="88"/>
        <v>0</v>
      </c>
      <c r="CB77" s="171">
        <f t="shared" si="88"/>
        <v>0</v>
      </c>
      <c r="CC77" s="171">
        <f t="shared" si="88"/>
        <v>0</v>
      </c>
      <c r="CD77" s="171">
        <f t="shared" si="88"/>
        <v>0</v>
      </c>
      <c r="CE77" s="171">
        <f t="shared" si="88"/>
        <v>0</v>
      </c>
      <c r="CF77" s="171">
        <f t="shared" si="88"/>
        <v>0</v>
      </c>
      <c r="CG77" s="171">
        <f t="shared" si="88"/>
        <v>0</v>
      </c>
      <c r="CH77" s="171">
        <f t="shared" si="88"/>
        <v>0</v>
      </c>
      <c r="CI77" s="171">
        <f t="shared" si="88"/>
        <v>0</v>
      </c>
      <c r="CJ77" s="243"/>
      <c r="CK77" s="171">
        <f t="shared" si="16"/>
        <v>0</v>
      </c>
      <c r="CL77" s="171">
        <f t="shared" si="17"/>
        <v>2.4975000000000001</v>
      </c>
      <c r="CM77" s="171">
        <f t="shared" si="18"/>
        <v>2.4975000000000001</v>
      </c>
      <c r="CN77" s="171">
        <f t="shared" si="19"/>
        <v>2.4975000000000001</v>
      </c>
      <c r="CO77" s="171">
        <f t="shared" si="20"/>
        <v>2.4975000000000001</v>
      </c>
      <c r="CP77" s="171">
        <f t="shared" si="21"/>
        <v>2.4975000000000001</v>
      </c>
      <c r="CQ77" s="171">
        <f t="shared" si="22"/>
        <v>2.4975000000000001</v>
      </c>
      <c r="CR77" s="171">
        <f t="shared" si="23"/>
        <v>2.4975000000000001</v>
      </c>
      <c r="CS77" s="171">
        <f t="shared" si="24"/>
        <v>2.4975000000000001</v>
      </c>
      <c r="CT77" s="171">
        <f t="shared" si="25"/>
        <v>2.4975000000000001</v>
      </c>
      <c r="CU77" s="171">
        <f t="shared" si="26"/>
        <v>2.4975000000000001</v>
      </c>
      <c r="CV77" s="171">
        <f t="shared" si="27"/>
        <v>2.4975000000000001</v>
      </c>
      <c r="CW77" s="171">
        <f t="shared" si="28"/>
        <v>2.4975000000000001</v>
      </c>
      <c r="CX77" s="171">
        <f t="shared" si="29"/>
        <v>2.4975000000000001</v>
      </c>
      <c r="CY77" s="171">
        <f t="shared" ca="1" si="30"/>
        <v>2.3710445064816121</v>
      </c>
      <c r="CZ77" s="171">
        <f t="shared" ca="1" si="31"/>
        <v>2.2509918124991515</v>
      </c>
      <c r="DA77" s="171">
        <f t="shared" ca="1" si="32"/>
        <v>2.1370177261906704</v>
      </c>
      <c r="DB77" s="171">
        <f t="shared" ca="1" si="33"/>
        <v>2.0288144704457318</v>
      </c>
      <c r="DC77" s="171">
        <f t="shared" ca="1" si="34"/>
        <v>1.9260898517800811</v>
      </c>
      <c r="DD77" s="171">
        <f t="shared" ca="1" si="35"/>
        <v>1.8285664712925498</v>
      </c>
      <c r="DE77" s="171">
        <f t="shared" ca="1" si="36"/>
        <v>1.7359809755734401</v>
      </c>
      <c r="DF77" s="171">
        <f t="shared" ca="1" si="37"/>
        <v>1.6480833455415393</v>
      </c>
      <c r="DG77" s="171">
        <f t="shared" ca="1" si="38"/>
        <v>1.5646362212893308</v>
      </c>
      <c r="DH77" s="171">
        <f t="shared" ca="1" si="39"/>
        <v>1.4854142611131993</v>
      </c>
      <c r="DI77" s="171">
        <f t="shared" ca="1" si="40"/>
        <v>1.4102035329977551</v>
      </c>
      <c r="DJ77" s="171">
        <f t="shared" ca="1" si="41"/>
        <v>1.3388009369110263</v>
      </c>
      <c r="DK77" s="171">
        <f t="shared" ca="1" si="42"/>
        <v>1.2710136563504799</v>
      </c>
      <c r="DL77" s="171">
        <f t="shared" ca="1" si="43"/>
        <v>0</v>
      </c>
      <c r="DM77" s="171">
        <f t="shared" ca="1" si="44"/>
        <v>0</v>
      </c>
      <c r="DN77" s="171">
        <f t="shared" ca="1" si="45"/>
        <v>0</v>
      </c>
      <c r="DO77" s="171">
        <f t="shared" ca="1" si="46"/>
        <v>0</v>
      </c>
      <c r="DP77" s="171">
        <f t="shared" ca="1" si="47"/>
        <v>0</v>
      </c>
      <c r="DQ77" s="171">
        <f t="shared" ca="1" si="48"/>
        <v>0</v>
      </c>
      <c r="DR77" s="171">
        <f t="shared" ca="1" si="49"/>
        <v>0</v>
      </c>
      <c r="DS77" s="171">
        <f t="shared" ca="1" si="50"/>
        <v>0</v>
      </c>
      <c r="DT77" s="171">
        <f t="shared" ca="1" si="51"/>
        <v>0</v>
      </c>
      <c r="DU77" s="171">
        <f t="shared" ca="1" si="52"/>
        <v>0</v>
      </c>
      <c r="DV77" s="171">
        <f t="shared" ca="1" si="53"/>
        <v>0</v>
      </c>
      <c r="DW77" s="171">
        <f t="shared" ca="1" si="54"/>
        <v>0</v>
      </c>
      <c r="DX77" s="171">
        <f t="shared" ca="1" si="55"/>
        <v>0</v>
      </c>
      <c r="DY77" s="171">
        <f t="shared" ca="1" si="56"/>
        <v>0</v>
      </c>
      <c r="DZ77" s="171">
        <f t="shared" ca="1" si="57"/>
        <v>0</v>
      </c>
      <c r="EA77" s="171">
        <f t="shared" ca="1" si="58"/>
        <v>0</v>
      </c>
      <c r="EB77" s="171">
        <f t="shared" ca="1" si="59"/>
        <v>0</v>
      </c>
      <c r="EC77" s="171">
        <f t="shared" ca="1" si="60"/>
        <v>0</v>
      </c>
      <c r="ED77" s="171">
        <f t="shared" ca="1" si="61"/>
        <v>0</v>
      </c>
      <c r="EE77" s="171">
        <f t="shared" ca="1" si="62"/>
        <v>0</v>
      </c>
      <c r="EF77" s="171">
        <f t="shared" ca="1" si="63"/>
        <v>0</v>
      </c>
      <c r="EG77" s="171">
        <f t="shared" ca="1" si="64"/>
        <v>0</v>
      </c>
      <c r="EH77" s="171">
        <f t="shared" ca="1" si="65"/>
        <v>0</v>
      </c>
      <c r="EI77" s="171">
        <f t="shared" ca="1" si="66"/>
        <v>0</v>
      </c>
      <c r="EJ77" s="171">
        <f t="shared" ca="1" si="67"/>
        <v>0</v>
      </c>
      <c r="EK77" s="171">
        <f t="shared" ca="1" si="68"/>
        <v>0</v>
      </c>
      <c r="EL77" s="171">
        <f t="shared" ca="1" si="69"/>
        <v>0</v>
      </c>
      <c r="EM77" s="171">
        <f t="shared" ca="1" si="70"/>
        <v>0</v>
      </c>
      <c r="EN77" s="171">
        <f t="shared" ca="1" si="71"/>
        <v>0</v>
      </c>
      <c r="EO77" s="171">
        <f t="shared" ca="1" si="72"/>
        <v>0</v>
      </c>
      <c r="EP77" s="171">
        <f t="shared" ca="1" si="73"/>
        <v>0</v>
      </c>
      <c r="EQ77" s="171">
        <f t="shared" ca="1" si="74"/>
        <v>0</v>
      </c>
      <c r="ER77" s="171">
        <f t="shared" ca="1" si="75"/>
        <v>0</v>
      </c>
      <c r="ES77" s="171">
        <f t="shared" ca="1" si="76"/>
        <v>0</v>
      </c>
    </row>
    <row r="78" spans="1:149">
      <c r="A78" s="139" t="s">
        <v>445</v>
      </c>
      <c r="B78" s="160" t="s">
        <v>437</v>
      </c>
      <c r="C78" s="160" t="s">
        <v>105</v>
      </c>
      <c r="D78" s="160" t="s">
        <v>428</v>
      </c>
      <c r="E78" s="160">
        <v>2017</v>
      </c>
      <c r="F78" s="160" t="s">
        <v>395</v>
      </c>
      <c r="G78" s="160" t="s">
        <v>402</v>
      </c>
      <c r="H78" s="160" t="s">
        <v>396</v>
      </c>
      <c r="I78" s="160" t="s">
        <v>176</v>
      </c>
      <c r="J78" s="160" t="s">
        <v>438</v>
      </c>
      <c r="K78" s="187">
        <v>134</v>
      </c>
      <c r="L78" s="163" t="s">
        <v>110</v>
      </c>
      <c r="M78" s="164">
        <f t="shared" si="0"/>
        <v>134</v>
      </c>
      <c r="N78" s="164">
        <f t="shared" si="1"/>
        <v>134</v>
      </c>
      <c r="O78" s="165">
        <f t="shared" si="2"/>
        <v>1</v>
      </c>
      <c r="P78" s="180">
        <v>2.6897446266474841E-2</v>
      </c>
      <c r="Q78" s="183">
        <v>19.158759716231955</v>
      </c>
      <c r="R78" s="168">
        <f t="shared" si="3"/>
        <v>12.158759716231955</v>
      </c>
      <c r="S78" s="183">
        <v>6.1170318199528131</v>
      </c>
      <c r="T78" s="170" t="s">
        <v>403</v>
      </c>
      <c r="U78" s="171">
        <f t="shared" si="4"/>
        <v>9.1774842819624887</v>
      </c>
      <c r="V78" s="171">
        <f t="shared" ca="1" si="5"/>
        <v>6.8845287250378</v>
      </c>
      <c r="W78" s="171">
        <f t="shared" ca="1" si="6"/>
        <v>131.89903160249594</v>
      </c>
      <c r="X78" s="172">
        <f t="shared" si="7"/>
        <v>0.2352820549490191</v>
      </c>
      <c r="Y78" s="172">
        <f t="shared" si="8"/>
        <v>0.7647179450509809</v>
      </c>
      <c r="Z78" s="173">
        <f t="shared" si="9"/>
        <v>175.82921615761489</v>
      </c>
      <c r="AA78" s="171">
        <f t="shared" si="83"/>
        <v>0</v>
      </c>
      <c r="AB78" s="171">
        <f t="shared" si="83"/>
        <v>0</v>
      </c>
      <c r="AC78" s="171">
        <f t="shared" si="83"/>
        <v>0</v>
      </c>
      <c r="AD78" s="171">
        <f t="shared" si="83"/>
        <v>0</v>
      </c>
      <c r="AE78" s="171">
        <f t="shared" si="83"/>
        <v>0</v>
      </c>
      <c r="AF78" s="171">
        <f t="shared" si="83"/>
        <v>0</v>
      </c>
      <c r="AG78" s="171">
        <f t="shared" si="83"/>
        <v>0</v>
      </c>
      <c r="AH78" s="171">
        <f t="shared" si="83"/>
        <v>3.6042577997076286</v>
      </c>
      <c r="AI78" s="171">
        <f t="shared" si="83"/>
        <v>3.6042577997076286</v>
      </c>
      <c r="AJ78" s="171">
        <f t="shared" si="83"/>
        <v>3.6042577997076286</v>
      </c>
      <c r="AK78" s="171">
        <f t="shared" si="84"/>
        <v>3.6042577997076286</v>
      </c>
      <c r="AL78" s="171">
        <f t="shared" si="84"/>
        <v>3.6042577997076286</v>
      </c>
      <c r="AM78" s="171">
        <f t="shared" si="84"/>
        <v>3.6042577997076286</v>
      </c>
      <c r="AN78" s="171">
        <f t="shared" si="84"/>
        <v>3.6042577997076286</v>
      </c>
      <c r="AO78" s="171">
        <f t="shared" si="84"/>
        <v>11.584570119973964</v>
      </c>
      <c r="AP78" s="171">
        <f t="shared" si="84"/>
        <v>11.584570119973964</v>
      </c>
      <c r="AQ78" s="171">
        <f t="shared" si="84"/>
        <v>11.584570119973964</v>
      </c>
      <c r="AR78" s="171">
        <f t="shared" si="84"/>
        <v>11.584570119973964</v>
      </c>
      <c r="AS78" s="171">
        <f t="shared" si="84"/>
        <v>11.584570119973964</v>
      </c>
      <c r="AT78" s="171">
        <f t="shared" si="84"/>
        <v>11.584570119973964</v>
      </c>
      <c r="AU78" s="171">
        <f t="shared" si="85"/>
        <v>11.584570119973964</v>
      </c>
      <c r="AV78" s="171">
        <f t="shared" si="85"/>
        <v>11.584570119973964</v>
      </c>
      <c r="AW78" s="171">
        <f t="shared" si="85"/>
        <v>11.584570119973964</v>
      </c>
      <c r="AX78" s="171">
        <f t="shared" si="85"/>
        <v>11.584570119973964</v>
      </c>
      <c r="AY78" s="171">
        <f t="shared" si="85"/>
        <v>11.584570119973964</v>
      </c>
      <c r="AZ78" s="171">
        <f t="shared" si="85"/>
        <v>11.584570119973964</v>
      </c>
      <c r="BA78" s="171">
        <f t="shared" si="85"/>
        <v>11.584570119973964</v>
      </c>
      <c r="BB78" s="171">
        <f t="shared" si="85"/>
        <v>0</v>
      </c>
      <c r="BC78" s="171">
        <f t="shared" si="85"/>
        <v>0</v>
      </c>
      <c r="BD78" s="171">
        <f t="shared" si="85"/>
        <v>0</v>
      </c>
      <c r="BE78" s="171">
        <f t="shared" si="86"/>
        <v>0</v>
      </c>
      <c r="BF78" s="171">
        <f t="shared" si="86"/>
        <v>0</v>
      </c>
      <c r="BG78" s="171">
        <f t="shared" si="86"/>
        <v>0</v>
      </c>
      <c r="BH78" s="171">
        <f t="shared" si="86"/>
        <v>0</v>
      </c>
      <c r="BI78" s="171">
        <f t="shared" si="86"/>
        <v>0</v>
      </c>
      <c r="BJ78" s="171">
        <f t="shared" si="86"/>
        <v>0</v>
      </c>
      <c r="BK78" s="171">
        <f t="shared" si="86"/>
        <v>0</v>
      </c>
      <c r="BL78" s="171">
        <f t="shared" si="86"/>
        <v>0</v>
      </c>
      <c r="BM78" s="171">
        <f t="shared" si="86"/>
        <v>0</v>
      </c>
      <c r="BN78" s="171">
        <f t="shared" si="86"/>
        <v>0</v>
      </c>
      <c r="BO78" s="171">
        <f t="shared" si="87"/>
        <v>0</v>
      </c>
      <c r="BP78" s="171">
        <f t="shared" si="87"/>
        <v>0</v>
      </c>
      <c r="BQ78" s="171">
        <f t="shared" si="87"/>
        <v>0</v>
      </c>
      <c r="BR78" s="171">
        <f t="shared" si="87"/>
        <v>0</v>
      </c>
      <c r="BS78" s="171">
        <f t="shared" si="87"/>
        <v>0</v>
      </c>
      <c r="BT78" s="171">
        <f t="shared" si="87"/>
        <v>0</v>
      </c>
      <c r="BU78" s="171">
        <f t="shared" si="87"/>
        <v>0</v>
      </c>
      <c r="BV78" s="171">
        <f t="shared" si="87"/>
        <v>0</v>
      </c>
      <c r="BW78" s="171">
        <f t="shared" si="87"/>
        <v>0</v>
      </c>
      <c r="BX78" s="171">
        <f t="shared" si="87"/>
        <v>0</v>
      </c>
      <c r="BY78" s="171">
        <f t="shared" si="88"/>
        <v>0</v>
      </c>
      <c r="BZ78" s="171">
        <f t="shared" si="88"/>
        <v>0</v>
      </c>
      <c r="CA78" s="171">
        <f t="shared" si="88"/>
        <v>0</v>
      </c>
      <c r="CB78" s="171">
        <f t="shared" si="88"/>
        <v>0</v>
      </c>
      <c r="CC78" s="171">
        <f t="shared" si="88"/>
        <v>0</v>
      </c>
      <c r="CD78" s="171">
        <f t="shared" si="88"/>
        <v>0</v>
      </c>
      <c r="CE78" s="171">
        <f t="shared" si="88"/>
        <v>0</v>
      </c>
      <c r="CF78" s="171">
        <f t="shared" si="88"/>
        <v>0</v>
      </c>
      <c r="CG78" s="171">
        <f t="shared" si="88"/>
        <v>0</v>
      </c>
      <c r="CH78" s="171">
        <f t="shared" si="88"/>
        <v>0</v>
      </c>
      <c r="CI78" s="171">
        <f t="shared" si="88"/>
        <v>0</v>
      </c>
      <c r="CJ78" s="243"/>
      <c r="CK78" s="171">
        <f t="shared" si="16"/>
        <v>0</v>
      </c>
      <c r="CL78" s="171">
        <f t="shared" si="17"/>
        <v>0</v>
      </c>
      <c r="CM78" s="171">
        <f t="shared" si="18"/>
        <v>0</v>
      </c>
      <c r="CN78" s="171">
        <f t="shared" si="19"/>
        <v>0</v>
      </c>
      <c r="CO78" s="171">
        <f t="shared" si="20"/>
        <v>0</v>
      </c>
      <c r="CP78" s="171">
        <f t="shared" si="21"/>
        <v>0</v>
      </c>
      <c r="CQ78" s="171">
        <f t="shared" si="22"/>
        <v>0</v>
      </c>
      <c r="CR78" s="171">
        <f t="shared" si="23"/>
        <v>3.6042577997076286</v>
      </c>
      <c r="CS78" s="171">
        <f t="shared" si="24"/>
        <v>3.6042577997076286</v>
      </c>
      <c r="CT78" s="171">
        <f t="shared" si="25"/>
        <v>3.6042577997076286</v>
      </c>
      <c r="CU78" s="171">
        <f t="shared" si="26"/>
        <v>3.6042577997076286</v>
      </c>
      <c r="CV78" s="171">
        <f t="shared" si="27"/>
        <v>3.6042577997076286</v>
      </c>
      <c r="CW78" s="171">
        <f t="shared" si="28"/>
        <v>3.6042577997076286</v>
      </c>
      <c r="CX78" s="171">
        <f t="shared" si="29"/>
        <v>3.6042577997076286</v>
      </c>
      <c r="CY78" s="171">
        <f t="shared" ca="1" si="30"/>
        <v>10.998010547713832</v>
      </c>
      <c r="CZ78" s="171">
        <f t="shared" ca="1" si="31"/>
        <v>10.441150146700183</v>
      </c>
      <c r="DA78" s="171">
        <f t="shared" ca="1" si="32"/>
        <v>9.9124851638370952</v>
      </c>
      <c r="DB78" s="171">
        <f t="shared" ca="1" si="33"/>
        <v>9.4105879853038736</v>
      </c>
      <c r="DC78" s="171">
        <f t="shared" ca="1" si="34"/>
        <v>8.934103281408051</v>
      </c>
      <c r="DD78" s="171">
        <f t="shared" ca="1" si="35"/>
        <v>8.4817443466353968</v>
      </c>
      <c r="DE78" s="171">
        <f t="shared" ca="1" si="36"/>
        <v>8.0522896250135449</v>
      </c>
      <c r="DF78" s="171">
        <f t="shared" ca="1" si="37"/>
        <v>7.644579411406303</v>
      </c>
      <c r="DG78" s="171">
        <f t="shared" ca="1" si="38"/>
        <v>7.2575127198307712</v>
      </c>
      <c r="DH78" s="171">
        <f t="shared" ca="1" si="39"/>
        <v>6.890044310340409</v>
      </c>
      <c r="DI78" s="171">
        <f t="shared" ca="1" si="40"/>
        <v>6.5411818664454504</v>
      </c>
      <c r="DJ78" s="171">
        <f t="shared" ca="1" si="41"/>
        <v>6.2099833154484978</v>
      </c>
      <c r="DK78" s="171">
        <f t="shared" ca="1" si="42"/>
        <v>5.8955542844591093</v>
      </c>
      <c r="DL78" s="171">
        <f t="shared" ca="1" si="43"/>
        <v>0</v>
      </c>
      <c r="DM78" s="171">
        <f t="shared" ca="1" si="44"/>
        <v>0</v>
      </c>
      <c r="DN78" s="171">
        <f t="shared" ca="1" si="45"/>
        <v>0</v>
      </c>
      <c r="DO78" s="171">
        <f t="shared" ca="1" si="46"/>
        <v>0</v>
      </c>
      <c r="DP78" s="171">
        <f t="shared" ca="1" si="47"/>
        <v>0</v>
      </c>
      <c r="DQ78" s="171">
        <f t="shared" ca="1" si="48"/>
        <v>0</v>
      </c>
      <c r="DR78" s="171">
        <f t="shared" ca="1" si="49"/>
        <v>0</v>
      </c>
      <c r="DS78" s="171">
        <f t="shared" ca="1" si="50"/>
        <v>0</v>
      </c>
      <c r="DT78" s="171">
        <f t="shared" ca="1" si="51"/>
        <v>0</v>
      </c>
      <c r="DU78" s="171">
        <f t="shared" ca="1" si="52"/>
        <v>0</v>
      </c>
      <c r="DV78" s="171">
        <f t="shared" ca="1" si="53"/>
        <v>0</v>
      </c>
      <c r="DW78" s="171">
        <f t="shared" ca="1" si="54"/>
        <v>0</v>
      </c>
      <c r="DX78" s="171">
        <f t="shared" ca="1" si="55"/>
        <v>0</v>
      </c>
      <c r="DY78" s="171">
        <f t="shared" ca="1" si="56"/>
        <v>0</v>
      </c>
      <c r="DZ78" s="171">
        <f t="shared" ca="1" si="57"/>
        <v>0</v>
      </c>
      <c r="EA78" s="171">
        <f t="shared" ca="1" si="58"/>
        <v>0</v>
      </c>
      <c r="EB78" s="171">
        <f t="shared" ca="1" si="59"/>
        <v>0</v>
      </c>
      <c r="EC78" s="171">
        <f t="shared" ca="1" si="60"/>
        <v>0</v>
      </c>
      <c r="ED78" s="171">
        <f t="shared" ca="1" si="61"/>
        <v>0</v>
      </c>
      <c r="EE78" s="171">
        <f t="shared" ca="1" si="62"/>
        <v>0</v>
      </c>
      <c r="EF78" s="171">
        <f t="shared" ca="1" si="63"/>
        <v>0</v>
      </c>
      <c r="EG78" s="171">
        <f t="shared" ca="1" si="64"/>
        <v>0</v>
      </c>
      <c r="EH78" s="171">
        <f t="shared" ca="1" si="65"/>
        <v>0</v>
      </c>
      <c r="EI78" s="171">
        <f t="shared" ca="1" si="66"/>
        <v>0</v>
      </c>
      <c r="EJ78" s="171">
        <f t="shared" ca="1" si="67"/>
        <v>0</v>
      </c>
      <c r="EK78" s="171">
        <f t="shared" ca="1" si="68"/>
        <v>0</v>
      </c>
      <c r="EL78" s="171">
        <f t="shared" ca="1" si="69"/>
        <v>0</v>
      </c>
      <c r="EM78" s="171">
        <f t="shared" ca="1" si="70"/>
        <v>0</v>
      </c>
      <c r="EN78" s="171">
        <f t="shared" ca="1" si="71"/>
        <v>0</v>
      </c>
      <c r="EO78" s="171">
        <f t="shared" ca="1" si="72"/>
        <v>0</v>
      </c>
      <c r="EP78" s="171">
        <f t="shared" ca="1" si="73"/>
        <v>0</v>
      </c>
      <c r="EQ78" s="171">
        <f t="shared" ca="1" si="74"/>
        <v>0</v>
      </c>
      <c r="ER78" s="171">
        <f t="shared" ca="1" si="75"/>
        <v>0</v>
      </c>
      <c r="ES78" s="171">
        <f t="shared" ca="1" si="76"/>
        <v>0</v>
      </c>
    </row>
    <row r="79" spans="1:149">
      <c r="A79" s="139" t="s">
        <v>446</v>
      </c>
      <c r="B79" s="161" t="s">
        <v>420</v>
      </c>
      <c r="C79" s="161" t="s">
        <v>109</v>
      </c>
      <c r="D79" s="161" t="s">
        <v>428</v>
      </c>
      <c r="E79" s="161">
        <v>2015</v>
      </c>
      <c r="F79" s="161" t="s">
        <v>400</v>
      </c>
      <c r="G79" s="161" t="s">
        <v>402</v>
      </c>
      <c r="H79" s="161" t="s">
        <v>396</v>
      </c>
      <c r="I79" s="161" t="s">
        <v>183</v>
      </c>
      <c r="J79" s="161" t="s">
        <v>401</v>
      </c>
      <c r="K79" s="184">
        <v>4.5</v>
      </c>
      <c r="L79" s="163" t="s">
        <v>110</v>
      </c>
      <c r="M79" s="164">
        <f t="shared" si="0"/>
        <v>4.5</v>
      </c>
      <c r="N79" s="164">
        <f t="shared" si="1"/>
        <v>4.5</v>
      </c>
      <c r="O79" s="165">
        <f t="shared" si="2"/>
        <v>1</v>
      </c>
      <c r="P79" s="176">
        <v>2.5999999999999999E-2</v>
      </c>
      <c r="Q79" s="177">
        <v>20.3</v>
      </c>
      <c r="R79" s="168">
        <f t="shared" si="3"/>
        <v>11.3</v>
      </c>
      <c r="S79" s="181">
        <v>6.2</v>
      </c>
      <c r="T79" s="170" t="s">
        <v>403</v>
      </c>
      <c r="U79" s="171">
        <f t="shared" si="4"/>
        <v>0.29147610369453375</v>
      </c>
      <c r="V79" s="171">
        <f t="shared" ca="1" si="5"/>
        <v>0.23226215789686522</v>
      </c>
      <c r="W79" s="171">
        <f t="shared" ca="1" si="6"/>
        <v>4.7149218053063642</v>
      </c>
      <c r="X79" s="172">
        <f t="shared" si="7"/>
        <v>0.22543917795765567</v>
      </c>
      <c r="Y79" s="172">
        <f t="shared" si="8"/>
        <v>0.77456082204234433</v>
      </c>
      <c r="Z79" s="173">
        <f t="shared" si="9"/>
        <v>5.9169649049990358</v>
      </c>
      <c r="AA79" s="171">
        <f t="shared" ref="AA79:AJ88" si="89">IFERROR(
    IF($T79="Equity",
        IF(AND(AA$48&gt;=$E79, AA$48&lt;=($E79+$Q79)),
$K79*$P79*(VLOOKUP($C$39,$C$37:$BL$44,MATCH($E79,$C$37:$BL$37,0),FALSE)/VLOOKUP($L79,$C$37:$BL$44,MATCH($E79,$C$37:$BL$37,0),FALSE))*
IF($B$5="Foreign Currency",VLOOKUP($C$38,$C$37:$BL$44,MATCH(AA$48,$C$37:$BL$37,0),FALSE)/VLOOKUP($C$39,$C$37:$BL$44,MATCH(AA$48,$C$37:$BL$37,0),FALSE),1),
0),
    IF($T79="Lump Sum Principal",
        IF(AND(AA$48&gt;=$E79, AA$48&lt;($E79+$Q79)),
$K79*$P79*(VLOOKUP($C$39,$C$37:$BL$44,MATCH($E79,$C$37:$BL$37,0),FALSE)/VLOOKUP($L79,$C$37:$BL$44,MATCH($E79,$C$37:$BL$37,0),FALSE))*
IF($B$5="Foreign Currency",VLOOKUP($C$38,$C$37:$BL$44,MATCH(AA$48,$C$37:$BL$37,0),FALSE)/VLOOKUP($C$39,$C$37:$BL$44,MATCH(AA$48,$C$37:$BL$37,0),FALSE),1),
        IF(AA$48=($E79+$Q79),
$K79*(1+$P79)*(VLOOKUP($C$39,$C$37:$BL$44,MATCH($E79,$C$37:$BL$37,0),FALSE)/VLOOKUP($L79,$C$37:$BL$44,MATCH($E79,$C$37:$BL$37,0),FALSE))*
IF($B$5="Foreign Currency",VLOOKUP($C$38,$C$37:$BL$44,MATCH(AA$48,$C$37:$BL$37,0),FALSE)/VLOOKUP($C$39,$C$37:$BL$44,MATCH(AA$48,$C$37:$BL$37,0),FALSE),1),
0)),
    IF($T79="Lump Sum Principal and Interest",
        IF(AA$48=($E79+$Q79),
$K79*((1+$P79)^$Q79)*(VLOOKUP($C$39,$C$37:$BL$44,MATCH($E79,$C$37:$BL$37,0),FALSE)/VLOOKUP($L79,$C$37:$BL$44,MATCH($E79,$C$37:$BL$37,0),FALSE))*
IF($B$5="Foreign Currency",VLOOKUP($C$38,$C$37:$BL$44,MATCH(AA$48,$C$37:$BL$37,0),FALSE)/VLOOKUP($C$39,$C$37:$BL$44,MATCH(AA$48,$C$37:$BL$37,0),FALSE),1),
0),
    IF($T79="EPP with Grace Years for Principal",
        IF(AND(AA$48&gt;=$E79, AA$48&lt;($E79+$S79)),
$K79*$P79*(VLOOKUP($C$39,$C$37:$BL$44,MATCH($E79,$C$37:$BL$37,0),FALSE)/VLOOKUP($L79,$C$37:$BL$44,MATCH($E79,$C$37:$BL$37,0),FALSE))*
IF($B$5="Foreign Currency",VLOOKUP($C$38,$C$37:$BL$44,MATCH(AA$48,$C$37:$BL$37,0),FALSE)/VLOOKUP($C$39,$C$37:$BL$44,MATCH(AA$48,$C$37:$BL$37,0),FALSE),1),
        IF(AND(AA$48&gt;=($E79+$S79), AA$48&lt;=($E79+$Q79)),
-PMT($P79,($Q79-$S79+1),($K79*(VLOOKUP($C$39,$C$37:$BL$44,MATCH($E79,$C$37:$BL$37,0),FALSE)/VLOOKUP($L79,$C$37:$BL$44,MATCH($E79,$C$37:$BL$37,0),FALSE))*
IF($B$5="Foreign Currency",VLOOKUP($C$38,$C$37:$BL$44,MATCH(AA$48,$C$37:$BL$37,0),FALSE)/VLOOKUP($C$39,$C$37:$BL$44,MATCH(AA$48,$C$37:$BL$37,0),FALSE),1)),0),
0)),
    IF($T79="Equal Principal Payments (EPP)",
        IF(AND(AA$48&gt;=$E79, AA$48&lt;=($E79+$Q79)),
-PMT($P79,($Q79-$S79+1),($K79*(VLOOKUP($C$39,$C$37:$BL$44,MATCH($E79,$C$37:$BL$37,0),FALSE)/VLOOKUP($L79,$C$37:$BL$44,MATCH($E79,$C$37:$BL$37,0),FALSE))*
IF($B$5="Foreign Currency",VLOOKUP($C$38,$C$37:$BL$44,MATCH(AA$48,$C$37:$BL$37,0),FALSE)/VLOOKUP($C$39,$C$37:$BL$44,MATCH(AA$48,$C$37:$BL$37,0),FALSE),1)),0), 0),
    IF($T79="EPP with Grace Years for Principal and on Interest",
        IF(AND(AA$48&gt;=($E79+$S79), AA$48&lt;=($E79+$Q79)),
-PMT($P79,($Q79-$S79+1),($K79*(VLOOKUP($C$39,$C$37:$BL$44,MATCH($E79,$C$37:$BL$37,0),FALSE)/VLOOKUP($L79,$C$37:$BL$44,MATCH($E79,$C$37:$BL$37,0),FALSE))*
IF($B$5="Foreign Currency",VLOOKUP($C$38,$C$37:$BL$44,MATCH(AA$48,$C$37:$BL$37,0),FALSE)/VLOOKUP($C$39,$C$37:$BL$44,MATCH(AA$48,$C$37:$BL$37,0),FALSE),1))*((1+$P79)^$S79),0), 0),
    0)))))),"")</f>
        <v>0</v>
      </c>
      <c r="AB79" s="171">
        <f t="shared" si="89"/>
        <v>0</v>
      </c>
      <c r="AC79" s="171">
        <f t="shared" si="89"/>
        <v>0</v>
      </c>
      <c r="AD79" s="171">
        <f t="shared" si="89"/>
        <v>0</v>
      </c>
      <c r="AE79" s="171">
        <f t="shared" si="89"/>
        <v>0</v>
      </c>
      <c r="AF79" s="171">
        <f t="shared" si="89"/>
        <v>0.11699999999999999</v>
      </c>
      <c r="AG79" s="171">
        <f t="shared" si="89"/>
        <v>0.11699999999999999</v>
      </c>
      <c r="AH79" s="171">
        <f t="shared" si="89"/>
        <v>0.11699999999999999</v>
      </c>
      <c r="AI79" s="171">
        <f t="shared" si="89"/>
        <v>0.11699999999999999</v>
      </c>
      <c r="AJ79" s="171">
        <f t="shared" si="89"/>
        <v>0.11699999999999999</v>
      </c>
      <c r="AK79" s="171">
        <f t="shared" ref="AK79:AT88" si="90">IFERROR(
    IF($T79="Equity",
        IF(AND(AK$48&gt;=$E79, AK$48&lt;=($E79+$Q79)),
$K79*$P79*(VLOOKUP($C$39,$C$37:$BL$44,MATCH($E79,$C$37:$BL$37,0),FALSE)/VLOOKUP($L79,$C$37:$BL$44,MATCH($E79,$C$37:$BL$37,0),FALSE))*
IF($B$5="Foreign Currency",VLOOKUP($C$38,$C$37:$BL$44,MATCH(AK$48,$C$37:$BL$37,0),FALSE)/VLOOKUP($C$39,$C$37:$BL$44,MATCH(AK$48,$C$37:$BL$37,0),FALSE),1),
0),
    IF($T79="Lump Sum Principal",
        IF(AND(AK$48&gt;=$E79, AK$48&lt;($E79+$Q79)),
$K79*$P79*(VLOOKUP($C$39,$C$37:$BL$44,MATCH($E79,$C$37:$BL$37,0),FALSE)/VLOOKUP($L79,$C$37:$BL$44,MATCH($E79,$C$37:$BL$37,0),FALSE))*
IF($B$5="Foreign Currency",VLOOKUP($C$38,$C$37:$BL$44,MATCH(AK$48,$C$37:$BL$37,0),FALSE)/VLOOKUP($C$39,$C$37:$BL$44,MATCH(AK$48,$C$37:$BL$37,0),FALSE),1),
        IF(AK$48=($E79+$Q79),
$K79*(1+$P79)*(VLOOKUP($C$39,$C$37:$BL$44,MATCH($E79,$C$37:$BL$37,0),FALSE)/VLOOKUP($L79,$C$37:$BL$44,MATCH($E79,$C$37:$BL$37,0),FALSE))*
IF($B$5="Foreign Currency",VLOOKUP($C$38,$C$37:$BL$44,MATCH(AK$48,$C$37:$BL$37,0),FALSE)/VLOOKUP($C$39,$C$37:$BL$44,MATCH(AK$48,$C$37:$BL$37,0),FALSE),1),
0)),
    IF($T79="Lump Sum Principal and Interest",
        IF(AK$48=($E79+$Q79),
$K79*((1+$P79)^$Q79)*(VLOOKUP($C$39,$C$37:$BL$44,MATCH($E79,$C$37:$BL$37,0),FALSE)/VLOOKUP($L79,$C$37:$BL$44,MATCH($E79,$C$37:$BL$37,0),FALSE))*
IF($B$5="Foreign Currency",VLOOKUP($C$38,$C$37:$BL$44,MATCH(AK$48,$C$37:$BL$37,0),FALSE)/VLOOKUP($C$39,$C$37:$BL$44,MATCH(AK$48,$C$37:$BL$37,0),FALSE),1),
0),
    IF($T79="EPP with Grace Years for Principal",
        IF(AND(AK$48&gt;=$E79, AK$48&lt;($E79+$S79)),
$K79*$P79*(VLOOKUP($C$39,$C$37:$BL$44,MATCH($E79,$C$37:$BL$37,0),FALSE)/VLOOKUP($L79,$C$37:$BL$44,MATCH($E79,$C$37:$BL$37,0),FALSE))*
IF($B$5="Foreign Currency",VLOOKUP($C$38,$C$37:$BL$44,MATCH(AK$48,$C$37:$BL$37,0),FALSE)/VLOOKUP($C$39,$C$37:$BL$44,MATCH(AK$48,$C$37:$BL$37,0),FALSE),1),
        IF(AND(AK$48&gt;=($E79+$S79), AK$48&lt;=($E79+$Q79)),
-PMT($P79,($Q79-$S79+1),($K79*(VLOOKUP($C$39,$C$37:$BL$44,MATCH($E79,$C$37:$BL$37,0),FALSE)/VLOOKUP($L79,$C$37:$BL$44,MATCH($E79,$C$37:$BL$37,0),FALSE))*
IF($B$5="Foreign Currency",VLOOKUP($C$38,$C$37:$BL$44,MATCH(AK$48,$C$37:$BL$37,0),FALSE)/VLOOKUP($C$39,$C$37:$BL$44,MATCH(AK$48,$C$37:$BL$37,0),FALSE),1)),0),
0)),
    IF($T79="Equal Principal Payments (EPP)",
        IF(AND(AK$48&gt;=$E79, AK$48&lt;=($E79+$Q79)),
-PMT($P79,($Q79-$S79+1),($K79*(VLOOKUP($C$39,$C$37:$BL$44,MATCH($E79,$C$37:$BL$37,0),FALSE)/VLOOKUP($L79,$C$37:$BL$44,MATCH($E79,$C$37:$BL$37,0),FALSE))*
IF($B$5="Foreign Currency",VLOOKUP($C$38,$C$37:$BL$44,MATCH(AK$48,$C$37:$BL$37,0),FALSE)/VLOOKUP($C$39,$C$37:$BL$44,MATCH(AK$48,$C$37:$BL$37,0),FALSE),1)),0), 0),
    IF($T79="EPP with Grace Years for Principal and on Interest",
        IF(AND(AK$48&gt;=($E79+$S79), AK$48&lt;=($E79+$Q79)),
-PMT($P79,($Q79-$S79+1),($K79*(VLOOKUP($C$39,$C$37:$BL$44,MATCH($E79,$C$37:$BL$37,0),FALSE)/VLOOKUP($L79,$C$37:$BL$44,MATCH($E79,$C$37:$BL$37,0),FALSE))*
IF($B$5="Foreign Currency",VLOOKUP($C$38,$C$37:$BL$44,MATCH(AK$48,$C$37:$BL$37,0),FALSE)/VLOOKUP($C$39,$C$37:$BL$44,MATCH(AK$48,$C$37:$BL$37,0),FALSE),1))*((1+$P79)^$S79),0), 0),
    0)))))),"")</f>
        <v>0.11699999999999999</v>
      </c>
      <c r="AL79" s="171">
        <f t="shared" si="90"/>
        <v>0.11699999999999999</v>
      </c>
      <c r="AM79" s="171">
        <f t="shared" si="90"/>
        <v>0.36414035035707415</v>
      </c>
      <c r="AN79" s="171">
        <f t="shared" si="90"/>
        <v>0.36414035035707415</v>
      </c>
      <c r="AO79" s="171">
        <f t="shared" si="90"/>
        <v>0.36414035035707415</v>
      </c>
      <c r="AP79" s="171">
        <f t="shared" si="90"/>
        <v>0.36414035035707415</v>
      </c>
      <c r="AQ79" s="171">
        <f t="shared" si="90"/>
        <v>0.36414035035707415</v>
      </c>
      <c r="AR79" s="171">
        <f t="shared" si="90"/>
        <v>0.36414035035707415</v>
      </c>
      <c r="AS79" s="171">
        <f t="shared" si="90"/>
        <v>0.36414035035707415</v>
      </c>
      <c r="AT79" s="171">
        <f t="shared" si="90"/>
        <v>0.36414035035707415</v>
      </c>
      <c r="AU79" s="171">
        <f t="shared" ref="AU79:BD88" si="91">IFERROR(
    IF($T79="Equity",
        IF(AND(AU$48&gt;=$E79, AU$48&lt;=($E79+$Q79)),
$K79*$P79*(VLOOKUP($C$39,$C$37:$BL$44,MATCH($E79,$C$37:$BL$37,0),FALSE)/VLOOKUP($L79,$C$37:$BL$44,MATCH($E79,$C$37:$BL$37,0),FALSE))*
IF($B$5="Foreign Currency",VLOOKUP($C$38,$C$37:$BL$44,MATCH(AU$48,$C$37:$BL$37,0),FALSE)/VLOOKUP($C$39,$C$37:$BL$44,MATCH(AU$48,$C$37:$BL$37,0),FALSE),1),
0),
    IF($T79="Lump Sum Principal",
        IF(AND(AU$48&gt;=$E79, AU$48&lt;($E79+$Q79)),
$K79*$P79*(VLOOKUP($C$39,$C$37:$BL$44,MATCH($E79,$C$37:$BL$37,0),FALSE)/VLOOKUP($L79,$C$37:$BL$44,MATCH($E79,$C$37:$BL$37,0),FALSE))*
IF($B$5="Foreign Currency",VLOOKUP($C$38,$C$37:$BL$44,MATCH(AU$48,$C$37:$BL$37,0),FALSE)/VLOOKUP($C$39,$C$37:$BL$44,MATCH(AU$48,$C$37:$BL$37,0),FALSE),1),
        IF(AU$48=($E79+$Q79),
$K79*(1+$P79)*(VLOOKUP($C$39,$C$37:$BL$44,MATCH($E79,$C$37:$BL$37,0),FALSE)/VLOOKUP($L79,$C$37:$BL$44,MATCH($E79,$C$37:$BL$37,0),FALSE))*
IF($B$5="Foreign Currency",VLOOKUP($C$38,$C$37:$BL$44,MATCH(AU$48,$C$37:$BL$37,0),FALSE)/VLOOKUP($C$39,$C$37:$BL$44,MATCH(AU$48,$C$37:$BL$37,0),FALSE),1),
0)),
    IF($T79="Lump Sum Principal and Interest",
        IF(AU$48=($E79+$Q79),
$K79*((1+$P79)^$Q79)*(VLOOKUP($C$39,$C$37:$BL$44,MATCH($E79,$C$37:$BL$37,0),FALSE)/VLOOKUP($L79,$C$37:$BL$44,MATCH($E79,$C$37:$BL$37,0),FALSE))*
IF($B$5="Foreign Currency",VLOOKUP($C$38,$C$37:$BL$44,MATCH(AU$48,$C$37:$BL$37,0),FALSE)/VLOOKUP($C$39,$C$37:$BL$44,MATCH(AU$48,$C$37:$BL$37,0),FALSE),1),
0),
    IF($T79="EPP with Grace Years for Principal",
        IF(AND(AU$48&gt;=$E79, AU$48&lt;($E79+$S79)),
$K79*$P79*(VLOOKUP($C$39,$C$37:$BL$44,MATCH($E79,$C$37:$BL$37,0),FALSE)/VLOOKUP($L79,$C$37:$BL$44,MATCH($E79,$C$37:$BL$37,0),FALSE))*
IF($B$5="Foreign Currency",VLOOKUP($C$38,$C$37:$BL$44,MATCH(AU$48,$C$37:$BL$37,0),FALSE)/VLOOKUP($C$39,$C$37:$BL$44,MATCH(AU$48,$C$37:$BL$37,0),FALSE),1),
        IF(AND(AU$48&gt;=($E79+$S79), AU$48&lt;=($E79+$Q79)),
-PMT($P79,($Q79-$S79+1),($K79*(VLOOKUP($C$39,$C$37:$BL$44,MATCH($E79,$C$37:$BL$37,0),FALSE)/VLOOKUP($L79,$C$37:$BL$44,MATCH($E79,$C$37:$BL$37,0),FALSE))*
IF($B$5="Foreign Currency",VLOOKUP($C$38,$C$37:$BL$44,MATCH(AU$48,$C$37:$BL$37,0),FALSE)/VLOOKUP($C$39,$C$37:$BL$44,MATCH(AU$48,$C$37:$BL$37,0),FALSE),1)),0),
0)),
    IF($T79="Equal Principal Payments (EPP)",
        IF(AND(AU$48&gt;=$E79, AU$48&lt;=($E79+$Q79)),
-PMT($P79,($Q79-$S79+1),($K79*(VLOOKUP($C$39,$C$37:$BL$44,MATCH($E79,$C$37:$BL$37,0),FALSE)/VLOOKUP($L79,$C$37:$BL$44,MATCH($E79,$C$37:$BL$37,0),FALSE))*
IF($B$5="Foreign Currency",VLOOKUP($C$38,$C$37:$BL$44,MATCH(AU$48,$C$37:$BL$37,0),FALSE)/VLOOKUP($C$39,$C$37:$BL$44,MATCH(AU$48,$C$37:$BL$37,0),FALSE),1)),0), 0),
    IF($T79="EPP with Grace Years for Principal and on Interest",
        IF(AND(AU$48&gt;=($E79+$S79), AU$48&lt;=($E79+$Q79)),
-PMT($P79,($Q79-$S79+1),($K79*(VLOOKUP($C$39,$C$37:$BL$44,MATCH($E79,$C$37:$BL$37,0),FALSE)/VLOOKUP($L79,$C$37:$BL$44,MATCH($E79,$C$37:$BL$37,0),FALSE))*
IF($B$5="Foreign Currency",VLOOKUP($C$38,$C$37:$BL$44,MATCH(AU$48,$C$37:$BL$37,0),FALSE)/VLOOKUP($C$39,$C$37:$BL$44,MATCH(AU$48,$C$37:$BL$37,0),FALSE),1))*((1+$P79)^$S79),0), 0),
    0)))))),"")</f>
        <v>0.36414035035707415</v>
      </c>
      <c r="AV79" s="171">
        <f t="shared" si="91"/>
        <v>0.36414035035707415</v>
      </c>
      <c r="AW79" s="171">
        <f t="shared" si="91"/>
        <v>0.36414035035707415</v>
      </c>
      <c r="AX79" s="171">
        <f t="shared" si="91"/>
        <v>0.36414035035707415</v>
      </c>
      <c r="AY79" s="171">
        <f t="shared" si="91"/>
        <v>0.36414035035707415</v>
      </c>
      <c r="AZ79" s="171">
        <f t="shared" si="91"/>
        <v>0.36414035035707415</v>
      </c>
      <c r="BA79" s="171">
        <f t="shared" si="91"/>
        <v>0</v>
      </c>
      <c r="BB79" s="171">
        <f t="shared" si="91"/>
        <v>0</v>
      </c>
      <c r="BC79" s="171">
        <f t="shared" si="91"/>
        <v>0</v>
      </c>
      <c r="BD79" s="171">
        <f t="shared" si="91"/>
        <v>0</v>
      </c>
      <c r="BE79" s="171">
        <f t="shared" ref="BE79:BN88" si="92">IFERROR(
    IF($T79="Equity",
        IF(AND(BE$48&gt;=$E79, BE$48&lt;=($E79+$Q79)),
$K79*$P79*(VLOOKUP($C$39,$C$37:$BL$44,MATCH($E79,$C$37:$BL$37,0),FALSE)/VLOOKUP($L79,$C$37:$BL$44,MATCH($E79,$C$37:$BL$37,0),FALSE))*
IF($B$5="Foreign Currency",VLOOKUP($C$38,$C$37:$BL$44,MATCH(BE$48,$C$37:$BL$37,0),FALSE)/VLOOKUP($C$39,$C$37:$BL$44,MATCH(BE$48,$C$37:$BL$37,0),FALSE),1),
0),
    IF($T79="Lump Sum Principal",
        IF(AND(BE$48&gt;=$E79, BE$48&lt;($E79+$Q79)),
$K79*$P79*(VLOOKUP($C$39,$C$37:$BL$44,MATCH($E79,$C$37:$BL$37,0),FALSE)/VLOOKUP($L79,$C$37:$BL$44,MATCH($E79,$C$37:$BL$37,0),FALSE))*
IF($B$5="Foreign Currency",VLOOKUP($C$38,$C$37:$BL$44,MATCH(BE$48,$C$37:$BL$37,0),FALSE)/VLOOKUP($C$39,$C$37:$BL$44,MATCH(BE$48,$C$37:$BL$37,0),FALSE),1),
        IF(BE$48=($E79+$Q79),
$K79*(1+$P79)*(VLOOKUP($C$39,$C$37:$BL$44,MATCH($E79,$C$37:$BL$37,0),FALSE)/VLOOKUP($L79,$C$37:$BL$44,MATCH($E79,$C$37:$BL$37,0),FALSE))*
IF($B$5="Foreign Currency",VLOOKUP($C$38,$C$37:$BL$44,MATCH(BE$48,$C$37:$BL$37,0),FALSE)/VLOOKUP($C$39,$C$37:$BL$44,MATCH(BE$48,$C$37:$BL$37,0),FALSE),1),
0)),
    IF($T79="Lump Sum Principal and Interest",
        IF(BE$48=($E79+$Q79),
$K79*((1+$P79)^$Q79)*(VLOOKUP($C$39,$C$37:$BL$44,MATCH($E79,$C$37:$BL$37,0),FALSE)/VLOOKUP($L79,$C$37:$BL$44,MATCH($E79,$C$37:$BL$37,0),FALSE))*
IF($B$5="Foreign Currency",VLOOKUP($C$38,$C$37:$BL$44,MATCH(BE$48,$C$37:$BL$37,0),FALSE)/VLOOKUP($C$39,$C$37:$BL$44,MATCH(BE$48,$C$37:$BL$37,0),FALSE),1),
0),
    IF($T79="EPP with Grace Years for Principal",
        IF(AND(BE$48&gt;=$E79, BE$48&lt;($E79+$S79)),
$K79*$P79*(VLOOKUP($C$39,$C$37:$BL$44,MATCH($E79,$C$37:$BL$37,0),FALSE)/VLOOKUP($L79,$C$37:$BL$44,MATCH($E79,$C$37:$BL$37,0),FALSE))*
IF($B$5="Foreign Currency",VLOOKUP($C$38,$C$37:$BL$44,MATCH(BE$48,$C$37:$BL$37,0),FALSE)/VLOOKUP($C$39,$C$37:$BL$44,MATCH(BE$48,$C$37:$BL$37,0),FALSE),1),
        IF(AND(BE$48&gt;=($E79+$S79), BE$48&lt;=($E79+$Q79)),
-PMT($P79,($Q79-$S79+1),($K79*(VLOOKUP($C$39,$C$37:$BL$44,MATCH($E79,$C$37:$BL$37,0),FALSE)/VLOOKUP($L79,$C$37:$BL$44,MATCH($E79,$C$37:$BL$37,0),FALSE))*
IF($B$5="Foreign Currency",VLOOKUP($C$38,$C$37:$BL$44,MATCH(BE$48,$C$37:$BL$37,0),FALSE)/VLOOKUP($C$39,$C$37:$BL$44,MATCH(BE$48,$C$37:$BL$37,0),FALSE),1)),0),
0)),
    IF($T79="Equal Principal Payments (EPP)",
        IF(AND(BE$48&gt;=$E79, BE$48&lt;=($E79+$Q79)),
-PMT($P79,($Q79-$S79+1),($K79*(VLOOKUP($C$39,$C$37:$BL$44,MATCH($E79,$C$37:$BL$37,0),FALSE)/VLOOKUP($L79,$C$37:$BL$44,MATCH($E79,$C$37:$BL$37,0),FALSE))*
IF($B$5="Foreign Currency",VLOOKUP($C$38,$C$37:$BL$44,MATCH(BE$48,$C$37:$BL$37,0),FALSE)/VLOOKUP($C$39,$C$37:$BL$44,MATCH(BE$48,$C$37:$BL$37,0),FALSE),1)),0), 0),
    IF($T79="EPP with Grace Years for Principal and on Interest",
        IF(AND(BE$48&gt;=($E79+$S79), BE$48&lt;=($E79+$Q79)),
-PMT($P79,($Q79-$S79+1),($K79*(VLOOKUP($C$39,$C$37:$BL$44,MATCH($E79,$C$37:$BL$37,0),FALSE)/VLOOKUP($L79,$C$37:$BL$44,MATCH($E79,$C$37:$BL$37,0),FALSE))*
IF($B$5="Foreign Currency",VLOOKUP($C$38,$C$37:$BL$44,MATCH(BE$48,$C$37:$BL$37,0),FALSE)/VLOOKUP($C$39,$C$37:$BL$44,MATCH(BE$48,$C$37:$BL$37,0),FALSE),1))*((1+$P79)^$S79),0), 0),
    0)))))),"")</f>
        <v>0</v>
      </c>
      <c r="BF79" s="171">
        <f t="shared" si="92"/>
        <v>0</v>
      </c>
      <c r="BG79" s="171">
        <f t="shared" si="92"/>
        <v>0</v>
      </c>
      <c r="BH79" s="171">
        <f t="shared" si="92"/>
        <v>0</v>
      </c>
      <c r="BI79" s="171">
        <f t="shared" si="92"/>
        <v>0</v>
      </c>
      <c r="BJ79" s="171">
        <f t="shared" si="92"/>
        <v>0</v>
      </c>
      <c r="BK79" s="171">
        <f t="shared" si="92"/>
        <v>0</v>
      </c>
      <c r="BL79" s="171">
        <f t="shared" si="92"/>
        <v>0</v>
      </c>
      <c r="BM79" s="171">
        <f t="shared" si="92"/>
        <v>0</v>
      </c>
      <c r="BN79" s="171">
        <f t="shared" si="92"/>
        <v>0</v>
      </c>
      <c r="BO79" s="171">
        <f t="shared" ref="BO79:BX88" si="93">IFERROR(
    IF($T79="Equity",
        IF(AND(BO$48&gt;=$E79, BO$48&lt;=($E79+$Q79)),
$K79*$P79*(VLOOKUP($C$39,$C$37:$BL$44,MATCH($E79,$C$37:$BL$37,0),FALSE)/VLOOKUP($L79,$C$37:$BL$44,MATCH($E79,$C$37:$BL$37,0),FALSE))*
IF($B$5="Foreign Currency",VLOOKUP($C$38,$C$37:$BL$44,MATCH(BO$48,$C$37:$BL$37,0),FALSE)/VLOOKUP($C$39,$C$37:$BL$44,MATCH(BO$48,$C$37:$BL$37,0),FALSE),1),
0),
    IF($T79="Lump Sum Principal",
        IF(AND(BO$48&gt;=$E79, BO$48&lt;($E79+$Q79)),
$K79*$P79*(VLOOKUP($C$39,$C$37:$BL$44,MATCH($E79,$C$37:$BL$37,0),FALSE)/VLOOKUP($L79,$C$37:$BL$44,MATCH($E79,$C$37:$BL$37,0),FALSE))*
IF($B$5="Foreign Currency",VLOOKUP($C$38,$C$37:$BL$44,MATCH(BO$48,$C$37:$BL$37,0),FALSE)/VLOOKUP($C$39,$C$37:$BL$44,MATCH(BO$48,$C$37:$BL$37,0),FALSE),1),
        IF(BO$48=($E79+$Q79),
$K79*(1+$P79)*(VLOOKUP($C$39,$C$37:$BL$44,MATCH($E79,$C$37:$BL$37,0),FALSE)/VLOOKUP($L79,$C$37:$BL$44,MATCH($E79,$C$37:$BL$37,0),FALSE))*
IF($B$5="Foreign Currency",VLOOKUP($C$38,$C$37:$BL$44,MATCH(BO$48,$C$37:$BL$37,0),FALSE)/VLOOKUP($C$39,$C$37:$BL$44,MATCH(BO$48,$C$37:$BL$37,0),FALSE),1),
0)),
    IF($T79="Lump Sum Principal and Interest",
        IF(BO$48=($E79+$Q79),
$K79*((1+$P79)^$Q79)*(VLOOKUP($C$39,$C$37:$BL$44,MATCH($E79,$C$37:$BL$37,0),FALSE)/VLOOKUP($L79,$C$37:$BL$44,MATCH($E79,$C$37:$BL$37,0),FALSE))*
IF($B$5="Foreign Currency",VLOOKUP($C$38,$C$37:$BL$44,MATCH(BO$48,$C$37:$BL$37,0),FALSE)/VLOOKUP($C$39,$C$37:$BL$44,MATCH(BO$48,$C$37:$BL$37,0),FALSE),1),
0),
    IF($T79="EPP with Grace Years for Principal",
        IF(AND(BO$48&gt;=$E79, BO$48&lt;($E79+$S79)),
$K79*$P79*(VLOOKUP($C$39,$C$37:$BL$44,MATCH($E79,$C$37:$BL$37,0),FALSE)/VLOOKUP($L79,$C$37:$BL$44,MATCH($E79,$C$37:$BL$37,0),FALSE))*
IF($B$5="Foreign Currency",VLOOKUP($C$38,$C$37:$BL$44,MATCH(BO$48,$C$37:$BL$37,0),FALSE)/VLOOKUP($C$39,$C$37:$BL$44,MATCH(BO$48,$C$37:$BL$37,0),FALSE),1),
        IF(AND(BO$48&gt;=($E79+$S79), BO$48&lt;=($E79+$Q79)),
-PMT($P79,($Q79-$S79+1),($K79*(VLOOKUP($C$39,$C$37:$BL$44,MATCH($E79,$C$37:$BL$37,0),FALSE)/VLOOKUP($L79,$C$37:$BL$44,MATCH($E79,$C$37:$BL$37,0),FALSE))*
IF($B$5="Foreign Currency",VLOOKUP($C$38,$C$37:$BL$44,MATCH(BO$48,$C$37:$BL$37,0),FALSE)/VLOOKUP($C$39,$C$37:$BL$44,MATCH(BO$48,$C$37:$BL$37,0),FALSE),1)),0),
0)),
    IF($T79="Equal Principal Payments (EPP)",
        IF(AND(BO$48&gt;=$E79, BO$48&lt;=($E79+$Q79)),
-PMT($P79,($Q79-$S79+1),($K79*(VLOOKUP($C$39,$C$37:$BL$44,MATCH($E79,$C$37:$BL$37,0),FALSE)/VLOOKUP($L79,$C$37:$BL$44,MATCH($E79,$C$37:$BL$37,0),FALSE))*
IF($B$5="Foreign Currency",VLOOKUP($C$38,$C$37:$BL$44,MATCH(BO$48,$C$37:$BL$37,0),FALSE)/VLOOKUP($C$39,$C$37:$BL$44,MATCH(BO$48,$C$37:$BL$37,0),FALSE),1)),0), 0),
    IF($T79="EPP with Grace Years for Principal and on Interest",
        IF(AND(BO$48&gt;=($E79+$S79), BO$48&lt;=($E79+$Q79)),
-PMT($P79,($Q79-$S79+1),($K79*(VLOOKUP($C$39,$C$37:$BL$44,MATCH($E79,$C$37:$BL$37,0),FALSE)/VLOOKUP($L79,$C$37:$BL$44,MATCH($E79,$C$37:$BL$37,0),FALSE))*
IF($B$5="Foreign Currency",VLOOKUP($C$38,$C$37:$BL$44,MATCH(BO$48,$C$37:$BL$37,0),FALSE)/VLOOKUP($C$39,$C$37:$BL$44,MATCH(BO$48,$C$37:$BL$37,0),FALSE),1))*((1+$P79)^$S79),0), 0),
    0)))))),"")</f>
        <v>0</v>
      </c>
      <c r="BP79" s="171">
        <f t="shared" si="93"/>
        <v>0</v>
      </c>
      <c r="BQ79" s="171">
        <f t="shared" si="93"/>
        <v>0</v>
      </c>
      <c r="BR79" s="171">
        <f t="shared" si="93"/>
        <v>0</v>
      </c>
      <c r="BS79" s="171">
        <f t="shared" si="93"/>
        <v>0</v>
      </c>
      <c r="BT79" s="171">
        <f t="shared" si="93"/>
        <v>0</v>
      </c>
      <c r="BU79" s="171">
        <f t="shared" si="93"/>
        <v>0</v>
      </c>
      <c r="BV79" s="171">
        <f t="shared" si="93"/>
        <v>0</v>
      </c>
      <c r="BW79" s="171">
        <f t="shared" si="93"/>
        <v>0</v>
      </c>
      <c r="BX79" s="171">
        <f t="shared" si="93"/>
        <v>0</v>
      </c>
      <c r="BY79" s="171">
        <f t="shared" ref="BY79:CI88" si="94">IFERROR(
    IF($T79="Equity",
        IF(AND(BY$48&gt;=$E79, BY$48&lt;=($E79+$Q79)),
$K79*$P79*(VLOOKUP($C$39,$C$37:$BL$44,MATCH($E79,$C$37:$BL$37,0),FALSE)/VLOOKUP($L79,$C$37:$BL$44,MATCH($E79,$C$37:$BL$37,0),FALSE))*
IF($B$5="Foreign Currency",VLOOKUP($C$38,$C$37:$BL$44,MATCH(BY$48,$C$37:$BL$37,0),FALSE)/VLOOKUP($C$39,$C$37:$BL$44,MATCH(BY$48,$C$37:$BL$37,0),FALSE),1),
0),
    IF($T79="Lump Sum Principal",
        IF(AND(BY$48&gt;=$E79, BY$48&lt;($E79+$Q79)),
$K79*$P79*(VLOOKUP($C$39,$C$37:$BL$44,MATCH($E79,$C$37:$BL$37,0),FALSE)/VLOOKUP($L79,$C$37:$BL$44,MATCH($E79,$C$37:$BL$37,0),FALSE))*
IF($B$5="Foreign Currency",VLOOKUP($C$38,$C$37:$BL$44,MATCH(BY$48,$C$37:$BL$37,0),FALSE)/VLOOKUP($C$39,$C$37:$BL$44,MATCH(BY$48,$C$37:$BL$37,0),FALSE),1),
        IF(BY$48=($E79+$Q79),
$K79*(1+$P79)*(VLOOKUP($C$39,$C$37:$BL$44,MATCH($E79,$C$37:$BL$37,0),FALSE)/VLOOKUP($L79,$C$37:$BL$44,MATCH($E79,$C$37:$BL$37,0),FALSE))*
IF($B$5="Foreign Currency",VLOOKUP($C$38,$C$37:$BL$44,MATCH(BY$48,$C$37:$BL$37,0),FALSE)/VLOOKUP($C$39,$C$37:$BL$44,MATCH(BY$48,$C$37:$BL$37,0),FALSE),1),
0)),
    IF($T79="Lump Sum Principal and Interest",
        IF(BY$48=($E79+$Q79),
$K79*((1+$P79)^$Q79)*(VLOOKUP($C$39,$C$37:$BL$44,MATCH($E79,$C$37:$BL$37,0),FALSE)/VLOOKUP($L79,$C$37:$BL$44,MATCH($E79,$C$37:$BL$37,0),FALSE))*
IF($B$5="Foreign Currency",VLOOKUP($C$38,$C$37:$BL$44,MATCH(BY$48,$C$37:$BL$37,0),FALSE)/VLOOKUP($C$39,$C$37:$BL$44,MATCH(BY$48,$C$37:$BL$37,0),FALSE),1),
0),
    IF($T79="EPP with Grace Years for Principal",
        IF(AND(BY$48&gt;=$E79, BY$48&lt;($E79+$S79)),
$K79*$P79*(VLOOKUP($C$39,$C$37:$BL$44,MATCH($E79,$C$37:$BL$37,0),FALSE)/VLOOKUP($L79,$C$37:$BL$44,MATCH($E79,$C$37:$BL$37,0),FALSE))*
IF($B$5="Foreign Currency",VLOOKUP($C$38,$C$37:$BL$44,MATCH(BY$48,$C$37:$BL$37,0),FALSE)/VLOOKUP($C$39,$C$37:$BL$44,MATCH(BY$48,$C$37:$BL$37,0),FALSE),1),
        IF(AND(BY$48&gt;=($E79+$S79), BY$48&lt;=($E79+$Q79)),
-PMT($P79,($Q79-$S79+1),($K79*(VLOOKUP($C$39,$C$37:$BL$44,MATCH($E79,$C$37:$BL$37,0),FALSE)/VLOOKUP($L79,$C$37:$BL$44,MATCH($E79,$C$37:$BL$37,0),FALSE))*
IF($B$5="Foreign Currency",VLOOKUP($C$38,$C$37:$BL$44,MATCH(BY$48,$C$37:$BL$37,0),FALSE)/VLOOKUP($C$39,$C$37:$BL$44,MATCH(BY$48,$C$37:$BL$37,0),FALSE),1)),0),
0)),
    IF($T79="Equal Principal Payments (EPP)",
        IF(AND(BY$48&gt;=$E79, BY$48&lt;=($E79+$Q79)),
-PMT($P79,($Q79-$S79+1),($K79*(VLOOKUP($C$39,$C$37:$BL$44,MATCH($E79,$C$37:$BL$37,0),FALSE)/VLOOKUP($L79,$C$37:$BL$44,MATCH($E79,$C$37:$BL$37,0),FALSE))*
IF($B$5="Foreign Currency",VLOOKUP($C$38,$C$37:$BL$44,MATCH(BY$48,$C$37:$BL$37,0),FALSE)/VLOOKUP($C$39,$C$37:$BL$44,MATCH(BY$48,$C$37:$BL$37,0),FALSE),1)),0), 0),
    IF($T79="EPP with Grace Years for Principal and on Interest",
        IF(AND(BY$48&gt;=($E79+$S79), BY$48&lt;=($E79+$Q79)),
-PMT($P79,($Q79-$S79+1),($K79*(VLOOKUP($C$39,$C$37:$BL$44,MATCH($E79,$C$37:$BL$37,0),FALSE)/VLOOKUP($L79,$C$37:$BL$44,MATCH($E79,$C$37:$BL$37,0),FALSE))*
IF($B$5="Foreign Currency",VLOOKUP($C$38,$C$37:$BL$44,MATCH(BY$48,$C$37:$BL$37,0),FALSE)/VLOOKUP($C$39,$C$37:$BL$44,MATCH(BY$48,$C$37:$BL$37,0),FALSE),1))*((1+$P79)^$S79),0), 0),
    0)))))),"")</f>
        <v>0</v>
      </c>
      <c r="BZ79" s="171">
        <f t="shared" si="94"/>
        <v>0</v>
      </c>
      <c r="CA79" s="171">
        <f t="shared" si="94"/>
        <v>0</v>
      </c>
      <c r="CB79" s="171">
        <f t="shared" si="94"/>
        <v>0</v>
      </c>
      <c r="CC79" s="171">
        <f t="shared" si="94"/>
        <v>0</v>
      </c>
      <c r="CD79" s="171">
        <f t="shared" si="94"/>
        <v>0</v>
      </c>
      <c r="CE79" s="171">
        <f t="shared" si="94"/>
        <v>0</v>
      </c>
      <c r="CF79" s="171">
        <f t="shared" si="94"/>
        <v>0</v>
      </c>
      <c r="CG79" s="171">
        <f t="shared" si="94"/>
        <v>0</v>
      </c>
      <c r="CH79" s="171">
        <f t="shared" si="94"/>
        <v>0</v>
      </c>
      <c r="CI79" s="171">
        <f t="shared" si="94"/>
        <v>0</v>
      </c>
      <c r="CJ79" s="243"/>
      <c r="CK79" s="171">
        <f t="shared" si="16"/>
        <v>0</v>
      </c>
      <c r="CL79" s="171">
        <f t="shared" si="17"/>
        <v>0</v>
      </c>
      <c r="CM79" s="171">
        <f t="shared" si="18"/>
        <v>0</v>
      </c>
      <c r="CN79" s="171">
        <f t="shared" si="19"/>
        <v>0</v>
      </c>
      <c r="CO79" s="171">
        <f t="shared" si="20"/>
        <v>0</v>
      </c>
      <c r="CP79" s="171">
        <f t="shared" si="21"/>
        <v>0.11699999999999999</v>
      </c>
      <c r="CQ79" s="171">
        <f t="shared" si="22"/>
        <v>0.11699999999999999</v>
      </c>
      <c r="CR79" s="171">
        <f t="shared" si="23"/>
        <v>0.11699999999999999</v>
      </c>
      <c r="CS79" s="171">
        <f t="shared" si="24"/>
        <v>0.11699999999999999</v>
      </c>
      <c r="CT79" s="171">
        <f t="shared" si="25"/>
        <v>0.11699999999999999</v>
      </c>
      <c r="CU79" s="171">
        <f t="shared" si="26"/>
        <v>0.11699999999999999</v>
      </c>
      <c r="CV79" s="171">
        <f t="shared" si="27"/>
        <v>0.11699999999999999</v>
      </c>
      <c r="CW79" s="171">
        <f t="shared" si="28"/>
        <v>0.36414035035707415</v>
      </c>
      <c r="CX79" s="171">
        <f t="shared" si="29"/>
        <v>0.36414035035707415</v>
      </c>
      <c r="CY79" s="171">
        <f t="shared" ca="1" si="30"/>
        <v>0.34570289381478686</v>
      </c>
      <c r="CZ79" s="171">
        <f t="shared" ca="1" si="31"/>
        <v>0.32819897787961816</v>
      </c>
      <c r="DA79" s="171">
        <f t="shared" ca="1" si="32"/>
        <v>0.31158133474848798</v>
      </c>
      <c r="DB79" s="171">
        <f t="shared" ca="1" si="33"/>
        <v>0.29580508992096521</v>
      </c>
      <c r="DC79" s="171">
        <f t="shared" ca="1" si="34"/>
        <v>0.28082764101958108</v>
      </c>
      <c r="DD79" s="171">
        <f t="shared" ca="1" si="35"/>
        <v>0.26660854274581297</v>
      </c>
      <c r="DE79" s="171">
        <f t="shared" ca="1" si="36"/>
        <v>0.25310939766107221</v>
      </c>
      <c r="DF79" s="171">
        <f t="shared" ca="1" si="37"/>
        <v>0.24029375249775978</v>
      </c>
      <c r="DG79" s="171">
        <f t="shared" ca="1" si="38"/>
        <v>0.22812699972038658</v>
      </c>
      <c r="DH79" s="171">
        <f t="shared" ca="1" si="39"/>
        <v>0.21657628407093285</v>
      </c>
      <c r="DI79" s="171">
        <f t="shared" ca="1" si="40"/>
        <v>0.20561041384608061</v>
      </c>
      <c r="DJ79" s="171">
        <f t="shared" ca="1" si="41"/>
        <v>0.1951997766667308</v>
      </c>
      <c r="DK79" s="171">
        <f t="shared" ca="1" si="42"/>
        <v>0</v>
      </c>
      <c r="DL79" s="171">
        <f t="shared" ca="1" si="43"/>
        <v>0</v>
      </c>
      <c r="DM79" s="171">
        <f t="shared" ca="1" si="44"/>
        <v>0</v>
      </c>
      <c r="DN79" s="171">
        <f t="shared" ca="1" si="45"/>
        <v>0</v>
      </c>
      <c r="DO79" s="171">
        <f t="shared" ca="1" si="46"/>
        <v>0</v>
      </c>
      <c r="DP79" s="171">
        <f t="shared" ca="1" si="47"/>
        <v>0</v>
      </c>
      <c r="DQ79" s="171">
        <f t="shared" ca="1" si="48"/>
        <v>0</v>
      </c>
      <c r="DR79" s="171">
        <f t="shared" ca="1" si="49"/>
        <v>0</v>
      </c>
      <c r="DS79" s="171">
        <f t="shared" ca="1" si="50"/>
        <v>0</v>
      </c>
      <c r="DT79" s="171">
        <f t="shared" ca="1" si="51"/>
        <v>0</v>
      </c>
      <c r="DU79" s="171">
        <f t="shared" ca="1" si="52"/>
        <v>0</v>
      </c>
      <c r="DV79" s="171">
        <f t="shared" ca="1" si="53"/>
        <v>0</v>
      </c>
      <c r="DW79" s="171">
        <f t="shared" ca="1" si="54"/>
        <v>0</v>
      </c>
      <c r="DX79" s="171">
        <f t="shared" ca="1" si="55"/>
        <v>0</v>
      </c>
      <c r="DY79" s="171">
        <f t="shared" ca="1" si="56"/>
        <v>0</v>
      </c>
      <c r="DZ79" s="171">
        <f t="shared" ca="1" si="57"/>
        <v>0</v>
      </c>
      <c r="EA79" s="171">
        <f t="shared" ca="1" si="58"/>
        <v>0</v>
      </c>
      <c r="EB79" s="171">
        <f t="shared" ca="1" si="59"/>
        <v>0</v>
      </c>
      <c r="EC79" s="171">
        <f t="shared" ca="1" si="60"/>
        <v>0</v>
      </c>
      <c r="ED79" s="171">
        <f t="shared" ca="1" si="61"/>
        <v>0</v>
      </c>
      <c r="EE79" s="171">
        <f t="shared" ca="1" si="62"/>
        <v>0</v>
      </c>
      <c r="EF79" s="171">
        <f t="shared" ca="1" si="63"/>
        <v>0</v>
      </c>
      <c r="EG79" s="171">
        <f t="shared" ca="1" si="64"/>
        <v>0</v>
      </c>
      <c r="EH79" s="171">
        <f t="shared" ca="1" si="65"/>
        <v>0</v>
      </c>
      <c r="EI79" s="171">
        <f t="shared" ca="1" si="66"/>
        <v>0</v>
      </c>
      <c r="EJ79" s="171">
        <f t="shared" ca="1" si="67"/>
        <v>0</v>
      </c>
      <c r="EK79" s="171">
        <f t="shared" ca="1" si="68"/>
        <v>0</v>
      </c>
      <c r="EL79" s="171">
        <f t="shared" ca="1" si="69"/>
        <v>0</v>
      </c>
      <c r="EM79" s="171">
        <f t="shared" ca="1" si="70"/>
        <v>0</v>
      </c>
      <c r="EN79" s="171">
        <f t="shared" ca="1" si="71"/>
        <v>0</v>
      </c>
      <c r="EO79" s="171">
        <f t="shared" ca="1" si="72"/>
        <v>0</v>
      </c>
      <c r="EP79" s="171">
        <f t="shared" ca="1" si="73"/>
        <v>0</v>
      </c>
      <c r="EQ79" s="171">
        <f t="shared" ca="1" si="74"/>
        <v>0</v>
      </c>
      <c r="ER79" s="171">
        <f t="shared" ca="1" si="75"/>
        <v>0</v>
      </c>
      <c r="ES79" s="171">
        <f t="shared" ca="1" si="76"/>
        <v>0</v>
      </c>
    </row>
    <row r="80" spans="1:149">
      <c r="A80" s="139" t="s">
        <v>446</v>
      </c>
      <c r="B80" s="160" t="s">
        <v>447</v>
      </c>
      <c r="C80" s="160" t="s">
        <v>109</v>
      </c>
      <c r="D80" s="161" t="s">
        <v>428</v>
      </c>
      <c r="E80" s="160">
        <v>2015</v>
      </c>
      <c r="F80" s="160" t="s">
        <v>395</v>
      </c>
      <c r="G80" s="160" t="s">
        <v>402</v>
      </c>
      <c r="H80" s="160" t="s">
        <v>396</v>
      </c>
      <c r="I80" s="160" t="s">
        <v>178</v>
      </c>
      <c r="J80" s="160" t="s">
        <v>407</v>
      </c>
      <c r="K80" s="187">
        <v>250</v>
      </c>
      <c r="L80" s="163" t="s">
        <v>110</v>
      </c>
      <c r="M80" s="164">
        <f t="shared" si="0"/>
        <v>250</v>
      </c>
      <c r="N80" s="164">
        <f t="shared" si="1"/>
        <v>250</v>
      </c>
      <c r="O80" s="165">
        <f t="shared" si="2"/>
        <v>1</v>
      </c>
      <c r="P80" s="190">
        <v>7.4999999999999997E-3</v>
      </c>
      <c r="Q80" s="191">
        <v>37</v>
      </c>
      <c r="R80" s="168">
        <f t="shared" si="3"/>
        <v>28</v>
      </c>
      <c r="S80" s="178">
        <v>6</v>
      </c>
      <c r="T80" s="170" t="s">
        <v>403</v>
      </c>
      <c r="U80" s="171">
        <f t="shared" si="4"/>
        <v>7.9292085748346066</v>
      </c>
      <c r="V80" s="171">
        <f t="shared" ca="1" si="5"/>
        <v>4.4966526157917857</v>
      </c>
      <c r="W80" s="171">
        <f t="shared" ca="1" si="6"/>
        <v>166.37614678429605</v>
      </c>
      <c r="X80" s="172">
        <f t="shared" si="7"/>
        <v>9.4852791115111912E-2</v>
      </c>
      <c r="Y80" s="172">
        <f t="shared" si="8"/>
        <v>0.90514720888488809</v>
      </c>
      <c r="Z80" s="173">
        <f t="shared" si="9"/>
        <v>293.38071726888046</v>
      </c>
      <c r="AA80" s="171">
        <f t="shared" si="89"/>
        <v>0</v>
      </c>
      <c r="AB80" s="171">
        <f t="shared" si="89"/>
        <v>0</v>
      </c>
      <c r="AC80" s="171">
        <f t="shared" si="89"/>
        <v>0</v>
      </c>
      <c r="AD80" s="171">
        <f t="shared" si="89"/>
        <v>0</v>
      </c>
      <c r="AE80" s="171">
        <f t="shared" si="89"/>
        <v>0</v>
      </c>
      <c r="AF80" s="171">
        <f t="shared" si="89"/>
        <v>1.875</v>
      </c>
      <c r="AG80" s="171">
        <f t="shared" si="89"/>
        <v>1.875</v>
      </c>
      <c r="AH80" s="171">
        <f t="shared" si="89"/>
        <v>1.875</v>
      </c>
      <c r="AI80" s="171">
        <f t="shared" si="89"/>
        <v>1.875</v>
      </c>
      <c r="AJ80" s="171">
        <f t="shared" si="89"/>
        <v>1.875</v>
      </c>
      <c r="AK80" s="171">
        <f t="shared" si="90"/>
        <v>1.875</v>
      </c>
      <c r="AL80" s="171">
        <f t="shared" si="90"/>
        <v>8.8165849146525144</v>
      </c>
      <c r="AM80" s="171">
        <f t="shared" si="90"/>
        <v>8.8165849146525144</v>
      </c>
      <c r="AN80" s="171">
        <f t="shared" si="90"/>
        <v>8.8165849146525144</v>
      </c>
      <c r="AO80" s="171">
        <f t="shared" si="90"/>
        <v>8.8165849146525144</v>
      </c>
      <c r="AP80" s="171">
        <f t="shared" si="90"/>
        <v>8.8165849146525144</v>
      </c>
      <c r="AQ80" s="171">
        <f t="shared" si="90"/>
        <v>8.8165849146525144</v>
      </c>
      <c r="AR80" s="171">
        <f t="shared" si="90"/>
        <v>8.8165849146525144</v>
      </c>
      <c r="AS80" s="171">
        <f t="shared" si="90"/>
        <v>8.8165849146525144</v>
      </c>
      <c r="AT80" s="171">
        <f t="shared" si="90"/>
        <v>8.8165849146525144</v>
      </c>
      <c r="AU80" s="171">
        <f t="shared" si="91"/>
        <v>8.8165849146525144</v>
      </c>
      <c r="AV80" s="171">
        <f t="shared" si="91"/>
        <v>8.8165849146525144</v>
      </c>
      <c r="AW80" s="171">
        <f t="shared" si="91"/>
        <v>8.8165849146525144</v>
      </c>
      <c r="AX80" s="171">
        <f t="shared" si="91"/>
        <v>8.8165849146525144</v>
      </c>
      <c r="AY80" s="171">
        <f t="shared" si="91"/>
        <v>8.8165849146525144</v>
      </c>
      <c r="AZ80" s="171">
        <f t="shared" si="91"/>
        <v>8.8165849146525144</v>
      </c>
      <c r="BA80" s="171">
        <f t="shared" si="91"/>
        <v>8.8165849146525144</v>
      </c>
      <c r="BB80" s="171">
        <f t="shared" si="91"/>
        <v>8.8165849146525144</v>
      </c>
      <c r="BC80" s="171">
        <f t="shared" si="91"/>
        <v>8.8165849146525144</v>
      </c>
      <c r="BD80" s="171">
        <f t="shared" si="91"/>
        <v>8.8165849146525144</v>
      </c>
      <c r="BE80" s="171">
        <f t="shared" si="92"/>
        <v>8.8165849146525144</v>
      </c>
      <c r="BF80" s="171">
        <f t="shared" si="92"/>
        <v>8.8165849146525144</v>
      </c>
      <c r="BG80" s="171">
        <f t="shared" si="92"/>
        <v>8.8165849146525144</v>
      </c>
      <c r="BH80" s="171">
        <f t="shared" si="92"/>
        <v>8.8165849146525144</v>
      </c>
      <c r="BI80" s="171">
        <f t="shared" si="92"/>
        <v>8.8165849146525144</v>
      </c>
      <c r="BJ80" s="171">
        <f t="shared" si="92"/>
        <v>8.8165849146525144</v>
      </c>
      <c r="BK80" s="171">
        <f t="shared" si="92"/>
        <v>8.8165849146525144</v>
      </c>
      <c r="BL80" s="171">
        <f t="shared" si="92"/>
        <v>8.8165849146525144</v>
      </c>
      <c r="BM80" s="171">
        <f t="shared" si="92"/>
        <v>8.8165849146525144</v>
      </c>
      <c r="BN80" s="171">
        <f t="shared" si="92"/>
        <v>8.8165849146525144</v>
      </c>
      <c r="BO80" s="171">
        <f t="shared" si="93"/>
        <v>8.8165849146525144</v>
      </c>
      <c r="BP80" s="171">
        <f t="shared" si="93"/>
        <v>8.8165849146525144</v>
      </c>
      <c r="BQ80" s="171">
        <f t="shared" si="93"/>
        <v>8.8165849146525144</v>
      </c>
      <c r="BR80" s="171">
        <f t="shared" si="93"/>
        <v>0</v>
      </c>
      <c r="BS80" s="171">
        <f t="shared" si="93"/>
        <v>0</v>
      </c>
      <c r="BT80" s="171">
        <f t="shared" si="93"/>
        <v>0</v>
      </c>
      <c r="BU80" s="171">
        <f t="shared" si="93"/>
        <v>0</v>
      </c>
      <c r="BV80" s="171">
        <f t="shared" si="93"/>
        <v>0</v>
      </c>
      <c r="BW80" s="171">
        <f t="shared" si="93"/>
        <v>0</v>
      </c>
      <c r="BX80" s="171">
        <f t="shared" si="93"/>
        <v>0</v>
      </c>
      <c r="BY80" s="171">
        <f t="shared" si="94"/>
        <v>0</v>
      </c>
      <c r="BZ80" s="171">
        <f t="shared" si="94"/>
        <v>0</v>
      </c>
      <c r="CA80" s="171">
        <f t="shared" si="94"/>
        <v>0</v>
      </c>
      <c r="CB80" s="171">
        <f t="shared" si="94"/>
        <v>0</v>
      </c>
      <c r="CC80" s="171">
        <f t="shared" si="94"/>
        <v>0</v>
      </c>
      <c r="CD80" s="171">
        <f t="shared" si="94"/>
        <v>0</v>
      </c>
      <c r="CE80" s="171">
        <f t="shared" si="94"/>
        <v>0</v>
      </c>
      <c r="CF80" s="171">
        <f t="shared" si="94"/>
        <v>0</v>
      </c>
      <c r="CG80" s="171">
        <f t="shared" si="94"/>
        <v>0</v>
      </c>
      <c r="CH80" s="171">
        <f t="shared" si="94"/>
        <v>0</v>
      </c>
      <c r="CI80" s="171">
        <f t="shared" si="94"/>
        <v>0</v>
      </c>
      <c r="CJ80" s="243"/>
      <c r="CK80" s="171">
        <f t="shared" si="16"/>
        <v>0</v>
      </c>
      <c r="CL80" s="171">
        <f t="shared" si="17"/>
        <v>0</v>
      </c>
      <c r="CM80" s="171">
        <f t="shared" si="18"/>
        <v>0</v>
      </c>
      <c r="CN80" s="171">
        <f t="shared" si="19"/>
        <v>0</v>
      </c>
      <c r="CO80" s="171">
        <f t="shared" si="20"/>
        <v>0</v>
      </c>
      <c r="CP80" s="171">
        <f t="shared" si="21"/>
        <v>1.875</v>
      </c>
      <c r="CQ80" s="171">
        <f t="shared" si="22"/>
        <v>1.875</v>
      </c>
      <c r="CR80" s="171">
        <f t="shared" si="23"/>
        <v>1.875</v>
      </c>
      <c r="CS80" s="171">
        <f t="shared" si="24"/>
        <v>1.875</v>
      </c>
      <c r="CT80" s="171">
        <f t="shared" si="25"/>
        <v>1.875</v>
      </c>
      <c r="CU80" s="171">
        <f t="shared" si="26"/>
        <v>1.875</v>
      </c>
      <c r="CV80" s="171">
        <f t="shared" si="27"/>
        <v>8.8165849146525144</v>
      </c>
      <c r="CW80" s="171">
        <f t="shared" si="28"/>
        <v>8.8165849146525144</v>
      </c>
      <c r="CX80" s="171">
        <f t="shared" si="29"/>
        <v>8.8165849146525144</v>
      </c>
      <c r="CY80" s="171">
        <f t="shared" ca="1" si="30"/>
        <v>8.3701762673935924</v>
      </c>
      <c r="CZ80" s="171">
        <f t="shared" ca="1" si="31"/>
        <v>7.9463705533879239</v>
      </c>
      <c r="DA80" s="171">
        <f t="shared" ca="1" si="32"/>
        <v>7.544023322153226</v>
      </c>
      <c r="DB80" s="171">
        <f t="shared" ca="1" si="33"/>
        <v>7.1620480699742011</v>
      </c>
      <c r="DC80" s="171">
        <f t="shared" ca="1" si="34"/>
        <v>6.7994133058937178</v>
      </c>
      <c r="DD80" s="171">
        <f t="shared" ca="1" si="35"/>
        <v>6.4551397662611709</v>
      </c>
      <c r="DE80" s="171">
        <f t="shared" ca="1" si="36"/>
        <v>6.1282977703161352</v>
      </c>
      <c r="DF80" s="171">
        <f t="shared" ca="1" si="37"/>
        <v>5.8180047096662992</v>
      </c>
      <c r="DG80" s="171">
        <f t="shared" ca="1" si="38"/>
        <v>5.5234226648802505</v>
      </c>
      <c r="DH80" s="171">
        <f t="shared" ca="1" si="39"/>
        <v>5.2437561427588957</v>
      </c>
      <c r="DI80" s="171">
        <f t="shared" ca="1" si="40"/>
        <v>4.9782499281752504</v>
      </c>
      <c r="DJ80" s="171">
        <f t="shared" ca="1" si="41"/>
        <v>4.7261870446816445</v>
      </c>
      <c r="DK80" s="171">
        <f t="shared" ca="1" si="42"/>
        <v>4.4868868183771671</v>
      </c>
      <c r="DL80" s="171">
        <f t="shared" ca="1" si="43"/>
        <v>4.2597030398069835</v>
      </c>
      <c r="DM80" s="171">
        <f t="shared" ca="1" si="44"/>
        <v>4.0440222189298787</v>
      </c>
      <c r="DN80" s="171">
        <f t="shared" ca="1" si="45"/>
        <v>3.8392619284417484</v>
      </c>
      <c r="DO80" s="171">
        <f t="shared" ca="1" si="46"/>
        <v>3.6448692309813042</v>
      </c>
      <c r="DP80" s="171">
        <f t="shared" ca="1" si="47"/>
        <v>3.460319185970802</v>
      </c>
      <c r="DQ80" s="171">
        <f t="shared" ca="1" si="48"/>
        <v>3.2851134320596573</v>
      </c>
      <c r="DR80" s="171">
        <f t="shared" ca="1" si="49"/>
        <v>3.1187788413429445</v>
      </c>
      <c r="DS80" s="171">
        <f t="shared" ca="1" si="50"/>
        <v>2.9608662417206304</v>
      </c>
      <c r="DT80" s="171">
        <f t="shared" ca="1" si="51"/>
        <v>2.8109492039473705</v>
      </c>
      <c r="DU80" s="171">
        <f t="shared" ca="1" si="52"/>
        <v>2.6686228900974065</v>
      </c>
      <c r="DV80" s="171">
        <f t="shared" ca="1" si="53"/>
        <v>2.5335029603349506</v>
      </c>
      <c r="DW80" s="171">
        <f t="shared" ca="1" si="54"/>
        <v>2.4052245350378723</v>
      </c>
      <c r="DX80" s="171">
        <f t="shared" ca="1" si="55"/>
        <v>2.2834412094720062</v>
      </c>
      <c r="DY80" s="171">
        <f t="shared" ca="1" si="56"/>
        <v>2.1678241183552864</v>
      </c>
      <c r="DZ80" s="171">
        <f t="shared" ca="1" si="57"/>
        <v>2.0580610477856438</v>
      </c>
      <c r="EA80" s="171">
        <f t="shared" ca="1" si="58"/>
        <v>1.9538555921345109</v>
      </c>
      <c r="EB80" s="171">
        <f t="shared" ca="1" si="59"/>
        <v>0</v>
      </c>
      <c r="EC80" s="171">
        <f t="shared" ca="1" si="60"/>
        <v>0</v>
      </c>
      <c r="ED80" s="171">
        <f t="shared" ca="1" si="61"/>
        <v>0</v>
      </c>
      <c r="EE80" s="171">
        <f t="shared" ca="1" si="62"/>
        <v>0</v>
      </c>
      <c r="EF80" s="171">
        <f t="shared" ca="1" si="63"/>
        <v>0</v>
      </c>
      <c r="EG80" s="171">
        <f t="shared" ca="1" si="64"/>
        <v>0</v>
      </c>
      <c r="EH80" s="171">
        <f t="shared" ca="1" si="65"/>
        <v>0</v>
      </c>
      <c r="EI80" s="171">
        <f t="shared" ca="1" si="66"/>
        <v>0</v>
      </c>
      <c r="EJ80" s="171">
        <f t="shared" ca="1" si="67"/>
        <v>0</v>
      </c>
      <c r="EK80" s="171">
        <f t="shared" ca="1" si="68"/>
        <v>0</v>
      </c>
      <c r="EL80" s="171">
        <f t="shared" ca="1" si="69"/>
        <v>0</v>
      </c>
      <c r="EM80" s="171">
        <f t="shared" ca="1" si="70"/>
        <v>0</v>
      </c>
      <c r="EN80" s="171">
        <f t="shared" ca="1" si="71"/>
        <v>0</v>
      </c>
      <c r="EO80" s="171">
        <f t="shared" ca="1" si="72"/>
        <v>0</v>
      </c>
      <c r="EP80" s="171">
        <f t="shared" ca="1" si="73"/>
        <v>0</v>
      </c>
      <c r="EQ80" s="171">
        <f t="shared" ca="1" si="74"/>
        <v>0</v>
      </c>
      <c r="ER80" s="171">
        <f t="shared" ca="1" si="75"/>
        <v>0</v>
      </c>
      <c r="ES80" s="171">
        <f t="shared" ca="1" si="76"/>
        <v>0</v>
      </c>
    </row>
    <row r="81" spans="1:149">
      <c r="A81" s="139" t="s">
        <v>448</v>
      </c>
      <c r="B81" s="160" t="s">
        <v>409</v>
      </c>
      <c r="C81" s="161" t="s">
        <v>109</v>
      </c>
      <c r="D81" s="161" t="s">
        <v>428</v>
      </c>
      <c r="E81" s="161">
        <v>2018</v>
      </c>
      <c r="F81" s="161" t="s">
        <v>395</v>
      </c>
      <c r="G81" s="161" t="s">
        <v>402</v>
      </c>
      <c r="H81" s="161" t="s">
        <v>396</v>
      </c>
      <c r="I81" s="161" t="s">
        <v>178</v>
      </c>
      <c r="J81" s="161" t="s">
        <v>397</v>
      </c>
      <c r="K81" s="184">
        <v>19.8775280895</v>
      </c>
      <c r="L81" s="163" t="s">
        <v>110</v>
      </c>
      <c r="M81" s="164">
        <f t="shared" si="0"/>
        <v>19.8775280895</v>
      </c>
      <c r="N81" s="164">
        <f t="shared" si="1"/>
        <v>19.8775280895</v>
      </c>
      <c r="O81" s="165">
        <f t="shared" si="2"/>
        <v>1</v>
      </c>
      <c r="P81" s="180">
        <v>2.3903633306096857E-2</v>
      </c>
      <c r="Q81" s="183">
        <v>32.668289591298226</v>
      </c>
      <c r="R81" s="168">
        <f t="shared" ref="R81:R112" si="95">IFERROR(IF($Q81="","",IF(($Q81-($B$9-$E81))&lt;=0,0,(Q81-($B$9-$E81)))),"NA")</f>
        <v>26.668289591298226</v>
      </c>
      <c r="S81" s="183">
        <v>6.9579862261231415</v>
      </c>
      <c r="T81" s="170" t="s">
        <v>403</v>
      </c>
      <c r="U81" s="171">
        <f t="shared" si="4"/>
        <v>0.90997934526834667</v>
      </c>
      <c r="V81" s="171">
        <f t="shared" ca="1" si="5"/>
        <v>0.51107745563339113</v>
      </c>
      <c r="W81" s="171">
        <f t="shared" ca="1" si="6"/>
        <v>16.696026324215492</v>
      </c>
      <c r="X81" s="172">
        <f t="shared" si="7"/>
        <v>0.17920836052863021</v>
      </c>
      <c r="Y81" s="172">
        <f t="shared" si="8"/>
        <v>0.82079163947136979</v>
      </c>
      <c r="Z81" s="173">
        <f t="shared" si="9"/>
        <v>29.727468773326304</v>
      </c>
      <c r="AA81" s="171">
        <f t="shared" si="89"/>
        <v>0</v>
      </c>
      <c r="AB81" s="171">
        <f t="shared" si="89"/>
        <v>0</v>
      </c>
      <c r="AC81" s="171">
        <f t="shared" si="89"/>
        <v>0</v>
      </c>
      <c r="AD81" s="171">
        <f t="shared" si="89"/>
        <v>0</v>
      </c>
      <c r="AE81" s="171">
        <f t="shared" si="89"/>
        <v>0</v>
      </c>
      <c r="AF81" s="171">
        <f t="shared" si="89"/>
        <v>0</v>
      </c>
      <c r="AG81" s="171">
        <f t="shared" si="89"/>
        <v>0</v>
      </c>
      <c r="AH81" s="171">
        <f t="shared" si="89"/>
        <v>0</v>
      </c>
      <c r="AI81" s="171">
        <f t="shared" si="89"/>
        <v>0.47514514248304801</v>
      </c>
      <c r="AJ81" s="171">
        <f t="shared" si="89"/>
        <v>0.47514514248304801</v>
      </c>
      <c r="AK81" s="171">
        <f t="shared" si="90"/>
        <v>0.47514514248304801</v>
      </c>
      <c r="AL81" s="171">
        <f t="shared" si="90"/>
        <v>0.47514514248304801</v>
      </c>
      <c r="AM81" s="171">
        <f t="shared" si="90"/>
        <v>0.47514514248304801</v>
      </c>
      <c r="AN81" s="171">
        <f t="shared" si="90"/>
        <v>0.47514514248304801</v>
      </c>
      <c r="AO81" s="171">
        <f t="shared" si="90"/>
        <v>0.47514514248304801</v>
      </c>
      <c r="AP81" s="171">
        <f t="shared" si="90"/>
        <v>1.0154404913824981</v>
      </c>
      <c r="AQ81" s="171">
        <f t="shared" si="90"/>
        <v>1.0154404913824981</v>
      </c>
      <c r="AR81" s="171">
        <f t="shared" si="90"/>
        <v>1.0154404913824981</v>
      </c>
      <c r="AS81" s="171">
        <f t="shared" si="90"/>
        <v>1.0154404913824981</v>
      </c>
      <c r="AT81" s="171">
        <f t="shared" si="90"/>
        <v>1.0154404913824981</v>
      </c>
      <c r="AU81" s="171">
        <f t="shared" si="91"/>
        <v>1.0154404913824981</v>
      </c>
      <c r="AV81" s="171">
        <f t="shared" si="91"/>
        <v>1.0154404913824981</v>
      </c>
      <c r="AW81" s="171">
        <f t="shared" si="91"/>
        <v>1.0154404913824981</v>
      </c>
      <c r="AX81" s="171">
        <f t="shared" si="91"/>
        <v>1.0154404913824981</v>
      </c>
      <c r="AY81" s="171">
        <f t="shared" si="91"/>
        <v>1.0154404913824981</v>
      </c>
      <c r="AZ81" s="171">
        <f t="shared" si="91"/>
        <v>1.0154404913824981</v>
      </c>
      <c r="BA81" s="171">
        <f t="shared" si="91"/>
        <v>1.0154404913824981</v>
      </c>
      <c r="BB81" s="171">
        <f t="shared" si="91"/>
        <v>1.0154404913824981</v>
      </c>
      <c r="BC81" s="171">
        <f t="shared" si="91"/>
        <v>1.0154404913824981</v>
      </c>
      <c r="BD81" s="171">
        <f t="shared" si="91"/>
        <v>1.0154404913824981</v>
      </c>
      <c r="BE81" s="171">
        <f t="shared" si="92"/>
        <v>1.0154404913824981</v>
      </c>
      <c r="BF81" s="171">
        <f t="shared" si="92"/>
        <v>1.0154404913824981</v>
      </c>
      <c r="BG81" s="171">
        <f t="shared" si="92"/>
        <v>1.0154404913824981</v>
      </c>
      <c r="BH81" s="171">
        <f t="shared" si="92"/>
        <v>1.0154404913824981</v>
      </c>
      <c r="BI81" s="171">
        <f t="shared" si="92"/>
        <v>1.0154404913824981</v>
      </c>
      <c r="BJ81" s="171">
        <f t="shared" si="92"/>
        <v>1.0154404913824981</v>
      </c>
      <c r="BK81" s="171">
        <f t="shared" si="92"/>
        <v>1.0154404913824981</v>
      </c>
      <c r="BL81" s="171">
        <f t="shared" si="92"/>
        <v>1.0154404913824981</v>
      </c>
      <c r="BM81" s="171">
        <f t="shared" si="92"/>
        <v>1.0154404913824981</v>
      </c>
      <c r="BN81" s="171">
        <f t="shared" si="92"/>
        <v>1.0154404913824981</v>
      </c>
      <c r="BO81" s="171">
        <f t="shared" si="93"/>
        <v>1.0154404913824981</v>
      </c>
      <c r="BP81" s="171">
        <f t="shared" si="93"/>
        <v>0</v>
      </c>
      <c r="BQ81" s="171">
        <f t="shared" si="93"/>
        <v>0</v>
      </c>
      <c r="BR81" s="171">
        <f t="shared" si="93"/>
        <v>0</v>
      </c>
      <c r="BS81" s="171">
        <f t="shared" si="93"/>
        <v>0</v>
      </c>
      <c r="BT81" s="171">
        <f t="shared" si="93"/>
        <v>0</v>
      </c>
      <c r="BU81" s="171">
        <f t="shared" si="93"/>
        <v>0</v>
      </c>
      <c r="BV81" s="171">
        <f t="shared" si="93"/>
        <v>0</v>
      </c>
      <c r="BW81" s="171">
        <f t="shared" si="93"/>
        <v>0</v>
      </c>
      <c r="BX81" s="171">
        <f t="shared" si="93"/>
        <v>0</v>
      </c>
      <c r="BY81" s="171">
        <f t="shared" si="94"/>
        <v>0</v>
      </c>
      <c r="BZ81" s="171">
        <f t="shared" si="94"/>
        <v>0</v>
      </c>
      <c r="CA81" s="171">
        <f t="shared" si="94"/>
        <v>0</v>
      </c>
      <c r="CB81" s="171">
        <f t="shared" si="94"/>
        <v>0</v>
      </c>
      <c r="CC81" s="171">
        <f t="shared" si="94"/>
        <v>0</v>
      </c>
      <c r="CD81" s="171">
        <f t="shared" si="94"/>
        <v>0</v>
      </c>
      <c r="CE81" s="171">
        <f t="shared" si="94"/>
        <v>0</v>
      </c>
      <c r="CF81" s="171">
        <f t="shared" si="94"/>
        <v>0</v>
      </c>
      <c r="CG81" s="171">
        <f t="shared" si="94"/>
        <v>0</v>
      </c>
      <c r="CH81" s="171">
        <f t="shared" si="94"/>
        <v>0</v>
      </c>
      <c r="CI81" s="171">
        <f t="shared" si="94"/>
        <v>0</v>
      </c>
      <c r="CJ81" s="243"/>
      <c r="CK81" s="171">
        <f t="shared" si="16"/>
        <v>0</v>
      </c>
      <c r="CL81" s="171">
        <f t="shared" si="17"/>
        <v>0</v>
      </c>
      <c r="CM81" s="171">
        <f t="shared" si="18"/>
        <v>0</v>
      </c>
      <c r="CN81" s="171">
        <f t="shared" si="19"/>
        <v>0</v>
      </c>
      <c r="CO81" s="171">
        <f t="shared" si="20"/>
        <v>0</v>
      </c>
      <c r="CP81" s="171">
        <f t="shared" si="21"/>
        <v>0</v>
      </c>
      <c r="CQ81" s="171">
        <f t="shared" si="22"/>
        <v>0</v>
      </c>
      <c r="CR81" s="171">
        <f t="shared" si="23"/>
        <v>0</v>
      </c>
      <c r="CS81" s="171">
        <f t="shared" si="24"/>
        <v>0.47514514248304801</v>
      </c>
      <c r="CT81" s="171">
        <f t="shared" si="25"/>
        <v>0.47514514248304801</v>
      </c>
      <c r="CU81" s="171">
        <f t="shared" si="26"/>
        <v>0.47514514248304801</v>
      </c>
      <c r="CV81" s="171">
        <f t="shared" si="27"/>
        <v>0.47514514248304801</v>
      </c>
      <c r="CW81" s="171">
        <f t="shared" si="28"/>
        <v>0.47514514248304801</v>
      </c>
      <c r="CX81" s="171">
        <f t="shared" si="29"/>
        <v>0.47514514248304801</v>
      </c>
      <c r="CY81" s="171">
        <f t="shared" ca="1" si="30"/>
        <v>0.45108719914548701</v>
      </c>
      <c r="CZ81" s="171">
        <f t="shared" ca="1" si="31"/>
        <v>0.91521450738022758</v>
      </c>
      <c r="DA81" s="171">
        <f t="shared" ca="1" si="32"/>
        <v>0.86887460659706239</v>
      </c>
      <c r="DB81" s="171">
        <f t="shared" ca="1" si="33"/>
        <v>0.82488102614347802</v>
      </c>
      <c r="DC81" s="171">
        <f t="shared" ca="1" si="34"/>
        <v>0.78311496518054391</v>
      </c>
      <c r="DD81" s="171">
        <f t="shared" ca="1" si="35"/>
        <v>0.74346363809203897</v>
      </c>
      <c r="DE81" s="171">
        <f t="shared" ca="1" si="36"/>
        <v>0.70581996991670171</v>
      </c>
      <c r="DF81" s="171">
        <f t="shared" ca="1" si="37"/>
        <v>0.67008230720160644</v>
      </c>
      <c r="DG81" s="171">
        <f t="shared" ca="1" si="38"/>
        <v>0.63615414349585309</v>
      </c>
      <c r="DH81" s="171">
        <f t="shared" ca="1" si="39"/>
        <v>0.60394385874328627</v>
      </c>
      <c r="DI81" s="171">
        <f t="shared" ca="1" si="40"/>
        <v>0.57336447187050066</v>
      </c>
      <c r="DJ81" s="171">
        <f t="shared" ca="1" si="41"/>
        <v>0.54433340590201451</v>
      </c>
      <c r="DK81" s="171">
        <f t="shared" ca="1" si="42"/>
        <v>0.51677226496832707</v>
      </c>
      <c r="DL81" s="171">
        <f t="shared" ca="1" si="43"/>
        <v>0.49060662260468946</v>
      </c>
      <c r="DM81" s="171">
        <f t="shared" ca="1" si="44"/>
        <v>0.46576582076890749</v>
      </c>
      <c r="DN81" s="171">
        <f t="shared" ca="1" si="45"/>
        <v>0.44218277903544223</v>
      </c>
      <c r="DO81" s="171">
        <f t="shared" ca="1" si="46"/>
        <v>0.41979381345055372</v>
      </c>
      <c r="DP81" s="171">
        <f t="shared" ca="1" si="47"/>
        <v>0.39853846455932007</v>
      </c>
      <c r="DQ81" s="171">
        <f t="shared" ca="1" si="48"/>
        <v>0.37835933414013717</v>
      </c>
      <c r="DR81" s="171">
        <f t="shared" ca="1" si="49"/>
        <v>0.35920193020581087</v>
      </c>
      <c r="DS81" s="171">
        <f t="shared" ca="1" si="50"/>
        <v>0.34101451985268438</v>
      </c>
      <c r="DT81" s="171">
        <f t="shared" ca="1" si="51"/>
        <v>0.32374798956042922</v>
      </c>
      <c r="DU81" s="171">
        <f t="shared" ca="1" si="52"/>
        <v>0.30735571256525401</v>
      </c>
      <c r="DV81" s="171">
        <f t="shared" ca="1" si="53"/>
        <v>0.29179342294838317</v>
      </c>
      <c r="DW81" s="171">
        <f t="shared" ca="1" si="54"/>
        <v>0.27701909609979158</v>
      </c>
      <c r="DX81" s="171">
        <f t="shared" ca="1" si="55"/>
        <v>0.26299283523439942</v>
      </c>
      <c r="DY81" s="171">
        <f t="shared" ca="1" si="56"/>
        <v>0.24967676365427283</v>
      </c>
      <c r="DZ81" s="171">
        <f t="shared" ca="1" si="57"/>
        <v>0</v>
      </c>
      <c r="EA81" s="171">
        <f t="shared" ca="1" si="58"/>
        <v>0</v>
      </c>
      <c r="EB81" s="171">
        <f t="shared" ca="1" si="59"/>
        <v>0</v>
      </c>
      <c r="EC81" s="171">
        <f t="shared" ca="1" si="60"/>
        <v>0</v>
      </c>
      <c r="ED81" s="171">
        <f t="shared" ca="1" si="61"/>
        <v>0</v>
      </c>
      <c r="EE81" s="171">
        <f t="shared" ca="1" si="62"/>
        <v>0</v>
      </c>
      <c r="EF81" s="171">
        <f t="shared" ca="1" si="63"/>
        <v>0</v>
      </c>
      <c r="EG81" s="171">
        <f t="shared" ca="1" si="64"/>
        <v>0</v>
      </c>
      <c r="EH81" s="171">
        <f t="shared" ca="1" si="65"/>
        <v>0</v>
      </c>
      <c r="EI81" s="171">
        <f t="shared" ca="1" si="66"/>
        <v>0</v>
      </c>
      <c r="EJ81" s="171">
        <f t="shared" ca="1" si="67"/>
        <v>0</v>
      </c>
      <c r="EK81" s="171">
        <f t="shared" ca="1" si="68"/>
        <v>0</v>
      </c>
      <c r="EL81" s="171">
        <f t="shared" ca="1" si="69"/>
        <v>0</v>
      </c>
      <c r="EM81" s="171">
        <f t="shared" ca="1" si="70"/>
        <v>0</v>
      </c>
      <c r="EN81" s="171">
        <f t="shared" ca="1" si="71"/>
        <v>0</v>
      </c>
      <c r="EO81" s="171">
        <f t="shared" ca="1" si="72"/>
        <v>0</v>
      </c>
      <c r="EP81" s="171">
        <f t="shared" ca="1" si="73"/>
        <v>0</v>
      </c>
      <c r="EQ81" s="171">
        <f t="shared" ca="1" si="74"/>
        <v>0</v>
      </c>
      <c r="ER81" s="171">
        <f t="shared" ca="1" si="75"/>
        <v>0</v>
      </c>
      <c r="ES81" s="171">
        <f t="shared" ca="1" si="76"/>
        <v>0</v>
      </c>
    </row>
    <row r="82" spans="1:149">
      <c r="A82" s="139" t="s">
        <v>449</v>
      </c>
      <c r="B82" s="160" t="s">
        <v>430</v>
      </c>
      <c r="C82" s="160" t="s">
        <v>412</v>
      </c>
      <c r="D82" s="161" t="s">
        <v>394</v>
      </c>
      <c r="E82" s="160">
        <v>2017</v>
      </c>
      <c r="F82" s="160" t="s">
        <v>395</v>
      </c>
      <c r="G82" s="160" t="s">
        <v>402</v>
      </c>
      <c r="H82" s="160" t="s">
        <v>396</v>
      </c>
      <c r="I82" s="160" t="s">
        <v>178</v>
      </c>
      <c r="J82" s="160" t="s">
        <v>407</v>
      </c>
      <c r="K82" s="187">
        <v>150</v>
      </c>
      <c r="L82" s="163" t="s">
        <v>110</v>
      </c>
      <c r="M82" s="164">
        <f t="shared" si="0"/>
        <v>150</v>
      </c>
      <c r="N82" s="164">
        <f t="shared" si="1"/>
        <v>150</v>
      </c>
      <c r="O82" s="165">
        <f t="shared" si="2"/>
        <v>1</v>
      </c>
      <c r="P82" s="180">
        <v>2.8010093808630395E-2</v>
      </c>
      <c r="Q82" s="183">
        <v>30.795739434207817</v>
      </c>
      <c r="R82" s="168">
        <f t="shared" si="95"/>
        <v>23.795739434207817</v>
      </c>
      <c r="S82" s="183">
        <v>6.5156108439612517</v>
      </c>
      <c r="T82" s="170" t="s">
        <v>403</v>
      </c>
      <c r="U82" s="171">
        <f t="shared" si="4"/>
        <v>7.4698487299063192</v>
      </c>
      <c r="V82" s="171">
        <f t="shared" ca="1" si="5"/>
        <v>4.5821755863109059</v>
      </c>
      <c r="W82" s="171">
        <f t="shared" ca="1" si="6"/>
        <v>141.11148539781908</v>
      </c>
      <c r="X82" s="172">
        <f t="shared" si="7"/>
        <v>0.20710607883565602</v>
      </c>
      <c r="Y82" s="172">
        <f t="shared" si="8"/>
        <v>0.79289392116434398</v>
      </c>
      <c r="Z82" s="173">
        <f t="shared" si="9"/>
        <v>230.03951509914322</v>
      </c>
      <c r="AA82" s="171">
        <f t="shared" si="89"/>
        <v>0</v>
      </c>
      <c r="AB82" s="171">
        <f t="shared" si="89"/>
        <v>0</v>
      </c>
      <c r="AC82" s="171">
        <f t="shared" si="89"/>
        <v>0</v>
      </c>
      <c r="AD82" s="171">
        <f t="shared" si="89"/>
        <v>0</v>
      </c>
      <c r="AE82" s="171">
        <f t="shared" si="89"/>
        <v>0</v>
      </c>
      <c r="AF82" s="171">
        <f t="shared" si="89"/>
        <v>0</v>
      </c>
      <c r="AG82" s="171">
        <f t="shared" si="89"/>
        <v>0</v>
      </c>
      <c r="AH82" s="171">
        <f t="shared" si="89"/>
        <v>4.2015140712945591</v>
      </c>
      <c r="AI82" s="171">
        <f t="shared" si="89"/>
        <v>4.2015140712945591</v>
      </c>
      <c r="AJ82" s="171">
        <f t="shared" si="89"/>
        <v>4.2015140712945591</v>
      </c>
      <c r="AK82" s="171">
        <f t="shared" si="90"/>
        <v>4.2015140712945591</v>
      </c>
      <c r="AL82" s="171">
        <f t="shared" si="90"/>
        <v>4.2015140712945591</v>
      </c>
      <c r="AM82" s="171">
        <f t="shared" si="90"/>
        <v>4.2015140712945591</v>
      </c>
      <c r="AN82" s="171">
        <f t="shared" si="90"/>
        <v>4.2015140712945591</v>
      </c>
      <c r="AO82" s="171">
        <f t="shared" si="90"/>
        <v>8.3595381916700546</v>
      </c>
      <c r="AP82" s="171">
        <f t="shared" si="90"/>
        <v>8.3595381916700546</v>
      </c>
      <c r="AQ82" s="171">
        <f t="shared" si="90"/>
        <v>8.3595381916700546</v>
      </c>
      <c r="AR82" s="171">
        <f t="shared" si="90"/>
        <v>8.3595381916700546</v>
      </c>
      <c r="AS82" s="171">
        <f t="shared" si="90"/>
        <v>8.3595381916700546</v>
      </c>
      <c r="AT82" s="171">
        <f t="shared" si="90"/>
        <v>8.3595381916700546</v>
      </c>
      <c r="AU82" s="171">
        <f t="shared" si="91"/>
        <v>8.3595381916700546</v>
      </c>
      <c r="AV82" s="171">
        <f t="shared" si="91"/>
        <v>8.3595381916700546</v>
      </c>
      <c r="AW82" s="171">
        <f t="shared" si="91"/>
        <v>8.3595381916700546</v>
      </c>
      <c r="AX82" s="171">
        <f t="shared" si="91"/>
        <v>8.3595381916700546</v>
      </c>
      <c r="AY82" s="171">
        <f t="shared" si="91"/>
        <v>8.3595381916700546</v>
      </c>
      <c r="AZ82" s="171">
        <f t="shared" si="91"/>
        <v>8.3595381916700546</v>
      </c>
      <c r="BA82" s="171">
        <f t="shared" si="91"/>
        <v>8.3595381916700546</v>
      </c>
      <c r="BB82" s="171">
        <f t="shared" si="91"/>
        <v>8.3595381916700546</v>
      </c>
      <c r="BC82" s="171">
        <f t="shared" si="91"/>
        <v>8.3595381916700546</v>
      </c>
      <c r="BD82" s="171">
        <f t="shared" si="91"/>
        <v>8.3595381916700546</v>
      </c>
      <c r="BE82" s="171">
        <f t="shared" si="92"/>
        <v>8.3595381916700546</v>
      </c>
      <c r="BF82" s="171">
        <f t="shared" si="92"/>
        <v>8.3595381916700546</v>
      </c>
      <c r="BG82" s="171">
        <f t="shared" si="92"/>
        <v>8.3595381916700546</v>
      </c>
      <c r="BH82" s="171">
        <f t="shared" si="92"/>
        <v>8.3595381916700546</v>
      </c>
      <c r="BI82" s="171">
        <f t="shared" si="92"/>
        <v>8.3595381916700546</v>
      </c>
      <c r="BJ82" s="171">
        <f t="shared" si="92"/>
        <v>8.3595381916700546</v>
      </c>
      <c r="BK82" s="171">
        <f t="shared" si="92"/>
        <v>8.3595381916700546</v>
      </c>
      <c r="BL82" s="171">
        <f t="shared" si="92"/>
        <v>8.3595381916700546</v>
      </c>
      <c r="BM82" s="171">
        <f t="shared" si="92"/>
        <v>0</v>
      </c>
      <c r="BN82" s="171">
        <f t="shared" si="92"/>
        <v>0</v>
      </c>
      <c r="BO82" s="171">
        <f t="shared" si="93"/>
        <v>0</v>
      </c>
      <c r="BP82" s="171">
        <f t="shared" si="93"/>
        <v>0</v>
      </c>
      <c r="BQ82" s="171">
        <f t="shared" si="93"/>
        <v>0</v>
      </c>
      <c r="BR82" s="171">
        <f t="shared" si="93"/>
        <v>0</v>
      </c>
      <c r="BS82" s="171">
        <f t="shared" si="93"/>
        <v>0</v>
      </c>
      <c r="BT82" s="171">
        <f t="shared" si="93"/>
        <v>0</v>
      </c>
      <c r="BU82" s="171">
        <f t="shared" si="93"/>
        <v>0</v>
      </c>
      <c r="BV82" s="171">
        <f t="shared" si="93"/>
        <v>0</v>
      </c>
      <c r="BW82" s="171">
        <f t="shared" si="93"/>
        <v>0</v>
      </c>
      <c r="BX82" s="171">
        <f t="shared" si="93"/>
        <v>0</v>
      </c>
      <c r="BY82" s="171">
        <f t="shared" si="94"/>
        <v>0</v>
      </c>
      <c r="BZ82" s="171">
        <f t="shared" si="94"/>
        <v>0</v>
      </c>
      <c r="CA82" s="171">
        <f t="shared" si="94"/>
        <v>0</v>
      </c>
      <c r="CB82" s="171">
        <f t="shared" si="94"/>
        <v>0</v>
      </c>
      <c r="CC82" s="171">
        <f t="shared" si="94"/>
        <v>0</v>
      </c>
      <c r="CD82" s="171">
        <f t="shared" si="94"/>
        <v>0</v>
      </c>
      <c r="CE82" s="171">
        <f t="shared" si="94"/>
        <v>0</v>
      </c>
      <c r="CF82" s="171">
        <f t="shared" si="94"/>
        <v>0</v>
      </c>
      <c r="CG82" s="171">
        <f t="shared" si="94"/>
        <v>0</v>
      </c>
      <c r="CH82" s="171">
        <f t="shared" si="94"/>
        <v>0</v>
      </c>
      <c r="CI82" s="171">
        <f t="shared" si="94"/>
        <v>0</v>
      </c>
      <c r="CJ82" s="243"/>
      <c r="CK82" s="171">
        <f t="shared" si="16"/>
        <v>0</v>
      </c>
      <c r="CL82" s="171">
        <f t="shared" si="17"/>
        <v>0</v>
      </c>
      <c r="CM82" s="171">
        <f t="shared" si="18"/>
        <v>0</v>
      </c>
      <c r="CN82" s="171">
        <f t="shared" si="19"/>
        <v>0</v>
      </c>
      <c r="CO82" s="171">
        <f t="shared" si="20"/>
        <v>0</v>
      </c>
      <c r="CP82" s="171">
        <f t="shared" si="21"/>
        <v>0</v>
      </c>
      <c r="CQ82" s="171">
        <f t="shared" si="22"/>
        <v>0</v>
      </c>
      <c r="CR82" s="171">
        <f t="shared" si="23"/>
        <v>4.2015140712945591</v>
      </c>
      <c r="CS82" s="171">
        <f t="shared" si="24"/>
        <v>4.2015140712945591</v>
      </c>
      <c r="CT82" s="171">
        <f t="shared" si="25"/>
        <v>4.2015140712945591</v>
      </c>
      <c r="CU82" s="171">
        <f t="shared" si="26"/>
        <v>4.2015140712945591</v>
      </c>
      <c r="CV82" s="171">
        <f t="shared" si="27"/>
        <v>4.2015140712945591</v>
      </c>
      <c r="CW82" s="171">
        <f t="shared" si="28"/>
        <v>4.2015140712945591</v>
      </c>
      <c r="CX82" s="171">
        <f t="shared" si="29"/>
        <v>4.2015140712945591</v>
      </c>
      <c r="CY82" s="171">
        <f t="shared" ca="1" si="30"/>
        <v>7.9362711135465513</v>
      </c>
      <c r="CZ82" s="171">
        <f t="shared" ca="1" si="31"/>
        <v>7.5344352455348371</v>
      </c>
      <c r="DA82" s="171">
        <f t="shared" ca="1" si="32"/>
        <v>7.1529454648115358</v>
      </c>
      <c r="DB82" s="171">
        <f t="shared" ca="1" si="33"/>
        <v>6.7907715913929731</v>
      </c>
      <c r="DC82" s="171">
        <f t="shared" ca="1" si="34"/>
        <v>6.4469356062237049</v>
      </c>
      <c r="DD82" s="171">
        <f t="shared" ca="1" si="35"/>
        <v>6.1205090101210873</v>
      </c>
      <c r="DE82" s="171">
        <f t="shared" ca="1" si="36"/>
        <v>5.8106103164439693</v>
      </c>
      <c r="DF82" s="171">
        <f t="shared" ca="1" si="37"/>
        <v>5.5164026707146556</v>
      </c>
      <c r="DG82" s="171">
        <f t="shared" ca="1" si="38"/>
        <v>5.2370915907661573</v>
      </c>
      <c r="DH82" s="171">
        <f t="shared" ca="1" si="39"/>
        <v>4.9719228213121696</v>
      </c>
      <c r="DI82" s="171">
        <f t="shared" ca="1" si="40"/>
        <v>4.720180297146257</v>
      </c>
      <c r="DJ82" s="171">
        <f t="shared" ca="1" si="41"/>
        <v>4.4811842094700198</v>
      </c>
      <c r="DK82" s="171">
        <f t="shared" ca="1" si="42"/>
        <v>4.2542891701285424</v>
      </c>
      <c r="DL82" s="171">
        <f t="shared" ca="1" si="43"/>
        <v>4.0388824687957943</v>
      </c>
      <c r="DM82" s="171">
        <f t="shared" ca="1" si="44"/>
        <v>3.8343824184036674</v>
      </c>
      <c r="DN82" s="171">
        <f t="shared" ca="1" si="45"/>
        <v>3.6402367843466235</v>
      </c>
      <c r="DO82" s="171">
        <f t="shared" ca="1" si="46"/>
        <v>3.4559212932201606</v>
      </c>
      <c r="DP82" s="171">
        <f t="shared" ca="1" si="47"/>
        <v>3.2809382170660615</v>
      </c>
      <c r="DQ82" s="171">
        <f t="shared" ca="1" si="48"/>
        <v>3.1148150293013255</v>
      </c>
      <c r="DR82" s="171">
        <f t="shared" ca="1" si="49"/>
        <v>2.9571031287012084</v>
      </c>
      <c r="DS82" s="171">
        <f t="shared" ca="1" si="50"/>
        <v>2.8073766279906254</v>
      </c>
      <c r="DT82" s="171">
        <f t="shared" ca="1" si="51"/>
        <v>2.6652312037725903</v>
      </c>
      <c r="DU82" s="171">
        <f t="shared" ca="1" si="52"/>
        <v>2.5302830046880374</v>
      </c>
      <c r="DV82" s="171">
        <f t="shared" ca="1" si="53"/>
        <v>2.4021676148586018</v>
      </c>
      <c r="DW82" s="171">
        <f t="shared" ca="1" si="54"/>
        <v>0</v>
      </c>
      <c r="DX82" s="171">
        <f t="shared" ca="1" si="55"/>
        <v>0</v>
      </c>
      <c r="DY82" s="171">
        <f t="shared" ca="1" si="56"/>
        <v>0</v>
      </c>
      <c r="DZ82" s="171">
        <f t="shared" ca="1" si="57"/>
        <v>0</v>
      </c>
      <c r="EA82" s="171">
        <f t="shared" ca="1" si="58"/>
        <v>0</v>
      </c>
      <c r="EB82" s="171">
        <f t="shared" ca="1" si="59"/>
        <v>0</v>
      </c>
      <c r="EC82" s="171">
        <f t="shared" ca="1" si="60"/>
        <v>0</v>
      </c>
      <c r="ED82" s="171">
        <f t="shared" ca="1" si="61"/>
        <v>0</v>
      </c>
      <c r="EE82" s="171">
        <f t="shared" ca="1" si="62"/>
        <v>0</v>
      </c>
      <c r="EF82" s="171">
        <f t="shared" ca="1" si="63"/>
        <v>0</v>
      </c>
      <c r="EG82" s="171">
        <f t="shared" ca="1" si="64"/>
        <v>0</v>
      </c>
      <c r="EH82" s="171">
        <f t="shared" ca="1" si="65"/>
        <v>0</v>
      </c>
      <c r="EI82" s="171">
        <f t="shared" ca="1" si="66"/>
        <v>0</v>
      </c>
      <c r="EJ82" s="171">
        <f t="shared" ca="1" si="67"/>
        <v>0</v>
      </c>
      <c r="EK82" s="171">
        <f t="shared" ca="1" si="68"/>
        <v>0</v>
      </c>
      <c r="EL82" s="171">
        <f t="shared" ca="1" si="69"/>
        <v>0</v>
      </c>
      <c r="EM82" s="171">
        <f t="shared" ca="1" si="70"/>
        <v>0</v>
      </c>
      <c r="EN82" s="171">
        <f t="shared" ca="1" si="71"/>
        <v>0</v>
      </c>
      <c r="EO82" s="171">
        <f t="shared" ca="1" si="72"/>
        <v>0</v>
      </c>
      <c r="EP82" s="171">
        <f t="shared" ca="1" si="73"/>
        <v>0</v>
      </c>
      <c r="EQ82" s="171">
        <f t="shared" ca="1" si="74"/>
        <v>0</v>
      </c>
      <c r="ER82" s="171">
        <f t="shared" ca="1" si="75"/>
        <v>0</v>
      </c>
      <c r="ES82" s="171">
        <f t="shared" ca="1" si="76"/>
        <v>0</v>
      </c>
    </row>
    <row r="83" spans="1:149">
      <c r="A83" s="139" t="s">
        <v>450</v>
      </c>
      <c r="B83" s="160" t="s">
        <v>429</v>
      </c>
      <c r="C83" s="160" t="s">
        <v>105</v>
      </c>
      <c r="D83" s="160" t="s">
        <v>428</v>
      </c>
      <c r="E83" s="160">
        <v>2010</v>
      </c>
      <c r="F83" s="160" t="s">
        <v>395</v>
      </c>
      <c r="G83" s="160" t="s">
        <v>402</v>
      </c>
      <c r="H83" s="160" t="s">
        <v>396</v>
      </c>
      <c r="I83" s="160" t="s">
        <v>178</v>
      </c>
      <c r="J83" s="160" t="s">
        <v>407</v>
      </c>
      <c r="K83" s="187">
        <v>70.52</v>
      </c>
      <c r="L83" s="163" t="s">
        <v>110</v>
      </c>
      <c r="M83" s="164">
        <f t="shared" si="0"/>
        <v>70.52</v>
      </c>
      <c r="N83" s="164">
        <f t="shared" si="1"/>
        <v>70.52</v>
      </c>
      <c r="O83" s="165">
        <f t="shared" si="2"/>
        <v>1</v>
      </c>
      <c r="P83" s="180">
        <v>8.2482067447802281E-3</v>
      </c>
      <c r="Q83" s="191">
        <v>50</v>
      </c>
      <c r="R83" s="168">
        <f t="shared" si="95"/>
        <v>36</v>
      </c>
      <c r="S83" s="178">
        <v>10</v>
      </c>
      <c r="T83" s="170" t="s">
        <v>403</v>
      </c>
      <c r="U83" s="171">
        <f t="shared" si="4"/>
        <v>1.7843845652062535</v>
      </c>
      <c r="V83" s="171">
        <f t="shared" ca="1" si="5"/>
        <v>0.93034322607655273</v>
      </c>
      <c r="W83" s="171">
        <f t="shared" ca="1" si="6"/>
        <v>46.517161303827635</v>
      </c>
      <c r="X83" s="172">
        <f t="shared" si="7"/>
        <v>6.6074796210622289E-2</v>
      </c>
      <c r="Y83" s="172">
        <f t="shared" si="8"/>
        <v>0.93392520378937771</v>
      </c>
      <c r="Z83" s="173">
        <f t="shared" si="9"/>
        <v>89.219228260312676</v>
      </c>
      <c r="AA83" s="171">
        <f t="shared" si="89"/>
        <v>0.58166353964190165</v>
      </c>
      <c r="AB83" s="171">
        <f t="shared" si="89"/>
        <v>0.58166353964190165</v>
      </c>
      <c r="AC83" s="171">
        <f t="shared" si="89"/>
        <v>0.58166353964190165</v>
      </c>
      <c r="AD83" s="171">
        <f t="shared" si="89"/>
        <v>0.58166353964190165</v>
      </c>
      <c r="AE83" s="171">
        <f t="shared" si="89"/>
        <v>0.58166353964190165</v>
      </c>
      <c r="AF83" s="171">
        <f t="shared" si="89"/>
        <v>0.58166353964190165</v>
      </c>
      <c r="AG83" s="171">
        <f t="shared" si="89"/>
        <v>0.58166353964190165</v>
      </c>
      <c r="AH83" s="171">
        <f t="shared" si="89"/>
        <v>0.58166353964190165</v>
      </c>
      <c r="AI83" s="171">
        <f t="shared" si="89"/>
        <v>0.58166353964190165</v>
      </c>
      <c r="AJ83" s="171">
        <f t="shared" si="89"/>
        <v>0.58166353964190165</v>
      </c>
      <c r="AK83" s="171">
        <f t="shared" si="90"/>
        <v>2.0342095820461843</v>
      </c>
      <c r="AL83" s="171">
        <f t="shared" si="90"/>
        <v>2.0342095820461843</v>
      </c>
      <c r="AM83" s="171">
        <f t="shared" si="90"/>
        <v>2.0342095820461843</v>
      </c>
      <c r="AN83" s="171">
        <f t="shared" si="90"/>
        <v>2.0342095820461843</v>
      </c>
      <c r="AO83" s="171">
        <f t="shared" si="90"/>
        <v>2.0342095820461843</v>
      </c>
      <c r="AP83" s="171">
        <f t="shared" si="90"/>
        <v>2.0342095820461843</v>
      </c>
      <c r="AQ83" s="171">
        <f t="shared" si="90"/>
        <v>2.0342095820461843</v>
      </c>
      <c r="AR83" s="171">
        <f t="shared" si="90"/>
        <v>2.0342095820461843</v>
      </c>
      <c r="AS83" s="171">
        <f t="shared" si="90"/>
        <v>2.0342095820461843</v>
      </c>
      <c r="AT83" s="171">
        <f t="shared" si="90"/>
        <v>2.0342095820461843</v>
      </c>
      <c r="AU83" s="171">
        <f t="shared" si="91"/>
        <v>2.0342095820461843</v>
      </c>
      <c r="AV83" s="171">
        <f t="shared" si="91"/>
        <v>2.0342095820461843</v>
      </c>
      <c r="AW83" s="171">
        <f t="shared" si="91"/>
        <v>2.0342095820461843</v>
      </c>
      <c r="AX83" s="171">
        <f t="shared" si="91"/>
        <v>2.0342095820461843</v>
      </c>
      <c r="AY83" s="171">
        <f t="shared" si="91"/>
        <v>2.0342095820461843</v>
      </c>
      <c r="AZ83" s="171">
        <f t="shared" si="91"/>
        <v>2.0342095820461843</v>
      </c>
      <c r="BA83" s="171">
        <f t="shared" si="91"/>
        <v>2.0342095820461843</v>
      </c>
      <c r="BB83" s="171">
        <f t="shared" si="91"/>
        <v>2.0342095820461843</v>
      </c>
      <c r="BC83" s="171">
        <f t="shared" si="91"/>
        <v>2.0342095820461843</v>
      </c>
      <c r="BD83" s="171">
        <f t="shared" si="91"/>
        <v>2.0342095820461843</v>
      </c>
      <c r="BE83" s="171">
        <f t="shared" si="92"/>
        <v>2.0342095820461843</v>
      </c>
      <c r="BF83" s="171">
        <f t="shared" si="92"/>
        <v>2.0342095820461843</v>
      </c>
      <c r="BG83" s="171">
        <f t="shared" si="92"/>
        <v>2.0342095820461843</v>
      </c>
      <c r="BH83" s="171">
        <f t="shared" si="92"/>
        <v>2.0342095820461843</v>
      </c>
      <c r="BI83" s="171">
        <f t="shared" si="92"/>
        <v>2.0342095820461843</v>
      </c>
      <c r="BJ83" s="171">
        <f t="shared" si="92"/>
        <v>2.0342095820461843</v>
      </c>
      <c r="BK83" s="171">
        <f t="shared" si="92"/>
        <v>2.0342095820461843</v>
      </c>
      <c r="BL83" s="171">
        <f t="shared" si="92"/>
        <v>2.0342095820461843</v>
      </c>
      <c r="BM83" s="171">
        <f t="shared" si="92"/>
        <v>2.0342095820461843</v>
      </c>
      <c r="BN83" s="171">
        <f t="shared" si="92"/>
        <v>2.0342095820461843</v>
      </c>
      <c r="BO83" s="171">
        <f t="shared" si="93"/>
        <v>2.0342095820461843</v>
      </c>
      <c r="BP83" s="171">
        <f t="shared" si="93"/>
        <v>2.0342095820461843</v>
      </c>
      <c r="BQ83" s="171">
        <f t="shared" si="93"/>
        <v>2.0342095820461843</v>
      </c>
      <c r="BR83" s="171">
        <f t="shared" si="93"/>
        <v>2.0342095820461843</v>
      </c>
      <c r="BS83" s="171">
        <f t="shared" si="93"/>
        <v>2.0342095820461843</v>
      </c>
      <c r="BT83" s="171">
        <f t="shared" si="93"/>
        <v>2.0342095820461843</v>
      </c>
      <c r="BU83" s="171">
        <f t="shared" si="93"/>
        <v>2.0342095820461843</v>
      </c>
      <c r="BV83" s="171">
        <f t="shared" si="93"/>
        <v>2.0342095820461843</v>
      </c>
      <c r="BW83" s="171">
        <f t="shared" si="93"/>
        <v>2.0342095820461843</v>
      </c>
      <c r="BX83" s="171">
        <f t="shared" si="93"/>
        <v>2.0342095820461843</v>
      </c>
      <c r="BY83" s="171">
        <f t="shared" si="94"/>
        <v>2.0342095820461843</v>
      </c>
      <c r="BZ83" s="171">
        <f t="shared" si="94"/>
        <v>0</v>
      </c>
      <c r="CA83" s="171">
        <f t="shared" si="94"/>
        <v>0</v>
      </c>
      <c r="CB83" s="171">
        <f t="shared" si="94"/>
        <v>0</v>
      </c>
      <c r="CC83" s="171">
        <f t="shared" si="94"/>
        <v>0</v>
      </c>
      <c r="CD83" s="171">
        <f t="shared" si="94"/>
        <v>0</v>
      </c>
      <c r="CE83" s="171">
        <f t="shared" si="94"/>
        <v>0</v>
      </c>
      <c r="CF83" s="171">
        <f t="shared" si="94"/>
        <v>0</v>
      </c>
      <c r="CG83" s="171">
        <f t="shared" si="94"/>
        <v>0</v>
      </c>
      <c r="CH83" s="171">
        <f t="shared" si="94"/>
        <v>0</v>
      </c>
      <c r="CI83" s="171">
        <f t="shared" si="94"/>
        <v>0</v>
      </c>
      <c r="CJ83" s="243"/>
      <c r="CK83" s="171">
        <f t="shared" si="16"/>
        <v>0.58166353964190165</v>
      </c>
      <c r="CL83" s="171">
        <f t="shared" si="17"/>
        <v>0.58166353964190165</v>
      </c>
      <c r="CM83" s="171">
        <f t="shared" si="18"/>
        <v>0.58166353964190165</v>
      </c>
      <c r="CN83" s="171">
        <f t="shared" si="19"/>
        <v>0.58166353964190165</v>
      </c>
      <c r="CO83" s="171">
        <f t="shared" si="20"/>
        <v>0.58166353964190165</v>
      </c>
      <c r="CP83" s="171">
        <f t="shared" si="21"/>
        <v>0.58166353964190165</v>
      </c>
      <c r="CQ83" s="171">
        <f t="shared" si="22"/>
        <v>0.58166353964190165</v>
      </c>
      <c r="CR83" s="171">
        <f t="shared" si="23"/>
        <v>0.58166353964190165</v>
      </c>
      <c r="CS83" s="171">
        <f t="shared" si="24"/>
        <v>0.58166353964190165</v>
      </c>
      <c r="CT83" s="171">
        <f t="shared" si="25"/>
        <v>0.58166353964190165</v>
      </c>
      <c r="CU83" s="171">
        <f t="shared" si="26"/>
        <v>2.0342095820461843</v>
      </c>
      <c r="CV83" s="171">
        <f t="shared" si="27"/>
        <v>2.0342095820461843</v>
      </c>
      <c r="CW83" s="171">
        <f t="shared" si="28"/>
        <v>2.0342095820461843</v>
      </c>
      <c r="CX83" s="171">
        <f t="shared" si="29"/>
        <v>2.0342095820461843</v>
      </c>
      <c r="CY83" s="171">
        <f t="shared" ca="1" si="30"/>
        <v>1.9312117936107553</v>
      </c>
      <c r="CZ83" s="171">
        <f t="shared" ca="1" si="31"/>
        <v>1.8334290747120248</v>
      </c>
      <c r="DA83" s="171">
        <f t="shared" ca="1" si="32"/>
        <v>1.7405973716194638</v>
      </c>
      <c r="DB83" s="171">
        <f t="shared" ca="1" si="33"/>
        <v>1.6524660003902552</v>
      </c>
      <c r="DC83" s="171">
        <f t="shared" ca="1" si="34"/>
        <v>1.5687969699191013</v>
      </c>
      <c r="DD83" s="171">
        <f t="shared" ca="1" si="35"/>
        <v>1.4893643392639375</v>
      </c>
      <c r="DE83" s="171">
        <f t="shared" ca="1" si="36"/>
        <v>1.413953607512062</v>
      </c>
      <c r="DF83" s="171">
        <f t="shared" ca="1" si="37"/>
        <v>1.3423611345390718</v>
      </c>
      <c r="DG83" s="171">
        <f t="shared" ca="1" si="38"/>
        <v>1.2743935910964126</v>
      </c>
      <c r="DH83" s="171">
        <f t="shared" ca="1" si="39"/>
        <v>1.2098674367425515</v>
      </c>
      <c r="DI83" s="171">
        <f t="shared" ca="1" si="40"/>
        <v>1.1486084242079744</v>
      </c>
      <c r="DJ83" s="171">
        <f t="shared" ca="1" si="41"/>
        <v>1.0904511288555829</v>
      </c>
      <c r="DK83" s="171">
        <f t="shared" ca="1" si="42"/>
        <v>1.0352385019658468</v>
      </c>
      <c r="DL83" s="171">
        <f t="shared" ca="1" si="43"/>
        <v>0.98282144664039006</v>
      </c>
      <c r="DM83" s="171">
        <f t="shared" ca="1" si="44"/>
        <v>0.93305841517878185</v>
      </c>
      <c r="DN83" s="171">
        <f t="shared" ca="1" si="45"/>
        <v>0.88581502684127711</v>
      </c>
      <c r="DO83" s="171">
        <f t="shared" ca="1" si="46"/>
        <v>0.84096370496531414</v>
      </c>
      <c r="DP83" s="171">
        <f t="shared" ca="1" si="47"/>
        <v>0.79838333245582815</v>
      </c>
      <c r="DQ83" s="171">
        <f t="shared" ca="1" si="48"/>
        <v>0.75795892471906867</v>
      </c>
      <c r="DR83" s="171">
        <f t="shared" ca="1" si="49"/>
        <v>0.71958131915669954</v>
      </c>
      <c r="DS83" s="171">
        <f t="shared" ca="1" si="50"/>
        <v>0.68314688038169524</v>
      </c>
      <c r="DT83" s="171">
        <f t="shared" ca="1" si="51"/>
        <v>0.64855722035998775</v>
      </c>
      <c r="DU83" s="171">
        <f t="shared" ca="1" si="52"/>
        <v>0.6157189327221354</v>
      </c>
      <c r="DV83" s="171">
        <f t="shared" ca="1" si="53"/>
        <v>0.58454334052754375</v>
      </c>
      <c r="DW83" s="171">
        <f t="shared" ca="1" si="54"/>
        <v>0.55494625680009735</v>
      </c>
      <c r="DX83" s="171">
        <f t="shared" ca="1" si="55"/>
        <v>0.52684775718855037</v>
      </c>
      <c r="DY83" s="171">
        <f t="shared" ca="1" si="56"/>
        <v>0.50017196413776588</v>
      </c>
      <c r="DZ83" s="171">
        <f t="shared" ca="1" si="57"/>
        <v>0.47484684198797505</v>
      </c>
      <c r="EA83" s="171">
        <f t="shared" ca="1" si="58"/>
        <v>0.4508040024487408</v>
      </c>
      <c r="EB83" s="171">
        <f t="shared" ca="1" si="59"/>
        <v>0.42797851992232633</v>
      </c>
      <c r="EC83" s="171">
        <f t="shared" ca="1" si="60"/>
        <v>0.40630875617776296</v>
      </c>
      <c r="ED83" s="171">
        <f t="shared" ca="1" si="61"/>
        <v>0.38573619390216674</v>
      </c>
      <c r="EE83" s="171">
        <f t="shared" ca="1" si="62"/>
        <v>0.36620527867982311</v>
      </c>
      <c r="EF83" s="171">
        <f t="shared" ca="1" si="63"/>
        <v>0.34766326897231731</v>
      </c>
      <c r="EG83" s="171">
        <f t="shared" ca="1" si="64"/>
        <v>0.33006009369459532</v>
      </c>
      <c r="EH83" s="171">
        <f t="shared" ca="1" si="65"/>
        <v>0.31334821700235288</v>
      </c>
      <c r="EI83" s="171">
        <f t="shared" ca="1" si="66"/>
        <v>0.29748250992562036</v>
      </c>
      <c r="EJ83" s="171">
        <f t="shared" ca="1" si="67"/>
        <v>0</v>
      </c>
      <c r="EK83" s="171">
        <f t="shared" ca="1" si="68"/>
        <v>0</v>
      </c>
      <c r="EL83" s="171">
        <f t="shared" ca="1" si="69"/>
        <v>0</v>
      </c>
      <c r="EM83" s="171">
        <f t="shared" ca="1" si="70"/>
        <v>0</v>
      </c>
      <c r="EN83" s="171">
        <f t="shared" ca="1" si="71"/>
        <v>0</v>
      </c>
      <c r="EO83" s="171">
        <f t="shared" ca="1" si="72"/>
        <v>0</v>
      </c>
      <c r="EP83" s="171">
        <f t="shared" ca="1" si="73"/>
        <v>0</v>
      </c>
      <c r="EQ83" s="171">
        <f t="shared" ca="1" si="74"/>
        <v>0</v>
      </c>
      <c r="ER83" s="171">
        <f t="shared" ca="1" si="75"/>
        <v>0</v>
      </c>
      <c r="ES83" s="171">
        <f t="shared" ca="1" si="76"/>
        <v>0</v>
      </c>
    </row>
    <row r="84" spans="1:149">
      <c r="A84" s="139" t="s">
        <v>450</v>
      </c>
      <c r="B84" s="160" t="s">
        <v>420</v>
      </c>
      <c r="C84" s="160" t="s">
        <v>105</v>
      </c>
      <c r="D84" s="160" t="s">
        <v>428</v>
      </c>
      <c r="E84" s="160">
        <v>2010</v>
      </c>
      <c r="F84" s="160" t="s">
        <v>400</v>
      </c>
      <c r="G84" s="160" t="s">
        <v>289</v>
      </c>
      <c r="H84" s="160" t="s">
        <v>396</v>
      </c>
      <c r="I84" s="160" t="s">
        <v>183</v>
      </c>
      <c r="J84" s="160" t="s">
        <v>401</v>
      </c>
      <c r="K84" s="187">
        <v>21.25</v>
      </c>
      <c r="L84" s="163" t="s">
        <v>110</v>
      </c>
      <c r="M84" s="164">
        <f t="shared" si="0"/>
        <v>21.25</v>
      </c>
      <c r="N84" s="164">
        <f t="shared" si="1"/>
        <v>21.25</v>
      </c>
      <c r="O84" s="165">
        <f t="shared" si="2"/>
        <v>1</v>
      </c>
      <c r="P84" s="176">
        <v>0.19900000000000001</v>
      </c>
      <c r="Q84" s="177">
        <v>25</v>
      </c>
      <c r="R84" s="168">
        <f t="shared" si="95"/>
        <v>11</v>
      </c>
      <c r="S84" s="178">
        <v>0</v>
      </c>
      <c r="T84" s="170" t="s">
        <v>403</v>
      </c>
      <c r="U84" s="171">
        <f t="shared" si="4"/>
        <v>4.4375132893409317</v>
      </c>
      <c r="V84" s="171">
        <f t="shared" ca="1" si="5"/>
        <v>3.8741123681960787</v>
      </c>
      <c r="W84" s="171">
        <f t="shared" ca="1" si="6"/>
        <v>96.852809204901973</v>
      </c>
      <c r="X84" s="172">
        <f t="shared" si="7"/>
        <v>1.0824730642016327</v>
      </c>
      <c r="Y84" s="172">
        <f t="shared" si="8"/>
        <v>-8.2473064201632793E-2</v>
      </c>
      <c r="Z84" s="173">
        <f t="shared" si="9"/>
        <v>110.9378322335233</v>
      </c>
      <c r="AA84" s="171">
        <f t="shared" si="89"/>
        <v>4.26683970128936</v>
      </c>
      <c r="AB84" s="171">
        <f t="shared" si="89"/>
        <v>4.26683970128936</v>
      </c>
      <c r="AC84" s="171">
        <f t="shared" si="89"/>
        <v>4.26683970128936</v>
      </c>
      <c r="AD84" s="171">
        <f t="shared" si="89"/>
        <v>4.26683970128936</v>
      </c>
      <c r="AE84" s="171">
        <f t="shared" si="89"/>
        <v>4.26683970128936</v>
      </c>
      <c r="AF84" s="171">
        <f t="shared" si="89"/>
        <v>4.26683970128936</v>
      </c>
      <c r="AG84" s="171">
        <f t="shared" si="89"/>
        <v>4.26683970128936</v>
      </c>
      <c r="AH84" s="171">
        <f t="shared" si="89"/>
        <v>4.26683970128936</v>
      </c>
      <c r="AI84" s="171">
        <f t="shared" si="89"/>
        <v>4.26683970128936</v>
      </c>
      <c r="AJ84" s="171">
        <f t="shared" si="89"/>
        <v>4.26683970128936</v>
      </c>
      <c r="AK84" s="171">
        <f t="shared" si="90"/>
        <v>4.26683970128936</v>
      </c>
      <c r="AL84" s="171">
        <f t="shared" si="90"/>
        <v>4.26683970128936</v>
      </c>
      <c r="AM84" s="171">
        <f t="shared" si="90"/>
        <v>4.26683970128936</v>
      </c>
      <c r="AN84" s="171">
        <f t="shared" si="90"/>
        <v>4.26683970128936</v>
      </c>
      <c r="AO84" s="171">
        <f t="shared" si="90"/>
        <v>4.26683970128936</v>
      </c>
      <c r="AP84" s="171">
        <f t="shared" si="90"/>
        <v>4.26683970128936</v>
      </c>
      <c r="AQ84" s="171">
        <f t="shared" si="90"/>
        <v>4.26683970128936</v>
      </c>
      <c r="AR84" s="171">
        <f t="shared" si="90"/>
        <v>4.26683970128936</v>
      </c>
      <c r="AS84" s="171">
        <f t="shared" si="90"/>
        <v>4.26683970128936</v>
      </c>
      <c r="AT84" s="171">
        <f t="shared" si="90"/>
        <v>4.26683970128936</v>
      </c>
      <c r="AU84" s="171">
        <f t="shared" si="91"/>
        <v>4.26683970128936</v>
      </c>
      <c r="AV84" s="171">
        <f t="shared" si="91"/>
        <v>4.26683970128936</v>
      </c>
      <c r="AW84" s="171">
        <f t="shared" si="91"/>
        <v>4.26683970128936</v>
      </c>
      <c r="AX84" s="171">
        <f t="shared" si="91"/>
        <v>4.26683970128936</v>
      </c>
      <c r="AY84" s="171">
        <f t="shared" si="91"/>
        <v>4.26683970128936</v>
      </c>
      <c r="AZ84" s="171">
        <f t="shared" si="91"/>
        <v>4.26683970128936</v>
      </c>
      <c r="BA84" s="171">
        <f t="shared" si="91"/>
        <v>0</v>
      </c>
      <c r="BB84" s="171">
        <f t="shared" si="91"/>
        <v>0</v>
      </c>
      <c r="BC84" s="171">
        <f t="shared" si="91"/>
        <v>0</v>
      </c>
      <c r="BD84" s="171">
        <f t="shared" si="91"/>
        <v>0</v>
      </c>
      <c r="BE84" s="171">
        <f t="shared" si="92"/>
        <v>0</v>
      </c>
      <c r="BF84" s="171">
        <f t="shared" si="92"/>
        <v>0</v>
      </c>
      <c r="BG84" s="171">
        <f t="shared" si="92"/>
        <v>0</v>
      </c>
      <c r="BH84" s="171">
        <f t="shared" si="92"/>
        <v>0</v>
      </c>
      <c r="BI84" s="171">
        <f t="shared" si="92"/>
        <v>0</v>
      </c>
      <c r="BJ84" s="171">
        <f t="shared" si="92"/>
        <v>0</v>
      </c>
      <c r="BK84" s="171">
        <f t="shared" si="92"/>
        <v>0</v>
      </c>
      <c r="BL84" s="171">
        <f t="shared" si="92"/>
        <v>0</v>
      </c>
      <c r="BM84" s="171">
        <f t="shared" si="92"/>
        <v>0</v>
      </c>
      <c r="BN84" s="171">
        <f t="shared" si="92"/>
        <v>0</v>
      </c>
      <c r="BO84" s="171">
        <f t="shared" si="93"/>
        <v>0</v>
      </c>
      <c r="BP84" s="171">
        <f t="shared" si="93"/>
        <v>0</v>
      </c>
      <c r="BQ84" s="171">
        <f t="shared" si="93"/>
        <v>0</v>
      </c>
      <c r="BR84" s="171">
        <f t="shared" si="93"/>
        <v>0</v>
      </c>
      <c r="BS84" s="171">
        <f t="shared" si="93"/>
        <v>0</v>
      </c>
      <c r="BT84" s="171">
        <f t="shared" si="93"/>
        <v>0</v>
      </c>
      <c r="BU84" s="171">
        <f t="shared" si="93"/>
        <v>0</v>
      </c>
      <c r="BV84" s="171">
        <f t="shared" si="93"/>
        <v>0</v>
      </c>
      <c r="BW84" s="171">
        <f t="shared" si="93"/>
        <v>0</v>
      </c>
      <c r="BX84" s="171">
        <f t="shared" si="93"/>
        <v>0</v>
      </c>
      <c r="BY84" s="171">
        <f t="shared" si="94"/>
        <v>0</v>
      </c>
      <c r="BZ84" s="171">
        <f t="shared" si="94"/>
        <v>0</v>
      </c>
      <c r="CA84" s="171">
        <f t="shared" si="94"/>
        <v>0</v>
      </c>
      <c r="CB84" s="171">
        <f t="shared" si="94"/>
        <v>0</v>
      </c>
      <c r="CC84" s="171">
        <f t="shared" si="94"/>
        <v>0</v>
      </c>
      <c r="CD84" s="171">
        <f t="shared" si="94"/>
        <v>0</v>
      </c>
      <c r="CE84" s="171">
        <f t="shared" si="94"/>
        <v>0</v>
      </c>
      <c r="CF84" s="171">
        <f t="shared" si="94"/>
        <v>0</v>
      </c>
      <c r="CG84" s="171">
        <f t="shared" si="94"/>
        <v>0</v>
      </c>
      <c r="CH84" s="171">
        <f t="shared" si="94"/>
        <v>0</v>
      </c>
      <c r="CI84" s="171">
        <f t="shared" si="94"/>
        <v>0</v>
      </c>
      <c r="CJ84" s="243"/>
      <c r="CK84" s="171">
        <f t="shared" si="16"/>
        <v>4.26683970128936</v>
      </c>
      <c r="CL84" s="171">
        <f t="shared" si="17"/>
        <v>4.26683970128936</v>
      </c>
      <c r="CM84" s="171">
        <f t="shared" si="18"/>
        <v>4.26683970128936</v>
      </c>
      <c r="CN84" s="171">
        <f t="shared" si="19"/>
        <v>4.26683970128936</v>
      </c>
      <c r="CO84" s="171">
        <f t="shared" si="20"/>
        <v>4.26683970128936</v>
      </c>
      <c r="CP84" s="171">
        <f t="shared" si="21"/>
        <v>4.26683970128936</v>
      </c>
      <c r="CQ84" s="171">
        <f t="shared" si="22"/>
        <v>4.26683970128936</v>
      </c>
      <c r="CR84" s="171">
        <f t="shared" si="23"/>
        <v>4.26683970128936</v>
      </c>
      <c r="CS84" s="171">
        <f t="shared" si="24"/>
        <v>4.26683970128936</v>
      </c>
      <c r="CT84" s="171">
        <f t="shared" si="25"/>
        <v>4.26683970128936</v>
      </c>
      <c r="CU84" s="171">
        <f t="shared" si="26"/>
        <v>4.26683970128936</v>
      </c>
      <c r="CV84" s="171">
        <f t="shared" si="27"/>
        <v>4.26683970128936</v>
      </c>
      <c r="CW84" s="171">
        <f t="shared" si="28"/>
        <v>4.26683970128936</v>
      </c>
      <c r="CX84" s="171">
        <f t="shared" si="29"/>
        <v>4.26683970128936</v>
      </c>
      <c r="CY84" s="171">
        <f t="shared" ca="1" si="30"/>
        <v>4.0507975310429547</v>
      </c>
      <c r="CZ84" s="171">
        <f t="shared" ca="1" si="31"/>
        <v>3.8456941873267967</v>
      </c>
      <c r="DA84" s="171">
        <f t="shared" ca="1" si="32"/>
        <v>3.6509758063941811</v>
      </c>
      <c r="DB84" s="171">
        <f t="shared" ca="1" si="33"/>
        <v>3.4661165681874659</v>
      </c>
      <c r="DC84" s="171">
        <f t="shared" ca="1" si="34"/>
        <v>3.2906172764067221</v>
      </c>
      <c r="DD84" s="171">
        <f t="shared" ca="1" si="35"/>
        <v>3.1240040104735303</v>
      </c>
      <c r="DE84" s="171">
        <f t="shared" ca="1" si="36"/>
        <v>2.9658268457496653</v>
      </c>
      <c r="DF84" s="171">
        <f t="shared" ca="1" si="37"/>
        <v>2.8156586385547269</v>
      </c>
      <c r="DG84" s="171">
        <f t="shared" ca="1" si="38"/>
        <v>2.6730938727017741</v>
      </c>
      <c r="DH84" s="171">
        <f t="shared" ca="1" si="39"/>
        <v>2.5377475644361152</v>
      </c>
      <c r="DI84" s="171">
        <f t="shared" ca="1" si="40"/>
        <v>2.4092542228201568</v>
      </c>
      <c r="DJ84" s="171">
        <f t="shared" ca="1" si="41"/>
        <v>2.2872668627569004</v>
      </c>
      <c r="DK84" s="171">
        <f t="shared" ca="1" si="42"/>
        <v>0</v>
      </c>
      <c r="DL84" s="171">
        <f t="shared" ca="1" si="43"/>
        <v>0</v>
      </c>
      <c r="DM84" s="171">
        <f t="shared" ca="1" si="44"/>
        <v>0</v>
      </c>
      <c r="DN84" s="171">
        <f t="shared" ca="1" si="45"/>
        <v>0</v>
      </c>
      <c r="DO84" s="171">
        <f t="shared" ca="1" si="46"/>
        <v>0</v>
      </c>
      <c r="DP84" s="171">
        <f t="shared" ca="1" si="47"/>
        <v>0</v>
      </c>
      <c r="DQ84" s="171">
        <f t="shared" ca="1" si="48"/>
        <v>0</v>
      </c>
      <c r="DR84" s="171">
        <f t="shared" ca="1" si="49"/>
        <v>0</v>
      </c>
      <c r="DS84" s="171">
        <f t="shared" ca="1" si="50"/>
        <v>0</v>
      </c>
      <c r="DT84" s="171">
        <f t="shared" ca="1" si="51"/>
        <v>0</v>
      </c>
      <c r="DU84" s="171">
        <f t="shared" ca="1" si="52"/>
        <v>0</v>
      </c>
      <c r="DV84" s="171">
        <f t="shared" ca="1" si="53"/>
        <v>0</v>
      </c>
      <c r="DW84" s="171">
        <f t="shared" ca="1" si="54"/>
        <v>0</v>
      </c>
      <c r="DX84" s="171">
        <f t="shared" ca="1" si="55"/>
        <v>0</v>
      </c>
      <c r="DY84" s="171">
        <f t="shared" ca="1" si="56"/>
        <v>0</v>
      </c>
      <c r="DZ84" s="171">
        <f t="shared" ca="1" si="57"/>
        <v>0</v>
      </c>
      <c r="EA84" s="171">
        <f t="shared" ca="1" si="58"/>
        <v>0</v>
      </c>
      <c r="EB84" s="171">
        <f t="shared" ca="1" si="59"/>
        <v>0</v>
      </c>
      <c r="EC84" s="171">
        <f t="shared" ca="1" si="60"/>
        <v>0</v>
      </c>
      <c r="ED84" s="171">
        <f t="shared" ca="1" si="61"/>
        <v>0</v>
      </c>
      <c r="EE84" s="171">
        <f t="shared" ca="1" si="62"/>
        <v>0</v>
      </c>
      <c r="EF84" s="171">
        <f t="shared" ca="1" si="63"/>
        <v>0</v>
      </c>
      <c r="EG84" s="171">
        <f t="shared" ca="1" si="64"/>
        <v>0</v>
      </c>
      <c r="EH84" s="171">
        <f t="shared" ca="1" si="65"/>
        <v>0</v>
      </c>
      <c r="EI84" s="171">
        <f t="shared" ca="1" si="66"/>
        <v>0</v>
      </c>
      <c r="EJ84" s="171">
        <f t="shared" ca="1" si="67"/>
        <v>0</v>
      </c>
      <c r="EK84" s="171">
        <f t="shared" ca="1" si="68"/>
        <v>0</v>
      </c>
      <c r="EL84" s="171">
        <f t="shared" ca="1" si="69"/>
        <v>0</v>
      </c>
      <c r="EM84" s="171">
        <f t="shared" ca="1" si="70"/>
        <v>0</v>
      </c>
      <c r="EN84" s="171">
        <f t="shared" ca="1" si="71"/>
        <v>0</v>
      </c>
      <c r="EO84" s="171">
        <f t="shared" ca="1" si="72"/>
        <v>0</v>
      </c>
      <c r="EP84" s="171">
        <f t="shared" ca="1" si="73"/>
        <v>0</v>
      </c>
      <c r="EQ84" s="171">
        <f t="shared" ca="1" si="74"/>
        <v>0</v>
      </c>
      <c r="ER84" s="171">
        <f t="shared" ca="1" si="75"/>
        <v>0</v>
      </c>
      <c r="ES84" s="171">
        <f t="shared" ca="1" si="76"/>
        <v>0</v>
      </c>
    </row>
    <row r="85" spans="1:149">
      <c r="A85" s="139" t="s">
        <v>451</v>
      </c>
      <c r="B85" s="160" t="s">
        <v>452</v>
      </c>
      <c r="C85" s="160" t="s">
        <v>105</v>
      </c>
      <c r="D85" s="160" t="s">
        <v>428</v>
      </c>
      <c r="E85" s="160">
        <v>2012</v>
      </c>
      <c r="F85" s="160" t="s">
        <v>395</v>
      </c>
      <c r="G85" s="160" t="s">
        <v>402</v>
      </c>
      <c r="H85" s="160" t="s">
        <v>396</v>
      </c>
      <c r="I85" s="194" t="s">
        <v>176</v>
      </c>
      <c r="J85" s="160" t="s">
        <v>438</v>
      </c>
      <c r="K85" s="187">
        <v>19.8</v>
      </c>
      <c r="L85" s="163" t="s">
        <v>110</v>
      </c>
      <c r="M85" s="164">
        <f t="shared" si="0"/>
        <v>19.8</v>
      </c>
      <c r="N85" s="164">
        <f t="shared" si="1"/>
        <v>19.8</v>
      </c>
      <c r="O85" s="165">
        <f t="shared" si="2"/>
        <v>1</v>
      </c>
      <c r="P85" s="180">
        <v>2.6897446266474841E-2</v>
      </c>
      <c r="Q85" s="183">
        <v>19.158759716231955</v>
      </c>
      <c r="R85" s="168">
        <f t="shared" si="95"/>
        <v>7.1587597162319554</v>
      </c>
      <c r="S85" s="183">
        <v>6.1170318199528131</v>
      </c>
      <c r="T85" s="170" t="s">
        <v>403</v>
      </c>
      <c r="U85" s="171">
        <f t="shared" si="4"/>
        <v>1.3560760356929655</v>
      </c>
      <c r="V85" s="171">
        <f t="shared" ca="1" si="5"/>
        <v>1.2110693415652436</v>
      </c>
      <c r="W85" s="171">
        <f t="shared" ca="1" si="6"/>
        <v>23.202586514743746</v>
      </c>
      <c r="X85" s="172">
        <f t="shared" si="7"/>
        <v>0.2352820549490191</v>
      </c>
      <c r="Y85" s="172">
        <f t="shared" si="8"/>
        <v>0.7647179450509809</v>
      </c>
      <c r="Z85" s="173">
        <f t="shared" si="9"/>
        <v>25.980734924781917</v>
      </c>
      <c r="AA85" s="171">
        <f t="shared" si="89"/>
        <v>0</v>
      </c>
      <c r="AB85" s="171">
        <f t="shared" si="89"/>
        <v>0</v>
      </c>
      <c r="AC85" s="171">
        <f t="shared" si="89"/>
        <v>0.53256943607620189</v>
      </c>
      <c r="AD85" s="171">
        <f t="shared" si="89"/>
        <v>0.53256943607620189</v>
      </c>
      <c r="AE85" s="171">
        <f t="shared" si="89"/>
        <v>0.53256943607620189</v>
      </c>
      <c r="AF85" s="171">
        <f t="shared" si="89"/>
        <v>0.53256943607620189</v>
      </c>
      <c r="AG85" s="171">
        <f t="shared" si="89"/>
        <v>0.53256943607620189</v>
      </c>
      <c r="AH85" s="171">
        <f t="shared" si="89"/>
        <v>0.53256943607620189</v>
      </c>
      <c r="AI85" s="171">
        <f t="shared" si="89"/>
        <v>0.53256943607620189</v>
      </c>
      <c r="AJ85" s="171">
        <f t="shared" si="89"/>
        <v>1.7117499132498846</v>
      </c>
      <c r="AK85" s="171">
        <f t="shared" si="90"/>
        <v>1.7117499132498846</v>
      </c>
      <c r="AL85" s="171">
        <f t="shared" si="90"/>
        <v>1.7117499132498846</v>
      </c>
      <c r="AM85" s="171">
        <f t="shared" si="90"/>
        <v>1.7117499132498846</v>
      </c>
      <c r="AN85" s="171">
        <f t="shared" si="90"/>
        <v>1.7117499132498846</v>
      </c>
      <c r="AO85" s="171">
        <f t="shared" si="90"/>
        <v>1.7117499132498846</v>
      </c>
      <c r="AP85" s="171">
        <f t="shared" si="90"/>
        <v>1.7117499132498846</v>
      </c>
      <c r="AQ85" s="171">
        <f t="shared" si="90"/>
        <v>1.7117499132498846</v>
      </c>
      <c r="AR85" s="171">
        <f t="shared" si="90"/>
        <v>1.7117499132498846</v>
      </c>
      <c r="AS85" s="171">
        <f t="shared" si="90"/>
        <v>1.7117499132498846</v>
      </c>
      <c r="AT85" s="171">
        <f t="shared" si="90"/>
        <v>1.7117499132498846</v>
      </c>
      <c r="AU85" s="171">
        <f t="shared" si="91"/>
        <v>1.7117499132498846</v>
      </c>
      <c r="AV85" s="171">
        <f t="shared" si="91"/>
        <v>1.7117499132498846</v>
      </c>
      <c r="AW85" s="171">
        <f t="shared" si="91"/>
        <v>0</v>
      </c>
      <c r="AX85" s="171">
        <f t="shared" si="91"/>
        <v>0</v>
      </c>
      <c r="AY85" s="171">
        <f t="shared" si="91"/>
        <v>0</v>
      </c>
      <c r="AZ85" s="171">
        <f t="shared" si="91"/>
        <v>0</v>
      </c>
      <c r="BA85" s="171">
        <f t="shared" si="91"/>
        <v>0</v>
      </c>
      <c r="BB85" s="171">
        <f t="shared" si="91"/>
        <v>0</v>
      </c>
      <c r="BC85" s="171">
        <f t="shared" si="91"/>
        <v>0</v>
      </c>
      <c r="BD85" s="171">
        <f t="shared" si="91"/>
        <v>0</v>
      </c>
      <c r="BE85" s="171">
        <f t="shared" si="92"/>
        <v>0</v>
      </c>
      <c r="BF85" s="171">
        <f t="shared" si="92"/>
        <v>0</v>
      </c>
      <c r="BG85" s="171">
        <f t="shared" si="92"/>
        <v>0</v>
      </c>
      <c r="BH85" s="171">
        <f t="shared" si="92"/>
        <v>0</v>
      </c>
      <c r="BI85" s="171">
        <f t="shared" si="92"/>
        <v>0</v>
      </c>
      <c r="BJ85" s="171">
        <f t="shared" si="92"/>
        <v>0</v>
      </c>
      <c r="BK85" s="171">
        <f t="shared" si="92"/>
        <v>0</v>
      </c>
      <c r="BL85" s="171">
        <f t="shared" si="92"/>
        <v>0</v>
      </c>
      <c r="BM85" s="171">
        <f t="shared" si="92"/>
        <v>0</v>
      </c>
      <c r="BN85" s="171">
        <f t="shared" si="92"/>
        <v>0</v>
      </c>
      <c r="BO85" s="171">
        <f t="shared" si="93"/>
        <v>0</v>
      </c>
      <c r="BP85" s="171">
        <f t="shared" si="93"/>
        <v>0</v>
      </c>
      <c r="BQ85" s="171">
        <f t="shared" si="93"/>
        <v>0</v>
      </c>
      <c r="BR85" s="171">
        <f t="shared" si="93"/>
        <v>0</v>
      </c>
      <c r="BS85" s="171">
        <f t="shared" si="93"/>
        <v>0</v>
      </c>
      <c r="BT85" s="171">
        <f t="shared" si="93"/>
        <v>0</v>
      </c>
      <c r="BU85" s="171">
        <f t="shared" si="93"/>
        <v>0</v>
      </c>
      <c r="BV85" s="171">
        <f t="shared" si="93"/>
        <v>0</v>
      </c>
      <c r="BW85" s="171">
        <f t="shared" si="93"/>
        <v>0</v>
      </c>
      <c r="BX85" s="171">
        <f t="shared" si="93"/>
        <v>0</v>
      </c>
      <c r="BY85" s="171">
        <f t="shared" si="94"/>
        <v>0</v>
      </c>
      <c r="BZ85" s="171">
        <f t="shared" si="94"/>
        <v>0</v>
      </c>
      <c r="CA85" s="171">
        <f t="shared" si="94"/>
        <v>0</v>
      </c>
      <c r="CB85" s="171">
        <f t="shared" si="94"/>
        <v>0</v>
      </c>
      <c r="CC85" s="171">
        <f t="shared" si="94"/>
        <v>0</v>
      </c>
      <c r="CD85" s="171">
        <f t="shared" si="94"/>
        <v>0</v>
      </c>
      <c r="CE85" s="171">
        <f t="shared" si="94"/>
        <v>0</v>
      </c>
      <c r="CF85" s="171">
        <f t="shared" si="94"/>
        <v>0</v>
      </c>
      <c r="CG85" s="171">
        <f t="shared" si="94"/>
        <v>0</v>
      </c>
      <c r="CH85" s="171">
        <f t="shared" si="94"/>
        <v>0</v>
      </c>
      <c r="CI85" s="171">
        <f t="shared" si="94"/>
        <v>0</v>
      </c>
      <c r="CJ85" s="243"/>
      <c r="CK85" s="171">
        <f t="shared" si="16"/>
        <v>0</v>
      </c>
      <c r="CL85" s="171">
        <f t="shared" si="17"/>
        <v>0</v>
      </c>
      <c r="CM85" s="171">
        <f t="shared" si="18"/>
        <v>0.53256943607620189</v>
      </c>
      <c r="CN85" s="171">
        <f t="shared" si="19"/>
        <v>0.53256943607620189</v>
      </c>
      <c r="CO85" s="171">
        <f t="shared" si="20"/>
        <v>0.53256943607620189</v>
      </c>
      <c r="CP85" s="171">
        <f t="shared" si="21"/>
        <v>0.53256943607620189</v>
      </c>
      <c r="CQ85" s="171">
        <f t="shared" si="22"/>
        <v>0.53256943607620189</v>
      </c>
      <c r="CR85" s="171">
        <f t="shared" si="23"/>
        <v>0.53256943607620189</v>
      </c>
      <c r="CS85" s="171">
        <f t="shared" si="24"/>
        <v>0.53256943607620189</v>
      </c>
      <c r="CT85" s="171">
        <f t="shared" si="25"/>
        <v>1.7117499132498846</v>
      </c>
      <c r="CU85" s="171">
        <f t="shared" si="26"/>
        <v>1.7117499132498846</v>
      </c>
      <c r="CV85" s="171">
        <f t="shared" si="27"/>
        <v>1.7117499132498846</v>
      </c>
      <c r="CW85" s="171">
        <f t="shared" si="28"/>
        <v>1.7117499132498846</v>
      </c>
      <c r="CX85" s="171">
        <f t="shared" si="29"/>
        <v>1.7117499132498846</v>
      </c>
      <c r="CY85" s="171">
        <f t="shared" ca="1" si="30"/>
        <v>1.6250791704830889</v>
      </c>
      <c r="CZ85" s="171">
        <f t="shared" ca="1" si="31"/>
        <v>1.5427968127213705</v>
      </c>
      <c r="DA85" s="171">
        <f t="shared" ca="1" si="32"/>
        <v>1.4646806436117501</v>
      </c>
      <c r="DB85" s="171">
        <f t="shared" ca="1" si="33"/>
        <v>1.3905197172314681</v>
      </c>
      <c r="DC85" s="171">
        <f t="shared" ca="1" si="34"/>
        <v>1.3201137684468616</v>
      </c>
      <c r="DD85" s="171">
        <f t="shared" ca="1" si="35"/>
        <v>1.2532726721147827</v>
      </c>
      <c r="DE85" s="171">
        <f t="shared" ca="1" si="36"/>
        <v>1.1898159296661805</v>
      </c>
      <c r="DF85" s="171">
        <f t="shared" ca="1" si="37"/>
        <v>1.1295721816854092</v>
      </c>
      <c r="DG85" s="171">
        <f t="shared" ca="1" si="38"/>
        <v>0</v>
      </c>
      <c r="DH85" s="171">
        <f t="shared" ca="1" si="39"/>
        <v>0</v>
      </c>
      <c r="DI85" s="171">
        <f t="shared" ca="1" si="40"/>
        <v>0</v>
      </c>
      <c r="DJ85" s="171">
        <f t="shared" ca="1" si="41"/>
        <v>0</v>
      </c>
      <c r="DK85" s="171">
        <f t="shared" ca="1" si="42"/>
        <v>0</v>
      </c>
      <c r="DL85" s="171">
        <f t="shared" ca="1" si="43"/>
        <v>0</v>
      </c>
      <c r="DM85" s="171">
        <f t="shared" ca="1" si="44"/>
        <v>0</v>
      </c>
      <c r="DN85" s="171">
        <f t="shared" ca="1" si="45"/>
        <v>0</v>
      </c>
      <c r="DO85" s="171">
        <f t="shared" ca="1" si="46"/>
        <v>0</v>
      </c>
      <c r="DP85" s="171">
        <f t="shared" ca="1" si="47"/>
        <v>0</v>
      </c>
      <c r="DQ85" s="171">
        <f t="shared" ca="1" si="48"/>
        <v>0</v>
      </c>
      <c r="DR85" s="171">
        <f t="shared" ca="1" si="49"/>
        <v>0</v>
      </c>
      <c r="DS85" s="171">
        <f t="shared" ca="1" si="50"/>
        <v>0</v>
      </c>
      <c r="DT85" s="171">
        <f t="shared" ca="1" si="51"/>
        <v>0</v>
      </c>
      <c r="DU85" s="171">
        <f t="shared" ca="1" si="52"/>
        <v>0</v>
      </c>
      <c r="DV85" s="171">
        <f t="shared" ca="1" si="53"/>
        <v>0</v>
      </c>
      <c r="DW85" s="171">
        <f t="shared" ca="1" si="54"/>
        <v>0</v>
      </c>
      <c r="DX85" s="171">
        <f t="shared" ca="1" si="55"/>
        <v>0</v>
      </c>
      <c r="DY85" s="171">
        <f t="shared" ca="1" si="56"/>
        <v>0</v>
      </c>
      <c r="DZ85" s="171">
        <f t="shared" ca="1" si="57"/>
        <v>0</v>
      </c>
      <c r="EA85" s="171">
        <f t="shared" ca="1" si="58"/>
        <v>0</v>
      </c>
      <c r="EB85" s="171">
        <f t="shared" ca="1" si="59"/>
        <v>0</v>
      </c>
      <c r="EC85" s="171">
        <f t="shared" ca="1" si="60"/>
        <v>0</v>
      </c>
      <c r="ED85" s="171">
        <f t="shared" ca="1" si="61"/>
        <v>0</v>
      </c>
      <c r="EE85" s="171">
        <f t="shared" ca="1" si="62"/>
        <v>0</v>
      </c>
      <c r="EF85" s="171">
        <f t="shared" ca="1" si="63"/>
        <v>0</v>
      </c>
      <c r="EG85" s="171">
        <f t="shared" ca="1" si="64"/>
        <v>0</v>
      </c>
      <c r="EH85" s="171">
        <f t="shared" ca="1" si="65"/>
        <v>0</v>
      </c>
      <c r="EI85" s="171">
        <f t="shared" ca="1" si="66"/>
        <v>0</v>
      </c>
      <c r="EJ85" s="171">
        <f t="shared" ca="1" si="67"/>
        <v>0</v>
      </c>
      <c r="EK85" s="171">
        <f t="shared" ca="1" si="68"/>
        <v>0</v>
      </c>
      <c r="EL85" s="171">
        <f t="shared" ca="1" si="69"/>
        <v>0</v>
      </c>
      <c r="EM85" s="171">
        <f t="shared" ca="1" si="70"/>
        <v>0</v>
      </c>
      <c r="EN85" s="171">
        <f t="shared" ca="1" si="71"/>
        <v>0</v>
      </c>
      <c r="EO85" s="171">
        <f t="shared" ca="1" si="72"/>
        <v>0</v>
      </c>
      <c r="EP85" s="171">
        <f t="shared" ca="1" si="73"/>
        <v>0</v>
      </c>
      <c r="EQ85" s="171">
        <f t="shared" ca="1" si="74"/>
        <v>0</v>
      </c>
      <c r="ER85" s="171">
        <f t="shared" ca="1" si="75"/>
        <v>0</v>
      </c>
      <c r="ES85" s="171">
        <f t="shared" ca="1" si="76"/>
        <v>0</v>
      </c>
    </row>
    <row r="86" spans="1:149">
      <c r="A86" s="139" t="s">
        <v>453</v>
      </c>
      <c r="B86" s="160" t="s">
        <v>437</v>
      </c>
      <c r="C86" s="160" t="s">
        <v>105</v>
      </c>
      <c r="D86" s="160" t="s">
        <v>428</v>
      </c>
      <c r="E86" s="160">
        <v>2017</v>
      </c>
      <c r="F86" s="194" t="s">
        <v>395</v>
      </c>
      <c r="G86" s="194" t="s">
        <v>402</v>
      </c>
      <c r="H86" s="194" t="s">
        <v>396</v>
      </c>
      <c r="I86" s="194" t="s">
        <v>176</v>
      </c>
      <c r="J86" s="194" t="s">
        <v>438</v>
      </c>
      <c r="K86" s="187">
        <v>85.157908000000006</v>
      </c>
      <c r="L86" s="163" t="s">
        <v>110</v>
      </c>
      <c r="M86" s="164">
        <f t="shared" si="0"/>
        <v>85.157908000000006</v>
      </c>
      <c r="N86" s="164">
        <f t="shared" si="1"/>
        <v>85.157908000000006</v>
      </c>
      <c r="O86" s="165">
        <f t="shared" si="2"/>
        <v>1</v>
      </c>
      <c r="P86" s="180">
        <v>2.6897446266474799E-2</v>
      </c>
      <c r="Q86" s="183">
        <v>19.158759716231955</v>
      </c>
      <c r="R86" s="168">
        <f t="shared" si="95"/>
        <v>12.158759716231955</v>
      </c>
      <c r="S86" s="183">
        <v>6.1170318199528131</v>
      </c>
      <c r="T86" s="170" t="s">
        <v>403</v>
      </c>
      <c r="U86" s="171">
        <f t="shared" si="4"/>
        <v>5.832353448916475</v>
      </c>
      <c r="V86" s="171">
        <f t="shared" ca="1" si="5"/>
        <v>4.3751646551501935</v>
      </c>
      <c r="W86" s="171">
        <f t="shared" ca="1" si="6"/>
        <v>83.822728346973406</v>
      </c>
      <c r="X86" s="172">
        <f t="shared" si="7"/>
        <v>0.23528205494901888</v>
      </c>
      <c r="Y86" s="172">
        <f t="shared" si="8"/>
        <v>0.76471794505098112</v>
      </c>
      <c r="Z86" s="173">
        <f t="shared" si="9"/>
        <v>111.74065830792748</v>
      </c>
      <c r="AA86" s="171">
        <f t="shared" si="89"/>
        <v>0</v>
      </c>
      <c r="AB86" s="171">
        <f t="shared" si="89"/>
        <v>0</v>
      </c>
      <c r="AC86" s="171">
        <f t="shared" si="89"/>
        <v>0</v>
      </c>
      <c r="AD86" s="171">
        <f t="shared" si="89"/>
        <v>0</v>
      </c>
      <c r="AE86" s="171">
        <f t="shared" si="89"/>
        <v>0</v>
      </c>
      <c r="AF86" s="171">
        <f t="shared" si="89"/>
        <v>0</v>
      </c>
      <c r="AG86" s="171">
        <f t="shared" si="89"/>
        <v>0</v>
      </c>
      <c r="AH86" s="171">
        <f t="shared" si="89"/>
        <v>2.2905302545954047</v>
      </c>
      <c r="AI86" s="171">
        <f t="shared" si="89"/>
        <v>2.2905302545954047</v>
      </c>
      <c r="AJ86" s="171">
        <f t="shared" si="89"/>
        <v>2.2905302545954047</v>
      </c>
      <c r="AK86" s="171">
        <f t="shared" si="90"/>
        <v>2.2905302545954047</v>
      </c>
      <c r="AL86" s="171">
        <f t="shared" si="90"/>
        <v>2.2905302545954047</v>
      </c>
      <c r="AM86" s="171">
        <f t="shared" si="90"/>
        <v>2.2905302545954047</v>
      </c>
      <c r="AN86" s="171">
        <f t="shared" si="90"/>
        <v>2.2905302545954047</v>
      </c>
      <c r="AO86" s="171">
        <f t="shared" si="90"/>
        <v>7.3620728096738173</v>
      </c>
      <c r="AP86" s="171">
        <f t="shared" si="90"/>
        <v>7.3620728096738173</v>
      </c>
      <c r="AQ86" s="171">
        <f t="shared" si="90"/>
        <v>7.3620728096738173</v>
      </c>
      <c r="AR86" s="171">
        <f t="shared" si="90"/>
        <v>7.3620728096738173</v>
      </c>
      <c r="AS86" s="171">
        <f t="shared" si="90"/>
        <v>7.3620728096738173</v>
      </c>
      <c r="AT86" s="171">
        <f t="shared" si="90"/>
        <v>7.3620728096738173</v>
      </c>
      <c r="AU86" s="171">
        <f t="shared" si="91"/>
        <v>7.3620728096738173</v>
      </c>
      <c r="AV86" s="171">
        <f t="shared" si="91"/>
        <v>7.3620728096738173</v>
      </c>
      <c r="AW86" s="171">
        <f t="shared" si="91"/>
        <v>7.3620728096738173</v>
      </c>
      <c r="AX86" s="171">
        <f t="shared" si="91"/>
        <v>7.3620728096738173</v>
      </c>
      <c r="AY86" s="171">
        <f t="shared" si="91"/>
        <v>7.3620728096738173</v>
      </c>
      <c r="AZ86" s="171">
        <f t="shared" si="91"/>
        <v>7.3620728096738173</v>
      </c>
      <c r="BA86" s="171">
        <f t="shared" si="91"/>
        <v>7.3620728096738173</v>
      </c>
      <c r="BB86" s="171">
        <f t="shared" si="91"/>
        <v>0</v>
      </c>
      <c r="BC86" s="171">
        <f t="shared" si="91"/>
        <v>0</v>
      </c>
      <c r="BD86" s="171">
        <f t="shared" si="91"/>
        <v>0</v>
      </c>
      <c r="BE86" s="171">
        <f t="shared" si="92"/>
        <v>0</v>
      </c>
      <c r="BF86" s="171">
        <f t="shared" si="92"/>
        <v>0</v>
      </c>
      <c r="BG86" s="171">
        <f t="shared" si="92"/>
        <v>0</v>
      </c>
      <c r="BH86" s="171">
        <f t="shared" si="92"/>
        <v>0</v>
      </c>
      <c r="BI86" s="171">
        <f t="shared" si="92"/>
        <v>0</v>
      </c>
      <c r="BJ86" s="171">
        <f t="shared" si="92"/>
        <v>0</v>
      </c>
      <c r="BK86" s="171">
        <f t="shared" si="92"/>
        <v>0</v>
      </c>
      <c r="BL86" s="171">
        <f t="shared" si="92"/>
        <v>0</v>
      </c>
      <c r="BM86" s="171">
        <f t="shared" si="92"/>
        <v>0</v>
      </c>
      <c r="BN86" s="171">
        <f t="shared" si="92"/>
        <v>0</v>
      </c>
      <c r="BO86" s="171">
        <f t="shared" si="93"/>
        <v>0</v>
      </c>
      <c r="BP86" s="171">
        <f t="shared" si="93"/>
        <v>0</v>
      </c>
      <c r="BQ86" s="171">
        <f t="shared" si="93"/>
        <v>0</v>
      </c>
      <c r="BR86" s="171">
        <f t="shared" si="93"/>
        <v>0</v>
      </c>
      <c r="BS86" s="171">
        <f t="shared" si="93"/>
        <v>0</v>
      </c>
      <c r="BT86" s="171">
        <f t="shared" si="93"/>
        <v>0</v>
      </c>
      <c r="BU86" s="171">
        <f t="shared" si="93"/>
        <v>0</v>
      </c>
      <c r="BV86" s="171">
        <f t="shared" si="93"/>
        <v>0</v>
      </c>
      <c r="BW86" s="171">
        <f t="shared" si="93"/>
        <v>0</v>
      </c>
      <c r="BX86" s="171">
        <f t="shared" si="93"/>
        <v>0</v>
      </c>
      <c r="BY86" s="171">
        <f t="shared" si="94"/>
        <v>0</v>
      </c>
      <c r="BZ86" s="171">
        <f t="shared" si="94"/>
        <v>0</v>
      </c>
      <c r="CA86" s="171">
        <f t="shared" si="94"/>
        <v>0</v>
      </c>
      <c r="CB86" s="171">
        <f t="shared" si="94"/>
        <v>0</v>
      </c>
      <c r="CC86" s="171">
        <f t="shared" si="94"/>
        <v>0</v>
      </c>
      <c r="CD86" s="171">
        <f t="shared" si="94"/>
        <v>0</v>
      </c>
      <c r="CE86" s="171">
        <f t="shared" si="94"/>
        <v>0</v>
      </c>
      <c r="CF86" s="171">
        <f t="shared" si="94"/>
        <v>0</v>
      </c>
      <c r="CG86" s="171">
        <f t="shared" si="94"/>
        <v>0</v>
      </c>
      <c r="CH86" s="171">
        <f t="shared" si="94"/>
        <v>0</v>
      </c>
      <c r="CI86" s="171">
        <f t="shared" si="94"/>
        <v>0</v>
      </c>
      <c r="CJ86" s="243"/>
      <c r="CK86" s="171">
        <f t="shared" si="16"/>
        <v>0</v>
      </c>
      <c r="CL86" s="171">
        <f t="shared" si="17"/>
        <v>0</v>
      </c>
      <c r="CM86" s="171">
        <f t="shared" si="18"/>
        <v>0</v>
      </c>
      <c r="CN86" s="171">
        <f t="shared" si="19"/>
        <v>0</v>
      </c>
      <c r="CO86" s="171">
        <f t="shared" si="20"/>
        <v>0</v>
      </c>
      <c r="CP86" s="171">
        <f t="shared" si="21"/>
        <v>0</v>
      </c>
      <c r="CQ86" s="171">
        <f t="shared" si="22"/>
        <v>0</v>
      </c>
      <c r="CR86" s="171">
        <f t="shared" si="23"/>
        <v>2.2905302545954047</v>
      </c>
      <c r="CS86" s="171">
        <f t="shared" si="24"/>
        <v>2.2905302545954047</v>
      </c>
      <c r="CT86" s="171">
        <f t="shared" si="25"/>
        <v>2.2905302545954047</v>
      </c>
      <c r="CU86" s="171">
        <f t="shared" si="26"/>
        <v>2.2905302545954047</v>
      </c>
      <c r="CV86" s="171">
        <f t="shared" si="27"/>
        <v>2.2905302545954047</v>
      </c>
      <c r="CW86" s="171">
        <f t="shared" si="28"/>
        <v>2.2905302545954047</v>
      </c>
      <c r="CX86" s="171">
        <f t="shared" si="29"/>
        <v>2.2905302545954047</v>
      </c>
      <c r="CY86" s="171">
        <f t="shared" ca="1" si="30"/>
        <v>6.9893102269048049</v>
      </c>
      <c r="CZ86" s="171">
        <f t="shared" ca="1" si="31"/>
        <v>6.6354216687080623</v>
      </c>
      <c r="DA86" s="171">
        <f t="shared" ca="1" si="32"/>
        <v>6.2994514898015224</v>
      </c>
      <c r="DB86" s="171">
        <f t="shared" ca="1" si="33"/>
        <v>5.9804924319284503</v>
      </c>
      <c r="DC86" s="171">
        <f t="shared" ca="1" si="34"/>
        <v>5.6776831738854083</v>
      </c>
      <c r="DD86" s="171">
        <f t="shared" ca="1" si="35"/>
        <v>5.3902060055992314</v>
      </c>
      <c r="DE86" s="171">
        <f t="shared" ca="1" si="36"/>
        <v>5.1172846199720725</v>
      </c>
      <c r="DF86" s="171">
        <f t="shared" ca="1" si="37"/>
        <v>4.8581820165315817</v>
      </c>
      <c r="DG86" s="171">
        <f t="shared" ca="1" si="38"/>
        <v>4.6121985112252117</v>
      </c>
      <c r="DH86" s="171">
        <f t="shared" ca="1" si="39"/>
        <v>4.3786698469842671</v>
      </c>
      <c r="DI86" s="171">
        <f t="shared" ca="1" si="40"/>
        <v>4.1569653999554461</v>
      </c>
      <c r="DJ86" s="171">
        <f t="shared" ca="1" si="41"/>
        <v>3.9464864765559549</v>
      </c>
      <c r="DK86" s="171">
        <f t="shared" ca="1" si="42"/>
        <v>3.7466646967535411</v>
      </c>
      <c r="DL86" s="171">
        <f t="shared" ca="1" si="43"/>
        <v>0</v>
      </c>
      <c r="DM86" s="171">
        <f t="shared" ca="1" si="44"/>
        <v>0</v>
      </c>
      <c r="DN86" s="171">
        <f t="shared" ca="1" si="45"/>
        <v>0</v>
      </c>
      <c r="DO86" s="171">
        <f t="shared" ca="1" si="46"/>
        <v>0</v>
      </c>
      <c r="DP86" s="171">
        <f t="shared" ca="1" si="47"/>
        <v>0</v>
      </c>
      <c r="DQ86" s="171">
        <f t="shared" ca="1" si="48"/>
        <v>0</v>
      </c>
      <c r="DR86" s="171">
        <f t="shared" ca="1" si="49"/>
        <v>0</v>
      </c>
      <c r="DS86" s="171">
        <f t="shared" ca="1" si="50"/>
        <v>0</v>
      </c>
      <c r="DT86" s="171">
        <f t="shared" ca="1" si="51"/>
        <v>0</v>
      </c>
      <c r="DU86" s="171">
        <f t="shared" ca="1" si="52"/>
        <v>0</v>
      </c>
      <c r="DV86" s="171">
        <f t="shared" ca="1" si="53"/>
        <v>0</v>
      </c>
      <c r="DW86" s="171">
        <f t="shared" ca="1" si="54"/>
        <v>0</v>
      </c>
      <c r="DX86" s="171">
        <f t="shared" ca="1" si="55"/>
        <v>0</v>
      </c>
      <c r="DY86" s="171">
        <f t="shared" ca="1" si="56"/>
        <v>0</v>
      </c>
      <c r="DZ86" s="171">
        <f t="shared" ca="1" si="57"/>
        <v>0</v>
      </c>
      <c r="EA86" s="171">
        <f t="shared" ca="1" si="58"/>
        <v>0</v>
      </c>
      <c r="EB86" s="171">
        <f t="shared" ca="1" si="59"/>
        <v>0</v>
      </c>
      <c r="EC86" s="171">
        <f t="shared" ca="1" si="60"/>
        <v>0</v>
      </c>
      <c r="ED86" s="171">
        <f t="shared" ca="1" si="61"/>
        <v>0</v>
      </c>
      <c r="EE86" s="171">
        <f t="shared" ca="1" si="62"/>
        <v>0</v>
      </c>
      <c r="EF86" s="171">
        <f t="shared" ca="1" si="63"/>
        <v>0</v>
      </c>
      <c r="EG86" s="171">
        <f t="shared" ca="1" si="64"/>
        <v>0</v>
      </c>
      <c r="EH86" s="171">
        <f t="shared" ca="1" si="65"/>
        <v>0</v>
      </c>
      <c r="EI86" s="171">
        <f t="shared" ca="1" si="66"/>
        <v>0</v>
      </c>
      <c r="EJ86" s="171">
        <f t="shared" ca="1" si="67"/>
        <v>0</v>
      </c>
      <c r="EK86" s="171">
        <f t="shared" ca="1" si="68"/>
        <v>0</v>
      </c>
      <c r="EL86" s="171">
        <f t="shared" ca="1" si="69"/>
        <v>0</v>
      </c>
      <c r="EM86" s="171">
        <f t="shared" ca="1" si="70"/>
        <v>0</v>
      </c>
      <c r="EN86" s="171">
        <f t="shared" ca="1" si="71"/>
        <v>0</v>
      </c>
      <c r="EO86" s="171">
        <f t="shared" ca="1" si="72"/>
        <v>0</v>
      </c>
      <c r="EP86" s="171">
        <f t="shared" ca="1" si="73"/>
        <v>0</v>
      </c>
      <c r="EQ86" s="171">
        <f t="shared" ca="1" si="74"/>
        <v>0</v>
      </c>
      <c r="ER86" s="171">
        <f t="shared" ca="1" si="75"/>
        <v>0</v>
      </c>
      <c r="ES86" s="171">
        <f t="shared" ca="1" si="76"/>
        <v>0</v>
      </c>
    </row>
    <row r="87" spans="1:149">
      <c r="A87" s="139" t="s">
        <v>453</v>
      </c>
      <c r="B87" s="160" t="s">
        <v>420</v>
      </c>
      <c r="C87" s="160" t="s">
        <v>105</v>
      </c>
      <c r="D87" s="160" t="s">
        <v>428</v>
      </c>
      <c r="E87" s="160">
        <v>2017</v>
      </c>
      <c r="F87" s="160" t="s">
        <v>400</v>
      </c>
      <c r="G87" s="160" t="s">
        <v>402</v>
      </c>
      <c r="H87" s="160" t="s">
        <v>396</v>
      </c>
      <c r="I87" s="160" t="s">
        <v>183</v>
      </c>
      <c r="J87" s="160" t="s">
        <v>401</v>
      </c>
      <c r="K87" s="187">
        <v>15.03</v>
      </c>
      <c r="L87" s="163" t="s">
        <v>110</v>
      </c>
      <c r="M87" s="164">
        <f t="shared" si="0"/>
        <v>15.03</v>
      </c>
      <c r="N87" s="164">
        <f t="shared" si="1"/>
        <v>15.03</v>
      </c>
      <c r="O87" s="165">
        <f t="shared" si="2"/>
        <v>1</v>
      </c>
      <c r="P87" s="176">
        <v>3.9E-2</v>
      </c>
      <c r="Q87" s="177">
        <v>20.8</v>
      </c>
      <c r="R87" s="168">
        <f t="shared" si="95"/>
        <v>13.8</v>
      </c>
      <c r="S87" s="181">
        <v>10.3</v>
      </c>
      <c r="T87" s="170" t="s">
        <v>403</v>
      </c>
      <c r="U87" s="171">
        <f t="shared" si="4"/>
        <v>1.1017184313705932</v>
      </c>
      <c r="V87" s="171">
        <f t="shared" ca="1" si="5"/>
        <v>0.78510946132552428</v>
      </c>
      <c r="W87" s="171">
        <f t="shared" ca="1" si="6"/>
        <v>16.330276795570907</v>
      </c>
      <c r="X87" s="172">
        <f t="shared" si="7"/>
        <v>0.25348899297841543</v>
      </c>
      <c r="Y87" s="172">
        <f t="shared" si="8"/>
        <v>0.74651100702158457</v>
      </c>
      <c r="Z87" s="173">
        <f t="shared" si="9"/>
        <v>22.915743372508341</v>
      </c>
      <c r="AA87" s="171">
        <f t="shared" si="89"/>
        <v>0</v>
      </c>
      <c r="AB87" s="171">
        <f t="shared" si="89"/>
        <v>0</v>
      </c>
      <c r="AC87" s="171">
        <f t="shared" si="89"/>
        <v>0</v>
      </c>
      <c r="AD87" s="171">
        <f t="shared" si="89"/>
        <v>0</v>
      </c>
      <c r="AE87" s="171">
        <f t="shared" si="89"/>
        <v>0</v>
      </c>
      <c r="AF87" s="171">
        <f t="shared" si="89"/>
        <v>0</v>
      </c>
      <c r="AG87" s="171">
        <f t="shared" si="89"/>
        <v>0</v>
      </c>
      <c r="AH87" s="171">
        <f t="shared" si="89"/>
        <v>0.58616999999999997</v>
      </c>
      <c r="AI87" s="171">
        <f t="shared" si="89"/>
        <v>0.58616999999999997</v>
      </c>
      <c r="AJ87" s="171">
        <f t="shared" si="89"/>
        <v>0.58616999999999997</v>
      </c>
      <c r="AK87" s="171">
        <f t="shared" si="90"/>
        <v>0.58616999999999997</v>
      </c>
      <c r="AL87" s="171">
        <f t="shared" si="90"/>
        <v>0.58616999999999997</v>
      </c>
      <c r="AM87" s="171">
        <f t="shared" si="90"/>
        <v>0.58616999999999997</v>
      </c>
      <c r="AN87" s="171">
        <f t="shared" si="90"/>
        <v>0.58616999999999997</v>
      </c>
      <c r="AO87" s="171">
        <f t="shared" si="90"/>
        <v>0.58616999999999997</v>
      </c>
      <c r="AP87" s="171">
        <f t="shared" si="90"/>
        <v>0.58616999999999997</v>
      </c>
      <c r="AQ87" s="171">
        <f t="shared" si="90"/>
        <v>0.58616999999999997</v>
      </c>
      <c r="AR87" s="171">
        <f t="shared" si="90"/>
        <v>0.58616999999999997</v>
      </c>
      <c r="AS87" s="171">
        <f t="shared" si="90"/>
        <v>1.6467873372508339</v>
      </c>
      <c r="AT87" s="171">
        <f t="shared" si="90"/>
        <v>1.6467873372508339</v>
      </c>
      <c r="AU87" s="171">
        <f t="shared" si="91"/>
        <v>1.6467873372508339</v>
      </c>
      <c r="AV87" s="171">
        <f t="shared" si="91"/>
        <v>1.6467873372508339</v>
      </c>
      <c r="AW87" s="171">
        <f t="shared" si="91"/>
        <v>1.6467873372508339</v>
      </c>
      <c r="AX87" s="171">
        <f t="shared" si="91"/>
        <v>1.6467873372508339</v>
      </c>
      <c r="AY87" s="171">
        <f t="shared" si="91"/>
        <v>1.6467873372508339</v>
      </c>
      <c r="AZ87" s="171">
        <f t="shared" si="91"/>
        <v>1.6467873372508339</v>
      </c>
      <c r="BA87" s="171">
        <f t="shared" si="91"/>
        <v>1.6467873372508339</v>
      </c>
      <c r="BB87" s="171">
        <f t="shared" si="91"/>
        <v>1.6467873372508339</v>
      </c>
      <c r="BC87" s="171">
        <f t="shared" si="91"/>
        <v>0</v>
      </c>
      <c r="BD87" s="171">
        <f t="shared" si="91"/>
        <v>0</v>
      </c>
      <c r="BE87" s="171">
        <f t="shared" si="92"/>
        <v>0</v>
      </c>
      <c r="BF87" s="171">
        <f t="shared" si="92"/>
        <v>0</v>
      </c>
      <c r="BG87" s="171">
        <f t="shared" si="92"/>
        <v>0</v>
      </c>
      <c r="BH87" s="171">
        <f t="shared" si="92"/>
        <v>0</v>
      </c>
      <c r="BI87" s="171">
        <f t="shared" si="92"/>
        <v>0</v>
      </c>
      <c r="BJ87" s="171">
        <f t="shared" si="92"/>
        <v>0</v>
      </c>
      <c r="BK87" s="171">
        <f t="shared" si="92"/>
        <v>0</v>
      </c>
      <c r="BL87" s="171">
        <f t="shared" si="92"/>
        <v>0</v>
      </c>
      <c r="BM87" s="171">
        <f t="shared" si="92"/>
        <v>0</v>
      </c>
      <c r="BN87" s="171">
        <f t="shared" si="92"/>
        <v>0</v>
      </c>
      <c r="BO87" s="171">
        <f t="shared" si="93"/>
        <v>0</v>
      </c>
      <c r="BP87" s="171">
        <f t="shared" si="93"/>
        <v>0</v>
      </c>
      <c r="BQ87" s="171">
        <f t="shared" si="93"/>
        <v>0</v>
      </c>
      <c r="BR87" s="171">
        <f t="shared" si="93"/>
        <v>0</v>
      </c>
      <c r="BS87" s="171">
        <f t="shared" si="93"/>
        <v>0</v>
      </c>
      <c r="BT87" s="171">
        <f t="shared" si="93"/>
        <v>0</v>
      </c>
      <c r="BU87" s="171">
        <f t="shared" si="93"/>
        <v>0</v>
      </c>
      <c r="BV87" s="171">
        <f t="shared" si="93"/>
        <v>0</v>
      </c>
      <c r="BW87" s="171">
        <f t="shared" si="93"/>
        <v>0</v>
      </c>
      <c r="BX87" s="171">
        <f t="shared" si="93"/>
        <v>0</v>
      </c>
      <c r="BY87" s="171">
        <f t="shared" si="94"/>
        <v>0</v>
      </c>
      <c r="BZ87" s="171">
        <f t="shared" si="94"/>
        <v>0</v>
      </c>
      <c r="CA87" s="171">
        <f t="shared" si="94"/>
        <v>0</v>
      </c>
      <c r="CB87" s="171">
        <f t="shared" si="94"/>
        <v>0</v>
      </c>
      <c r="CC87" s="171">
        <f t="shared" si="94"/>
        <v>0</v>
      </c>
      <c r="CD87" s="171">
        <f t="shared" si="94"/>
        <v>0</v>
      </c>
      <c r="CE87" s="171">
        <f t="shared" si="94"/>
        <v>0</v>
      </c>
      <c r="CF87" s="171">
        <f t="shared" si="94"/>
        <v>0</v>
      </c>
      <c r="CG87" s="171">
        <f t="shared" si="94"/>
        <v>0</v>
      </c>
      <c r="CH87" s="171">
        <f t="shared" si="94"/>
        <v>0</v>
      </c>
      <c r="CI87" s="171">
        <f t="shared" si="94"/>
        <v>0</v>
      </c>
      <c r="CJ87" s="243"/>
      <c r="CK87" s="171">
        <f t="shared" si="16"/>
        <v>0</v>
      </c>
      <c r="CL87" s="171">
        <f t="shared" si="17"/>
        <v>0</v>
      </c>
      <c r="CM87" s="171">
        <f t="shared" si="18"/>
        <v>0</v>
      </c>
      <c r="CN87" s="171">
        <f t="shared" si="19"/>
        <v>0</v>
      </c>
      <c r="CO87" s="171">
        <f t="shared" si="20"/>
        <v>0</v>
      </c>
      <c r="CP87" s="171">
        <f t="shared" si="21"/>
        <v>0</v>
      </c>
      <c r="CQ87" s="171">
        <f t="shared" si="22"/>
        <v>0</v>
      </c>
      <c r="CR87" s="171">
        <f t="shared" si="23"/>
        <v>0.58616999999999997</v>
      </c>
      <c r="CS87" s="171">
        <f t="shared" si="24"/>
        <v>0.58616999999999997</v>
      </c>
      <c r="CT87" s="171">
        <f t="shared" si="25"/>
        <v>0.58616999999999997</v>
      </c>
      <c r="CU87" s="171">
        <f t="shared" si="26"/>
        <v>0.58616999999999997</v>
      </c>
      <c r="CV87" s="171">
        <f t="shared" si="27"/>
        <v>0.58616999999999997</v>
      </c>
      <c r="CW87" s="171">
        <f t="shared" si="28"/>
        <v>0.58616999999999997</v>
      </c>
      <c r="CX87" s="171">
        <f t="shared" si="29"/>
        <v>0.58616999999999997</v>
      </c>
      <c r="CY87" s="171">
        <f t="shared" ca="1" si="30"/>
        <v>0.5564905538996302</v>
      </c>
      <c r="CZ87" s="171">
        <f t="shared" ca="1" si="31"/>
        <v>0.52831386215520626</v>
      </c>
      <c r="DA87" s="171">
        <f t="shared" ca="1" si="32"/>
        <v>0.50156383606053467</v>
      </c>
      <c r="DB87" s="171">
        <f t="shared" ca="1" si="33"/>
        <v>0.47616823949596571</v>
      </c>
      <c r="DC87" s="171">
        <f t="shared" ca="1" si="34"/>
        <v>1.2700141654930022</v>
      </c>
      <c r="DD87" s="171">
        <f t="shared" ca="1" si="35"/>
        <v>1.205709753852257</v>
      </c>
      <c r="DE87" s="171">
        <f t="shared" ca="1" si="36"/>
        <v>1.1446612565696459</v>
      </c>
      <c r="DF87" s="171">
        <f t="shared" ca="1" si="37"/>
        <v>1.0867038174862051</v>
      </c>
      <c r="DG87" s="171">
        <f t="shared" ca="1" si="38"/>
        <v>1.0316809275768821</v>
      </c>
      <c r="DH87" s="171">
        <f t="shared" ca="1" si="39"/>
        <v>0.97944400231151962</v>
      </c>
      <c r="DI87" s="171">
        <f t="shared" ca="1" si="40"/>
        <v>0.92985198041525197</v>
      </c>
      <c r="DJ87" s="171">
        <f t="shared" ca="1" si="41"/>
        <v>0.88277094294479697</v>
      </c>
      <c r="DK87" s="171">
        <f t="shared" ca="1" si="42"/>
        <v>0.83807375165199327</v>
      </c>
      <c r="DL87" s="171">
        <f t="shared" ca="1" si="43"/>
        <v>0.79563970565801534</v>
      </c>
      <c r="DM87" s="171">
        <f t="shared" ca="1" si="44"/>
        <v>0</v>
      </c>
      <c r="DN87" s="171">
        <f t="shared" ca="1" si="45"/>
        <v>0</v>
      </c>
      <c r="DO87" s="171">
        <f t="shared" ca="1" si="46"/>
        <v>0</v>
      </c>
      <c r="DP87" s="171">
        <f t="shared" ca="1" si="47"/>
        <v>0</v>
      </c>
      <c r="DQ87" s="171">
        <f t="shared" ca="1" si="48"/>
        <v>0</v>
      </c>
      <c r="DR87" s="171">
        <f t="shared" ca="1" si="49"/>
        <v>0</v>
      </c>
      <c r="DS87" s="171">
        <f t="shared" ca="1" si="50"/>
        <v>0</v>
      </c>
      <c r="DT87" s="171">
        <f t="shared" ca="1" si="51"/>
        <v>0</v>
      </c>
      <c r="DU87" s="171">
        <f t="shared" ca="1" si="52"/>
        <v>0</v>
      </c>
      <c r="DV87" s="171">
        <f t="shared" ca="1" si="53"/>
        <v>0</v>
      </c>
      <c r="DW87" s="171">
        <f t="shared" ca="1" si="54"/>
        <v>0</v>
      </c>
      <c r="DX87" s="171">
        <f t="shared" ca="1" si="55"/>
        <v>0</v>
      </c>
      <c r="DY87" s="171">
        <f t="shared" ca="1" si="56"/>
        <v>0</v>
      </c>
      <c r="DZ87" s="171">
        <f t="shared" ca="1" si="57"/>
        <v>0</v>
      </c>
      <c r="EA87" s="171">
        <f t="shared" ca="1" si="58"/>
        <v>0</v>
      </c>
      <c r="EB87" s="171">
        <f t="shared" ca="1" si="59"/>
        <v>0</v>
      </c>
      <c r="EC87" s="171">
        <f t="shared" ca="1" si="60"/>
        <v>0</v>
      </c>
      <c r="ED87" s="171">
        <f t="shared" ca="1" si="61"/>
        <v>0</v>
      </c>
      <c r="EE87" s="171">
        <f t="shared" ca="1" si="62"/>
        <v>0</v>
      </c>
      <c r="EF87" s="171">
        <f t="shared" ca="1" si="63"/>
        <v>0</v>
      </c>
      <c r="EG87" s="171">
        <f t="shared" ca="1" si="64"/>
        <v>0</v>
      </c>
      <c r="EH87" s="171">
        <f t="shared" ca="1" si="65"/>
        <v>0</v>
      </c>
      <c r="EI87" s="171">
        <f t="shared" ca="1" si="66"/>
        <v>0</v>
      </c>
      <c r="EJ87" s="171">
        <f t="shared" ca="1" si="67"/>
        <v>0</v>
      </c>
      <c r="EK87" s="171">
        <f t="shared" ca="1" si="68"/>
        <v>0</v>
      </c>
      <c r="EL87" s="171">
        <f t="shared" ca="1" si="69"/>
        <v>0</v>
      </c>
      <c r="EM87" s="171">
        <f t="shared" ca="1" si="70"/>
        <v>0</v>
      </c>
      <c r="EN87" s="171">
        <f t="shared" ca="1" si="71"/>
        <v>0</v>
      </c>
      <c r="EO87" s="171">
        <f t="shared" ca="1" si="72"/>
        <v>0</v>
      </c>
      <c r="EP87" s="171">
        <f t="shared" ca="1" si="73"/>
        <v>0</v>
      </c>
      <c r="EQ87" s="171">
        <f t="shared" ca="1" si="74"/>
        <v>0</v>
      </c>
      <c r="ER87" s="171">
        <f t="shared" ca="1" si="75"/>
        <v>0</v>
      </c>
      <c r="ES87" s="171">
        <f t="shared" ca="1" si="76"/>
        <v>0</v>
      </c>
    </row>
    <row r="88" spans="1:149">
      <c r="A88" s="139" t="s">
        <v>454</v>
      </c>
      <c r="B88" s="160" t="s">
        <v>432</v>
      </c>
      <c r="C88" s="160" t="s">
        <v>105</v>
      </c>
      <c r="D88" s="160" t="s">
        <v>428</v>
      </c>
      <c r="E88" s="160">
        <v>2023</v>
      </c>
      <c r="F88" s="160" t="s">
        <v>395</v>
      </c>
      <c r="G88" s="160" t="s">
        <v>402</v>
      </c>
      <c r="H88" s="160" t="s">
        <v>396</v>
      </c>
      <c r="I88" s="160" t="s">
        <v>178</v>
      </c>
      <c r="J88" s="160" t="s">
        <v>407</v>
      </c>
      <c r="K88" s="187">
        <v>57</v>
      </c>
      <c r="L88" s="163" t="s">
        <v>110</v>
      </c>
      <c r="M88" s="164">
        <f t="shared" si="0"/>
        <v>57</v>
      </c>
      <c r="N88" s="164">
        <f t="shared" si="1"/>
        <v>57</v>
      </c>
      <c r="O88" s="165">
        <f t="shared" si="2"/>
        <v>1</v>
      </c>
      <c r="P88" s="190">
        <v>1.6217869999999999E-2</v>
      </c>
      <c r="Q88" s="191">
        <v>25</v>
      </c>
      <c r="R88" s="168">
        <f t="shared" si="95"/>
        <v>24</v>
      </c>
      <c r="S88" s="178">
        <v>5</v>
      </c>
      <c r="T88" s="170" t="s">
        <v>403</v>
      </c>
      <c r="U88" s="171">
        <f t="shared" si="4"/>
        <v>2.8933984393473211</v>
      </c>
      <c r="V88" s="171">
        <f t="shared" ca="1" si="5"/>
        <v>1.4718453248455046</v>
      </c>
      <c r="W88" s="171">
        <f t="shared" ca="1" si="6"/>
        <v>36.796133121137615</v>
      </c>
      <c r="X88" s="172">
        <f t="shared" si="7"/>
        <v>0.17707249972322525</v>
      </c>
      <c r="Y88" s="172">
        <f t="shared" si="8"/>
        <v>0.82292750027677475</v>
      </c>
      <c r="Z88" s="173">
        <f t="shared" si="9"/>
        <v>72.334960983683033</v>
      </c>
      <c r="AA88" s="171">
        <f t="shared" si="89"/>
        <v>0</v>
      </c>
      <c r="AB88" s="171">
        <f t="shared" si="89"/>
        <v>0</v>
      </c>
      <c r="AC88" s="171">
        <f t="shared" si="89"/>
        <v>0</v>
      </c>
      <c r="AD88" s="171">
        <f t="shared" si="89"/>
        <v>0</v>
      </c>
      <c r="AE88" s="171">
        <f t="shared" si="89"/>
        <v>0</v>
      </c>
      <c r="AF88" s="171">
        <f t="shared" si="89"/>
        <v>0</v>
      </c>
      <c r="AG88" s="171">
        <f t="shared" si="89"/>
        <v>0</v>
      </c>
      <c r="AH88" s="171">
        <f t="shared" si="89"/>
        <v>0</v>
      </c>
      <c r="AI88" s="171">
        <f t="shared" si="89"/>
        <v>0</v>
      </c>
      <c r="AJ88" s="171">
        <f t="shared" si="89"/>
        <v>0</v>
      </c>
      <c r="AK88" s="171">
        <f t="shared" si="90"/>
        <v>0</v>
      </c>
      <c r="AL88" s="171">
        <f t="shared" si="90"/>
        <v>0</v>
      </c>
      <c r="AM88" s="171">
        <f t="shared" si="90"/>
        <v>0</v>
      </c>
      <c r="AN88" s="171">
        <f t="shared" si="90"/>
        <v>0.92441858999999993</v>
      </c>
      <c r="AO88" s="171">
        <f t="shared" si="90"/>
        <v>0.92441858999999993</v>
      </c>
      <c r="AP88" s="171">
        <f t="shared" si="90"/>
        <v>0.92441858999999993</v>
      </c>
      <c r="AQ88" s="171">
        <f t="shared" si="90"/>
        <v>0.92441858999999993</v>
      </c>
      <c r="AR88" s="171">
        <f t="shared" si="90"/>
        <v>0.92441858999999993</v>
      </c>
      <c r="AS88" s="171">
        <f t="shared" si="90"/>
        <v>3.22442228731824</v>
      </c>
      <c r="AT88" s="171">
        <f t="shared" si="90"/>
        <v>3.22442228731824</v>
      </c>
      <c r="AU88" s="171">
        <f t="shared" si="91"/>
        <v>3.22442228731824</v>
      </c>
      <c r="AV88" s="171">
        <f t="shared" si="91"/>
        <v>3.22442228731824</v>
      </c>
      <c r="AW88" s="171">
        <f t="shared" si="91"/>
        <v>3.22442228731824</v>
      </c>
      <c r="AX88" s="171">
        <f t="shared" si="91"/>
        <v>3.22442228731824</v>
      </c>
      <c r="AY88" s="171">
        <f t="shared" si="91"/>
        <v>3.22442228731824</v>
      </c>
      <c r="AZ88" s="171">
        <f t="shared" si="91"/>
        <v>3.22442228731824</v>
      </c>
      <c r="BA88" s="171">
        <f t="shared" si="91"/>
        <v>3.22442228731824</v>
      </c>
      <c r="BB88" s="171">
        <f t="shared" si="91"/>
        <v>3.22442228731824</v>
      </c>
      <c r="BC88" s="171">
        <f t="shared" si="91"/>
        <v>3.22442228731824</v>
      </c>
      <c r="BD88" s="171">
        <f t="shared" si="91"/>
        <v>3.22442228731824</v>
      </c>
      <c r="BE88" s="171">
        <f t="shared" si="92"/>
        <v>3.22442228731824</v>
      </c>
      <c r="BF88" s="171">
        <f t="shared" si="92"/>
        <v>3.22442228731824</v>
      </c>
      <c r="BG88" s="171">
        <f t="shared" si="92"/>
        <v>3.22442228731824</v>
      </c>
      <c r="BH88" s="171">
        <f t="shared" si="92"/>
        <v>3.22442228731824</v>
      </c>
      <c r="BI88" s="171">
        <f t="shared" si="92"/>
        <v>3.22442228731824</v>
      </c>
      <c r="BJ88" s="171">
        <f t="shared" si="92"/>
        <v>3.22442228731824</v>
      </c>
      <c r="BK88" s="171">
        <f t="shared" si="92"/>
        <v>3.22442228731824</v>
      </c>
      <c r="BL88" s="171">
        <f t="shared" si="92"/>
        <v>3.22442228731824</v>
      </c>
      <c r="BM88" s="171">
        <f t="shared" si="92"/>
        <v>3.22442228731824</v>
      </c>
      <c r="BN88" s="171">
        <f t="shared" si="92"/>
        <v>0</v>
      </c>
      <c r="BO88" s="171">
        <f t="shared" si="93"/>
        <v>0</v>
      </c>
      <c r="BP88" s="171">
        <f t="shared" si="93"/>
        <v>0</v>
      </c>
      <c r="BQ88" s="171">
        <f t="shared" si="93"/>
        <v>0</v>
      </c>
      <c r="BR88" s="171">
        <f t="shared" si="93"/>
        <v>0</v>
      </c>
      <c r="BS88" s="171">
        <f t="shared" si="93"/>
        <v>0</v>
      </c>
      <c r="BT88" s="171">
        <f t="shared" si="93"/>
        <v>0</v>
      </c>
      <c r="BU88" s="171">
        <f t="shared" si="93"/>
        <v>0</v>
      </c>
      <c r="BV88" s="171">
        <f t="shared" si="93"/>
        <v>0</v>
      </c>
      <c r="BW88" s="171">
        <f t="shared" si="93"/>
        <v>0</v>
      </c>
      <c r="BX88" s="171">
        <f t="shared" si="93"/>
        <v>0</v>
      </c>
      <c r="BY88" s="171">
        <f t="shared" si="94"/>
        <v>0</v>
      </c>
      <c r="BZ88" s="171">
        <f t="shared" si="94"/>
        <v>0</v>
      </c>
      <c r="CA88" s="171">
        <f t="shared" si="94"/>
        <v>0</v>
      </c>
      <c r="CB88" s="171">
        <f t="shared" si="94"/>
        <v>0</v>
      </c>
      <c r="CC88" s="171">
        <f t="shared" si="94"/>
        <v>0</v>
      </c>
      <c r="CD88" s="171">
        <f t="shared" si="94"/>
        <v>0</v>
      </c>
      <c r="CE88" s="171">
        <f t="shared" si="94"/>
        <v>0</v>
      </c>
      <c r="CF88" s="171">
        <f t="shared" si="94"/>
        <v>0</v>
      </c>
      <c r="CG88" s="171">
        <f t="shared" si="94"/>
        <v>0</v>
      </c>
      <c r="CH88" s="171">
        <f t="shared" si="94"/>
        <v>0</v>
      </c>
      <c r="CI88" s="171">
        <f t="shared" si="94"/>
        <v>0</v>
      </c>
      <c r="CJ88" s="243"/>
      <c r="CK88" s="171">
        <f t="shared" si="16"/>
        <v>0</v>
      </c>
      <c r="CL88" s="171">
        <f t="shared" si="17"/>
        <v>0</v>
      </c>
      <c r="CM88" s="171">
        <f t="shared" si="18"/>
        <v>0</v>
      </c>
      <c r="CN88" s="171">
        <f t="shared" si="19"/>
        <v>0</v>
      </c>
      <c r="CO88" s="171">
        <f t="shared" si="20"/>
        <v>0</v>
      </c>
      <c r="CP88" s="171">
        <f t="shared" si="21"/>
        <v>0</v>
      </c>
      <c r="CQ88" s="171">
        <f t="shared" si="22"/>
        <v>0</v>
      </c>
      <c r="CR88" s="171">
        <f t="shared" si="23"/>
        <v>0</v>
      </c>
      <c r="CS88" s="171">
        <f t="shared" si="24"/>
        <v>0</v>
      </c>
      <c r="CT88" s="171">
        <f t="shared" si="25"/>
        <v>0</v>
      </c>
      <c r="CU88" s="171">
        <f t="shared" si="26"/>
        <v>0</v>
      </c>
      <c r="CV88" s="171">
        <f t="shared" si="27"/>
        <v>0</v>
      </c>
      <c r="CW88" s="171">
        <f t="shared" si="28"/>
        <v>0</v>
      </c>
      <c r="CX88" s="171">
        <f t="shared" si="29"/>
        <v>0.92441858999999993</v>
      </c>
      <c r="CY88" s="171">
        <f t="shared" ca="1" si="30"/>
        <v>0.87761266046405506</v>
      </c>
      <c r="CZ88" s="171">
        <f t="shared" ca="1" si="31"/>
        <v>0.83317664761241628</v>
      </c>
      <c r="DA88" s="171">
        <f t="shared" ca="1" si="32"/>
        <v>0.79099055585593014</v>
      </c>
      <c r="DB88" s="171">
        <f t="shared" ca="1" si="33"/>
        <v>0.75094046532173764</v>
      </c>
      <c r="DC88" s="171">
        <f t="shared" ca="1" si="34"/>
        <v>2.48669751569857</v>
      </c>
      <c r="DD88" s="171">
        <f t="shared" ca="1" si="35"/>
        <v>2.3607889825339603</v>
      </c>
      <c r="DE88" s="171">
        <f t="shared" ca="1" si="36"/>
        <v>2.241255554754539</v>
      </c>
      <c r="DF88" s="171">
        <f t="shared" ca="1" si="37"/>
        <v>2.1277744427315906</v>
      </c>
      <c r="DG88" s="171">
        <f t="shared" ca="1" si="38"/>
        <v>2.0200392005888737</v>
      </c>
      <c r="DH88" s="171">
        <f t="shared" ca="1" si="39"/>
        <v>1.9177588986721741</v>
      </c>
      <c r="DI88" s="171">
        <f t="shared" ca="1" si="40"/>
        <v>1.8206573379190729</v>
      </c>
      <c r="DJ88" s="171">
        <f t="shared" ca="1" si="41"/>
        <v>1.7284723040073888</v>
      </c>
      <c r="DK88" s="171">
        <f t="shared" ca="1" si="42"/>
        <v>1.6409548592682017</v>
      </c>
      <c r="DL88" s="171">
        <f t="shared" ca="1" si="43"/>
        <v>1.5578686704513218</v>
      </c>
      <c r="DM88" s="171">
        <f t="shared" ca="1" si="44"/>
        <v>1.4789893705278958</v>
      </c>
      <c r="DN88" s="171">
        <f t="shared" ca="1" si="45"/>
        <v>1.4041039528067523</v>
      </c>
      <c r="DO88" s="171">
        <f t="shared" ca="1" si="46"/>
        <v>1.3330101957283551</v>
      </c>
      <c r="DP88" s="171">
        <f t="shared" ca="1" si="47"/>
        <v>1.2655161167830609</v>
      </c>
      <c r="DQ88" s="171">
        <f t="shared" ca="1" si="48"/>
        <v>1.2014394540790465</v>
      </c>
      <c r="DR88" s="171">
        <f t="shared" ca="1" si="49"/>
        <v>1.1406071741599157</v>
      </c>
      <c r="DS88" s="171">
        <f t="shared" ca="1" si="50"/>
        <v>1.0828550047428962</v>
      </c>
      <c r="DT88" s="171">
        <f t="shared" ca="1" si="51"/>
        <v>1.0280269911158215</v>
      </c>
      <c r="DU88" s="171">
        <f t="shared" ca="1" si="52"/>
        <v>0.9759750749949907</v>
      </c>
      <c r="DV88" s="171">
        <f t="shared" ca="1" si="53"/>
        <v>0.92655869470664753</v>
      </c>
      <c r="DW88" s="171">
        <f t="shared" ca="1" si="54"/>
        <v>0.87964440561240032</v>
      </c>
      <c r="DX88" s="171">
        <f t="shared" ca="1" si="55"/>
        <v>0</v>
      </c>
      <c r="DY88" s="171">
        <f t="shared" ca="1" si="56"/>
        <v>0</v>
      </c>
      <c r="DZ88" s="171">
        <f t="shared" ca="1" si="57"/>
        <v>0</v>
      </c>
      <c r="EA88" s="171">
        <f t="shared" ca="1" si="58"/>
        <v>0</v>
      </c>
      <c r="EB88" s="171">
        <f t="shared" ca="1" si="59"/>
        <v>0</v>
      </c>
      <c r="EC88" s="171">
        <f t="shared" ca="1" si="60"/>
        <v>0</v>
      </c>
      <c r="ED88" s="171">
        <f t="shared" ca="1" si="61"/>
        <v>0</v>
      </c>
      <c r="EE88" s="171">
        <f t="shared" ca="1" si="62"/>
        <v>0</v>
      </c>
      <c r="EF88" s="171">
        <f t="shared" ca="1" si="63"/>
        <v>0</v>
      </c>
      <c r="EG88" s="171">
        <f t="shared" ca="1" si="64"/>
        <v>0</v>
      </c>
      <c r="EH88" s="171">
        <f t="shared" ca="1" si="65"/>
        <v>0</v>
      </c>
      <c r="EI88" s="171">
        <f t="shared" ca="1" si="66"/>
        <v>0</v>
      </c>
      <c r="EJ88" s="171">
        <f t="shared" ca="1" si="67"/>
        <v>0</v>
      </c>
      <c r="EK88" s="171">
        <f t="shared" ca="1" si="68"/>
        <v>0</v>
      </c>
      <c r="EL88" s="171">
        <f t="shared" ca="1" si="69"/>
        <v>0</v>
      </c>
      <c r="EM88" s="171">
        <f t="shared" ca="1" si="70"/>
        <v>0</v>
      </c>
      <c r="EN88" s="171">
        <f t="shared" ca="1" si="71"/>
        <v>0</v>
      </c>
      <c r="EO88" s="171">
        <f t="shared" ca="1" si="72"/>
        <v>0</v>
      </c>
      <c r="EP88" s="171">
        <f t="shared" ca="1" si="73"/>
        <v>0</v>
      </c>
      <c r="EQ88" s="171">
        <f t="shared" ca="1" si="74"/>
        <v>0</v>
      </c>
      <c r="ER88" s="171">
        <f t="shared" ca="1" si="75"/>
        <v>0</v>
      </c>
      <c r="ES88" s="171">
        <f t="shared" ca="1" si="76"/>
        <v>0</v>
      </c>
    </row>
    <row r="89" spans="1:149">
      <c r="A89" s="139" t="s">
        <v>454</v>
      </c>
      <c r="B89" s="160" t="s">
        <v>455</v>
      </c>
      <c r="C89" s="160" t="s">
        <v>105</v>
      </c>
      <c r="D89" s="160" t="s">
        <v>428</v>
      </c>
      <c r="E89" s="160">
        <v>2023</v>
      </c>
      <c r="F89" s="160" t="s">
        <v>395</v>
      </c>
      <c r="G89" s="160" t="s">
        <v>402</v>
      </c>
      <c r="H89" s="160" t="s">
        <v>396</v>
      </c>
      <c r="I89" s="160" t="s">
        <v>176</v>
      </c>
      <c r="J89" s="160" t="s">
        <v>397</v>
      </c>
      <c r="K89" s="187">
        <v>57</v>
      </c>
      <c r="L89" s="163" t="s">
        <v>110</v>
      </c>
      <c r="M89" s="164">
        <f t="shared" si="0"/>
        <v>57</v>
      </c>
      <c r="N89" s="164">
        <f t="shared" si="1"/>
        <v>57</v>
      </c>
      <c r="O89" s="165">
        <f t="shared" si="2"/>
        <v>1</v>
      </c>
      <c r="P89" s="190">
        <v>3.0000000000000001E-3</v>
      </c>
      <c r="Q89" s="191">
        <v>15</v>
      </c>
      <c r="R89" s="168">
        <f t="shared" si="95"/>
        <v>14</v>
      </c>
      <c r="S89" s="178">
        <v>5</v>
      </c>
      <c r="T89" s="170" t="s">
        <v>403</v>
      </c>
      <c r="U89" s="171">
        <f t="shared" si="4"/>
        <v>3.9257414817933229</v>
      </c>
      <c r="V89" s="171">
        <f t="shared" ca="1" si="5"/>
        <v>2.3836728192159162</v>
      </c>
      <c r="W89" s="171">
        <f t="shared" ca="1" si="6"/>
        <v>35.755092288238743</v>
      </c>
      <c r="X89" s="172">
        <f t="shared" si="7"/>
        <v>0.16256550343885945</v>
      </c>
      <c r="Y89" s="172">
        <f t="shared" si="8"/>
        <v>0.83743449656114055</v>
      </c>
      <c r="Z89" s="173">
        <f t="shared" si="9"/>
        <v>58.886122226899843</v>
      </c>
      <c r="AA89" s="171">
        <f t="shared" ref="AA89:AJ98" si="96">IFERROR(
    IF($T89="Equity",
        IF(AND(AA$48&gt;=$E89, AA$48&lt;=($E89+$Q89)),
$K89*$P89*(VLOOKUP($C$39,$C$37:$BL$44,MATCH($E89,$C$37:$BL$37,0),FALSE)/VLOOKUP($L89,$C$37:$BL$44,MATCH($E89,$C$37:$BL$37,0),FALSE))*
IF($B$5="Foreign Currency",VLOOKUP($C$38,$C$37:$BL$44,MATCH(AA$48,$C$37:$BL$37,0),FALSE)/VLOOKUP($C$39,$C$37:$BL$44,MATCH(AA$48,$C$37:$BL$37,0),FALSE),1),
0),
    IF($T89="Lump Sum Principal",
        IF(AND(AA$48&gt;=$E89, AA$48&lt;($E89+$Q89)),
$K89*$P89*(VLOOKUP($C$39,$C$37:$BL$44,MATCH($E89,$C$37:$BL$37,0),FALSE)/VLOOKUP($L89,$C$37:$BL$44,MATCH($E89,$C$37:$BL$37,0),FALSE))*
IF($B$5="Foreign Currency",VLOOKUP($C$38,$C$37:$BL$44,MATCH(AA$48,$C$37:$BL$37,0),FALSE)/VLOOKUP($C$39,$C$37:$BL$44,MATCH(AA$48,$C$37:$BL$37,0),FALSE),1),
        IF(AA$48=($E89+$Q89),
$K89*(1+$P89)*(VLOOKUP($C$39,$C$37:$BL$44,MATCH($E89,$C$37:$BL$37,0),FALSE)/VLOOKUP($L89,$C$37:$BL$44,MATCH($E89,$C$37:$BL$37,0),FALSE))*
IF($B$5="Foreign Currency",VLOOKUP($C$38,$C$37:$BL$44,MATCH(AA$48,$C$37:$BL$37,0),FALSE)/VLOOKUP($C$39,$C$37:$BL$44,MATCH(AA$48,$C$37:$BL$37,0),FALSE),1),
0)),
    IF($T89="Lump Sum Principal and Interest",
        IF(AA$48=($E89+$Q89),
$K89*((1+$P89)^$Q89)*(VLOOKUP($C$39,$C$37:$BL$44,MATCH($E89,$C$37:$BL$37,0),FALSE)/VLOOKUP($L89,$C$37:$BL$44,MATCH($E89,$C$37:$BL$37,0),FALSE))*
IF($B$5="Foreign Currency",VLOOKUP($C$38,$C$37:$BL$44,MATCH(AA$48,$C$37:$BL$37,0),FALSE)/VLOOKUP($C$39,$C$37:$BL$44,MATCH(AA$48,$C$37:$BL$37,0),FALSE),1),
0),
    IF($T89="EPP with Grace Years for Principal",
        IF(AND(AA$48&gt;=$E89, AA$48&lt;($E89+$S89)),
$K89*$P89*(VLOOKUP($C$39,$C$37:$BL$44,MATCH($E89,$C$37:$BL$37,0),FALSE)/VLOOKUP($L89,$C$37:$BL$44,MATCH($E89,$C$37:$BL$37,0),FALSE))*
IF($B$5="Foreign Currency",VLOOKUP($C$38,$C$37:$BL$44,MATCH(AA$48,$C$37:$BL$37,0),FALSE)/VLOOKUP($C$39,$C$37:$BL$44,MATCH(AA$48,$C$37:$BL$37,0),FALSE),1),
        IF(AND(AA$48&gt;=($E89+$S89), AA$48&lt;=($E89+$Q89)),
-PMT($P89,($Q89-$S89+1),($K89*(VLOOKUP($C$39,$C$37:$BL$44,MATCH($E89,$C$37:$BL$37,0),FALSE)/VLOOKUP($L89,$C$37:$BL$44,MATCH($E89,$C$37:$BL$37,0),FALSE))*
IF($B$5="Foreign Currency",VLOOKUP($C$38,$C$37:$BL$44,MATCH(AA$48,$C$37:$BL$37,0),FALSE)/VLOOKUP($C$39,$C$37:$BL$44,MATCH(AA$48,$C$37:$BL$37,0),FALSE),1)),0),
0)),
    IF($T89="Equal Principal Payments (EPP)",
        IF(AND(AA$48&gt;=$E89, AA$48&lt;=($E89+$Q89)),
-PMT($P89,($Q89-$S89+1),($K89*(VLOOKUP($C$39,$C$37:$BL$44,MATCH($E89,$C$37:$BL$37,0),FALSE)/VLOOKUP($L89,$C$37:$BL$44,MATCH($E89,$C$37:$BL$37,0),FALSE))*
IF($B$5="Foreign Currency",VLOOKUP($C$38,$C$37:$BL$44,MATCH(AA$48,$C$37:$BL$37,0),FALSE)/VLOOKUP($C$39,$C$37:$BL$44,MATCH(AA$48,$C$37:$BL$37,0),FALSE),1)),0), 0),
    IF($T89="EPP with Grace Years for Principal and on Interest",
        IF(AND(AA$48&gt;=($E89+$S89), AA$48&lt;=($E89+$Q89)),
-PMT($P89,($Q89-$S89+1),($K89*(VLOOKUP($C$39,$C$37:$BL$44,MATCH($E89,$C$37:$BL$37,0),FALSE)/VLOOKUP($L89,$C$37:$BL$44,MATCH($E89,$C$37:$BL$37,0),FALSE))*
IF($B$5="Foreign Currency",VLOOKUP($C$38,$C$37:$BL$44,MATCH(AA$48,$C$37:$BL$37,0),FALSE)/VLOOKUP($C$39,$C$37:$BL$44,MATCH(AA$48,$C$37:$BL$37,0),FALSE),1))*((1+$P89)^$S89),0), 0),
    0)))))),"")</f>
        <v>0</v>
      </c>
      <c r="AB89" s="171">
        <f t="shared" si="96"/>
        <v>0</v>
      </c>
      <c r="AC89" s="171">
        <f t="shared" si="96"/>
        <v>0</v>
      </c>
      <c r="AD89" s="171">
        <f t="shared" si="96"/>
        <v>0</v>
      </c>
      <c r="AE89" s="171">
        <f t="shared" si="96"/>
        <v>0</v>
      </c>
      <c r="AF89" s="171">
        <f t="shared" si="96"/>
        <v>0</v>
      </c>
      <c r="AG89" s="171">
        <f t="shared" si="96"/>
        <v>0</v>
      </c>
      <c r="AH89" s="171">
        <f t="shared" si="96"/>
        <v>0</v>
      </c>
      <c r="AI89" s="171">
        <f t="shared" si="96"/>
        <v>0</v>
      </c>
      <c r="AJ89" s="171">
        <f t="shared" si="96"/>
        <v>0</v>
      </c>
      <c r="AK89" s="171">
        <f t="shared" ref="AK89:AT98" si="97">IFERROR(
    IF($T89="Equity",
        IF(AND(AK$48&gt;=$E89, AK$48&lt;=($E89+$Q89)),
$K89*$P89*(VLOOKUP($C$39,$C$37:$BL$44,MATCH($E89,$C$37:$BL$37,0),FALSE)/VLOOKUP($L89,$C$37:$BL$44,MATCH($E89,$C$37:$BL$37,0),FALSE))*
IF($B$5="Foreign Currency",VLOOKUP($C$38,$C$37:$BL$44,MATCH(AK$48,$C$37:$BL$37,0),FALSE)/VLOOKUP($C$39,$C$37:$BL$44,MATCH(AK$48,$C$37:$BL$37,0),FALSE),1),
0),
    IF($T89="Lump Sum Principal",
        IF(AND(AK$48&gt;=$E89, AK$48&lt;($E89+$Q89)),
$K89*$P89*(VLOOKUP($C$39,$C$37:$BL$44,MATCH($E89,$C$37:$BL$37,0),FALSE)/VLOOKUP($L89,$C$37:$BL$44,MATCH($E89,$C$37:$BL$37,0),FALSE))*
IF($B$5="Foreign Currency",VLOOKUP($C$38,$C$37:$BL$44,MATCH(AK$48,$C$37:$BL$37,0),FALSE)/VLOOKUP($C$39,$C$37:$BL$44,MATCH(AK$48,$C$37:$BL$37,0),FALSE),1),
        IF(AK$48=($E89+$Q89),
$K89*(1+$P89)*(VLOOKUP($C$39,$C$37:$BL$44,MATCH($E89,$C$37:$BL$37,0),FALSE)/VLOOKUP($L89,$C$37:$BL$44,MATCH($E89,$C$37:$BL$37,0),FALSE))*
IF($B$5="Foreign Currency",VLOOKUP($C$38,$C$37:$BL$44,MATCH(AK$48,$C$37:$BL$37,0),FALSE)/VLOOKUP($C$39,$C$37:$BL$44,MATCH(AK$48,$C$37:$BL$37,0),FALSE),1),
0)),
    IF($T89="Lump Sum Principal and Interest",
        IF(AK$48=($E89+$Q89),
$K89*((1+$P89)^$Q89)*(VLOOKUP($C$39,$C$37:$BL$44,MATCH($E89,$C$37:$BL$37,0),FALSE)/VLOOKUP($L89,$C$37:$BL$44,MATCH($E89,$C$37:$BL$37,0),FALSE))*
IF($B$5="Foreign Currency",VLOOKUP($C$38,$C$37:$BL$44,MATCH(AK$48,$C$37:$BL$37,0),FALSE)/VLOOKUP($C$39,$C$37:$BL$44,MATCH(AK$48,$C$37:$BL$37,0),FALSE),1),
0),
    IF($T89="EPP with Grace Years for Principal",
        IF(AND(AK$48&gt;=$E89, AK$48&lt;($E89+$S89)),
$K89*$P89*(VLOOKUP($C$39,$C$37:$BL$44,MATCH($E89,$C$37:$BL$37,0),FALSE)/VLOOKUP($L89,$C$37:$BL$44,MATCH($E89,$C$37:$BL$37,0),FALSE))*
IF($B$5="Foreign Currency",VLOOKUP($C$38,$C$37:$BL$44,MATCH(AK$48,$C$37:$BL$37,0),FALSE)/VLOOKUP($C$39,$C$37:$BL$44,MATCH(AK$48,$C$37:$BL$37,0),FALSE),1),
        IF(AND(AK$48&gt;=($E89+$S89), AK$48&lt;=($E89+$Q89)),
-PMT($P89,($Q89-$S89+1),($K89*(VLOOKUP($C$39,$C$37:$BL$44,MATCH($E89,$C$37:$BL$37,0),FALSE)/VLOOKUP($L89,$C$37:$BL$44,MATCH($E89,$C$37:$BL$37,0),FALSE))*
IF($B$5="Foreign Currency",VLOOKUP($C$38,$C$37:$BL$44,MATCH(AK$48,$C$37:$BL$37,0),FALSE)/VLOOKUP($C$39,$C$37:$BL$44,MATCH(AK$48,$C$37:$BL$37,0),FALSE),1)),0),
0)),
    IF($T89="Equal Principal Payments (EPP)",
        IF(AND(AK$48&gt;=$E89, AK$48&lt;=($E89+$Q89)),
-PMT($P89,($Q89-$S89+1),($K89*(VLOOKUP($C$39,$C$37:$BL$44,MATCH($E89,$C$37:$BL$37,0),FALSE)/VLOOKUP($L89,$C$37:$BL$44,MATCH($E89,$C$37:$BL$37,0),FALSE))*
IF($B$5="Foreign Currency",VLOOKUP($C$38,$C$37:$BL$44,MATCH(AK$48,$C$37:$BL$37,0),FALSE)/VLOOKUP($C$39,$C$37:$BL$44,MATCH(AK$48,$C$37:$BL$37,0),FALSE),1)),0), 0),
    IF($T89="EPP with Grace Years for Principal and on Interest",
        IF(AND(AK$48&gt;=($E89+$S89), AK$48&lt;=($E89+$Q89)),
-PMT($P89,($Q89-$S89+1),($K89*(VLOOKUP($C$39,$C$37:$BL$44,MATCH($E89,$C$37:$BL$37,0),FALSE)/VLOOKUP($L89,$C$37:$BL$44,MATCH($E89,$C$37:$BL$37,0),FALSE))*
IF($B$5="Foreign Currency",VLOOKUP($C$38,$C$37:$BL$44,MATCH(AK$48,$C$37:$BL$37,0),FALSE)/VLOOKUP($C$39,$C$37:$BL$44,MATCH(AK$48,$C$37:$BL$37,0),FALSE),1))*((1+$P89)^$S89),0), 0),
    0)))))),"")</f>
        <v>0</v>
      </c>
      <c r="AL89" s="171">
        <f t="shared" si="97"/>
        <v>0</v>
      </c>
      <c r="AM89" s="171">
        <f t="shared" si="97"/>
        <v>0</v>
      </c>
      <c r="AN89" s="171">
        <f t="shared" si="97"/>
        <v>0.17100000000000001</v>
      </c>
      <c r="AO89" s="171">
        <f t="shared" si="97"/>
        <v>0.17100000000000001</v>
      </c>
      <c r="AP89" s="171">
        <f t="shared" si="97"/>
        <v>0.17100000000000001</v>
      </c>
      <c r="AQ89" s="171">
        <f t="shared" si="97"/>
        <v>0.17100000000000001</v>
      </c>
      <c r="AR89" s="171">
        <f t="shared" si="97"/>
        <v>0.17100000000000001</v>
      </c>
      <c r="AS89" s="171">
        <f t="shared" si="97"/>
        <v>5.2755565660818053</v>
      </c>
      <c r="AT89" s="171">
        <f t="shared" si="97"/>
        <v>5.2755565660818053</v>
      </c>
      <c r="AU89" s="171">
        <f t="shared" ref="AU89:BD98" si="98">IFERROR(
    IF($T89="Equity",
        IF(AND(AU$48&gt;=$E89, AU$48&lt;=($E89+$Q89)),
$K89*$P89*(VLOOKUP($C$39,$C$37:$BL$44,MATCH($E89,$C$37:$BL$37,0),FALSE)/VLOOKUP($L89,$C$37:$BL$44,MATCH($E89,$C$37:$BL$37,0),FALSE))*
IF($B$5="Foreign Currency",VLOOKUP($C$38,$C$37:$BL$44,MATCH(AU$48,$C$37:$BL$37,0),FALSE)/VLOOKUP($C$39,$C$37:$BL$44,MATCH(AU$48,$C$37:$BL$37,0),FALSE),1),
0),
    IF($T89="Lump Sum Principal",
        IF(AND(AU$48&gt;=$E89, AU$48&lt;($E89+$Q89)),
$K89*$P89*(VLOOKUP($C$39,$C$37:$BL$44,MATCH($E89,$C$37:$BL$37,0),FALSE)/VLOOKUP($L89,$C$37:$BL$44,MATCH($E89,$C$37:$BL$37,0),FALSE))*
IF($B$5="Foreign Currency",VLOOKUP($C$38,$C$37:$BL$44,MATCH(AU$48,$C$37:$BL$37,0),FALSE)/VLOOKUP($C$39,$C$37:$BL$44,MATCH(AU$48,$C$37:$BL$37,0),FALSE),1),
        IF(AU$48=($E89+$Q89),
$K89*(1+$P89)*(VLOOKUP($C$39,$C$37:$BL$44,MATCH($E89,$C$37:$BL$37,0),FALSE)/VLOOKUP($L89,$C$37:$BL$44,MATCH($E89,$C$37:$BL$37,0),FALSE))*
IF($B$5="Foreign Currency",VLOOKUP($C$38,$C$37:$BL$44,MATCH(AU$48,$C$37:$BL$37,0),FALSE)/VLOOKUP($C$39,$C$37:$BL$44,MATCH(AU$48,$C$37:$BL$37,0),FALSE),1),
0)),
    IF($T89="Lump Sum Principal and Interest",
        IF(AU$48=($E89+$Q89),
$K89*((1+$P89)^$Q89)*(VLOOKUP($C$39,$C$37:$BL$44,MATCH($E89,$C$37:$BL$37,0),FALSE)/VLOOKUP($L89,$C$37:$BL$44,MATCH($E89,$C$37:$BL$37,0),FALSE))*
IF($B$5="Foreign Currency",VLOOKUP($C$38,$C$37:$BL$44,MATCH(AU$48,$C$37:$BL$37,0),FALSE)/VLOOKUP($C$39,$C$37:$BL$44,MATCH(AU$48,$C$37:$BL$37,0),FALSE),1),
0),
    IF($T89="EPP with Grace Years for Principal",
        IF(AND(AU$48&gt;=$E89, AU$48&lt;($E89+$S89)),
$K89*$P89*(VLOOKUP($C$39,$C$37:$BL$44,MATCH($E89,$C$37:$BL$37,0),FALSE)/VLOOKUP($L89,$C$37:$BL$44,MATCH($E89,$C$37:$BL$37,0),FALSE))*
IF($B$5="Foreign Currency",VLOOKUP($C$38,$C$37:$BL$44,MATCH(AU$48,$C$37:$BL$37,0),FALSE)/VLOOKUP($C$39,$C$37:$BL$44,MATCH(AU$48,$C$37:$BL$37,0),FALSE),1),
        IF(AND(AU$48&gt;=($E89+$S89), AU$48&lt;=($E89+$Q89)),
-PMT($P89,($Q89-$S89+1),($K89*(VLOOKUP($C$39,$C$37:$BL$44,MATCH($E89,$C$37:$BL$37,0),FALSE)/VLOOKUP($L89,$C$37:$BL$44,MATCH($E89,$C$37:$BL$37,0),FALSE))*
IF($B$5="Foreign Currency",VLOOKUP($C$38,$C$37:$BL$44,MATCH(AU$48,$C$37:$BL$37,0),FALSE)/VLOOKUP($C$39,$C$37:$BL$44,MATCH(AU$48,$C$37:$BL$37,0),FALSE),1)),0),
0)),
    IF($T89="Equal Principal Payments (EPP)",
        IF(AND(AU$48&gt;=$E89, AU$48&lt;=($E89+$Q89)),
-PMT($P89,($Q89-$S89+1),($K89*(VLOOKUP($C$39,$C$37:$BL$44,MATCH($E89,$C$37:$BL$37,0),FALSE)/VLOOKUP($L89,$C$37:$BL$44,MATCH($E89,$C$37:$BL$37,0),FALSE))*
IF($B$5="Foreign Currency",VLOOKUP($C$38,$C$37:$BL$44,MATCH(AU$48,$C$37:$BL$37,0),FALSE)/VLOOKUP($C$39,$C$37:$BL$44,MATCH(AU$48,$C$37:$BL$37,0),FALSE),1)),0), 0),
    IF($T89="EPP with Grace Years for Principal and on Interest",
        IF(AND(AU$48&gt;=($E89+$S89), AU$48&lt;=($E89+$Q89)),
-PMT($P89,($Q89-$S89+1),($K89*(VLOOKUP($C$39,$C$37:$BL$44,MATCH($E89,$C$37:$BL$37,0),FALSE)/VLOOKUP($L89,$C$37:$BL$44,MATCH($E89,$C$37:$BL$37,0),FALSE))*
IF($B$5="Foreign Currency",VLOOKUP($C$38,$C$37:$BL$44,MATCH(AU$48,$C$37:$BL$37,0),FALSE)/VLOOKUP($C$39,$C$37:$BL$44,MATCH(AU$48,$C$37:$BL$37,0),FALSE),1))*((1+$P89)^$S89),0), 0),
    0)))))),"")</f>
        <v>5.2755565660818053</v>
      </c>
      <c r="AV89" s="171">
        <f t="shared" si="98"/>
        <v>5.2755565660818053</v>
      </c>
      <c r="AW89" s="171">
        <f t="shared" si="98"/>
        <v>5.2755565660818053</v>
      </c>
      <c r="AX89" s="171">
        <f t="shared" si="98"/>
        <v>5.2755565660818053</v>
      </c>
      <c r="AY89" s="171">
        <f t="shared" si="98"/>
        <v>5.2755565660818053</v>
      </c>
      <c r="AZ89" s="171">
        <f t="shared" si="98"/>
        <v>5.2755565660818053</v>
      </c>
      <c r="BA89" s="171">
        <f t="shared" si="98"/>
        <v>5.2755565660818053</v>
      </c>
      <c r="BB89" s="171">
        <f t="shared" si="98"/>
        <v>5.2755565660818053</v>
      </c>
      <c r="BC89" s="171">
        <f t="shared" si="98"/>
        <v>5.2755565660818053</v>
      </c>
      <c r="BD89" s="171">
        <f t="shared" si="98"/>
        <v>0</v>
      </c>
      <c r="BE89" s="171">
        <f t="shared" ref="BE89:BN98" si="99">IFERROR(
    IF($T89="Equity",
        IF(AND(BE$48&gt;=$E89, BE$48&lt;=($E89+$Q89)),
$K89*$P89*(VLOOKUP($C$39,$C$37:$BL$44,MATCH($E89,$C$37:$BL$37,0),FALSE)/VLOOKUP($L89,$C$37:$BL$44,MATCH($E89,$C$37:$BL$37,0),FALSE))*
IF($B$5="Foreign Currency",VLOOKUP($C$38,$C$37:$BL$44,MATCH(BE$48,$C$37:$BL$37,0),FALSE)/VLOOKUP($C$39,$C$37:$BL$44,MATCH(BE$48,$C$37:$BL$37,0),FALSE),1),
0),
    IF($T89="Lump Sum Principal",
        IF(AND(BE$48&gt;=$E89, BE$48&lt;($E89+$Q89)),
$K89*$P89*(VLOOKUP($C$39,$C$37:$BL$44,MATCH($E89,$C$37:$BL$37,0),FALSE)/VLOOKUP($L89,$C$37:$BL$44,MATCH($E89,$C$37:$BL$37,0),FALSE))*
IF($B$5="Foreign Currency",VLOOKUP($C$38,$C$37:$BL$44,MATCH(BE$48,$C$37:$BL$37,0),FALSE)/VLOOKUP($C$39,$C$37:$BL$44,MATCH(BE$48,$C$37:$BL$37,0),FALSE),1),
        IF(BE$48=($E89+$Q89),
$K89*(1+$P89)*(VLOOKUP($C$39,$C$37:$BL$44,MATCH($E89,$C$37:$BL$37,0),FALSE)/VLOOKUP($L89,$C$37:$BL$44,MATCH($E89,$C$37:$BL$37,0),FALSE))*
IF($B$5="Foreign Currency",VLOOKUP($C$38,$C$37:$BL$44,MATCH(BE$48,$C$37:$BL$37,0),FALSE)/VLOOKUP($C$39,$C$37:$BL$44,MATCH(BE$48,$C$37:$BL$37,0),FALSE),1),
0)),
    IF($T89="Lump Sum Principal and Interest",
        IF(BE$48=($E89+$Q89),
$K89*((1+$P89)^$Q89)*(VLOOKUP($C$39,$C$37:$BL$44,MATCH($E89,$C$37:$BL$37,0),FALSE)/VLOOKUP($L89,$C$37:$BL$44,MATCH($E89,$C$37:$BL$37,0),FALSE))*
IF($B$5="Foreign Currency",VLOOKUP($C$38,$C$37:$BL$44,MATCH(BE$48,$C$37:$BL$37,0),FALSE)/VLOOKUP($C$39,$C$37:$BL$44,MATCH(BE$48,$C$37:$BL$37,0),FALSE),1),
0),
    IF($T89="EPP with Grace Years for Principal",
        IF(AND(BE$48&gt;=$E89, BE$48&lt;($E89+$S89)),
$K89*$P89*(VLOOKUP($C$39,$C$37:$BL$44,MATCH($E89,$C$37:$BL$37,0),FALSE)/VLOOKUP($L89,$C$37:$BL$44,MATCH($E89,$C$37:$BL$37,0),FALSE))*
IF($B$5="Foreign Currency",VLOOKUP($C$38,$C$37:$BL$44,MATCH(BE$48,$C$37:$BL$37,0),FALSE)/VLOOKUP($C$39,$C$37:$BL$44,MATCH(BE$48,$C$37:$BL$37,0),FALSE),1),
        IF(AND(BE$48&gt;=($E89+$S89), BE$48&lt;=($E89+$Q89)),
-PMT($P89,($Q89-$S89+1),($K89*(VLOOKUP($C$39,$C$37:$BL$44,MATCH($E89,$C$37:$BL$37,0),FALSE)/VLOOKUP($L89,$C$37:$BL$44,MATCH($E89,$C$37:$BL$37,0),FALSE))*
IF($B$5="Foreign Currency",VLOOKUP($C$38,$C$37:$BL$44,MATCH(BE$48,$C$37:$BL$37,0),FALSE)/VLOOKUP($C$39,$C$37:$BL$44,MATCH(BE$48,$C$37:$BL$37,0),FALSE),1)),0),
0)),
    IF($T89="Equal Principal Payments (EPP)",
        IF(AND(BE$48&gt;=$E89, BE$48&lt;=($E89+$Q89)),
-PMT($P89,($Q89-$S89+1),($K89*(VLOOKUP($C$39,$C$37:$BL$44,MATCH($E89,$C$37:$BL$37,0),FALSE)/VLOOKUP($L89,$C$37:$BL$44,MATCH($E89,$C$37:$BL$37,0),FALSE))*
IF($B$5="Foreign Currency",VLOOKUP($C$38,$C$37:$BL$44,MATCH(BE$48,$C$37:$BL$37,0),FALSE)/VLOOKUP($C$39,$C$37:$BL$44,MATCH(BE$48,$C$37:$BL$37,0),FALSE),1)),0), 0),
    IF($T89="EPP with Grace Years for Principal and on Interest",
        IF(AND(BE$48&gt;=($E89+$S89), BE$48&lt;=($E89+$Q89)),
-PMT($P89,($Q89-$S89+1),($K89*(VLOOKUP($C$39,$C$37:$BL$44,MATCH($E89,$C$37:$BL$37,0),FALSE)/VLOOKUP($L89,$C$37:$BL$44,MATCH($E89,$C$37:$BL$37,0),FALSE))*
IF($B$5="Foreign Currency",VLOOKUP($C$38,$C$37:$BL$44,MATCH(BE$48,$C$37:$BL$37,0),FALSE)/VLOOKUP($C$39,$C$37:$BL$44,MATCH(BE$48,$C$37:$BL$37,0),FALSE),1))*((1+$P89)^$S89),0), 0),
    0)))))),"")</f>
        <v>0</v>
      </c>
      <c r="BF89" s="171">
        <f t="shared" si="99"/>
        <v>0</v>
      </c>
      <c r="BG89" s="171">
        <f t="shared" si="99"/>
        <v>0</v>
      </c>
      <c r="BH89" s="171">
        <f t="shared" si="99"/>
        <v>0</v>
      </c>
      <c r="BI89" s="171">
        <f t="shared" si="99"/>
        <v>0</v>
      </c>
      <c r="BJ89" s="171">
        <f t="shared" si="99"/>
        <v>0</v>
      </c>
      <c r="BK89" s="171">
        <f t="shared" si="99"/>
        <v>0</v>
      </c>
      <c r="BL89" s="171">
        <f t="shared" si="99"/>
        <v>0</v>
      </c>
      <c r="BM89" s="171">
        <f t="shared" si="99"/>
        <v>0</v>
      </c>
      <c r="BN89" s="171">
        <f t="shared" si="99"/>
        <v>0</v>
      </c>
      <c r="BO89" s="171">
        <f t="shared" ref="BO89:BX98" si="100">IFERROR(
    IF($T89="Equity",
        IF(AND(BO$48&gt;=$E89, BO$48&lt;=($E89+$Q89)),
$K89*$P89*(VLOOKUP($C$39,$C$37:$BL$44,MATCH($E89,$C$37:$BL$37,0),FALSE)/VLOOKUP($L89,$C$37:$BL$44,MATCH($E89,$C$37:$BL$37,0),FALSE))*
IF($B$5="Foreign Currency",VLOOKUP($C$38,$C$37:$BL$44,MATCH(BO$48,$C$37:$BL$37,0),FALSE)/VLOOKUP($C$39,$C$37:$BL$44,MATCH(BO$48,$C$37:$BL$37,0),FALSE),1),
0),
    IF($T89="Lump Sum Principal",
        IF(AND(BO$48&gt;=$E89, BO$48&lt;($E89+$Q89)),
$K89*$P89*(VLOOKUP($C$39,$C$37:$BL$44,MATCH($E89,$C$37:$BL$37,0),FALSE)/VLOOKUP($L89,$C$37:$BL$44,MATCH($E89,$C$37:$BL$37,0),FALSE))*
IF($B$5="Foreign Currency",VLOOKUP($C$38,$C$37:$BL$44,MATCH(BO$48,$C$37:$BL$37,0),FALSE)/VLOOKUP($C$39,$C$37:$BL$44,MATCH(BO$48,$C$37:$BL$37,0),FALSE),1),
        IF(BO$48=($E89+$Q89),
$K89*(1+$P89)*(VLOOKUP($C$39,$C$37:$BL$44,MATCH($E89,$C$37:$BL$37,0),FALSE)/VLOOKUP($L89,$C$37:$BL$44,MATCH($E89,$C$37:$BL$37,0),FALSE))*
IF($B$5="Foreign Currency",VLOOKUP($C$38,$C$37:$BL$44,MATCH(BO$48,$C$37:$BL$37,0),FALSE)/VLOOKUP($C$39,$C$37:$BL$44,MATCH(BO$48,$C$37:$BL$37,0),FALSE),1),
0)),
    IF($T89="Lump Sum Principal and Interest",
        IF(BO$48=($E89+$Q89),
$K89*((1+$P89)^$Q89)*(VLOOKUP($C$39,$C$37:$BL$44,MATCH($E89,$C$37:$BL$37,0),FALSE)/VLOOKUP($L89,$C$37:$BL$44,MATCH($E89,$C$37:$BL$37,0),FALSE))*
IF($B$5="Foreign Currency",VLOOKUP($C$38,$C$37:$BL$44,MATCH(BO$48,$C$37:$BL$37,0),FALSE)/VLOOKUP($C$39,$C$37:$BL$44,MATCH(BO$48,$C$37:$BL$37,0),FALSE),1),
0),
    IF($T89="EPP with Grace Years for Principal",
        IF(AND(BO$48&gt;=$E89, BO$48&lt;($E89+$S89)),
$K89*$P89*(VLOOKUP($C$39,$C$37:$BL$44,MATCH($E89,$C$37:$BL$37,0),FALSE)/VLOOKUP($L89,$C$37:$BL$44,MATCH($E89,$C$37:$BL$37,0),FALSE))*
IF($B$5="Foreign Currency",VLOOKUP($C$38,$C$37:$BL$44,MATCH(BO$48,$C$37:$BL$37,0),FALSE)/VLOOKUP($C$39,$C$37:$BL$44,MATCH(BO$48,$C$37:$BL$37,0),FALSE),1),
        IF(AND(BO$48&gt;=($E89+$S89), BO$48&lt;=($E89+$Q89)),
-PMT($P89,($Q89-$S89+1),($K89*(VLOOKUP($C$39,$C$37:$BL$44,MATCH($E89,$C$37:$BL$37,0),FALSE)/VLOOKUP($L89,$C$37:$BL$44,MATCH($E89,$C$37:$BL$37,0),FALSE))*
IF($B$5="Foreign Currency",VLOOKUP($C$38,$C$37:$BL$44,MATCH(BO$48,$C$37:$BL$37,0),FALSE)/VLOOKUP($C$39,$C$37:$BL$44,MATCH(BO$48,$C$37:$BL$37,0),FALSE),1)),0),
0)),
    IF($T89="Equal Principal Payments (EPP)",
        IF(AND(BO$48&gt;=$E89, BO$48&lt;=($E89+$Q89)),
-PMT($P89,($Q89-$S89+1),($K89*(VLOOKUP($C$39,$C$37:$BL$44,MATCH($E89,$C$37:$BL$37,0),FALSE)/VLOOKUP($L89,$C$37:$BL$44,MATCH($E89,$C$37:$BL$37,0),FALSE))*
IF($B$5="Foreign Currency",VLOOKUP($C$38,$C$37:$BL$44,MATCH(BO$48,$C$37:$BL$37,0),FALSE)/VLOOKUP($C$39,$C$37:$BL$44,MATCH(BO$48,$C$37:$BL$37,0),FALSE),1)),0), 0),
    IF($T89="EPP with Grace Years for Principal and on Interest",
        IF(AND(BO$48&gt;=($E89+$S89), BO$48&lt;=($E89+$Q89)),
-PMT($P89,($Q89-$S89+1),($K89*(VLOOKUP($C$39,$C$37:$BL$44,MATCH($E89,$C$37:$BL$37,0),FALSE)/VLOOKUP($L89,$C$37:$BL$44,MATCH($E89,$C$37:$BL$37,0),FALSE))*
IF($B$5="Foreign Currency",VLOOKUP($C$38,$C$37:$BL$44,MATCH(BO$48,$C$37:$BL$37,0),FALSE)/VLOOKUP($C$39,$C$37:$BL$44,MATCH(BO$48,$C$37:$BL$37,0),FALSE),1))*((1+$P89)^$S89),0), 0),
    0)))))),"")</f>
        <v>0</v>
      </c>
      <c r="BP89" s="171">
        <f t="shared" si="100"/>
        <v>0</v>
      </c>
      <c r="BQ89" s="171">
        <f t="shared" si="100"/>
        <v>0</v>
      </c>
      <c r="BR89" s="171">
        <f t="shared" si="100"/>
        <v>0</v>
      </c>
      <c r="BS89" s="171">
        <f t="shared" si="100"/>
        <v>0</v>
      </c>
      <c r="BT89" s="171">
        <f t="shared" si="100"/>
        <v>0</v>
      </c>
      <c r="BU89" s="171">
        <f t="shared" si="100"/>
        <v>0</v>
      </c>
      <c r="BV89" s="171">
        <f t="shared" si="100"/>
        <v>0</v>
      </c>
      <c r="BW89" s="171">
        <f t="shared" si="100"/>
        <v>0</v>
      </c>
      <c r="BX89" s="171">
        <f t="shared" si="100"/>
        <v>0</v>
      </c>
      <c r="BY89" s="171">
        <f t="shared" ref="BY89:CI98" si="101">IFERROR(
    IF($T89="Equity",
        IF(AND(BY$48&gt;=$E89, BY$48&lt;=($E89+$Q89)),
$K89*$P89*(VLOOKUP($C$39,$C$37:$BL$44,MATCH($E89,$C$37:$BL$37,0),FALSE)/VLOOKUP($L89,$C$37:$BL$44,MATCH($E89,$C$37:$BL$37,0),FALSE))*
IF($B$5="Foreign Currency",VLOOKUP($C$38,$C$37:$BL$44,MATCH(BY$48,$C$37:$BL$37,0),FALSE)/VLOOKUP($C$39,$C$37:$BL$44,MATCH(BY$48,$C$37:$BL$37,0),FALSE),1),
0),
    IF($T89="Lump Sum Principal",
        IF(AND(BY$48&gt;=$E89, BY$48&lt;($E89+$Q89)),
$K89*$P89*(VLOOKUP($C$39,$C$37:$BL$44,MATCH($E89,$C$37:$BL$37,0),FALSE)/VLOOKUP($L89,$C$37:$BL$44,MATCH($E89,$C$37:$BL$37,0),FALSE))*
IF($B$5="Foreign Currency",VLOOKUP($C$38,$C$37:$BL$44,MATCH(BY$48,$C$37:$BL$37,0),FALSE)/VLOOKUP($C$39,$C$37:$BL$44,MATCH(BY$48,$C$37:$BL$37,0),FALSE),1),
        IF(BY$48=($E89+$Q89),
$K89*(1+$P89)*(VLOOKUP($C$39,$C$37:$BL$44,MATCH($E89,$C$37:$BL$37,0),FALSE)/VLOOKUP($L89,$C$37:$BL$44,MATCH($E89,$C$37:$BL$37,0),FALSE))*
IF($B$5="Foreign Currency",VLOOKUP($C$38,$C$37:$BL$44,MATCH(BY$48,$C$37:$BL$37,0),FALSE)/VLOOKUP($C$39,$C$37:$BL$44,MATCH(BY$48,$C$37:$BL$37,0),FALSE),1),
0)),
    IF($T89="Lump Sum Principal and Interest",
        IF(BY$48=($E89+$Q89),
$K89*((1+$P89)^$Q89)*(VLOOKUP($C$39,$C$37:$BL$44,MATCH($E89,$C$37:$BL$37,0),FALSE)/VLOOKUP($L89,$C$37:$BL$44,MATCH($E89,$C$37:$BL$37,0),FALSE))*
IF($B$5="Foreign Currency",VLOOKUP($C$38,$C$37:$BL$44,MATCH(BY$48,$C$37:$BL$37,0),FALSE)/VLOOKUP($C$39,$C$37:$BL$44,MATCH(BY$48,$C$37:$BL$37,0),FALSE),1),
0),
    IF($T89="EPP with Grace Years for Principal",
        IF(AND(BY$48&gt;=$E89, BY$48&lt;($E89+$S89)),
$K89*$P89*(VLOOKUP($C$39,$C$37:$BL$44,MATCH($E89,$C$37:$BL$37,0),FALSE)/VLOOKUP($L89,$C$37:$BL$44,MATCH($E89,$C$37:$BL$37,0),FALSE))*
IF($B$5="Foreign Currency",VLOOKUP($C$38,$C$37:$BL$44,MATCH(BY$48,$C$37:$BL$37,0),FALSE)/VLOOKUP($C$39,$C$37:$BL$44,MATCH(BY$48,$C$37:$BL$37,0),FALSE),1),
        IF(AND(BY$48&gt;=($E89+$S89), BY$48&lt;=($E89+$Q89)),
-PMT($P89,($Q89-$S89+1),($K89*(VLOOKUP($C$39,$C$37:$BL$44,MATCH($E89,$C$37:$BL$37,0),FALSE)/VLOOKUP($L89,$C$37:$BL$44,MATCH($E89,$C$37:$BL$37,0),FALSE))*
IF($B$5="Foreign Currency",VLOOKUP($C$38,$C$37:$BL$44,MATCH(BY$48,$C$37:$BL$37,0),FALSE)/VLOOKUP($C$39,$C$37:$BL$44,MATCH(BY$48,$C$37:$BL$37,0),FALSE),1)),0),
0)),
    IF($T89="Equal Principal Payments (EPP)",
        IF(AND(BY$48&gt;=$E89, BY$48&lt;=($E89+$Q89)),
-PMT($P89,($Q89-$S89+1),($K89*(VLOOKUP($C$39,$C$37:$BL$44,MATCH($E89,$C$37:$BL$37,0),FALSE)/VLOOKUP($L89,$C$37:$BL$44,MATCH($E89,$C$37:$BL$37,0),FALSE))*
IF($B$5="Foreign Currency",VLOOKUP($C$38,$C$37:$BL$44,MATCH(BY$48,$C$37:$BL$37,0),FALSE)/VLOOKUP($C$39,$C$37:$BL$44,MATCH(BY$48,$C$37:$BL$37,0),FALSE),1)),0), 0),
    IF($T89="EPP with Grace Years for Principal and on Interest",
        IF(AND(BY$48&gt;=($E89+$S89), BY$48&lt;=($E89+$Q89)),
-PMT($P89,($Q89-$S89+1),($K89*(VLOOKUP($C$39,$C$37:$BL$44,MATCH($E89,$C$37:$BL$37,0),FALSE)/VLOOKUP($L89,$C$37:$BL$44,MATCH($E89,$C$37:$BL$37,0),FALSE))*
IF($B$5="Foreign Currency",VLOOKUP($C$38,$C$37:$BL$44,MATCH(BY$48,$C$37:$BL$37,0),FALSE)/VLOOKUP($C$39,$C$37:$BL$44,MATCH(BY$48,$C$37:$BL$37,0),FALSE),1))*((1+$P89)^$S89),0), 0),
    0)))))),"")</f>
        <v>0</v>
      </c>
      <c r="BZ89" s="171">
        <f t="shared" si="101"/>
        <v>0</v>
      </c>
      <c r="CA89" s="171">
        <f t="shared" si="101"/>
        <v>0</v>
      </c>
      <c r="CB89" s="171">
        <f t="shared" si="101"/>
        <v>0</v>
      </c>
      <c r="CC89" s="171">
        <f t="shared" si="101"/>
        <v>0</v>
      </c>
      <c r="CD89" s="171">
        <f t="shared" si="101"/>
        <v>0</v>
      </c>
      <c r="CE89" s="171">
        <f t="shared" si="101"/>
        <v>0</v>
      </c>
      <c r="CF89" s="171">
        <f t="shared" si="101"/>
        <v>0</v>
      </c>
      <c r="CG89" s="171">
        <f t="shared" si="101"/>
        <v>0</v>
      </c>
      <c r="CH89" s="171">
        <f t="shared" si="101"/>
        <v>0</v>
      </c>
      <c r="CI89" s="171">
        <f t="shared" si="101"/>
        <v>0</v>
      </c>
      <c r="CJ89" s="243"/>
      <c r="CK89" s="171">
        <f t="shared" si="16"/>
        <v>0</v>
      </c>
      <c r="CL89" s="171">
        <f t="shared" si="17"/>
        <v>0</v>
      </c>
      <c r="CM89" s="171">
        <f t="shared" si="18"/>
        <v>0</v>
      </c>
      <c r="CN89" s="171">
        <f t="shared" si="19"/>
        <v>0</v>
      </c>
      <c r="CO89" s="171">
        <f t="shared" si="20"/>
        <v>0</v>
      </c>
      <c r="CP89" s="171">
        <f t="shared" si="21"/>
        <v>0</v>
      </c>
      <c r="CQ89" s="171">
        <f t="shared" si="22"/>
        <v>0</v>
      </c>
      <c r="CR89" s="171">
        <f t="shared" si="23"/>
        <v>0</v>
      </c>
      <c r="CS89" s="171">
        <f t="shared" si="24"/>
        <v>0</v>
      </c>
      <c r="CT89" s="171">
        <f t="shared" si="25"/>
        <v>0</v>
      </c>
      <c r="CU89" s="171">
        <f t="shared" si="26"/>
        <v>0</v>
      </c>
      <c r="CV89" s="171">
        <f t="shared" si="27"/>
        <v>0</v>
      </c>
      <c r="CW89" s="171">
        <f t="shared" si="28"/>
        <v>0</v>
      </c>
      <c r="CX89" s="171">
        <f t="shared" si="29"/>
        <v>0.17100000000000001</v>
      </c>
      <c r="CY89" s="171">
        <f t="shared" ca="1" si="30"/>
        <v>0.16234178602937163</v>
      </c>
      <c r="CZ89" s="171">
        <f t="shared" ca="1" si="31"/>
        <v>0.15412196193687885</v>
      </c>
      <c r="DA89" s="171">
        <f t="shared" ca="1" si="32"/>
        <v>0.14631833080224413</v>
      </c>
      <c r="DB89" s="171">
        <f t="shared" ca="1" si="33"/>
        <v>0.13890981959808613</v>
      </c>
      <c r="DC89" s="171">
        <f t="shared" ca="1" si="34"/>
        <v>4.0685469327014765</v>
      </c>
      <c r="DD89" s="171">
        <f t="shared" ca="1" si="35"/>
        <v>3.8625448865443235</v>
      </c>
      <c r="DE89" s="171">
        <f t="shared" ca="1" si="36"/>
        <v>3.6669733070188428</v>
      </c>
      <c r="DF89" s="171">
        <f t="shared" ca="1" si="37"/>
        <v>3.4813040700787732</v>
      </c>
      <c r="DG89" s="171">
        <f t="shared" ca="1" si="38"/>
        <v>3.305035792093034</v>
      </c>
      <c r="DH89" s="171">
        <f t="shared" ca="1" si="39"/>
        <v>3.1376924759028193</v>
      </c>
      <c r="DI89" s="171">
        <f t="shared" ca="1" si="40"/>
        <v>2.9788222254326593</v>
      </c>
      <c r="DJ89" s="171">
        <f t="shared" ca="1" si="41"/>
        <v>2.8279960253843592</v>
      </c>
      <c r="DK89" s="171">
        <f t="shared" ca="1" si="42"/>
        <v>2.6848065827184855</v>
      </c>
      <c r="DL89" s="171">
        <f t="shared" ca="1" si="43"/>
        <v>2.5488672267949286</v>
      </c>
      <c r="DM89" s="171">
        <f t="shared" ca="1" si="44"/>
        <v>2.4198108652024573</v>
      </c>
      <c r="DN89" s="171">
        <f t="shared" ca="1" si="45"/>
        <v>0</v>
      </c>
      <c r="DO89" s="171">
        <f t="shared" ca="1" si="46"/>
        <v>0</v>
      </c>
      <c r="DP89" s="171">
        <f t="shared" ca="1" si="47"/>
        <v>0</v>
      </c>
      <c r="DQ89" s="171">
        <f t="shared" ca="1" si="48"/>
        <v>0</v>
      </c>
      <c r="DR89" s="171">
        <f t="shared" ca="1" si="49"/>
        <v>0</v>
      </c>
      <c r="DS89" s="171">
        <f t="shared" ca="1" si="50"/>
        <v>0</v>
      </c>
      <c r="DT89" s="171">
        <f t="shared" ca="1" si="51"/>
        <v>0</v>
      </c>
      <c r="DU89" s="171">
        <f t="shared" ca="1" si="52"/>
        <v>0</v>
      </c>
      <c r="DV89" s="171">
        <f t="shared" ca="1" si="53"/>
        <v>0</v>
      </c>
      <c r="DW89" s="171">
        <f t="shared" ca="1" si="54"/>
        <v>0</v>
      </c>
      <c r="DX89" s="171">
        <f t="shared" ca="1" si="55"/>
        <v>0</v>
      </c>
      <c r="DY89" s="171">
        <f t="shared" ca="1" si="56"/>
        <v>0</v>
      </c>
      <c r="DZ89" s="171">
        <f t="shared" ca="1" si="57"/>
        <v>0</v>
      </c>
      <c r="EA89" s="171">
        <f t="shared" ca="1" si="58"/>
        <v>0</v>
      </c>
      <c r="EB89" s="171">
        <f t="shared" ca="1" si="59"/>
        <v>0</v>
      </c>
      <c r="EC89" s="171">
        <f t="shared" ca="1" si="60"/>
        <v>0</v>
      </c>
      <c r="ED89" s="171">
        <f t="shared" ca="1" si="61"/>
        <v>0</v>
      </c>
      <c r="EE89" s="171">
        <f t="shared" ca="1" si="62"/>
        <v>0</v>
      </c>
      <c r="EF89" s="171">
        <f t="shared" ca="1" si="63"/>
        <v>0</v>
      </c>
      <c r="EG89" s="171">
        <f t="shared" ca="1" si="64"/>
        <v>0</v>
      </c>
      <c r="EH89" s="171">
        <f t="shared" ca="1" si="65"/>
        <v>0</v>
      </c>
      <c r="EI89" s="171">
        <f t="shared" ca="1" si="66"/>
        <v>0</v>
      </c>
      <c r="EJ89" s="171">
        <f t="shared" ca="1" si="67"/>
        <v>0</v>
      </c>
      <c r="EK89" s="171">
        <f t="shared" ca="1" si="68"/>
        <v>0</v>
      </c>
      <c r="EL89" s="171">
        <f t="shared" ca="1" si="69"/>
        <v>0</v>
      </c>
      <c r="EM89" s="171">
        <f t="shared" ca="1" si="70"/>
        <v>0</v>
      </c>
      <c r="EN89" s="171">
        <f t="shared" ca="1" si="71"/>
        <v>0</v>
      </c>
      <c r="EO89" s="171">
        <f t="shared" ca="1" si="72"/>
        <v>0</v>
      </c>
      <c r="EP89" s="171">
        <f t="shared" ca="1" si="73"/>
        <v>0</v>
      </c>
      <c r="EQ89" s="171">
        <f t="shared" ca="1" si="74"/>
        <v>0</v>
      </c>
      <c r="ER89" s="171">
        <f t="shared" ca="1" si="75"/>
        <v>0</v>
      </c>
      <c r="ES89" s="171">
        <f t="shared" ca="1" si="76"/>
        <v>0</v>
      </c>
    </row>
    <row r="90" spans="1:149">
      <c r="A90" s="139" t="s">
        <v>454</v>
      </c>
      <c r="B90" s="160" t="s">
        <v>420</v>
      </c>
      <c r="C90" s="160" t="s">
        <v>105</v>
      </c>
      <c r="D90" s="160" t="s">
        <v>428</v>
      </c>
      <c r="E90" s="160">
        <v>2023</v>
      </c>
      <c r="F90" s="160" t="s">
        <v>400</v>
      </c>
      <c r="G90" s="174" t="s">
        <v>402</v>
      </c>
      <c r="H90" s="160" t="s">
        <v>396</v>
      </c>
      <c r="I90" s="160" t="s">
        <v>183</v>
      </c>
      <c r="J90" s="160" t="s">
        <v>401</v>
      </c>
      <c r="K90" s="187">
        <v>5</v>
      </c>
      <c r="L90" s="163" t="s">
        <v>110</v>
      </c>
      <c r="M90" s="164">
        <f t="shared" si="0"/>
        <v>5</v>
      </c>
      <c r="N90" s="164">
        <f t="shared" si="1"/>
        <v>5</v>
      </c>
      <c r="O90" s="165">
        <f t="shared" si="2"/>
        <v>1</v>
      </c>
      <c r="P90" s="176">
        <v>0</v>
      </c>
      <c r="Q90" s="177">
        <v>1</v>
      </c>
      <c r="R90" s="168">
        <f t="shared" si="95"/>
        <v>0</v>
      </c>
      <c r="S90" s="178">
        <v>0</v>
      </c>
      <c r="T90" s="174" t="s">
        <v>398</v>
      </c>
      <c r="U90" s="171">
        <f t="shared" si="4"/>
        <v>5</v>
      </c>
      <c r="V90" s="171">
        <f t="shared" ca="1" si="5"/>
        <v>4.8734179244060183</v>
      </c>
      <c r="W90" s="171">
        <f t="shared" ca="1" si="6"/>
        <v>4.8734179244060183</v>
      </c>
      <c r="X90" s="172">
        <f t="shared" si="7"/>
        <v>0.84745762711864392</v>
      </c>
      <c r="Y90" s="172">
        <f t="shared" si="8"/>
        <v>0.15254237288135608</v>
      </c>
      <c r="Z90" s="173">
        <f t="shared" si="9"/>
        <v>5</v>
      </c>
      <c r="AA90" s="171">
        <f t="shared" si="96"/>
        <v>0</v>
      </c>
      <c r="AB90" s="171">
        <f t="shared" si="96"/>
        <v>0</v>
      </c>
      <c r="AC90" s="171">
        <f t="shared" si="96"/>
        <v>0</v>
      </c>
      <c r="AD90" s="171">
        <f t="shared" si="96"/>
        <v>0</v>
      </c>
      <c r="AE90" s="171">
        <f t="shared" si="96"/>
        <v>0</v>
      </c>
      <c r="AF90" s="171">
        <f t="shared" si="96"/>
        <v>0</v>
      </c>
      <c r="AG90" s="171">
        <f t="shared" si="96"/>
        <v>0</v>
      </c>
      <c r="AH90" s="171">
        <f t="shared" si="96"/>
        <v>0</v>
      </c>
      <c r="AI90" s="171">
        <f t="shared" si="96"/>
        <v>0</v>
      </c>
      <c r="AJ90" s="171">
        <f t="shared" si="96"/>
        <v>0</v>
      </c>
      <c r="AK90" s="171">
        <f t="shared" si="97"/>
        <v>0</v>
      </c>
      <c r="AL90" s="171">
        <f t="shared" si="97"/>
        <v>0</v>
      </c>
      <c r="AM90" s="171">
        <f t="shared" si="97"/>
        <v>0</v>
      </c>
      <c r="AN90" s="171">
        <f t="shared" si="97"/>
        <v>2.5</v>
      </c>
      <c r="AO90" s="171">
        <f t="shared" si="97"/>
        <v>2.5</v>
      </c>
      <c r="AP90" s="171">
        <f t="shared" si="97"/>
        <v>0</v>
      </c>
      <c r="AQ90" s="171">
        <f t="shared" si="97"/>
        <v>0</v>
      </c>
      <c r="AR90" s="171">
        <f t="shared" si="97"/>
        <v>0</v>
      </c>
      <c r="AS90" s="171">
        <f t="shared" si="97"/>
        <v>0</v>
      </c>
      <c r="AT90" s="171">
        <f t="shared" si="97"/>
        <v>0</v>
      </c>
      <c r="AU90" s="171">
        <f t="shared" si="98"/>
        <v>0</v>
      </c>
      <c r="AV90" s="171">
        <f t="shared" si="98"/>
        <v>0</v>
      </c>
      <c r="AW90" s="171">
        <f t="shared" si="98"/>
        <v>0</v>
      </c>
      <c r="AX90" s="171">
        <f t="shared" si="98"/>
        <v>0</v>
      </c>
      <c r="AY90" s="171">
        <f t="shared" si="98"/>
        <v>0</v>
      </c>
      <c r="AZ90" s="171">
        <f t="shared" si="98"/>
        <v>0</v>
      </c>
      <c r="BA90" s="171">
        <f t="shared" si="98"/>
        <v>0</v>
      </c>
      <c r="BB90" s="171">
        <f t="shared" si="98"/>
        <v>0</v>
      </c>
      <c r="BC90" s="171">
        <f t="shared" si="98"/>
        <v>0</v>
      </c>
      <c r="BD90" s="171">
        <f t="shared" si="98"/>
        <v>0</v>
      </c>
      <c r="BE90" s="171">
        <f t="shared" si="99"/>
        <v>0</v>
      </c>
      <c r="BF90" s="171">
        <f t="shared" si="99"/>
        <v>0</v>
      </c>
      <c r="BG90" s="171">
        <f t="shared" si="99"/>
        <v>0</v>
      </c>
      <c r="BH90" s="171">
        <f t="shared" si="99"/>
        <v>0</v>
      </c>
      <c r="BI90" s="171">
        <f t="shared" si="99"/>
        <v>0</v>
      </c>
      <c r="BJ90" s="171">
        <f t="shared" si="99"/>
        <v>0</v>
      </c>
      <c r="BK90" s="171">
        <f t="shared" si="99"/>
        <v>0</v>
      </c>
      <c r="BL90" s="171">
        <f t="shared" si="99"/>
        <v>0</v>
      </c>
      <c r="BM90" s="171">
        <f t="shared" si="99"/>
        <v>0</v>
      </c>
      <c r="BN90" s="171">
        <f t="shared" si="99"/>
        <v>0</v>
      </c>
      <c r="BO90" s="171">
        <f t="shared" si="100"/>
        <v>0</v>
      </c>
      <c r="BP90" s="171">
        <f t="shared" si="100"/>
        <v>0</v>
      </c>
      <c r="BQ90" s="171">
        <f t="shared" si="100"/>
        <v>0</v>
      </c>
      <c r="BR90" s="171">
        <f t="shared" si="100"/>
        <v>0</v>
      </c>
      <c r="BS90" s="171">
        <f t="shared" si="100"/>
        <v>0</v>
      </c>
      <c r="BT90" s="171">
        <f t="shared" si="100"/>
        <v>0</v>
      </c>
      <c r="BU90" s="171">
        <f t="shared" si="100"/>
        <v>0</v>
      </c>
      <c r="BV90" s="171">
        <f t="shared" si="100"/>
        <v>0</v>
      </c>
      <c r="BW90" s="171">
        <f t="shared" si="100"/>
        <v>0</v>
      </c>
      <c r="BX90" s="171">
        <f t="shared" si="100"/>
        <v>0</v>
      </c>
      <c r="BY90" s="171">
        <f t="shared" si="101"/>
        <v>0</v>
      </c>
      <c r="BZ90" s="171">
        <f t="shared" si="101"/>
        <v>0</v>
      </c>
      <c r="CA90" s="171">
        <f t="shared" si="101"/>
        <v>0</v>
      </c>
      <c r="CB90" s="171">
        <f t="shared" si="101"/>
        <v>0</v>
      </c>
      <c r="CC90" s="171">
        <f t="shared" si="101"/>
        <v>0</v>
      </c>
      <c r="CD90" s="171">
        <f t="shared" si="101"/>
        <v>0</v>
      </c>
      <c r="CE90" s="171">
        <f t="shared" si="101"/>
        <v>0</v>
      </c>
      <c r="CF90" s="171">
        <f t="shared" si="101"/>
        <v>0</v>
      </c>
      <c r="CG90" s="171">
        <f t="shared" si="101"/>
        <v>0</v>
      </c>
      <c r="CH90" s="171">
        <f t="shared" si="101"/>
        <v>0</v>
      </c>
      <c r="CI90" s="171">
        <f t="shared" si="101"/>
        <v>0</v>
      </c>
      <c r="CJ90" s="243"/>
      <c r="CK90" s="171">
        <f t="shared" si="16"/>
        <v>0</v>
      </c>
      <c r="CL90" s="171">
        <f t="shared" si="17"/>
        <v>0</v>
      </c>
      <c r="CM90" s="171">
        <f t="shared" si="18"/>
        <v>0</v>
      </c>
      <c r="CN90" s="171">
        <f t="shared" si="19"/>
        <v>0</v>
      </c>
      <c r="CO90" s="171">
        <f t="shared" si="20"/>
        <v>0</v>
      </c>
      <c r="CP90" s="171">
        <f t="shared" si="21"/>
        <v>0</v>
      </c>
      <c r="CQ90" s="171">
        <f t="shared" si="22"/>
        <v>0</v>
      </c>
      <c r="CR90" s="171">
        <f t="shared" si="23"/>
        <v>0</v>
      </c>
      <c r="CS90" s="171">
        <f t="shared" si="24"/>
        <v>0</v>
      </c>
      <c r="CT90" s="171">
        <f t="shared" si="25"/>
        <v>0</v>
      </c>
      <c r="CU90" s="171">
        <f t="shared" si="26"/>
        <v>0</v>
      </c>
      <c r="CV90" s="171">
        <f t="shared" si="27"/>
        <v>0</v>
      </c>
      <c r="CW90" s="171">
        <f t="shared" si="28"/>
        <v>0</v>
      </c>
      <c r="CX90" s="171">
        <f t="shared" si="29"/>
        <v>2.5</v>
      </c>
      <c r="CY90" s="171">
        <f t="shared" ca="1" si="30"/>
        <v>2.3734179244060178</v>
      </c>
      <c r="CZ90" s="171">
        <f t="shared" ca="1" si="31"/>
        <v>0</v>
      </c>
      <c r="DA90" s="171">
        <f t="shared" ca="1" si="32"/>
        <v>0</v>
      </c>
      <c r="DB90" s="171">
        <f t="shared" ca="1" si="33"/>
        <v>0</v>
      </c>
      <c r="DC90" s="171">
        <f t="shared" ca="1" si="34"/>
        <v>0</v>
      </c>
      <c r="DD90" s="171">
        <f t="shared" ca="1" si="35"/>
        <v>0</v>
      </c>
      <c r="DE90" s="171">
        <f t="shared" ca="1" si="36"/>
        <v>0</v>
      </c>
      <c r="DF90" s="171">
        <f t="shared" ca="1" si="37"/>
        <v>0</v>
      </c>
      <c r="DG90" s="171">
        <f t="shared" ca="1" si="38"/>
        <v>0</v>
      </c>
      <c r="DH90" s="171">
        <f t="shared" ca="1" si="39"/>
        <v>0</v>
      </c>
      <c r="DI90" s="171">
        <f t="shared" ca="1" si="40"/>
        <v>0</v>
      </c>
      <c r="DJ90" s="171">
        <f t="shared" ca="1" si="41"/>
        <v>0</v>
      </c>
      <c r="DK90" s="171">
        <f t="shared" ca="1" si="42"/>
        <v>0</v>
      </c>
      <c r="DL90" s="171">
        <f t="shared" ca="1" si="43"/>
        <v>0</v>
      </c>
      <c r="DM90" s="171">
        <f t="shared" ca="1" si="44"/>
        <v>0</v>
      </c>
      <c r="DN90" s="171">
        <f t="shared" ca="1" si="45"/>
        <v>0</v>
      </c>
      <c r="DO90" s="171">
        <f t="shared" ca="1" si="46"/>
        <v>0</v>
      </c>
      <c r="DP90" s="171">
        <f t="shared" ca="1" si="47"/>
        <v>0</v>
      </c>
      <c r="DQ90" s="171">
        <f t="shared" ca="1" si="48"/>
        <v>0</v>
      </c>
      <c r="DR90" s="171">
        <f t="shared" ca="1" si="49"/>
        <v>0</v>
      </c>
      <c r="DS90" s="171">
        <f t="shared" ca="1" si="50"/>
        <v>0</v>
      </c>
      <c r="DT90" s="171">
        <f t="shared" ca="1" si="51"/>
        <v>0</v>
      </c>
      <c r="DU90" s="171">
        <f t="shared" ca="1" si="52"/>
        <v>0</v>
      </c>
      <c r="DV90" s="171">
        <f t="shared" ca="1" si="53"/>
        <v>0</v>
      </c>
      <c r="DW90" s="171">
        <f t="shared" ca="1" si="54"/>
        <v>0</v>
      </c>
      <c r="DX90" s="171">
        <f t="shared" ca="1" si="55"/>
        <v>0</v>
      </c>
      <c r="DY90" s="171">
        <f t="shared" ca="1" si="56"/>
        <v>0</v>
      </c>
      <c r="DZ90" s="171">
        <f t="shared" ca="1" si="57"/>
        <v>0</v>
      </c>
      <c r="EA90" s="171">
        <f t="shared" ca="1" si="58"/>
        <v>0</v>
      </c>
      <c r="EB90" s="171">
        <f t="shared" ca="1" si="59"/>
        <v>0</v>
      </c>
      <c r="EC90" s="171">
        <f t="shared" ca="1" si="60"/>
        <v>0</v>
      </c>
      <c r="ED90" s="171">
        <f t="shared" ca="1" si="61"/>
        <v>0</v>
      </c>
      <c r="EE90" s="171">
        <f t="shared" ca="1" si="62"/>
        <v>0</v>
      </c>
      <c r="EF90" s="171">
        <f t="shared" ca="1" si="63"/>
        <v>0</v>
      </c>
      <c r="EG90" s="171">
        <f t="shared" ca="1" si="64"/>
        <v>0</v>
      </c>
      <c r="EH90" s="171">
        <f t="shared" ca="1" si="65"/>
        <v>0</v>
      </c>
      <c r="EI90" s="171">
        <f t="shared" ca="1" si="66"/>
        <v>0</v>
      </c>
      <c r="EJ90" s="171">
        <f t="shared" ca="1" si="67"/>
        <v>0</v>
      </c>
      <c r="EK90" s="171">
        <f t="shared" ca="1" si="68"/>
        <v>0</v>
      </c>
      <c r="EL90" s="171">
        <f t="shared" ca="1" si="69"/>
        <v>0</v>
      </c>
      <c r="EM90" s="171">
        <f t="shared" ca="1" si="70"/>
        <v>0</v>
      </c>
      <c r="EN90" s="171">
        <f t="shared" ca="1" si="71"/>
        <v>0</v>
      </c>
      <c r="EO90" s="171">
        <f t="shared" ca="1" si="72"/>
        <v>0</v>
      </c>
      <c r="EP90" s="171">
        <f t="shared" ca="1" si="73"/>
        <v>0</v>
      </c>
      <c r="EQ90" s="171">
        <f t="shared" ca="1" si="74"/>
        <v>0</v>
      </c>
      <c r="ER90" s="171">
        <f t="shared" ca="1" si="75"/>
        <v>0</v>
      </c>
      <c r="ES90" s="171">
        <f t="shared" ca="1" si="76"/>
        <v>0</v>
      </c>
    </row>
    <row r="91" spans="1:149">
      <c r="A91" s="139" t="s">
        <v>456</v>
      </c>
      <c r="B91" s="160" t="s">
        <v>430</v>
      </c>
      <c r="C91" s="160" t="s">
        <v>109</v>
      </c>
      <c r="D91" s="160" t="s">
        <v>428</v>
      </c>
      <c r="E91" s="160">
        <v>2012</v>
      </c>
      <c r="F91" s="160" t="s">
        <v>395</v>
      </c>
      <c r="G91" s="160" t="s">
        <v>402</v>
      </c>
      <c r="H91" s="160" t="s">
        <v>396</v>
      </c>
      <c r="I91" s="160" t="s">
        <v>178</v>
      </c>
      <c r="J91" s="160" t="s">
        <v>407</v>
      </c>
      <c r="K91" s="187">
        <v>166</v>
      </c>
      <c r="L91" s="163" t="s">
        <v>110</v>
      </c>
      <c r="M91" s="164">
        <f t="shared" si="0"/>
        <v>166</v>
      </c>
      <c r="N91" s="164">
        <f t="shared" si="1"/>
        <v>166</v>
      </c>
      <c r="O91" s="165">
        <f t="shared" si="2"/>
        <v>1</v>
      </c>
      <c r="P91" s="180">
        <v>2.8010093808630395E-2</v>
      </c>
      <c r="Q91" s="183">
        <v>30.795739434207817</v>
      </c>
      <c r="R91" s="168">
        <f t="shared" si="95"/>
        <v>18.795739434207817</v>
      </c>
      <c r="S91" s="183">
        <v>6.5156108439612517</v>
      </c>
      <c r="T91" s="170" t="s">
        <v>403</v>
      </c>
      <c r="U91" s="171">
        <f t="shared" si="4"/>
        <v>8.2666325944296659</v>
      </c>
      <c r="V91" s="171">
        <f t="shared" ca="1" si="5"/>
        <v>6.0927918320153731</v>
      </c>
      <c r="W91" s="171">
        <f t="shared" ca="1" si="6"/>
        <v>187.63202968561512</v>
      </c>
      <c r="X91" s="172">
        <f t="shared" si="7"/>
        <v>0.20710607883565602</v>
      </c>
      <c r="Y91" s="172">
        <f t="shared" si="8"/>
        <v>0.79289392116434398</v>
      </c>
      <c r="Z91" s="173">
        <f t="shared" si="9"/>
        <v>254.57706337638533</v>
      </c>
      <c r="AA91" s="171">
        <f t="shared" si="96"/>
        <v>0</v>
      </c>
      <c r="AB91" s="171">
        <f t="shared" si="96"/>
        <v>0</v>
      </c>
      <c r="AC91" s="171">
        <f t="shared" si="96"/>
        <v>4.6496755722326455</v>
      </c>
      <c r="AD91" s="171">
        <f t="shared" si="96"/>
        <v>4.6496755722326455</v>
      </c>
      <c r="AE91" s="171">
        <f t="shared" si="96"/>
        <v>4.6496755722326455</v>
      </c>
      <c r="AF91" s="171">
        <f t="shared" si="96"/>
        <v>4.6496755722326455</v>
      </c>
      <c r="AG91" s="171">
        <f t="shared" si="96"/>
        <v>4.6496755722326455</v>
      </c>
      <c r="AH91" s="171">
        <f t="shared" si="96"/>
        <v>4.6496755722326455</v>
      </c>
      <c r="AI91" s="171">
        <f t="shared" si="96"/>
        <v>4.6496755722326455</v>
      </c>
      <c r="AJ91" s="171">
        <f t="shared" si="96"/>
        <v>9.2512222654481935</v>
      </c>
      <c r="AK91" s="171">
        <f t="shared" si="97"/>
        <v>9.2512222654481935</v>
      </c>
      <c r="AL91" s="171">
        <f t="shared" si="97"/>
        <v>9.2512222654481935</v>
      </c>
      <c r="AM91" s="171">
        <f t="shared" si="97"/>
        <v>9.2512222654481935</v>
      </c>
      <c r="AN91" s="171">
        <f t="shared" si="97"/>
        <v>9.2512222654481935</v>
      </c>
      <c r="AO91" s="171">
        <f t="shared" si="97"/>
        <v>9.2512222654481935</v>
      </c>
      <c r="AP91" s="171">
        <f t="shared" si="97"/>
        <v>9.2512222654481935</v>
      </c>
      <c r="AQ91" s="171">
        <f t="shared" si="97"/>
        <v>9.2512222654481935</v>
      </c>
      <c r="AR91" s="171">
        <f t="shared" si="97"/>
        <v>9.2512222654481935</v>
      </c>
      <c r="AS91" s="171">
        <f t="shared" si="97"/>
        <v>9.2512222654481935</v>
      </c>
      <c r="AT91" s="171">
        <f t="shared" si="97"/>
        <v>9.2512222654481935</v>
      </c>
      <c r="AU91" s="171">
        <f t="shared" si="98"/>
        <v>9.2512222654481935</v>
      </c>
      <c r="AV91" s="171">
        <f t="shared" si="98"/>
        <v>9.2512222654481935</v>
      </c>
      <c r="AW91" s="171">
        <f t="shared" si="98"/>
        <v>9.2512222654481935</v>
      </c>
      <c r="AX91" s="171">
        <f t="shared" si="98"/>
        <v>9.2512222654481935</v>
      </c>
      <c r="AY91" s="171">
        <f t="shared" si="98"/>
        <v>9.2512222654481935</v>
      </c>
      <c r="AZ91" s="171">
        <f t="shared" si="98"/>
        <v>9.2512222654481935</v>
      </c>
      <c r="BA91" s="171">
        <f t="shared" si="98"/>
        <v>9.2512222654481935</v>
      </c>
      <c r="BB91" s="171">
        <f t="shared" si="98"/>
        <v>9.2512222654481935</v>
      </c>
      <c r="BC91" s="171">
        <f t="shared" si="98"/>
        <v>9.2512222654481935</v>
      </c>
      <c r="BD91" s="171">
        <f t="shared" si="98"/>
        <v>9.2512222654481935</v>
      </c>
      <c r="BE91" s="171">
        <f t="shared" si="99"/>
        <v>9.2512222654481935</v>
      </c>
      <c r="BF91" s="171">
        <f t="shared" si="99"/>
        <v>9.2512222654481935</v>
      </c>
      <c r="BG91" s="171">
        <f t="shared" si="99"/>
        <v>9.2512222654481935</v>
      </c>
      <c r="BH91" s="171">
        <f t="shared" si="99"/>
        <v>0</v>
      </c>
      <c r="BI91" s="171">
        <f t="shared" si="99"/>
        <v>0</v>
      </c>
      <c r="BJ91" s="171">
        <f t="shared" si="99"/>
        <v>0</v>
      </c>
      <c r="BK91" s="171">
        <f t="shared" si="99"/>
        <v>0</v>
      </c>
      <c r="BL91" s="171">
        <f t="shared" si="99"/>
        <v>0</v>
      </c>
      <c r="BM91" s="171">
        <f t="shared" si="99"/>
        <v>0</v>
      </c>
      <c r="BN91" s="171">
        <f t="shared" si="99"/>
        <v>0</v>
      </c>
      <c r="BO91" s="171">
        <f t="shared" si="100"/>
        <v>0</v>
      </c>
      <c r="BP91" s="171">
        <f t="shared" si="100"/>
        <v>0</v>
      </c>
      <c r="BQ91" s="171">
        <f t="shared" si="100"/>
        <v>0</v>
      </c>
      <c r="BR91" s="171">
        <f t="shared" si="100"/>
        <v>0</v>
      </c>
      <c r="BS91" s="171">
        <f t="shared" si="100"/>
        <v>0</v>
      </c>
      <c r="BT91" s="171">
        <f t="shared" si="100"/>
        <v>0</v>
      </c>
      <c r="BU91" s="171">
        <f t="shared" si="100"/>
        <v>0</v>
      </c>
      <c r="BV91" s="171">
        <f t="shared" si="100"/>
        <v>0</v>
      </c>
      <c r="BW91" s="171">
        <f t="shared" si="100"/>
        <v>0</v>
      </c>
      <c r="BX91" s="171">
        <f t="shared" si="100"/>
        <v>0</v>
      </c>
      <c r="BY91" s="171">
        <f t="shared" si="101"/>
        <v>0</v>
      </c>
      <c r="BZ91" s="171">
        <f t="shared" si="101"/>
        <v>0</v>
      </c>
      <c r="CA91" s="171">
        <f t="shared" si="101"/>
        <v>0</v>
      </c>
      <c r="CB91" s="171">
        <f t="shared" si="101"/>
        <v>0</v>
      </c>
      <c r="CC91" s="171">
        <f t="shared" si="101"/>
        <v>0</v>
      </c>
      <c r="CD91" s="171">
        <f t="shared" si="101"/>
        <v>0</v>
      </c>
      <c r="CE91" s="171">
        <f t="shared" si="101"/>
        <v>0</v>
      </c>
      <c r="CF91" s="171">
        <f t="shared" si="101"/>
        <v>0</v>
      </c>
      <c r="CG91" s="171">
        <f t="shared" si="101"/>
        <v>0</v>
      </c>
      <c r="CH91" s="171">
        <f t="shared" si="101"/>
        <v>0</v>
      </c>
      <c r="CI91" s="171">
        <f t="shared" si="101"/>
        <v>0</v>
      </c>
      <c r="CJ91" s="243"/>
      <c r="CK91" s="171">
        <f t="shared" si="16"/>
        <v>0</v>
      </c>
      <c r="CL91" s="171">
        <f t="shared" si="17"/>
        <v>0</v>
      </c>
      <c r="CM91" s="171">
        <f t="shared" si="18"/>
        <v>4.6496755722326455</v>
      </c>
      <c r="CN91" s="171">
        <f t="shared" si="19"/>
        <v>4.6496755722326455</v>
      </c>
      <c r="CO91" s="171">
        <f t="shared" si="20"/>
        <v>4.6496755722326455</v>
      </c>
      <c r="CP91" s="171">
        <f t="shared" si="21"/>
        <v>4.6496755722326455</v>
      </c>
      <c r="CQ91" s="171">
        <f t="shared" si="22"/>
        <v>4.6496755722326455</v>
      </c>
      <c r="CR91" s="171">
        <f t="shared" si="23"/>
        <v>4.6496755722326455</v>
      </c>
      <c r="CS91" s="171">
        <f t="shared" si="24"/>
        <v>4.6496755722326455</v>
      </c>
      <c r="CT91" s="171">
        <f t="shared" si="25"/>
        <v>9.2512222654481935</v>
      </c>
      <c r="CU91" s="171">
        <f t="shared" si="26"/>
        <v>9.2512222654481935</v>
      </c>
      <c r="CV91" s="171">
        <f t="shared" si="27"/>
        <v>9.2512222654481935</v>
      </c>
      <c r="CW91" s="171">
        <f t="shared" si="28"/>
        <v>9.2512222654481935</v>
      </c>
      <c r="CX91" s="171">
        <f t="shared" si="29"/>
        <v>9.2512222654481935</v>
      </c>
      <c r="CY91" s="171">
        <f t="shared" ca="1" si="30"/>
        <v>8.7828066989915161</v>
      </c>
      <c r="CZ91" s="171">
        <f t="shared" ca="1" si="31"/>
        <v>8.3381083383918853</v>
      </c>
      <c r="DA91" s="171">
        <f t="shared" ca="1" si="32"/>
        <v>7.9159263143914318</v>
      </c>
      <c r="DB91" s="171">
        <f t="shared" ca="1" si="33"/>
        <v>7.5151205611415568</v>
      </c>
      <c r="DC91" s="171">
        <f t="shared" ca="1" si="34"/>
        <v>7.1346087375542329</v>
      </c>
      <c r="DD91" s="171">
        <f t="shared" ca="1" si="35"/>
        <v>6.7733633045340023</v>
      </c>
      <c r="DE91" s="171">
        <f t="shared" ca="1" si="36"/>
        <v>6.4304087501979925</v>
      </c>
      <c r="DF91" s="171">
        <f t="shared" ca="1" si="37"/>
        <v>6.1048189555908854</v>
      </c>
      <c r="DG91" s="171">
        <f t="shared" ca="1" si="38"/>
        <v>5.7957146937812141</v>
      </c>
      <c r="DH91" s="171">
        <f t="shared" ca="1" si="39"/>
        <v>5.5022612555854673</v>
      </c>
      <c r="DI91" s="171">
        <f t="shared" ca="1" si="40"/>
        <v>5.2236661955085237</v>
      </c>
      <c r="DJ91" s="171">
        <f t="shared" ca="1" si="41"/>
        <v>4.959177191813489</v>
      </c>
      <c r="DK91" s="171">
        <f t="shared" ca="1" si="42"/>
        <v>4.7080800149422535</v>
      </c>
      <c r="DL91" s="171">
        <f t="shared" ca="1" si="43"/>
        <v>4.4696965988006792</v>
      </c>
      <c r="DM91" s="171">
        <f t="shared" ca="1" si="44"/>
        <v>4.2433832097000588</v>
      </c>
      <c r="DN91" s="171">
        <f t="shared" ca="1" si="45"/>
        <v>4.0285287080102634</v>
      </c>
      <c r="DO91" s="171">
        <f t="shared" ca="1" si="46"/>
        <v>3.8245528978303107</v>
      </c>
      <c r="DP91" s="171">
        <f t="shared" ca="1" si="47"/>
        <v>3.6309049602197745</v>
      </c>
      <c r="DQ91" s="171">
        <f t="shared" ca="1" si="48"/>
        <v>3.4470619657601334</v>
      </c>
      <c r="DR91" s="171">
        <f t="shared" ca="1" si="49"/>
        <v>0</v>
      </c>
      <c r="DS91" s="171">
        <f t="shared" ca="1" si="50"/>
        <v>0</v>
      </c>
      <c r="DT91" s="171">
        <f t="shared" ca="1" si="51"/>
        <v>0</v>
      </c>
      <c r="DU91" s="171">
        <f t="shared" ca="1" si="52"/>
        <v>0</v>
      </c>
      <c r="DV91" s="171">
        <f t="shared" ca="1" si="53"/>
        <v>0</v>
      </c>
      <c r="DW91" s="171">
        <f t="shared" ca="1" si="54"/>
        <v>0</v>
      </c>
      <c r="DX91" s="171">
        <f t="shared" ca="1" si="55"/>
        <v>0</v>
      </c>
      <c r="DY91" s="171">
        <f t="shared" ca="1" si="56"/>
        <v>0</v>
      </c>
      <c r="DZ91" s="171">
        <f t="shared" ca="1" si="57"/>
        <v>0</v>
      </c>
      <c r="EA91" s="171">
        <f t="shared" ca="1" si="58"/>
        <v>0</v>
      </c>
      <c r="EB91" s="171">
        <f t="shared" ca="1" si="59"/>
        <v>0</v>
      </c>
      <c r="EC91" s="171">
        <f t="shared" ca="1" si="60"/>
        <v>0</v>
      </c>
      <c r="ED91" s="171">
        <f t="shared" ca="1" si="61"/>
        <v>0</v>
      </c>
      <c r="EE91" s="171">
        <f t="shared" ca="1" si="62"/>
        <v>0</v>
      </c>
      <c r="EF91" s="171">
        <f t="shared" ca="1" si="63"/>
        <v>0</v>
      </c>
      <c r="EG91" s="171">
        <f t="shared" ca="1" si="64"/>
        <v>0</v>
      </c>
      <c r="EH91" s="171">
        <f t="shared" ca="1" si="65"/>
        <v>0</v>
      </c>
      <c r="EI91" s="171">
        <f t="shared" ca="1" si="66"/>
        <v>0</v>
      </c>
      <c r="EJ91" s="171">
        <f t="shared" ca="1" si="67"/>
        <v>0</v>
      </c>
      <c r="EK91" s="171">
        <f t="shared" ca="1" si="68"/>
        <v>0</v>
      </c>
      <c r="EL91" s="171">
        <f t="shared" ca="1" si="69"/>
        <v>0</v>
      </c>
      <c r="EM91" s="171">
        <f t="shared" ca="1" si="70"/>
        <v>0</v>
      </c>
      <c r="EN91" s="171">
        <f t="shared" ca="1" si="71"/>
        <v>0</v>
      </c>
      <c r="EO91" s="171">
        <f t="shared" ca="1" si="72"/>
        <v>0</v>
      </c>
      <c r="EP91" s="171">
        <f t="shared" ca="1" si="73"/>
        <v>0</v>
      </c>
      <c r="EQ91" s="171">
        <f t="shared" ca="1" si="74"/>
        <v>0</v>
      </c>
      <c r="ER91" s="171">
        <f t="shared" ca="1" si="75"/>
        <v>0</v>
      </c>
      <c r="ES91" s="171">
        <f t="shared" ca="1" si="76"/>
        <v>0</v>
      </c>
    </row>
    <row r="92" spans="1:149">
      <c r="A92" s="139" t="s">
        <v>457</v>
      </c>
      <c r="B92" s="174" t="s">
        <v>420</v>
      </c>
      <c r="C92" s="174" t="s">
        <v>105</v>
      </c>
      <c r="D92" s="170" t="s">
        <v>428</v>
      </c>
      <c r="E92" s="174">
        <v>2014</v>
      </c>
      <c r="F92" s="174" t="s">
        <v>400</v>
      </c>
      <c r="G92" s="174" t="s">
        <v>289</v>
      </c>
      <c r="H92" s="174" t="s">
        <v>396</v>
      </c>
      <c r="I92" s="174" t="s">
        <v>183</v>
      </c>
      <c r="J92" s="174" t="s">
        <v>401</v>
      </c>
      <c r="K92" s="182">
        <f>1.5474 *5.1</f>
        <v>7.8917400000000004</v>
      </c>
      <c r="L92" s="163" t="s">
        <v>110</v>
      </c>
      <c r="M92" s="164">
        <f t="shared" si="0"/>
        <v>7.8917400000000004</v>
      </c>
      <c r="N92" s="164">
        <f t="shared" si="1"/>
        <v>7.8917400000000004</v>
      </c>
      <c r="O92" s="165">
        <f t="shared" si="2"/>
        <v>1</v>
      </c>
      <c r="P92" s="190">
        <v>0.25209999999999999</v>
      </c>
      <c r="Q92" s="177">
        <v>50</v>
      </c>
      <c r="R92" s="168">
        <f t="shared" si="95"/>
        <v>40</v>
      </c>
      <c r="S92" s="178">
        <v>0</v>
      </c>
      <c r="T92" s="160" t="s">
        <v>289</v>
      </c>
      <c r="U92" s="171">
        <f t="shared" si="4"/>
        <v>2.0292978070799976</v>
      </c>
      <c r="V92" s="171">
        <f t="shared" ca="1" si="5"/>
        <v>1.0553382740527883</v>
      </c>
      <c r="W92" s="171">
        <f t="shared" ca="1" si="6"/>
        <v>52.766913702639414</v>
      </c>
      <c r="X92" s="172" t="str">
        <f t="shared" si="7"/>
        <v>Equity</v>
      </c>
      <c r="Y92" s="172" t="str">
        <f t="shared" si="8"/>
        <v>Equity</v>
      </c>
      <c r="Z92" s="173">
        <f t="shared" si="9"/>
        <v>101.46489035399989</v>
      </c>
      <c r="AA92" s="171">
        <f t="shared" si="96"/>
        <v>0</v>
      </c>
      <c r="AB92" s="171">
        <f t="shared" si="96"/>
        <v>0</v>
      </c>
      <c r="AC92" s="171">
        <f t="shared" si="96"/>
        <v>0</v>
      </c>
      <c r="AD92" s="171">
        <f t="shared" si="96"/>
        <v>0</v>
      </c>
      <c r="AE92" s="171">
        <f t="shared" si="96"/>
        <v>1.9895076540000001</v>
      </c>
      <c r="AF92" s="171">
        <f t="shared" si="96"/>
        <v>1.9895076540000001</v>
      </c>
      <c r="AG92" s="171">
        <f t="shared" si="96"/>
        <v>1.9895076540000001</v>
      </c>
      <c r="AH92" s="171">
        <f t="shared" si="96"/>
        <v>1.9895076540000001</v>
      </c>
      <c r="AI92" s="171">
        <f t="shared" si="96"/>
        <v>1.9895076540000001</v>
      </c>
      <c r="AJ92" s="171">
        <f t="shared" si="96"/>
        <v>1.9895076540000001</v>
      </c>
      <c r="AK92" s="171">
        <f t="shared" si="97"/>
        <v>1.9895076540000001</v>
      </c>
      <c r="AL92" s="171">
        <f t="shared" si="97"/>
        <v>1.9895076540000001</v>
      </c>
      <c r="AM92" s="171">
        <f t="shared" si="97"/>
        <v>1.9895076540000001</v>
      </c>
      <c r="AN92" s="171">
        <f t="shared" si="97"/>
        <v>1.9895076540000001</v>
      </c>
      <c r="AO92" s="171">
        <f t="shared" si="97"/>
        <v>1.9895076540000001</v>
      </c>
      <c r="AP92" s="171">
        <f t="shared" si="97"/>
        <v>1.9895076540000001</v>
      </c>
      <c r="AQ92" s="171">
        <f t="shared" si="97"/>
        <v>1.9895076540000001</v>
      </c>
      <c r="AR92" s="171">
        <f t="shared" si="97"/>
        <v>1.9895076540000001</v>
      </c>
      <c r="AS92" s="171">
        <f t="shared" si="97"/>
        <v>1.9895076540000001</v>
      </c>
      <c r="AT92" s="171">
        <f t="shared" si="97"/>
        <v>1.9895076540000001</v>
      </c>
      <c r="AU92" s="171">
        <f t="shared" si="98"/>
        <v>1.9895076540000001</v>
      </c>
      <c r="AV92" s="171">
        <f t="shared" si="98"/>
        <v>1.9895076540000001</v>
      </c>
      <c r="AW92" s="171">
        <f t="shared" si="98"/>
        <v>1.9895076540000001</v>
      </c>
      <c r="AX92" s="171">
        <f t="shared" si="98"/>
        <v>1.9895076540000001</v>
      </c>
      <c r="AY92" s="171">
        <f t="shared" si="98"/>
        <v>1.9895076540000001</v>
      </c>
      <c r="AZ92" s="171">
        <f t="shared" si="98"/>
        <v>1.9895076540000001</v>
      </c>
      <c r="BA92" s="171">
        <f t="shared" si="98"/>
        <v>1.9895076540000001</v>
      </c>
      <c r="BB92" s="171">
        <f t="shared" si="98"/>
        <v>1.9895076540000001</v>
      </c>
      <c r="BC92" s="171">
        <f t="shared" si="98"/>
        <v>1.9895076540000001</v>
      </c>
      <c r="BD92" s="171">
        <f t="shared" si="98"/>
        <v>1.9895076540000001</v>
      </c>
      <c r="BE92" s="171">
        <f t="shared" si="99"/>
        <v>1.9895076540000001</v>
      </c>
      <c r="BF92" s="171">
        <f t="shared" si="99"/>
        <v>1.9895076540000001</v>
      </c>
      <c r="BG92" s="171">
        <f t="shared" si="99"/>
        <v>1.9895076540000001</v>
      </c>
      <c r="BH92" s="171">
        <f t="shared" si="99"/>
        <v>1.9895076540000001</v>
      </c>
      <c r="BI92" s="171">
        <f t="shared" si="99"/>
        <v>1.9895076540000001</v>
      </c>
      <c r="BJ92" s="171">
        <f t="shared" si="99"/>
        <v>1.9895076540000001</v>
      </c>
      <c r="BK92" s="171">
        <f t="shared" si="99"/>
        <v>1.9895076540000001</v>
      </c>
      <c r="BL92" s="171">
        <f t="shared" si="99"/>
        <v>1.9895076540000001</v>
      </c>
      <c r="BM92" s="171">
        <f t="shared" si="99"/>
        <v>1.9895076540000001</v>
      </c>
      <c r="BN92" s="171">
        <f t="shared" si="99"/>
        <v>1.9895076540000001</v>
      </c>
      <c r="BO92" s="171">
        <f t="shared" si="100"/>
        <v>1.9895076540000001</v>
      </c>
      <c r="BP92" s="171">
        <f t="shared" si="100"/>
        <v>1.9895076540000001</v>
      </c>
      <c r="BQ92" s="171">
        <f t="shared" si="100"/>
        <v>1.9895076540000001</v>
      </c>
      <c r="BR92" s="171">
        <f t="shared" si="100"/>
        <v>1.9895076540000001</v>
      </c>
      <c r="BS92" s="171">
        <f t="shared" si="100"/>
        <v>1.9895076540000001</v>
      </c>
      <c r="BT92" s="171">
        <f t="shared" si="100"/>
        <v>1.9895076540000001</v>
      </c>
      <c r="BU92" s="171">
        <f t="shared" si="100"/>
        <v>1.9895076540000001</v>
      </c>
      <c r="BV92" s="171">
        <f t="shared" si="100"/>
        <v>1.9895076540000001</v>
      </c>
      <c r="BW92" s="171">
        <f t="shared" si="100"/>
        <v>1.9895076540000001</v>
      </c>
      <c r="BX92" s="171">
        <f t="shared" si="100"/>
        <v>1.9895076540000001</v>
      </c>
      <c r="BY92" s="171">
        <f t="shared" si="101"/>
        <v>1.9895076540000001</v>
      </c>
      <c r="BZ92" s="171">
        <f t="shared" si="101"/>
        <v>1.9895076540000001</v>
      </c>
      <c r="CA92" s="171">
        <f t="shared" si="101"/>
        <v>1.9895076540000001</v>
      </c>
      <c r="CB92" s="171">
        <f t="shared" si="101"/>
        <v>1.9895076540000001</v>
      </c>
      <c r="CC92" s="171">
        <f t="shared" si="101"/>
        <v>1.9895076540000001</v>
      </c>
      <c r="CD92" s="171">
        <f t="shared" si="101"/>
        <v>0</v>
      </c>
      <c r="CE92" s="171">
        <f t="shared" si="101"/>
        <v>0</v>
      </c>
      <c r="CF92" s="171">
        <f t="shared" si="101"/>
        <v>0</v>
      </c>
      <c r="CG92" s="171">
        <f t="shared" si="101"/>
        <v>0</v>
      </c>
      <c r="CH92" s="171">
        <f t="shared" si="101"/>
        <v>0</v>
      </c>
      <c r="CI92" s="171">
        <f t="shared" si="101"/>
        <v>0</v>
      </c>
      <c r="CJ92" s="243"/>
      <c r="CK92" s="171">
        <f t="shared" si="16"/>
        <v>0</v>
      </c>
      <c r="CL92" s="171">
        <f t="shared" si="17"/>
        <v>0</v>
      </c>
      <c r="CM92" s="171">
        <f t="shared" si="18"/>
        <v>0</v>
      </c>
      <c r="CN92" s="171">
        <f t="shared" si="19"/>
        <v>0</v>
      </c>
      <c r="CO92" s="171">
        <f t="shared" si="20"/>
        <v>1.9895076540000001</v>
      </c>
      <c r="CP92" s="171">
        <f t="shared" si="21"/>
        <v>1.9895076540000001</v>
      </c>
      <c r="CQ92" s="171">
        <f t="shared" si="22"/>
        <v>1.9895076540000001</v>
      </c>
      <c r="CR92" s="171">
        <f t="shared" si="23"/>
        <v>1.9895076540000001</v>
      </c>
      <c r="CS92" s="171">
        <f t="shared" si="24"/>
        <v>1.9895076540000001</v>
      </c>
      <c r="CT92" s="171">
        <f t="shared" si="25"/>
        <v>1.9895076540000001</v>
      </c>
      <c r="CU92" s="171">
        <f t="shared" si="26"/>
        <v>1.9895076540000001</v>
      </c>
      <c r="CV92" s="171">
        <f t="shared" si="27"/>
        <v>1.9895076540000001</v>
      </c>
      <c r="CW92" s="171">
        <f t="shared" si="28"/>
        <v>1.9895076540000001</v>
      </c>
      <c r="CX92" s="171">
        <f t="shared" si="29"/>
        <v>1.9895076540000001</v>
      </c>
      <c r="CY92" s="171">
        <f t="shared" ca="1" si="30"/>
        <v>1.8887732506986266</v>
      </c>
      <c r="CZ92" s="171">
        <f t="shared" ca="1" si="31"/>
        <v>1.7931393153386965</v>
      </c>
      <c r="DA92" s="171">
        <f t="shared" ca="1" si="32"/>
        <v>1.702347596792799</v>
      </c>
      <c r="DB92" s="171">
        <f t="shared" ca="1" si="33"/>
        <v>1.616152919919015</v>
      </c>
      <c r="DC92" s="171">
        <f t="shared" ca="1" si="34"/>
        <v>1.5343225234867655</v>
      </c>
      <c r="DD92" s="171">
        <f t="shared" ca="1" si="35"/>
        <v>1.4566354316253451</v>
      </c>
      <c r="DE92" s="171">
        <f t="shared" ca="1" si="36"/>
        <v>1.3828818570977963</v>
      </c>
      <c r="DF92" s="171">
        <f t="shared" ca="1" si="37"/>
        <v>1.3128626347887165</v>
      </c>
      <c r="DG92" s="171">
        <f t="shared" ca="1" si="38"/>
        <v>1.2463886838761806</v>
      </c>
      <c r="DH92" s="171">
        <f t="shared" ca="1" si="39"/>
        <v>1.1832804972354212</v>
      </c>
      <c r="DI92" s="171">
        <f t="shared" ca="1" si="40"/>
        <v>1.1233676566954456</v>
      </c>
      <c r="DJ92" s="171">
        <f t="shared" ca="1" si="41"/>
        <v>1.0664883728395826</v>
      </c>
      <c r="DK92" s="171">
        <f t="shared" ca="1" si="42"/>
        <v>1.0124890481072295</v>
      </c>
      <c r="DL92" s="171">
        <f t="shared" ca="1" si="43"/>
        <v>0.96122386201699417</v>
      </c>
      <c r="DM92" s="171">
        <f t="shared" ca="1" si="44"/>
        <v>0.91255437739116441</v>
      </c>
      <c r="DN92" s="171">
        <f t="shared" ca="1" si="45"/>
        <v>0.86634916651814531</v>
      </c>
      <c r="DO92" s="171">
        <f t="shared" ca="1" si="46"/>
        <v>0.82248345624335206</v>
      </c>
      <c r="DP92" s="171">
        <f t="shared" ca="1" si="47"/>
        <v>0.78083879103015374</v>
      </c>
      <c r="DQ92" s="171">
        <f t="shared" ca="1" si="48"/>
        <v>0.74130271308099682</v>
      </c>
      <c r="DR92" s="171">
        <f t="shared" ca="1" si="49"/>
        <v>0.70376845865489956</v>
      </c>
      <c r="DS92" s="171">
        <f t="shared" ca="1" si="50"/>
        <v>0.66813466976125369</v>
      </c>
      <c r="DT92" s="171">
        <f t="shared" ca="1" si="51"/>
        <v>0.63430512045138199</v>
      </c>
      <c r="DU92" s="171">
        <f t="shared" ca="1" si="52"/>
        <v>0.60218845696873124</v>
      </c>
      <c r="DV92" s="171">
        <f t="shared" ca="1" si="53"/>
        <v>0.57169795105599563</v>
      </c>
      <c r="DW92" s="171">
        <f t="shared" ca="1" si="54"/>
        <v>0.54275126575299781</v>
      </c>
      <c r="DX92" s="171">
        <f t="shared" ca="1" si="55"/>
        <v>0.51527023305288755</v>
      </c>
      <c r="DY92" s="171">
        <f t="shared" ca="1" si="56"/>
        <v>0.4891806428162358</v>
      </c>
      <c r="DZ92" s="171">
        <f t="shared" ca="1" si="57"/>
        <v>0.46441204237300482</v>
      </c>
      <c r="EA92" s="171">
        <f t="shared" ca="1" si="58"/>
        <v>0.44089754627123867</v>
      </c>
      <c r="EB92" s="171">
        <f t="shared" ca="1" si="59"/>
        <v>0.41857365565871579</v>
      </c>
      <c r="EC92" s="171">
        <f t="shared" ca="1" si="60"/>
        <v>0.3973800868098194</v>
      </c>
      <c r="ED92" s="171">
        <f t="shared" ca="1" si="61"/>
        <v>0.37725960833457789</v>
      </c>
      <c r="EE92" s="171">
        <f t="shared" ca="1" si="62"/>
        <v>0.35815788663027243</v>
      </c>
      <c r="EF92" s="171">
        <f t="shared" ca="1" si="63"/>
        <v>0.34002333915826688</v>
      </c>
      <c r="EG92" s="171">
        <f t="shared" ca="1" si="64"/>
        <v>0.32280699514984684</v>
      </c>
      <c r="EH92" s="171">
        <f t="shared" ca="1" si="65"/>
        <v>0.30646236336491717</v>
      </c>
      <c r="EI92" s="171">
        <f t="shared" ca="1" si="66"/>
        <v>0.29094530654644984</v>
      </c>
      <c r="EJ92" s="171">
        <f t="shared" ca="1" si="67"/>
        <v>0.27621392223165908</v>
      </c>
      <c r="EK92" s="171">
        <f t="shared" ca="1" si="68"/>
        <v>0.26222842959804382</v>
      </c>
      <c r="EL92" s="171">
        <f t="shared" ca="1" si="69"/>
        <v>0.24895106203873549</v>
      </c>
      <c r="EM92" s="171">
        <f t="shared" ca="1" si="70"/>
        <v>0.23634596517705977</v>
      </c>
      <c r="EN92" s="171">
        <f t="shared" ca="1" si="71"/>
        <v>0</v>
      </c>
      <c r="EO92" s="171">
        <f t="shared" ca="1" si="72"/>
        <v>0</v>
      </c>
      <c r="EP92" s="171">
        <f t="shared" ca="1" si="73"/>
        <v>0</v>
      </c>
      <c r="EQ92" s="171">
        <f t="shared" ca="1" si="74"/>
        <v>0</v>
      </c>
      <c r="ER92" s="171">
        <f t="shared" ca="1" si="75"/>
        <v>0</v>
      </c>
      <c r="ES92" s="171">
        <f t="shared" ca="1" si="76"/>
        <v>0</v>
      </c>
    </row>
    <row r="93" spans="1:149">
      <c r="A93" s="139" t="s">
        <v>457</v>
      </c>
      <c r="B93" s="170" t="s">
        <v>432</v>
      </c>
      <c r="C93" s="170" t="s">
        <v>105</v>
      </c>
      <c r="D93" s="170" t="s">
        <v>428</v>
      </c>
      <c r="E93" s="170">
        <v>2014</v>
      </c>
      <c r="F93" s="170" t="s">
        <v>395</v>
      </c>
      <c r="G93" s="170" t="s">
        <v>402</v>
      </c>
      <c r="H93" s="170" t="s">
        <v>396</v>
      </c>
      <c r="I93" s="170" t="s">
        <v>178</v>
      </c>
      <c r="J93" s="170" t="s">
        <v>407</v>
      </c>
      <c r="K93" s="182">
        <v>32.49</v>
      </c>
      <c r="L93" s="163" t="s">
        <v>110</v>
      </c>
      <c r="M93" s="164">
        <f t="shared" si="0"/>
        <v>32.49</v>
      </c>
      <c r="N93" s="164">
        <f t="shared" si="1"/>
        <v>32.49</v>
      </c>
      <c r="O93" s="165">
        <f t="shared" si="2"/>
        <v>1</v>
      </c>
      <c r="P93" s="180">
        <v>8.2482067447802281E-3</v>
      </c>
      <c r="Q93" s="183">
        <v>38.303405271670549</v>
      </c>
      <c r="R93" s="168">
        <f t="shared" si="95"/>
        <v>28.303405271670549</v>
      </c>
      <c r="S93" s="183">
        <v>7.9180339887256128</v>
      </c>
      <c r="T93" s="170" t="s">
        <v>403</v>
      </c>
      <c r="U93" s="171">
        <f t="shared" si="4"/>
        <v>1.0103316850531046</v>
      </c>
      <c r="V93" s="171">
        <f t="shared" ca="1" si="5"/>
        <v>0.5668559388819201</v>
      </c>
      <c r="W93" s="171">
        <f t="shared" ca="1" si="6"/>
        <v>21.712512757647495</v>
      </c>
      <c r="X93" s="172">
        <f t="shared" si="7"/>
        <v>8.3078633047089845E-2</v>
      </c>
      <c r="Y93" s="172">
        <f t="shared" si="8"/>
        <v>0.91692136695291016</v>
      </c>
      <c r="Z93" s="173">
        <f t="shared" si="9"/>
        <v>38.69914399139887</v>
      </c>
      <c r="AA93" s="171">
        <f t="shared" si="96"/>
        <v>0</v>
      </c>
      <c r="AB93" s="171">
        <f t="shared" si="96"/>
        <v>0</v>
      </c>
      <c r="AC93" s="171">
        <f t="shared" si="96"/>
        <v>0</v>
      </c>
      <c r="AD93" s="171">
        <f t="shared" si="96"/>
        <v>0</v>
      </c>
      <c r="AE93" s="171">
        <f t="shared" si="96"/>
        <v>0.26798423713790964</v>
      </c>
      <c r="AF93" s="171">
        <f t="shared" si="96"/>
        <v>0.26798423713790964</v>
      </c>
      <c r="AG93" s="171">
        <f t="shared" si="96"/>
        <v>0.26798423713790964</v>
      </c>
      <c r="AH93" s="171">
        <f t="shared" si="96"/>
        <v>0.26798423713790964</v>
      </c>
      <c r="AI93" s="171">
        <f t="shared" si="96"/>
        <v>0.26798423713790964</v>
      </c>
      <c r="AJ93" s="171">
        <f t="shared" si="96"/>
        <v>0.26798423713790964</v>
      </c>
      <c r="AK93" s="171">
        <f t="shared" si="97"/>
        <v>0.26798423713790964</v>
      </c>
      <c r="AL93" s="171">
        <f t="shared" si="97"/>
        <v>0.26798423713790964</v>
      </c>
      <c r="AM93" s="171">
        <f t="shared" si="97"/>
        <v>1.1792022611063095</v>
      </c>
      <c r="AN93" s="171">
        <f t="shared" si="97"/>
        <v>1.1792022611063095</v>
      </c>
      <c r="AO93" s="171">
        <f t="shared" si="97"/>
        <v>1.1792022611063095</v>
      </c>
      <c r="AP93" s="171">
        <f t="shared" si="97"/>
        <v>1.1792022611063095</v>
      </c>
      <c r="AQ93" s="171">
        <f t="shared" si="97"/>
        <v>1.1792022611063095</v>
      </c>
      <c r="AR93" s="171">
        <f t="shared" si="97"/>
        <v>1.1792022611063095</v>
      </c>
      <c r="AS93" s="171">
        <f t="shared" si="97"/>
        <v>1.1792022611063095</v>
      </c>
      <c r="AT93" s="171">
        <f t="shared" si="97"/>
        <v>1.1792022611063095</v>
      </c>
      <c r="AU93" s="171">
        <f t="shared" si="98"/>
        <v>1.1792022611063095</v>
      </c>
      <c r="AV93" s="171">
        <f t="shared" si="98"/>
        <v>1.1792022611063095</v>
      </c>
      <c r="AW93" s="171">
        <f t="shared" si="98"/>
        <v>1.1792022611063095</v>
      </c>
      <c r="AX93" s="171">
        <f t="shared" si="98"/>
        <v>1.1792022611063095</v>
      </c>
      <c r="AY93" s="171">
        <f t="shared" si="98"/>
        <v>1.1792022611063095</v>
      </c>
      <c r="AZ93" s="171">
        <f t="shared" si="98"/>
        <v>1.1792022611063095</v>
      </c>
      <c r="BA93" s="171">
        <f t="shared" si="98"/>
        <v>1.1792022611063095</v>
      </c>
      <c r="BB93" s="171">
        <f t="shared" si="98"/>
        <v>1.1792022611063095</v>
      </c>
      <c r="BC93" s="171">
        <f t="shared" si="98"/>
        <v>1.1792022611063095</v>
      </c>
      <c r="BD93" s="171">
        <f t="shared" si="98"/>
        <v>1.1792022611063095</v>
      </c>
      <c r="BE93" s="171">
        <f t="shared" si="99"/>
        <v>1.1792022611063095</v>
      </c>
      <c r="BF93" s="171">
        <f t="shared" si="99"/>
        <v>1.1792022611063095</v>
      </c>
      <c r="BG93" s="171">
        <f t="shared" si="99"/>
        <v>1.1792022611063095</v>
      </c>
      <c r="BH93" s="171">
        <f t="shared" si="99"/>
        <v>1.1792022611063095</v>
      </c>
      <c r="BI93" s="171">
        <f t="shared" si="99"/>
        <v>1.1792022611063095</v>
      </c>
      <c r="BJ93" s="171">
        <f t="shared" si="99"/>
        <v>1.1792022611063095</v>
      </c>
      <c r="BK93" s="171">
        <f t="shared" si="99"/>
        <v>1.1792022611063095</v>
      </c>
      <c r="BL93" s="171">
        <f t="shared" si="99"/>
        <v>1.1792022611063095</v>
      </c>
      <c r="BM93" s="171">
        <f t="shared" si="99"/>
        <v>1.1792022611063095</v>
      </c>
      <c r="BN93" s="171">
        <f t="shared" si="99"/>
        <v>1.1792022611063095</v>
      </c>
      <c r="BO93" s="171">
        <f t="shared" si="100"/>
        <v>1.1792022611063095</v>
      </c>
      <c r="BP93" s="171">
        <f t="shared" si="100"/>
        <v>1.1792022611063095</v>
      </c>
      <c r="BQ93" s="171">
        <f t="shared" si="100"/>
        <v>1.1792022611063095</v>
      </c>
      <c r="BR93" s="171">
        <f t="shared" si="100"/>
        <v>0</v>
      </c>
      <c r="BS93" s="171">
        <f t="shared" si="100"/>
        <v>0</v>
      </c>
      <c r="BT93" s="171">
        <f t="shared" si="100"/>
        <v>0</v>
      </c>
      <c r="BU93" s="171">
        <f t="shared" si="100"/>
        <v>0</v>
      </c>
      <c r="BV93" s="171">
        <f t="shared" si="100"/>
        <v>0</v>
      </c>
      <c r="BW93" s="171">
        <f t="shared" si="100"/>
        <v>0</v>
      </c>
      <c r="BX93" s="171">
        <f t="shared" si="100"/>
        <v>0</v>
      </c>
      <c r="BY93" s="171">
        <f t="shared" si="101"/>
        <v>0</v>
      </c>
      <c r="BZ93" s="171">
        <f t="shared" si="101"/>
        <v>0</v>
      </c>
      <c r="CA93" s="171">
        <f t="shared" si="101"/>
        <v>0</v>
      </c>
      <c r="CB93" s="171">
        <f t="shared" si="101"/>
        <v>0</v>
      </c>
      <c r="CC93" s="171">
        <f t="shared" si="101"/>
        <v>0</v>
      </c>
      <c r="CD93" s="171">
        <f t="shared" si="101"/>
        <v>0</v>
      </c>
      <c r="CE93" s="171">
        <f t="shared" si="101"/>
        <v>0</v>
      </c>
      <c r="CF93" s="171">
        <f t="shared" si="101"/>
        <v>0</v>
      </c>
      <c r="CG93" s="171">
        <f t="shared" si="101"/>
        <v>0</v>
      </c>
      <c r="CH93" s="171">
        <f t="shared" si="101"/>
        <v>0</v>
      </c>
      <c r="CI93" s="171">
        <f t="shared" si="101"/>
        <v>0</v>
      </c>
      <c r="CJ93" s="243"/>
      <c r="CK93" s="171">
        <f t="shared" si="16"/>
        <v>0</v>
      </c>
      <c r="CL93" s="171">
        <f t="shared" si="17"/>
        <v>0</v>
      </c>
      <c r="CM93" s="171">
        <f t="shared" si="18"/>
        <v>0</v>
      </c>
      <c r="CN93" s="171">
        <f t="shared" si="19"/>
        <v>0</v>
      </c>
      <c r="CO93" s="171">
        <f t="shared" si="20"/>
        <v>0.26798423713790964</v>
      </c>
      <c r="CP93" s="171">
        <f t="shared" si="21"/>
        <v>0.26798423713790964</v>
      </c>
      <c r="CQ93" s="171">
        <f t="shared" si="22"/>
        <v>0.26798423713790964</v>
      </c>
      <c r="CR93" s="171">
        <f t="shared" si="23"/>
        <v>0.26798423713790964</v>
      </c>
      <c r="CS93" s="171">
        <f t="shared" si="24"/>
        <v>0.26798423713790964</v>
      </c>
      <c r="CT93" s="171">
        <f t="shared" si="25"/>
        <v>0.26798423713790964</v>
      </c>
      <c r="CU93" s="171">
        <f t="shared" si="26"/>
        <v>0.26798423713790964</v>
      </c>
      <c r="CV93" s="171">
        <f t="shared" si="27"/>
        <v>0.26798423713790964</v>
      </c>
      <c r="CW93" s="171">
        <f t="shared" si="28"/>
        <v>1.1792022611063095</v>
      </c>
      <c r="CX93" s="171">
        <f t="shared" si="29"/>
        <v>1.1792022611063095</v>
      </c>
      <c r="CY93" s="171">
        <f t="shared" ca="1" si="30"/>
        <v>1.1194959132039282</v>
      </c>
      <c r="CZ93" s="171">
        <f t="shared" ca="1" si="31"/>
        <v>1.0628126666789948</v>
      </c>
      <c r="DA93" s="171">
        <f t="shared" ca="1" si="32"/>
        <v>1.0089994533526738</v>
      </c>
      <c r="DB93" s="171">
        <f t="shared" ca="1" si="33"/>
        <v>0.95791095532124393</v>
      </c>
      <c r="DC93" s="171">
        <f t="shared" ca="1" si="34"/>
        <v>0.90940921253773299</v>
      </c>
      <c r="DD93" s="171">
        <f t="shared" ca="1" si="35"/>
        <v>0.86336325026280691</v>
      </c>
      <c r="DE93" s="171">
        <f t="shared" ca="1" si="36"/>
        <v>0.8196487253788739</v>
      </c>
      <c r="DF93" s="171">
        <f t="shared" ca="1" si="37"/>
        <v>0.77814759061230609</v>
      </c>
      <c r="DG93" s="171">
        <f t="shared" ca="1" si="38"/>
        <v>0.73874777575704131</v>
      </c>
      <c r="DH93" s="171">
        <f t="shared" ca="1" si="39"/>
        <v>0.70134288503873576</v>
      </c>
      <c r="DI93" s="171">
        <f t="shared" ca="1" si="40"/>
        <v>0.66583190980222584</v>
      </c>
      <c r="DJ93" s="171">
        <f t="shared" ca="1" si="41"/>
        <v>0.63211895574643751</v>
      </c>
      <c r="DK93" s="171">
        <f t="shared" ca="1" si="42"/>
        <v>0.60011298397016366</v>
      </c>
      <c r="DL93" s="171">
        <f t="shared" ca="1" si="43"/>
        <v>0.56972756512942713</v>
      </c>
      <c r="DM93" s="171">
        <f t="shared" ca="1" si="44"/>
        <v>0.5408806460425517</v>
      </c>
      <c r="DN93" s="171">
        <f t="shared" ca="1" si="45"/>
        <v>0.5134943281126797</v>
      </c>
      <c r="DO93" s="171">
        <f t="shared" ca="1" si="46"/>
        <v>0.4874946569693836</v>
      </c>
      <c r="DP93" s="171">
        <f t="shared" ca="1" si="47"/>
        <v>0.4628114227613192</v>
      </c>
      <c r="DQ93" s="171">
        <f t="shared" ca="1" si="48"/>
        <v>0.43937797056062655</v>
      </c>
      <c r="DR93" s="171">
        <f t="shared" ca="1" si="49"/>
        <v>0.41713102036709226</v>
      </c>
      <c r="DS93" s="171">
        <f t="shared" ca="1" si="50"/>
        <v>0.39601049622601137</v>
      </c>
      <c r="DT93" s="171">
        <f t="shared" ca="1" si="51"/>
        <v>0.37595936399829488</v>
      </c>
      <c r="DU93" s="171">
        <f t="shared" ca="1" si="52"/>
        <v>0.35692347734473584</v>
      </c>
      <c r="DV93" s="171">
        <f t="shared" ca="1" si="53"/>
        <v>0.33885143150852853</v>
      </c>
      <c r="DW93" s="171">
        <f t="shared" ca="1" si="54"/>
        <v>0.32169442450119196</v>
      </c>
      <c r="DX93" s="171">
        <f t="shared" ca="1" si="55"/>
        <v>0.30540612531704292</v>
      </c>
      <c r="DY93" s="171">
        <f t="shared" ca="1" si="56"/>
        <v>0.28994254882034409</v>
      </c>
      <c r="DZ93" s="171">
        <f t="shared" ca="1" si="57"/>
        <v>0.27526193696726864</v>
      </c>
      <c r="EA93" s="171">
        <f t="shared" ca="1" si="58"/>
        <v>0.26132464604193395</v>
      </c>
      <c r="EB93" s="171">
        <f t="shared" ca="1" si="59"/>
        <v>0</v>
      </c>
      <c r="EC93" s="171">
        <f t="shared" ca="1" si="60"/>
        <v>0</v>
      </c>
      <c r="ED93" s="171">
        <f t="shared" ca="1" si="61"/>
        <v>0</v>
      </c>
      <c r="EE93" s="171">
        <f t="shared" ca="1" si="62"/>
        <v>0</v>
      </c>
      <c r="EF93" s="171">
        <f t="shared" ca="1" si="63"/>
        <v>0</v>
      </c>
      <c r="EG93" s="171">
        <f t="shared" ca="1" si="64"/>
        <v>0</v>
      </c>
      <c r="EH93" s="171">
        <f t="shared" ca="1" si="65"/>
        <v>0</v>
      </c>
      <c r="EI93" s="171">
        <f t="shared" ca="1" si="66"/>
        <v>0</v>
      </c>
      <c r="EJ93" s="171">
        <f t="shared" ca="1" si="67"/>
        <v>0</v>
      </c>
      <c r="EK93" s="171">
        <f t="shared" ca="1" si="68"/>
        <v>0</v>
      </c>
      <c r="EL93" s="171">
        <f t="shared" ca="1" si="69"/>
        <v>0</v>
      </c>
      <c r="EM93" s="171">
        <f t="shared" ca="1" si="70"/>
        <v>0</v>
      </c>
      <c r="EN93" s="171">
        <f t="shared" ca="1" si="71"/>
        <v>0</v>
      </c>
      <c r="EO93" s="171">
        <f t="shared" ca="1" si="72"/>
        <v>0</v>
      </c>
      <c r="EP93" s="171">
        <f t="shared" ca="1" si="73"/>
        <v>0</v>
      </c>
      <c r="EQ93" s="171">
        <f t="shared" ca="1" si="74"/>
        <v>0</v>
      </c>
      <c r="ER93" s="171">
        <f t="shared" ca="1" si="75"/>
        <v>0</v>
      </c>
      <c r="ES93" s="171">
        <f t="shared" ca="1" si="76"/>
        <v>0</v>
      </c>
    </row>
    <row r="94" spans="1:149">
      <c r="A94" s="139" t="s">
        <v>458</v>
      </c>
      <c r="B94" s="160" t="s">
        <v>459</v>
      </c>
      <c r="C94" s="160" t="s">
        <v>460</v>
      </c>
      <c r="D94" s="161" t="s">
        <v>394</v>
      </c>
      <c r="E94" s="160">
        <v>2014</v>
      </c>
      <c r="F94" s="160" t="s">
        <v>395</v>
      </c>
      <c r="G94" s="160" t="s">
        <v>402</v>
      </c>
      <c r="H94" s="194" t="s">
        <v>396</v>
      </c>
      <c r="I94" s="194" t="s">
        <v>176</v>
      </c>
      <c r="J94" s="194" t="s">
        <v>397</v>
      </c>
      <c r="K94" s="187">
        <v>232.6</v>
      </c>
      <c r="L94" s="163" t="s">
        <v>110</v>
      </c>
      <c r="M94" s="164">
        <f t="shared" si="0"/>
        <v>232.6</v>
      </c>
      <c r="N94" s="164">
        <f t="shared" si="1"/>
        <v>232.6</v>
      </c>
      <c r="O94" s="165">
        <f t="shared" si="2"/>
        <v>1</v>
      </c>
      <c r="P94" s="180">
        <v>2.4058710569794983E-2</v>
      </c>
      <c r="Q94" s="183">
        <v>23.583342661777632</v>
      </c>
      <c r="R94" s="168">
        <f t="shared" si="95"/>
        <v>13.583342661777632</v>
      </c>
      <c r="S94" s="186">
        <v>6.5440636898279223</v>
      </c>
      <c r="T94" s="174" t="s">
        <v>398</v>
      </c>
      <c r="U94" s="171">
        <f t="shared" si="4"/>
        <v>16.329482665051064</v>
      </c>
      <c r="V94" s="171">
        <f t="shared" ca="1" si="5"/>
        <v>13.397672092929941</v>
      </c>
      <c r="W94" s="171">
        <f t="shared" ca="1" si="6"/>
        <v>315.9618918377023</v>
      </c>
      <c r="X94" s="172">
        <f t="shared" si="7"/>
        <v>0.20135495345148102</v>
      </c>
      <c r="Y94" s="172">
        <f t="shared" si="8"/>
        <v>0.79864504654851898</v>
      </c>
      <c r="Z94" s="173">
        <f t="shared" si="9"/>
        <v>385.10378517945708</v>
      </c>
      <c r="AA94" s="171">
        <f t="shared" si="96"/>
        <v>0</v>
      </c>
      <c r="AB94" s="171">
        <f t="shared" si="96"/>
        <v>0</v>
      </c>
      <c r="AC94" s="171">
        <f t="shared" si="96"/>
        <v>0</v>
      </c>
      <c r="AD94" s="171">
        <f t="shared" si="96"/>
        <v>0</v>
      </c>
      <c r="AE94" s="171">
        <f t="shared" si="96"/>
        <v>16.045991049144035</v>
      </c>
      <c r="AF94" s="171">
        <f t="shared" si="96"/>
        <v>16.045991049144035</v>
      </c>
      <c r="AG94" s="171">
        <f t="shared" si="96"/>
        <v>16.045991049144035</v>
      </c>
      <c r="AH94" s="171">
        <f t="shared" si="96"/>
        <v>16.045991049144035</v>
      </c>
      <c r="AI94" s="171">
        <f t="shared" si="96"/>
        <v>16.045991049144035</v>
      </c>
      <c r="AJ94" s="171">
        <f t="shared" si="96"/>
        <v>16.045991049144035</v>
      </c>
      <c r="AK94" s="171">
        <f t="shared" si="97"/>
        <v>16.045991049144035</v>
      </c>
      <c r="AL94" s="171">
        <f t="shared" si="97"/>
        <v>16.045991049144035</v>
      </c>
      <c r="AM94" s="171">
        <f t="shared" si="97"/>
        <v>16.045991049144035</v>
      </c>
      <c r="AN94" s="171">
        <f t="shared" si="97"/>
        <v>16.045991049144035</v>
      </c>
      <c r="AO94" s="171">
        <f t="shared" si="97"/>
        <v>16.045991049144035</v>
      </c>
      <c r="AP94" s="171">
        <f t="shared" si="97"/>
        <v>16.045991049144035</v>
      </c>
      <c r="AQ94" s="171">
        <f t="shared" si="97"/>
        <v>16.045991049144035</v>
      </c>
      <c r="AR94" s="171">
        <f t="shared" si="97"/>
        <v>16.045991049144035</v>
      </c>
      <c r="AS94" s="171">
        <f t="shared" si="97"/>
        <v>16.045991049144035</v>
      </c>
      <c r="AT94" s="171">
        <f t="shared" si="97"/>
        <v>16.045991049144035</v>
      </c>
      <c r="AU94" s="171">
        <f t="shared" si="98"/>
        <v>16.045991049144035</v>
      </c>
      <c r="AV94" s="171">
        <f t="shared" si="98"/>
        <v>16.045991049144035</v>
      </c>
      <c r="AW94" s="171">
        <f t="shared" si="98"/>
        <v>16.045991049144035</v>
      </c>
      <c r="AX94" s="171">
        <f t="shared" si="98"/>
        <v>16.045991049144035</v>
      </c>
      <c r="AY94" s="171">
        <f t="shared" si="98"/>
        <v>16.045991049144035</v>
      </c>
      <c r="AZ94" s="171">
        <f t="shared" si="98"/>
        <v>16.045991049144035</v>
      </c>
      <c r="BA94" s="171">
        <f t="shared" si="98"/>
        <v>16.045991049144035</v>
      </c>
      <c r="BB94" s="171">
        <f t="shared" si="98"/>
        <v>16.045991049144035</v>
      </c>
      <c r="BC94" s="171">
        <f t="shared" si="98"/>
        <v>0</v>
      </c>
      <c r="BD94" s="171">
        <f t="shared" si="98"/>
        <v>0</v>
      </c>
      <c r="BE94" s="171">
        <f t="shared" si="99"/>
        <v>0</v>
      </c>
      <c r="BF94" s="171">
        <f t="shared" si="99"/>
        <v>0</v>
      </c>
      <c r="BG94" s="171">
        <f t="shared" si="99"/>
        <v>0</v>
      </c>
      <c r="BH94" s="171">
        <f t="shared" si="99"/>
        <v>0</v>
      </c>
      <c r="BI94" s="171">
        <f t="shared" si="99"/>
        <v>0</v>
      </c>
      <c r="BJ94" s="171">
        <f t="shared" si="99"/>
        <v>0</v>
      </c>
      <c r="BK94" s="171">
        <f t="shared" si="99"/>
        <v>0</v>
      </c>
      <c r="BL94" s="171">
        <f t="shared" si="99"/>
        <v>0</v>
      </c>
      <c r="BM94" s="171">
        <f t="shared" si="99"/>
        <v>0</v>
      </c>
      <c r="BN94" s="171">
        <f t="shared" si="99"/>
        <v>0</v>
      </c>
      <c r="BO94" s="171">
        <f t="shared" si="100"/>
        <v>0</v>
      </c>
      <c r="BP94" s="171">
        <f t="shared" si="100"/>
        <v>0</v>
      </c>
      <c r="BQ94" s="171">
        <f t="shared" si="100"/>
        <v>0</v>
      </c>
      <c r="BR94" s="171">
        <f t="shared" si="100"/>
        <v>0</v>
      </c>
      <c r="BS94" s="171">
        <f t="shared" si="100"/>
        <v>0</v>
      </c>
      <c r="BT94" s="171">
        <f t="shared" si="100"/>
        <v>0</v>
      </c>
      <c r="BU94" s="171">
        <f t="shared" si="100"/>
        <v>0</v>
      </c>
      <c r="BV94" s="171">
        <f t="shared" si="100"/>
        <v>0</v>
      </c>
      <c r="BW94" s="171">
        <f t="shared" si="100"/>
        <v>0</v>
      </c>
      <c r="BX94" s="171">
        <f t="shared" si="100"/>
        <v>0</v>
      </c>
      <c r="BY94" s="171">
        <f t="shared" si="101"/>
        <v>0</v>
      </c>
      <c r="BZ94" s="171">
        <f t="shared" si="101"/>
        <v>0</v>
      </c>
      <c r="CA94" s="171">
        <f t="shared" si="101"/>
        <v>0</v>
      </c>
      <c r="CB94" s="171">
        <f t="shared" si="101"/>
        <v>0</v>
      </c>
      <c r="CC94" s="171">
        <f t="shared" si="101"/>
        <v>0</v>
      </c>
      <c r="CD94" s="171">
        <f t="shared" si="101"/>
        <v>0</v>
      </c>
      <c r="CE94" s="171">
        <f t="shared" si="101"/>
        <v>0</v>
      </c>
      <c r="CF94" s="171">
        <f t="shared" si="101"/>
        <v>0</v>
      </c>
      <c r="CG94" s="171">
        <f t="shared" si="101"/>
        <v>0</v>
      </c>
      <c r="CH94" s="171">
        <f t="shared" si="101"/>
        <v>0</v>
      </c>
      <c r="CI94" s="171">
        <f t="shared" si="101"/>
        <v>0</v>
      </c>
      <c r="CJ94" s="243"/>
      <c r="CK94" s="171">
        <f t="shared" si="16"/>
        <v>0</v>
      </c>
      <c r="CL94" s="171">
        <f t="shared" si="17"/>
        <v>0</v>
      </c>
      <c r="CM94" s="171">
        <f t="shared" si="18"/>
        <v>0</v>
      </c>
      <c r="CN94" s="171">
        <f t="shared" si="19"/>
        <v>0</v>
      </c>
      <c r="CO94" s="171">
        <f t="shared" si="20"/>
        <v>16.045991049144035</v>
      </c>
      <c r="CP94" s="171">
        <f t="shared" si="21"/>
        <v>16.045991049144035</v>
      </c>
      <c r="CQ94" s="171">
        <f t="shared" si="22"/>
        <v>16.045991049144035</v>
      </c>
      <c r="CR94" s="171">
        <f t="shared" si="23"/>
        <v>16.045991049144035</v>
      </c>
      <c r="CS94" s="171">
        <f t="shared" si="24"/>
        <v>16.045991049144035</v>
      </c>
      <c r="CT94" s="171">
        <f t="shared" si="25"/>
        <v>16.045991049144035</v>
      </c>
      <c r="CU94" s="171">
        <f t="shared" si="26"/>
        <v>16.045991049144035</v>
      </c>
      <c r="CV94" s="171">
        <f t="shared" si="27"/>
        <v>16.045991049144035</v>
      </c>
      <c r="CW94" s="171">
        <f t="shared" si="28"/>
        <v>16.045991049144035</v>
      </c>
      <c r="CX94" s="171">
        <f t="shared" si="29"/>
        <v>16.045991049144035</v>
      </c>
      <c r="CY94" s="171">
        <f t="shared" ca="1" si="30"/>
        <v>15.233537108358792</v>
      </c>
      <c r="CZ94" s="171">
        <f t="shared" ca="1" si="31"/>
        <v>14.462220010033191</v>
      </c>
      <c r="DA94" s="171">
        <f t="shared" ca="1" si="32"/>
        <v>13.729956879406462</v>
      </c>
      <c r="DB94" s="171">
        <f t="shared" ca="1" si="33"/>
        <v>13.034770303562004</v>
      </c>
      <c r="DC94" s="171">
        <f t="shared" ca="1" si="34"/>
        <v>12.374782991595733</v>
      </c>
      <c r="DD94" s="171">
        <f t="shared" ca="1" si="35"/>
        <v>11.748212705155215</v>
      </c>
      <c r="DE94" s="171">
        <f t="shared" ca="1" si="36"/>
        <v>11.15336744565996</v>
      </c>
      <c r="DF94" s="171">
        <f t="shared" ca="1" si="37"/>
        <v>10.588640885206365</v>
      </c>
      <c r="DG94" s="171">
        <f t="shared" ca="1" si="38"/>
        <v>10.052508028818878</v>
      </c>
      <c r="DH94" s="171">
        <f t="shared" ca="1" si="39"/>
        <v>9.5435210963336523</v>
      </c>
      <c r="DI94" s="171">
        <f t="shared" ca="1" si="40"/>
        <v>9.0603056127941031</v>
      </c>
      <c r="DJ94" s="171">
        <f t="shared" ca="1" si="41"/>
        <v>8.6015566968007899</v>
      </c>
      <c r="DK94" s="171">
        <f t="shared" ca="1" si="42"/>
        <v>8.1660355367926467</v>
      </c>
      <c r="DL94" s="171">
        <f t="shared" ca="1" si="43"/>
        <v>7.7525660457440733</v>
      </c>
      <c r="DM94" s="171">
        <f t="shared" ca="1" si="44"/>
        <v>0</v>
      </c>
      <c r="DN94" s="171">
        <f t="shared" ca="1" si="45"/>
        <v>0</v>
      </c>
      <c r="DO94" s="171">
        <f t="shared" ca="1" si="46"/>
        <v>0</v>
      </c>
      <c r="DP94" s="171">
        <f t="shared" ca="1" si="47"/>
        <v>0</v>
      </c>
      <c r="DQ94" s="171">
        <f t="shared" ca="1" si="48"/>
        <v>0</v>
      </c>
      <c r="DR94" s="171">
        <f t="shared" ca="1" si="49"/>
        <v>0</v>
      </c>
      <c r="DS94" s="171">
        <f t="shared" ca="1" si="50"/>
        <v>0</v>
      </c>
      <c r="DT94" s="171">
        <f t="shared" ca="1" si="51"/>
        <v>0</v>
      </c>
      <c r="DU94" s="171">
        <f t="shared" ca="1" si="52"/>
        <v>0</v>
      </c>
      <c r="DV94" s="171">
        <f t="shared" ca="1" si="53"/>
        <v>0</v>
      </c>
      <c r="DW94" s="171">
        <f t="shared" ca="1" si="54"/>
        <v>0</v>
      </c>
      <c r="DX94" s="171">
        <f t="shared" ca="1" si="55"/>
        <v>0</v>
      </c>
      <c r="DY94" s="171">
        <f t="shared" ca="1" si="56"/>
        <v>0</v>
      </c>
      <c r="DZ94" s="171">
        <f t="shared" ca="1" si="57"/>
        <v>0</v>
      </c>
      <c r="EA94" s="171">
        <f t="shared" ca="1" si="58"/>
        <v>0</v>
      </c>
      <c r="EB94" s="171">
        <f t="shared" ca="1" si="59"/>
        <v>0</v>
      </c>
      <c r="EC94" s="171">
        <f t="shared" ca="1" si="60"/>
        <v>0</v>
      </c>
      <c r="ED94" s="171">
        <f t="shared" ca="1" si="61"/>
        <v>0</v>
      </c>
      <c r="EE94" s="171">
        <f t="shared" ca="1" si="62"/>
        <v>0</v>
      </c>
      <c r="EF94" s="171">
        <f t="shared" ca="1" si="63"/>
        <v>0</v>
      </c>
      <c r="EG94" s="171">
        <f t="shared" ca="1" si="64"/>
        <v>0</v>
      </c>
      <c r="EH94" s="171">
        <f t="shared" ca="1" si="65"/>
        <v>0</v>
      </c>
      <c r="EI94" s="171">
        <f t="shared" ca="1" si="66"/>
        <v>0</v>
      </c>
      <c r="EJ94" s="171">
        <f t="shared" ca="1" si="67"/>
        <v>0</v>
      </c>
      <c r="EK94" s="171">
        <f t="shared" ca="1" si="68"/>
        <v>0</v>
      </c>
      <c r="EL94" s="171">
        <f t="shared" ca="1" si="69"/>
        <v>0</v>
      </c>
      <c r="EM94" s="171">
        <f t="shared" ca="1" si="70"/>
        <v>0</v>
      </c>
      <c r="EN94" s="171">
        <f t="shared" ca="1" si="71"/>
        <v>0</v>
      </c>
      <c r="EO94" s="171">
        <f t="shared" ca="1" si="72"/>
        <v>0</v>
      </c>
      <c r="EP94" s="171">
        <f t="shared" ca="1" si="73"/>
        <v>0</v>
      </c>
      <c r="EQ94" s="171">
        <f t="shared" ca="1" si="74"/>
        <v>0</v>
      </c>
      <c r="ER94" s="171">
        <f t="shared" ca="1" si="75"/>
        <v>0</v>
      </c>
      <c r="ES94" s="171">
        <f t="shared" ca="1" si="76"/>
        <v>0</v>
      </c>
    </row>
    <row r="95" spans="1:149">
      <c r="A95" s="139" t="s">
        <v>458</v>
      </c>
      <c r="B95" s="161" t="s">
        <v>461</v>
      </c>
      <c r="C95" s="161" t="s">
        <v>460</v>
      </c>
      <c r="D95" s="161" t="s">
        <v>394</v>
      </c>
      <c r="E95" s="161">
        <v>2014</v>
      </c>
      <c r="F95" s="189" t="s">
        <v>405</v>
      </c>
      <c r="G95" s="189" t="s">
        <v>289</v>
      </c>
      <c r="H95" s="189" t="s">
        <v>406</v>
      </c>
      <c r="I95" s="189" t="s">
        <v>365</v>
      </c>
      <c r="J95" s="189" t="s">
        <v>397</v>
      </c>
      <c r="K95" s="187">
        <v>59.311999999999998</v>
      </c>
      <c r="L95" s="163" t="s">
        <v>110</v>
      </c>
      <c r="M95" s="164">
        <f t="shared" si="0"/>
        <v>59.311999999999998</v>
      </c>
      <c r="N95" s="164">
        <f t="shared" si="1"/>
        <v>59.311999999999998</v>
      </c>
      <c r="O95" s="165">
        <f t="shared" si="2"/>
        <v>1</v>
      </c>
      <c r="P95" s="190">
        <v>0.13</v>
      </c>
      <c r="Q95" s="177">
        <v>25</v>
      </c>
      <c r="R95" s="168">
        <f t="shared" si="95"/>
        <v>15</v>
      </c>
      <c r="S95" s="169">
        <v>0</v>
      </c>
      <c r="T95" s="161" t="s">
        <v>289</v>
      </c>
      <c r="U95" s="171">
        <f t="shared" si="4"/>
        <v>8.0189823999999952</v>
      </c>
      <c r="V95" s="171">
        <f t="shared" ca="1" si="5"/>
        <v>6.3489245067127635</v>
      </c>
      <c r="W95" s="171">
        <f t="shared" ca="1" si="6"/>
        <v>158.72311266781909</v>
      </c>
      <c r="X95" s="172" t="str">
        <f t="shared" si="7"/>
        <v>Equity</v>
      </c>
      <c r="Y95" s="172" t="str">
        <f t="shared" si="8"/>
        <v>Equity</v>
      </c>
      <c r="Z95" s="173">
        <f t="shared" si="9"/>
        <v>200.47455999999988</v>
      </c>
      <c r="AA95" s="171">
        <f t="shared" si="96"/>
        <v>0</v>
      </c>
      <c r="AB95" s="171">
        <f t="shared" si="96"/>
        <v>0</v>
      </c>
      <c r="AC95" s="171">
        <f t="shared" si="96"/>
        <v>0</v>
      </c>
      <c r="AD95" s="171">
        <f t="shared" si="96"/>
        <v>0</v>
      </c>
      <c r="AE95" s="171">
        <f t="shared" si="96"/>
        <v>7.7105600000000001</v>
      </c>
      <c r="AF95" s="171">
        <f t="shared" si="96"/>
        <v>7.7105600000000001</v>
      </c>
      <c r="AG95" s="171">
        <f t="shared" si="96"/>
        <v>7.7105600000000001</v>
      </c>
      <c r="AH95" s="171">
        <f t="shared" si="96"/>
        <v>7.7105600000000001</v>
      </c>
      <c r="AI95" s="171">
        <f t="shared" si="96"/>
        <v>7.7105600000000001</v>
      </c>
      <c r="AJ95" s="171">
        <f t="shared" si="96"/>
        <v>7.7105600000000001</v>
      </c>
      <c r="AK95" s="171">
        <f t="shared" si="97"/>
        <v>7.7105600000000001</v>
      </c>
      <c r="AL95" s="171">
        <f t="shared" si="97"/>
        <v>7.7105600000000001</v>
      </c>
      <c r="AM95" s="171">
        <f t="shared" si="97"/>
        <v>7.7105600000000001</v>
      </c>
      <c r="AN95" s="171">
        <f t="shared" si="97"/>
        <v>7.7105600000000001</v>
      </c>
      <c r="AO95" s="171">
        <f t="shared" si="97"/>
        <v>7.7105600000000001</v>
      </c>
      <c r="AP95" s="171">
        <f t="shared" si="97"/>
        <v>7.7105600000000001</v>
      </c>
      <c r="AQ95" s="171">
        <f t="shared" si="97"/>
        <v>7.7105600000000001</v>
      </c>
      <c r="AR95" s="171">
        <f t="shared" si="97"/>
        <v>7.7105600000000001</v>
      </c>
      <c r="AS95" s="171">
        <f t="shared" si="97"/>
        <v>7.7105600000000001</v>
      </c>
      <c r="AT95" s="171">
        <f t="shared" si="97"/>
        <v>7.7105600000000001</v>
      </c>
      <c r="AU95" s="171">
        <f t="shared" si="98"/>
        <v>7.7105600000000001</v>
      </c>
      <c r="AV95" s="171">
        <f t="shared" si="98"/>
        <v>7.7105600000000001</v>
      </c>
      <c r="AW95" s="171">
        <f t="shared" si="98"/>
        <v>7.7105600000000001</v>
      </c>
      <c r="AX95" s="171">
        <f t="shared" si="98"/>
        <v>7.7105600000000001</v>
      </c>
      <c r="AY95" s="171">
        <f t="shared" si="98"/>
        <v>7.7105600000000001</v>
      </c>
      <c r="AZ95" s="171">
        <f t="shared" si="98"/>
        <v>7.7105600000000001</v>
      </c>
      <c r="BA95" s="171">
        <f t="shared" si="98"/>
        <v>7.7105600000000001</v>
      </c>
      <c r="BB95" s="171">
        <f t="shared" si="98"/>
        <v>7.7105600000000001</v>
      </c>
      <c r="BC95" s="171">
        <f t="shared" si="98"/>
        <v>7.7105600000000001</v>
      </c>
      <c r="BD95" s="171">
        <f t="shared" si="98"/>
        <v>7.7105600000000001</v>
      </c>
      <c r="BE95" s="171">
        <f t="shared" si="99"/>
        <v>0</v>
      </c>
      <c r="BF95" s="171">
        <f t="shared" si="99"/>
        <v>0</v>
      </c>
      <c r="BG95" s="171">
        <f t="shared" si="99"/>
        <v>0</v>
      </c>
      <c r="BH95" s="171">
        <f t="shared" si="99"/>
        <v>0</v>
      </c>
      <c r="BI95" s="171">
        <f t="shared" si="99"/>
        <v>0</v>
      </c>
      <c r="BJ95" s="171">
        <f t="shared" si="99"/>
        <v>0</v>
      </c>
      <c r="BK95" s="171">
        <f t="shared" si="99"/>
        <v>0</v>
      </c>
      <c r="BL95" s="171">
        <f t="shared" si="99"/>
        <v>0</v>
      </c>
      <c r="BM95" s="171">
        <f t="shared" si="99"/>
        <v>0</v>
      </c>
      <c r="BN95" s="171">
        <f t="shared" si="99"/>
        <v>0</v>
      </c>
      <c r="BO95" s="171">
        <f t="shared" si="100"/>
        <v>0</v>
      </c>
      <c r="BP95" s="171">
        <f t="shared" si="100"/>
        <v>0</v>
      </c>
      <c r="BQ95" s="171">
        <f t="shared" si="100"/>
        <v>0</v>
      </c>
      <c r="BR95" s="171">
        <f t="shared" si="100"/>
        <v>0</v>
      </c>
      <c r="BS95" s="171">
        <f t="shared" si="100"/>
        <v>0</v>
      </c>
      <c r="BT95" s="171">
        <f t="shared" si="100"/>
        <v>0</v>
      </c>
      <c r="BU95" s="171">
        <f t="shared" si="100"/>
        <v>0</v>
      </c>
      <c r="BV95" s="171">
        <f t="shared" si="100"/>
        <v>0</v>
      </c>
      <c r="BW95" s="171">
        <f t="shared" si="100"/>
        <v>0</v>
      </c>
      <c r="BX95" s="171">
        <f t="shared" si="100"/>
        <v>0</v>
      </c>
      <c r="BY95" s="171">
        <f t="shared" si="101"/>
        <v>0</v>
      </c>
      <c r="BZ95" s="171">
        <f t="shared" si="101"/>
        <v>0</v>
      </c>
      <c r="CA95" s="171">
        <f t="shared" si="101"/>
        <v>0</v>
      </c>
      <c r="CB95" s="171">
        <f t="shared" si="101"/>
        <v>0</v>
      </c>
      <c r="CC95" s="171">
        <f t="shared" si="101"/>
        <v>0</v>
      </c>
      <c r="CD95" s="171">
        <f t="shared" si="101"/>
        <v>0</v>
      </c>
      <c r="CE95" s="171">
        <f t="shared" si="101"/>
        <v>0</v>
      </c>
      <c r="CF95" s="171">
        <f t="shared" si="101"/>
        <v>0</v>
      </c>
      <c r="CG95" s="171">
        <f t="shared" si="101"/>
        <v>0</v>
      </c>
      <c r="CH95" s="171">
        <f t="shared" si="101"/>
        <v>0</v>
      </c>
      <c r="CI95" s="171">
        <f t="shared" si="101"/>
        <v>0</v>
      </c>
      <c r="CJ95" s="243"/>
      <c r="CK95" s="171">
        <f t="shared" si="16"/>
        <v>0</v>
      </c>
      <c r="CL95" s="171">
        <f t="shared" si="17"/>
        <v>0</v>
      </c>
      <c r="CM95" s="171">
        <f t="shared" si="18"/>
        <v>0</v>
      </c>
      <c r="CN95" s="171">
        <f t="shared" si="19"/>
        <v>0</v>
      </c>
      <c r="CO95" s="171">
        <f t="shared" si="20"/>
        <v>7.7105600000000001</v>
      </c>
      <c r="CP95" s="171">
        <f t="shared" si="21"/>
        <v>7.7105600000000001</v>
      </c>
      <c r="CQ95" s="171">
        <f t="shared" si="22"/>
        <v>7.7105600000000001</v>
      </c>
      <c r="CR95" s="171">
        <f t="shared" si="23"/>
        <v>7.7105600000000001</v>
      </c>
      <c r="CS95" s="171">
        <f t="shared" si="24"/>
        <v>7.7105600000000001</v>
      </c>
      <c r="CT95" s="171">
        <f t="shared" si="25"/>
        <v>7.7105600000000001</v>
      </c>
      <c r="CU95" s="171">
        <f t="shared" si="26"/>
        <v>7.7105600000000001</v>
      </c>
      <c r="CV95" s="171">
        <f t="shared" si="27"/>
        <v>7.7105600000000001</v>
      </c>
      <c r="CW95" s="171">
        <f t="shared" si="28"/>
        <v>7.7105600000000001</v>
      </c>
      <c r="CX95" s="171">
        <f t="shared" si="29"/>
        <v>7.7105600000000001</v>
      </c>
      <c r="CY95" s="171">
        <f t="shared" ca="1" si="30"/>
        <v>7.3201525244832268</v>
      </c>
      <c r="CZ95" s="171">
        <f t="shared" ca="1" si="31"/>
        <v>6.9495124843977809</v>
      </c>
      <c r="DA95" s="171">
        <f t="shared" ca="1" si="32"/>
        <v>6.5976389985412363</v>
      </c>
      <c r="DB95" s="171">
        <f t="shared" ca="1" si="33"/>
        <v>6.2635818631591755</v>
      </c>
      <c r="DC95" s="171">
        <f t="shared" ca="1" si="34"/>
        <v>5.9464389860025717</v>
      </c>
      <c r="DD95" s="171">
        <f t="shared" ca="1" si="35"/>
        <v>5.6453539503060997</v>
      </c>
      <c r="DE95" s="171">
        <f t="shared" ca="1" si="36"/>
        <v>5.359513702109127</v>
      </c>
      <c r="DF95" s="171">
        <f t="shared" ca="1" si="37"/>
        <v>5.0881463546741825</v>
      </c>
      <c r="DG95" s="171">
        <f t="shared" ca="1" si="38"/>
        <v>4.8305191040739386</v>
      </c>
      <c r="DH95" s="171">
        <f t="shared" ca="1" si="39"/>
        <v>4.5859362503179133</v>
      </c>
      <c r="DI95" s="171">
        <f t="shared" ca="1" si="40"/>
        <v>4.3537373186751438</v>
      </c>
      <c r="DJ95" s="171">
        <f t="shared" ca="1" si="41"/>
        <v>4.1332952761195925</v>
      </c>
      <c r="DK95" s="171">
        <f t="shared" ca="1" si="42"/>
        <v>3.9240148380819844</v>
      </c>
      <c r="DL95" s="171">
        <f t="shared" ca="1" si="43"/>
        <v>3.7253308609355842</v>
      </c>
      <c r="DM95" s="171">
        <f t="shared" ca="1" si="44"/>
        <v>3.5367068158749673</v>
      </c>
      <c r="DN95" s="171">
        <f t="shared" ca="1" si="45"/>
        <v>3.3576333400666325</v>
      </c>
      <c r="DO95" s="171">
        <f t="shared" ca="1" si="46"/>
        <v>0</v>
      </c>
      <c r="DP95" s="171">
        <f t="shared" ca="1" si="47"/>
        <v>0</v>
      </c>
      <c r="DQ95" s="171">
        <f t="shared" ca="1" si="48"/>
        <v>0</v>
      </c>
      <c r="DR95" s="171">
        <f t="shared" ca="1" si="49"/>
        <v>0</v>
      </c>
      <c r="DS95" s="171">
        <f t="shared" ca="1" si="50"/>
        <v>0</v>
      </c>
      <c r="DT95" s="171">
        <f t="shared" ca="1" si="51"/>
        <v>0</v>
      </c>
      <c r="DU95" s="171">
        <f t="shared" ca="1" si="52"/>
        <v>0</v>
      </c>
      <c r="DV95" s="171">
        <f t="shared" ca="1" si="53"/>
        <v>0</v>
      </c>
      <c r="DW95" s="171">
        <f t="shared" ca="1" si="54"/>
        <v>0</v>
      </c>
      <c r="DX95" s="171">
        <f t="shared" ca="1" si="55"/>
        <v>0</v>
      </c>
      <c r="DY95" s="171">
        <f t="shared" ca="1" si="56"/>
        <v>0</v>
      </c>
      <c r="DZ95" s="171">
        <f t="shared" ca="1" si="57"/>
        <v>0</v>
      </c>
      <c r="EA95" s="171">
        <f t="shared" ca="1" si="58"/>
        <v>0</v>
      </c>
      <c r="EB95" s="171">
        <f t="shared" ca="1" si="59"/>
        <v>0</v>
      </c>
      <c r="EC95" s="171">
        <f t="shared" ca="1" si="60"/>
        <v>0</v>
      </c>
      <c r="ED95" s="171">
        <f t="shared" ca="1" si="61"/>
        <v>0</v>
      </c>
      <c r="EE95" s="171">
        <f t="shared" ca="1" si="62"/>
        <v>0</v>
      </c>
      <c r="EF95" s="171">
        <f t="shared" ca="1" si="63"/>
        <v>0</v>
      </c>
      <c r="EG95" s="171">
        <f t="shared" ca="1" si="64"/>
        <v>0</v>
      </c>
      <c r="EH95" s="171">
        <f t="shared" ca="1" si="65"/>
        <v>0</v>
      </c>
      <c r="EI95" s="171">
        <f t="shared" ca="1" si="66"/>
        <v>0</v>
      </c>
      <c r="EJ95" s="171">
        <f t="shared" ca="1" si="67"/>
        <v>0</v>
      </c>
      <c r="EK95" s="171">
        <f t="shared" ca="1" si="68"/>
        <v>0</v>
      </c>
      <c r="EL95" s="171">
        <f t="shared" ca="1" si="69"/>
        <v>0</v>
      </c>
      <c r="EM95" s="171">
        <f t="shared" ca="1" si="70"/>
        <v>0</v>
      </c>
      <c r="EN95" s="171">
        <f t="shared" ca="1" si="71"/>
        <v>0</v>
      </c>
      <c r="EO95" s="171">
        <f t="shared" ca="1" si="72"/>
        <v>0</v>
      </c>
      <c r="EP95" s="171">
        <f t="shared" ca="1" si="73"/>
        <v>0</v>
      </c>
      <c r="EQ95" s="171">
        <f t="shared" ca="1" si="74"/>
        <v>0</v>
      </c>
      <c r="ER95" s="171">
        <f t="shared" ca="1" si="75"/>
        <v>0</v>
      </c>
      <c r="ES95" s="171">
        <f t="shared" ca="1" si="76"/>
        <v>0</v>
      </c>
    </row>
    <row r="96" spans="1:149">
      <c r="A96" s="139" t="s">
        <v>458</v>
      </c>
      <c r="B96" s="160" t="s">
        <v>462</v>
      </c>
      <c r="C96" s="160" t="s">
        <v>460</v>
      </c>
      <c r="D96" s="161" t="s">
        <v>394</v>
      </c>
      <c r="E96" s="160">
        <v>2014</v>
      </c>
      <c r="F96" s="194" t="s">
        <v>424</v>
      </c>
      <c r="G96" s="194" t="s">
        <v>289</v>
      </c>
      <c r="H96" s="194" t="s">
        <v>406</v>
      </c>
      <c r="I96" s="194" t="s">
        <v>365</v>
      </c>
      <c r="J96" s="194" t="s">
        <v>401</v>
      </c>
      <c r="K96" s="187">
        <v>8.0879999999999992</v>
      </c>
      <c r="L96" s="163" t="s">
        <v>110</v>
      </c>
      <c r="M96" s="164">
        <f t="shared" si="0"/>
        <v>8.0879999999999992</v>
      </c>
      <c r="N96" s="164">
        <f t="shared" si="1"/>
        <v>8.0879999999999992</v>
      </c>
      <c r="O96" s="165">
        <f t="shared" si="2"/>
        <v>1</v>
      </c>
      <c r="P96" s="190">
        <v>0.13</v>
      </c>
      <c r="Q96" s="177">
        <v>25</v>
      </c>
      <c r="R96" s="168">
        <f t="shared" si="95"/>
        <v>15</v>
      </c>
      <c r="S96" s="178">
        <v>0</v>
      </c>
      <c r="T96" s="160" t="s">
        <v>289</v>
      </c>
      <c r="U96" s="171">
        <f t="shared" si="4"/>
        <v>1.0934975999999996</v>
      </c>
      <c r="V96" s="171">
        <f t="shared" ca="1" si="5"/>
        <v>0.86576243273355891</v>
      </c>
      <c r="W96" s="171">
        <f t="shared" ca="1" si="6"/>
        <v>21.644060818338971</v>
      </c>
      <c r="X96" s="172" t="str">
        <f t="shared" si="7"/>
        <v>Equity</v>
      </c>
      <c r="Y96" s="172" t="str">
        <f t="shared" si="8"/>
        <v>Equity</v>
      </c>
      <c r="Z96" s="173">
        <f t="shared" si="9"/>
        <v>27.33743999999999</v>
      </c>
      <c r="AA96" s="171">
        <f t="shared" si="96"/>
        <v>0</v>
      </c>
      <c r="AB96" s="171">
        <f t="shared" si="96"/>
        <v>0</v>
      </c>
      <c r="AC96" s="171">
        <f t="shared" si="96"/>
        <v>0</v>
      </c>
      <c r="AD96" s="171">
        <f t="shared" si="96"/>
        <v>0</v>
      </c>
      <c r="AE96" s="171">
        <f t="shared" si="96"/>
        <v>1.0514399999999999</v>
      </c>
      <c r="AF96" s="171">
        <f t="shared" si="96"/>
        <v>1.0514399999999999</v>
      </c>
      <c r="AG96" s="171">
        <f t="shared" si="96"/>
        <v>1.0514399999999999</v>
      </c>
      <c r="AH96" s="171">
        <f t="shared" si="96"/>
        <v>1.0514399999999999</v>
      </c>
      <c r="AI96" s="171">
        <f t="shared" si="96"/>
        <v>1.0514399999999999</v>
      </c>
      <c r="AJ96" s="171">
        <f t="shared" si="96"/>
        <v>1.0514399999999999</v>
      </c>
      <c r="AK96" s="171">
        <f t="shared" si="97"/>
        <v>1.0514399999999999</v>
      </c>
      <c r="AL96" s="171">
        <f t="shared" si="97"/>
        <v>1.0514399999999999</v>
      </c>
      <c r="AM96" s="171">
        <f t="shared" si="97"/>
        <v>1.0514399999999999</v>
      </c>
      <c r="AN96" s="171">
        <f t="shared" si="97"/>
        <v>1.0514399999999999</v>
      </c>
      <c r="AO96" s="171">
        <f t="shared" si="97"/>
        <v>1.0514399999999999</v>
      </c>
      <c r="AP96" s="171">
        <f t="shared" si="97"/>
        <v>1.0514399999999999</v>
      </c>
      <c r="AQ96" s="171">
        <f t="shared" si="97"/>
        <v>1.0514399999999999</v>
      </c>
      <c r="AR96" s="171">
        <f t="shared" si="97"/>
        <v>1.0514399999999999</v>
      </c>
      <c r="AS96" s="171">
        <f t="shared" si="97"/>
        <v>1.0514399999999999</v>
      </c>
      <c r="AT96" s="171">
        <f t="shared" si="97"/>
        <v>1.0514399999999999</v>
      </c>
      <c r="AU96" s="171">
        <f t="shared" si="98"/>
        <v>1.0514399999999999</v>
      </c>
      <c r="AV96" s="171">
        <f t="shared" si="98"/>
        <v>1.0514399999999999</v>
      </c>
      <c r="AW96" s="171">
        <f t="shared" si="98"/>
        <v>1.0514399999999999</v>
      </c>
      <c r="AX96" s="171">
        <f t="shared" si="98"/>
        <v>1.0514399999999999</v>
      </c>
      <c r="AY96" s="171">
        <f t="shared" si="98"/>
        <v>1.0514399999999999</v>
      </c>
      <c r="AZ96" s="171">
        <f t="shared" si="98"/>
        <v>1.0514399999999999</v>
      </c>
      <c r="BA96" s="171">
        <f t="shared" si="98"/>
        <v>1.0514399999999999</v>
      </c>
      <c r="BB96" s="171">
        <f t="shared" si="98"/>
        <v>1.0514399999999999</v>
      </c>
      <c r="BC96" s="171">
        <f t="shared" si="98"/>
        <v>1.0514399999999999</v>
      </c>
      <c r="BD96" s="171">
        <f t="shared" si="98"/>
        <v>1.0514399999999999</v>
      </c>
      <c r="BE96" s="171">
        <f t="shared" si="99"/>
        <v>0</v>
      </c>
      <c r="BF96" s="171">
        <f t="shared" si="99"/>
        <v>0</v>
      </c>
      <c r="BG96" s="171">
        <f t="shared" si="99"/>
        <v>0</v>
      </c>
      <c r="BH96" s="171">
        <f t="shared" si="99"/>
        <v>0</v>
      </c>
      <c r="BI96" s="171">
        <f t="shared" si="99"/>
        <v>0</v>
      </c>
      <c r="BJ96" s="171">
        <f t="shared" si="99"/>
        <v>0</v>
      </c>
      <c r="BK96" s="171">
        <f t="shared" si="99"/>
        <v>0</v>
      </c>
      <c r="BL96" s="171">
        <f t="shared" si="99"/>
        <v>0</v>
      </c>
      <c r="BM96" s="171">
        <f t="shared" si="99"/>
        <v>0</v>
      </c>
      <c r="BN96" s="171">
        <f t="shared" si="99"/>
        <v>0</v>
      </c>
      <c r="BO96" s="171">
        <f t="shared" si="100"/>
        <v>0</v>
      </c>
      <c r="BP96" s="171">
        <f t="shared" si="100"/>
        <v>0</v>
      </c>
      <c r="BQ96" s="171">
        <f t="shared" si="100"/>
        <v>0</v>
      </c>
      <c r="BR96" s="171">
        <f t="shared" si="100"/>
        <v>0</v>
      </c>
      <c r="BS96" s="171">
        <f t="shared" si="100"/>
        <v>0</v>
      </c>
      <c r="BT96" s="171">
        <f t="shared" si="100"/>
        <v>0</v>
      </c>
      <c r="BU96" s="171">
        <f t="shared" si="100"/>
        <v>0</v>
      </c>
      <c r="BV96" s="171">
        <f t="shared" si="100"/>
        <v>0</v>
      </c>
      <c r="BW96" s="171">
        <f t="shared" si="100"/>
        <v>0</v>
      </c>
      <c r="BX96" s="171">
        <f t="shared" si="100"/>
        <v>0</v>
      </c>
      <c r="BY96" s="171">
        <f t="shared" si="101"/>
        <v>0</v>
      </c>
      <c r="BZ96" s="171">
        <f t="shared" si="101"/>
        <v>0</v>
      </c>
      <c r="CA96" s="171">
        <f t="shared" si="101"/>
        <v>0</v>
      </c>
      <c r="CB96" s="171">
        <f t="shared" si="101"/>
        <v>0</v>
      </c>
      <c r="CC96" s="171">
        <f t="shared" si="101"/>
        <v>0</v>
      </c>
      <c r="CD96" s="171">
        <f t="shared" si="101"/>
        <v>0</v>
      </c>
      <c r="CE96" s="171">
        <f t="shared" si="101"/>
        <v>0</v>
      </c>
      <c r="CF96" s="171">
        <f t="shared" si="101"/>
        <v>0</v>
      </c>
      <c r="CG96" s="171">
        <f t="shared" si="101"/>
        <v>0</v>
      </c>
      <c r="CH96" s="171">
        <f t="shared" si="101"/>
        <v>0</v>
      </c>
      <c r="CI96" s="171">
        <f t="shared" si="101"/>
        <v>0</v>
      </c>
      <c r="CJ96" s="243"/>
      <c r="CK96" s="171">
        <f t="shared" si="16"/>
        <v>0</v>
      </c>
      <c r="CL96" s="171">
        <f t="shared" si="17"/>
        <v>0</v>
      </c>
      <c r="CM96" s="171">
        <f t="shared" si="18"/>
        <v>0</v>
      </c>
      <c r="CN96" s="171">
        <f t="shared" si="19"/>
        <v>0</v>
      </c>
      <c r="CO96" s="171">
        <f t="shared" si="20"/>
        <v>1.0514399999999999</v>
      </c>
      <c r="CP96" s="171">
        <f t="shared" si="21"/>
        <v>1.0514399999999999</v>
      </c>
      <c r="CQ96" s="171">
        <f t="shared" si="22"/>
        <v>1.0514399999999999</v>
      </c>
      <c r="CR96" s="171">
        <f t="shared" si="23"/>
        <v>1.0514399999999999</v>
      </c>
      <c r="CS96" s="171">
        <f t="shared" si="24"/>
        <v>1.0514399999999999</v>
      </c>
      <c r="CT96" s="171">
        <f t="shared" si="25"/>
        <v>1.0514399999999999</v>
      </c>
      <c r="CU96" s="171">
        <f t="shared" si="26"/>
        <v>1.0514399999999999</v>
      </c>
      <c r="CV96" s="171">
        <f t="shared" si="27"/>
        <v>1.0514399999999999</v>
      </c>
      <c r="CW96" s="171">
        <f t="shared" si="28"/>
        <v>1.0514399999999999</v>
      </c>
      <c r="CX96" s="171">
        <f t="shared" si="29"/>
        <v>1.0514399999999999</v>
      </c>
      <c r="CY96" s="171">
        <f t="shared" ca="1" si="30"/>
        <v>0.99820261697498536</v>
      </c>
      <c r="CZ96" s="171">
        <f t="shared" ca="1" si="31"/>
        <v>0.94766079332697006</v>
      </c>
      <c r="DA96" s="171">
        <f t="shared" ca="1" si="32"/>
        <v>0.899678045255623</v>
      </c>
      <c r="DB96" s="171">
        <f t="shared" ca="1" si="33"/>
        <v>0.85412479952170561</v>
      </c>
      <c r="DC96" s="171">
        <f t="shared" ca="1" si="34"/>
        <v>0.81087804354580506</v>
      </c>
      <c r="DD96" s="171">
        <f t="shared" ca="1" si="35"/>
        <v>0.7698209932235589</v>
      </c>
      <c r="DE96" s="171">
        <f t="shared" ca="1" si="36"/>
        <v>0.73084277756033544</v>
      </c>
      <c r="DF96" s="171">
        <f t="shared" ca="1" si="37"/>
        <v>0.69383813927375215</v>
      </c>
      <c r="DG96" s="171">
        <f t="shared" ca="1" si="38"/>
        <v>0.65870715055553697</v>
      </c>
      <c r="DH96" s="171">
        <f t="shared" ca="1" si="39"/>
        <v>0.62535494322516993</v>
      </c>
      <c r="DI96" s="171">
        <f t="shared" ca="1" si="40"/>
        <v>0.59369145254661049</v>
      </c>
      <c r="DJ96" s="171">
        <f t="shared" ca="1" si="41"/>
        <v>0.56363117401630802</v>
      </c>
      <c r="DK96" s="171">
        <f t="shared" ca="1" si="42"/>
        <v>0.53509293246572509</v>
      </c>
      <c r="DL96" s="171">
        <f t="shared" ca="1" si="43"/>
        <v>0.50799966285485232</v>
      </c>
      <c r="DM96" s="171">
        <f t="shared" ca="1" si="44"/>
        <v>0.48227820216476824</v>
      </c>
      <c r="DN96" s="171">
        <f t="shared" ca="1" si="45"/>
        <v>0.45785909182726803</v>
      </c>
      <c r="DO96" s="171">
        <f t="shared" ca="1" si="46"/>
        <v>0</v>
      </c>
      <c r="DP96" s="171">
        <f t="shared" ca="1" si="47"/>
        <v>0</v>
      </c>
      <c r="DQ96" s="171">
        <f t="shared" ca="1" si="48"/>
        <v>0</v>
      </c>
      <c r="DR96" s="171">
        <f t="shared" ca="1" si="49"/>
        <v>0</v>
      </c>
      <c r="DS96" s="171">
        <f t="shared" ca="1" si="50"/>
        <v>0</v>
      </c>
      <c r="DT96" s="171">
        <f t="shared" ca="1" si="51"/>
        <v>0</v>
      </c>
      <c r="DU96" s="171">
        <f t="shared" ca="1" si="52"/>
        <v>0</v>
      </c>
      <c r="DV96" s="171">
        <f t="shared" ca="1" si="53"/>
        <v>0</v>
      </c>
      <c r="DW96" s="171">
        <f t="shared" ca="1" si="54"/>
        <v>0</v>
      </c>
      <c r="DX96" s="171">
        <f t="shared" ca="1" si="55"/>
        <v>0</v>
      </c>
      <c r="DY96" s="171">
        <f t="shared" ca="1" si="56"/>
        <v>0</v>
      </c>
      <c r="DZ96" s="171">
        <f t="shared" ca="1" si="57"/>
        <v>0</v>
      </c>
      <c r="EA96" s="171">
        <f t="shared" ca="1" si="58"/>
        <v>0</v>
      </c>
      <c r="EB96" s="171">
        <f t="shared" ca="1" si="59"/>
        <v>0</v>
      </c>
      <c r="EC96" s="171">
        <f t="shared" ca="1" si="60"/>
        <v>0</v>
      </c>
      <c r="ED96" s="171">
        <f t="shared" ca="1" si="61"/>
        <v>0</v>
      </c>
      <c r="EE96" s="171">
        <f t="shared" ca="1" si="62"/>
        <v>0</v>
      </c>
      <c r="EF96" s="171">
        <f t="shared" ca="1" si="63"/>
        <v>0</v>
      </c>
      <c r="EG96" s="171">
        <f t="shared" ca="1" si="64"/>
        <v>0</v>
      </c>
      <c r="EH96" s="171">
        <f t="shared" ca="1" si="65"/>
        <v>0</v>
      </c>
      <c r="EI96" s="171">
        <f t="shared" ca="1" si="66"/>
        <v>0</v>
      </c>
      <c r="EJ96" s="171">
        <f t="shared" ca="1" si="67"/>
        <v>0</v>
      </c>
      <c r="EK96" s="171">
        <f t="shared" ca="1" si="68"/>
        <v>0</v>
      </c>
      <c r="EL96" s="171">
        <f t="shared" ca="1" si="69"/>
        <v>0</v>
      </c>
      <c r="EM96" s="171">
        <f t="shared" ca="1" si="70"/>
        <v>0</v>
      </c>
      <c r="EN96" s="171">
        <f t="shared" ca="1" si="71"/>
        <v>0</v>
      </c>
      <c r="EO96" s="171">
        <f t="shared" ca="1" si="72"/>
        <v>0</v>
      </c>
      <c r="EP96" s="171">
        <f t="shared" ca="1" si="73"/>
        <v>0</v>
      </c>
      <c r="EQ96" s="171">
        <f t="shared" ca="1" si="74"/>
        <v>0</v>
      </c>
      <c r="ER96" s="171">
        <f t="shared" ca="1" si="75"/>
        <v>0</v>
      </c>
      <c r="ES96" s="171">
        <f t="shared" ca="1" si="76"/>
        <v>0</v>
      </c>
    </row>
    <row r="97" spans="1:149">
      <c r="A97" s="139" t="s">
        <v>463</v>
      </c>
      <c r="B97" s="161" t="s">
        <v>464</v>
      </c>
      <c r="C97" s="161" t="s">
        <v>412</v>
      </c>
      <c r="D97" s="161" t="s">
        <v>394</v>
      </c>
      <c r="E97" s="161">
        <v>2022</v>
      </c>
      <c r="F97" s="161" t="s">
        <v>405</v>
      </c>
      <c r="G97" s="161" t="s">
        <v>289</v>
      </c>
      <c r="H97" s="161" t="s">
        <v>406</v>
      </c>
      <c r="I97" s="161" t="s">
        <v>365</v>
      </c>
      <c r="J97" s="161" t="s">
        <v>407</v>
      </c>
      <c r="K97" s="195">
        <v>52</v>
      </c>
      <c r="L97" s="163" t="s">
        <v>110</v>
      </c>
      <c r="M97" s="164">
        <f t="shared" si="0"/>
        <v>52</v>
      </c>
      <c r="N97" s="164">
        <f t="shared" si="1"/>
        <v>52</v>
      </c>
      <c r="O97" s="165">
        <f t="shared" si="2"/>
        <v>1</v>
      </c>
      <c r="P97" s="176">
        <v>5.2999999999999999E-2</v>
      </c>
      <c r="Q97" s="177">
        <v>24</v>
      </c>
      <c r="R97" s="168">
        <f t="shared" si="95"/>
        <v>22</v>
      </c>
      <c r="S97" s="178">
        <v>0</v>
      </c>
      <c r="T97" s="160" t="s">
        <v>289</v>
      </c>
      <c r="U97" s="171">
        <f t="shared" si="4"/>
        <v>2.8708333333333331</v>
      </c>
      <c r="V97" s="171">
        <f t="shared" ca="1" si="5"/>
        <v>1.7310816942265685</v>
      </c>
      <c r="W97" s="171">
        <f t="shared" ca="1" si="6"/>
        <v>41.545960661437647</v>
      </c>
      <c r="X97" s="172" t="str">
        <f t="shared" si="7"/>
        <v>Equity</v>
      </c>
      <c r="Y97" s="172" t="str">
        <f t="shared" si="8"/>
        <v>Equity</v>
      </c>
      <c r="Z97" s="173">
        <f t="shared" si="9"/>
        <v>68.899999999999991</v>
      </c>
      <c r="AA97" s="171">
        <f t="shared" si="96"/>
        <v>0</v>
      </c>
      <c r="AB97" s="171">
        <f t="shared" si="96"/>
        <v>0</v>
      </c>
      <c r="AC97" s="171">
        <f t="shared" si="96"/>
        <v>0</v>
      </c>
      <c r="AD97" s="171">
        <f t="shared" si="96"/>
        <v>0</v>
      </c>
      <c r="AE97" s="171">
        <f t="shared" si="96"/>
        <v>0</v>
      </c>
      <c r="AF97" s="171">
        <f t="shared" si="96"/>
        <v>0</v>
      </c>
      <c r="AG97" s="171">
        <f t="shared" si="96"/>
        <v>0</v>
      </c>
      <c r="AH97" s="171">
        <f t="shared" si="96"/>
        <v>0</v>
      </c>
      <c r="AI97" s="171">
        <f t="shared" si="96"/>
        <v>0</v>
      </c>
      <c r="AJ97" s="171">
        <f t="shared" si="96"/>
        <v>0</v>
      </c>
      <c r="AK97" s="171">
        <f t="shared" si="97"/>
        <v>0</v>
      </c>
      <c r="AL97" s="171">
        <f t="shared" si="97"/>
        <v>0</v>
      </c>
      <c r="AM97" s="171">
        <f t="shared" si="97"/>
        <v>2.7559999999999998</v>
      </c>
      <c r="AN97" s="171">
        <f t="shared" si="97"/>
        <v>2.7559999999999998</v>
      </c>
      <c r="AO97" s="171">
        <f t="shared" si="97"/>
        <v>2.7559999999999998</v>
      </c>
      <c r="AP97" s="171">
        <f t="shared" si="97"/>
        <v>2.7559999999999998</v>
      </c>
      <c r="AQ97" s="171">
        <f t="shared" si="97"/>
        <v>2.7559999999999998</v>
      </c>
      <c r="AR97" s="171">
        <f t="shared" si="97"/>
        <v>2.7559999999999998</v>
      </c>
      <c r="AS97" s="171">
        <f t="shared" si="97"/>
        <v>2.7559999999999998</v>
      </c>
      <c r="AT97" s="171">
        <f t="shared" si="97"/>
        <v>2.7559999999999998</v>
      </c>
      <c r="AU97" s="171">
        <f t="shared" si="98"/>
        <v>2.7559999999999998</v>
      </c>
      <c r="AV97" s="171">
        <f t="shared" si="98"/>
        <v>2.7559999999999998</v>
      </c>
      <c r="AW97" s="171">
        <f t="shared" si="98"/>
        <v>2.7559999999999998</v>
      </c>
      <c r="AX97" s="171">
        <f t="shared" si="98"/>
        <v>2.7559999999999998</v>
      </c>
      <c r="AY97" s="171">
        <f t="shared" si="98"/>
        <v>2.7559999999999998</v>
      </c>
      <c r="AZ97" s="171">
        <f t="shared" si="98"/>
        <v>2.7559999999999998</v>
      </c>
      <c r="BA97" s="171">
        <f t="shared" si="98"/>
        <v>2.7559999999999998</v>
      </c>
      <c r="BB97" s="171">
        <f t="shared" si="98"/>
        <v>2.7559999999999998</v>
      </c>
      <c r="BC97" s="171">
        <f t="shared" si="98"/>
        <v>2.7559999999999998</v>
      </c>
      <c r="BD97" s="171">
        <f t="shared" si="98"/>
        <v>2.7559999999999998</v>
      </c>
      <c r="BE97" s="171">
        <f t="shared" si="99"/>
        <v>2.7559999999999998</v>
      </c>
      <c r="BF97" s="171">
        <f t="shared" si="99"/>
        <v>2.7559999999999998</v>
      </c>
      <c r="BG97" s="171">
        <f t="shared" si="99"/>
        <v>2.7559999999999998</v>
      </c>
      <c r="BH97" s="171">
        <f t="shared" si="99"/>
        <v>2.7559999999999998</v>
      </c>
      <c r="BI97" s="171">
        <f t="shared" si="99"/>
        <v>2.7559999999999998</v>
      </c>
      <c r="BJ97" s="171">
        <f t="shared" si="99"/>
        <v>2.7559999999999998</v>
      </c>
      <c r="BK97" s="171">
        <f t="shared" si="99"/>
        <v>2.7559999999999998</v>
      </c>
      <c r="BL97" s="171">
        <f t="shared" si="99"/>
        <v>0</v>
      </c>
      <c r="BM97" s="171">
        <f t="shared" si="99"/>
        <v>0</v>
      </c>
      <c r="BN97" s="171">
        <f t="shared" si="99"/>
        <v>0</v>
      </c>
      <c r="BO97" s="171">
        <f t="shared" si="100"/>
        <v>0</v>
      </c>
      <c r="BP97" s="171">
        <f t="shared" si="100"/>
        <v>0</v>
      </c>
      <c r="BQ97" s="171">
        <f t="shared" si="100"/>
        <v>0</v>
      </c>
      <c r="BR97" s="171">
        <f t="shared" si="100"/>
        <v>0</v>
      </c>
      <c r="BS97" s="171">
        <f t="shared" si="100"/>
        <v>0</v>
      </c>
      <c r="BT97" s="171">
        <f t="shared" si="100"/>
        <v>0</v>
      </c>
      <c r="BU97" s="171">
        <f t="shared" si="100"/>
        <v>0</v>
      </c>
      <c r="BV97" s="171">
        <f t="shared" si="100"/>
        <v>0</v>
      </c>
      <c r="BW97" s="171">
        <f t="shared" si="100"/>
        <v>0</v>
      </c>
      <c r="BX97" s="171">
        <f t="shared" si="100"/>
        <v>0</v>
      </c>
      <c r="BY97" s="171">
        <f t="shared" si="101"/>
        <v>0</v>
      </c>
      <c r="BZ97" s="171">
        <f t="shared" si="101"/>
        <v>0</v>
      </c>
      <c r="CA97" s="171">
        <f t="shared" si="101"/>
        <v>0</v>
      </c>
      <c r="CB97" s="171">
        <f t="shared" si="101"/>
        <v>0</v>
      </c>
      <c r="CC97" s="171">
        <f t="shared" si="101"/>
        <v>0</v>
      </c>
      <c r="CD97" s="171">
        <f t="shared" si="101"/>
        <v>0</v>
      </c>
      <c r="CE97" s="171">
        <f t="shared" si="101"/>
        <v>0</v>
      </c>
      <c r="CF97" s="171">
        <f t="shared" si="101"/>
        <v>0</v>
      </c>
      <c r="CG97" s="171">
        <f t="shared" si="101"/>
        <v>0</v>
      </c>
      <c r="CH97" s="171">
        <f t="shared" si="101"/>
        <v>0</v>
      </c>
      <c r="CI97" s="171">
        <f t="shared" si="101"/>
        <v>0</v>
      </c>
      <c r="CJ97" s="243"/>
      <c r="CK97" s="171">
        <f t="shared" si="16"/>
        <v>0</v>
      </c>
      <c r="CL97" s="171">
        <f t="shared" si="17"/>
        <v>0</v>
      </c>
      <c r="CM97" s="171">
        <f t="shared" si="18"/>
        <v>0</v>
      </c>
      <c r="CN97" s="171">
        <f t="shared" si="19"/>
        <v>0</v>
      </c>
      <c r="CO97" s="171">
        <f t="shared" si="20"/>
        <v>0</v>
      </c>
      <c r="CP97" s="171">
        <f t="shared" si="21"/>
        <v>0</v>
      </c>
      <c r="CQ97" s="171">
        <f t="shared" si="22"/>
        <v>0</v>
      </c>
      <c r="CR97" s="171">
        <f t="shared" si="23"/>
        <v>0</v>
      </c>
      <c r="CS97" s="171">
        <f t="shared" si="24"/>
        <v>0</v>
      </c>
      <c r="CT97" s="171">
        <f t="shared" si="25"/>
        <v>0</v>
      </c>
      <c r="CU97" s="171">
        <f t="shared" si="26"/>
        <v>0</v>
      </c>
      <c r="CV97" s="171">
        <f t="shared" si="27"/>
        <v>0</v>
      </c>
      <c r="CW97" s="171">
        <f t="shared" si="28"/>
        <v>2.7559999999999998</v>
      </c>
      <c r="CX97" s="171">
        <f t="shared" si="29"/>
        <v>2.7559999999999998</v>
      </c>
      <c r="CY97" s="171">
        <f t="shared" ca="1" si="30"/>
        <v>2.616455919865194</v>
      </c>
      <c r="CZ97" s="171">
        <f t="shared" ca="1" si="31"/>
        <v>2.4839773514505148</v>
      </c>
      <c r="DA97" s="171">
        <f t="shared" ca="1" si="32"/>
        <v>2.3582065479004957</v>
      </c>
      <c r="DB97" s="171">
        <f t="shared" ca="1" si="33"/>
        <v>2.2388038760954698</v>
      </c>
      <c r="DC97" s="171">
        <f t="shared" ca="1" si="34"/>
        <v>2.1254468995018629</v>
      </c>
      <c r="DD97" s="171">
        <f t="shared" ca="1" si="35"/>
        <v>2.0178295074603669</v>
      </c>
      <c r="DE97" s="171">
        <f t="shared" ca="1" si="36"/>
        <v>1.915661088560721</v>
      </c>
      <c r="DF97" s="171">
        <f t="shared" ca="1" si="37"/>
        <v>1.8186657458708637</v>
      </c>
      <c r="DG97" s="171">
        <f t="shared" ca="1" si="38"/>
        <v>1.7265815519012593</v>
      </c>
      <c r="DH97" s="171">
        <f t="shared" ca="1" si="39"/>
        <v>1.639159841292483</v>
      </c>
      <c r="DI97" s="171">
        <f t="shared" ca="1" si="40"/>
        <v>1.5561645393160413</v>
      </c>
      <c r="DJ97" s="171">
        <f t="shared" ca="1" si="41"/>
        <v>1.4773715243750902</v>
      </c>
      <c r="DK97" s="171">
        <f t="shared" ca="1" si="42"/>
        <v>1.4025680227835524</v>
      </c>
      <c r="DL97" s="171">
        <f t="shared" ca="1" si="43"/>
        <v>1.3315520341892766</v>
      </c>
      <c r="DM97" s="171">
        <f t="shared" ca="1" si="44"/>
        <v>1.2641317860896497</v>
      </c>
      <c r="DN97" s="171">
        <f t="shared" ca="1" si="45"/>
        <v>1.2001252159666274</v>
      </c>
      <c r="DO97" s="171">
        <f t="shared" ca="1" si="46"/>
        <v>1.1393594796427347</v>
      </c>
      <c r="DP97" s="171">
        <f t="shared" ca="1" si="47"/>
        <v>1.0816704845303919</v>
      </c>
      <c r="DQ97" s="171">
        <f t="shared" ca="1" si="48"/>
        <v>1.0269024465141499</v>
      </c>
      <c r="DR97" s="171">
        <f t="shared" ca="1" si="49"/>
        <v>0.97490746926923011</v>
      </c>
      <c r="DS97" s="171">
        <f t="shared" ca="1" si="50"/>
        <v>0.92554514488035988</v>
      </c>
      <c r="DT97" s="171">
        <f t="shared" ca="1" si="51"/>
        <v>0.87868217468240439</v>
      </c>
      <c r="DU97" s="171">
        <f t="shared" ca="1" si="52"/>
        <v>0.83419200929891135</v>
      </c>
      <c r="DV97" s="171">
        <f t="shared" ca="1" si="53"/>
        <v>0</v>
      </c>
      <c r="DW97" s="171">
        <f t="shared" ca="1" si="54"/>
        <v>0</v>
      </c>
      <c r="DX97" s="171">
        <f t="shared" ca="1" si="55"/>
        <v>0</v>
      </c>
      <c r="DY97" s="171">
        <f t="shared" ca="1" si="56"/>
        <v>0</v>
      </c>
      <c r="DZ97" s="171">
        <f t="shared" ca="1" si="57"/>
        <v>0</v>
      </c>
      <c r="EA97" s="171">
        <f t="shared" ca="1" si="58"/>
        <v>0</v>
      </c>
      <c r="EB97" s="171">
        <f t="shared" ca="1" si="59"/>
        <v>0</v>
      </c>
      <c r="EC97" s="171">
        <f t="shared" ca="1" si="60"/>
        <v>0</v>
      </c>
      <c r="ED97" s="171">
        <f t="shared" ca="1" si="61"/>
        <v>0</v>
      </c>
      <c r="EE97" s="171">
        <f t="shared" ca="1" si="62"/>
        <v>0</v>
      </c>
      <c r="EF97" s="171">
        <f t="shared" ca="1" si="63"/>
        <v>0</v>
      </c>
      <c r="EG97" s="171">
        <f t="shared" ca="1" si="64"/>
        <v>0</v>
      </c>
      <c r="EH97" s="171">
        <f t="shared" ca="1" si="65"/>
        <v>0</v>
      </c>
      <c r="EI97" s="171">
        <f t="shared" ca="1" si="66"/>
        <v>0</v>
      </c>
      <c r="EJ97" s="171">
        <f t="shared" ca="1" si="67"/>
        <v>0</v>
      </c>
      <c r="EK97" s="171">
        <f t="shared" ca="1" si="68"/>
        <v>0</v>
      </c>
      <c r="EL97" s="171">
        <f t="shared" ca="1" si="69"/>
        <v>0</v>
      </c>
      <c r="EM97" s="171">
        <f t="shared" ca="1" si="70"/>
        <v>0</v>
      </c>
      <c r="EN97" s="171">
        <f t="shared" ca="1" si="71"/>
        <v>0</v>
      </c>
      <c r="EO97" s="171">
        <f t="shared" ca="1" si="72"/>
        <v>0</v>
      </c>
      <c r="EP97" s="171">
        <f t="shared" ca="1" si="73"/>
        <v>0</v>
      </c>
      <c r="EQ97" s="171">
        <f t="shared" ca="1" si="74"/>
        <v>0</v>
      </c>
      <c r="ER97" s="171">
        <f t="shared" ca="1" si="75"/>
        <v>0</v>
      </c>
      <c r="ES97" s="171">
        <f t="shared" ca="1" si="76"/>
        <v>0</v>
      </c>
    </row>
    <row r="98" spans="1:149">
      <c r="A98" s="139" t="s">
        <v>465</v>
      </c>
      <c r="B98" s="160" t="s">
        <v>432</v>
      </c>
      <c r="C98" s="160" t="s">
        <v>412</v>
      </c>
      <c r="D98" s="161" t="s">
        <v>394</v>
      </c>
      <c r="E98" s="160">
        <v>2018</v>
      </c>
      <c r="F98" s="160" t="s">
        <v>395</v>
      </c>
      <c r="G98" s="160" t="s">
        <v>402</v>
      </c>
      <c r="H98" s="160" t="s">
        <v>396</v>
      </c>
      <c r="I98" s="160" t="s">
        <v>178</v>
      </c>
      <c r="J98" s="160" t="s">
        <v>407</v>
      </c>
      <c r="K98" s="187">
        <v>18.170000000000002</v>
      </c>
      <c r="L98" s="163" t="s">
        <v>110</v>
      </c>
      <c r="M98" s="164">
        <f t="shared" si="0"/>
        <v>18.170000000000002</v>
      </c>
      <c r="N98" s="164">
        <f t="shared" si="1"/>
        <v>18.170000000000002</v>
      </c>
      <c r="O98" s="165">
        <f t="shared" si="2"/>
        <v>1</v>
      </c>
      <c r="P98" s="180">
        <v>8.2482067447802281E-3</v>
      </c>
      <c r="Q98" s="191">
        <v>18</v>
      </c>
      <c r="R98" s="168">
        <f t="shared" si="95"/>
        <v>12</v>
      </c>
      <c r="S98" s="178">
        <v>1</v>
      </c>
      <c r="T98" s="170" t="s">
        <v>403</v>
      </c>
      <c r="U98" s="171">
        <f t="shared" si="4"/>
        <v>1.0987088222620291</v>
      </c>
      <c r="V98" s="171">
        <f t="shared" ca="1" si="5"/>
        <v>0.86899371441621631</v>
      </c>
      <c r="W98" s="171">
        <f t="shared" ca="1" si="6"/>
        <v>15.641886859491894</v>
      </c>
      <c r="X98" s="172">
        <f t="shared" si="7"/>
        <v>0.28271273347460213</v>
      </c>
      <c r="Y98" s="172">
        <f t="shared" si="8"/>
        <v>0.71728726652539787</v>
      </c>
      <c r="Z98" s="173">
        <f t="shared" si="9"/>
        <v>19.776758800716525</v>
      </c>
      <c r="AA98" s="171">
        <f t="shared" si="96"/>
        <v>0</v>
      </c>
      <c r="AB98" s="171">
        <f t="shared" si="96"/>
        <v>0</v>
      </c>
      <c r="AC98" s="171">
        <f t="shared" si="96"/>
        <v>0</v>
      </c>
      <c r="AD98" s="171">
        <f t="shared" si="96"/>
        <v>0</v>
      </c>
      <c r="AE98" s="171">
        <f t="shared" si="96"/>
        <v>0</v>
      </c>
      <c r="AF98" s="171">
        <f t="shared" si="96"/>
        <v>0</v>
      </c>
      <c r="AG98" s="171">
        <f t="shared" si="96"/>
        <v>0</v>
      </c>
      <c r="AH98" s="171">
        <f t="shared" si="96"/>
        <v>0</v>
      </c>
      <c r="AI98" s="171">
        <f t="shared" si="96"/>
        <v>0.14986991655265675</v>
      </c>
      <c r="AJ98" s="171">
        <f t="shared" si="96"/>
        <v>1.0903827157868815</v>
      </c>
      <c r="AK98" s="171">
        <f t="shared" si="97"/>
        <v>1.0903827157868815</v>
      </c>
      <c r="AL98" s="171">
        <f t="shared" si="97"/>
        <v>1.0903827157868815</v>
      </c>
      <c r="AM98" s="171">
        <f t="shared" si="97"/>
        <v>1.0903827157868815</v>
      </c>
      <c r="AN98" s="171">
        <f t="shared" si="97"/>
        <v>1.0903827157868815</v>
      </c>
      <c r="AO98" s="171">
        <f t="shared" si="97"/>
        <v>1.0903827157868815</v>
      </c>
      <c r="AP98" s="171">
        <f t="shared" si="97"/>
        <v>1.0903827157868815</v>
      </c>
      <c r="AQ98" s="171">
        <f t="shared" si="97"/>
        <v>1.0903827157868815</v>
      </c>
      <c r="AR98" s="171">
        <f t="shared" si="97"/>
        <v>1.0903827157868815</v>
      </c>
      <c r="AS98" s="171">
        <f t="shared" si="97"/>
        <v>1.0903827157868815</v>
      </c>
      <c r="AT98" s="171">
        <f t="shared" si="97"/>
        <v>1.0903827157868815</v>
      </c>
      <c r="AU98" s="171">
        <f t="shared" si="98"/>
        <v>1.0903827157868815</v>
      </c>
      <c r="AV98" s="171">
        <f t="shared" si="98"/>
        <v>1.0903827157868815</v>
      </c>
      <c r="AW98" s="171">
        <f t="shared" si="98"/>
        <v>1.0903827157868815</v>
      </c>
      <c r="AX98" s="171">
        <f t="shared" si="98"/>
        <v>1.0903827157868815</v>
      </c>
      <c r="AY98" s="171">
        <f t="shared" si="98"/>
        <v>1.0903827157868815</v>
      </c>
      <c r="AZ98" s="171">
        <f t="shared" si="98"/>
        <v>1.0903827157868815</v>
      </c>
      <c r="BA98" s="171">
        <f t="shared" si="98"/>
        <v>1.0903827157868815</v>
      </c>
      <c r="BB98" s="171">
        <f t="shared" si="98"/>
        <v>0</v>
      </c>
      <c r="BC98" s="171">
        <f t="shared" si="98"/>
        <v>0</v>
      </c>
      <c r="BD98" s="171">
        <f t="shared" si="98"/>
        <v>0</v>
      </c>
      <c r="BE98" s="171">
        <f t="shared" si="99"/>
        <v>0</v>
      </c>
      <c r="BF98" s="171">
        <f t="shared" si="99"/>
        <v>0</v>
      </c>
      <c r="BG98" s="171">
        <f t="shared" si="99"/>
        <v>0</v>
      </c>
      <c r="BH98" s="171">
        <f t="shared" si="99"/>
        <v>0</v>
      </c>
      <c r="BI98" s="171">
        <f t="shared" si="99"/>
        <v>0</v>
      </c>
      <c r="BJ98" s="171">
        <f t="shared" si="99"/>
        <v>0</v>
      </c>
      <c r="BK98" s="171">
        <f t="shared" si="99"/>
        <v>0</v>
      </c>
      <c r="BL98" s="171">
        <f t="shared" si="99"/>
        <v>0</v>
      </c>
      <c r="BM98" s="171">
        <f t="shared" si="99"/>
        <v>0</v>
      </c>
      <c r="BN98" s="171">
        <f t="shared" si="99"/>
        <v>0</v>
      </c>
      <c r="BO98" s="171">
        <f t="shared" si="100"/>
        <v>0</v>
      </c>
      <c r="BP98" s="171">
        <f t="shared" si="100"/>
        <v>0</v>
      </c>
      <c r="BQ98" s="171">
        <f t="shared" si="100"/>
        <v>0</v>
      </c>
      <c r="BR98" s="171">
        <f t="shared" si="100"/>
        <v>0</v>
      </c>
      <c r="BS98" s="171">
        <f t="shared" si="100"/>
        <v>0</v>
      </c>
      <c r="BT98" s="171">
        <f t="shared" si="100"/>
        <v>0</v>
      </c>
      <c r="BU98" s="171">
        <f t="shared" si="100"/>
        <v>0</v>
      </c>
      <c r="BV98" s="171">
        <f t="shared" si="100"/>
        <v>0</v>
      </c>
      <c r="BW98" s="171">
        <f t="shared" si="100"/>
        <v>0</v>
      </c>
      <c r="BX98" s="171">
        <f t="shared" si="100"/>
        <v>0</v>
      </c>
      <c r="BY98" s="171">
        <f t="shared" si="101"/>
        <v>0</v>
      </c>
      <c r="BZ98" s="171">
        <f t="shared" si="101"/>
        <v>0</v>
      </c>
      <c r="CA98" s="171">
        <f t="shared" si="101"/>
        <v>0</v>
      </c>
      <c r="CB98" s="171">
        <f t="shared" si="101"/>
        <v>0</v>
      </c>
      <c r="CC98" s="171">
        <f t="shared" si="101"/>
        <v>0</v>
      </c>
      <c r="CD98" s="171">
        <f t="shared" si="101"/>
        <v>0</v>
      </c>
      <c r="CE98" s="171">
        <f t="shared" si="101"/>
        <v>0</v>
      </c>
      <c r="CF98" s="171">
        <f t="shared" si="101"/>
        <v>0</v>
      </c>
      <c r="CG98" s="171">
        <f t="shared" si="101"/>
        <v>0</v>
      </c>
      <c r="CH98" s="171">
        <f t="shared" si="101"/>
        <v>0</v>
      </c>
      <c r="CI98" s="171">
        <f t="shared" si="101"/>
        <v>0</v>
      </c>
      <c r="CJ98" s="243"/>
      <c r="CK98" s="171">
        <f t="shared" si="16"/>
        <v>0</v>
      </c>
      <c r="CL98" s="171">
        <f t="shared" si="17"/>
        <v>0</v>
      </c>
      <c r="CM98" s="171">
        <f t="shared" si="18"/>
        <v>0</v>
      </c>
      <c r="CN98" s="171">
        <f t="shared" si="19"/>
        <v>0</v>
      </c>
      <c r="CO98" s="171">
        <f t="shared" si="20"/>
        <v>0</v>
      </c>
      <c r="CP98" s="171">
        <f t="shared" si="21"/>
        <v>0</v>
      </c>
      <c r="CQ98" s="171">
        <f t="shared" si="22"/>
        <v>0</v>
      </c>
      <c r="CR98" s="171">
        <f t="shared" si="23"/>
        <v>0</v>
      </c>
      <c r="CS98" s="171">
        <f t="shared" si="24"/>
        <v>0.14986991655265675</v>
      </c>
      <c r="CT98" s="171">
        <f t="shared" si="25"/>
        <v>1.0903827157868815</v>
      </c>
      <c r="CU98" s="171">
        <f t="shared" si="26"/>
        <v>1.0903827157868815</v>
      </c>
      <c r="CV98" s="171">
        <f t="shared" si="27"/>
        <v>1.0903827157868815</v>
      </c>
      <c r="CW98" s="171">
        <f t="shared" si="28"/>
        <v>1.0903827157868815</v>
      </c>
      <c r="CX98" s="171">
        <f t="shared" si="29"/>
        <v>1.0903827157868815</v>
      </c>
      <c r="CY98" s="171">
        <f t="shared" ca="1" si="30"/>
        <v>1.035173552844439</v>
      </c>
      <c r="CZ98" s="171">
        <f t="shared" ca="1" si="31"/>
        <v>0.98275978607682057</v>
      </c>
      <c r="DA98" s="171">
        <f t="shared" ca="1" si="32"/>
        <v>0.93299987666405992</v>
      </c>
      <c r="DB98" s="171">
        <f t="shared" ca="1" si="33"/>
        <v>0.88575945229723352</v>
      </c>
      <c r="DC98" s="171">
        <f t="shared" ca="1" si="34"/>
        <v>0.84091094431772451</v>
      </c>
      <c r="DD98" s="171">
        <f t="shared" ca="1" si="35"/>
        <v>0.79833324322915122</v>
      </c>
      <c r="DE98" s="171">
        <f t="shared" ca="1" si="36"/>
        <v>0.75791137165170275</v>
      </c>
      <c r="DF98" s="171">
        <f t="shared" ca="1" si="37"/>
        <v>0.71953617383572099</v>
      </c>
      <c r="DG98" s="171">
        <f t="shared" ca="1" si="38"/>
        <v>0.6831040208960899</v>
      </c>
      <c r="DH98" s="171">
        <f t="shared" ca="1" si="39"/>
        <v>0.64851653097144102</v>
      </c>
      <c r="DI98" s="171">
        <f t="shared" ca="1" si="40"/>
        <v>0.61568030355249148</v>
      </c>
      <c r="DJ98" s="171">
        <f t="shared" ca="1" si="41"/>
        <v>0.58450666726208855</v>
      </c>
      <c r="DK98" s="171">
        <f t="shared" ca="1" si="42"/>
        <v>0.55491144040586604</v>
      </c>
      <c r="DL98" s="171">
        <f t="shared" ca="1" si="43"/>
        <v>0</v>
      </c>
      <c r="DM98" s="171">
        <f t="shared" ca="1" si="44"/>
        <v>0</v>
      </c>
      <c r="DN98" s="171">
        <f t="shared" ca="1" si="45"/>
        <v>0</v>
      </c>
      <c r="DO98" s="171">
        <f t="shared" ca="1" si="46"/>
        <v>0</v>
      </c>
      <c r="DP98" s="171">
        <f t="shared" ca="1" si="47"/>
        <v>0</v>
      </c>
      <c r="DQ98" s="171">
        <f t="shared" ca="1" si="48"/>
        <v>0</v>
      </c>
      <c r="DR98" s="171">
        <f t="shared" ca="1" si="49"/>
        <v>0</v>
      </c>
      <c r="DS98" s="171">
        <f t="shared" ca="1" si="50"/>
        <v>0</v>
      </c>
      <c r="DT98" s="171">
        <f t="shared" ca="1" si="51"/>
        <v>0</v>
      </c>
      <c r="DU98" s="171">
        <f t="shared" ca="1" si="52"/>
        <v>0</v>
      </c>
      <c r="DV98" s="171">
        <f t="shared" ca="1" si="53"/>
        <v>0</v>
      </c>
      <c r="DW98" s="171">
        <f t="shared" ca="1" si="54"/>
        <v>0</v>
      </c>
      <c r="DX98" s="171">
        <f t="shared" ca="1" si="55"/>
        <v>0</v>
      </c>
      <c r="DY98" s="171">
        <f t="shared" ca="1" si="56"/>
        <v>0</v>
      </c>
      <c r="DZ98" s="171">
        <f t="shared" ca="1" si="57"/>
        <v>0</v>
      </c>
      <c r="EA98" s="171">
        <f t="shared" ca="1" si="58"/>
        <v>0</v>
      </c>
      <c r="EB98" s="171">
        <f t="shared" ca="1" si="59"/>
        <v>0</v>
      </c>
      <c r="EC98" s="171">
        <f t="shared" ca="1" si="60"/>
        <v>0</v>
      </c>
      <c r="ED98" s="171">
        <f t="shared" ca="1" si="61"/>
        <v>0</v>
      </c>
      <c r="EE98" s="171">
        <f t="shared" ca="1" si="62"/>
        <v>0</v>
      </c>
      <c r="EF98" s="171">
        <f t="shared" ca="1" si="63"/>
        <v>0</v>
      </c>
      <c r="EG98" s="171">
        <f t="shared" ca="1" si="64"/>
        <v>0</v>
      </c>
      <c r="EH98" s="171">
        <f t="shared" ca="1" si="65"/>
        <v>0</v>
      </c>
      <c r="EI98" s="171">
        <f t="shared" ca="1" si="66"/>
        <v>0</v>
      </c>
      <c r="EJ98" s="171">
        <f t="shared" ca="1" si="67"/>
        <v>0</v>
      </c>
      <c r="EK98" s="171">
        <f t="shared" ca="1" si="68"/>
        <v>0</v>
      </c>
      <c r="EL98" s="171">
        <f t="shared" ca="1" si="69"/>
        <v>0</v>
      </c>
      <c r="EM98" s="171">
        <f t="shared" ca="1" si="70"/>
        <v>0</v>
      </c>
      <c r="EN98" s="171">
        <f t="shared" ca="1" si="71"/>
        <v>0</v>
      </c>
      <c r="EO98" s="171">
        <f t="shared" ca="1" si="72"/>
        <v>0</v>
      </c>
      <c r="EP98" s="171">
        <f t="shared" ca="1" si="73"/>
        <v>0</v>
      </c>
      <c r="EQ98" s="171">
        <f t="shared" ca="1" si="74"/>
        <v>0</v>
      </c>
      <c r="ER98" s="171">
        <f t="shared" ca="1" si="75"/>
        <v>0</v>
      </c>
      <c r="ES98" s="171">
        <f t="shared" ca="1" si="76"/>
        <v>0</v>
      </c>
    </row>
    <row r="99" spans="1:149">
      <c r="A99" s="139" t="s">
        <v>465</v>
      </c>
      <c r="B99" s="161" t="s">
        <v>466</v>
      </c>
      <c r="C99" s="161" t="s">
        <v>412</v>
      </c>
      <c r="D99" s="161" t="s">
        <v>394</v>
      </c>
      <c r="E99" s="161">
        <v>2018</v>
      </c>
      <c r="F99" s="160" t="s">
        <v>395</v>
      </c>
      <c r="G99" s="161" t="s">
        <v>402</v>
      </c>
      <c r="H99" s="161" t="s">
        <v>396</v>
      </c>
      <c r="I99" s="161" t="s">
        <v>180</v>
      </c>
      <c r="J99" s="161" t="s">
        <v>397</v>
      </c>
      <c r="K99" s="184">
        <v>18.170000000000002</v>
      </c>
      <c r="L99" s="163" t="s">
        <v>110</v>
      </c>
      <c r="M99" s="164">
        <f t="shared" si="0"/>
        <v>18.170000000000002</v>
      </c>
      <c r="N99" s="164">
        <f t="shared" si="1"/>
        <v>18.170000000000002</v>
      </c>
      <c r="O99" s="165">
        <f t="shared" si="2"/>
        <v>1</v>
      </c>
      <c r="P99" s="180">
        <v>4.9550000000000004E-2</v>
      </c>
      <c r="Q99" s="183">
        <v>14.1082910321489</v>
      </c>
      <c r="R99" s="168">
        <f t="shared" si="95"/>
        <v>8.1082910321488999</v>
      </c>
      <c r="S99" s="186">
        <v>1</v>
      </c>
      <c r="T99" s="170" t="s">
        <v>403</v>
      </c>
      <c r="U99" s="171">
        <f t="shared" si="4"/>
        <v>1.8703468331920048</v>
      </c>
      <c r="V99" s="171">
        <f t="shared" ca="1" si="5"/>
        <v>1.6127216994755236</v>
      </c>
      <c r="W99" s="171">
        <f t="shared" ca="1" si="6"/>
        <v>22.752747090062464</v>
      </c>
      <c r="X99" s="172">
        <f t="shared" si="7"/>
        <v>0.49371538134980619</v>
      </c>
      <c r="Y99" s="172">
        <f t="shared" si="8"/>
        <v>0.50628461865019381</v>
      </c>
      <c r="Z99" s="173">
        <f t="shared" si="9"/>
        <v>26.387397453730856</v>
      </c>
      <c r="AA99" s="171">
        <f t="shared" ref="AA99:AJ108" si="102">IFERROR(
    IF($T99="Equity",
        IF(AND(AA$48&gt;=$E99, AA$48&lt;=($E99+$Q99)),
$K99*$P99*(VLOOKUP($C$39,$C$37:$BL$44,MATCH($E99,$C$37:$BL$37,0),FALSE)/VLOOKUP($L99,$C$37:$BL$44,MATCH($E99,$C$37:$BL$37,0),FALSE))*
IF($B$5="Foreign Currency",VLOOKUP($C$38,$C$37:$BL$44,MATCH(AA$48,$C$37:$BL$37,0),FALSE)/VLOOKUP($C$39,$C$37:$BL$44,MATCH(AA$48,$C$37:$BL$37,0),FALSE),1),
0),
    IF($T99="Lump Sum Principal",
        IF(AND(AA$48&gt;=$E99, AA$48&lt;($E99+$Q99)),
$K99*$P99*(VLOOKUP($C$39,$C$37:$BL$44,MATCH($E99,$C$37:$BL$37,0),FALSE)/VLOOKUP($L99,$C$37:$BL$44,MATCH($E99,$C$37:$BL$37,0),FALSE))*
IF($B$5="Foreign Currency",VLOOKUP($C$38,$C$37:$BL$44,MATCH(AA$48,$C$37:$BL$37,0),FALSE)/VLOOKUP($C$39,$C$37:$BL$44,MATCH(AA$48,$C$37:$BL$37,0),FALSE),1),
        IF(AA$48=($E99+$Q99),
$K99*(1+$P99)*(VLOOKUP($C$39,$C$37:$BL$44,MATCH($E99,$C$37:$BL$37,0),FALSE)/VLOOKUP($L99,$C$37:$BL$44,MATCH($E99,$C$37:$BL$37,0),FALSE))*
IF($B$5="Foreign Currency",VLOOKUP($C$38,$C$37:$BL$44,MATCH(AA$48,$C$37:$BL$37,0),FALSE)/VLOOKUP($C$39,$C$37:$BL$44,MATCH(AA$48,$C$37:$BL$37,0),FALSE),1),
0)),
    IF($T99="Lump Sum Principal and Interest",
        IF(AA$48=($E99+$Q99),
$K99*((1+$P99)^$Q99)*(VLOOKUP($C$39,$C$37:$BL$44,MATCH($E99,$C$37:$BL$37,0),FALSE)/VLOOKUP($L99,$C$37:$BL$44,MATCH($E99,$C$37:$BL$37,0),FALSE))*
IF($B$5="Foreign Currency",VLOOKUP($C$38,$C$37:$BL$44,MATCH(AA$48,$C$37:$BL$37,0),FALSE)/VLOOKUP($C$39,$C$37:$BL$44,MATCH(AA$48,$C$37:$BL$37,0),FALSE),1),
0),
    IF($T99="EPP with Grace Years for Principal",
        IF(AND(AA$48&gt;=$E99, AA$48&lt;($E99+$S99)),
$K99*$P99*(VLOOKUP($C$39,$C$37:$BL$44,MATCH($E99,$C$37:$BL$37,0),FALSE)/VLOOKUP($L99,$C$37:$BL$44,MATCH($E99,$C$37:$BL$37,0),FALSE))*
IF($B$5="Foreign Currency",VLOOKUP($C$38,$C$37:$BL$44,MATCH(AA$48,$C$37:$BL$37,0),FALSE)/VLOOKUP($C$39,$C$37:$BL$44,MATCH(AA$48,$C$37:$BL$37,0),FALSE),1),
        IF(AND(AA$48&gt;=($E99+$S99), AA$48&lt;=($E99+$Q99)),
-PMT($P99,($Q99-$S99+1),($K99*(VLOOKUP($C$39,$C$37:$BL$44,MATCH($E99,$C$37:$BL$37,0),FALSE)/VLOOKUP($L99,$C$37:$BL$44,MATCH($E99,$C$37:$BL$37,0),FALSE))*
IF($B$5="Foreign Currency",VLOOKUP($C$38,$C$37:$BL$44,MATCH(AA$48,$C$37:$BL$37,0),FALSE)/VLOOKUP($C$39,$C$37:$BL$44,MATCH(AA$48,$C$37:$BL$37,0),FALSE),1)),0),
0)),
    IF($T99="Equal Principal Payments (EPP)",
        IF(AND(AA$48&gt;=$E99, AA$48&lt;=($E99+$Q99)),
-PMT($P99,($Q99-$S99+1),($K99*(VLOOKUP($C$39,$C$37:$BL$44,MATCH($E99,$C$37:$BL$37,0),FALSE)/VLOOKUP($L99,$C$37:$BL$44,MATCH($E99,$C$37:$BL$37,0),FALSE))*
IF($B$5="Foreign Currency",VLOOKUP($C$38,$C$37:$BL$44,MATCH(AA$48,$C$37:$BL$37,0),FALSE)/VLOOKUP($C$39,$C$37:$BL$44,MATCH(AA$48,$C$37:$BL$37,0),FALSE),1)),0), 0),
    IF($T99="EPP with Grace Years for Principal and on Interest",
        IF(AND(AA$48&gt;=($E99+$S99), AA$48&lt;=($E99+$Q99)),
-PMT($P99,($Q99-$S99+1),($K99*(VLOOKUP($C$39,$C$37:$BL$44,MATCH($E99,$C$37:$BL$37,0),FALSE)/VLOOKUP($L99,$C$37:$BL$44,MATCH($E99,$C$37:$BL$37,0),FALSE))*
IF($B$5="Foreign Currency",VLOOKUP($C$38,$C$37:$BL$44,MATCH(AA$48,$C$37:$BL$37,0),FALSE)/VLOOKUP($C$39,$C$37:$BL$44,MATCH(AA$48,$C$37:$BL$37,0),FALSE),1))*((1+$P99)^$S99),0), 0),
    0)))))),"")</f>
        <v>0</v>
      </c>
      <c r="AB99" s="171">
        <f t="shared" si="102"/>
        <v>0</v>
      </c>
      <c r="AC99" s="171">
        <f t="shared" si="102"/>
        <v>0</v>
      </c>
      <c r="AD99" s="171">
        <f t="shared" si="102"/>
        <v>0</v>
      </c>
      <c r="AE99" s="171">
        <f t="shared" si="102"/>
        <v>0</v>
      </c>
      <c r="AF99" s="171">
        <f t="shared" si="102"/>
        <v>0</v>
      </c>
      <c r="AG99" s="171">
        <f t="shared" si="102"/>
        <v>0</v>
      </c>
      <c r="AH99" s="171">
        <f t="shared" si="102"/>
        <v>0</v>
      </c>
      <c r="AI99" s="171">
        <f t="shared" si="102"/>
        <v>0.90032350000000017</v>
      </c>
      <c r="AJ99" s="171">
        <f t="shared" si="102"/>
        <v>1.8205052824093473</v>
      </c>
      <c r="AK99" s="171">
        <f t="shared" ref="AK99:AT108" si="103">IFERROR(
    IF($T99="Equity",
        IF(AND(AK$48&gt;=$E99, AK$48&lt;=($E99+$Q99)),
$K99*$P99*(VLOOKUP($C$39,$C$37:$BL$44,MATCH($E99,$C$37:$BL$37,0),FALSE)/VLOOKUP($L99,$C$37:$BL$44,MATCH($E99,$C$37:$BL$37,0),FALSE))*
IF($B$5="Foreign Currency",VLOOKUP($C$38,$C$37:$BL$44,MATCH(AK$48,$C$37:$BL$37,0),FALSE)/VLOOKUP($C$39,$C$37:$BL$44,MATCH(AK$48,$C$37:$BL$37,0),FALSE),1),
0),
    IF($T99="Lump Sum Principal",
        IF(AND(AK$48&gt;=$E99, AK$48&lt;($E99+$Q99)),
$K99*$P99*(VLOOKUP($C$39,$C$37:$BL$44,MATCH($E99,$C$37:$BL$37,0),FALSE)/VLOOKUP($L99,$C$37:$BL$44,MATCH($E99,$C$37:$BL$37,0),FALSE))*
IF($B$5="Foreign Currency",VLOOKUP($C$38,$C$37:$BL$44,MATCH(AK$48,$C$37:$BL$37,0),FALSE)/VLOOKUP($C$39,$C$37:$BL$44,MATCH(AK$48,$C$37:$BL$37,0),FALSE),1),
        IF(AK$48=($E99+$Q99),
$K99*(1+$P99)*(VLOOKUP($C$39,$C$37:$BL$44,MATCH($E99,$C$37:$BL$37,0),FALSE)/VLOOKUP($L99,$C$37:$BL$44,MATCH($E99,$C$37:$BL$37,0),FALSE))*
IF($B$5="Foreign Currency",VLOOKUP($C$38,$C$37:$BL$44,MATCH(AK$48,$C$37:$BL$37,0),FALSE)/VLOOKUP($C$39,$C$37:$BL$44,MATCH(AK$48,$C$37:$BL$37,0),FALSE),1),
0)),
    IF($T99="Lump Sum Principal and Interest",
        IF(AK$48=($E99+$Q99),
$K99*((1+$P99)^$Q99)*(VLOOKUP($C$39,$C$37:$BL$44,MATCH($E99,$C$37:$BL$37,0),FALSE)/VLOOKUP($L99,$C$37:$BL$44,MATCH($E99,$C$37:$BL$37,0),FALSE))*
IF($B$5="Foreign Currency",VLOOKUP($C$38,$C$37:$BL$44,MATCH(AK$48,$C$37:$BL$37,0),FALSE)/VLOOKUP($C$39,$C$37:$BL$44,MATCH(AK$48,$C$37:$BL$37,0),FALSE),1),
0),
    IF($T99="EPP with Grace Years for Principal",
        IF(AND(AK$48&gt;=$E99, AK$48&lt;($E99+$S99)),
$K99*$P99*(VLOOKUP($C$39,$C$37:$BL$44,MATCH($E99,$C$37:$BL$37,0),FALSE)/VLOOKUP($L99,$C$37:$BL$44,MATCH($E99,$C$37:$BL$37,0),FALSE))*
IF($B$5="Foreign Currency",VLOOKUP($C$38,$C$37:$BL$44,MATCH(AK$48,$C$37:$BL$37,0),FALSE)/VLOOKUP($C$39,$C$37:$BL$44,MATCH(AK$48,$C$37:$BL$37,0),FALSE),1),
        IF(AND(AK$48&gt;=($E99+$S99), AK$48&lt;=($E99+$Q99)),
-PMT($P99,($Q99-$S99+1),($K99*(VLOOKUP($C$39,$C$37:$BL$44,MATCH($E99,$C$37:$BL$37,0),FALSE)/VLOOKUP($L99,$C$37:$BL$44,MATCH($E99,$C$37:$BL$37,0),FALSE))*
IF($B$5="Foreign Currency",VLOOKUP($C$38,$C$37:$BL$44,MATCH(AK$48,$C$37:$BL$37,0),FALSE)/VLOOKUP($C$39,$C$37:$BL$44,MATCH(AK$48,$C$37:$BL$37,0),FALSE),1)),0),
0)),
    IF($T99="Equal Principal Payments (EPP)",
        IF(AND(AK$48&gt;=$E99, AK$48&lt;=($E99+$Q99)),
-PMT($P99,($Q99-$S99+1),($K99*(VLOOKUP($C$39,$C$37:$BL$44,MATCH($E99,$C$37:$BL$37,0),FALSE)/VLOOKUP($L99,$C$37:$BL$44,MATCH($E99,$C$37:$BL$37,0),FALSE))*
IF($B$5="Foreign Currency",VLOOKUP($C$38,$C$37:$BL$44,MATCH(AK$48,$C$37:$BL$37,0),FALSE)/VLOOKUP($C$39,$C$37:$BL$44,MATCH(AK$48,$C$37:$BL$37,0),FALSE),1)),0), 0),
    IF($T99="EPP with Grace Years for Principal and on Interest",
        IF(AND(AK$48&gt;=($E99+$S99), AK$48&lt;=($E99+$Q99)),
-PMT($P99,($Q99-$S99+1),($K99*(VLOOKUP($C$39,$C$37:$BL$44,MATCH($E99,$C$37:$BL$37,0),FALSE)/VLOOKUP($L99,$C$37:$BL$44,MATCH($E99,$C$37:$BL$37,0),FALSE))*
IF($B$5="Foreign Currency",VLOOKUP($C$38,$C$37:$BL$44,MATCH(AK$48,$C$37:$BL$37,0),FALSE)/VLOOKUP($C$39,$C$37:$BL$44,MATCH(AK$48,$C$37:$BL$37,0),FALSE),1))*((1+$P99)^$S99),0), 0),
    0)))))),"")</f>
        <v>1.8205052824093473</v>
      </c>
      <c r="AL99" s="171">
        <f t="shared" si="103"/>
        <v>1.8205052824093473</v>
      </c>
      <c r="AM99" s="171">
        <f t="shared" si="103"/>
        <v>1.8205052824093473</v>
      </c>
      <c r="AN99" s="171">
        <f t="shared" si="103"/>
        <v>1.8205052824093473</v>
      </c>
      <c r="AO99" s="171">
        <f t="shared" si="103"/>
        <v>1.8205052824093473</v>
      </c>
      <c r="AP99" s="171">
        <f t="shared" si="103"/>
        <v>1.8205052824093473</v>
      </c>
      <c r="AQ99" s="171">
        <f t="shared" si="103"/>
        <v>1.8205052824093473</v>
      </c>
      <c r="AR99" s="171">
        <f t="shared" si="103"/>
        <v>1.8205052824093473</v>
      </c>
      <c r="AS99" s="171">
        <f t="shared" si="103"/>
        <v>1.8205052824093473</v>
      </c>
      <c r="AT99" s="171">
        <f t="shared" si="103"/>
        <v>1.8205052824093473</v>
      </c>
      <c r="AU99" s="171">
        <f t="shared" ref="AU99:BD108" si="104">IFERROR(
    IF($T99="Equity",
        IF(AND(AU$48&gt;=$E99, AU$48&lt;=($E99+$Q99)),
$K99*$P99*(VLOOKUP($C$39,$C$37:$BL$44,MATCH($E99,$C$37:$BL$37,0),FALSE)/VLOOKUP($L99,$C$37:$BL$44,MATCH($E99,$C$37:$BL$37,0),FALSE))*
IF($B$5="Foreign Currency",VLOOKUP($C$38,$C$37:$BL$44,MATCH(AU$48,$C$37:$BL$37,0),FALSE)/VLOOKUP($C$39,$C$37:$BL$44,MATCH(AU$48,$C$37:$BL$37,0),FALSE),1),
0),
    IF($T99="Lump Sum Principal",
        IF(AND(AU$48&gt;=$E99, AU$48&lt;($E99+$Q99)),
$K99*$P99*(VLOOKUP($C$39,$C$37:$BL$44,MATCH($E99,$C$37:$BL$37,0),FALSE)/VLOOKUP($L99,$C$37:$BL$44,MATCH($E99,$C$37:$BL$37,0),FALSE))*
IF($B$5="Foreign Currency",VLOOKUP($C$38,$C$37:$BL$44,MATCH(AU$48,$C$37:$BL$37,0),FALSE)/VLOOKUP($C$39,$C$37:$BL$44,MATCH(AU$48,$C$37:$BL$37,0),FALSE),1),
        IF(AU$48=($E99+$Q99),
$K99*(1+$P99)*(VLOOKUP($C$39,$C$37:$BL$44,MATCH($E99,$C$37:$BL$37,0),FALSE)/VLOOKUP($L99,$C$37:$BL$44,MATCH($E99,$C$37:$BL$37,0),FALSE))*
IF($B$5="Foreign Currency",VLOOKUP($C$38,$C$37:$BL$44,MATCH(AU$48,$C$37:$BL$37,0),FALSE)/VLOOKUP($C$39,$C$37:$BL$44,MATCH(AU$48,$C$37:$BL$37,0),FALSE),1),
0)),
    IF($T99="Lump Sum Principal and Interest",
        IF(AU$48=($E99+$Q99),
$K99*((1+$P99)^$Q99)*(VLOOKUP($C$39,$C$37:$BL$44,MATCH($E99,$C$37:$BL$37,0),FALSE)/VLOOKUP($L99,$C$37:$BL$44,MATCH($E99,$C$37:$BL$37,0),FALSE))*
IF($B$5="Foreign Currency",VLOOKUP($C$38,$C$37:$BL$44,MATCH(AU$48,$C$37:$BL$37,0),FALSE)/VLOOKUP($C$39,$C$37:$BL$44,MATCH(AU$48,$C$37:$BL$37,0),FALSE),1),
0),
    IF($T99="EPP with Grace Years for Principal",
        IF(AND(AU$48&gt;=$E99, AU$48&lt;($E99+$S99)),
$K99*$P99*(VLOOKUP($C$39,$C$37:$BL$44,MATCH($E99,$C$37:$BL$37,0),FALSE)/VLOOKUP($L99,$C$37:$BL$44,MATCH($E99,$C$37:$BL$37,0),FALSE))*
IF($B$5="Foreign Currency",VLOOKUP($C$38,$C$37:$BL$44,MATCH(AU$48,$C$37:$BL$37,0),FALSE)/VLOOKUP($C$39,$C$37:$BL$44,MATCH(AU$48,$C$37:$BL$37,0),FALSE),1),
        IF(AND(AU$48&gt;=($E99+$S99), AU$48&lt;=($E99+$Q99)),
-PMT($P99,($Q99-$S99+1),($K99*(VLOOKUP($C$39,$C$37:$BL$44,MATCH($E99,$C$37:$BL$37,0),FALSE)/VLOOKUP($L99,$C$37:$BL$44,MATCH($E99,$C$37:$BL$37,0),FALSE))*
IF($B$5="Foreign Currency",VLOOKUP($C$38,$C$37:$BL$44,MATCH(AU$48,$C$37:$BL$37,0),FALSE)/VLOOKUP($C$39,$C$37:$BL$44,MATCH(AU$48,$C$37:$BL$37,0),FALSE),1)),0),
0)),
    IF($T99="Equal Principal Payments (EPP)",
        IF(AND(AU$48&gt;=$E99, AU$48&lt;=($E99+$Q99)),
-PMT($P99,($Q99-$S99+1),($K99*(VLOOKUP($C$39,$C$37:$BL$44,MATCH($E99,$C$37:$BL$37,0),FALSE)/VLOOKUP($L99,$C$37:$BL$44,MATCH($E99,$C$37:$BL$37,0),FALSE))*
IF($B$5="Foreign Currency",VLOOKUP($C$38,$C$37:$BL$44,MATCH(AU$48,$C$37:$BL$37,0),FALSE)/VLOOKUP($C$39,$C$37:$BL$44,MATCH(AU$48,$C$37:$BL$37,0),FALSE),1)),0), 0),
    IF($T99="EPP with Grace Years for Principal and on Interest",
        IF(AND(AU$48&gt;=($E99+$S99), AU$48&lt;=($E99+$Q99)),
-PMT($P99,($Q99-$S99+1),($K99*(VLOOKUP($C$39,$C$37:$BL$44,MATCH($E99,$C$37:$BL$37,0),FALSE)/VLOOKUP($L99,$C$37:$BL$44,MATCH($E99,$C$37:$BL$37,0),FALSE))*
IF($B$5="Foreign Currency",VLOOKUP($C$38,$C$37:$BL$44,MATCH(AU$48,$C$37:$BL$37,0),FALSE)/VLOOKUP($C$39,$C$37:$BL$44,MATCH(AU$48,$C$37:$BL$37,0),FALSE),1))*((1+$P99)^$S99),0), 0),
    0)))))),"")</f>
        <v>1.8205052824093473</v>
      </c>
      <c r="AV99" s="171">
        <f t="shared" si="104"/>
        <v>1.8205052824093473</v>
      </c>
      <c r="AW99" s="171">
        <f t="shared" si="104"/>
        <v>1.8205052824093473</v>
      </c>
      <c r="AX99" s="171">
        <f t="shared" si="104"/>
        <v>0</v>
      </c>
      <c r="AY99" s="171">
        <f t="shared" si="104"/>
        <v>0</v>
      </c>
      <c r="AZ99" s="171">
        <f t="shared" si="104"/>
        <v>0</v>
      </c>
      <c r="BA99" s="171">
        <f t="shared" si="104"/>
        <v>0</v>
      </c>
      <c r="BB99" s="171">
        <f t="shared" si="104"/>
        <v>0</v>
      </c>
      <c r="BC99" s="171">
        <f t="shared" si="104"/>
        <v>0</v>
      </c>
      <c r="BD99" s="171">
        <f t="shared" si="104"/>
        <v>0</v>
      </c>
      <c r="BE99" s="171">
        <f t="shared" ref="BE99:BN108" si="105">IFERROR(
    IF($T99="Equity",
        IF(AND(BE$48&gt;=$E99, BE$48&lt;=($E99+$Q99)),
$K99*$P99*(VLOOKUP($C$39,$C$37:$BL$44,MATCH($E99,$C$37:$BL$37,0),FALSE)/VLOOKUP($L99,$C$37:$BL$44,MATCH($E99,$C$37:$BL$37,0),FALSE))*
IF($B$5="Foreign Currency",VLOOKUP($C$38,$C$37:$BL$44,MATCH(BE$48,$C$37:$BL$37,0),FALSE)/VLOOKUP($C$39,$C$37:$BL$44,MATCH(BE$48,$C$37:$BL$37,0),FALSE),1),
0),
    IF($T99="Lump Sum Principal",
        IF(AND(BE$48&gt;=$E99, BE$48&lt;($E99+$Q99)),
$K99*$P99*(VLOOKUP($C$39,$C$37:$BL$44,MATCH($E99,$C$37:$BL$37,0),FALSE)/VLOOKUP($L99,$C$37:$BL$44,MATCH($E99,$C$37:$BL$37,0),FALSE))*
IF($B$5="Foreign Currency",VLOOKUP($C$38,$C$37:$BL$44,MATCH(BE$48,$C$37:$BL$37,0),FALSE)/VLOOKUP($C$39,$C$37:$BL$44,MATCH(BE$48,$C$37:$BL$37,0),FALSE),1),
        IF(BE$48=($E99+$Q99),
$K99*(1+$P99)*(VLOOKUP($C$39,$C$37:$BL$44,MATCH($E99,$C$37:$BL$37,0),FALSE)/VLOOKUP($L99,$C$37:$BL$44,MATCH($E99,$C$37:$BL$37,0),FALSE))*
IF($B$5="Foreign Currency",VLOOKUP($C$38,$C$37:$BL$44,MATCH(BE$48,$C$37:$BL$37,0),FALSE)/VLOOKUP($C$39,$C$37:$BL$44,MATCH(BE$48,$C$37:$BL$37,0),FALSE),1),
0)),
    IF($T99="Lump Sum Principal and Interest",
        IF(BE$48=($E99+$Q99),
$K99*((1+$P99)^$Q99)*(VLOOKUP($C$39,$C$37:$BL$44,MATCH($E99,$C$37:$BL$37,0),FALSE)/VLOOKUP($L99,$C$37:$BL$44,MATCH($E99,$C$37:$BL$37,0),FALSE))*
IF($B$5="Foreign Currency",VLOOKUP($C$38,$C$37:$BL$44,MATCH(BE$48,$C$37:$BL$37,0),FALSE)/VLOOKUP($C$39,$C$37:$BL$44,MATCH(BE$48,$C$37:$BL$37,0),FALSE),1),
0),
    IF($T99="EPP with Grace Years for Principal",
        IF(AND(BE$48&gt;=$E99, BE$48&lt;($E99+$S99)),
$K99*$P99*(VLOOKUP($C$39,$C$37:$BL$44,MATCH($E99,$C$37:$BL$37,0),FALSE)/VLOOKUP($L99,$C$37:$BL$44,MATCH($E99,$C$37:$BL$37,0),FALSE))*
IF($B$5="Foreign Currency",VLOOKUP($C$38,$C$37:$BL$44,MATCH(BE$48,$C$37:$BL$37,0),FALSE)/VLOOKUP($C$39,$C$37:$BL$44,MATCH(BE$48,$C$37:$BL$37,0),FALSE),1),
        IF(AND(BE$48&gt;=($E99+$S99), BE$48&lt;=($E99+$Q99)),
-PMT($P99,($Q99-$S99+1),($K99*(VLOOKUP($C$39,$C$37:$BL$44,MATCH($E99,$C$37:$BL$37,0),FALSE)/VLOOKUP($L99,$C$37:$BL$44,MATCH($E99,$C$37:$BL$37,0),FALSE))*
IF($B$5="Foreign Currency",VLOOKUP($C$38,$C$37:$BL$44,MATCH(BE$48,$C$37:$BL$37,0),FALSE)/VLOOKUP($C$39,$C$37:$BL$44,MATCH(BE$48,$C$37:$BL$37,0),FALSE),1)),0),
0)),
    IF($T99="Equal Principal Payments (EPP)",
        IF(AND(BE$48&gt;=$E99, BE$48&lt;=($E99+$Q99)),
-PMT($P99,($Q99-$S99+1),($K99*(VLOOKUP($C$39,$C$37:$BL$44,MATCH($E99,$C$37:$BL$37,0),FALSE)/VLOOKUP($L99,$C$37:$BL$44,MATCH($E99,$C$37:$BL$37,0),FALSE))*
IF($B$5="Foreign Currency",VLOOKUP($C$38,$C$37:$BL$44,MATCH(BE$48,$C$37:$BL$37,0),FALSE)/VLOOKUP($C$39,$C$37:$BL$44,MATCH(BE$48,$C$37:$BL$37,0),FALSE),1)),0), 0),
    IF($T99="EPP with Grace Years for Principal and on Interest",
        IF(AND(BE$48&gt;=($E99+$S99), BE$48&lt;=($E99+$Q99)),
-PMT($P99,($Q99-$S99+1),($K99*(VLOOKUP($C$39,$C$37:$BL$44,MATCH($E99,$C$37:$BL$37,0),FALSE)/VLOOKUP($L99,$C$37:$BL$44,MATCH($E99,$C$37:$BL$37,0),FALSE))*
IF($B$5="Foreign Currency",VLOOKUP($C$38,$C$37:$BL$44,MATCH(BE$48,$C$37:$BL$37,0),FALSE)/VLOOKUP($C$39,$C$37:$BL$44,MATCH(BE$48,$C$37:$BL$37,0),FALSE),1))*((1+$P99)^$S99),0), 0),
    0)))))),"")</f>
        <v>0</v>
      </c>
      <c r="BF99" s="171">
        <f t="shared" si="105"/>
        <v>0</v>
      </c>
      <c r="BG99" s="171">
        <f t="shared" si="105"/>
        <v>0</v>
      </c>
      <c r="BH99" s="171">
        <f t="shared" si="105"/>
        <v>0</v>
      </c>
      <c r="BI99" s="171">
        <f t="shared" si="105"/>
        <v>0</v>
      </c>
      <c r="BJ99" s="171">
        <f t="shared" si="105"/>
        <v>0</v>
      </c>
      <c r="BK99" s="171">
        <f t="shared" si="105"/>
        <v>0</v>
      </c>
      <c r="BL99" s="171">
        <f t="shared" si="105"/>
        <v>0</v>
      </c>
      <c r="BM99" s="171">
        <f t="shared" si="105"/>
        <v>0</v>
      </c>
      <c r="BN99" s="171">
        <f t="shared" si="105"/>
        <v>0</v>
      </c>
      <c r="BO99" s="171">
        <f t="shared" ref="BO99:BX108" si="106">IFERROR(
    IF($T99="Equity",
        IF(AND(BO$48&gt;=$E99, BO$48&lt;=($E99+$Q99)),
$K99*$P99*(VLOOKUP($C$39,$C$37:$BL$44,MATCH($E99,$C$37:$BL$37,0),FALSE)/VLOOKUP($L99,$C$37:$BL$44,MATCH($E99,$C$37:$BL$37,0),FALSE))*
IF($B$5="Foreign Currency",VLOOKUP($C$38,$C$37:$BL$44,MATCH(BO$48,$C$37:$BL$37,0),FALSE)/VLOOKUP($C$39,$C$37:$BL$44,MATCH(BO$48,$C$37:$BL$37,0),FALSE),1),
0),
    IF($T99="Lump Sum Principal",
        IF(AND(BO$48&gt;=$E99, BO$48&lt;($E99+$Q99)),
$K99*$P99*(VLOOKUP($C$39,$C$37:$BL$44,MATCH($E99,$C$37:$BL$37,0),FALSE)/VLOOKUP($L99,$C$37:$BL$44,MATCH($E99,$C$37:$BL$37,0),FALSE))*
IF($B$5="Foreign Currency",VLOOKUP($C$38,$C$37:$BL$44,MATCH(BO$48,$C$37:$BL$37,0),FALSE)/VLOOKUP($C$39,$C$37:$BL$44,MATCH(BO$48,$C$37:$BL$37,0),FALSE),1),
        IF(BO$48=($E99+$Q99),
$K99*(1+$P99)*(VLOOKUP($C$39,$C$37:$BL$44,MATCH($E99,$C$37:$BL$37,0),FALSE)/VLOOKUP($L99,$C$37:$BL$44,MATCH($E99,$C$37:$BL$37,0),FALSE))*
IF($B$5="Foreign Currency",VLOOKUP($C$38,$C$37:$BL$44,MATCH(BO$48,$C$37:$BL$37,0),FALSE)/VLOOKUP($C$39,$C$37:$BL$44,MATCH(BO$48,$C$37:$BL$37,0),FALSE),1),
0)),
    IF($T99="Lump Sum Principal and Interest",
        IF(BO$48=($E99+$Q99),
$K99*((1+$P99)^$Q99)*(VLOOKUP($C$39,$C$37:$BL$44,MATCH($E99,$C$37:$BL$37,0),FALSE)/VLOOKUP($L99,$C$37:$BL$44,MATCH($E99,$C$37:$BL$37,0),FALSE))*
IF($B$5="Foreign Currency",VLOOKUP($C$38,$C$37:$BL$44,MATCH(BO$48,$C$37:$BL$37,0),FALSE)/VLOOKUP($C$39,$C$37:$BL$44,MATCH(BO$48,$C$37:$BL$37,0),FALSE),1),
0),
    IF($T99="EPP with Grace Years for Principal",
        IF(AND(BO$48&gt;=$E99, BO$48&lt;($E99+$S99)),
$K99*$P99*(VLOOKUP($C$39,$C$37:$BL$44,MATCH($E99,$C$37:$BL$37,0),FALSE)/VLOOKUP($L99,$C$37:$BL$44,MATCH($E99,$C$37:$BL$37,0),FALSE))*
IF($B$5="Foreign Currency",VLOOKUP($C$38,$C$37:$BL$44,MATCH(BO$48,$C$37:$BL$37,0),FALSE)/VLOOKUP($C$39,$C$37:$BL$44,MATCH(BO$48,$C$37:$BL$37,0),FALSE),1),
        IF(AND(BO$48&gt;=($E99+$S99), BO$48&lt;=($E99+$Q99)),
-PMT($P99,($Q99-$S99+1),($K99*(VLOOKUP($C$39,$C$37:$BL$44,MATCH($E99,$C$37:$BL$37,0),FALSE)/VLOOKUP($L99,$C$37:$BL$44,MATCH($E99,$C$37:$BL$37,0),FALSE))*
IF($B$5="Foreign Currency",VLOOKUP($C$38,$C$37:$BL$44,MATCH(BO$48,$C$37:$BL$37,0),FALSE)/VLOOKUP($C$39,$C$37:$BL$44,MATCH(BO$48,$C$37:$BL$37,0),FALSE),1)),0),
0)),
    IF($T99="Equal Principal Payments (EPP)",
        IF(AND(BO$48&gt;=$E99, BO$48&lt;=($E99+$Q99)),
-PMT($P99,($Q99-$S99+1),($K99*(VLOOKUP($C$39,$C$37:$BL$44,MATCH($E99,$C$37:$BL$37,0),FALSE)/VLOOKUP($L99,$C$37:$BL$44,MATCH($E99,$C$37:$BL$37,0),FALSE))*
IF($B$5="Foreign Currency",VLOOKUP($C$38,$C$37:$BL$44,MATCH(BO$48,$C$37:$BL$37,0),FALSE)/VLOOKUP($C$39,$C$37:$BL$44,MATCH(BO$48,$C$37:$BL$37,0),FALSE),1)),0), 0),
    IF($T99="EPP with Grace Years for Principal and on Interest",
        IF(AND(BO$48&gt;=($E99+$S99), BO$48&lt;=($E99+$Q99)),
-PMT($P99,($Q99-$S99+1),($K99*(VLOOKUP($C$39,$C$37:$BL$44,MATCH($E99,$C$37:$BL$37,0),FALSE)/VLOOKUP($L99,$C$37:$BL$44,MATCH($E99,$C$37:$BL$37,0),FALSE))*
IF($B$5="Foreign Currency",VLOOKUP($C$38,$C$37:$BL$44,MATCH(BO$48,$C$37:$BL$37,0),FALSE)/VLOOKUP($C$39,$C$37:$BL$44,MATCH(BO$48,$C$37:$BL$37,0),FALSE),1))*((1+$P99)^$S99),0), 0),
    0)))))),"")</f>
        <v>0</v>
      </c>
      <c r="BP99" s="171">
        <f t="shared" si="106"/>
        <v>0</v>
      </c>
      <c r="BQ99" s="171">
        <f t="shared" si="106"/>
        <v>0</v>
      </c>
      <c r="BR99" s="171">
        <f t="shared" si="106"/>
        <v>0</v>
      </c>
      <c r="BS99" s="171">
        <f t="shared" si="106"/>
        <v>0</v>
      </c>
      <c r="BT99" s="171">
        <f t="shared" si="106"/>
        <v>0</v>
      </c>
      <c r="BU99" s="171">
        <f t="shared" si="106"/>
        <v>0</v>
      </c>
      <c r="BV99" s="171">
        <f t="shared" si="106"/>
        <v>0</v>
      </c>
      <c r="BW99" s="171">
        <f t="shared" si="106"/>
        <v>0</v>
      </c>
      <c r="BX99" s="171">
        <f t="shared" si="106"/>
        <v>0</v>
      </c>
      <c r="BY99" s="171">
        <f t="shared" ref="BY99:CI108" si="107">IFERROR(
    IF($T99="Equity",
        IF(AND(BY$48&gt;=$E99, BY$48&lt;=($E99+$Q99)),
$K99*$P99*(VLOOKUP($C$39,$C$37:$BL$44,MATCH($E99,$C$37:$BL$37,0),FALSE)/VLOOKUP($L99,$C$37:$BL$44,MATCH($E99,$C$37:$BL$37,0),FALSE))*
IF($B$5="Foreign Currency",VLOOKUP($C$38,$C$37:$BL$44,MATCH(BY$48,$C$37:$BL$37,0),FALSE)/VLOOKUP($C$39,$C$37:$BL$44,MATCH(BY$48,$C$37:$BL$37,0),FALSE),1),
0),
    IF($T99="Lump Sum Principal",
        IF(AND(BY$48&gt;=$E99, BY$48&lt;($E99+$Q99)),
$K99*$P99*(VLOOKUP($C$39,$C$37:$BL$44,MATCH($E99,$C$37:$BL$37,0),FALSE)/VLOOKUP($L99,$C$37:$BL$44,MATCH($E99,$C$37:$BL$37,0),FALSE))*
IF($B$5="Foreign Currency",VLOOKUP($C$38,$C$37:$BL$44,MATCH(BY$48,$C$37:$BL$37,0),FALSE)/VLOOKUP($C$39,$C$37:$BL$44,MATCH(BY$48,$C$37:$BL$37,0),FALSE),1),
        IF(BY$48=($E99+$Q99),
$K99*(1+$P99)*(VLOOKUP($C$39,$C$37:$BL$44,MATCH($E99,$C$37:$BL$37,0),FALSE)/VLOOKUP($L99,$C$37:$BL$44,MATCH($E99,$C$37:$BL$37,0),FALSE))*
IF($B$5="Foreign Currency",VLOOKUP($C$38,$C$37:$BL$44,MATCH(BY$48,$C$37:$BL$37,0),FALSE)/VLOOKUP($C$39,$C$37:$BL$44,MATCH(BY$48,$C$37:$BL$37,0),FALSE),1),
0)),
    IF($T99="Lump Sum Principal and Interest",
        IF(BY$48=($E99+$Q99),
$K99*((1+$P99)^$Q99)*(VLOOKUP($C$39,$C$37:$BL$44,MATCH($E99,$C$37:$BL$37,0),FALSE)/VLOOKUP($L99,$C$37:$BL$44,MATCH($E99,$C$37:$BL$37,0),FALSE))*
IF($B$5="Foreign Currency",VLOOKUP($C$38,$C$37:$BL$44,MATCH(BY$48,$C$37:$BL$37,0),FALSE)/VLOOKUP($C$39,$C$37:$BL$44,MATCH(BY$48,$C$37:$BL$37,0),FALSE),1),
0),
    IF($T99="EPP with Grace Years for Principal",
        IF(AND(BY$48&gt;=$E99, BY$48&lt;($E99+$S99)),
$K99*$P99*(VLOOKUP($C$39,$C$37:$BL$44,MATCH($E99,$C$37:$BL$37,0),FALSE)/VLOOKUP($L99,$C$37:$BL$44,MATCH($E99,$C$37:$BL$37,0),FALSE))*
IF($B$5="Foreign Currency",VLOOKUP($C$38,$C$37:$BL$44,MATCH(BY$48,$C$37:$BL$37,0),FALSE)/VLOOKUP($C$39,$C$37:$BL$44,MATCH(BY$48,$C$37:$BL$37,0),FALSE),1),
        IF(AND(BY$48&gt;=($E99+$S99), BY$48&lt;=($E99+$Q99)),
-PMT($P99,($Q99-$S99+1),($K99*(VLOOKUP($C$39,$C$37:$BL$44,MATCH($E99,$C$37:$BL$37,0),FALSE)/VLOOKUP($L99,$C$37:$BL$44,MATCH($E99,$C$37:$BL$37,0),FALSE))*
IF($B$5="Foreign Currency",VLOOKUP($C$38,$C$37:$BL$44,MATCH(BY$48,$C$37:$BL$37,0),FALSE)/VLOOKUP($C$39,$C$37:$BL$44,MATCH(BY$48,$C$37:$BL$37,0),FALSE),1)),0),
0)),
    IF($T99="Equal Principal Payments (EPP)",
        IF(AND(BY$48&gt;=$E99, BY$48&lt;=($E99+$Q99)),
-PMT($P99,($Q99-$S99+1),($K99*(VLOOKUP($C$39,$C$37:$BL$44,MATCH($E99,$C$37:$BL$37,0),FALSE)/VLOOKUP($L99,$C$37:$BL$44,MATCH($E99,$C$37:$BL$37,0),FALSE))*
IF($B$5="Foreign Currency",VLOOKUP($C$38,$C$37:$BL$44,MATCH(BY$48,$C$37:$BL$37,0),FALSE)/VLOOKUP($C$39,$C$37:$BL$44,MATCH(BY$48,$C$37:$BL$37,0),FALSE),1)),0), 0),
    IF($T99="EPP with Grace Years for Principal and on Interest",
        IF(AND(BY$48&gt;=($E99+$S99), BY$48&lt;=($E99+$Q99)),
-PMT($P99,($Q99-$S99+1),($K99*(VLOOKUP($C$39,$C$37:$BL$44,MATCH($E99,$C$37:$BL$37,0),FALSE)/VLOOKUP($L99,$C$37:$BL$44,MATCH($E99,$C$37:$BL$37,0),FALSE))*
IF($B$5="Foreign Currency",VLOOKUP($C$38,$C$37:$BL$44,MATCH(BY$48,$C$37:$BL$37,0),FALSE)/VLOOKUP($C$39,$C$37:$BL$44,MATCH(BY$48,$C$37:$BL$37,0),FALSE),1))*((1+$P99)^$S99),0), 0),
    0)))))),"")</f>
        <v>0</v>
      </c>
      <c r="BZ99" s="171">
        <f t="shared" si="107"/>
        <v>0</v>
      </c>
      <c r="CA99" s="171">
        <f t="shared" si="107"/>
        <v>0</v>
      </c>
      <c r="CB99" s="171">
        <f t="shared" si="107"/>
        <v>0</v>
      </c>
      <c r="CC99" s="171">
        <f t="shared" si="107"/>
        <v>0</v>
      </c>
      <c r="CD99" s="171">
        <f t="shared" si="107"/>
        <v>0</v>
      </c>
      <c r="CE99" s="171">
        <f t="shared" si="107"/>
        <v>0</v>
      </c>
      <c r="CF99" s="171">
        <f t="shared" si="107"/>
        <v>0</v>
      </c>
      <c r="CG99" s="171">
        <f t="shared" si="107"/>
        <v>0</v>
      </c>
      <c r="CH99" s="171">
        <f t="shared" si="107"/>
        <v>0</v>
      </c>
      <c r="CI99" s="171">
        <f t="shared" si="107"/>
        <v>0</v>
      </c>
      <c r="CJ99" s="243"/>
      <c r="CK99" s="171">
        <f t="shared" si="16"/>
        <v>0</v>
      </c>
      <c r="CL99" s="171">
        <f t="shared" si="17"/>
        <v>0</v>
      </c>
      <c r="CM99" s="171">
        <f t="shared" si="18"/>
        <v>0</v>
      </c>
      <c r="CN99" s="171">
        <f t="shared" si="19"/>
        <v>0</v>
      </c>
      <c r="CO99" s="171">
        <f t="shared" si="20"/>
        <v>0</v>
      </c>
      <c r="CP99" s="171">
        <f t="shared" si="21"/>
        <v>0</v>
      </c>
      <c r="CQ99" s="171">
        <f t="shared" si="22"/>
        <v>0</v>
      </c>
      <c r="CR99" s="171">
        <f t="shared" si="23"/>
        <v>0</v>
      </c>
      <c r="CS99" s="171">
        <f t="shared" si="24"/>
        <v>0.90032350000000017</v>
      </c>
      <c r="CT99" s="171">
        <f t="shared" si="25"/>
        <v>1.8205052824093473</v>
      </c>
      <c r="CU99" s="171">
        <f t="shared" si="26"/>
        <v>1.8205052824093473</v>
      </c>
      <c r="CV99" s="171">
        <f t="shared" si="27"/>
        <v>1.8205052824093473</v>
      </c>
      <c r="CW99" s="171">
        <f t="shared" si="28"/>
        <v>1.8205052824093473</v>
      </c>
      <c r="CX99" s="171">
        <f t="shared" si="29"/>
        <v>1.8205052824093473</v>
      </c>
      <c r="CY99" s="171">
        <f t="shared" ca="1" si="30"/>
        <v>1.7283279474984738</v>
      </c>
      <c r="CZ99" s="171">
        <f t="shared" ca="1" si="31"/>
        <v>1.6408178119378964</v>
      </c>
      <c r="DA99" s="171">
        <f t="shared" ca="1" si="32"/>
        <v>1.5577385622152264</v>
      </c>
      <c r="DB99" s="171">
        <f t="shared" ca="1" si="33"/>
        <v>1.4788658500400309</v>
      </c>
      <c r="DC99" s="171">
        <f t="shared" ca="1" si="34"/>
        <v>1.4039866865107804</v>
      </c>
      <c r="DD99" s="171">
        <f t="shared" ca="1" si="35"/>
        <v>1.3328988669568396</v>
      </c>
      <c r="DE99" s="171">
        <f t="shared" ca="1" si="36"/>
        <v>1.2654104249023344</v>
      </c>
      <c r="DF99" s="171">
        <f t="shared" ca="1" si="37"/>
        <v>1.2013391136773741</v>
      </c>
      <c r="DG99" s="171">
        <f t="shared" ca="1" si="38"/>
        <v>1.1405119142767675</v>
      </c>
      <c r="DH99" s="171">
        <f t="shared" ca="1" si="39"/>
        <v>0</v>
      </c>
      <c r="DI99" s="171">
        <f t="shared" ca="1" si="40"/>
        <v>0</v>
      </c>
      <c r="DJ99" s="171">
        <f t="shared" ca="1" si="41"/>
        <v>0</v>
      </c>
      <c r="DK99" s="171">
        <f t="shared" ca="1" si="42"/>
        <v>0</v>
      </c>
      <c r="DL99" s="171">
        <f t="shared" ca="1" si="43"/>
        <v>0</v>
      </c>
      <c r="DM99" s="171">
        <f t="shared" ca="1" si="44"/>
        <v>0</v>
      </c>
      <c r="DN99" s="171">
        <f t="shared" ca="1" si="45"/>
        <v>0</v>
      </c>
      <c r="DO99" s="171">
        <f t="shared" ca="1" si="46"/>
        <v>0</v>
      </c>
      <c r="DP99" s="171">
        <f t="shared" ca="1" si="47"/>
        <v>0</v>
      </c>
      <c r="DQ99" s="171">
        <f t="shared" ca="1" si="48"/>
        <v>0</v>
      </c>
      <c r="DR99" s="171">
        <f t="shared" ca="1" si="49"/>
        <v>0</v>
      </c>
      <c r="DS99" s="171">
        <f t="shared" ca="1" si="50"/>
        <v>0</v>
      </c>
      <c r="DT99" s="171">
        <f t="shared" ca="1" si="51"/>
        <v>0</v>
      </c>
      <c r="DU99" s="171">
        <f t="shared" ca="1" si="52"/>
        <v>0</v>
      </c>
      <c r="DV99" s="171">
        <f t="shared" ca="1" si="53"/>
        <v>0</v>
      </c>
      <c r="DW99" s="171">
        <f t="shared" ca="1" si="54"/>
        <v>0</v>
      </c>
      <c r="DX99" s="171">
        <f t="shared" ca="1" si="55"/>
        <v>0</v>
      </c>
      <c r="DY99" s="171">
        <f t="shared" ca="1" si="56"/>
        <v>0</v>
      </c>
      <c r="DZ99" s="171">
        <f t="shared" ca="1" si="57"/>
        <v>0</v>
      </c>
      <c r="EA99" s="171">
        <f t="shared" ca="1" si="58"/>
        <v>0</v>
      </c>
      <c r="EB99" s="171">
        <f t="shared" ca="1" si="59"/>
        <v>0</v>
      </c>
      <c r="EC99" s="171">
        <f t="shared" ca="1" si="60"/>
        <v>0</v>
      </c>
      <c r="ED99" s="171">
        <f t="shared" ca="1" si="61"/>
        <v>0</v>
      </c>
      <c r="EE99" s="171">
        <f t="shared" ca="1" si="62"/>
        <v>0</v>
      </c>
      <c r="EF99" s="171">
        <f t="shared" ca="1" si="63"/>
        <v>0</v>
      </c>
      <c r="EG99" s="171">
        <f t="shared" ca="1" si="64"/>
        <v>0</v>
      </c>
      <c r="EH99" s="171">
        <f t="shared" ca="1" si="65"/>
        <v>0</v>
      </c>
      <c r="EI99" s="171">
        <f t="shared" ca="1" si="66"/>
        <v>0</v>
      </c>
      <c r="EJ99" s="171">
        <f t="shared" ca="1" si="67"/>
        <v>0</v>
      </c>
      <c r="EK99" s="171">
        <f t="shared" ca="1" si="68"/>
        <v>0</v>
      </c>
      <c r="EL99" s="171">
        <f t="shared" ca="1" si="69"/>
        <v>0</v>
      </c>
      <c r="EM99" s="171">
        <f t="shared" ca="1" si="70"/>
        <v>0</v>
      </c>
      <c r="EN99" s="171">
        <f t="shared" ca="1" si="71"/>
        <v>0</v>
      </c>
      <c r="EO99" s="171">
        <f t="shared" ca="1" si="72"/>
        <v>0</v>
      </c>
      <c r="EP99" s="171">
        <f t="shared" ca="1" si="73"/>
        <v>0</v>
      </c>
      <c r="EQ99" s="171">
        <f t="shared" ca="1" si="74"/>
        <v>0</v>
      </c>
      <c r="ER99" s="171">
        <f t="shared" ca="1" si="75"/>
        <v>0</v>
      </c>
      <c r="ES99" s="171">
        <f t="shared" ca="1" si="76"/>
        <v>0</v>
      </c>
    </row>
    <row r="100" spans="1:149">
      <c r="A100" s="139" t="s">
        <v>465</v>
      </c>
      <c r="B100" s="160" t="s">
        <v>467</v>
      </c>
      <c r="C100" s="160" t="s">
        <v>412</v>
      </c>
      <c r="D100" s="161" t="s">
        <v>394</v>
      </c>
      <c r="E100" s="160">
        <v>2018</v>
      </c>
      <c r="F100" s="194" t="s">
        <v>395</v>
      </c>
      <c r="G100" s="160" t="s">
        <v>402</v>
      </c>
      <c r="H100" s="194" t="s">
        <v>396</v>
      </c>
      <c r="I100" s="194" t="s">
        <v>180</v>
      </c>
      <c r="J100" s="194" t="s">
        <v>407</v>
      </c>
      <c r="K100" s="187">
        <v>11.6</v>
      </c>
      <c r="L100" s="163" t="s">
        <v>110</v>
      </c>
      <c r="M100" s="164">
        <f t="shared" si="0"/>
        <v>11.6</v>
      </c>
      <c r="N100" s="164">
        <f t="shared" si="1"/>
        <v>11.6</v>
      </c>
      <c r="O100" s="165">
        <f t="shared" si="2"/>
        <v>1</v>
      </c>
      <c r="P100" s="180">
        <v>4.9550000000000004E-2</v>
      </c>
      <c r="Q100" s="191">
        <v>18</v>
      </c>
      <c r="R100" s="168">
        <f t="shared" si="95"/>
        <v>12</v>
      </c>
      <c r="S100" s="178">
        <v>1</v>
      </c>
      <c r="T100" s="170" t="s">
        <v>403</v>
      </c>
      <c r="U100" s="171">
        <f t="shared" si="4"/>
        <v>1.0207826455867655</v>
      </c>
      <c r="V100" s="171">
        <f t="shared" ca="1" si="5"/>
        <v>0.81245773511472419</v>
      </c>
      <c r="W100" s="171">
        <f t="shared" ca="1" si="6"/>
        <v>14.624239232065035</v>
      </c>
      <c r="X100" s="172">
        <f t="shared" si="7"/>
        <v>0.45520147333079208</v>
      </c>
      <c r="Y100" s="172">
        <f t="shared" si="8"/>
        <v>0.54479852666920792</v>
      </c>
      <c r="Z100" s="173">
        <f t="shared" si="9"/>
        <v>18.374087620561777</v>
      </c>
      <c r="AA100" s="171">
        <f t="shared" si="102"/>
        <v>0</v>
      </c>
      <c r="AB100" s="171">
        <f t="shared" si="102"/>
        <v>0</v>
      </c>
      <c r="AC100" s="171">
        <f t="shared" si="102"/>
        <v>0</v>
      </c>
      <c r="AD100" s="171">
        <f t="shared" si="102"/>
        <v>0</v>
      </c>
      <c r="AE100" s="171">
        <f t="shared" si="102"/>
        <v>0</v>
      </c>
      <c r="AF100" s="171">
        <f t="shared" si="102"/>
        <v>0</v>
      </c>
      <c r="AG100" s="171">
        <f t="shared" si="102"/>
        <v>0</v>
      </c>
      <c r="AH100" s="171">
        <f t="shared" si="102"/>
        <v>0</v>
      </c>
      <c r="AI100" s="171">
        <f t="shared" si="102"/>
        <v>0.57478000000000007</v>
      </c>
      <c r="AJ100" s="171">
        <f t="shared" si="102"/>
        <v>0.98885042336454354</v>
      </c>
      <c r="AK100" s="171">
        <f t="shared" si="103"/>
        <v>0.98885042336454354</v>
      </c>
      <c r="AL100" s="171">
        <f t="shared" si="103"/>
        <v>0.98885042336454354</v>
      </c>
      <c r="AM100" s="171">
        <f t="shared" si="103"/>
        <v>0.98885042336454354</v>
      </c>
      <c r="AN100" s="171">
        <f t="shared" si="103"/>
        <v>0.98885042336454354</v>
      </c>
      <c r="AO100" s="171">
        <f t="shared" si="103"/>
        <v>0.98885042336454354</v>
      </c>
      <c r="AP100" s="171">
        <f t="shared" si="103"/>
        <v>0.98885042336454354</v>
      </c>
      <c r="AQ100" s="171">
        <f t="shared" si="103"/>
        <v>0.98885042336454354</v>
      </c>
      <c r="AR100" s="171">
        <f t="shared" si="103"/>
        <v>0.98885042336454354</v>
      </c>
      <c r="AS100" s="171">
        <f t="shared" si="103"/>
        <v>0.98885042336454354</v>
      </c>
      <c r="AT100" s="171">
        <f t="shared" si="103"/>
        <v>0.98885042336454354</v>
      </c>
      <c r="AU100" s="171">
        <f t="shared" si="104"/>
        <v>0.98885042336454354</v>
      </c>
      <c r="AV100" s="171">
        <f t="shared" si="104"/>
        <v>0.98885042336454354</v>
      </c>
      <c r="AW100" s="171">
        <f t="shared" si="104"/>
        <v>0.98885042336454354</v>
      </c>
      <c r="AX100" s="171">
        <f t="shared" si="104"/>
        <v>0.98885042336454354</v>
      </c>
      <c r="AY100" s="171">
        <f t="shared" si="104"/>
        <v>0.98885042336454354</v>
      </c>
      <c r="AZ100" s="171">
        <f t="shared" si="104"/>
        <v>0.98885042336454354</v>
      </c>
      <c r="BA100" s="171">
        <f t="shared" si="104"/>
        <v>0.98885042336454354</v>
      </c>
      <c r="BB100" s="171">
        <f t="shared" si="104"/>
        <v>0</v>
      </c>
      <c r="BC100" s="171">
        <f t="shared" si="104"/>
        <v>0</v>
      </c>
      <c r="BD100" s="171">
        <f t="shared" si="104"/>
        <v>0</v>
      </c>
      <c r="BE100" s="171">
        <f t="shared" si="105"/>
        <v>0</v>
      </c>
      <c r="BF100" s="171">
        <f t="shared" si="105"/>
        <v>0</v>
      </c>
      <c r="BG100" s="171">
        <f t="shared" si="105"/>
        <v>0</v>
      </c>
      <c r="BH100" s="171">
        <f t="shared" si="105"/>
        <v>0</v>
      </c>
      <c r="BI100" s="171">
        <f t="shared" si="105"/>
        <v>0</v>
      </c>
      <c r="BJ100" s="171">
        <f t="shared" si="105"/>
        <v>0</v>
      </c>
      <c r="BK100" s="171">
        <f t="shared" si="105"/>
        <v>0</v>
      </c>
      <c r="BL100" s="171">
        <f t="shared" si="105"/>
        <v>0</v>
      </c>
      <c r="BM100" s="171">
        <f t="shared" si="105"/>
        <v>0</v>
      </c>
      <c r="BN100" s="171">
        <f t="shared" si="105"/>
        <v>0</v>
      </c>
      <c r="BO100" s="171">
        <f t="shared" si="106"/>
        <v>0</v>
      </c>
      <c r="BP100" s="171">
        <f t="shared" si="106"/>
        <v>0</v>
      </c>
      <c r="BQ100" s="171">
        <f t="shared" si="106"/>
        <v>0</v>
      </c>
      <c r="BR100" s="171">
        <f t="shared" si="106"/>
        <v>0</v>
      </c>
      <c r="BS100" s="171">
        <f t="shared" si="106"/>
        <v>0</v>
      </c>
      <c r="BT100" s="171">
        <f t="shared" si="106"/>
        <v>0</v>
      </c>
      <c r="BU100" s="171">
        <f t="shared" si="106"/>
        <v>0</v>
      </c>
      <c r="BV100" s="171">
        <f t="shared" si="106"/>
        <v>0</v>
      </c>
      <c r="BW100" s="171">
        <f t="shared" si="106"/>
        <v>0</v>
      </c>
      <c r="BX100" s="171">
        <f t="shared" si="106"/>
        <v>0</v>
      </c>
      <c r="BY100" s="171">
        <f t="shared" si="107"/>
        <v>0</v>
      </c>
      <c r="BZ100" s="171">
        <f t="shared" si="107"/>
        <v>0</v>
      </c>
      <c r="CA100" s="171">
        <f t="shared" si="107"/>
        <v>0</v>
      </c>
      <c r="CB100" s="171">
        <f t="shared" si="107"/>
        <v>0</v>
      </c>
      <c r="CC100" s="171">
        <f t="shared" si="107"/>
        <v>0</v>
      </c>
      <c r="CD100" s="171">
        <f t="shared" si="107"/>
        <v>0</v>
      </c>
      <c r="CE100" s="171">
        <f t="shared" si="107"/>
        <v>0</v>
      </c>
      <c r="CF100" s="171">
        <f t="shared" si="107"/>
        <v>0</v>
      </c>
      <c r="CG100" s="171">
        <f t="shared" si="107"/>
        <v>0</v>
      </c>
      <c r="CH100" s="171">
        <f t="shared" si="107"/>
        <v>0</v>
      </c>
      <c r="CI100" s="171">
        <f t="shared" si="107"/>
        <v>0</v>
      </c>
      <c r="CJ100" s="243"/>
      <c r="CK100" s="171">
        <f t="shared" si="16"/>
        <v>0</v>
      </c>
      <c r="CL100" s="171">
        <f t="shared" si="17"/>
        <v>0</v>
      </c>
      <c r="CM100" s="171">
        <f t="shared" si="18"/>
        <v>0</v>
      </c>
      <c r="CN100" s="171">
        <f t="shared" si="19"/>
        <v>0</v>
      </c>
      <c r="CO100" s="171">
        <f t="shared" si="20"/>
        <v>0</v>
      </c>
      <c r="CP100" s="171">
        <f t="shared" si="21"/>
        <v>0</v>
      </c>
      <c r="CQ100" s="171">
        <f t="shared" si="22"/>
        <v>0</v>
      </c>
      <c r="CR100" s="171">
        <f t="shared" si="23"/>
        <v>0</v>
      </c>
      <c r="CS100" s="171">
        <f t="shared" si="24"/>
        <v>0.57478000000000007</v>
      </c>
      <c r="CT100" s="171">
        <f t="shared" si="25"/>
        <v>0.98885042336454354</v>
      </c>
      <c r="CU100" s="171">
        <f t="shared" si="26"/>
        <v>0.98885042336454354</v>
      </c>
      <c r="CV100" s="171">
        <f t="shared" si="27"/>
        <v>0.98885042336454354</v>
      </c>
      <c r="CW100" s="171">
        <f t="shared" si="28"/>
        <v>0.98885042336454354</v>
      </c>
      <c r="CX100" s="171">
        <f t="shared" si="29"/>
        <v>0.98885042336454354</v>
      </c>
      <c r="CY100" s="171">
        <f t="shared" ca="1" si="30"/>
        <v>0.93878212774795489</v>
      </c>
      <c r="CZ100" s="171">
        <f t="shared" ca="1" si="31"/>
        <v>0.89124893164360641</v>
      </c>
      <c r="DA100" s="171">
        <f t="shared" ca="1" si="32"/>
        <v>0.84612247578825972</v>
      </c>
      <c r="DB100" s="171">
        <f t="shared" ca="1" si="33"/>
        <v>0.80328090011146103</v>
      </c>
      <c r="DC100" s="171">
        <f t="shared" ca="1" si="34"/>
        <v>0.7626085146630166</v>
      </c>
      <c r="DD100" s="171">
        <f t="shared" ca="1" si="35"/>
        <v>0.7239954872023413</v>
      </c>
      <c r="DE100" s="171">
        <f t="shared" ca="1" si="36"/>
        <v>0.68733754660604185</v>
      </c>
      <c r="DF100" s="171">
        <f t="shared" ca="1" si="37"/>
        <v>0.65253570129281457</v>
      </c>
      <c r="DG100" s="171">
        <f t="shared" ca="1" si="38"/>
        <v>0.61949597190528694</v>
      </c>
      <c r="DH100" s="171">
        <f t="shared" ca="1" si="39"/>
        <v>0.58812913752693396</v>
      </c>
      <c r="DI100" s="171">
        <f t="shared" ca="1" si="40"/>
        <v>0.55835049474875087</v>
      </c>
      <c r="DJ100" s="171">
        <f t="shared" ca="1" si="41"/>
        <v>0.53007962893506133</v>
      </c>
      <c r="DK100" s="171">
        <f t="shared" ca="1" si="42"/>
        <v>0.50324019707078615</v>
      </c>
      <c r="DL100" s="171">
        <f t="shared" ca="1" si="43"/>
        <v>0</v>
      </c>
      <c r="DM100" s="171">
        <f t="shared" ca="1" si="44"/>
        <v>0</v>
      </c>
      <c r="DN100" s="171">
        <f t="shared" ca="1" si="45"/>
        <v>0</v>
      </c>
      <c r="DO100" s="171">
        <f t="shared" ca="1" si="46"/>
        <v>0</v>
      </c>
      <c r="DP100" s="171">
        <f t="shared" ca="1" si="47"/>
        <v>0</v>
      </c>
      <c r="DQ100" s="171">
        <f t="shared" ca="1" si="48"/>
        <v>0</v>
      </c>
      <c r="DR100" s="171">
        <f t="shared" ca="1" si="49"/>
        <v>0</v>
      </c>
      <c r="DS100" s="171">
        <f t="shared" ca="1" si="50"/>
        <v>0</v>
      </c>
      <c r="DT100" s="171">
        <f t="shared" ca="1" si="51"/>
        <v>0</v>
      </c>
      <c r="DU100" s="171">
        <f t="shared" ca="1" si="52"/>
        <v>0</v>
      </c>
      <c r="DV100" s="171">
        <f t="shared" ca="1" si="53"/>
        <v>0</v>
      </c>
      <c r="DW100" s="171">
        <f t="shared" ca="1" si="54"/>
        <v>0</v>
      </c>
      <c r="DX100" s="171">
        <f t="shared" ca="1" si="55"/>
        <v>0</v>
      </c>
      <c r="DY100" s="171">
        <f t="shared" ca="1" si="56"/>
        <v>0</v>
      </c>
      <c r="DZ100" s="171">
        <f t="shared" ca="1" si="57"/>
        <v>0</v>
      </c>
      <c r="EA100" s="171">
        <f t="shared" ca="1" si="58"/>
        <v>0</v>
      </c>
      <c r="EB100" s="171">
        <f t="shared" ca="1" si="59"/>
        <v>0</v>
      </c>
      <c r="EC100" s="171">
        <f t="shared" ca="1" si="60"/>
        <v>0</v>
      </c>
      <c r="ED100" s="171">
        <f t="shared" ca="1" si="61"/>
        <v>0</v>
      </c>
      <c r="EE100" s="171">
        <f t="shared" ca="1" si="62"/>
        <v>0</v>
      </c>
      <c r="EF100" s="171">
        <f t="shared" ca="1" si="63"/>
        <v>0</v>
      </c>
      <c r="EG100" s="171">
        <f t="shared" ca="1" si="64"/>
        <v>0</v>
      </c>
      <c r="EH100" s="171">
        <f t="shared" ca="1" si="65"/>
        <v>0</v>
      </c>
      <c r="EI100" s="171">
        <f t="shared" ca="1" si="66"/>
        <v>0</v>
      </c>
      <c r="EJ100" s="171">
        <f t="shared" ca="1" si="67"/>
        <v>0</v>
      </c>
      <c r="EK100" s="171">
        <f t="shared" ca="1" si="68"/>
        <v>0</v>
      </c>
      <c r="EL100" s="171">
        <f t="shared" ca="1" si="69"/>
        <v>0</v>
      </c>
      <c r="EM100" s="171">
        <f t="shared" ca="1" si="70"/>
        <v>0</v>
      </c>
      <c r="EN100" s="171">
        <f t="shared" ca="1" si="71"/>
        <v>0</v>
      </c>
      <c r="EO100" s="171">
        <f t="shared" ca="1" si="72"/>
        <v>0</v>
      </c>
      <c r="EP100" s="171">
        <f t="shared" ca="1" si="73"/>
        <v>0</v>
      </c>
      <c r="EQ100" s="171">
        <f t="shared" ca="1" si="74"/>
        <v>0</v>
      </c>
      <c r="ER100" s="171">
        <f t="shared" ca="1" si="75"/>
        <v>0</v>
      </c>
      <c r="ES100" s="171">
        <f t="shared" ca="1" si="76"/>
        <v>0</v>
      </c>
    </row>
    <row r="101" spans="1:149">
      <c r="A101" s="139" t="s">
        <v>465</v>
      </c>
      <c r="B101" s="160" t="s">
        <v>468</v>
      </c>
      <c r="C101" s="160" t="s">
        <v>412</v>
      </c>
      <c r="D101" s="160" t="s">
        <v>394</v>
      </c>
      <c r="E101" s="160">
        <v>2018</v>
      </c>
      <c r="F101" s="160" t="s">
        <v>405</v>
      </c>
      <c r="G101" s="160" t="s">
        <v>289</v>
      </c>
      <c r="H101" s="160" t="s">
        <v>406</v>
      </c>
      <c r="I101" s="160" t="s">
        <v>365</v>
      </c>
      <c r="J101" s="160" t="s">
        <v>397</v>
      </c>
      <c r="K101" s="187">
        <v>15.96</v>
      </c>
      <c r="L101" s="163" t="s">
        <v>110</v>
      </c>
      <c r="M101" s="164">
        <f t="shared" si="0"/>
        <v>15.96</v>
      </c>
      <c r="N101" s="164">
        <f t="shared" si="1"/>
        <v>15.96</v>
      </c>
      <c r="O101" s="165">
        <f t="shared" si="2"/>
        <v>1</v>
      </c>
      <c r="P101" s="176">
        <v>5.2999999999999999E-2</v>
      </c>
      <c r="Q101" s="177">
        <v>24</v>
      </c>
      <c r="R101" s="168">
        <f t="shared" si="95"/>
        <v>18</v>
      </c>
      <c r="S101" s="178">
        <v>0</v>
      </c>
      <c r="T101" s="160" t="s">
        <v>289</v>
      </c>
      <c r="U101" s="171">
        <f t="shared" si="4"/>
        <v>0.88112500000000005</v>
      </c>
      <c r="V101" s="171">
        <f t="shared" ca="1" si="5"/>
        <v>0.62608002921344219</v>
      </c>
      <c r="W101" s="171">
        <f t="shared" ca="1" si="6"/>
        <v>15.025920701122612</v>
      </c>
      <c r="X101" s="172" t="str">
        <f t="shared" si="7"/>
        <v>Equity</v>
      </c>
      <c r="Y101" s="172" t="str">
        <f t="shared" si="8"/>
        <v>Equity</v>
      </c>
      <c r="Z101" s="173">
        <f t="shared" si="9"/>
        <v>21.147000000000002</v>
      </c>
      <c r="AA101" s="171">
        <f t="shared" si="102"/>
        <v>0</v>
      </c>
      <c r="AB101" s="171">
        <f t="shared" si="102"/>
        <v>0</v>
      </c>
      <c r="AC101" s="171">
        <f t="shared" si="102"/>
        <v>0</v>
      </c>
      <c r="AD101" s="171">
        <f t="shared" si="102"/>
        <v>0</v>
      </c>
      <c r="AE101" s="171">
        <f t="shared" si="102"/>
        <v>0</v>
      </c>
      <c r="AF101" s="171">
        <f t="shared" si="102"/>
        <v>0</v>
      </c>
      <c r="AG101" s="171">
        <f t="shared" si="102"/>
        <v>0</v>
      </c>
      <c r="AH101" s="171">
        <f t="shared" si="102"/>
        <v>0</v>
      </c>
      <c r="AI101" s="171">
        <f t="shared" si="102"/>
        <v>0.84588000000000008</v>
      </c>
      <c r="AJ101" s="171">
        <f t="shared" si="102"/>
        <v>0.84588000000000008</v>
      </c>
      <c r="AK101" s="171">
        <f t="shared" si="103"/>
        <v>0.84588000000000008</v>
      </c>
      <c r="AL101" s="171">
        <f t="shared" si="103"/>
        <v>0.84588000000000008</v>
      </c>
      <c r="AM101" s="171">
        <f t="shared" si="103"/>
        <v>0.84588000000000008</v>
      </c>
      <c r="AN101" s="171">
        <f t="shared" si="103"/>
        <v>0.84588000000000008</v>
      </c>
      <c r="AO101" s="171">
        <f t="shared" si="103"/>
        <v>0.84588000000000008</v>
      </c>
      <c r="AP101" s="171">
        <f t="shared" si="103"/>
        <v>0.84588000000000008</v>
      </c>
      <c r="AQ101" s="171">
        <f t="shared" si="103"/>
        <v>0.84588000000000008</v>
      </c>
      <c r="AR101" s="171">
        <f t="shared" si="103"/>
        <v>0.84588000000000008</v>
      </c>
      <c r="AS101" s="171">
        <f t="shared" si="103"/>
        <v>0.84588000000000008</v>
      </c>
      <c r="AT101" s="171">
        <f t="shared" si="103"/>
        <v>0.84588000000000008</v>
      </c>
      <c r="AU101" s="171">
        <f t="shared" si="104"/>
        <v>0.84588000000000008</v>
      </c>
      <c r="AV101" s="171">
        <f t="shared" si="104"/>
        <v>0.84588000000000008</v>
      </c>
      <c r="AW101" s="171">
        <f t="shared" si="104"/>
        <v>0.84588000000000008</v>
      </c>
      <c r="AX101" s="171">
        <f t="shared" si="104"/>
        <v>0.84588000000000008</v>
      </c>
      <c r="AY101" s="171">
        <f t="shared" si="104"/>
        <v>0.84588000000000008</v>
      </c>
      <c r="AZ101" s="171">
        <f t="shared" si="104"/>
        <v>0.84588000000000008</v>
      </c>
      <c r="BA101" s="171">
        <f t="shared" si="104"/>
        <v>0.84588000000000008</v>
      </c>
      <c r="BB101" s="171">
        <f t="shared" si="104"/>
        <v>0.84588000000000008</v>
      </c>
      <c r="BC101" s="171">
        <f t="shared" si="104"/>
        <v>0.84588000000000008</v>
      </c>
      <c r="BD101" s="171">
        <f t="shared" si="104"/>
        <v>0.84588000000000008</v>
      </c>
      <c r="BE101" s="171">
        <f t="shared" si="105"/>
        <v>0.84588000000000008</v>
      </c>
      <c r="BF101" s="171">
        <f t="shared" si="105"/>
        <v>0.84588000000000008</v>
      </c>
      <c r="BG101" s="171">
        <f t="shared" si="105"/>
        <v>0.84588000000000008</v>
      </c>
      <c r="BH101" s="171">
        <f t="shared" si="105"/>
        <v>0</v>
      </c>
      <c r="BI101" s="171">
        <f t="shared" si="105"/>
        <v>0</v>
      </c>
      <c r="BJ101" s="171">
        <f t="shared" si="105"/>
        <v>0</v>
      </c>
      <c r="BK101" s="171">
        <f t="shared" si="105"/>
        <v>0</v>
      </c>
      <c r="BL101" s="171">
        <f t="shared" si="105"/>
        <v>0</v>
      </c>
      <c r="BM101" s="171">
        <f t="shared" si="105"/>
        <v>0</v>
      </c>
      <c r="BN101" s="171">
        <f t="shared" si="105"/>
        <v>0</v>
      </c>
      <c r="BO101" s="171">
        <f t="shared" si="106"/>
        <v>0</v>
      </c>
      <c r="BP101" s="171">
        <f t="shared" si="106"/>
        <v>0</v>
      </c>
      <c r="BQ101" s="171">
        <f t="shared" si="106"/>
        <v>0</v>
      </c>
      <c r="BR101" s="171">
        <f t="shared" si="106"/>
        <v>0</v>
      </c>
      <c r="BS101" s="171">
        <f t="shared" si="106"/>
        <v>0</v>
      </c>
      <c r="BT101" s="171">
        <f t="shared" si="106"/>
        <v>0</v>
      </c>
      <c r="BU101" s="171">
        <f t="shared" si="106"/>
        <v>0</v>
      </c>
      <c r="BV101" s="171">
        <f t="shared" si="106"/>
        <v>0</v>
      </c>
      <c r="BW101" s="171">
        <f t="shared" si="106"/>
        <v>0</v>
      </c>
      <c r="BX101" s="171">
        <f t="shared" si="106"/>
        <v>0</v>
      </c>
      <c r="BY101" s="171">
        <f t="shared" si="107"/>
        <v>0</v>
      </c>
      <c r="BZ101" s="171">
        <f t="shared" si="107"/>
        <v>0</v>
      </c>
      <c r="CA101" s="171">
        <f t="shared" si="107"/>
        <v>0</v>
      </c>
      <c r="CB101" s="171">
        <f t="shared" si="107"/>
        <v>0</v>
      </c>
      <c r="CC101" s="171">
        <f t="shared" si="107"/>
        <v>0</v>
      </c>
      <c r="CD101" s="171">
        <f t="shared" si="107"/>
        <v>0</v>
      </c>
      <c r="CE101" s="171">
        <f t="shared" si="107"/>
        <v>0</v>
      </c>
      <c r="CF101" s="171">
        <f t="shared" si="107"/>
        <v>0</v>
      </c>
      <c r="CG101" s="171">
        <f t="shared" si="107"/>
        <v>0</v>
      </c>
      <c r="CH101" s="171">
        <f t="shared" si="107"/>
        <v>0</v>
      </c>
      <c r="CI101" s="171">
        <f t="shared" si="107"/>
        <v>0</v>
      </c>
      <c r="CJ101" s="243"/>
      <c r="CK101" s="171">
        <f t="shared" si="16"/>
        <v>0</v>
      </c>
      <c r="CL101" s="171">
        <f t="shared" si="17"/>
        <v>0</v>
      </c>
      <c r="CM101" s="171">
        <f t="shared" si="18"/>
        <v>0</v>
      </c>
      <c r="CN101" s="171">
        <f t="shared" si="19"/>
        <v>0</v>
      </c>
      <c r="CO101" s="171">
        <f t="shared" si="20"/>
        <v>0</v>
      </c>
      <c r="CP101" s="171">
        <f t="shared" si="21"/>
        <v>0</v>
      </c>
      <c r="CQ101" s="171">
        <f t="shared" si="22"/>
        <v>0</v>
      </c>
      <c r="CR101" s="171">
        <f t="shared" si="23"/>
        <v>0</v>
      </c>
      <c r="CS101" s="171">
        <f t="shared" si="24"/>
        <v>0.84588000000000008</v>
      </c>
      <c r="CT101" s="171">
        <f t="shared" si="25"/>
        <v>0.84588000000000008</v>
      </c>
      <c r="CU101" s="171">
        <f t="shared" si="26"/>
        <v>0.84588000000000008</v>
      </c>
      <c r="CV101" s="171">
        <f t="shared" si="27"/>
        <v>0.84588000000000008</v>
      </c>
      <c r="CW101" s="171">
        <f t="shared" si="28"/>
        <v>0.84588000000000008</v>
      </c>
      <c r="CX101" s="171">
        <f t="shared" si="29"/>
        <v>0.84588000000000008</v>
      </c>
      <c r="CY101" s="171">
        <f t="shared" ca="1" si="30"/>
        <v>0.80305070155862512</v>
      </c>
      <c r="CZ101" s="171">
        <f t="shared" ca="1" si="31"/>
        <v>0.76238997171442735</v>
      </c>
      <c r="DA101" s="171">
        <f t="shared" ca="1" si="32"/>
        <v>0.7237880097017676</v>
      </c>
      <c r="DB101" s="171">
        <f t="shared" ca="1" si="33"/>
        <v>0.68714057427853281</v>
      </c>
      <c r="DC101" s="171">
        <f t="shared" ca="1" si="34"/>
        <v>0.65234870223172581</v>
      </c>
      <c r="DD101" s="171">
        <f t="shared" ca="1" si="35"/>
        <v>0.61931844113591283</v>
      </c>
      <c r="DE101" s="171">
        <f t="shared" ca="1" si="36"/>
        <v>0.58796059564286751</v>
      </c>
      <c r="DF101" s="171">
        <f t="shared" ca="1" si="37"/>
        <v>0.55819048661728821</v>
      </c>
      <c r="DG101" s="171">
        <f t="shared" ca="1" si="38"/>
        <v>0.52992772246815578</v>
      </c>
      <c r="DH101" s="171">
        <f t="shared" ca="1" si="39"/>
        <v>0.50309598205823147</v>
      </c>
      <c r="DI101" s="171">
        <f t="shared" ca="1" si="40"/>
        <v>0.47762280860546197</v>
      </c>
      <c r="DJ101" s="171">
        <f t="shared" ca="1" si="41"/>
        <v>0.45343941401973931</v>
      </c>
      <c r="DK101" s="171">
        <f t="shared" ca="1" si="42"/>
        <v>0.43048049314664427</v>
      </c>
      <c r="DL101" s="171">
        <f t="shared" ca="1" si="43"/>
        <v>0.40868404741655495</v>
      </c>
      <c r="DM101" s="171">
        <f t="shared" ca="1" si="44"/>
        <v>0.38799121742290021</v>
      </c>
      <c r="DN101" s="171">
        <f t="shared" ca="1" si="45"/>
        <v>0.36834612397744954</v>
      </c>
      <c r="DO101" s="171">
        <f t="shared" ca="1" si="46"/>
        <v>0.34969571721342402</v>
      </c>
      <c r="DP101" s="171">
        <f t="shared" ca="1" si="47"/>
        <v>0.33198963332894343</v>
      </c>
      <c r="DQ101" s="171">
        <f t="shared" ca="1" si="48"/>
        <v>0.31518005858395837</v>
      </c>
      <c r="DR101" s="171">
        <f t="shared" ca="1" si="49"/>
        <v>0</v>
      </c>
      <c r="DS101" s="171">
        <f t="shared" ca="1" si="50"/>
        <v>0</v>
      </c>
      <c r="DT101" s="171">
        <f t="shared" ca="1" si="51"/>
        <v>0</v>
      </c>
      <c r="DU101" s="171">
        <f t="shared" ca="1" si="52"/>
        <v>0</v>
      </c>
      <c r="DV101" s="171">
        <f t="shared" ca="1" si="53"/>
        <v>0</v>
      </c>
      <c r="DW101" s="171">
        <f t="shared" ca="1" si="54"/>
        <v>0</v>
      </c>
      <c r="DX101" s="171">
        <f t="shared" ca="1" si="55"/>
        <v>0</v>
      </c>
      <c r="DY101" s="171">
        <f t="shared" ca="1" si="56"/>
        <v>0</v>
      </c>
      <c r="DZ101" s="171">
        <f t="shared" ca="1" si="57"/>
        <v>0</v>
      </c>
      <c r="EA101" s="171">
        <f t="shared" ca="1" si="58"/>
        <v>0</v>
      </c>
      <c r="EB101" s="171">
        <f t="shared" ca="1" si="59"/>
        <v>0</v>
      </c>
      <c r="EC101" s="171">
        <f t="shared" ca="1" si="60"/>
        <v>0</v>
      </c>
      <c r="ED101" s="171">
        <f t="shared" ca="1" si="61"/>
        <v>0</v>
      </c>
      <c r="EE101" s="171">
        <f t="shared" ca="1" si="62"/>
        <v>0</v>
      </c>
      <c r="EF101" s="171">
        <f t="shared" ca="1" si="63"/>
        <v>0</v>
      </c>
      <c r="EG101" s="171">
        <f t="shared" ca="1" si="64"/>
        <v>0</v>
      </c>
      <c r="EH101" s="171">
        <f t="shared" ca="1" si="65"/>
        <v>0</v>
      </c>
      <c r="EI101" s="171">
        <f t="shared" ca="1" si="66"/>
        <v>0</v>
      </c>
      <c r="EJ101" s="171">
        <f t="shared" ca="1" si="67"/>
        <v>0</v>
      </c>
      <c r="EK101" s="171">
        <f t="shared" ca="1" si="68"/>
        <v>0</v>
      </c>
      <c r="EL101" s="171">
        <f t="shared" ca="1" si="69"/>
        <v>0</v>
      </c>
      <c r="EM101" s="171">
        <f t="shared" ca="1" si="70"/>
        <v>0</v>
      </c>
      <c r="EN101" s="171">
        <f t="shared" ca="1" si="71"/>
        <v>0</v>
      </c>
      <c r="EO101" s="171">
        <f t="shared" ca="1" si="72"/>
        <v>0</v>
      </c>
      <c r="EP101" s="171">
        <f t="shared" ca="1" si="73"/>
        <v>0</v>
      </c>
      <c r="EQ101" s="171">
        <f t="shared" ca="1" si="74"/>
        <v>0</v>
      </c>
      <c r="ER101" s="171">
        <f t="shared" ca="1" si="75"/>
        <v>0</v>
      </c>
      <c r="ES101" s="171">
        <f t="shared" ca="1" si="76"/>
        <v>0</v>
      </c>
    </row>
    <row r="102" spans="1:149">
      <c r="A102" s="139" t="s">
        <v>469</v>
      </c>
      <c r="B102" s="160" t="s">
        <v>427</v>
      </c>
      <c r="C102" s="160" t="s">
        <v>470</v>
      </c>
      <c r="D102" s="160" t="s">
        <v>394</v>
      </c>
      <c r="E102" s="160">
        <v>2015</v>
      </c>
      <c r="F102" s="160" t="s">
        <v>395</v>
      </c>
      <c r="G102" s="160" t="s">
        <v>402</v>
      </c>
      <c r="H102" s="160" t="s">
        <v>396</v>
      </c>
      <c r="I102" s="160" t="s">
        <v>176</v>
      </c>
      <c r="J102" s="160" t="s">
        <v>397</v>
      </c>
      <c r="K102" s="187">
        <v>15</v>
      </c>
      <c r="L102" s="163" t="s">
        <v>110</v>
      </c>
      <c r="M102" s="164">
        <f t="shared" si="0"/>
        <v>15</v>
      </c>
      <c r="N102" s="164">
        <f t="shared" si="1"/>
        <v>15</v>
      </c>
      <c r="O102" s="165">
        <f t="shared" si="2"/>
        <v>1</v>
      </c>
      <c r="P102" s="190">
        <v>4.9550000000000004E-2</v>
      </c>
      <c r="Q102" s="191">
        <v>8</v>
      </c>
      <c r="R102" s="168">
        <f t="shared" si="95"/>
        <v>0</v>
      </c>
      <c r="S102" s="186">
        <v>6.387366943339261</v>
      </c>
      <c r="T102" s="170" t="s">
        <v>403</v>
      </c>
      <c r="U102" s="171">
        <f t="shared" si="4"/>
        <v>2.215813314943603</v>
      </c>
      <c r="V102" s="171">
        <f t="shared" ca="1" si="5"/>
        <v>2.215813314943603</v>
      </c>
      <c r="W102" s="171">
        <f t="shared" ca="1" si="6"/>
        <v>17.726506519548824</v>
      </c>
      <c r="X102" s="172">
        <f t="shared" si="7"/>
        <v>0.40361298242847787</v>
      </c>
      <c r="Y102" s="172">
        <f t="shared" si="8"/>
        <v>0.59638701757152213</v>
      </c>
      <c r="Z102" s="173">
        <f t="shared" si="9"/>
        <v>17.726506519548824</v>
      </c>
      <c r="AA102" s="171">
        <f t="shared" si="102"/>
        <v>0</v>
      </c>
      <c r="AB102" s="171">
        <f t="shared" si="102"/>
        <v>0</v>
      </c>
      <c r="AC102" s="171">
        <f t="shared" si="102"/>
        <v>0</v>
      </c>
      <c r="AD102" s="171">
        <f t="shared" si="102"/>
        <v>0</v>
      </c>
      <c r="AE102" s="171">
        <f t="shared" si="102"/>
        <v>0</v>
      </c>
      <c r="AF102" s="171">
        <f t="shared" si="102"/>
        <v>0.74325000000000008</v>
      </c>
      <c r="AG102" s="171">
        <f t="shared" si="102"/>
        <v>0.74325000000000008</v>
      </c>
      <c r="AH102" s="171">
        <f t="shared" si="102"/>
        <v>0.74325000000000008</v>
      </c>
      <c r="AI102" s="171">
        <f t="shared" si="102"/>
        <v>0.74325000000000008</v>
      </c>
      <c r="AJ102" s="171">
        <f t="shared" si="102"/>
        <v>0.74325000000000008</v>
      </c>
      <c r="AK102" s="171">
        <f t="shared" si="103"/>
        <v>0.74325000000000008</v>
      </c>
      <c r="AL102" s="171">
        <f t="shared" si="103"/>
        <v>0.74325000000000008</v>
      </c>
      <c r="AM102" s="171">
        <f t="shared" si="103"/>
        <v>6.261878259774412</v>
      </c>
      <c r="AN102" s="171">
        <f t="shared" si="103"/>
        <v>6.261878259774412</v>
      </c>
      <c r="AO102" s="171">
        <f t="shared" si="103"/>
        <v>0</v>
      </c>
      <c r="AP102" s="171">
        <f t="shared" si="103"/>
        <v>0</v>
      </c>
      <c r="AQ102" s="171">
        <f t="shared" si="103"/>
        <v>0</v>
      </c>
      <c r="AR102" s="171">
        <f t="shared" si="103"/>
        <v>0</v>
      </c>
      <c r="AS102" s="171">
        <f t="shared" si="103"/>
        <v>0</v>
      </c>
      <c r="AT102" s="171">
        <f t="shared" si="103"/>
        <v>0</v>
      </c>
      <c r="AU102" s="171">
        <f t="shared" si="104"/>
        <v>0</v>
      </c>
      <c r="AV102" s="171">
        <f t="shared" si="104"/>
        <v>0</v>
      </c>
      <c r="AW102" s="171">
        <f t="shared" si="104"/>
        <v>0</v>
      </c>
      <c r="AX102" s="171">
        <f t="shared" si="104"/>
        <v>0</v>
      </c>
      <c r="AY102" s="171">
        <f t="shared" si="104"/>
        <v>0</v>
      </c>
      <c r="AZ102" s="171">
        <f t="shared" si="104"/>
        <v>0</v>
      </c>
      <c r="BA102" s="171">
        <f t="shared" si="104"/>
        <v>0</v>
      </c>
      <c r="BB102" s="171">
        <f t="shared" si="104"/>
        <v>0</v>
      </c>
      <c r="BC102" s="171">
        <f t="shared" si="104"/>
        <v>0</v>
      </c>
      <c r="BD102" s="171">
        <f t="shared" si="104"/>
        <v>0</v>
      </c>
      <c r="BE102" s="171">
        <f t="shared" si="105"/>
        <v>0</v>
      </c>
      <c r="BF102" s="171">
        <f t="shared" si="105"/>
        <v>0</v>
      </c>
      <c r="BG102" s="171">
        <f t="shared" si="105"/>
        <v>0</v>
      </c>
      <c r="BH102" s="171">
        <f t="shared" si="105"/>
        <v>0</v>
      </c>
      <c r="BI102" s="171">
        <f t="shared" si="105"/>
        <v>0</v>
      </c>
      <c r="BJ102" s="171">
        <f t="shared" si="105"/>
        <v>0</v>
      </c>
      <c r="BK102" s="171">
        <f t="shared" si="105"/>
        <v>0</v>
      </c>
      <c r="BL102" s="171">
        <f t="shared" si="105"/>
        <v>0</v>
      </c>
      <c r="BM102" s="171">
        <f t="shared" si="105"/>
        <v>0</v>
      </c>
      <c r="BN102" s="171">
        <f t="shared" si="105"/>
        <v>0</v>
      </c>
      <c r="BO102" s="171">
        <f t="shared" si="106"/>
        <v>0</v>
      </c>
      <c r="BP102" s="171">
        <f t="shared" si="106"/>
        <v>0</v>
      </c>
      <c r="BQ102" s="171">
        <f t="shared" si="106"/>
        <v>0</v>
      </c>
      <c r="BR102" s="171">
        <f t="shared" si="106"/>
        <v>0</v>
      </c>
      <c r="BS102" s="171">
        <f t="shared" si="106"/>
        <v>0</v>
      </c>
      <c r="BT102" s="171">
        <f t="shared" si="106"/>
        <v>0</v>
      </c>
      <c r="BU102" s="171">
        <f t="shared" si="106"/>
        <v>0</v>
      </c>
      <c r="BV102" s="171">
        <f t="shared" si="106"/>
        <v>0</v>
      </c>
      <c r="BW102" s="171">
        <f t="shared" si="106"/>
        <v>0</v>
      </c>
      <c r="BX102" s="171">
        <f t="shared" si="106"/>
        <v>0</v>
      </c>
      <c r="BY102" s="171">
        <f t="shared" si="107"/>
        <v>0</v>
      </c>
      <c r="BZ102" s="171">
        <f t="shared" si="107"/>
        <v>0</v>
      </c>
      <c r="CA102" s="171">
        <f t="shared" si="107"/>
        <v>0</v>
      </c>
      <c r="CB102" s="171">
        <f t="shared" si="107"/>
        <v>0</v>
      </c>
      <c r="CC102" s="171">
        <f t="shared" si="107"/>
        <v>0</v>
      </c>
      <c r="CD102" s="171">
        <f t="shared" si="107"/>
        <v>0</v>
      </c>
      <c r="CE102" s="171">
        <f t="shared" si="107"/>
        <v>0</v>
      </c>
      <c r="CF102" s="171">
        <f t="shared" si="107"/>
        <v>0</v>
      </c>
      <c r="CG102" s="171">
        <f t="shared" si="107"/>
        <v>0</v>
      </c>
      <c r="CH102" s="171">
        <f t="shared" si="107"/>
        <v>0</v>
      </c>
      <c r="CI102" s="171">
        <f t="shared" si="107"/>
        <v>0</v>
      </c>
      <c r="CJ102" s="243"/>
      <c r="CK102" s="171">
        <f t="shared" si="16"/>
        <v>0</v>
      </c>
      <c r="CL102" s="171">
        <f t="shared" si="17"/>
        <v>0</v>
      </c>
      <c r="CM102" s="171">
        <f t="shared" si="18"/>
        <v>0</v>
      </c>
      <c r="CN102" s="171">
        <f t="shared" si="19"/>
        <v>0</v>
      </c>
      <c r="CO102" s="171">
        <f t="shared" si="20"/>
        <v>0</v>
      </c>
      <c r="CP102" s="171">
        <f t="shared" si="21"/>
        <v>0.74325000000000008</v>
      </c>
      <c r="CQ102" s="171">
        <f t="shared" si="22"/>
        <v>0.74325000000000008</v>
      </c>
      <c r="CR102" s="171">
        <f t="shared" si="23"/>
        <v>0.74325000000000008</v>
      </c>
      <c r="CS102" s="171">
        <f t="shared" si="24"/>
        <v>0.74325000000000008</v>
      </c>
      <c r="CT102" s="171">
        <f t="shared" si="25"/>
        <v>0.74325000000000008</v>
      </c>
      <c r="CU102" s="171">
        <f t="shared" si="26"/>
        <v>0.74325000000000008</v>
      </c>
      <c r="CV102" s="171">
        <f t="shared" si="27"/>
        <v>0.74325000000000008</v>
      </c>
      <c r="CW102" s="171">
        <f t="shared" si="28"/>
        <v>6.261878259774412</v>
      </c>
      <c r="CX102" s="171">
        <f t="shared" si="29"/>
        <v>6.261878259774412</v>
      </c>
      <c r="CY102" s="171">
        <f t="shared" ca="1" si="30"/>
        <v>0</v>
      </c>
      <c r="CZ102" s="171">
        <f t="shared" ca="1" si="31"/>
        <v>0</v>
      </c>
      <c r="DA102" s="171">
        <f t="shared" ca="1" si="32"/>
        <v>0</v>
      </c>
      <c r="DB102" s="171">
        <f t="shared" ca="1" si="33"/>
        <v>0</v>
      </c>
      <c r="DC102" s="171">
        <f t="shared" ca="1" si="34"/>
        <v>0</v>
      </c>
      <c r="DD102" s="171">
        <f t="shared" ca="1" si="35"/>
        <v>0</v>
      </c>
      <c r="DE102" s="171">
        <f t="shared" ca="1" si="36"/>
        <v>0</v>
      </c>
      <c r="DF102" s="171">
        <f t="shared" ca="1" si="37"/>
        <v>0</v>
      </c>
      <c r="DG102" s="171">
        <f t="shared" ca="1" si="38"/>
        <v>0</v>
      </c>
      <c r="DH102" s="171">
        <f t="shared" ca="1" si="39"/>
        <v>0</v>
      </c>
      <c r="DI102" s="171">
        <f t="shared" ca="1" si="40"/>
        <v>0</v>
      </c>
      <c r="DJ102" s="171">
        <f t="shared" ca="1" si="41"/>
        <v>0</v>
      </c>
      <c r="DK102" s="171">
        <f t="shared" ca="1" si="42"/>
        <v>0</v>
      </c>
      <c r="DL102" s="171">
        <f t="shared" ca="1" si="43"/>
        <v>0</v>
      </c>
      <c r="DM102" s="171">
        <f t="shared" ca="1" si="44"/>
        <v>0</v>
      </c>
      <c r="DN102" s="171">
        <f t="shared" ca="1" si="45"/>
        <v>0</v>
      </c>
      <c r="DO102" s="171">
        <f t="shared" ca="1" si="46"/>
        <v>0</v>
      </c>
      <c r="DP102" s="171">
        <f t="shared" ca="1" si="47"/>
        <v>0</v>
      </c>
      <c r="DQ102" s="171">
        <f t="shared" ca="1" si="48"/>
        <v>0</v>
      </c>
      <c r="DR102" s="171">
        <f t="shared" ca="1" si="49"/>
        <v>0</v>
      </c>
      <c r="DS102" s="171">
        <f t="shared" ca="1" si="50"/>
        <v>0</v>
      </c>
      <c r="DT102" s="171">
        <f t="shared" ca="1" si="51"/>
        <v>0</v>
      </c>
      <c r="DU102" s="171">
        <f t="shared" ca="1" si="52"/>
        <v>0</v>
      </c>
      <c r="DV102" s="171">
        <f t="shared" ca="1" si="53"/>
        <v>0</v>
      </c>
      <c r="DW102" s="171">
        <f t="shared" ca="1" si="54"/>
        <v>0</v>
      </c>
      <c r="DX102" s="171">
        <f t="shared" ca="1" si="55"/>
        <v>0</v>
      </c>
      <c r="DY102" s="171">
        <f t="shared" ca="1" si="56"/>
        <v>0</v>
      </c>
      <c r="DZ102" s="171">
        <f t="shared" ca="1" si="57"/>
        <v>0</v>
      </c>
      <c r="EA102" s="171">
        <f t="shared" ca="1" si="58"/>
        <v>0</v>
      </c>
      <c r="EB102" s="171">
        <f t="shared" ca="1" si="59"/>
        <v>0</v>
      </c>
      <c r="EC102" s="171">
        <f t="shared" ca="1" si="60"/>
        <v>0</v>
      </c>
      <c r="ED102" s="171">
        <f t="shared" ca="1" si="61"/>
        <v>0</v>
      </c>
      <c r="EE102" s="171">
        <f t="shared" ca="1" si="62"/>
        <v>0</v>
      </c>
      <c r="EF102" s="171">
        <f t="shared" ca="1" si="63"/>
        <v>0</v>
      </c>
      <c r="EG102" s="171">
        <f t="shared" ca="1" si="64"/>
        <v>0</v>
      </c>
      <c r="EH102" s="171">
        <f t="shared" ca="1" si="65"/>
        <v>0</v>
      </c>
      <c r="EI102" s="171">
        <f t="shared" ca="1" si="66"/>
        <v>0</v>
      </c>
      <c r="EJ102" s="171">
        <f t="shared" ca="1" si="67"/>
        <v>0</v>
      </c>
      <c r="EK102" s="171">
        <f t="shared" ca="1" si="68"/>
        <v>0</v>
      </c>
      <c r="EL102" s="171">
        <f t="shared" ca="1" si="69"/>
        <v>0</v>
      </c>
      <c r="EM102" s="171">
        <f t="shared" ca="1" si="70"/>
        <v>0</v>
      </c>
      <c r="EN102" s="171">
        <f t="shared" ca="1" si="71"/>
        <v>0</v>
      </c>
      <c r="EO102" s="171">
        <f t="shared" ca="1" si="72"/>
        <v>0</v>
      </c>
      <c r="EP102" s="171">
        <f t="shared" ca="1" si="73"/>
        <v>0</v>
      </c>
      <c r="EQ102" s="171">
        <f t="shared" ca="1" si="74"/>
        <v>0</v>
      </c>
      <c r="ER102" s="171">
        <f t="shared" ca="1" si="75"/>
        <v>0</v>
      </c>
      <c r="ES102" s="171">
        <f t="shared" ca="1" si="76"/>
        <v>0</v>
      </c>
    </row>
    <row r="103" spans="1:149">
      <c r="A103" s="139" t="s">
        <v>469</v>
      </c>
      <c r="B103" s="160" t="s">
        <v>471</v>
      </c>
      <c r="C103" s="160" t="s">
        <v>470</v>
      </c>
      <c r="D103" s="160" t="s">
        <v>394</v>
      </c>
      <c r="E103" s="160">
        <v>2015</v>
      </c>
      <c r="F103" s="160" t="s">
        <v>395</v>
      </c>
      <c r="G103" s="160" t="s">
        <v>402</v>
      </c>
      <c r="H103" s="160" t="s">
        <v>396</v>
      </c>
      <c r="I103" s="160" t="s">
        <v>180</v>
      </c>
      <c r="J103" s="160" t="s">
        <v>407</v>
      </c>
      <c r="K103" s="187">
        <v>12.5</v>
      </c>
      <c r="L103" s="163" t="s">
        <v>110</v>
      </c>
      <c r="M103" s="164">
        <f t="shared" si="0"/>
        <v>12.5</v>
      </c>
      <c r="N103" s="164">
        <f t="shared" si="1"/>
        <v>12.5</v>
      </c>
      <c r="O103" s="165">
        <f t="shared" si="2"/>
        <v>1</v>
      </c>
      <c r="P103" s="190">
        <v>4.9550000000000004E-2</v>
      </c>
      <c r="Q103" s="191">
        <v>8</v>
      </c>
      <c r="R103" s="168">
        <f t="shared" si="95"/>
        <v>0</v>
      </c>
      <c r="S103" s="186">
        <v>1</v>
      </c>
      <c r="T103" s="170" t="s">
        <v>403</v>
      </c>
      <c r="U103" s="171">
        <f t="shared" si="4"/>
        <v>2.0079279329708042</v>
      </c>
      <c r="V103" s="171">
        <f t="shared" ca="1" si="5"/>
        <v>2.0079279329708042</v>
      </c>
      <c r="W103" s="171">
        <f t="shared" ca="1" si="6"/>
        <v>16.063423463766433</v>
      </c>
      <c r="X103" s="172">
        <f t="shared" si="7"/>
        <v>0.58831829861554374</v>
      </c>
      <c r="Y103" s="172">
        <f t="shared" si="8"/>
        <v>0.41168170138445631</v>
      </c>
      <c r="Z103" s="173">
        <f t="shared" si="9"/>
        <v>16.063423463766433</v>
      </c>
      <c r="AA103" s="171">
        <f t="shared" si="102"/>
        <v>0</v>
      </c>
      <c r="AB103" s="171">
        <f t="shared" si="102"/>
        <v>0</v>
      </c>
      <c r="AC103" s="171">
        <f t="shared" si="102"/>
        <v>0</v>
      </c>
      <c r="AD103" s="171">
        <f t="shared" si="102"/>
        <v>0</v>
      </c>
      <c r="AE103" s="171">
        <f t="shared" si="102"/>
        <v>0</v>
      </c>
      <c r="AF103" s="171">
        <f t="shared" si="102"/>
        <v>0.61937500000000001</v>
      </c>
      <c r="AG103" s="171">
        <f t="shared" si="102"/>
        <v>1.930506057970804</v>
      </c>
      <c r="AH103" s="171">
        <f t="shared" si="102"/>
        <v>1.930506057970804</v>
      </c>
      <c r="AI103" s="171">
        <f t="shared" si="102"/>
        <v>1.930506057970804</v>
      </c>
      <c r="AJ103" s="171">
        <f t="shared" si="102"/>
        <v>1.930506057970804</v>
      </c>
      <c r="AK103" s="171">
        <f t="shared" si="103"/>
        <v>1.930506057970804</v>
      </c>
      <c r="AL103" s="171">
        <f t="shared" si="103"/>
        <v>1.930506057970804</v>
      </c>
      <c r="AM103" s="171">
        <f t="shared" si="103"/>
        <v>1.930506057970804</v>
      </c>
      <c r="AN103" s="171">
        <f t="shared" si="103"/>
        <v>1.930506057970804</v>
      </c>
      <c r="AO103" s="171">
        <f t="shared" si="103"/>
        <v>0</v>
      </c>
      <c r="AP103" s="171">
        <f t="shared" si="103"/>
        <v>0</v>
      </c>
      <c r="AQ103" s="171">
        <f t="shared" si="103"/>
        <v>0</v>
      </c>
      <c r="AR103" s="171">
        <f t="shared" si="103"/>
        <v>0</v>
      </c>
      <c r="AS103" s="171">
        <f t="shared" si="103"/>
        <v>0</v>
      </c>
      <c r="AT103" s="171">
        <f t="shared" si="103"/>
        <v>0</v>
      </c>
      <c r="AU103" s="171">
        <f t="shared" si="104"/>
        <v>0</v>
      </c>
      <c r="AV103" s="171">
        <f t="shared" si="104"/>
        <v>0</v>
      </c>
      <c r="AW103" s="171">
        <f t="shared" si="104"/>
        <v>0</v>
      </c>
      <c r="AX103" s="171">
        <f t="shared" si="104"/>
        <v>0</v>
      </c>
      <c r="AY103" s="171">
        <f t="shared" si="104"/>
        <v>0</v>
      </c>
      <c r="AZ103" s="171">
        <f t="shared" si="104"/>
        <v>0</v>
      </c>
      <c r="BA103" s="171">
        <f t="shared" si="104"/>
        <v>0</v>
      </c>
      <c r="BB103" s="171">
        <f t="shared" si="104"/>
        <v>0</v>
      </c>
      <c r="BC103" s="171">
        <f t="shared" si="104"/>
        <v>0</v>
      </c>
      <c r="BD103" s="171">
        <f t="shared" si="104"/>
        <v>0</v>
      </c>
      <c r="BE103" s="171">
        <f t="shared" si="105"/>
        <v>0</v>
      </c>
      <c r="BF103" s="171">
        <f t="shared" si="105"/>
        <v>0</v>
      </c>
      <c r="BG103" s="171">
        <f t="shared" si="105"/>
        <v>0</v>
      </c>
      <c r="BH103" s="171">
        <f t="shared" si="105"/>
        <v>0</v>
      </c>
      <c r="BI103" s="171">
        <f t="shared" si="105"/>
        <v>0</v>
      </c>
      <c r="BJ103" s="171">
        <f t="shared" si="105"/>
        <v>0</v>
      </c>
      <c r="BK103" s="171">
        <f t="shared" si="105"/>
        <v>0</v>
      </c>
      <c r="BL103" s="171">
        <f t="shared" si="105"/>
        <v>0</v>
      </c>
      <c r="BM103" s="171">
        <f t="shared" si="105"/>
        <v>0</v>
      </c>
      <c r="BN103" s="171">
        <f t="shared" si="105"/>
        <v>0</v>
      </c>
      <c r="BO103" s="171">
        <f t="shared" si="106"/>
        <v>0</v>
      </c>
      <c r="BP103" s="171">
        <f t="shared" si="106"/>
        <v>0</v>
      </c>
      <c r="BQ103" s="171">
        <f t="shared" si="106"/>
        <v>0</v>
      </c>
      <c r="BR103" s="171">
        <f t="shared" si="106"/>
        <v>0</v>
      </c>
      <c r="BS103" s="171">
        <f t="shared" si="106"/>
        <v>0</v>
      </c>
      <c r="BT103" s="171">
        <f t="shared" si="106"/>
        <v>0</v>
      </c>
      <c r="BU103" s="171">
        <f t="shared" si="106"/>
        <v>0</v>
      </c>
      <c r="BV103" s="171">
        <f t="shared" si="106"/>
        <v>0</v>
      </c>
      <c r="BW103" s="171">
        <f t="shared" si="106"/>
        <v>0</v>
      </c>
      <c r="BX103" s="171">
        <f t="shared" si="106"/>
        <v>0</v>
      </c>
      <c r="BY103" s="171">
        <f t="shared" si="107"/>
        <v>0</v>
      </c>
      <c r="BZ103" s="171">
        <f t="shared" si="107"/>
        <v>0</v>
      </c>
      <c r="CA103" s="171">
        <f t="shared" si="107"/>
        <v>0</v>
      </c>
      <c r="CB103" s="171">
        <f t="shared" si="107"/>
        <v>0</v>
      </c>
      <c r="CC103" s="171">
        <f t="shared" si="107"/>
        <v>0</v>
      </c>
      <c r="CD103" s="171">
        <f t="shared" si="107"/>
        <v>0</v>
      </c>
      <c r="CE103" s="171">
        <f t="shared" si="107"/>
        <v>0</v>
      </c>
      <c r="CF103" s="171">
        <f t="shared" si="107"/>
        <v>0</v>
      </c>
      <c r="CG103" s="171">
        <f t="shared" si="107"/>
        <v>0</v>
      </c>
      <c r="CH103" s="171">
        <f t="shared" si="107"/>
        <v>0</v>
      </c>
      <c r="CI103" s="171">
        <f t="shared" si="107"/>
        <v>0</v>
      </c>
      <c r="CJ103" s="243"/>
      <c r="CK103" s="171">
        <f t="shared" si="16"/>
        <v>0</v>
      </c>
      <c r="CL103" s="171">
        <f t="shared" si="17"/>
        <v>0</v>
      </c>
      <c r="CM103" s="171">
        <f t="shared" si="18"/>
        <v>0</v>
      </c>
      <c r="CN103" s="171">
        <f t="shared" si="19"/>
        <v>0</v>
      </c>
      <c r="CO103" s="171">
        <f t="shared" si="20"/>
        <v>0</v>
      </c>
      <c r="CP103" s="171">
        <f t="shared" si="21"/>
        <v>0.61937500000000001</v>
      </c>
      <c r="CQ103" s="171">
        <f t="shared" si="22"/>
        <v>1.930506057970804</v>
      </c>
      <c r="CR103" s="171">
        <f t="shared" si="23"/>
        <v>1.930506057970804</v>
      </c>
      <c r="CS103" s="171">
        <f t="shared" si="24"/>
        <v>1.930506057970804</v>
      </c>
      <c r="CT103" s="171">
        <f t="shared" si="25"/>
        <v>1.930506057970804</v>
      </c>
      <c r="CU103" s="171">
        <f t="shared" si="26"/>
        <v>1.930506057970804</v>
      </c>
      <c r="CV103" s="171">
        <f t="shared" si="27"/>
        <v>1.930506057970804</v>
      </c>
      <c r="CW103" s="171">
        <f t="shared" si="28"/>
        <v>1.930506057970804</v>
      </c>
      <c r="CX103" s="171">
        <f t="shared" si="29"/>
        <v>1.930506057970804</v>
      </c>
      <c r="CY103" s="171">
        <f t="shared" ca="1" si="30"/>
        <v>0</v>
      </c>
      <c r="CZ103" s="171">
        <f t="shared" ca="1" si="31"/>
        <v>0</v>
      </c>
      <c r="DA103" s="171">
        <f t="shared" ca="1" si="32"/>
        <v>0</v>
      </c>
      <c r="DB103" s="171">
        <f t="shared" ca="1" si="33"/>
        <v>0</v>
      </c>
      <c r="DC103" s="171">
        <f t="shared" ca="1" si="34"/>
        <v>0</v>
      </c>
      <c r="DD103" s="171">
        <f t="shared" ca="1" si="35"/>
        <v>0</v>
      </c>
      <c r="DE103" s="171">
        <f t="shared" ca="1" si="36"/>
        <v>0</v>
      </c>
      <c r="DF103" s="171">
        <f t="shared" ca="1" si="37"/>
        <v>0</v>
      </c>
      <c r="DG103" s="171">
        <f t="shared" ca="1" si="38"/>
        <v>0</v>
      </c>
      <c r="DH103" s="171">
        <f t="shared" ca="1" si="39"/>
        <v>0</v>
      </c>
      <c r="DI103" s="171">
        <f t="shared" ca="1" si="40"/>
        <v>0</v>
      </c>
      <c r="DJ103" s="171">
        <f t="shared" ca="1" si="41"/>
        <v>0</v>
      </c>
      <c r="DK103" s="171">
        <f t="shared" ca="1" si="42"/>
        <v>0</v>
      </c>
      <c r="DL103" s="171">
        <f t="shared" ca="1" si="43"/>
        <v>0</v>
      </c>
      <c r="DM103" s="171">
        <f t="shared" ca="1" si="44"/>
        <v>0</v>
      </c>
      <c r="DN103" s="171">
        <f t="shared" ca="1" si="45"/>
        <v>0</v>
      </c>
      <c r="DO103" s="171">
        <f t="shared" ca="1" si="46"/>
        <v>0</v>
      </c>
      <c r="DP103" s="171">
        <f t="shared" ca="1" si="47"/>
        <v>0</v>
      </c>
      <c r="DQ103" s="171">
        <f t="shared" ca="1" si="48"/>
        <v>0</v>
      </c>
      <c r="DR103" s="171">
        <f t="shared" ca="1" si="49"/>
        <v>0</v>
      </c>
      <c r="DS103" s="171">
        <f t="shared" ca="1" si="50"/>
        <v>0</v>
      </c>
      <c r="DT103" s="171">
        <f t="shared" ca="1" si="51"/>
        <v>0</v>
      </c>
      <c r="DU103" s="171">
        <f t="shared" ca="1" si="52"/>
        <v>0</v>
      </c>
      <c r="DV103" s="171">
        <f t="shared" ca="1" si="53"/>
        <v>0</v>
      </c>
      <c r="DW103" s="171">
        <f t="shared" ca="1" si="54"/>
        <v>0</v>
      </c>
      <c r="DX103" s="171">
        <f t="shared" ca="1" si="55"/>
        <v>0</v>
      </c>
      <c r="DY103" s="171">
        <f t="shared" ca="1" si="56"/>
        <v>0</v>
      </c>
      <c r="DZ103" s="171">
        <f t="shared" ca="1" si="57"/>
        <v>0</v>
      </c>
      <c r="EA103" s="171">
        <f t="shared" ca="1" si="58"/>
        <v>0</v>
      </c>
      <c r="EB103" s="171">
        <f t="shared" ca="1" si="59"/>
        <v>0</v>
      </c>
      <c r="EC103" s="171">
        <f t="shared" ca="1" si="60"/>
        <v>0</v>
      </c>
      <c r="ED103" s="171">
        <f t="shared" ca="1" si="61"/>
        <v>0</v>
      </c>
      <c r="EE103" s="171">
        <f t="shared" ca="1" si="62"/>
        <v>0</v>
      </c>
      <c r="EF103" s="171">
        <f t="shared" ca="1" si="63"/>
        <v>0</v>
      </c>
      <c r="EG103" s="171">
        <f t="shared" ca="1" si="64"/>
        <v>0</v>
      </c>
      <c r="EH103" s="171">
        <f t="shared" ca="1" si="65"/>
        <v>0</v>
      </c>
      <c r="EI103" s="171">
        <f t="shared" ca="1" si="66"/>
        <v>0</v>
      </c>
      <c r="EJ103" s="171">
        <f t="shared" ca="1" si="67"/>
        <v>0</v>
      </c>
      <c r="EK103" s="171">
        <f t="shared" ca="1" si="68"/>
        <v>0</v>
      </c>
      <c r="EL103" s="171">
        <f t="shared" ca="1" si="69"/>
        <v>0</v>
      </c>
      <c r="EM103" s="171">
        <f t="shared" ca="1" si="70"/>
        <v>0</v>
      </c>
      <c r="EN103" s="171">
        <f t="shared" ca="1" si="71"/>
        <v>0</v>
      </c>
      <c r="EO103" s="171">
        <f t="shared" ca="1" si="72"/>
        <v>0</v>
      </c>
      <c r="EP103" s="171">
        <f t="shared" ca="1" si="73"/>
        <v>0</v>
      </c>
      <c r="EQ103" s="171">
        <f t="shared" ca="1" si="74"/>
        <v>0</v>
      </c>
      <c r="ER103" s="171">
        <f t="shared" ca="1" si="75"/>
        <v>0</v>
      </c>
      <c r="ES103" s="171">
        <f t="shared" ca="1" si="76"/>
        <v>0</v>
      </c>
    </row>
    <row r="104" spans="1:149">
      <c r="A104" s="139" t="s">
        <v>469</v>
      </c>
      <c r="B104" s="160" t="s">
        <v>472</v>
      </c>
      <c r="C104" s="160" t="s">
        <v>470</v>
      </c>
      <c r="D104" s="160" t="s">
        <v>394</v>
      </c>
      <c r="E104" s="160">
        <v>2015</v>
      </c>
      <c r="F104" s="194" t="s">
        <v>395</v>
      </c>
      <c r="G104" s="160" t="s">
        <v>402</v>
      </c>
      <c r="H104" s="194" t="s">
        <v>396</v>
      </c>
      <c r="I104" s="194" t="s">
        <v>176</v>
      </c>
      <c r="J104" s="194" t="s">
        <v>397</v>
      </c>
      <c r="K104" s="187">
        <v>7.5</v>
      </c>
      <c r="L104" s="163" t="s">
        <v>110</v>
      </c>
      <c r="M104" s="164">
        <f t="shared" si="0"/>
        <v>7.5</v>
      </c>
      <c r="N104" s="164">
        <f t="shared" si="1"/>
        <v>7.5</v>
      </c>
      <c r="O104" s="165">
        <f t="shared" si="2"/>
        <v>1</v>
      </c>
      <c r="P104" s="190">
        <v>6.0049999999999999E-2</v>
      </c>
      <c r="Q104" s="191">
        <v>5</v>
      </c>
      <c r="R104" s="168">
        <f t="shared" si="95"/>
        <v>0</v>
      </c>
      <c r="S104" s="186">
        <v>6.387366943339261</v>
      </c>
      <c r="T104" s="170" t="s">
        <v>403</v>
      </c>
      <c r="U104" s="171">
        <f t="shared" si="4"/>
        <v>0.63052500000000011</v>
      </c>
      <c r="V104" s="171">
        <f t="shared" ca="1" si="5"/>
        <v>0.63052500000000011</v>
      </c>
      <c r="W104" s="171">
        <f t="shared" ca="1" si="6"/>
        <v>3.1526250000000005</v>
      </c>
      <c r="X104" s="172">
        <f t="shared" si="7"/>
        <v>0.47841246364988887</v>
      </c>
      <c r="Y104" s="172">
        <f t="shared" si="8"/>
        <v>0.52158753635011113</v>
      </c>
      <c r="Z104" s="173">
        <f t="shared" si="9"/>
        <v>3.1526250000000005</v>
      </c>
      <c r="AA104" s="171">
        <f t="shared" si="102"/>
        <v>0</v>
      </c>
      <c r="AB104" s="171">
        <f t="shared" si="102"/>
        <v>0</v>
      </c>
      <c r="AC104" s="171">
        <f t="shared" si="102"/>
        <v>0</v>
      </c>
      <c r="AD104" s="171">
        <f t="shared" si="102"/>
        <v>0</v>
      </c>
      <c r="AE104" s="171">
        <f t="shared" si="102"/>
        <v>0</v>
      </c>
      <c r="AF104" s="171">
        <f t="shared" si="102"/>
        <v>0.45037499999999997</v>
      </c>
      <c r="AG104" s="171">
        <f t="shared" si="102"/>
        <v>0.45037499999999997</v>
      </c>
      <c r="AH104" s="171">
        <f t="shared" si="102"/>
        <v>0.45037499999999997</v>
      </c>
      <c r="AI104" s="171">
        <f t="shared" si="102"/>
        <v>0.45037499999999997</v>
      </c>
      <c r="AJ104" s="171">
        <f t="shared" si="102"/>
        <v>0.45037499999999997</v>
      </c>
      <c r="AK104" s="171">
        <f t="shared" si="103"/>
        <v>0.45037499999999997</v>
      </c>
      <c r="AL104" s="171">
        <f t="shared" si="103"/>
        <v>0.45037499999999997</v>
      </c>
      <c r="AM104" s="171">
        <f t="shared" si="103"/>
        <v>0</v>
      </c>
      <c r="AN104" s="171">
        <f t="shared" si="103"/>
        <v>0</v>
      </c>
      <c r="AO104" s="171">
        <f t="shared" si="103"/>
        <v>0</v>
      </c>
      <c r="AP104" s="171">
        <f t="shared" si="103"/>
        <v>0</v>
      </c>
      <c r="AQ104" s="171">
        <f t="shared" si="103"/>
        <v>0</v>
      </c>
      <c r="AR104" s="171">
        <f t="shared" si="103"/>
        <v>0</v>
      </c>
      <c r="AS104" s="171">
        <f t="shared" si="103"/>
        <v>0</v>
      </c>
      <c r="AT104" s="171">
        <f t="shared" si="103"/>
        <v>0</v>
      </c>
      <c r="AU104" s="171">
        <f t="shared" si="104"/>
        <v>0</v>
      </c>
      <c r="AV104" s="171">
        <f t="shared" si="104"/>
        <v>0</v>
      </c>
      <c r="AW104" s="171">
        <f t="shared" si="104"/>
        <v>0</v>
      </c>
      <c r="AX104" s="171">
        <f t="shared" si="104"/>
        <v>0</v>
      </c>
      <c r="AY104" s="171">
        <f t="shared" si="104"/>
        <v>0</v>
      </c>
      <c r="AZ104" s="171">
        <f t="shared" si="104"/>
        <v>0</v>
      </c>
      <c r="BA104" s="171">
        <f t="shared" si="104"/>
        <v>0</v>
      </c>
      <c r="BB104" s="171">
        <f t="shared" si="104"/>
        <v>0</v>
      </c>
      <c r="BC104" s="171">
        <f t="shared" si="104"/>
        <v>0</v>
      </c>
      <c r="BD104" s="171">
        <f t="shared" si="104"/>
        <v>0</v>
      </c>
      <c r="BE104" s="171">
        <f t="shared" si="105"/>
        <v>0</v>
      </c>
      <c r="BF104" s="171">
        <f t="shared" si="105"/>
        <v>0</v>
      </c>
      <c r="BG104" s="171">
        <f t="shared" si="105"/>
        <v>0</v>
      </c>
      <c r="BH104" s="171">
        <f t="shared" si="105"/>
        <v>0</v>
      </c>
      <c r="BI104" s="171">
        <f t="shared" si="105"/>
        <v>0</v>
      </c>
      <c r="BJ104" s="171">
        <f t="shared" si="105"/>
        <v>0</v>
      </c>
      <c r="BK104" s="171">
        <f t="shared" si="105"/>
        <v>0</v>
      </c>
      <c r="BL104" s="171">
        <f t="shared" si="105"/>
        <v>0</v>
      </c>
      <c r="BM104" s="171">
        <f t="shared" si="105"/>
        <v>0</v>
      </c>
      <c r="BN104" s="171">
        <f t="shared" si="105"/>
        <v>0</v>
      </c>
      <c r="BO104" s="171">
        <f t="shared" si="106"/>
        <v>0</v>
      </c>
      <c r="BP104" s="171">
        <f t="shared" si="106"/>
        <v>0</v>
      </c>
      <c r="BQ104" s="171">
        <f t="shared" si="106"/>
        <v>0</v>
      </c>
      <c r="BR104" s="171">
        <f t="shared" si="106"/>
        <v>0</v>
      </c>
      <c r="BS104" s="171">
        <f t="shared" si="106"/>
        <v>0</v>
      </c>
      <c r="BT104" s="171">
        <f t="shared" si="106"/>
        <v>0</v>
      </c>
      <c r="BU104" s="171">
        <f t="shared" si="106"/>
        <v>0</v>
      </c>
      <c r="BV104" s="171">
        <f t="shared" si="106"/>
        <v>0</v>
      </c>
      <c r="BW104" s="171">
        <f t="shared" si="106"/>
        <v>0</v>
      </c>
      <c r="BX104" s="171">
        <f t="shared" si="106"/>
        <v>0</v>
      </c>
      <c r="BY104" s="171">
        <f t="shared" si="107"/>
        <v>0</v>
      </c>
      <c r="BZ104" s="171">
        <f t="shared" si="107"/>
        <v>0</v>
      </c>
      <c r="CA104" s="171">
        <f t="shared" si="107"/>
        <v>0</v>
      </c>
      <c r="CB104" s="171">
        <f t="shared" si="107"/>
        <v>0</v>
      </c>
      <c r="CC104" s="171">
        <f t="shared" si="107"/>
        <v>0</v>
      </c>
      <c r="CD104" s="171">
        <f t="shared" si="107"/>
        <v>0</v>
      </c>
      <c r="CE104" s="171">
        <f t="shared" si="107"/>
        <v>0</v>
      </c>
      <c r="CF104" s="171">
        <f t="shared" si="107"/>
        <v>0</v>
      </c>
      <c r="CG104" s="171">
        <f t="shared" si="107"/>
        <v>0</v>
      </c>
      <c r="CH104" s="171">
        <f t="shared" si="107"/>
        <v>0</v>
      </c>
      <c r="CI104" s="171">
        <f t="shared" si="107"/>
        <v>0</v>
      </c>
      <c r="CJ104" s="243"/>
      <c r="CK104" s="171">
        <f t="shared" si="16"/>
        <v>0</v>
      </c>
      <c r="CL104" s="171">
        <f t="shared" si="17"/>
        <v>0</v>
      </c>
      <c r="CM104" s="171">
        <f t="shared" si="18"/>
        <v>0</v>
      </c>
      <c r="CN104" s="171">
        <f t="shared" si="19"/>
        <v>0</v>
      </c>
      <c r="CO104" s="171">
        <f t="shared" si="20"/>
        <v>0</v>
      </c>
      <c r="CP104" s="171">
        <f t="shared" si="21"/>
        <v>0.45037499999999997</v>
      </c>
      <c r="CQ104" s="171">
        <f t="shared" si="22"/>
        <v>0.45037499999999997</v>
      </c>
      <c r="CR104" s="171">
        <f t="shared" si="23"/>
        <v>0.45037499999999997</v>
      </c>
      <c r="CS104" s="171">
        <f t="shared" si="24"/>
        <v>0.45037499999999997</v>
      </c>
      <c r="CT104" s="171">
        <f t="shared" si="25"/>
        <v>0.45037499999999997</v>
      </c>
      <c r="CU104" s="171">
        <f t="shared" si="26"/>
        <v>0.45037499999999997</v>
      </c>
      <c r="CV104" s="171">
        <f t="shared" si="27"/>
        <v>0.45037499999999997</v>
      </c>
      <c r="CW104" s="171">
        <f t="shared" si="28"/>
        <v>0</v>
      </c>
      <c r="CX104" s="171">
        <f t="shared" si="29"/>
        <v>0</v>
      </c>
      <c r="CY104" s="171">
        <f t="shared" ca="1" si="30"/>
        <v>0</v>
      </c>
      <c r="CZ104" s="171">
        <f t="shared" ca="1" si="31"/>
        <v>0</v>
      </c>
      <c r="DA104" s="171">
        <f t="shared" ca="1" si="32"/>
        <v>0</v>
      </c>
      <c r="DB104" s="171">
        <f t="shared" ca="1" si="33"/>
        <v>0</v>
      </c>
      <c r="DC104" s="171">
        <f t="shared" ca="1" si="34"/>
        <v>0</v>
      </c>
      <c r="DD104" s="171">
        <f t="shared" ca="1" si="35"/>
        <v>0</v>
      </c>
      <c r="DE104" s="171">
        <f t="shared" ca="1" si="36"/>
        <v>0</v>
      </c>
      <c r="DF104" s="171">
        <f t="shared" ca="1" si="37"/>
        <v>0</v>
      </c>
      <c r="DG104" s="171">
        <f t="shared" ca="1" si="38"/>
        <v>0</v>
      </c>
      <c r="DH104" s="171">
        <f t="shared" ca="1" si="39"/>
        <v>0</v>
      </c>
      <c r="DI104" s="171">
        <f t="shared" ca="1" si="40"/>
        <v>0</v>
      </c>
      <c r="DJ104" s="171">
        <f t="shared" ca="1" si="41"/>
        <v>0</v>
      </c>
      <c r="DK104" s="171">
        <f t="shared" ca="1" si="42"/>
        <v>0</v>
      </c>
      <c r="DL104" s="171">
        <f t="shared" ca="1" si="43"/>
        <v>0</v>
      </c>
      <c r="DM104" s="171">
        <f t="shared" ca="1" si="44"/>
        <v>0</v>
      </c>
      <c r="DN104" s="171">
        <f t="shared" ca="1" si="45"/>
        <v>0</v>
      </c>
      <c r="DO104" s="171">
        <f t="shared" ca="1" si="46"/>
        <v>0</v>
      </c>
      <c r="DP104" s="171">
        <f t="shared" ca="1" si="47"/>
        <v>0</v>
      </c>
      <c r="DQ104" s="171">
        <f t="shared" ca="1" si="48"/>
        <v>0</v>
      </c>
      <c r="DR104" s="171">
        <f t="shared" ca="1" si="49"/>
        <v>0</v>
      </c>
      <c r="DS104" s="171">
        <f t="shared" ca="1" si="50"/>
        <v>0</v>
      </c>
      <c r="DT104" s="171">
        <f t="shared" ca="1" si="51"/>
        <v>0</v>
      </c>
      <c r="DU104" s="171">
        <f t="shared" ca="1" si="52"/>
        <v>0</v>
      </c>
      <c r="DV104" s="171">
        <f t="shared" ca="1" si="53"/>
        <v>0</v>
      </c>
      <c r="DW104" s="171">
        <f t="shared" ca="1" si="54"/>
        <v>0</v>
      </c>
      <c r="DX104" s="171">
        <f t="shared" ca="1" si="55"/>
        <v>0</v>
      </c>
      <c r="DY104" s="171">
        <f t="shared" ca="1" si="56"/>
        <v>0</v>
      </c>
      <c r="DZ104" s="171">
        <f t="shared" ca="1" si="57"/>
        <v>0</v>
      </c>
      <c r="EA104" s="171">
        <f t="shared" ca="1" si="58"/>
        <v>0</v>
      </c>
      <c r="EB104" s="171">
        <f t="shared" ca="1" si="59"/>
        <v>0</v>
      </c>
      <c r="EC104" s="171">
        <f t="shared" ca="1" si="60"/>
        <v>0</v>
      </c>
      <c r="ED104" s="171">
        <f t="shared" ca="1" si="61"/>
        <v>0</v>
      </c>
      <c r="EE104" s="171">
        <f t="shared" ca="1" si="62"/>
        <v>0</v>
      </c>
      <c r="EF104" s="171">
        <f t="shared" ca="1" si="63"/>
        <v>0</v>
      </c>
      <c r="EG104" s="171">
        <f t="shared" ca="1" si="64"/>
        <v>0</v>
      </c>
      <c r="EH104" s="171">
        <f t="shared" ca="1" si="65"/>
        <v>0</v>
      </c>
      <c r="EI104" s="171">
        <f t="shared" ca="1" si="66"/>
        <v>0</v>
      </c>
      <c r="EJ104" s="171">
        <f t="shared" ca="1" si="67"/>
        <v>0</v>
      </c>
      <c r="EK104" s="171">
        <f t="shared" ca="1" si="68"/>
        <v>0</v>
      </c>
      <c r="EL104" s="171">
        <f t="shared" ca="1" si="69"/>
        <v>0</v>
      </c>
      <c r="EM104" s="171">
        <f t="shared" ca="1" si="70"/>
        <v>0</v>
      </c>
      <c r="EN104" s="171">
        <f t="shared" ca="1" si="71"/>
        <v>0</v>
      </c>
      <c r="EO104" s="171">
        <f t="shared" ca="1" si="72"/>
        <v>0</v>
      </c>
      <c r="EP104" s="171">
        <f t="shared" ca="1" si="73"/>
        <v>0</v>
      </c>
      <c r="EQ104" s="171">
        <f t="shared" ca="1" si="74"/>
        <v>0</v>
      </c>
      <c r="ER104" s="171">
        <f t="shared" ca="1" si="75"/>
        <v>0</v>
      </c>
      <c r="ES104" s="171">
        <f t="shared" ca="1" si="76"/>
        <v>0</v>
      </c>
    </row>
    <row r="105" spans="1:149">
      <c r="A105" s="139" t="s">
        <v>469</v>
      </c>
      <c r="B105" s="160" t="s">
        <v>472</v>
      </c>
      <c r="C105" s="160" t="s">
        <v>470</v>
      </c>
      <c r="D105" s="160" t="s">
        <v>394</v>
      </c>
      <c r="E105" s="160">
        <v>2015</v>
      </c>
      <c r="F105" s="194" t="s">
        <v>395</v>
      </c>
      <c r="G105" s="160" t="s">
        <v>402</v>
      </c>
      <c r="H105" s="194" t="s">
        <v>396</v>
      </c>
      <c r="I105" s="194" t="s">
        <v>176</v>
      </c>
      <c r="J105" s="194" t="s">
        <v>397</v>
      </c>
      <c r="K105" s="187">
        <v>7.5</v>
      </c>
      <c r="L105" s="163" t="s">
        <v>110</v>
      </c>
      <c r="M105" s="164">
        <f t="shared" si="0"/>
        <v>7.5</v>
      </c>
      <c r="N105" s="164">
        <f t="shared" si="1"/>
        <v>7.5</v>
      </c>
      <c r="O105" s="165">
        <f t="shared" si="2"/>
        <v>1</v>
      </c>
      <c r="P105" s="190">
        <v>5.2549999999999999E-2</v>
      </c>
      <c r="Q105" s="191">
        <v>5</v>
      </c>
      <c r="R105" s="168">
        <f t="shared" si="95"/>
        <v>0</v>
      </c>
      <c r="S105" s="186">
        <v>6.387366943339261</v>
      </c>
      <c r="T105" s="170" t="s">
        <v>403</v>
      </c>
      <c r="U105" s="171">
        <f t="shared" si="4"/>
        <v>0.5517749999999999</v>
      </c>
      <c r="V105" s="171">
        <f t="shared" ca="1" si="5"/>
        <v>0.5517749999999999</v>
      </c>
      <c r="W105" s="171">
        <f t="shared" ca="1" si="6"/>
        <v>2.7588749999999997</v>
      </c>
      <c r="X105" s="172">
        <f t="shared" si="7"/>
        <v>0.44579965395730159</v>
      </c>
      <c r="Y105" s="172">
        <f t="shared" si="8"/>
        <v>0.55420034604269841</v>
      </c>
      <c r="Z105" s="173">
        <f t="shared" si="9"/>
        <v>2.7588749999999997</v>
      </c>
      <c r="AA105" s="171">
        <f t="shared" si="102"/>
        <v>0</v>
      </c>
      <c r="AB105" s="171">
        <f t="shared" si="102"/>
        <v>0</v>
      </c>
      <c r="AC105" s="171">
        <f t="shared" si="102"/>
        <v>0</v>
      </c>
      <c r="AD105" s="171">
        <f t="shared" si="102"/>
        <v>0</v>
      </c>
      <c r="AE105" s="171">
        <f t="shared" si="102"/>
        <v>0</v>
      </c>
      <c r="AF105" s="171">
        <f t="shared" si="102"/>
        <v>0.394125</v>
      </c>
      <c r="AG105" s="171">
        <f t="shared" si="102"/>
        <v>0.394125</v>
      </c>
      <c r="AH105" s="171">
        <f t="shared" si="102"/>
        <v>0.394125</v>
      </c>
      <c r="AI105" s="171">
        <f t="shared" si="102"/>
        <v>0.394125</v>
      </c>
      <c r="AJ105" s="171">
        <f t="shared" si="102"/>
        <v>0.394125</v>
      </c>
      <c r="AK105" s="171">
        <f t="shared" si="103"/>
        <v>0.394125</v>
      </c>
      <c r="AL105" s="171">
        <f t="shared" si="103"/>
        <v>0.394125</v>
      </c>
      <c r="AM105" s="171">
        <f t="shared" si="103"/>
        <v>0</v>
      </c>
      <c r="AN105" s="171">
        <f t="shared" si="103"/>
        <v>0</v>
      </c>
      <c r="AO105" s="171">
        <f t="shared" si="103"/>
        <v>0</v>
      </c>
      <c r="AP105" s="171">
        <f t="shared" si="103"/>
        <v>0</v>
      </c>
      <c r="AQ105" s="171">
        <f t="shared" si="103"/>
        <v>0</v>
      </c>
      <c r="AR105" s="171">
        <f t="shared" si="103"/>
        <v>0</v>
      </c>
      <c r="AS105" s="171">
        <f t="shared" si="103"/>
        <v>0</v>
      </c>
      <c r="AT105" s="171">
        <f t="shared" si="103"/>
        <v>0</v>
      </c>
      <c r="AU105" s="171">
        <f t="shared" si="104"/>
        <v>0</v>
      </c>
      <c r="AV105" s="171">
        <f t="shared" si="104"/>
        <v>0</v>
      </c>
      <c r="AW105" s="171">
        <f t="shared" si="104"/>
        <v>0</v>
      </c>
      <c r="AX105" s="171">
        <f t="shared" si="104"/>
        <v>0</v>
      </c>
      <c r="AY105" s="171">
        <f t="shared" si="104"/>
        <v>0</v>
      </c>
      <c r="AZ105" s="171">
        <f t="shared" si="104"/>
        <v>0</v>
      </c>
      <c r="BA105" s="171">
        <f t="shared" si="104"/>
        <v>0</v>
      </c>
      <c r="BB105" s="171">
        <f t="shared" si="104"/>
        <v>0</v>
      </c>
      <c r="BC105" s="171">
        <f t="shared" si="104"/>
        <v>0</v>
      </c>
      <c r="BD105" s="171">
        <f t="shared" si="104"/>
        <v>0</v>
      </c>
      <c r="BE105" s="171">
        <f t="shared" si="105"/>
        <v>0</v>
      </c>
      <c r="BF105" s="171">
        <f t="shared" si="105"/>
        <v>0</v>
      </c>
      <c r="BG105" s="171">
        <f t="shared" si="105"/>
        <v>0</v>
      </c>
      <c r="BH105" s="171">
        <f t="shared" si="105"/>
        <v>0</v>
      </c>
      <c r="BI105" s="171">
        <f t="shared" si="105"/>
        <v>0</v>
      </c>
      <c r="BJ105" s="171">
        <f t="shared" si="105"/>
        <v>0</v>
      </c>
      <c r="BK105" s="171">
        <f t="shared" si="105"/>
        <v>0</v>
      </c>
      <c r="BL105" s="171">
        <f t="shared" si="105"/>
        <v>0</v>
      </c>
      <c r="BM105" s="171">
        <f t="shared" si="105"/>
        <v>0</v>
      </c>
      <c r="BN105" s="171">
        <f t="shared" si="105"/>
        <v>0</v>
      </c>
      <c r="BO105" s="171">
        <f t="shared" si="106"/>
        <v>0</v>
      </c>
      <c r="BP105" s="171">
        <f t="shared" si="106"/>
        <v>0</v>
      </c>
      <c r="BQ105" s="171">
        <f t="shared" si="106"/>
        <v>0</v>
      </c>
      <c r="BR105" s="171">
        <f t="shared" si="106"/>
        <v>0</v>
      </c>
      <c r="BS105" s="171">
        <f t="shared" si="106"/>
        <v>0</v>
      </c>
      <c r="BT105" s="171">
        <f t="shared" si="106"/>
        <v>0</v>
      </c>
      <c r="BU105" s="171">
        <f t="shared" si="106"/>
        <v>0</v>
      </c>
      <c r="BV105" s="171">
        <f t="shared" si="106"/>
        <v>0</v>
      </c>
      <c r="BW105" s="171">
        <f t="shared" si="106"/>
        <v>0</v>
      </c>
      <c r="BX105" s="171">
        <f t="shared" si="106"/>
        <v>0</v>
      </c>
      <c r="BY105" s="171">
        <f t="shared" si="107"/>
        <v>0</v>
      </c>
      <c r="BZ105" s="171">
        <f t="shared" si="107"/>
        <v>0</v>
      </c>
      <c r="CA105" s="171">
        <f t="shared" si="107"/>
        <v>0</v>
      </c>
      <c r="CB105" s="171">
        <f t="shared" si="107"/>
        <v>0</v>
      </c>
      <c r="CC105" s="171">
        <f t="shared" si="107"/>
        <v>0</v>
      </c>
      <c r="CD105" s="171">
        <f t="shared" si="107"/>
        <v>0</v>
      </c>
      <c r="CE105" s="171">
        <f t="shared" si="107"/>
        <v>0</v>
      </c>
      <c r="CF105" s="171">
        <f t="shared" si="107"/>
        <v>0</v>
      </c>
      <c r="CG105" s="171">
        <f t="shared" si="107"/>
        <v>0</v>
      </c>
      <c r="CH105" s="171">
        <f t="shared" si="107"/>
        <v>0</v>
      </c>
      <c r="CI105" s="171">
        <f t="shared" si="107"/>
        <v>0</v>
      </c>
      <c r="CJ105" s="243"/>
      <c r="CK105" s="171">
        <f t="shared" si="16"/>
        <v>0</v>
      </c>
      <c r="CL105" s="171">
        <f t="shared" si="17"/>
        <v>0</v>
      </c>
      <c r="CM105" s="171">
        <f t="shared" si="18"/>
        <v>0</v>
      </c>
      <c r="CN105" s="171">
        <f t="shared" si="19"/>
        <v>0</v>
      </c>
      <c r="CO105" s="171">
        <f t="shared" si="20"/>
        <v>0</v>
      </c>
      <c r="CP105" s="171">
        <f t="shared" si="21"/>
        <v>0.394125</v>
      </c>
      <c r="CQ105" s="171">
        <f t="shared" si="22"/>
        <v>0.394125</v>
      </c>
      <c r="CR105" s="171">
        <f t="shared" si="23"/>
        <v>0.394125</v>
      </c>
      <c r="CS105" s="171">
        <f t="shared" si="24"/>
        <v>0.394125</v>
      </c>
      <c r="CT105" s="171">
        <f t="shared" si="25"/>
        <v>0.394125</v>
      </c>
      <c r="CU105" s="171">
        <f t="shared" si="26"/>
        <v>0.394125</v>
      </c>
      <c r="CV105" s="171">
        <f t="shared" si="27"/>
        <v>0.394125</v>
      </c>
      <c r="CW105" s="171">
        <f t="shared" si="28"/>
        <v>0</v>
      </c>
      <c r="CX105" s="171">
        <f t="shared" si="29"/>
        <v>0</v>
      </c>
      <c r="CY105" s="171">
        <f t="shared" ca="1" si="30"/>
        <v>0</v>
      </c>
      <c r="CZ105" s="171">
        <f t="shared" ca="1" si="31"/>
        <v>0</v>
      </c>
      <c r="DA105" s="171">
        <f t="shared" ca="1" si="32"/>
        <v>0</v>
      </c>
      <c r="DB105" s="171">
        <f t="shared" ca="1" si="33"/>
        <v>0</v>
      </c>
      <c r="DC105" s="171">
        <f t="shared" ca="1" si="34"/>
        <v>0</v>
      </c>
      <c r="DD105" s="171">
        <f t="shared" ca="1" si="35"/>
        <v>0</v>
      </c>
      <c r="DE105" s="171">
        <f t="shared" ca="1" si="36"/>
        <v>0</v>
      </c>
      <c r="DF105" s="171">
        <f t="shared" ca="1" si="37"/>
        <v>0</v>
      </c>
      <c r="DG105" s="171">
        <f t="shared" ca="1" si="38"/>
        <v>0</v>
      </c>
      <c r="DH105" s="171">
        <f t="shared" ca="1" si="39"/>
        <v>0</v>
      </c>
      <c r="DI105" s="171">
        <f t="shared" ca="1" si="40"/>
        <v>0</v>
      </c>
      <c r="DJ105" s="171">
        <f t="shared" ca="1" si="41"/>
        <v>0</v>
      </c>
      <c r="DK105" s="171">
        <f t="shared" ca="1" si="42"/>
        <v>0</v>
      </c>
      <c r="DL105" s="171">
        <f t="shared" ca="1" si="43"/>
        <v>0</v>
      </c>
      <c r="DM105" s="171">
        <f t="shared" ca="1" si="44"/>
        <v>0</v>
      </c>
      <c r="DN105" s="171">
        <f t="shared" ca="1" si="45"/>
        <v>0</v>
      </c>
      <c r="DO105" s="171">
        <f t="shared" ca="1" si="46"/>
        <v>0</v>
      </c>
      <c r="DP105" s="171">
        <f t="shared" ca="1" si="47"/>
        <v>0</v>
      </c>
      <c r="DQ105" s="171">
        <f t="shared" ca="1" si="48"/>
        <v>0</v>
      </c>
      <c r="DR105" s="171">
        <f t="shared" ca="1" si="49"/>
        <v>0</v>
      </c>
      <c r="DS105" s="171">
        <f t="shared" ca="1" si="50"/>
        <v>0</v>
      </c>
      <c r="DT105" s="171">
        <f t="shared" ca="1" si="51"/>
        <v>0</v>
      </c>
      <c r="DU105" s="171">
        <f t="shared" ca="1" si="52"/>
        <v>0</v>
      </c>
      <c r="DV105" s="171">
        <f t="shared" ca="1" si="53"/>
        <v>0</v>
      </c>
      <c r="DW105" s="171">
        <f t="shared" ca="1" si="54"/>
        <v>0</v>
      </c>
      <c r="DX105" s="171">
        <f t="shared" ca="1" si="55"/>
        <v>0</v>
      </c>
      <c r="DY105" s="171">
        <f t="shared" ca="1" si="56"/>
        <v>0</v>
      </c>
      <c r="DZ105" s="171">
        <f t="shared" ca="1" si="57"/>
        <v>0</v>
      </c>
      <c r="EA105" s="171">
        <f t="shared" ca="1" si="58"/>
        <v>0</v>
      </c>
      <c r="EB105" s="171">
        <f t="shared" ca="1" si="59"/>
        <v>0</v>
      </c>
      <c r="EC105" s="171">
        <f t="shared" ca="1" si="60"/>
        <v>0</v>
      </c>
      <c r="ED105" s="171">
        <f t="shared" ca="1" si="61"/>
        <v>0</v>
      </c>
      <c r="EE105" s="171">
        <f t="shared" ca="1" si="62"/>
        <v>0</v>
      </c>
      <c r="EF105" s="171">
        <f t="shared" ca="1" si="63"/>
        <v>0</v>
      </c>
      <c r="EG105" s="171">
        <f t="shared" ca="1" si="64"/>
        <v>0</v>
      </c>
      <c r="EH105" s="171">
        <f t="shared" ca="1" si="65"/>
        <v>0</v>
      </c>
      <c r="EI105" s="171">
        <f t="shared" ca="1" si="66"/>
        <v>0</v>
      </c>
      <c r="EJ105" s="171">
        <f t="shared" ca="1" si="67"/>
        <v>0</v>
      </c>
      <c r="EK105" s="171">
        <f t="shared" ca="1" si="68"/>
        <v>0</v>
      </c>
      <c r="EL105" s="171">
        <f t="shared" ca="1" si="69"/>
        <v>0</v>
      </c>
      <c r="EM105" s="171">
        <f t="shared" ca="1" si="70"/>
        <v>0</v>
      </c>
      <c r="EN105" s="171">
        <f t="shared" ca="1" si="71"/>
        <v>0</v>
      </c>
      <c r="EO105" s="171">
        <f t="shared" ca="1" si="72"/>
        <v>0</v>
      </c>
      <c r="EP105" s="171">
        <f t="shared" ca="1" si="73"/>
        <v>0</v>
      </c>
      <c r="EQ105" s="171">
        <f t="shared" ca="1" si="74"/>
        <v>0</v>
      </c>
      <c r="ER105" s="171">
        <f t="shared" ca="1" si="75"/>
        <v>0</v>
      </c>
      <c r="ES105" s="171">
        <f t="shared" ca="1" si="76"/>
        <v>0</v>
      </c>
    </row>
    <row r="106" spans="1:149">
      <c r="A106" s="139" t="s">
        <v>469</v>
      </c>
      <c r="B106" s="174" t="s">
        <v>473</v>
      </c>
      <c r="C106" s="160" t="s">
        <v>470</v>
      </c>
      <c r="D106" s="160" t="s">
        <v>394</v>
      </c>
      <c r="E106" s="160">
        <v>2015</v>
      </c>
      <c r="F106" s="160" t="s">
        <v>424</v>
      </c>
      <c r="G106" s="160" t="s">
        <v>289</v>
      </c>
      <c r="H106" s="160" t="s">
        <v>406</v>
      </c>
      <c r="I106" s="160" t="s">
        <v>365</v>
      </c>
      <c r="J106" s="160" t="s">
        <v>401</v>
      </c>
      <c r="K106" s="187">
        <v>30.6</v>
      </c>
      <c r="L106" s="163" t="s">
        <v>110</v>
      </c>
      <c r="M106" s="164">
        <f t="shared" si="0"/>
        <v>30.6</v>
      </c>
      <c r="N106" s="164">
        <f t="shared" si="1"/>
        <v>30.6</v>
      </c>
      <c r="O106" s="165">
        <f t="shared" si="2"/>
        <v>1</v>
      </c>
      <c r="P106" s="176">
        <v>5.2999999999999999E-2</v>
      </c>
      <c r="Q106" s="177">
        <v>50</v>
      </c>
      <c r="R106" s="168">
        <f t="shared" si="95"/>
        <v>41</v>
      </c>
      <c r="S106" s="178">
        <v>0</v>
      </c>
      <c r="T106" s="160" t="s">
        <v>289</v>
      </c>
      <c r="U106" s="171">
        <f t="shared" si="4"/>
        <v>1.6542359999999985</v>
      </c>
      <c r="V106" s="171">
        <f t="shared" ca="1" si="5"/>
        <v>0.83150919261692124</v>
      </c>
      <c r="W106" s="171">
        <f t="shared" ca="1" si="6"/>
        <v>41.575459630846062</v>
      </c>
      <c r="X106" s="172" t="str">
        <f t="shared" si="7"/>
        <v>Equity</v>
      </c>
      <c r="Y106" s="172" t="str">
        <f t="shared" si="8"/>
        <v>Equity</v>
      </c>
      <c r="Z106" s="173">
        <f t="shared" si="9"/>
        <v>82.711799999999926</v>
      </c>
      <c r="AA106" s="171">
        <f t="shared" si="102"/>
        <v>0</v>
      </c>
      <c r="AB106" s="171">
        <f t="shared" si="102"/>
        <v>0</v>
      </c>
      <c r="AC106" s="171">
        <f t="shared" si="102"/>
        <v>0</v>
      </c>
      <c r="AD106" s="171">
        <f t="shared" si="102"/>
        <v>0</v>
      </c>
      <c r="AE106" s="171">
        <f t="shared" si="102"/>
        <v>0</v>
      </c>
      <c r="AF106" s="171">
        <f t="shared" si="102"/>
        <v>1.6218000000000001</v>
      </c>
      <c r="AG106" s="171">
        <f t="shared" si="102"/>
        <v>1.6218000000000001</v>
      </c>
      <c r="AH106" s="171">
        <f t="shared" si="102"/>
        <v>1.6218000000000001</v>
      </c>
      <c r="AI106" s="171">
        <f t="shared" si="102"/>
        <v>1.6218000000000001</v>
      </c>
      <c r="AJ106" s="171">
        <f t="shared" si="102"/>
        <v>1.6218000000000001</v>
      </c>
      <c r="AK106" s="171">
        <f t="shared" si="103"/>
        <v>1.6218000000000001</v>
      </c>
      <c r="AL106" s="171">
        <f t="shared" si="103"/>
        <v>1.6218000000000001</v>
      </c>
      <c r="AM106" s="171">
        <f t="shared" si="103"/>
        <v>1.6218000000000001</v>
      </c>
      <c r="AN106" s="171">
        <f t="shared" si="103"/>
        <v>1.6218000000000001</v>
      </c>
      <c r="AO106" s="171">
        <f t="shared" si="103"/>
        <v>1.6218000000000001</v>
      </c>
      <c r="AP106" s="171">
        <f t="shared" si="103"/>
        <v>1.6218000000000001</v>
      </c>
      <c r="AQ106" s="171">
        <f t="shared" si="103"/>
        <v>1.6218000000000001</v>
      </c>
      <c r="AR106" s="171">
        <f t="shared" si="103"/>
        <v>1.6218000000000001</v>
      </c>
      <c r="AS106" s="171">
        <f t="shared" si="103"/>
        <v>1.6218000000000001</v>
      </c>
      <c r="AT106" s="171">
        <f t="shared" si="103"/>
        <v>1.6218000000000001</v>
      </c>
      <c r="AU106" s="171">
        <f t="shared" si="104"/>
        <v>1.6218000000000001</v>
      </c>
      <c r="AV106" s="171">
        <f t="shared" si="104"/>
        <v>1.6218000000000001</v>
      </c>
      <c r="AW106" s="171">
        <f t="shared" si="104"/>
        <v>1.6218000000000001</v>
      </c>
      <c r="AX106" s="171">
        <f t="shared" si="104"/>
        <v>1.6218000000000001</v>
      </c>
      <c r="AY106" s="171">
        <f t="shared" si="104"/>
        <v>1.6218000000000001</v>
      </c>
      <c r="AZ106" s="171">
        <f t="shared" si="104"/>
        <v>1.6218000000000001</v>
      </c>
      <c r="BA106" s="171">
        <f t="shared" si="104"/>
        <v>1.6218000000000001</v>
      </c>
      <c r="BB106" s="171">
        <f t="shared" si="104"/>
        <v>1.6218000000000001</v>
      </c>
      <c r="BC106" s="171">
        <f t="shared" si="104"/>
        <v>1.6218000000000001</v>
      </c>
      <c r="BD106" s="171">
        <f t="shared" si="104"/>
        <v>1.6218000000000001</v>
      </c>
      <c r="BE106" s="171">
        <f t="shared" si="105"/>
        <v>1.6218000000000001</v>
      </c>
      <c r="BF106" s="171">
        <f t="shared" si="105"/>
        <v>1.6218000000000001</v>
      </c>
      <c r="BG106" s="171">
        <f t="shared" si="105"/>
        <v>1.6218000000000001</v>
      </c>
      <c r="BH106" s="171">
        <f t="shared" si="105"/>
        <v>1.6218000000000001</v>
      </c>
      <c r="BI106" s="171">
        <f t="shared" si="105"/>
        <v>1.6218000000000001</v>
      </c>
      <c r="BJ106" s="171">
        <f t="shared" si="105"/>
        <v>1.6218000000000001</v>
      </c>
      <c r="BK106" s="171">
        <f t="shared" si="105"/>
        <v>1.6218000000000001</v>
      </c>
      <c r="BL106" s="171">
        <f t="shared" si="105"/>
        <v>1.6218000000000001</v>
      </c>
      <c r="BM106" s="171">
        <f t="shared" si="105"/>
        <v>1.6218000000000001</v>
      </c>
      <c r="BN106" s="171">
        <f t="shared" si="105"/>
        <v>1.6218000000000001</v>
      </c>
      <c r="BO106" s="171">
        <f t="shared" si="106"/>
        <v>1.6218000000000001</v>
      </c>
      <c r="BP106" s="171">
        <f t="shared" si="106"/>
        <v>1.6218000000000001</v>
      </c>
      <c r="BQ106" s="171">
        <f t="shared" si="106"/>
        <v>1.6218000000000001</v>
      </c>
      <c r="BR106" s="171">
        <f t="shared" si="106"/>
        <v>1.6218000000000001</v>
      </c>
      <c r="BS106" s="171">
        <f t="shared" si="106"/>
        <v>1.6218000000000001</v>
      </c>
      <c r="BT106" s="171">
        <f t="shared" si="106"/>
        <v>1.6218000000000001</v>
      </c>
      <c r="BU106" s="171">
        <f t="shared" si="106"/>
        <v>1.6218000000000001</v>
      </c>
      <c r="BV106" s="171">
        <f t="shared" si="106"/>
        <v>1.6218000000000001</v>
      </c>
      <c r="BW106" s="171">
        <f t="shared" si="106"/>
        <v>1.6218000000000001</v>
      </c>
      <c r="BX106" s="171">
        <f t="shared" si="106"/>
        <v>1.6218000000000001</v>
      </c>
      <c r="BY106" s="171">
        <f t="shared" si="107"/>
        <v>1.6218000000000001</v>
      </c>
      <c r="BZ106" s="171">
        <f t="shared" si="107"/>
        <v>1.6218000000000001</v>
      </c>
      <c r="CA106" s="171">
        <f t="shared" si="107"/>
        <v>1.6218000000000001</v>
      </c>
      <c r="CB106" s="171">
        <f t="shared" si="107"/>
        <v>1.6218000000000001</v>
      </c>
      <c r="CC106" s="171">
        <f t="shared" si="107"/>
        <v>1.6218000000000001</v>
      </c>
      <c r="CD106" s="171">
        <f t="shared" si="107"/>
        <v>1.6218000000000001</v>
      </c>
      <c r="CE106" s="171">
        <f t="shared" si="107"/>
        <v>0</v>
      </c>
      <c r="CF106" s="171">
        <f t="shared" si="107"/>
        <v>0</v>
      </c>
      <c r="CG106" s="171">
        <f t="shared" si="107"/>
        <v>0</v>
      </c>
      <c r="CH106" s="171">
        <f t="shared" si="107"/>
        <v>0</v>
      </c>
      <c r="CI106" s="171">
        <f t="shared" si="107"/>
        <v>0</v>
      </c>
      <c r="CJ106" s="243"/>
      <c r="CK106" s="171">
        <f t="shared" si="16"/>
        <v>0</v>
      </c>
      <c r="CL106" s="171">
        <f t="shared" si="17"/>
        <v>0</v>
      </c>
      <c r="CM106" s="171">
        <f t="shared" si="18"/>
        <v>0</v>
      </c>
      <c r="CN106" s="171">
        <f t="shared" si="19"/>
        <v>0</v>
      </c>
      <c r="CO106" s="171">
        <f t="shared" si="20"/>
        <v>0</v>
      </c>
      <c r="CP106" s="171">
        <f t="shared" si="21"/>
        <v>1.6218000000000001</v>
      </c>
      <c r="CQ106" s="171">
        <f t="shared" si="22"/>
        <v>1.6218000000000001</v>
      </c>
      <c r="CR106" s="171">
        <f t="shared" si="23"/>
        <v>1.6218000000000001</v>
      </c>
      <c r="CS106" s="171">
        <f t="shared" si="24"/>
        <v>1.6218000000000001</v>
      </c>
      <c r="CT106" s="171">
        <f t="shared" si="25"/>
        <v>1.6218000000000001</v>
      </c>
      <c r="CU106" s="171">
        <f t="shared" si="26"/>
        <v>1.6218000000000001</v>
      </c>
      <c r="CV106" s="171">
        <f t="shared" si="27"/>
        <v>1.6218000000000001</v>
      </c>
      <c r="CW106" s="171">
        <f t="shared" si="28"/>
        <v>1.6218000000000001</v>
      </c>
      <c r="CX106" s="171">
        <f t="shared" si="29"/>
        <v>1.6218000000000001</v>
      </c>
      <c r="CY106" s="171">
        <f t="shared" ca="1" si="30"/>
        <v>1.5396836759206722</v>
      </c>
      <c r="CZ106" s="171">
        <f t="shared" ca="1" si="31"/>
        <v>1.4617251337381878</v>
      </c>
      <c r="DA106" s="171">
        <f t="shared" ca="1" si="32"/>
        <v>1.3877138531875994</v>
      </c>
      <c r="DB106" s="171">
        <f t="shared" ca="1" si="33"/>
        <v>1.3174499732407958</v>
      </c>
      <c r="DC106" s="171">
        <f t="shared" ca="1" si="34"/>
        <v>1.2507437523991733</v>
      </c>
      <c r="DD106" s="171">
        <f t="shared" ca="1" si="35"/>
        <v>1.1874150563132162</v>
      </c>
      <c r="DE106" s="171">
        <f t="shared" ca="1" si="36"/>
        <v>1.1272928713453474</v>
      </c>
      <c r="DF106" s="171">
        <f t="shared" ca="1" si="37"/>
        <v>1.07021484276247</v>
      </c>
      <c r="DG106" s="171">
        <f t="shared" ca="1" si="38"/>
        <v>1.0160268363111258</v>
      </c>
      <c r="DH106" s="171">
        <f t="shared" ca="1" si="39"/>
        <v>0.96458252199134598</v>
      </c>
      <c r="DI106" s="171">
        <f t="shared" ca="1" si="40"/>
        <v>0.91574297890520906</v>
      </c>
      <c r="DJ106" s="171">
        <f t="shared" ca="1" si="41"/>
        <v>0.86937632011303401</v>
      </c>
      <c r="DK106" s="171">
        <f t="shared" ca="1" si="42"/>
        <v>0.82535733648416754</v>
      </c>
      <c r="DL106" s="171">
        <f t="shared" ca="1" si="43"/>
        <v>0.78356715858061288</v>
      </c>
      <c r="DM106" s="171">
        <f t="shared" ca="1" si="44"/>
        <v>0.74389293566044778</v>
      </c>
      <c r="DN106" s="171">
        <f t="shared" ca="1" si="45"/>
        <v>0.70622753093420776</v>
      </c>
      <c r="DO106" s="171">
        <f t="shared" ca="1" si="46"/>
        <v>0.67046923225130173</v>
      </c>
      <c r="DP106" s="171">
        <f t="shared" ca="1" si="47"/>
        <v>0.63652147743519227</v>
      </c>
      <c r="DQ106" s="171">
        <f t="shared" ca="1" si="48"/>
        <v>0.60429259352563447</v>
      </c>
      <c r="DR106" s="171">
        <f t="shared" ca="1" si="49"/>
        <v>0.57369554922381627</v>
      </c>
      <c r="DS106" s="171">
        <f t="shared" ca="1" si="50"/>
        <v>0.54464771987190419</v>
      </c>
      <c r="DT106" s="171">
        <f t="shared" ca="1" si="51"/>
        <v>0.51707066433233806</v>
      </c>
      <c r="DU106" s="171">
        <f t="shared" ca="1" si="52"/>
        <v>0.49088991316435943</v>
      </c>
      <c r="DV106" s="171">
        <f t="shared" ca="1" si="53"/>
        <v>0.46603476752576178</v>
      </c>
      <c r="DW106" s="171">
        <f t="shared" ca="1" si="54"/>
        <v>0.4424381082568139</v>
      </c>
      <c r="DX106" s="171">
        <f t="shared" ca="1" si="55"/>
        <v>0.42003621463080493</v>
      </c>
      <c r="DY106" s="171">
        <f t="shared" ca="1" si="56"/>
        <v>0.39876859228176226</v>
      </c>
      <c r="DZ106" s="171">
        <f t="shared" ca="1" si="57"/>
        <v>0.37857780984467593</v>
      </c>
      <c r="EA106" s="171">
        <f t="shared" ca="1" si="58"/>
        <v>0.35940934386709072</v>
      </c>
      <c r="EB106" s="171">
        <f t="shared" ca="1" si="59"/>
        <v>0.34121143157326367</v>
      </c>
      <c r="EC106" s="171">
        <f t="shared" ca="1" si="60"/>
        <v>0.32393493108328858</v>
      </c>
      <c r="ED106" s="171">
        <f t="shared" ca="1" si="61"/>
        <v>0.30753318870972207</v>
      </c>
      <c r="EE106" s="171">
        <f t="shared" ca="1" si="62"/>
        <v>0.29196191297335711</v>
      </c>
      <c r="EF106" s="171">
        <f t="shared" ca="1" si="63"/>
        <v>0.27717905499793427</v>
      </c>
      <c r="EG106" s="171">
        <f t="shared" ca="1" si="64"/>
        <v>0.26314469496080745</v>
      </c>
      <c r="EH106" s="171">
        <f t="shared" ca="1" si="65"/>
        <v>0.24982093429293373</v>
      </c>
      <c r="EI106" s="171">
        <f t="shared" ca="1" si="66"/>
        <v>0.23717179333708277</v>
      </c>
      <c r="EJ106" s="171">
        <f t="shared" ca="1" si="67"/>
        <v>0.22516311418790083</v>
      </c>
      <c r="EK106" s="171">
        <f t="shared" ca="1" si="68"/>
        <v>0.2137624684514571</v>
      </c>
      <c r="EL106" s="171">
        <f t="shared" ca="1" si="69"/>
        <v>0.20293906967518568</v>
      </c>
      <c r="EM106" s="171">
        <f t="shared" ca="1" si="70"/>
        <v>0.19266369021174701</v>
      </c>
      <c r="EN106" s="171">
        <f t="shared" ca="1" si="71"/>
        <v>0.18290858229230744</v>
      </c>
      <c r="EO106" s="171">
        <f t="shared" ca="1" si="72"/>
        <v>0</v>
      </c>
      <c r="EP106" s="171">
        <f t="shared" ca="1" si="73"/>
        <v>0</v>
      </c>
      <c r="EQ106" s="171">
        <f t="shared" ca="1" si="74"/>
        <v>0</v>
      </c>
      <c r="ER106" s="171">
        <f t="shared" ca="1" si="75"/>
        <v>0</v>
      </c>
      <c r="ES106" s="171">
        <f t="shared" ca="1" si="76"/>
        <v>0</v>
      </c>
    </row>
    <row r="107" spans="1:149">
      <c r="A107" s="139" t="s">
        <v>469</v>
      </c>
      <c r="B107" s="160" t="s">
        <v>430</v>
      </c>
      <c r="C107" s="160" t="s">
        <v>470</v>
      </c>
      <c r="D107" s="160" t="s">
        <v>394</v>
      </c>
      <c r="E107" s="160">
        <v>2015</v>
      </c>
      <c r="F107" s="160" t="s">
        <v>395</v>
      </c>
      <c r="G107" s="160" t="s">
        <v>402</v>
      </c>
      <c r="H107" s="160" t="s">
        <v>396</v>
      </c>
      <c r="I107" s="160" t="s">
        <v>178</v>
      </c>
      <c r="J107" s="160" t="s">
        <v>407</v>
      </c>
      <c r="K107" s="187">
        <v>12.5</v>
      </c>
      <c r="L107" s="163" t="s">
        <v>110</v>
      </c>
      <c r="M107" s="164">
        <f t="shared" si="0"/>
        <v>12.5</v>
      </c>
      <c r="N107" s="164">
        <f t="shared" si="1"/>
        <v>12.5</v>
      </c>
      <c r="O107" s="165">
        <f t="shared" si="2"/>
        <v>1</v>
      </c>
      <c r="P107" s="190">
        <v>4.9550000000000004E-2</v>
      </c>
      <c r="Q107" s="191">
        <v>8</v>
      </c>
      <c r="R107" s="168">
        <f t="shared" si="95"/>
        <v>0</v>
      </c>
      <c r="S107" s="183">
        <v>6.5156108439612517</v>
      </c>
      <c r="T107" s="170" t="s">
        <v>403</v>
      </c>
      <c r="U107" s="171">
        <f t="shared" si="4"/>
        <v>1.909691622343342</v>
      </c>
      <c r="V107" s="171">
        <f t="shared" ca="1" si="5"/>
        <v>1.909691622343342</v>
      </c>
      <c r="W107" s="171">
        <f t="shared" ca="1" si="6"/>
        <v>15.277532978746736</v>
      </c>
      <c r="X107" s="172">
        <f t="shared" si="7"/>
        <v>0.40091761888562671</v>
      </c>
      <c r="Y107" s="172">
        <f t="shared" si="8"/>
        <v>0.59908238111437329</v>
      </c>
      <c r="Z107" s="173">
        <f t="shared" si="9"/>
        <v>15.277532978746736</v>
      </c>
      <c r="AA107" s="171">
        <f t="shared" si="102"/>
        <v>0</v>
      </c>
      <c r="AB107" s="171">
        <f t="shared" si="102"/>
        <v>0</v>
      </c>
      <c r="AC107" s="171">
        <f t="shared" si="102"/>
        <v>0</v>
      </c>
      <c r="AD107" s="171">
        <f t="shared" si="102"/>
        <v>0</v>
      </c>
      <c r="AE107" s="171">
        <f t="shared" si="102"/>
        <v>0</v>
      </c>
      <c r="AF107" s="171">
        <f t="shared" si="102"/>
        <v>0.61937500000000001</v>
      </c>
      <c r="AG107" s="171">
        <f t="shared" si="102"/>
        <v>0.61937500000000001</v>
      </c>
      <c r="AH107" s="171">
        <f t="shared" si="102"/>
        <v>0.61937500000000001</v>
      </c>
      <c r="AI107" s="171">
        <f t="shared" si="102"/>
        <v>0.61937500000000001</v>
      </c>
      <c r="AJ107" s="171">
        <f t="shared" si="102"/>
        <v>0.61937500000000001</v>
      </c>
      <c r="AK107" s="171">
        <f t="shared" si="103"/>
        <v>0.61937500000000001</v>
      </c>
      <c r="AL107" s="171">
        <f t="shared" si="103"/>
        <v>0.61937500000000001</v>
      </c>
      <c r="AM107" s="171">
        <f t="shared" si="103"/>
        <v>5.4709539893733687</v>
      </c>
      <c r="AN107" s="171">
        <f t="shared" si="103"/>
        <v>5.4709539893733687</v>
      </c>
      <c r="AO107" s="171">
        <f t="shared" si="103"/>
        <v>0</v>
      </c>
      <c r="AP107" s="171">
        <f t="shared" si="103"/>
        <v>0</v>
      </c>
      <c r="AQ107" s="171">
        <f t="shared" si="103"/>
        <v>0</v>
      </c>
      <c r="AR107" s="171">
        <f t="shared" si="103"/>
        <v>0</v>
      </c>
      <c r="AS107" s="171">
        <f t="shared" si="103"/>
        <v>0</v>
      </c>
      <c r="AT107" s="171">
        <f t="shared" si="103"/>
        <v>0</v>
      </c>
      <c r="AU107" s="171">
        <f t="shared" si="104"/>
        <v>0</v>
      </c>
      <c r="AV107" s="171">
        <f t="shared" si="104"/>
        <v>0</v>
      </c>
      <c r="AW107" s="171">
        <f t="shared" si="104"/>
        <v>0</v>
      </c>
      <c r="AX107" s="171">
        <f t="shared" si="104"/>
        <v>0</v>
      </c>
      <c r="AY107" s="171">
        <f t="shared" si="104"/>
        <v>0</v>
      </c>
      <c r="AZ107" s="171">
        <f t="shared" si="104"/>
        <v>0</v>
      </c>
      <c r="BA107" s="171">
        <f t="shared" si="104"/>
        <v>0</v>
      </c>
      <c r="BB107" s="171">
        <f t="shared" si="104"/>
        <v>0</v>
      </c>
      <c r="BC107" s="171">
        <f t="shared" si="104"/>
        <v>0</v>
      </c>
      <c r="BD107" s="171">
        <f t="shared" si="104"/>
        <v>0</v>
      </c>
      <c r="BE107" s="171">
        <f t="shared" si="105"/>
        <v>0</v>
      </c>
      <c r="BF107" s="171">
        <f t="shared" si="105"/>
        <v>0</v>
      </c>
      <c r="BG107" s="171">
        <f t="shared" si="105"/>
        <v>0</v>
      </c>
      <c r="BH107" s="171">
        <f t="shared" si="105"/>
        <v>0</v>
      </c>
      <c r="BI107" s="171">
        <f t="shared" si="105"/>
        <v>0</v>
      </c>
      <c r="BJ107" s="171">
        <f t="shared" si="105"/>
        <v>0</v>
      </c>
      <c r="BK107" s="171">
        <f t="shared" si="105"/>
        <v>0</v>
      </c>
      <c r="BL107" s="171">
        <f t="shared" si="105"/>
        <v>0</v>
      </c>
      <c r="BM107" s="171">
        <f t="shared" si="105"/>
        <v>0</v>
      </c>
      <c r="BN107" s="171">
        <f t="shared" si="105"/>
        <v>0</v>
      </c>
      <c r="BO107" s="171">
        <f t="shared" si="106"/>
        <v>0</v>
      </c>
      <c r="BP107" s="171">
        <f t="shared" si="106"/>
        <v>0</v>
      </c>
      <c r="BQ107" s="171">
        <f t="shared" si="106"/>
        <v>0</v>
      </c>
      <c r="BR107" s="171">
        <f t="shared" si="106"/>
        <v>0</v>
      </c>
      <c r="BS107" s="171">
        <f t="shared" si="106"/>
        <v>0</v>
      </c>
      <c r="BT107" s="171">
        <f t="shared" si="106"/>
        <v>0</v>
      </c>
      <c r="BU107" s="171">
        <f t="shared" si="106"/>
        <v>0</v>
      </c>
      <c r="BV107" s="171">
        <f t="shared" si="106"/>
        <v>0</v>
      </c>
      <c r="BW107" s="171">
        <f t="shared" si="106"/>
        <v>0</v>
      </c>
      <c r="BX107" s="171">
        <f t="shared" si="106"/>
        <v>0</v>
      </c>
      <c r="BY107" s="171">
        <f t="shared" si="107"/>
        <v>0</v>
      </c>
      <c r="BZ107" s="171">
        <f t="shared" si="107"/>
        <v>0</v>
      </c>
      <c r="CA107" s="171">
        <f t="shared" si="107"/>
        <v>0</v>
      </c>
      <c r="CB107" s="171">
        <f t="shared" si="107"/>
        <v>0</v>
      </c>
      <c r="CC107" s="171">
        <f t="shared" si="107"/>
        <v>0</v>
      </c>
      <c r="CD107" s="171">
        <f t="shared" si="107"/>
        <v>0</v>
      </c>
      <c r="CE107" s="171">
        <f t="shared" si="107"/>
        <v>0</v>
      </c>
      <c r="CF107" s="171">
        <f t="shared" si="107"/>
        <v>0</v>
      </c>
      <c r="CG107" s="171">
        <f t="shared" si="107"/>
        <v>0</v>
      </c>
      <c r="CH107" s="171">
        <f t="shared" si="107"/>
        <v>0</v>
      </c>
      <c r="CI107" s="171">
        <f t="shared" si="107"/>
        <v>0</v>
      </c>
      <c r="CJ107" s="243"/>
      <c r="CK107" s="171">
        <f t="shared" si="16"/>
        <v>0</v>
      </c>
      <c r="CL107" s="171">
        <f t="shared" si="17"/>
        <v>0</v>
      </c>
      <c r="CM107" s="171">
        <f t="shared" si="18"/>
        <v>0</v>
      </c>
      <c r="CN107" s="171">
        <f t="shared" si="19"/>
        <v>0</v>
      </c>
      <c r="CO107" s="171">
        <f t="shared" si="20"/>
        <v>0</v>
      </c>
      <c r="CP107" s="171">
        <f t="shared" si="21"/>
        <v>0.61937500000000001</v>
      </c>
      <c r="CQ107" s="171">
        <f t="shared" si="22"/>
        <v>0.61937500000000001</v>
      </c>
      <c r="CR107" s="171">
        <f t="shared" si="23"/>
        <v>0.61937500000000001</v>
      </c>
      <c r="CS107" s="171">
        <f t="shared" si="24"/>
        <v>0.61937500000000001</v>
      </c>
      <c r="CT107" s="171">
        <f t="shared" si="25"/>
        <v>0.61937500000000001</v>
      </c>
      <c r="CU107" s="171">
        <f t="shared" si="26"/>
        <v>0.61937500000000001</v>
      </c>
      <c r="CV107" s="171">
        <f t="shared" si="27"/>
        <v>0.61937500000000001</v>
      </c>
      <c r="CW107" s="171">
        <f t="shared" si="28"/>
        <v>5.4709539893733687</v>
      </c>
      <c r="CX107" s="171">
        <f t="shared" si="29"/>
        <v>5.4709539893733687</v>
      </c>
      <c r="CY107" s="171">
        <f t="shared" ca="1" si="30"/>
        <v>0</v>
      </c>
      <c r="CZ107" s="171">
        <f t="shared" ca="1" si="31"/>
        <v>0</v>
      </c>
      <c r="DA107" s="171">
        <f t="shared" ca="1" si="32"/>
        <v>0</v>
      </c>
      <c r="DB107" s="171">
        <f t="shared" ca="1" si="33"/>
        <v>0</v>
      </c>
      <c r="DC107" s="171">
        <f t="shared" ca="1" si="34"/>
        <v>0</v>
      </c>
      <c r="DD107" s="171">
        <f t="shared" ca="1" si="35"/>
        <v>0</v>
      </c>
      <c r="DE107" s="171">
        <f t="shared" ca="1" si="36"/>
        <v>0</v>
      </c>
      <c r="DF107" s="171">
        <f t="shared" ca="1" si="37"/>
        <v>0</v>
      </c>
      <c r="DG107" s="171">
        <f t="shared" ca="1" si="38"/>
        <v>0</v>
      </c>
      <c r="DH107" s="171">
        <f t="shared" ca="1" si="39"/>
        <v>0</v>
      </c>
      <c r="DI107" s="171">
        <f t="shared" ca="1" si="40"/>
        <v>0</v>
      </c>
      <c r="DJ107" s="171">
        <f t="shared" ca="1" si="41"/>
        <v>0</v>
      </c>
      <c r="DK107" s="171">
        <f t="shared" ca="1" si="42"/>
        <v>0</v>
      </c>
      <c r="DL107" s="171">
        <f t="shared" ca="1" si="43"/>
        <v>0</v>
      </c>
      <c r="DM107" s="171">
        <f t="shared" ca="1" si="44"/>
        <v>0</v>
      </c>
      <c r="DN107" s="171">
        <f t="shared" ca="1" si="45"/>
        <v>0</v>
      </c>
      <c r="DO107" s="171">
        <f t="shared" ca="1" si="46"/>
        <v>0</v>
      </c>
      <c r="DP107" s="171">
        <f t="shared" ca="1" si="47"/>
        <v>0</v>
      </c>
      <c r="DQ107" s="171">
        <f t="shared" ca="1" si="48"/>
        <v>0</v>
      </c>
      <c r="DR107" s="171">
        <f t="shared" ca="1" si="49"/>
        <v>0</v>
      </c>
      <c r="DS107" s="171">
        <f t="shared" ca="1" si="50"/>
        <v>0</v>
      </c>
      <c r="DT107" s="171">
        <f t="shared" ca="1" si="51"/>
        <v>0</v>
      </c>
      <c r="DU107" s="171">
        <f t="shared" ca="1" si="52"/>
        <v>0</v>
      </c>
      <c r="DV107" s="171">
        <f t="shared" ca="1" si="53"/>
        <v>0</v>
      </c>
      <c r="DW107" s="171">
        <f t="shared" ca="1" si="54"/>
        <v>0</v>
      </c>
      <c r="DX107" s="171">
        <f t="shared" ca="1" si="55"/>
        <v>0</v>
      </c>
      <c r="DY107" s="171">
        <f t="shared" ca="1" si="56"/>
        <v>0</v>
      </c>
      <c r="DZ107" s="171">
        <f t="shared" ca="1" si="57"/>
        <v>0</v>
      </c>
      <c r="EA107" s="171">
        <f t="shared" ca="1" si="58"/>
        <v>0</v>
      </c>
      <c r="EB107" s="171">
        <f t="shared" ca="1" si="59"/>
        <v>0</v>
      </c>
      <c r="EC107" s="171">
        <f t="shared" ca="1" si="60"/>
        <v>0</v>
      </c>
      <c r="ED107" s="171">
        <f t="shared" ca="1" si="61"/>
        <v>0</v>
      </c>
      <c r="EE107" s="171">
        <f t="shared" ca="1" si="62"/>
        <v>0</v>
      </c>
      <c r="EF107" s="171">
        <f t="shared" ca="1" si="63"/>
        <v>0</v>
      </c>
      <c r="EG107" s="171">
        <f t="shared" ca="1" si="64"/>
        <v>0</v>
      </c>
      <c r="EH107" s="171">
        <f t="shared" ca="1" si="65"/>
        <v>0</v>
      </c>
      <c r="EI107" s="171">
        <f t="shared" ca="1" si="66"/>
        <v>0</v>
      </c>
      <c r="EJ107" s="171">
        <f t="shared" ca="1" si="67"/>
        <v>0</v>
      </c>
      <c r="EK107" s="171">
        <f t="shared" ca="1" si="68"/>
        <v>0</v>
      </c>
      <c r="EL107" s="171">
        <f t="shared" ca="1" si="69"/>
        <v>0</v>
      </c>
      <c r="EM107" s="171">
        <f t="shared" ca="1" si="70"/>
        <v>0</v>
      </c>
      <c r="EN107" s="171">
        <f t="shared" ca="1" si="71"/>
        <v>0</v>
      </c>
      <c r="EO107" s="171">
        <f t="shared" ca="1" si="72"/>
        <v>0</v>
      </c>
      <c r="EP107" s="171">
        <f t="shared" ca="1" si="73"/>
        <v>0</v>
      </c>
      <c r="EQ107" s="171">
        <f t="shared" ca="1" si="74"/>
        <v>0</v>
      </c>
      <c r="ER107" s="171">
        <f t="shared" ca="1" si="75"/>
        <v>0</v>
      </c>
      <c r="ES107" s="171">
        <f t="shared" ca="1" si="76"/>
        <v>0</v>
      </c>
    </row>
    <row r="108" spans="1:149">
      <c r="A108" s="139" t="s">
        <v>474</v>
      </c>
      <c r="B108" s="160" t="s">
        <v>475</v>
      </c>
      <c r="C108" s="160" t="s">
        <v>17</v>
      </c>
      <c r="D108" s="160" t="s">
        <v>417</v>
      </c>
      <c r="E108" s="160">
        <v>2013</v>
      </c>
      <c r="F108" s="160" t="s">
        <v>405</v>
      </c>
      <c r="G108" s="160" t="s">
        <v>402</v>
      </c>
      <c r="H108" s="160" t="s">
        <v>406</v>
      </c>
      <c r="I108" s="160" t="s">
        <v>184</v>
      </c>
      <c r="J108" s="160" t="s">
        <v>407</v>
      </c>
      <c r="K108" s="187">
        <v>100</v>
      </c>
      <c r="L108" s="163" t="s">
        <v>110</v>
      </c>
      <c r="M108" s="164">
        <f t="shared" si="0"/>
        <v>100</v>
      </c>
      <c r="N108" s="164">
        <f t="shared" si="1"/>
        <v>100</v>
      </c>
      <c r="O108" s="165">
        <f t="shared" si="2"/>
        <v>1</v>
      </c>
      <c r="P108" s="180">
        <v>8.0329758713136745E-2</v>
      </c>
      <c r="Q108" s="183">
        <v>15</v>
      </c>
      <c r="R108" s="168">
        <f t="shared" si="95"/>
        <v>4</v>
      </c>
      <c r="S108" s="186">
        <v>1.5</v>
      </c>
      <c r="T108" s="170" t="s">
        <v>403</v>
      </c>
      <c r="U108" s="171">
        <f t="shared" si="4"/>
        <v>12.197538646943181</v>
      </c>
      <c r="V108" s="171">
        <f t="shared" ca="1" si="5"/>
        <v>11.633166646749492</v>
      </c>
      <c r="W108" s="171">
        <f t="shared" ca="1" si="6"/>
        <v>174.49749970124239</v>
      </c>
      <c r="X108" s="172">
        <f t="shared" si="7"/>
        <v>0.5929092273482659</v>
      </c>
      <c r="Y108" s="172">
        <f t="shared" si="8"/>
        <v>0.4070907726517341</v>
      </c>
      <c r="Z108" s="173">
        <f t="shared" si="9"/>
        <v>182.96307970414773</v>
      </c>
      <c r="AA108" s="171">
        <f t="shared" si="102"/>
        <v>0</v>
      </c>
      <c r="AB108" s="171">
        <f t="shared" si="102"/>
        <v>0</v>
      </c>
      <c r="AC108" s="171">
        <f t="shared" si="102"/>
        <v>0</v>
      </c>
      <c r="AD108" s="171">
        <f t="shared" si="102"/>
        <v>8.0329758713136741</v>
      </c>
      <c r="AE108" s="171">
        <f t="shared" si="102"/>
        <v>8.0329758713136741</v>
      </c>
      <c r="AF108" s="171">
        <f t="shared" si="102"/>
        <v>11.921223425822882</v>
      </c>
      <c r="AG108" s="171">
        <f t="shared" si="102"/>
        <v>11.921223425822882</v>
      </c>
      <c r="AH108" s="171">
        <f t="shared" si="102"/>
        <v>11.921223425822882</v>
      </c>
      <c r="AI108" s="171">
        <f t="shared" si="102"/>
        <v>11.921223425822882</v>
      </c>
      <c r="AJ108" s="171">
        <f t="shared" si="102"/>
        <v>11.921223425822882</v>
      </c>
      <c r="AK108" s="171">
        <f t="shared" si="103"/>
        <v>11.921223425822882</v>
      </c>
      <c r="AL108" s="171">
        <f t="shared" si="103"/>
        <v>11.921223425822882</v>
      </c>
      <c r="AM108" s="171">
        <f t="shared" si="103"/>
        <v>11.921223425822882</v>
      </c>
      <c r="AN108" s="171">
        <f t="shared" si="103"/>
        <v>11.921223425822882</v>
      </c>
      <c r="AO108" s="171">
        <f t="shared" si="103"/>
        <v>11.921223425822882</v>
      </c>
      <c r="AP108" s="171">
        <f t="shared" si="103"/>
        <v>11.921223425822882</v>
      </c>
      <c r="AQ108" s="171">
        <f t="shared" si="103"/>
        <v>11.921223425822882</v>
      </c>
      <c r="AR108" s="171">
        <f t="shared" si="103"/>
        <v>11.921223425822882</v>
      </c>
      <c r="AS108" s="171">
        <f t="shared" si="103"/>
        <v>11.921223425822882</v>
      </c>
      <c r="AT108" s="171">
        <f t="shared" si="103"/>
        <v>0</v>
      </c>
      <c r="AU108" s="171">
        <f t="shared" si="104"/>
        <v>0</v>
      </c>
      <c r="AV108" s="171">
        <f t="shared" si="104"/>
        <v>0</v>
      </c>
      <c r="AW108" s="171">
        <f t="shared" si="104"/>
        <v>0</v>
      </c>
      <c r="AX108" s="171">
        <f t="shared" si="104"/>
        <v>0</v>
      </c>
      <c r="AY108" s="171">
        <f t="shared" si="104"/>
        <v>0</v>
      </c>
      <c r="AZ108" s="171">
        <f t="shared" si="104"/>
        <v>0</v>
      </c>
      <c r="BA108" s="171">
        <f t="shared" si="104"/>
        <v>0</v>
      </c>
      <c r="BB108" s="171">
        <f t="shared" si="104"/>
        <v>0</v>
      </c>
      <c r="BC108" s="171">
        <f t="shared" si="104"/>
        <v>0</v>
      </c>
      <c r="BD108" s="171">
        <f t="shared" si="104"/>
        <v>0</v>
      </c>
      <c r="BE108" s="171">
        <f t="shared" si="105"/>
        <v>0</v>
      </c>
      <c r="BF108" s="171">
        <f t="shared" si="105"/>
        <v>0</v>
      </c>
      <c r="BG108" s="171">
        <f t="shared" si="105"/>
        <v>0</v>
      </c>
      <c r="BH108" s="171">
        <f t="shared" si="105"/>
        <v>0</v>
      </c>
      <c r="BI108" s="171">
        <f t="shared" si="105"/>
        <v>0</v>
      </c>
      <c r="BJ108" s="171">
        <f t="shared" si="105"/>
        <v>0</v>
      </c>
      <c r="BK108" s="171">
        <f t="shared" si="105"/>
        <v>0</v>
      </c>
      <c r="BL108" s="171">
        <f t="shared" si="105"/>
        <v>0</v>
      </c>
      <c r="BM108" s="171">
        <f t="shared" si="105"/>
        <v>0</v>
      </c>
      <c r="BN108" s="171">
        <f t="shared" si="105"/>
        <v>0</v>
      </c>
      <c r="BO108" s="171">
        <f t="shared" si="106"/>
        <v>0</v>
      </c>
      <c r="BP108" s="171">
        <f t="shared" si="106"/>
        <v>0</v>
      </c>
      <c r="BQ108" s="171">
        <f t="shared" si="106"/>
        <v>0</v>
      </c>
      <c r="BR108" s="171">
        <f t="shared" si="106"/>
        <v>0</v>
      </c>
      <c r="BS108" s="171">
        <f t="shared" si="106"/>
        <v>0</v>
      </c>
      <c r="BT108" s="171">
        <f t="shared" si="106"/>
        <v>0</v>
      </c>
      <c r="BU108" s="171">
        <f t="shared" si="106"/>
        <v>0</v>
      </c>
      <c r="BV108" s="171">
        <f t="shared" si="106"/>
        <v>0</v>
      </c>
      <c r="BW108" s="171">
        <f t="shared" si="106"/>
        <v>0</v>
      </c>
      <c r="BX108" s="171">
        <f t="shared" si="106"/>
        <v>0</v>
      </c>
      <c r="BY108" s="171">
        <f t="shared" si="107"/>
        <v>0</v>
      </c>
      <c r="BZ108" s="171">
        <f t="shared" si="107"/>
        <v>0</v>
      </c>
      <c r="CA108" s="171">
        <f t="shared" si="107"/>
        <v>0</v>
      </c>
      <c r="CB108" s="171">
        <f t="shared" si="107"/>
        <v>0</v>
      </c>
      <c r="CC108" s="171">
        <f t="shared" si="107"/>
        <v>0</v>
      </c>
      <c r="CD108" s="171">
        <f t="shared" si="107"/>
        <v>0</v>
      </c>
      <c r="CE108" s="171">
        <f t="shared" si="107"/>
        <v>0</v>
      </c>
      <c r="CF108" s="171">
        <f t="shared" si="107"/>
        <v>0</v>
      </c>
      <c r="CG108" s="171">
        <f t="shared" si="107"/>
        <v>0</v>
      </c>
      <c r="CH108" s="171">
        <f t="shared" si="107"/>
        <v>0</v>
      </c>
      <c r="CI108" s="171">
        <f t="shared" si="107"/>
        <v>0</v>
      </c>
      <c r="CJ108" s="243"/>
      <c r="CK108" s="171">
        <f t="shared" si="16"/>
        <v>0</v>
      </c>
      <c r="CL108" s="171">
        <f t="shared" si="17"/>
        <v>0</v>
      </c>
      <c r="CM108" s="171">
        <f t="shared" si="18"/>
        <v>0</v>
      </c>
      <c r="CN108" s="171">
        <f t="shared" si="19"/>
        <v>8.0329758713136741</v>
      </c>
      <c r="CO108" s="171">
        <f t="shared" si="20"/>
        <v>8.0329758713136741</v>
      </c>
      <c r="CP108" s="171">
        <f t="shared" si="21"/>
        <v>11.921223425822882</v>
      </c>
      <c r="CQ108" s="171">
        <f t="shared" si="22"/>
        <v>11.921223425822882</v>
      </c>
      <c r="CR108" s="171">
        <f t="shared" si="23"/>
        <v>11.921223425822882</v>
      </c>
      <c r="CS108" s="171">
        <f t="shared" si="24"/>
        <v>11.921223425822882</v>
      </c>
      <c r="CT108" s="171">
        <f t="shared" si="25"/>
        <v>11.921223425822882</v>
      </c>
      <c r="CU108" s="171">
        <f t="shared" si="26"/>
        <v>11.921223425822882</v>
      </c>
      <c r="CV108" s="171">
        <f t="shared" si="27"/>
        <v>11.921223425822882</v>
      </c>
      <c r="CW108" s="171">
        <f t="shared" si="28"/>
        <v>11.921223425822882</v>
      </c>
      <c r="CX108" s="171">
        <f t="shared" si="29"/>
        <v>11.921223425822882</v>
      </c>
      <c r="CY108" s="171">
        <f t="shared" ca="1" si="30"/>
        <v>11.317618143878779</v>
      </c>
      <c r="CZ108" s="171">
        <f t="shared" ca="1" si="31"/>
        <v>10.744575105705863</v>
      </c>
      <c r="DA108" s="171">
        <f t="shared" ca="1" si="32"/>
        <v>10.200546858403593</v>
      </c>
      <c r="DB108" s="171">
        <f t="shared" ca="1" si="33"/>
        <v>9.684064300991432</v>
      </c>
      <c r="DC108" s="171">
        <f t="shared" ca="1" si="34"/>
        <v>9.1937327172294001</v>
      </c>
      <c r="DD108" s="171">
        <f t="shared" ca="1" si="35"/>
        <v>0</v>
      </c>
      <c r="DE108" s="171">
        <f t="shared" ca="1" si="36"/>
        <v>0</v>
      </c>
      <c r="DF108" s="171">
        <f t="shared" ca="1" si="37"/>
        <v>0</v>
      </c>
      <c r="DG108" s="171">
        <f t="shared" ca="1" si="38"/>
        <v>0</v>
      </c>
      <c r="DH108" s="171">
        <f t="shared" ca="1" si="39"/>
        <v>0</v>
      </c>
      <c r="DI108" s="171">
        <f t="shared" ca="1" si="40"/>
        <v>0</v>
      </c>
      <c r="DJ108" s="171">
        <f t="shared" ca="1" si="41"/>
        <v>0</v>
      </c>
      <c r="DK108" s="171">
        <f t="shared" ca="1" si="42"/>
        <v>0</v>
      </c>
      <c r="DL108" s="171">
        <f t="shared" ca="1" si="43"/>
        <v>0</v>
      </c>
      <c r="DM108" s="171">
        <f t="shared" ca="1" si="44"/>
        <v>0</v>
      </c>
      <c r="DN108" s="171">
        <f t="shared" ca="1" si="45"/>
        <v>0</v>
      </c>
      <c r="DO108" s="171">
        <f t="shared" ca="1" si="46"/>
        <v>0</v>
      </c>
      <c r="DP108" s="171">
        <f t="shared" ca="1" si="47"/>
        <v>0</v>
      </c>
      <c r="DQ108" s="171">
        <f t="shared" ca="1" si="48"/>
        <v>0</v>
      </c>
      <c r="DR108" s="171">
        <f t="shared" ca="1" si="49"/>
        <v>0</v>
      </c>
      <c r="DS108" s="171">
        <f t="shared" ca="1" si="50"/>
        <v>0</v>
      </c>
      <c r="DT108" s="171">
        <f t="shared" ca="1" si="51"/>
        <v>0</v>
      </c>
      <c r="DU108" s="171">
        <f t="shared" ca="1" si="52"/>
        <v>0</v>
      </c>
      <c r="DV108" s="171">
        <f t="shared" ca="1" si="53"/>
        <v>0</v>
      </c>
      <c r="DW108" s="171">
        <f t="shared" ca="1" si="54"/>
        <v>0</v>
      </c>
      <c r="DX108" s="171">
        <f t="shared" ca="1" si="55"/>
        <v>0</v>
      </c>
      <c r="DY108" s="171">
        <f t="shared" ca="1" si="56"/>
        <v>0</v>
      </c>
      <c r="DZ108" s="171">
        <f t="shared" ca="1" si="57"/>
        <v>0</v>
      </c>
      <c r="EA108" s="171">
        <f t="shared" ca="1" si="58"/>
        <v>0</v>
      </c>
      <c r="EB108" s="171">
        <f t="shared" ca="1" si="59"/>
        <v>0</v>
      </c>
      <c r="EC108" s="171">
        <f t="shared" ca="1" si="60"/>
        <v>0</v>
      </c>
      <c r="ED108" s="171">
        <f t="shared" ca="1" si="61"/>
        <v>0</v>
      </c>
      <c r="EE108" s="171">
        <f t="shared" ca="1" si="62"/>
        <v>0</v>
      </c>
      <c r="EF108" s="171">
        <f t="shared" ca="1" si="63"/>
        <v>0</v>
      </c>
      <c r="EG108" s="171">
        <f t="shared" ca="1" si="64"/>
        <v>0</v>
      </c>
      <c r="EH108" s="171">
        <f t="shared" ca="1" si="65"/>
        <v>0</v>
      </c>
      <c r="EI108" s="171">
        <f t="shared" ca="1" si="66"/>
        <v>0</v>
      </c>
      <c r="EJ108" s="171">
        <f t="shared" ca="1" si="67"/>
        <v>0</v>
      </c>
      <c r="EK108" s="171">
        <f t="shared" ca="1" si="68"/>
        <v>0</v>
      </c>
      <c r="EL108" s="171">
        <f t="shared" ca="1" si="69"/>
        <v>0</v>
      </c>
      <c r="EM108" s="171">
        <f t="shared" ca="1" si="70"/>
        <v>0</v>
      </c>
      <c r="EN108" s="171">
        <f t="shared" ca="1" si="71"/>
        <v>0</v>
      </c>
      <c r="EO108" s="171">
        <f t="shared" ca="1" si="72"/>
        <v>0</v>
      </c>
      <c r="EP108" s="171">
        <f t="shared" ca="1" si="73"/>
        <v>0</v>
      </c>
      <c r="EQ108" s="171">
        <f t="shared" ca="1" si="74"/>
        <v>0</v>
      </c>
      <c r="ER108" s="171">
        <f t="shared" ca="1" si="75"/>
        <v>0</v>
      </c>
      <c r="ES108" s="171">
        <f t="shared" ca="1" si="76"/>
        <v>0</v>
      </c>
    </row>
    <row r="109" spans="1:149">
      <c r="A109" s="139" t="s">
        <v>474</v>
      </c>
      <c r="B109" s="160" t="s">
        <v>476</v>
      </c>
      <c r="C109" s="160" t="s">
        <v>17</v>
      </c>
      <c r="D109" s="160" t="s">
        <v>417</v>
      </c>
      <c r="E109" s="160">
        <v>2013</v>
      </c>
      <c r="F109" s="160" t="s">
        <v>395</v>
      </c>
      <c r="G109" s="160" t="s">
        <v>402</v>
      </c>
      <c r="H109" s="160" t="s">
        <v>396</v>
      </c>
      <c r="I109" s="160" t="s">
        <v>178</v>
      </c>
      <c r="J109" s="160" t="s">
        <v>407</v>
      </c>
      <c r="K109" s="187">
        <v>20</v>
      </c>
      <c r="L109" s="163" t="s">
        <v>110</v>
      </c>
      <c r="M109" s="164">
        <f t="shared" si="0"/>
        <v>20</v>
      </c>
      <c r="N109" s="164">
        <f t="shared" si="1"/>
        <v>20</v>
      </c>
      <c r="O109" s="165">
        <f t="shared" si="2"/>
        <v>1</v>
      </c>
      <c r="P109" s="180">
        <v>2.3903633306096857E-2</v>
      </c>
      <c r="Q109" s="183">
        <v>32.668289591298226</v>
      </c>
      <c r="R109" s="168">
        <f t="shared" si="95"/>
        <v>21.668289591298226</v>
      </c>
      <c r="S109" s="183">
        <v>6.9579862261231415</v>
      </c>
      <c r="T109" s="170" t="s">
        <v>403</v>
      </c>
      <c r="U109" s="171">
        <f t="shared" si="4"/>
        <v>0.91558602374610998</v>
      </c>
      <c r="V109" s="171">
        <f t="shared" ca="1" si="5"/>
        <v>0.62698294976855806</v>
      </c>
      <c r="W109" s="171">
        <f t="shared" ca="1" si="6"/>
        <v>20.482460571845643</v>
      </c>
      <c r="X109" s="172">
        <f t="shared" si="7"/>
        <v>0.17920836052863021</v>
      </c>
      <c r="Y109" s="172">
        <f t="shared" si="8"/>
        <v>0.82079163947136979</v>
      </c>
      <c r="Z109" s="173">
        <f t="shared" si="9"/>
        <v>29.910629369483175</v>
      </c>
      <c r="AA109" s="171">
        <f t="shared" ref="AA109:AJ118" si="108">IFERROR(
    IF($T109="Equity",
        IF(AND(AA$48&gt;=$E109, AA$48&lt;=($E109+$Q109)),
$K109*$P109*(VLOOKUP($C$39,$C$37:$BL$44,MATCH($E109,$C$37:$BL$37,0),FALSE)/VLOOKUP($L109,$C$37:$BL$44,MATCH($E109,$C$37:$BL$37,0),FALSE))*
IF($B$5="Foreign Currency",VLOOKUP($C$38,$C$37:$BL$44,MATCH(AA$48,$C$37:$BL$37,0),FALSE)/VLOOKUP($C$39,$C$37:$BL$44,MATCH(AA$48,$C$37:$BL$37,0),FALSE),1),
0),
    IF($T109="Lump Sum Principal",
        IF(AND(AA$48&gt;=$E109, AA$48&lt;($E109+$Q109)),
$K109*$P109*(VLOOKUP($C$39,$C$37:$BL$44,MATCH($E109,$C$37:$BL$37,0),FALSE)/VLOOKUP($L109,$C$37:$BL$44,MATCH($E109,$C$37:$BL$37,0),FALSE))*
IF($B$5="Foreign Currency",VLOOKUP($C$38,$C$37:$BL$44,MATCH(AA$48,$C$37:$BL$37,0),FALSE)/VLOOKUP($C$39,$C$37:$BL$44,MATCH(AA$48,$C$37:$BL$37,0),FALSE),1),
        IF(AA$48=($E109+$Q109),
$K109*(1+$P109)*(VLOOKUP($C$39,$C$37:$BL$44,MATCH($E109,$C$37:$BL$37,0),FALSE)/VLOOKUP($L109,$C$37:$BL$44,MATCH($E109,$C$37:$BL$37,0),FALSE))*
IF($B$5="Foreign Currency",VLOOKUP($C$38,$C$37:$BL$44,MATCH(AA$48,$C$37:$BL$37,0),FALSE)/VLOOKUP($C$39,$C$37:$BL$44,MATCH(AA$48,$C$37:$BL$37,0),FALSE),1),
0)),
    IF($T109="Lump Sum Principal and Interest",
        IF(AA$48=($E109+$Q109),
$K109*((1+$P109)^$Q109)*(VLOOKUP($C$39,$C$37:$BL$44,MATCH($E109,$C$37:$BL$37,0),FALSE)/VLOOKUP($L109,$C$37:$BL$44,MATCH($E109,$C$37:$BL$37,0),FALSE))*
IF($B$5="Foreign Currency",VLOOKUP($C$38,$C$37:$BL$44,MATCH(AA$48,$C$37:$BL$37,0),FALSE)/VLOOKUP($C$39,$C$37:$BL$44,MATCH(AA$48,$C$37:$BL$37,0),FALSE),1),
0),
    IF($T109="EPP with Grace Years for Principal",
        IF(AND(AA$48&gt;=$E109, AA$48&lt;($E109+$S109)),
$K109*$P109*(VLOOKUP($C$39,$C$37:$BL$44,MATCH($E109,$C$37:$BL$37,0),FALSE)/VLOOKUP($L109,$C$37:$BL$44,MATCH($E109,$C$37:$BL$37,0),FALSE))*
IF($B$5="Foreign Currency",VLOOKUP($C$38,$C$37:$BL$44,MATCH(AA$48,$C$37:$BL$37,0),FALSE)/VLOOKUP($C$39,$C$37:$BL$44,MATCH(AA$48,$C$37:$BL$37,0),FALSE),1),
        IF(AND(AA$48&gt;=($E109+$S109), AA$48&lt;=($E109+$Q109)),
-PMT($P109,($Q109-$S109+1),($K109*(VLOOKUP($C$39,$C$37:$BL$44,MATCH($E109,$C$37:$BL$37,0),FALSE)/VLOOKUP($L109,$C$37:$BL$44,MATCH($E109,$C$37:$BL$37,0),FALSE))*
IF($B$5="Foreign Currency",VLOOKUP($C$38,$C$37:$BL$44,MATCH(AA$48,$C$37:$BL$37,0),FALSE)/VLOOKUP($C$39,$C$37:$BL$44,MATCH(AA$48,$C$37:$BL$37,0),FALSE),1)),0),
0)),
    IF($T109="Equal Principal Payments (EPP)",
        IF(AND(AA$48&gt;=$E109, AA$48&lt;=($E109+$Q109)),
-PMT($P109,($Q109-$S109+1),($K109*(VLOOKUP($C$39,$C$37:$BL$44,MATCH($E109,$C$37:$BL$37,0),FALSE)/VLOOKUP($L109,$C$37:$BL$44,MATCH($E109,$C$37:$BL$37,0),FALSE))*
IF($B$5="Foreign Currency",VLOOKUP($C$38,$C$37:$BL$44,MATCH(AA$48,$C$37:$BL$37,0),FALSE)/VLOOKUP($C$39,$C$37:$BL$44,MATCH(AA$48,$C$37:$BL$37,0),FALSE),1)),0), 0),
    IF($T109="EPP with Grace Years for Principal and on Interest",
        IF(AND(AA$48&gt;=($E109+$S109), AA$48&lt;=($E109+$Q109)),
-PMT($P109,($Q109-$S109+1),($K109*(VLOOKUP($C$39,$C$37:$BL$44,MATCH($E109,$C$37:$BL$37,0),FALSE)/VLOOKUP($L109,$C$37:$BL$44,MATCH($E109,$C$37:$BL$37,0),FALSE))*
IF($B$5="Foreign Currency",VLOOKUP($C$38,$C$37:$BL$44,MATCH(AA$48,$C$37:$BL$37,0),FALSE)/VLOOKUP($C$39,$C$37:$BL$44,MATCH(AA$48,$C$37:$BL$37,0),FALSE),1))*((1+$P109)^$S109),0), 0),
    0)))))),"")</f>
        <v>0</v>
      </c>
      <c r="AB109" s="171">
        <f t="shared" si="108"/>
        <v>0</v>
      </c>
      <c r="AC109" s="171">
        <f t="shared" si="108"/>
        <v>0</v>
      </c>
      <c r="AD109" s="171">
        <f t="shared" si="108"/>
        <v>0.47807266612193711</v>
      </c>
      <c r="AE109" s="171">
        <f t="shared" si="108"/>
        <v>0.47807266612193711</v>
      </c>
      <c r="AF109" s="171">
        <f t="shared" si="108"/>
        <v>0.47807266612193711</v>
      </c>
      <c r="AG109" s="171">
        <f t="shared" si="108"/>
        <v>0.47807266612193711</v>
      </c>
      <c r="AH109" s="171">
        <f t="shared" si="108"/>
        <v>0.47807266612193711</v>
      </c>
      <c r="AI109" s="171">
        <f t="shared" si="108"/>
        <v>0.47807266612193711</v>
      </c>
      <c r="AJ109" s="171">
        <f t="shared" si="108"/>
        <v>0.47807266612193711</v>
      </c>
      <c r="AK109" s="171">
        <f t="shared" ref="AK109:AT118" si="109">IFERROR(
    IF($T109="Equity",
        IF(AND(AK$48&gt;=$E109, AK$48&lt;=($E109+$Q109)),
$K109*$P109*(VLOOKUP($C$39,$C$37:$BL$44,MATCH($E109,$C$37:$BL$37,0),FALSE)/VLOOKUP($L109,$C$37:$BL$44,MATCH($E109,$C$37:$BL$37,0),FALSE))*
IF($B$5="Foreign Currency",VLOOKUP($C$38,$C$37:$BL$44,MATCH(AK$48,$C$37:$BL$37,0),FALSE)/VLOOKUP($C$39,$C$37:$BL$44,MATCH(AK$48,$C$37:$BL$37,0),FALSE),1),
0),
    IF($T109="Lump Sum Principal",
        IF(AND(AK$48&gt;=$E109, AK$48&lt;($E109+$Q109)),
$K109*$P109*(VLOOKUP($C$39,$C$37:$BL$44,MATCH($E109,$C$37:$BL$37,0),FALSE)/VLOOKUP($L109,$C$37:$BL$44,MATCH($E109,$C$37:$BL$37,0),FALSE))*
IF($B$5="Foreign Currency",VLOOKUP($C$38,$C$37:$BL$44,MATCH(AK$48,$C$37:$BL$37,0),FALSE)/VLOOKUP($C$39,$C$37:$BL$44,MATCH(AK$48,$C$37:$BL$37,0),FALSE),1),
        IF(AK$48=($E109+$Q109),
$K109*(1+$P109)*(VLOOKUP($C$39,$C$37:$BL$44,MATCH($E109,$C$37:$BL$37,0),FALSE)/VLOOKUP($L109,$C$37:$BL$44,MATCH($E109,$C$37:$BL$37,0),FALSE))*
IF($B$5="Foreign Currency",VLOOKUP($C$38,$C$37:$BL$44,MATCH(AK$48,$C$37:$BL$37,0),FALSE)/VLOOKUP($C$39,$C$37:$BL$44,MATCH(AK$48,$C$37:$BL$37,0),FALSE),1),
0)),
    IF($T109="Lump Sum Principal and Interest",
        IF(AK$48=($E109+$Q109),
$K109*((1+$P109)^$Q109)*(VLOOKUP($C$39,$C$37:$BL$44,MATCH($E109,$C$37:$BL$37,0),FALSE)/VLOOKUP($L109,$C$37:$BL$44,MATCH($E109,$C$37:$BL$37,0),FALSE))*
IF($B$5="Foreign Currency",VLOOKUP($C$38,$C$37:$BL$44,MATCH(AK$48,$C$37:$BL$37,0),FALSE)/VLOOKUP($C$39,$C$37:$BL$44,MATCH(AK$48,$C$37:$BL$37,0),FALSE),1),
0),
    IF($T109="EPP with Grace Years for Principal",
        IF(AND(AK$48&gt;=$E109, AK$48&lt;($E109+$S109)),
$K109*$P109*(VLOOKUP($C$39,$C$37:$BL$44,MATCH($E109,$C$37:$BL$37,0),FALSE)/VLOOKUP($L109,$C$37:$BL$44,MATCH($E109,$C$37:$BL$37,0),FALSE))*
IF($B$5="Foreign Currency",VLOOKUP($C$38,$C$37:$BL$44,MATCH(AK$48,$C$37:$BL$37,0),FALSE)/VLOOKUP($C$39,$C$37:$BL$44,MATCH(AK$48,$C$37:$BL$37,0),FALSE),1),
        IF(AND(AK$48&gt;=($E109+$S109), AK$48&lt;=($E109+$Q109)),
-PMT($P109,($Q109-$S109+1),($K109*(VLOOKUP($C$39,$C$37:$BL$44,MATCH($E109,$C$37:$BL$37,0),FALSE)/VLOOKUP($L109,$C$37:$BL$44,MATCH($E109,$C$37:$BL$37,0),FALSE))*
IF($B$5="Foreign Currency",VLOOKUP($C$38,$C$37:$BL$44,MATCH(AK$48,$C$37:$BL$37,0),FALSE)/VLOOKUP($C$39,$C$37:$BL$44,MATCH(AK$48,$C$37:$BL$37,0),FALSE),1)),0),
0)),
    IF($T109="Equal Principal Payments (EPP)",
        IF(AND(AK$48&gt;=$E109, AK$48&lt;=($E109+$Q109)),
-PMT($P109,($Q109-$S109+1),($K109*(VLOOKUP($C$39,$C$37:$BL$44,MATCH($E109,$C$37:$BL$37,0),FALSE)/VLOOKUP($L109,$C$37:$BL$44,MATCH($E109,$C$37:$BL$37,0),FALSE))*
IF($B$5="Foreign Currency",VLOOKUP($C$38,$C$37:$BL$44,MATCH(AK$48,$C$37:$BL$37,0),FALSE)/VLOOKUP($C$39,$C$37:$BL$44,MATCH(AK$48,$C$37:$BL$37,0),FALSE),1)),0), 0),
    IF($T109="EPP with Grace Years for Principal and on Interest",
        IF(AND(AK$48&gt;=($E109+$S109), AK$48&lt;=($E109+$Q109)),
-PMT($P109,($Q109-$S109+1),($K109*(VLOOKUP($C$39,$C$37:$BL$44,MATCH($E109,$C$37:$BL$37,0),FALSE)/VLOOKUP($L109,$C$37:$BL$44,MATCH($E109,$C$37:$BL$37,0),FALSE))*
IF($B$5="Foreign Currency",VLOOKUP($C$38,$C$37:$BL$44,MATCH(AK$48,$C$37:$BL$37,0),FALSE)/VLOOKUP($C$39,$C$37:$BL$44,MATCH(AK$48,$C$37:$BL$37,0),FALSE),1))*((1+$P109)^$S109),0), 0),
    0)))))),"")</f>
        <v>1.0216969502549857</v>
      </c>
      <c r="AL109" s="171">
        <f t="shared" si="109"/>
        <v>1.0216969502549857</v>
      </c>
      <c r="AM109" s="171">
        <f t="shared" si="109"/>
        <v>1.0216969502549857</v>
      </c>
      <c r="AN109" s="171">
        <f t="shared" si="109"/>
        <v>1.0216969502549857</v>
      </c>
      <c r="AO109" s="171">
        <f t="shared" si="109"/>
        <v>1.0216969502549857</v>
      </c>
      <c r="AP109" s="171">
        <f t="shared" si="109"/>
        <v>1.0216969502549857</v>
      </c>
      <c r="AQ109" s="171">
        <f t="shared" si="109"/>
        <v>1.0216969502549857</v>
      </c>
      <c r="AR109" s="171">
        <f t="shared" si="109"/>
        <v>1.0216969502549857</v>
      </c>
      <c r="AS109" s="171">
        <f t="shared" si="109"/>
        <v>1.0216969502549857</v>
      </c>
      <c r="AT109" s="171">
        <f t="shared" si="109"/>
        <v>1.0216969502549857</v>
      </c>
      <c r="AU109" s="171">
        <f t="shared" ref="AU109:BD118" si="110">IFERROR(
    IF($T109="Equity",
        IF(AND(AU$48&gt;=$E109, AU$48&lt;=($E109+$Q109)),
$K109*$P109*(VLOOKUP($C$39,$C$37:$BL$44,MATCH($E109,$C$37:$BL$37,0),FALSE)/VLOOKUP($L109,$C$37:$BL$44,MATCH($E109,$C$37:$BL$37,0),FALSE))*
IF($B$5="Foreign Currency",VLOOKUP($C$38,$C$37:$BL$44,MATCH(AU$48,$C$37:$BL$37,0),FALSE)/VLOOKUP($C$39,$C$37:$BL$44,MATCH(AU$48,$C$37:$BL$37,0),FALSE),1),
0),
    IF($T109="Lump Sum Principal",
        IF(AND(AU$48&gt;=$E109, AU$48&lt;($E109+$Q109)),
$K109*$P109*(VLOOKUP($C$39,$C$37:$BL$44,MATCH($E109,$C$37:$BL$37,0),FALSE)/VLOOKUP($L109,$C$37:$BL$44,MATCH($E109,$C$37:$BL$37,0),FALSE))*
IF($B$5="Foreign Currency",VLOOKUP($C$38,$C$37:$BL$44,MATCH(AU$48,$C$37:$BL$37,0),FALSE)/VLOOKUP($C$39,$C$37:$BL$44,MATCH(AU$48,$C$37:$BL$37,0),FALSE),1),
        IF(AU$48=($E109+$Q109),
$K109*(1+$P109)*(VLOOKUP($C$39,$C$37:$BL$44,MATCH($E109,$C$37:$BL$37,0),FALSE)/VLOOKUP($L109,$C$37:$BL$44,MATCH($E109,$C$37:$BL$37,0),FALSE))*
IF($B$5="Foreign Currency",VLOOKUP($C$38,$C$37:$BL$44,MATCH(AU$48,$C$37:$BL$37,0),FALSE)/VLOOKUP($C$39,$C$37:$BL$44,MATCH(AU$48,$C$37:$BL$37,0),FALSE),1),
0)),
    IF($T109="Lump Sum Principal and Interest",
        IF(AU$48=($E109+$Q109),
$K109*((1+$P109)^$Q109)*(VLOOKUP($C$39,$C$37:$BL$44,MATCH($E109,$C$37:$BL$37,0),FALSE)/VLOOKUP($L109,$C$37:$BL$44,MATCH($E109,$C$37:$BL$37,0),FALSE))*
IF($B$5="Foreign Currency",VLOOKUP($C$38,$C$37:$BL$44,MATCH(AU$48,$C$37:$BL$37,0),FALSE)/VLOOKUP($C$39,$C$37:$BL$44,MATCH(AU$48,$C$37:$BL$37,0),FALSE),1),
0),
    IF($T109="EPP with Grace Years for Principal",
        IF(AND(AU$48&gt;=$E109, AU$48&lt;($E109+$S109)),
$K109*$P109*(VLOOKUP($C$39,$C$37:$BL$44,MATCH($E109,$C$37:$BL$37,0),FALSE)/VLOOKUP($L109,$C$37:$BL$44,MATCH($E109,$C$37:$BL$37,0),FALSE))*
IF($B$5="Foreign Currency",VLOOKUP($C$38,$C$37:$BL$44,MATCH(AU$48,$C$37:$BL$37,0),FALSE)/VLOOKUP($C$39,$C$37:$BL$44,MATCH(AU$48,$C$37:$BL$37,0),FALSE),1),
        IF(AND(AU$48&gt;=($E109+$S109), AU$48&lt;=($E109+$Q109)),
-PMT($P109,($Q109-$S109+1),($K109*(VLOOKUP($C$39,$C$37:$BL$44,MATCH($E109,$C$37:$BL$37,0),FALSE)/VLOOKUP($L109,$C$37:$BL$44,MATCH($E109,$C$37:$BL$37,0),FALSE))*
IF($B$5="Foreign Currency",VLOOKUP($C$38,$C$37:$BL$44,MATCH(AU$48,$C$37:$BL$37,0),FALSE)/VLOOKUP($C$39,$C$37:$BL$44,MATCH(AU$48,$C$37:$BL$37,0),FALSE),1)),0),
0)),
    IF($T109="Equal Principal Payments (EPP)",
        IF(AND(AU$48&gt;=$E109, AU$48&lt;=($E109+$Q109)),
-PMT($P109,($Q109-$S109+1),($K109*(VLOOKUP($C$39,$C$37:$BL$44,MATCH($E109,$C$37:$BL$37,0),FALSE)/VLOOKUP($L109,$C$37:$BL$44,MATCH($E109,$C$37:$BL$37,0),FALSE))*
IF($B$5="Foreign Currency",VLOOKUP($C$38,$C$37:$BL$44,MATCH(AU$48,$C$37:$BL$37,0),FALSE)/VLOOKUP($C$39,$C$37:$BL$44,MATCH(AU$48,$C$37:$BL$37,0),FALSE),1)),0), 0),
    IF($T109="EPP with Grace Years for Principal and on Interest",
        IF(AND(AU$48&gt;=($E109+$S109), AU$48&lt;=($E109+$Q109)),
-PMT($P109,($Q109-$S109+1),($K109*(VLOOKUP($C$39,$C$37:$BL$44,MATCH($E109,$C$37:$BL$37,0),FALSE)/VLOOKUP($L109,$C$37:$BL$44,MATCH($E109,$C$37:$BL$37,0),FALSE))*
IF($B$5="Foreign Currency",VLOOKUP($C$38,$C$37:$BL$44,MATCH(AU$48,$C$37:$BL$37,0),FALSE)/VLOOKUP($C$39,$C$37:$BL$44,MATCH(AU$48,$C$37:$BL$37,0),FALSE),1))*((1+$P109)^$S109),0), 0),
    0)))))),"")</f>
        <v>1.0216969502549857</v>
      </c>
      <c r="AV109" s="171">
        <f t="shared" si="110"/>
        <v>1.0216969502549857</v>
      </c>
      <c r="AW109" s="171">
        <f t="shared" si="110"/>
        <v>1.0216969502549857</v>
      </c>
      <c r="AX109" s="171">
        <f t="shared" si="110"/>
        <v>1.0216969502549857</v>
      </c>
      <c r="AY109" s="171">
        <f t="shared" si="110"/>
        <v>1.0216969502549857</v>
      </c>
      <c r="AZ109" s="171">
        <f t="shared" si="110"/>
        <v>1.0216969502549857</v>
      </c>
      <c r="BA109" s="171">
        <f t="shared" si="110"/>
        <v>1.0216969502549857</v>
      </c>
      <c r="BB109" s="171">
        <f t="shared" si="110"/>
        <v>1.0216969502549857</v>
      </c>
      <c r="BC109" s="171">
        <f t="shared" si="110"/>
        <v>1.0216969502549857</v>
      </c>
      <c r="BD109" s="171">
        <f t="shared" si="110"/>
        <v>1.0216969502549857</v>
      </c>
      <c r="BE109" s="171">
        <f t="shared" ref="BE109:BN118" si="111">IFERROR(
    IF($T109="Equity",
        IF(AND(BE$48&gt;=$E109, BE$48&lt;=($E109+$Q109)),
$K109*$P109*(VLOOKUP($C$39,$C$37:$BL$44,MATCH($E109,$C$37:$BL$37,0),FALSE)/VLOOKUP($L109,$C$37:$BL$44,MATCH($E109,$C$37:$BL$37,0),FALSE))*
IF($B$5="Foreign Currency",VLOOKUP($C$38,$C$37:$BL$44,MATCH(BE$48,$C$37:$BL$37,0),FALSE)/VLOOKUP($C$39,$C$37:$BL$44,MATCH(BE$48,$C$37:$BL$37,0),FALSE),1),
0),
    IF($T109="Lump Sum Principal",
        IF(AND(BE$48&gt;=$E109, BE$48&lt;($E109+$Q109)),
$K109*$P109*(VLOOKUP($C$39,$C$37:$BL$44,MATCH($E109,$C$37:$BL$37,0),FALSE)/VLOOKUP($L109,$C$37:$BL$44,MATCH($E109,$C$37:$BL$37,0),FALSE))*
IF($B$5="Foreign Currency",VLOOKUP($C$38,$C$37:$BL$44,MATCH(BE$48,$C$37:$BL$37,0),FALSE)/VLOOKUP($C$39,$C$37:$BL$44,MATCH(BE$48,$C$37:$BL$37,0),FALSE),1),
        IF(BE$48=($E109+$Q109),
$K109*(1+$P109)*(VLOOKUP($C$39,$C$37:$BL$44,MATCH($E109,$C$37:$BL$37,0),FALSE)/VLOOKUP($L109,$C$37:$BL$44,MATCH($E109,$C$37:$BL$37,0),FALSE))*
IF($B$5="Foreign Currency",VLOOKUP($C$38,$C$37:$BL$44,MATCH(BE$48,$C$37:$BL$37,0),FALSE)/VLOOKUP($C$39,$C$37:$BL$44,MATCH(BE$48,$C$37:$BL$37,0),FALSE),1),
0)),
    IF($T109="Lump Sum Principal and Interest",
        IF(BE$48=($E109+$Q109),
$K109*((1+$P109)^$Q109)*(VLOOKUP($C$39,$C$37:$BL$44,MATCH($E109,$C$37:$BL$37,0),FALSE)/VLOOKUP($L109,$C$37:$BL$44,MATCH($E109,$C$37:$BL$37,0),FALSE))*
IF($B$5="Foreign Currency",VLOOKUP($C$38,$C$37:$BL$44,MATCH(BE$48,$C$37:$BL$37,0),FALSE)/VLOOKUP($C$39,$C$37:$BL$44,MATCH(BE$48,$C$37:$BL$37,0),FALSE),1),
0),
    IF($T109="EPP with Grace Years for Principal",
        IF(AND(BE$48&gt;=$E109, BE$48&lt;($E109+$S109)),
$K109*$P109*(VLOOKUP($C$39,$C$37:$BL$44,MATCH($E109,$C$37:$BL$37,0),FALSE)/VLOOKUP($L109,$C$37:$BL$44,MATCH($E109,$C$37:$BL$37,0),FALSE))*
IF($B$5="Foreign Currency",VLOOKUP($C$38,$C$37:$BL$44,MATCH(BE$48,$C$37:$BL$37,0),FALSE)/VLOOKUP($C$39,$C$37:$BL$44,MATCH(BE$48,$C$37:$BL$37,0),FALSE),1),
        IF(AND(BE$48&gt;=($E109+$S109), BE$48&lt;=($E109+$Q109)),
-PMT($P109,($Q109-$S109+1),($K109*(VLOOKUP($C$39,$C$37:$BL$44,MATCH($E109,$C$37:$BL$37,0),FALSE)/VLOOKUP($L109,$C$37:$BL$44,MATCH($E109,$C$37:$BL$37,0),FALSE))*
IF($B$5="Foreign Currency",VLOOKUP($C$38,$C$37:$BL$44,MATCH(BE$48,$C$37:$BL$37,0),FALSE)/VLOOKUP($C$39,$C$37:$BL$44,MATCH(BE$48,$C$37:$BL$37,0),FALSE),1)),0),
0)),
    IF($T109="Equal Principal Payments (EPP)",
        IF(AND(BE$48&gt;=$E109, BE$48&lt;=($E109+$Q109)),
-PMT($P109,($Q109-$S109+1),($K109*(VLOOKUP($C$39,$C$37:$BL$44,MATCH($E109,$C$37:$BL$37,0),FALSE)/VLOOKUP($L109,$C$37:$BL$44,MATCH($E109,$C$37:$BL$37,0),FALSE))*
IF($B$5="Foreign Currency",VLOOKUP($C$38,$C$37:$BL$44,MATCH(BE$48,$C$37:$BL$37,0),FALSE)/VLOOKUP($C$39,$C$37:$BL$44,MATCH(BE$48,$C$37:$BL$37,0),FALSE),1)),0), 0),
    IF($T109="EPP with Grace Years for Principal and on Interest",
        IF(AND(BE$48&gt;=($E109+$S109), BE$48&lt;=($E109+$Q109)),
-PMT($P109,($Q109-$S109+1),($K109*(VLOOKUP($C$39,$C$37:$BL$44,MATCH($E109,$C$37:$BL$37,0),FALSE)/VLOOKUP($L109,$C$37:$BL$44,MATCH($E109,$C$37:$BL$37,0),FALSE))*
IF($B$5="Foreign Currency",VLOOKUP($C$38,$C$37:$BL$44,MATCH(BE$48,$C$37:$BL$37,0),FALSE)/VLOOKUP($C$39,$C$37:$BL$44,MATCH(BE$48,$C$37:$BL$37,0),FALSE),1))*((1+$P109)^$S109),0), 0),
    0)))))),"")</f>
        <v>1.0216969502549857</v>
      </c>
      <c r="BF109" s="171">
        <f t="shared" si="111"/>
        <v>1.0216969502549857</v>
      </c>
      <c r="BG109" s="171">
        <f t="shared" si="111"/>
        <v>1.0216969502549857</v>
      </c>
      <c r="BH109" s="171">
        <f t="shared" si="111"/>
        <v>1.0216969502549857</v>
      </c>
      <c r="BI109" s="171">
        <f t="shared" si="111"/>
        <v>1.0216969502549857</v>
      </c>
      <c r="BJ109" s="171">
        <f t="shared" si="111"/>
        <v>1.0216969502549857</v>
      </c>
      <c r="BK109" s="171">
        <f t="shared" si="111"/>
        <v>0</v>
      </c>
      <c r="BL109" s="171">
        <f t="shared" si="111"/>
        <v>0</v>
      </c>
      <c r="BM109" s="171">
        <f t="shared" si="111"/>
        <v>0</v>
      </c>
      <c r="BN109" s="171">
        <f t="shared" si="111"/>
        <v>0</v>
      </c>
      <c r="BO109" s="171">
        <f t="shared" ref="BO109:BX118" si="112">IFERROR(
    IF($T109="Equity",
        IF(AND(BO$48&gt;=$E109, BO$48&lt;=($E109+$Q109)),
$K109*$P109*(VLOOKUP($C$39,$C$37:$BL$44,MATCH($E109,$C$37:$BL$37,0),FALSE)/VLOOKUP($L109,$C$37:$BL$44,MATCH($E109,$C$37:$BL$37,0),FALSE))*
IF($B$5="Foreign Currency",VLOOKUP($C$38,$C$37:$BL$44,MATCH(BO$48,$C$37:$BL$37,0),FALSE)/VLOOKUP($C$39,$C$37:$BL$44,MATCH(BO$48,$C$37:$BL$37,0),FALSE),1),
0),
    IF($T109="Lump Sum Principal",
        IF(AND(BO$48&gt;=$E109, BO$48&lt;($E109+$Q109)),
$K109*$P109*(VLOOKUP($C$39,$C$37:$BL$44,MATCH($E109,$C$37:$BL$37,0),FALSE)/VLOOKUP($L109,$C$37:$BL$44,MATCH($E109,$C$37:$BL$37,0),FALSE))*
IF($B$5="Foreign Currency",VLOOKUP($C$38,$C$37:$BL$44,MATCH(BO$48,$C$37:$BL$37,0),FALSE)/VLOOKUP($C$39,$C$37:$BL$44,MATCH(BO$48,$C$37:$BL$37,0),FALSE),1),
        IF(BO$48=($E109+$Q109),
$K109*(1+$P109)*(VLOOKUP($C$39,$C$37:$BL$44,MATCH($E109,$C$37:$BL$37,0),FALSE)/VLOOKUP($L109,$C$37:$BL$44,MATCH($E109,$C$37:$BL$37,0),FALSE))*
IF($B$5="Foreign Currency",VLOOKUP($C$38,$C$37:$BL$44,MATCH(BO$48,$C$37:$BL$37,0),FALSE)/VLOOKUP($C$39,$C$37:$BL$44,MATCH(BO$48,$C$37:$BL$37,0),FALSE),1),
0)),
    IF($T109="Lump Sum Principal and Interest",
        IF(BO$48=($E109+$Q109),
$K109*((1+$P109)^$Q109)*(VLOOKUP($C$39,$C$37:$BL$44,MATCH($E109,$C$37:$BL$37,0),FALSE)/VLOOKUP($L109,$C$37:$BL$44,MATCH($E109,$C$37:$BL$37,0),FALSE))*
IF($B$5="Foreign Currency",VLOOKUP($C$38,$C$37:$BL$44,MATCH(BO$48,$C$37:$BL$37,0),FALSE)/VLOOKUP($C$39,$C$37:$BL$44,MATCH(BO$48,$C$37:$BL$37,0),FALSE),1),
0),
    IF($T109="EPP with Grace Years for Principal",
        IF(AND(BO$48&gt;=$E109, BO$48&lt;($E109+$S109)),
$K109*$P109*(VLOOKUP($C$39,$C$37:$BL$44,MATCH($E109,$C$37:$BL$37,0),FALSE)/VLOOKUP($L109,$C$37:$BL$44,MATCH($E109,$C$37:$BL$37,0),FALSE))*
IF($B$5="Foreign Currency",VLOOKUP($C$38,$C$37:$BL$44,MATCH(BO$48,$C$37:$BL$37,0),FALSE)/VLOOKUP($C$39,$C$37:$BL$44,MATCH(BO$48,$C$37:$BL$37,0),FALSE),1),
        IF(AND(BO$48&gt;=($E109+$S109), BO$48&lt;=($E109+$Q109)),
-PMT($P109,($Q109-$S109+1),($K109*(VLOOKUP($C$39,$C$37:$BL$44,MATCH($E109,$C$37:$BL$37,0),FALSE)/VLOOKUP($L109,$C$37:$BL$44,MATCH($E109,$C$37:$BL$37,0),FALSE))*
IF($B$5="Foreign Currency",VLOOKUP($C$38,$C$37:$BL$44,MATCH(BO$48,$C$37:$BL$37,0),FALSE)/VLOOKUP($C$39,$C$37:$BL$44,MATCH(BO$48,$C$37:$BL$37,0),FALSE),1)),0),
0)),
    IF($T109="Equal Principal Payments (EPP)",
        IF(AND(BO$48&gt;=$E109, BO$48&lt;=($E109+$Q109)),
-PMT($P109,($Q109-$S109+1),($K109*(VLOOKUP($C$39,$C$37:$BL$44,MATCH($E109,$C$37:$BL$37,0),FALSE)/VLOOKUP($L109,$C$37:$BL$44,MATCH($E109,$C$37:$BL$37,0),FALSE))*
IF($B$5="Foreign Currency",VLOOKUP($C$38,$C$37:$BL$44,MATCH(BO$48,$C$37:$BL$37,0),FALSE)/VLOOKUP($C$39,$C$37:$BL$44,MATCH(BO$48,$C$37:$BL$37,0),FALSE),1)),0), 0),
    IF($T109="EPP with Grace Years for Principal and on Interest",
        IF(AND(BO$48&gt;=($E109+$S109), BO$48&lt;=($E109+$Q109)),
-PMT($P109,($Q109-$S109+1),($K109*(VLOOKUP($C$39,$C$37:$BL$44,MATCH($E109,$C$37:$BL$37,0),FALSE)/VLOOKUP($L109,$C$37:$BL$44,MATCH($E109,$C$37:$BL$37,0),FALSE))*
IF($B$5="Foreign Currency",VLOOKUP($C$38,$C$37:$BL$44,MATCH(BO$48,$C$37:$BL$37,0),FALSE)/VLOOKUP($C$39,$C$37:$BL$44,MATCH(BO$48,$C$37:$BL$37,0),FALSE),1))*((1+$P109)^$S109),0), 0),
    0)))))),"")</f>
        <v>0</v>
      </c>
      <c r="BP109" s="171">
        <f t="shared" si="112"/>
        <v>0</v>
      </c>
      <c r="BQ109" s="171">
        <f t="shared" si="112"/>
        <v>0</v>
      </c>
      <c r="BR109" s="171">
        <f t="shared" si="112"/>
        <v>0</v>
      </c>
      <c r="BS109" s="171">
        <f t="shared" si="112"/>
        <v>0</v>
      </c>
      <c r="BT109" s="171">
        <f t="shared" si="112"/>
        <v>0</v>
      </c>
      <c r="BU109" s="171">
        <f t="shared" si="112"/>
        <v>0</v>
      </c>
      <c r="BV109" s="171">
        <f t="shared" si="112"/>
        <v>0</v>
      </c>
      <c r="BW109" s="171">
        <f t="shared" si="112"/>
        <v>0</v>
      </c>
      <c r="BX109" s="171">
        <f t="shared" si="112"/>
        <v>0</v>
      </c>
      <c r="BY109" s="171">
        <f t="shared" ref="BY109:CI118" si="113">IFERROR(
    IF($T109="Equity",
        IF(AND(BY$48&gt;=$E109, BY$48&lt;=($E109+$Q109)),
$K109*$P109*(VLOOKUP($C$39,$C$37:$BL$44,MATCH($E109,$C$37:$BL$37,0),FALSE)/VLOOKUP($L109,$C$37:$BL$44,MATCH($E109,$C$37:$BL$37,0),FALSE))*
IF($B$5="Foreign Currency",VLOOKUP($C$38,$C$37:$BL$44,MATCH(BY$48,$C$37:$BL$37,0),FALSE)/VLOOKUP($C$39,$C$37:$BL$44,MATCH(BY$48,$C$37:$BL$37,0),FALSE),1),
0),
    IF($T109="Lump Sum Principal",
        IF(AND(BY$48&gt;=$E109, BY$48&lt;($E109+$Q109)),
$K109*$P109*(VLOOKUP($C$39,$C$37:$BL$44,MATCH($E109,$C$37:$BL$37,0),FALSE)/VLOOKUP($L109,$C$37:$BL$44,MATCH($E109,$C$37:$BL$37,0),FALSE))*
IF($B$5="Foreign Currency",VLOOKUP($C$38,$C$37:$BL$44,MATCH(BY$48,$C$37:$BL$37,0),FALSE)/VLOOKUP($C$39,$C$37:$BL$44,MATCH(BY$48,$C$37:$BL$37,0),FALSE),1),
        IF(BY$48=($E109+$Q109),
$K109*(1+$P109)*(VLOOKUP($C$39,$C$37:$BL$44,MATCH($E109,$C$37:$BL$37,0),FALSE)/VLOOKUP($L109,$C$37:$BL$44,MATCH($E109,$C$37:$BL$37,0),FALSE))*
IF($B$5="Foreign Currency",VLOOKUP($C$38,$C$37:$BL$44,MATCH(BY$48,$C$37:$BL$37,0),FALSE)/VLOOKUP($C$39,$C$37:$BL$44,MATCH(BY$48,$C$37:$BL$37,0),FALSE),1),
0)),
    IF($T109="Lump Sum Principal and Interest",
        IF(BY$48=($E109+$Q109),
$K109*((1+$P109)^$Q109)*(VLOOKUP($C$39,$C$37:$BL$44,MATCH($E109,$C$37:$BL$37,0),FALSE)/VLOOKUP($L109,$C$37:$BL$44,MATCH($E109,$C$37:$BL$37,0),FALSE))*
IF($B$5="Foreign Currency",VLOOKUP($C$38,$C$37:$BL$44,MATCH(BY$48,$C$37:$BL$37,0),FALSE)/VLOOKUP($C$39,$C$37:$BL$44,MATCH(BY$48,$C$37:$BL$37,0),FALSE),1),
0),
    IF($T109="EPP with Grace Years for Principal",
        IF(AND(BY$48&gt;=$E109, BY$48&lt;($E109+$S109)),
$K109*$P109*(VLOOKUP($C$39,$C$37:$BL$44,MATCH($E109,$C$37:$BL$37,0),FALSE)/VLOOKUP($L109,$C$37:$BL$44,MATCH($E109,$C$37:$BL$37,0),FALSE))*
IF($B$5="Foreign Currency",VLOOKUP($C$38,$C$37:$BL$44,MATCH(BY$48,$C$37:$BL$37,0),FALSE)/VLOOKUP($C$39,$C$37:$BL$44,MATCH(BY$48,$C$37:$BL$37,0),FALSE),1),
        IF(AND(BY$48&gt;=($E109+$S109), BY$48&lt;=($E109+$Q109)),
-PMT($P109,($Q109-$S109+1),($K109*(VLOOKUP($C$39,$C$37:$BL$44,MATCH($E109,$C$37:$BL$37,0),FALSE)/VLOOKUP($L109,$C$37:$BL$44,MATCH($E109,$C$37:$BL$37,0),FALSE))*
IF($B$5="Foreign Currency",VLOOKUP($C$38,$C$37:$BL$44,MATCH(BY$48,$C$37:$BL$37,0),FALSE)/VLOOKUP($C$39,$C$37:$BL$44,MATCH(BY$48,$C$37:$BL$37,0),FALSE),1)),0),
0)),
    IF($T109="Equal Principal Payments (EPP)",
        IF(AND(BY$48&gt;=$E109, BY$48&lt;=($E109+$Q109)),
-PMT($P109,($Q109-$S109+1),($K109*(VLOOKUP($C$39,$C$37:$BL$44,MATCH($E109,$C$37:$BL$37,0),FALSE)/VLOOKUP($L109,$C$37:$BL$44,MATCH($E109,$C$37:$BL$37,0),FALSE))*
IF($B$5="Foreign Currency",VLOOKUP($C$38,$C$37:$BL$44,MATCH(BY$48,$C$37:$BL$37,0),FALSE)/VLOOKUP($C$39,$C$37:$BL$44,MATCH(BY$48,$C$37:$BL$37,0),FALSE),1)),0), 0),
    IF($T109="EPP with Grace Years for Principal and on Interest",
        IF(AND(BY$48&gt;=($E109+$S109), BY$48&lt;=($E109+$Q109)),
-PMT($P109,($Q109-$S109+1),($K109*(VLOOKUP($C$39,$C$37:$BL$44,MATCH($E109,$C$37:$BL$37,0),FALSE)/VLOOKUP($L109,$C$37:$BL$44,MATCH($E109,$C$37:$BL$37,0),FALSE))*
IF($B$5="Foreign Currency",VLOOKUP($C$38,$C$37:$BL$44,MATCH(BY$48,$C$37:$BL$37,0),FALSE)/VLOOKUP($C$39,$C$37:$BL$44,MATCH(BY$48,$C$37:$BL$37,0),FALSE),1))*((1+$P109)^$S109),0), 0),
    0)))))),"")</f>
        <v>0</v>
      </c>
      <c r="BZ109" s="171">
        <f t="shared" si="113"/>
        <v>0</v>
      </c>
      <c r="CA109" s="171">
        <f t="shared" si="113"/>
        <v>0</v>
      </c>
      <c r="CB109" s="171">
        <f t="shared" si="113"/>
        <v>0</v>
      </c>
      <c r="CC109" s="171">
        <f t="shared" si="113"/>
        <v>0</v>
      </c>
      <c r="CD109" s="171">
        <f t="shared" si="113"/>
        <v>0</v>
      </c>
      <c r="CE109" s="171">
        <f t="shared" si="113"/>
        <v>0</v>
      </c>
      <c r="CF109" s="171">
        <f t="shared" si="113"/>
        <v>0</v>
      </c>
      <c r="CG109" s="171">
        <f t="shared" si="113"/>
        <v>0</v>
      </c>
      <c r="CH109" s="171">
        <f t="shared" si="113"/>
        <v>0</v>
      </c>
      <c r="CI109" s="171">
        <f t="shared" si="113"/>
        <v>0</v>
      </c>
      <c r="CJ109" s="243"/>
      <c r="CK109" s="171">
        <f t="shared" si="16"/>
        <v>0</v>
      </c>
      <c r="CL109" s="171">
        <f t="shared" si="17"/>
        <v>0</v>
      </c>
      <c r="CM109" s="171">
        <f t="shared" si="18"/>
        <v>0</v>
      </c>
      <c r="CN109" s="171">
        <f t="shared" si="19"/>
        <v>0.47807266612193711</v>
      </c>
      <c r="CO109" s="171">
        <f t="shared" si="20"/>
        <v>0.47807266612193711</v>
      </c>
      <c r="CP109" s="171">
        <f t="shared" si="21"/>
        <v>0.47807266612193711</v>
      </c>
      <c r="CQ109" s="171">
        <f t="shared" si="22"/>
        <v>0.47807266612193711</v>
      </c>
      <c r="CR109" s="171">
        <f t="shared" si="23"/>
        <v>0.47807266612193711</v>
      </c>
      <c r="CS109" s="171">
        <f t="shared" si="24"/>
        <v>0.47807266612193711</v>
      </c>
      <c r="CT109" s="171">
        <f t="shared" si="25"/>
        <v>0.47807266612193711</v>
      </c>
      <c r="CU109" s="171">
        <f t="shared" si="26"/>
        <v>1.0216969502549857</v>
      </c>
      <c r="CV109" s="171">
        <f t="shared" si="27"/>
        <v>1.0216969502549857</v>
      </c>
      <c r="CW109" s="171">
        <f t="shared" si="28"/>
        <v>1.0216969502549857</v>
      </c>
      <c r="CX109" s="171">
        <f t="shared" si="29"/>
        <v>1.0216969502549857</v>
      </c>
      <c r="CY109" s="171">
        <f t="shared" ca="1" si="30"/>
        <v>0.96996554201845875</v>
      </c>
      <c r="CZ109" s="171">
        <f t="shared" ca="1" si="31"/>
        <v>0.92085344139312342</v>
      </c>
      <c r="DA109" s="171">
        <f t="shared" ca="1" si="32"/>
        <v>0.87422802542136224</v>
      </c>
      <c r="DB109" s="171">
        <f t="shared" ca="1" si="33"/>
        <v>0.82996338622125643</v>
      </c>
      <c r="DC109" s="171">
        <f t="shared" ca="1" si="34"/>
        <v>0.78793999098329781</v>
      </c>
      <c r="DD109" s="171">
        <f t="shared" ca="1" si="35"/>
        <v>0.74804435918243006</v>
      </c>
      <c r="DE109" s="171">
        <f t="shared" ca="1" si="36"/>
        <v>0.71016875613375718</v>
      </c>
      <c r="DF109" s="171">
        <f t="shared" ca="1" si="37"/>
        <v>0.67421090206439427</v>
      </c>
      <c r="DG109" s="171">
        <f t="shared" ca="1" si="38"/>
        <v>0.64007369591583352</v>
      </c>
      <c r="DH109" s="171">
        <f t="shared" ca="1" si="39"/>
        <v>0.60766495313097846</v>
      </c>
      <c r="DI109" s="171">
        <f t="shared" ca="1" si="40"/>
        <v>0.57689715671776276</v>
      </c>
      <c r="DJ109" s="171">
        <f t="shared" ca="1" si="41"/>
        <v>0.5476872209171223</v>
      </c>
      <c r="DK109" s="171">
        <f t="shared" ca="1" si="42"/>
        <v>0.51995626683712659</v>
      </c>
      <c r="DL109" s="171">
        <f t="shared" ca="1" si="43"/>
        <v>0.49362940944738987</v>
      </c>
      <c r="DM109" s="171">
        <f t="shared" ca="1" si="44"/>
        <v>0.46863555535855705</v>
      </c>
      <c r="DN109" s="171">
        <f t="shared" ca="1" si="45"/>
        <v>0.44490721084078716</v>
      </c>
      <c r="DO109" s="171">
        <f t="shared" ca="1" si="46"/>
        <v>0.42238029956280471</v>
      </c>
      <c r="DP109" s="171">
        <f t="shared" ca="1" si="47"/>
        <v>0.40099398955933752</v>
      </c>
      <c r="DQ109" s="171">
        <f t="shared" ca="1" si="48"/>
        <v>0.38069052895968458</v>
      </c>
      <c r="DR109" s="171">
        <f t="shared" ca="1" si="49"/>
        <v>0.36141509003380939</v>
      </c>
      <c r="DS109" s="171">
        <f t="shared" ca="1" si="50"/>
        <v>0.34311562113482319</v>
      </c>
      <c r="DT109" s="171">
        <f t="shared" ca="1" si="51"/>
        <v>0.32574270613803746</v>
      </c>
      <c r="DU109" s="171">
        <f t="shared" ca="1" si="52"/>
        <v>0</v>
      </c>
      <c r="DV109" s="171">
        <f t="shared" ca="1" si="53"/>
        <v>0</v>
      </c>
      <c r="DW109" s="171">
        <f t="shared" ca="1" si="54"/>
        <v>0</v>
      </c>
      <c r="DX109" s="171">
        <f t="shared" ca="1" si="55"/>
        <v>0</v>
      </c>
      <c r="DY109" s="171">
        <f t="shared" ca="1" si="56"/>
        <v>0</v>
      </c>
      <c r="DZ109" s="171">
        <f t="shared" ca="1" si="57"/>
        <v>0</v>
      </c>
      <c r="EA109" s="171">
        <f t="shared" ca="1" si="58"/>
        <v>0</v>
      </c>
      <c r="EB109" s="171">
        <f t="shared" ca="1" si="59"/>
        <v>0</v>
      </c>
      <c r="EC109" s="171">
        <f t="shared" ca="1" si="60"/>
        <v>0</v>
      </c>
      <c r="ED109" s="171">
        <f t="shared" ca="1" si="61"/>
        <v>0</v>
      </c>
      <c r="EE109" s="171">
        <f t="shared" ca="1" si="62"/>
        <v>0</v>
      </c>
      <c r="EF109" s="171">
        <f t="shared" ca="1" si="63"/>
        <v>0</v>
      </c>
      <c r="EG109" s="171">
        <f t="shared" ca="1" si="64"/>
        <v>0</v>
      </c>
      <c r="EH109" s="171">
        <f t="shared" ca="1" si="65"/>
        <v>0</v>
      </c>
      <c r="EI109" s="171">
        <f t="shared" ca="1" si="66"/>
        <v>0</v>
      </c>
      <c r="EJ109" s="171">
        <f t="shared" ca="1" si="67"/>
        <v>0</v>
      </c>
      <c r="EK109" s="171">
        <f t="shared" ca="1" si="68"/>
        <v>0</v>
      </c>
      <c r="EL109" s="171">
        <f t="shared" ca="1" si="69"/>
        <v>0</v>
      </c>
      <c r="EM109" s="171">
        <f t="shared" ca="1" si="70"/>
        <v>0</v>
      </c>
      <c r="EN109" s="171">
        <f t="shared" ca="1" si="71"/>
        <v>0</v>
      </c>
      <c r="EO109" s="171">
        <f t="shared" ca="1" si="72"/>
        <v>0</v>
      </c>
      <c r="EP109" s="171">
        <f t="shared" ca="1" si="73"/>
        <v>0</v>
      </c>
      <c r="EQ109" s="171">
        <f t="shared" ca="1" si="74"/>
        <v>0</v>
      </c>
      <c r="ER109" s="171">
        <f t="shared" ca="1" si="75"/>
        <v>0</v>
      </c>
      <c r="ES109" s="171">
        <f t="shared" ca="1" si="76"/>
        <v>0</v>
      </c>
    </row>
    <row r="110" spans="1:149">
      <c r="A110" s="139" t="s">
        <v>474</v>
      </c>
      <c r="B110" s="196" t="s">
        <v>477</v>
      </c>
      <c r="C110" s="160" t="s">
        <v>17</v>
      </c>
      <c r="D110" s="160" t="s">
        <v>417</v>
      </c>
      <c r="E110" s="160">
        <v>2014</v>
      </c>
      <c r="F110" s="160" t="s">
        <v>424</v>
      </c>
      <c r="G110" s="160" t="s">
        <v>289</v>
      </c>
      <c r="H110" s="160" t="s">
        <v>406</v>
      </c>
      <c r="I110" s="160" t="s">
        <v>365</v>
      </c>
      <c r="J110" s="160" t="s">
        <v>401</v>
      </c>
      <c r="K110" s="187">
        <v>60</v>
      </c>
      <c r="L110" s="163" t="s">
        <v>110</v>
      </c>
      <c r="M110" s="164">
        <f t="shared" si="0"/>
        <v>60</v>
      </c>
      <c r="N110" s="164">
        <f t="shared" si="1"/>
        <v>60</v>
      </c>
      <c r="O110" s="165">
        <f t="shared" si="2"/>
        <v>1</v>
      </c>
      <c r="P110" s="176">
        <v>0.12</v>
      </c>
      <c r="Q110" s="177">
        <v>30</v>
      </c>
      <c r="R110" s="168">
        <f t="shared" si="95"/>
        <v>20</v>
      </c>
      <c r="S110" s="178">
        <v>0</v>
      </c>
      <c r="T110" s="160" t="s">
        <v>289</v>
      </c>
      <c r="U110" s="171">
        <f t="shared" si="4"/>
        <v>7.4399999999999959</v>
      </c>
      <c r="V110" s="171">
        <f t="shared" ca="1" si="5"/>
        <v>5.3887738587044707</v>
      </c>
      <c r="W110" s="171">
        <f t="shared" ca="1" si="6"/>
        <v>161.66321576113413</v>
      </c>
      <c r="X110" s="172" t="str">
        <f t="shared" si="7"/>
        <v>Equity</v>
      </c>
      <c r="Y110" s="172" t="str">
        <f t="shared" si="8"/>
        <v>Equity</v>
      </c>
      <c r="Z110" s="173">
        <f t="shared" si="9"/>
        <v>223.19999999999987</v>
      </c>
      <c r="AA110" s="171">
        <f t="shared" si="108"/>
        <v>0</v>
      </c>
      <c r="AB110" s="171">
        <f t="shared" si="108"/>
        <v>0</v>
      </c>
      <c r="AC110" s="171">
        <f t="shared" si="108"/>
        <v>0</v>
      </c>
      <c r="AD110" s="171">
        <f t="shared" si="108"/>
        <v>0</v>
      </c>
      <c r="AE110" s="171">
        <f t="shared" si="108"/>
        <v>7.1999999999999993</v>
      </c>
      <c r="AF110" s="171">
        <f t="shared" si="108"/>
        <v>7.1999999999999993</v>
      </c>
      <c r="AG110" s="171">
        <f t="shared" si="108"/>
        <v>7.1999999999999993</v>
      </c>
      <c r="AH110" s="171">
        <f t="shared" si="108"/>
        <v>7.1999999999999993</v>
      </c>
      <c r="AI110" s="171">
        <f t="shared" si="108"/>
        <v>7.1999999999999993</v>
      </c>
      <c r="AJ110" s="171">
        <f t="shared" si="108"/>
        <v>7.1999999999999993</v>
      </c>
      <c r="AK110" s="171">
        <f t="shared" si="109"/>
        <v>7.1999999999999993</v>
      </c>
      <c r="AL110" s="171">
        <f t="shared" si="109"/>
        <v>7.1999999999999993</v>
      </c>
      <c r="AM110" s="171">
        <f t="shared" si="109"/>
        <v>7.1999999999999993</v>
      </c>
      <c r="AN110" s="171">
        <f t="shared" si="109"/>
        <v>7.1999999999999993</v>
      </c>
      <c r="AO110" s="171">
        <f t="shared" si="109"/>
        <v>7.1999999999999993</v>
      </c>
      <c r="AP110" s="171">
        <f t="shared" si="109"/>
        <v>7.1999999999999993</v>
      </c>
      <c r="AQ110" s="171">
        <f t="shared" si="109"/>
        <v>7.1999999999999993</v>
      </c>
      <c r="AR110" s="171">
        <f t="shared" si="109"/>
        <v>7.1999999999999993</v>
      </c>
      <c r="AS110" s="171">
        <f t="shared" si="109"/>
        <v>7.1999999999999993</v>
      </c>
      <c r="AT110" s="171">
        <f t="shared" si="109"/>
        <v>7.1999999999999993</v>
      </c>
      <c r="AU110" s="171">
        <f t="shared" si="110"/>
        <v>7.1999999999999993</v>
      </c>
      <c r="AV110" s="171">
        <f t="shared" si="110"/>
        <v>7.1999999999999993</v>
      </c>
      <c r="AW110" s="171">
        <f t="shared" si="110"/>
        <v>7.1999999999999993</v>
      </c>
      <c r="AX110" s="171">
        <f t="shared" si="110"/>
        <v>7.1999999999999993</v>
      </c>
      <c r="AY110" s="171">
        <f t="shared" si="110"/>
        <v>7.1999999999999993</v>
      </c>
      <c r="AZ110" s="171">
        <f t="shared" si="110"/>
        <v>7.1999999999999993</v>
      </c>
      <c r="BA110" s="171">
        <f t="shared" si="110"/>
        <v>7.1999999999999993</v>
      </c>
      <c r="BB110" s="171">
        <f t="shared" si="110"/>
        <v>7.1999999999999993</v>
      </c>
      <c r="BC110" s="171">
        <f t="shared" si="110"/>
        <v>7.1999999999999993</v>
      </c>
      <c r="BD110" s="171">
        <f t="shared" si="110"/>
        <v>7.1999999999999993</v>
      </c>
      <c r="BE110" s="171">
        <f t="shared" si="111"/>
        <v>7.1999999999999993</v>
      </c>
      <c r="BF110" s="171">
        <f t="shared" si="111"/>
        <v>7.1999999999999993</v>
      </c>
      <c r="BG110" s="171">
        <f t="shared" si="111"/>
        <v>7.1999999999999993</v>
      </c>
      <c r="BH110" s="171">
        <f t="shared" si="111"/>
        <v>7.1999999999999993</v>
      </c>
      <c r="BI110" s="171">
        <f t="shared" si="111"/>
        <v>7.1999999999999993</v>
      </c>
      <c r="BJ110" s="171">
        <f t="shared" si="111"/>
        <v>0</v>
      </c>
      <c r="BK110" s="171">
        <f t="shared" si="111"/>
        <v>0</v>
      </c>
      <c r="BL110" s="171">
        <f t="shared" si="111"/>
        <v>0</v>
      </c>
      <c r="BM110" s="171">
        <f t="shared" si="111"/>
        <v>0</v>
      </c>
      <c r="BN110" s="171">
        <f t="shared" si="111"/>
        <v>0</v>
      </c>
      <c r="BO110" s="171">
        <f t="shared" si="112"/>
        <v>0</v>
      </c>
      <c r="BP110" s="171">
        <f t="shared" si="112"/>
        <v>0</v>
      </c>
      <c r="BQ110" s="171">
        <f t="shared" si="112"/>
        <v>0</v>
      </c>
      <c r="BR110" s="171">
        <f t="shared" si="112"/>
        <v>0</v>
      </c>
      <c r="BS110" s="171">
        <f t="shared" si="112"/>
        <v>0</v>
      </c>
      <c r="BT110" s="171">
        <f t="shared" si="112"/>
        <v>0</v>
      </c>
      <c r="BU110" s="171">
        <f t="shared" si="112"/>
        <v>0</v>
      </c>
      <c r="BV110" s="171">
        <f t="shared" si="112"/>
        <v>0</v>
      </c>
      <c r="BW110" s="171">
        <f t="shared" si="112"/>
        <v>0</v>
      </c>
      <c r="BX110" s="171">
        <f t="shared" si="112"/>
        <v>0</v>
      </c>
      <c r="BY110" s="171">
        <f t="shared" si="113"/>
        <v>0</v>
      </c>
      <c r="BZ110" s="171">
        <f t="shared" si="113"/>
        <v>0</v>
      </c>
      <c r="CA110" s="171">
        <f t="shared" si="113"/>
        <v>0</v>
      </c>
      <c r="CB110" s="171">
        <f t="shared" si="113"/>
        <v>0</v>
      </c>
      <c r="CC110" s="171">
        <f t="shared" si="113"/>
        <v>0</v>
      </c>
      <c r="CD110" s="171">
        <f t="shared" si="113"/>
        <v>0</v>
      </c>
      <c r="CE110" s="171">
        <f t="shared" si="113"/>
        <v>0</v>
      </c>
      <c r="CF110" s="171">
        <f t="shared" si="113"/>
        <v>0</v>
      </c>
      <c r="CG110" s="171">
        <f t="shared" si="113"/>
        <v>0</v>
      </c>
      <c r="CH110" s="171">
        <f t="shared" si="113"/>
        <v>0</v>
      </c>
      <c r="CI110" s="171">
        <f t="shared" si="113"/>
        <v>0</v>
      </c>
      <c r="CJ110" s="243"/>
      <c r="CK110" s="171">
        <f t="shared" si="16"/>
        <v>0</v>
      </c>
      <c r="CL110" s="171">
        <f t="shared" si="17"/>
        <v>0</v>
      </c>
      <c r="CM110" s="171">
        <f t="shared" si="18"/>
        <v>0</v>
      </c>
      <c r="CN110" s="171">
        <f t="shared" si="19"/>
        <v>0</v>
      </c>
      <c r="CO110" s="171">
        <f t="shared" si="20"/>
        <v>7.1999999999999993</v>
      </c>
      <c r="CP110" s="171">
        <f t="shared" si="21"/>
        <v>7.1999999999999993</v>
      </c>
      <c r="CQ110" s="171">
        <f t="shared" si="22"/>
        <v>7.1999999999999993</v>
      </c>
      <c r="CR110" s="171">
        <f t="shared" si="23"/>
        <v>7.1999999999999993</v>
      </c>
      <c r="CS110" s="171">
        <f t="shared" si="24"/>
        <v>7.1999999999999993</v>
      </c>
      <c r="CT110" s="171">
        <f t="shared" si="25"/>
        <v>7.1999999999999993</v>
      </c>
      <c r="CU110" s="171">
        <f t="shared" si="26"/>
        <v>7.1999999999999993</v>
      </c>
      <c r="CV110" s="171">
        <f t="shared" si="27"/>
        <v>7.1999999999999993</v>
      </c>
      <c r="CW110" s="171">
        <f t="shared" si="28"/>
        <v>7.1999999999999993</v>
      </c>
      <c r="CX110" s="171">
        <f t="shared" si="29"/>
        <v>7.1999999999999993</v>
      </c>
      <c r="CY110" s="171">
        <f t="shared" ca="1" si="30"/>
        <v>6.8354436222893309</v>
      </c>
      <c r="CZ110" s="171">
        <f t="shared" ca="1" si="31"/>
        <v>6.4893457657633187</v>
      </c>
      <c r="DA110" s="171">
        <f t="shared" ca="1" si="32"/>
        <v>6.1607718232523832</v>
      </c>
      <c r="DB110" s="171">
        <f t="shared" ca="1" si="33"/>
        <v>5.8488345093930993</v>
      </c>
      <c r="DC110" s="171">
        <f t="shared" ca="1" si="34"/>
        <v>5.5526914645912244</v>
      </c>
      <c r="DD110" s="171">
        <f t="shared" ca="1" si="35"/>
        <v>5.2715429803028462</v>
      </c>
      <c r="DE110" s="171">
        <f t="shared" ca="1" si="36"/>
        <v>5.004629839490998</v>
      </c>
      <c r="DF110" s="171">
        <f t="shared" ca="1" si="37"/>
        <v>4.7512312664260588</v>
      </c>
      <c r="DG110" s="171">
        <f t="shared" ca="1" si="38"/>
        <v>4.5106629802935654</v>
      </c>
      <c r="DH110" s="171">
        <f t="shared" ca="1" si="39"/>
        <v>4.2822753473533668</v>
      </c>
      <c r="DI110" s="171">
        <f t="shared" ca="1" si="40"/>
        <v>4.0654516266601943</v>
      </c>
      <c r="DJ110" s="171">
        <f t="shared" ca="1" si="41"/>
        <v>3.8596063046083633</v>
      </c>
      <c r="DK110" s="171">
        <f t="shared" ca="1" si="42"/>
        <v>3.6641835138031849</v>
      </c>
      <c r="DL110" s="171">
        <f t="shared" ca="1" si="43"/>
        <v>3.4786555319894017</v>
      </c>
      <c r="DM110" s="171">
        <f t="shared" ca="1" si="44"/>
        <v>3.3025213569831195</v>
      </c>
      <c r="DN110" s="171">
        <f t="shared" ca="1" si="45"/>
        <v>3.1353053537589681</v>
      </c>
      <c r="DO110" s="171">
        <f t="shared" ca="1" si="46"/>
        <v>2.9765559700390747</v>
      </c>
      <c r="DP110" s="171">
        <f t="shared" ca="1" si="47"/>
        <v>2.8258445169153923</v>
      </c>
      <c r="DQ110" s="171">
        <f t="shared" ca="1" si="48"/>
        <v>2.682764011212583</v>
      </c>
      <c r="DR110" s="171">
        <f t="shared" ca="1" si="49"/>
        <v>2.5469280764653326</v>
      </c>
      <c r="DS110" s="171">
        <f t="shared" ca="1" si="50"/>
        <v>2.4179698995423045</v>
      </c>
      <c r="DT110" s="171">
        <f t="shared" ca="1" si="51"/>
        <v>0</v>
      </c>
      <c r="DU110" s="171">
        <f t="shared" ca="1" si="52"/>
        <v>0</v>
      </c>
      <c r="DV110" s="171">
        <f t="shared" ca="1" si="53"/>
        <v>0</v>
      </c>
      <c r="DW110" s="171">
        <f t="shared" ca="1" si="54"/>
        <v>0</v>
      </c>
      <c r="DX110" s="171">
        <f t="shared" ca="1" si="55"/>
        <v>0</v>
      </c>
      <c r="DY110" s="171">
        <f t="shared" ca="1" si="56"/>
        <v>0</v>
      </c>
      <c r="DZ110" s="171">
        <f t="shared" ca="1" si="57"/>
        <v>0</v>
      </c>
      <c r="EA110" s="171">
        <f t="shared" ca="1" si="58"/>
        <v>0</v>
      </c>
      <c r="EB110" s="171">
        <f t="shared" ca="1" si="59"/>
        <v>0</v>
      </c>
      <c r="EC110" s="171">
        <f t="shared" ca="1" si="60"/>
        <v>0</v>
      </c>
      <c r="ED110" s="171">
        <f t="shared" ca="1" si="61"/>
        <v>0</v>
      </c>
      <c r="EE110" s="171">
        <f t="shared" ca="1" si="62"/>
        <v>0</v>
      </c>
      <c r="EF110" s="171">
        <f t="shared" ca="1" si="63"/>
        <v>0</v>
      </c>
      <c r="EG110" s="171">
        <f t="shared" ca="1" si="64"/>
        <v>0</v>
      </c>
      <c r="EH110" s="171">
        <f t="shared" ca="1" si="65"/>
        <v>0</v>
      </c>
      <c r="EI110" s="171">
        <f t="shared" ca="1" si="66"/>
        <v>0</v>
      </c>
      <c r="EJ110" s="171">
        <f t="shared" ca="1" si="67"/>
        <v>0</v>
      </c>
      <c r="EK110" s="171">
        <f t="shared" ca="1" si="68"/>
        <v>0</v>
      </c>
      <c r="EL110" s="171">
        <f t="shared" ca="1" si="69"/>
        <v>0</v>
      </c>
      <c r="EM110" s="171">
        <f t="shared" ca="1" si="70"/>
        <v>0</v>
      </c>
      <c r="EN110" s="171">
        <f t="shared" ca="1" si="71"/>
        <v>0</v>
      </c>
      <c r="EO110" s="171">
        <f t="shared" ca="1" si="72"/>
        <v>0</v>
      </c>
      <c r="EP110" s="171">
        <f t="shared" ca="1" si="73"/>
        <v>0</v>
      </c>
      <c r="EQ110" s="171">
        <f t="shared" ca="1" si="74"/>
        <v>0</v>
      </c>
      <c r="ER110" s="171">
        <f t="shared" ca="1" si="75"/>
        <v>0</v>
      </c>
      <c r="ES110" s="171">
        <f t="shared" ca="1" si="76"/>
        <v>0</v>
      </c>
    </row>
    <row r="111" spans="1:149">
      <c r="A111" s="139" t="s">
        <v>474</v>
      </c>
      <c r="B111" s="160" t="s">
        <v>478</v>
      </c>
      <c r="C111" s="160" t="s">
        <v>17</v>
      </c>
      <c r="D111" s="160" t="s">
        <v>417</v>
      </c>
      <c r="E111" s="160">
        <v>2013</v>
      </c>
      <c r="F111" s="160" t="s">
        <v>405</v>
      </c>
      <c r="G111" s="160" t="s">
        <v>289</v>
      </c>
      <c r="H111" s="160" t="s">
        <v>406</v>
      </c>
      <c r="I111" s="160" t="s">
        <v>365</v>
      </c>
      <c r="J111" s="160" t="s">
        <v>407</v>
      </c>
      <c r="K111" s="187">
        <v>20</v>
      </c>
      <c r="L111" s="163" t="s">
        <v>110</v>
      </c>
      <c r="M111" s="164">
        <f t="shared" si="0"/>
        <v>20</v>
      </c>
      <c r="N111" s="164">
        <f t="shared" si="1"/>
        <v>20</v>
      </c>
      <c r="O111" s="165">
        <f t="shared" si="2"/>
        <v>1</v>
      </c>
      <c r="P111" s="197">
        <v>0.12</v>
      </c>
      <c r="Q111" s="177">
        <v>30</v>
      </c>
      <c r="R111" s="168">
        <f t="shared" si="95"/>
        <v>19</v>
      </c>
      <c r="S111" s="178">
        <v>0</v>
      </c>
      <c r="T111" s="160" t="s">
        <v>289</v>
      </c>
      <c r="U111" s="171">
        <f t="shared" si="4"/>
        <v>2.48</v>
      </c>
      <c r="V111" s="171">
        <f t="shared" ca="1" si="5"/>
        <v>1.8493916206843539</v>
      </c>
      <c r="W111" s="171">
        <f t="shared" ca="1" si="6"/>
        <v>55.481748620530617</v>
      </c>
      <c r="X111" s="172" t="str">
        <f t="shared" si="7"/>
        <v>Equity</v>
      </c>
      <c r="Y111" s="172" t="str">
        <f t="shared" si="8"/>
        <v>Equity</v>
      </c>
      <c r="Z111" s="173">
        <f t="shared" si="9"/>
        <v>74.400000000000006</v>
      </c>
      <c r="AA111" s="171">
        <f t="shared" si="108"/>
        <v>0</v>
      </c>
      <c r="AB111" s="171">
        <f t="shared" si="108"/>
        <v>0</v>
      </c>
      <c r="AC111" s="171">
        <f t="shared" si="108"/>
        <v>0</v>
      </c>
      <c r="AD111" s="171">
        <f t="shared" si="108"/>
        <v>2.4</v>
      </c>
      <c r="AE111" s="171">
        <f t="shared" si="108"/>
        <v>2.4</v>
      </c>
      <c r="AF111" s="171">
        <f t="shared" si="108"/>
        <v>2.4</v>
      </c>
      <c r="AG111" s="171">
        <f t="shared" si="108"/>
        <v>2.4</v>
      </c>
      <c r="AH111" s="171">
        <f t="shared" si="108"/>
        <v>2.4</v>
      </c>
      <c r="AI111" s="171">
        <f t="shared" si="108"/>
        <v>2.4</v>
      </c>
      <c r="AJ111" s="171">
        <f t="shared" si="108"/>
        <v>2.4</v>
      </c>
      <c r="AK111" s="171">
        <f t="shared" si="109"/>
        <v>2.4</v>
      </c>
      <c r="AL111" s="171">
        <f t="shared" si="109"/>
        <v>2.4</v>
      </c>
      <c r="AM111" s="171">
        <f t="shared" si="109"/>
        <v>2.4</v>
      </c>
      <c r="AN111" s="171">
        <f t="shared" si="109"/>
        <v>2.4</v>
      </c>
      <c r="AO111" s="171">
        <f t="shared" si="109"/>
        <v>2.4</v>
      </c>
      <c r="AP111" s="171">
        <f t="shared" si="109"/>
        <v>2.4</v>
      </c>
      <c r="AQ111" s="171">
        <f t="shared" si="109"/>
        <v>2.4</v>
      </c>
      <c r="AR111" s="171">
        <f t="shared" si="109"/>
        <v>2.4</v>
      </c>
      <c r="AS111" s="171">
        <f t="shared" si="109"/>
        <v>2.4</v>
      </c>
      <c r="AT111" s="171">
        <f t="shared" si="109"/>
        <v>2.4</v>
      </c>
      <c r="AU111" s="171">
        <f t="shared" si="110"/>
        <v>2.4</v>
      </c>
      <c r="AV111" s="171">
        <f t="shared" si="110"/>
        <v>2.4</v>
      </c>
      <c r="AW111" s="171">
        <f t="shared" si="110"/>
        <v>2.4</v>
      </c>
      <c r="AX111" s="171">
        <f t="shared" si="110"/>
        <v>2.4</v>
      </c>
      <c r="AY111" s="171">
        <f t="shared" si="110"/>
        <v>2.4</v>
      </c>
      <c r="AZ111" s="171">
        <f t="shared" si="110"/>
        <v>2.4</v>
      </c>
      <c r="BA111" s="171">
        <f t="shared" si="110"/>
        <v>2.4</v>
      </c>
      <c r="BB111" s="171">
        <f t="shared" si="110"/>
        <v>2.4</v>
      </c>
      <c r="BC111" s="171">
        <f t="shared" si="110"/>
        <v>2.4</v>
      </c>
      <c r="BD111" s="171">
        <f t="shared" si="110"/>
        <v>2.4</v>
      </c>
      <c r="BE111" s="171">
        <f t="shared" si="111"/>
        <v>2.4</v>
      </c>
      <c r="BF111" s="171">
        <f t="shared" si="111"/>
        <v>2.4</v>
      </c>
      <c r="BG111" s="171">
        <f t="shared" si="111"/>
        <v>2.4</v>
      </c>
      <c r="BH111" s="171">
        <f t="shared" si="111"/>
        <v>2.4</v>
      </c>
      <c r="BI111" s="171">
        <f t="shared" si="111"/>
        <v>0</v>
      </c>
      <c r="BJ111" s="171">
        <f t="shared" si="111"/>
        <v>0</v>
      </c>
      <c r="BK111" s="171">
        <f t="shared" si="111"/>
        <v>0</v>
      </c>
      <c r="BL111" s="171">
        <f t="shared" si="111"/>
        <v>0</v>
      </c>
      <c r="BM111" s="171">
        <f t="shared" si="111"/>
        <v>0</v>
      </c>
      <c r="BN111" s="171">
        <f t="shared" si="111"/>
        <v>0</v>
      </c>
      <c r="BO111" s="171">
        <f t="shared" si="112"/>
        <v>0</v>
      </c>
      <c r="BP111" s="171">
        <f t="shared" si="112"/>
        <v>0</v>
      </c>
      <c r="BQ111" s="171">
        <f t="shared" si="112"/>
        <v>0</v>
      </c>
      <c r="BR111" s="171">
        <f t="shared" si="112"/>
        <v>0</v>
      </c>
      <c r="BS111" s="171">
        <f t="shared" si="112"/>
        <v>0</v>
      </c>
      <c r="BT111" s="171">
        <f t="shared" si="112"/>
        <v>0</v>
      </c>
      <c r="BU111" s="171">
        <f t="shared" si="112"/>
        <v>0</v>
      </c>
      <c r="BV111" s="171">
        <f t="shared" si="112"/>
        <v>0</v>
      </c>
      <c r="BW111" s="171">
        <f t="shared" si="112"/>
        <v>0</v>
      </c>
      <c r="BX111" s="171">
        <f t="shared" si="112"/>
        <v>0</v>
      </c>
      <c r="BY111" s="171">
        <f t="shared" si="113"/>
        <v>0</v>
      </c>
      <c r="BZ111" s="171">
        <f t="shared" si="113"/>
        <v>0</v>
      </c>
      <c r="CA111" s="171">
        <f t="shared" si="113"/>
        <v>0</v>
      </c>
      <c r="CB111" s="171">
        <f t="shared" si="113"/>
        <v>0</v>
      </c>
      <c r="CC111" s="171">
        <f t="shared" si="113"/>
        <v>0</v>
      </c>
      <c r="CD111" s="171">
        <f t="shared" si="113"/>
        <v>0</v>
      </c>
      <c r="CE111" s="171">
        <f t="shared" si="113"/>
        <v>0</v>
      </c>
      <c r="CF111" s="171">
        <f t="shared" si="113"/>
        <v>0</v>
      </c>
      <c r="CG111" s="171">
        <f t="shared" si="113"/>
        <v>0</v>
      </c>
      <c r="CH111" s="171">
        <f t="shared" si="113"/>
        <v>0</v>
      </c>
      <c r="CI111" s="171">
        <f t="shared" si="113"/>
        <v>0</v>
      </c>
      <c r="CJ111" s="243"/>
      <c r="CK111" s="171">
        <f t="shared" si="16"/>
        <v>0</v>
      </c>
      <c r="CL111" s="171">
        <f t="shared" si="17"/>
        <v>0</v>
      </c>
      <c r="CM111" s="171">
        <f t="shared" si="18"/>
        <v>0</v>
      </c>
      <c r="CN111" s="171">
        <f t="shared" si="19"/>
        <v>2.4</v>
      </c>
      <c r="CO111" s="171">
        <f t="shared" si="20"/>
        <v>2.4</v>
      </c>
      <c r="CP111" s="171">
        <f t="shared" si="21"/>
        <v>2.4</v>
      </c>
      <c r="CQ111" s="171">
        <f t="shared" si="22"/>
        <v>2.4</v>
      </c>
      <c r="CR111" s="171">
        <f t="shared" si="23"/>
        <v>2.4</v>
      </c>
      <c r="CS111" s="171">
        <f t="shared" si="24"/>
        <v>2.4</v>
      </c>
      <c r="CT111" s="171">
        <f t="shared" si="25"/>
        <v>2.4</v>
      </c>
      <c r="CU111" s="171">
        <f t="shared" si="26"/>
        <v>2.4</v>
      </c>
      <c r="CV111" s="171">
        <f t="shared" si="27"/>
        <v>2.4</v>
      </c>
      <c r="CW111" s="171">
        <f t="shared" si="28"/>
        <v>2.4</v>
      </c>
      <c r="CX111" s="171">
        <f t="shared" si="29"/>
        <v>2.4</v>
      </c>
      <c r="CY111" s="171">
        <f t="shared" ca="1" si="30"/>
        <v>2.2784812074297771</v>
      </c>
      <c r="CZ111" s="171">
        <f t="shared" ca="1" si="31"/>
        <v>2.1631152552544397</v>
      </c>
      <c r="DA111" s="171">
        <f t="shared" ca="1" si="32"/>
        <v>2.0535906077507944</v>
      </c>
      <c r="DB111" s="171">
        <f t="shared" ca="1" si="33"/>
        <v>1.9496115031310333</v>
      </c>
      <c r="DC111" s="171">
        <f t="shared" ca="1" si="34"/>
        <v>1.8508971548637414</v>
      </c>
      <c r="DD111" s="171">
        <f t="shared" ca="1" si="35"/>
        <v>1.7571809934342821</v>
      </c>
      <c r="DE111" s="171">
        <f t="shared" ca="1" si="36"/>
        <v>1.6682099464969995</v>
      </c>
      <c r="DF111" s="171">
        <f t="shared" ca="1" si="37"/>
        <v>1.5837437554753531</v>
      </c>
      <c r="DG111" s="171">
        <f t="shared" ca="1" si="38"/>
        <v>1.5035543267645219</v>
      </c>
      <c r="DH111" s="171">
        <f t="shared" ca="1" si="39"/>
        <v>1.4274251157844555</v>
      </c>
      <c r="DI111" s="171">
        <f t="shared" ca="1" si="40"/>
        <v>1.3551505422200649</v>
      </c>
      <c r="DJ111" s="171">
        <f t="shared" ca="1" si="41"/>
        <v>1.2865354348694547</v>
      </c>
      <c r="DK111" s="171">
        <f t="shared" ca="1" si="42"/>
        <v>1.2213945046010617</v>
      </c>
      <c r="DL111" s="171">
        <f t="shared" ca="1" si="43"/>
        <v>1.1595518439964674</v>
      </c>
      <c r="DM111" s="171">
        <f t="shared" ca="1" si="44"/>
        <v>1.1008404523277067</v>
      </c>
      <c r="DN111" s="171">
        <f t="shared" ca="1" si="45"/>
        <v>1.0451017845863229</v>
      </c>
      <c r="DO111" s="171">
        <f t="shared" ca="1" si="46"/>
        <v>0.99218532334635834</v>
      </c>
      <c r="DP111" s="171">
        <f t="shared" ca="1" si="47"/>
        <v>0.94194817230513084</v>
      </c>
      <c r="DQ111" s="171">
        <f t="shared" ca="1" si="48"/>
        <v>0.89425467040419448</v>
      </c>
      <c r="DR111" s="171">
        <f t="shared" ca="1" si="49"/>
        <v>0.84897602548844431</v>
      </c>
      <c r="DS111" s="171">
        <f t="shared" ca="1" si="50"/>
        <v>0</v>
      </c>
      <c r="DT111" s="171">
        <f t="shared" ca="1" si="51"/>
        <v>0</v>
      </c>
      <c r="DU111" s="171">
        <f t="shared" ca="1" si="52"/>
        <v>0</v>
      </c>
      <c r="DV111" s="171">
        <f t="shared" ca="1" si="53"/>
        <v>0</v>
      </c>
      <c r="DW111" s="171">
        <f t="shared" ca="1" si="54"/>
        <v>0</v>
      </c>
      <c r="DX111" s="171">
        <f t="shared" ca="1" si="55"/>
        <v>0</v>
      </c>
      <c r="DY111" s="171">
        <f t="shared" ca="1" si="56"/>
        <v>0</v>
      </c>
      <c r="DZ111" s="171">
        <f t="shared" ca="1" si="57"/>
        <v>0</v>
      </c>
      <c r="EA111" s="171">
        <f t="shared" ca="1" si="58"/>
        <v>0</v>
      </c>
      <c r="EB111" s="171">
        <f t="shared" ca="1" si="59"/>
        <v>0</v>
      </c>
      <c r="EC111" s="171">
        <f t="shared" ca="1" si="60"/>
        <v>0</v>
      </c>
      <c r="ED111" s="171">
        <f t="shared" ca="1" si="61"/>
        <v>0</v>
      </c>
      <c r="EE111" s="171">
        <f t="shared" ca="1" si="62"/>
        <v>0</v>
      </c>
      <c r="EF111" s="171">
        <f t="shared" ca="1" si="63"/>
        <v>0</v>
      </c>
      <c r="EG111" s="171">
        <f t="shared" ca="1" si="64"/>
        <v>0</v>
      </c>
      <c r="EH111" s="171">
        <f t="shared" ca="1" si="65"/>
        <v>0</v>
      </c>
      <c r="EI111" s="171">
        <f t="shared" ca="1" si="66"/>
        <v>0</v>
      </c>
      <c r="EJ111" s="171">
        <f t="shared" ca="1" si="67"/>
        <v>0</v>
      </c>
      <c r="EK111" s="171">
        <f t="shared" ca="1" si="68"/>
        <v>0</v>
      </c>
      <c r="EL111" s="171">
        <f t="shared" ca="1" si="69"/>
        <v>0</v>
      </c>
      <c r="EM111" s="171">
        <f t="shared" ca="1" si="70"/>
        <v>0</v>
      </c>
      <c r="EN111" s="171">
        <f t="shared" ca="1" si="71"/>
        <v>0</v>
      </c>
      <c r="EO111" s="171">
        <f t="shared" ca="1" si="72"/>
        <v>0</v>
      </c>
      <c r="EP111" s="171">
        <f t="shared" ca="1" si="73"/>
        <v>0</v>
      </c>
      <c r="EQ111" s="171">
        <f t="shared" ca="1" si="74"/>
        <v>0</v>
      </c>
      <c r="ER111" s="171">
        <f t="shared" ca="1" si="75"/>
        <v>0</v>
      </c>
      <c r="ES111" s="171">
        <f t="shared" ca="1" si="76"/>
        <v>0</v>
      </c>
    </row>
    <row r="112" spans="1:149">
      <c r="A112" s="139" t="s">
        <v>479</v>
      </c>
      <c r="B112" s="174" t="s">
        <v>480</v>
      </c>
      <c r="C112" s="160" t="s">
        <v>105</v>
      </c>
      <c r="D112" s="160" t="s">
        <v>428</v>
      </c>
      <c r="E112" s="160">
        <v>2013</v>
      </c>
      <c r="F112" s="194" t="s">
        <v>395</v>
      </c>
      <c r="G112" s="160" t="s">
        <v>402</v>
      </c>
      <c r="H112" s="194" t="s">
        <v>396</v>
      </c>
      <c r="I112" s="198" t="s">
        <v>182</v>
      </c>
      <c r="J112" s="194" t="s">
        <v>397</v>
      </c>
      <c r="K112" s="187">
        <v>70.73</v>
      </c>
      <c r="L112" s="163" t="s">
        <v>110</v>
      </c>
      <c r="M112" s="164">
        <f t="shared" si="0"/>
        <v>70.73</v>
      </c>
      <c r="N112" s="164">
        <f t="shared" si="1"/>
        <v>70.73</v>
      </c>
      <c r="O112" s="165">
        <f t="shared" si="2"/>
        <v>1</v>
      </c>
      <c r="P112" s="180">
        <v>4.67050023375409E-3</v>
      </c>
      <c r="Q112" s="183">
        <v>27.433286582515194</v>
      </c>
      <c r="R112" s="168">
        <f t="shared" si="95"/>
        <v>16.433286582515194</v>
      </c>
      <c r="S112" s="186">
        <v>11.475549322113139</v>
      </c>
      <c r="T112" s="170" t="s">
        <v>403</v>
      </c>
      <c r="U112" s="171">
        <f t="shared" si="4"/>
        <v>2.680420034512013</v>
      </c>
      <c r="V112" s="171">
        <f t="shared" ca="1" si="5"/>
        <v>1.7366391562211396</v>
      </c>
      <c r="W112" s="171">
        <f t="shared" ref="W112:W117" ca="1" si="114">SUM(CK112:ES112)</f>
        <v>47.6417196630319</v>
      </c>
      <c r="X112" s="172">
        <f t="shared" si="7"/>
        <v>5.5154370761636429E-2</v>
      </c>
      <c r="Y112" s="172">
        <f t="shared" si="8"/>
        <v>0.94484562923836357</v>
      </c>
      <c r="Z112" s="173">
        <f t="shared" si="9"/>
        <v>73.532730968283317</v>
      </c>
      <c r="AA112" s="171">
        <f t="shared" si="108"/>
        <v>0</v>
      </c>
      <c r="AB112" s="171">
        <f t="shared" si="108"/>
        <v>0</v>
      </c>
      <c r="AC112" s="171">
        <f t="shared" si="108"/>
        <v>0</v>
      </c>
      <c r="AD112" s="171">
        <f t="shared" si="108"/>
        <v>0.33034448153342683</v>
      </c>
      <c r="AE112" s="171">
        <f t="shared" si="108"/>
        <v>0.33034448153342683</v>
      </c>
      <c r="AF112" s="171">
        <f t="shared" si="108"/>
        <v>0.33034448153342683</v>
      </c>
      <c r="AG112" s="171">
        <f t="shared" si="108"/>
        <v>0.33034448153342683</v>
      </c>
      <c r="AH112" s="171">
        <f t="shared" si="108"/>
        <v>0.33034448153342683</v>
      </c>
      <c r="AI112" s="171">
        <f t="shared" si="108"/>
        <v>0.33034448153342683</v>
      </c>
      <c r="AJ112" s="171">
        <f t="shared" si="108"/>
        <v>0.33034448153342683</v>
      </c>
      <c r="AK112" s="171">
        <f t="shared" si="109"/>
        <v>0.33034448153342683</v>
      </c>
      <c r="AL112" s="171">
        <f t="shared" si="109"/>
        <v>0.33034448153342683</v>
      </c>
      <c r="AM112" s="171">
        <f t="shared" si="109"/>
        <v>0.33034448153342683</v>
      </c>
      <c r="AN112" s="171">
        <f t="shared" si="109"/>
        <v>0.33034448153342683</v>
      </c>
      <c r="AO112" s="171">
        <f t="shared" si="109"/>
        <v>0.33034448153342683</v>
      </c>
      <c r="AP112" s="171">
        <f t="shared" si="109"/>
        <v>4.3480373243676365</v>
      </c>
      <c r="AQ112" s="171">
        <f t="shared" si="109"/>
        <v>4.3480373243676365</v>
      </c>
      <c r="AR112" s="171">
        <f t="shared" si="109"/>
        <v>4.3480373243676365</v>
      </c>
      <c r="AS112" s="171">
        <f t="shared" si="109"/>
        <v>4.3480373243676365</v>
      </c>
      <c r="AT112" s="171">
        <f t="shared" si="109"/>
        <v>4.3480373243676365</v>
      </c>
      <c r="AU112" s="171">
        <f t="shared" si="110"/>
        <v>4.3480373243676365</v>
      </c>
      <c r="AV112" s="171">
        <f t="shared" si="110"/>
        <v>4.3480373243676365</v>
      </c>
      <c r="AW112" s="171">
        <f t="shared" si="110"/>
        <v>4.3480373243676365</v>
      </c>
      <c r="AX112" s="171">
        <f t="shared" si="110"/>
        <v>4.3480373243676365</v>
      </c>
      <c r="AY112" s="171">
        <f t="shared" si="110"/>
        <v>4.3480373243676365</v>
      </c>
      <c r="AZ112" s="171">
        <f t="shared" si="110"/>
        <v>4.3480373243676365</v>
      </c>
      <c r="BA112" s="171">
        <f t="shared" si="110"/>
        <v>4.3480373243676365</v>
      </c>
      <c r="BB112" s="171">
        <f t="shared" si="110"/>
        <v>4.3480373243676365</v>
      </c>
      <c r="BC112" s="171">
        <f t="shared" si="110"/>
        <v>4.3480373243676365</v>
      </c>
      <c r="BD112" s="171">
        <f t="shared" si="110"/>
        <v>4.3480373243676365</v>
      </c>
      <c r="BE112" s="171">
        <f t="shared" si="111"/>
        <v>4.3480373243676365</v>
      </c>
      <c r="BF112" s="171">
        <f t="shared" si="111"/>
        <v>0</v>
      </c>
      <c r="BG112" s="171">
        <f t="shared" si="111"/>
        <v>0</v>
      </c>
      <c r="BH112" s="171">
        <f t="shared" si="111"/>
        <v>0</v>
      </c>
      <c r="BI112" s="171">
        <f t="shared" si="111"/>
        <v>0</v>
      </c>
      <c r="BJ112" s="171">
        <f t="shared" si="111"/>
        <v>0</v>
      </c>
      <c r="BK112" s="171">
        <f t="shared" si="111"/>
        <v>0</v>
      </c>
      <c r="BL112" s="171">
        <f t="shared" si="111"/>
        <v>0</v>
      </c>
      <c r="BM112" s="171">
        <f t="shared" si="111"/>
        <v>0</v>
      </c>
      <c r="BN112" s="171">
        <f t="shared" si="111"/>
        <v>0</v>
      </c>
      <c r="BO112" s="171">
        <f t="shared" si="112"/>
        <v>0</v>
      </c>
      <c r="BP112" s="171">
        <f t="shared" si="112"/>
        <v>0</v>
      </c>
      <c r="BQ112" s="171">
        <f t="shared" si="112"/>
        <v>0</v>
      </c>
      <c r="BR112" s="171">
        <f t="shared" si="112"/>
        <v>0</v>
      </c>
      <c r="BS112" s="171">
        <f t="shared" si="112"/>
        <v>0</v>
      </c>
      <c r="BT112" s="171">
        <f t="shared" si="112"/>
        <v>0</v>
      </c>
      <c r="BU112" s="171">
        <f t="shared" si="112"/>
        <v>0</v>
      </c>
      <c r="BV112" s="171">
        <f t="shared" si="112"/>
        <v>0</v>
      </c>
      <c r="BW112" s="171">
        <f t="shared" si="112"/>
        <v>0</v>
      </c>
      <c r="BX112" s="171">
        <f t="shared" si="112"/>
        <v>0</v>
      </c>
      <c r="BY112" s="171">
        <f t="shared" si="113"/>
        <v>0</v>
      </c>
      <c r="BZ112" s="171">
        <f t="shared" si="113"/>
        <v>0</v>
      </c>
      <c r="CA112" s="171">
        <f t="shared" si="113"/>
        <v>0</v>
      </c>
      <c r="CB112" s="171">
        <f t="shared" si="113"/>
        <v>0</v>
      </c>
      <c r="CC112" s="171">
        <f t="shared" si="113"/>
        <v>0</v>
      </c>
      <c r="CD112" s="171">
        <f t="shared" si="113"/>
        <v>0</v>
      </c>
      <c r="CE112" s="171">
        <f t="shared" si="113"/>
        <v>0</v>
      </c>
      <c r="CF112" s="171">
        <f t="shared" si="113"/>
        <v>0</v>
      </c>
      <c r="CG112" s="171">
        <f t="shared" si="113"/>
        <v>0</v>
      </c>
      <c r="CH112" s="171">
        <f t="shared" si="113"/>
        <v>0</v>
      </c>
      <c r="CI112" s="171">
        <f t="shared" si="113"/>
        <v>0</v>
      </c>
      <c r="CJ112" s="243"/>
      <c r="CK112" s="171">
        <f t="shared" si="16"/>
        <v>0</v>
      </c>
      <c r="CL112" s="171">
        <f t="shared" si="17"/>
        <v>0</v>
      </c>
      <c r="CM112" s="171">
        <f t="shared" si="18"/>
        <v>0</v>
      </c>
      <c r="CN112" s="171">
        <f t="shared" si="19"/>
        <v>0.33034448153342683</v>
      </c>
      <c r="CO112" s="171">
        <f t="shared" si="20"/>
        <v>0.33034448153342683</v>
      </c>
      <c r="CP112" s="171">
        <f t="shared" si="21"/>
        <v>0.33034448153342683</v>
      </c>
      <c r="CQ112" s="171">
        <f t="shared" si="22"/>
        <v>0.33034448153342683</v>
      </c>
      <c r="CR112" s="171">
        <f t="shared" si="23"/>
        <v>0.33034448153342683</v>
      </c>
      <c r="CS112" s="171">
        <f t="shared" si="24"/>
        <v>0.33034448153342683</v>
      </c>
      <c r="CT112" s="171">
        <f t="shared" si="25"/>
        <v>0.33034448153342683</v>
      </c>
      <c r="CU112" s="171">
        <f t="shared" si="26"/>
        <v>0.33034448153342683</v>
      </c>
      <c r="CV112" s="171">
        <f t="shared" si="27"/>
        <v>0.33034448153342683</v>
      </c>
      <c r="CW112" s="171">
        <f t="shared" si="28"/>
        <v>0.33034448153342683</v>
      </c>
      <c r="CX112" s="171">
        <f t="shared" si="29"/>
        <v>0.33034448153342683</v>
      </c>
      <c r="CY112" s="171">
        <f t="shared" ca="1" si="30"/>
        <v>0.31361820548001923</v>
      </c>
      <c r="CZ112" s="171">
        <f t="shared" ca="1" si="31"/>
        <v>3.9188774444813879</v>
      </c>
      <c r="DA112" s="171">
        <f t="shared" ca="1" si="32"/>
        <v>3.7204535881130303</v>
      </c>
      <c r="DB112" s="171">
        <f t="shared" ca="1" si="33"/>
        <v>3.5320764931792601</v>
      </c>
      <c r="DC112" s="171">
        <f t="shared" ca="1" si="34"/>
        <v>3.3532374637139224</v>
      </c>
      <c r="DD112" s="171">
        <f t="shared" ca="1" si="35"/>
        <v>3.1834535604673588</v>
      </c>
      <c r="DE112" s="171">
        <f t="shared" ca="1" si="36"/>
        <v>3.022266296770955</v>
      </c>
      <c r="DF112" s="171">
        <f t="shared" ca="1" si="37"/>
        <v>2.8692404004337528</v>
      </c>
      <c r="DG112" s="171">
        <f t="shared" ca="1" si="38"/>
        <v>2.7239626383277478</v>
      </c>
      <c r="DH112" s="171">
        <f t="shared" ca="1" si="39"/>
        <v>2.5860407004877533</v>
      </c>
      <c r="DI112" s="171">
        <f t="shared" ca="1" si="40"/>
        <v>2.4551021407124511</v>
      </c>
      <c r="DJ112" s="171">
        <f t="shared" ca="1" si="41"/>
        <v>2.3307933708058073</v>
      </c>
      <c r="DK112" s="171">
        <f t="shared" ca="1" si="42"/>
        <v>2.2127787057428896</v>
      </c>
      <c r="DL112" s="171">
        <f t="shared" ca="1" si="43"/>
        <v>2.1007394571816498</v>
      </c>
      <c r="DM112" s="171">
        <f t="shared" ca="1" si="44"/>
        <v>1.9943730728727584</v>
      </c>
      <c r="DN112" s="171">
        <f t="shared" ca="1" si="45"/>
        <v>1.8933923196435656</v>
      </c>
      <c r="DO112" s="171">
        <f t="shared" ca="1" si="46"/>
        <v>1.7975245077498909</v>
      </c>
      <c r="DP112" s="171">
        <f t="shared" ca="1" si="47"/>
        <v>0</v>
      </c>
      <c r="DQ112" s="171">
        <f t="shared" ca="1" si="48"/>
        <v>0</v>
      </c>
      <c r="DR112" s="171">
        <f t="shared" ca="1" si="49"/>
        <v>0</v>
      </c>
      <c r="DS112" s="171">
        <f t="shared" ca="1" si="50"/>
        <v>0</v>
      </c>
      <c r="DT112" s="171">
        <f t="shared" ca="1" si="51"/>
        <v>0</v>
      </c>
      <c r="DU112" s="171">
        <f t="shared" ca="1" si="52"/>
        <v>0</v>
      </c>
      <c r="DV112" s="171">
        <f t="shared" ca="1" si="53"/>
        <v>0</v>
      </c>
      <c r="DW112" s="171">
        <f t="shared" ca="1" si="54"/>
        <v>0</v>
      </c>
      <c r="DX112" s="171">
        <f t="shared" ca="1" si="55"/>
        <v>0</v>
      </c>
      <c r="DY112" s="171">
        <f t="shared" ca="1" si="56"/>
        <v>0</v>
      </c>
      <c r="DZ112" s="171">
        <f t="shared" ca="1" si="57"/>
        <v>0</v>
      </c>
      <c r="EA112" s="171">
        <f t="shared" ca="1" si="58"/>
        <v>0</v>
      </c>
      <c r="EB112" s="171">
        <f t="shared" ca="1" si="59"/>
        <v>0</v>
      </c>
      <c r="EC112" s="171">
        <f t="shared" ca="1" si="60"/>
        <v>0</v>
      </c>
      <c r="ED112" s="171">
        <f t="shared" ca="1" si="61"/>
        <v>0</v>
      </c>
      <c r="EE112" s="171">
        <f t="shared" ca="1" si="62"/>
        <v>0</v>
      </c>
      <c r="EF112" s="171">
        <f t="shared" ca="1" si="63"/>
        <v>0</v>
      </c>
      <c r="EG112" s="171">
        <f t="shared" ca="1" si="64"/>
        <v>0</v>
      </c>
      <c r="EH112" s="171">
        <f t="shared" ca="1" si="65"/>
        <v>0</v>
      </c>
      <c r="EI112" s="171">
        <f t="shared" ca="1" si="66"/>
        <v>0</v>
      </c>
      <c r="EJ112" s="171">
        <f t="shared" ca="1" si="67"/>
        <v>0</v>
      </c>
      <c r="EK112" s="171">
        <f t="shared" ca="1" si="68"/>
        <v>0</v>
      </c>
      <c r="EL112" s="171">
        <f t="shared" ca="1" si="69"/>
        <v>0</v>
      </c>
      <c r="EM112" s="171">
        <f t="shared" ca="1" si="70"/>
        <v>0</v>
      </c>
      <c r="EN112" s="171">
        <f t="shared" ca="1" si="71"/>
        <v>0</v>
      </c>
      <c r="EO112" s="171">
        <f t="shared" ca="1" si="72"/>
        <v>0</v>
      </c>
      <c r="EP112" s="171">
        <f t="shared" ca="1" si="73"/>
        <v>0</v>
      </c>
      <c r="EQ112" s="171">
        <f t="shared" ca="1" si="74"/>
        <v>0</v>
      </c>
      <c r="ER112" s="171">
        <f t="shared" ca="1" si="75"/>
        <v>0</v>
      </c>
      <c r="ES112" s="171">
        <f t="shared" ca="1" si="76"/>
        <v>0</v>
      </c>
    </row>
    <row r="113" spans="1:149">
      <c r="A113" s="139" t="s">
        <v>479</v>
      </c>
      <c r="B113" s="174" t="s">
        <v>481</v>
      </c>
      <c r="C113" s="160" t="s">
        <v>105</v>
      </c>
      <c r="D113" s="160" t="s">
        <v>428</v>
      </c>
      <c r="E113" s="160">
        <v>2012</v>
      </c>
      <c r="F113" s="194" t="s">
        <v>395</v>
      </c>
      <c r="G113" s="160" t="s">
        <v>402</v>
      </c>
      <c r="H113" s="194" t="s">
        <v>396</v>
      </c>
      <c r="I113" s="194" t="s">
        <v>182</v>
      </c>
      <c r="J113" s="194" t="s">
        <v>397</v>
      </c>
      <c r="K113" s="187">
        <v>73.06</v>
      </c>
      <c r="L113" s="163" t="s">
        <v>110</v>
      </c>
      <c r="M113" s="164">
        <f t="shared" ref="M113:M176" si="115">IFERROR(K113*HLOOKUP(E113,$C$37:$BL$39,3,FALSE)/VLOOKUP(L113,$C$37:$BJ$44,MATCH(E113,$C$37:$BL$37,0),FALSE),"")</f>
        <v>73.06</v>
      </c>
      <c r="N113" s="164">
        <f t="shared" ref="N113:N176" si="116">IFERROR(K113*HLOOKUP(E113,$C$37:$BL$39,2,FALSE)/VLOOKUP(L113,$C$37:$BJ$44,MATCH(E113,$C$37:$BL$37,0),FALSE),"")</f>
        <v>73.06</v>
      </c>
      <c r="O113" s="165">
        <f t="shared" ref="O113:O176" si="117">IFERROR(IF($B$5="Foreign Currency",HLOOKUP(E113,$D$37:$BL$39,2,FALSE)/VLOOKUP(L113,$C$38:$BJ$44,MATCH(E113,$C$37:$BL$37,0),FALSE),HLOOKUP(E113,$D$37:$BL$39,3,FALSE)/VLOOKUP(L113,$C$38:$BJ$44,MATCH(E113,$C$37:$BL$37,0),FALSE)),"")</f>
        <v>1</v>
      </c>
      <c r="P113" s="190">
        <v>1E-3</v>
      </c>
      <c r="Q113" s="191">
        <v>30</v>
      </c>
      <c r="R113" s="168">
        <f t="shared" ref="R113:R144" si="118">IFERROR(IF($Q113="","",IF(($Q113-($B$9-$E113))&lt;=0,0,(Q113-($B$9-$E113)))),"NA")</f>
        <v>18</v>
      </c>
      <c r="S113" s="178">
        <v>14</v>
      </c>
      <c r="T113" s="170" t="s">
        <v>403</v>
      </c>
      <c r="U113" s="171">
        <f t="shared" ref="U113:U176" si="119">IFERROR(SUM(AA113:CI113)/(Q113), 0)</f>
        <v>2.491404418513393</v>
      </c>
      <c r="V113" s="171">
        <f t="shared" ref="V113:V176" ca="1" si="120">IFERROR(SUM(CK113:ES113)/(Q113),0)</f>
        <v>1.4666302297197482</v>
      </c>
      <c r="W113" s="171">
        <f t="shared" ca="1" si="114"/>
        <v>43.998906891592448</v>
      </c>
      <c r="X113" s="172">
        <f t="shared" ref="X113:X176" si="121">IFERROR(IF(T113="Equity", "Equity", 1-Y113), 0)</f>
        <v>2.3577385077417357E-2</v>
      </c>
      <c r="Y113" s="172">
        <f t="shared" ref="Y113:Y176" si="122">IFERROR(IF(ISNUMBER(SEARCH("EPP",T113)),(1-((P113/$B$12)/(((1+$B$11)^(1/$B$12))-1)))  *  (1-  (((1/((1+((((1+$B$11)^(1/$B$12))-1)))^($B$12*S113)))-(1/((1+((((1+$B$11)^(1/$B$12))-1)))^($B$12*(Q113+S113)))))/(((((1+$B$11)^(1/$B$12))-1))*(($B$12*(Q113+S113))-($B$12*S113))))),IF(ISNUMBER(SEARCH("Lump",T113)),(1-((1+P113*(Q113+S113))/((1+$B$11)^(Q113+S113)))),IF((T113="Equity"),"Equity",""))),"ERROR")</f>
        <v>0.97642261492258264</v>
      </c>
      <c r="Z113" s="173">
        <f t="shared" ref="Z113:Z176" si="123">SUM(AA113:CI113)</f>
        <v>74.742132555401795</v>
      </c>
      <c r="AA113" s="171">
        <f t="shared" si="108"/>
        <v>0</v>
      </c>
      <c r="AB113" s="171">
        <f t="shared" si="108"/>
        <v>0</v>
      </c>
      <c r="AC113" s="171">
        <f t="shared" si="108"/>
        <v>7.306E-2</v>
      </c>
      <c r="AD113" s="171">
        <f t="shared" si="108"/>
        <v>7.306E-2</v>
      </c>
      <c r="AE113" s="171">
        <f t="shared" si="108"/>
        <v>7.306E-2</v>
      </c>
      <c r="AF113" s="171">
        <f t="shared" si="108"/>
        <v>7.306E-2</v>
      </c>
      <c r="AG113" s="171">
        <f t="shared" si="108"/>
        <v>7.306E-2</v>
      </c>
      <c r="AH113" s="171">
        <f t="shared" si="108"/>
        <v>7.306E-2</v>
      </c>
      <c r="AI113" s="171">
        <f t="shared" si="108"/>
        <v>7.306E-2</v>
      </c>
      <c r="AJ113" s="171">
        <f t="shared" si="108"/>
        <v>7.306E-2</v>
      </c>
      <c r="AK113" s="171">
        <f t="shared" si="109"/>
        <v>7.306E-2</v>
      </c>
      <c r="AL113" s="171">
        <f t="shared" si="109"/>
        <v>7.306E-2</v>
      </c>
      <c r="AM113" s="171">
        <f t="shared" si="109"/>
        <v>7.306E-2</v>
      </c>
      <c r="AN113" s="171">
        <f t="shared" si="109"/>
        <v>7.306E-2</v>
      </c>
      <c r="AO113" s="171">
        <f t="shared" si="109"/>
        <v>7.306E-2</v>
      </c>
      <c r="AP113" s="171">
        <f t="shared" si="109"/>
        <v>7.306E-2</v>
      </c>
      <c r="AQ113" s="171">
        <f t="shared" si="109"/>
        <v>4.3364289738471662</v>
      </c>
      <c r="AR113" s="171">
        <f t="shared" si="109"/>
        <v>4.3364289738471662</v>
      </c>
      <c r="AS113" s="171">
        <f t="shared" si="109"/>
        <v>4.3364289738471662</v>
      </c>
      <c r="AT113" s="171">
        <f t="shared" si="109"/>
        <v>4.3364289738471662</v>
      </c>
      <c r="AU113" s="171">
        <f t="shared" si="110"/>
        <v>4.3364289738471662</v>
      </c>
      <c r="AV113" s="171">
        <f t="shared" si="110"/>
        <v>4.3364289738471662</v>
      </c>
      <c r="AW113" s="171">
        <f t="shared" si="110"/>
        <v>4.3364289738471662</v>
      </c>
      <c r="AX113" s="171">
        <f t="shared" si="110"/>
        <v>4.3364289738471662</v>
      </c>
      <c r="AY113" s="171">
        <f t="shared" si="110"/>
        <v>4.3364289738471662</v>
      </c>
      <c r="AZ113" s="171">
        <f t="shared" si="110"/>
        <v>4.3364289738471662</v>
      </c>
      <c r="BA113" s="171">
        <f t="shared" si="110"/>
        <v>4.3364289738471662</v>
      </c>
      <c r="BB113" s="171">
        <f t="shared" si="110"/>
        <v>4.3364289738471662</v>
      </c>
      <c r="BC113" s="171">
        <f t="shared" si="110"/>
        <v>4.3364289738471662</v>
      </c>
      <c r="BD113" s="171">
        <f t="shared" si="110"/>
        <v>4.3364289738471662</v>
      </c>
      <c r="BE113" s="171">
        <f t="shared" si="111"/>
        <v>4.3364289738471662</v>
      </c>
      <c r="BF113" s="171">
        <f t="shared" si="111"/>
        <v>4.3364289738471662</v>
      </c>
      <c r="BG113" s="171">
        <f t="shared" si="111"/>
        <v>4.3364289738471662</v>
      </c>
      <c r="BH113" s="171">
        <f t="shared" si="111"/>
        <v>0</v>
      </c>
      <c r="BI113" s="171">
        <f t="shared" si="111"/>
        <v>0</v>
      </c>
      <c r="BJ113" s="171">
        <f t="shared" si="111"/>
        <v>0</v>
      </c>
      <c r="BK113" s="171">
        <f t="shared" si="111"/>
        <v>0</v>
      </c>
      <c r="BL113" s="171">
        <f t="shared" si="111"/>
        <v>0</v>
      </c>
      <c r="BM113" s="171">
        <f t="shared" si="111"/>
        <v>0</v>
      </c>
      <c r="BN113" s="171">
        <f t="shared" si="111"/>
        <v>0</v>
      </c>
      <c r="BO113" s="171">
        <f t="shared" si="112"/>
        <v>0</v>
      </c>
      <c r="BP113" s="171">
        <f t="shared" si="112"/>
        <v>0</v>
      </c>
      <c r="BQ113" s="171">
        <f t="shared" si="112"/>
        <v>0</v>
      </c>
      <c r="BR113" s="171">
        <f t="shared" si="112"/>
        <v>0</v>
      </c>
      <c r="BS113" s="171">
        <f t="shared" si="112"/>
        <v>0</v>
      </c>
      <c r="BT113" s="171">
        <f t="shared" si="112"/>
        <v>0</v>
      </c>
      <c r="BU113" s="171">
        <f t="shared" si="112"/>
        <v>0</v>
      </c>
      <c r="BV113" s="171">
        <f t="shared" si="112"/>
        <v>0</v>
      </c>
      <c r="BW113" s="171">
        <f t="shared" si="112"/>
        <v>0</v>
      </c>
      <c r="BX113" s="171">
        <f t="shared" si="112"/>
        <v>0</v>
      </c>
      <c r="BY113" s="171">
        <f t="shared" si="113"/>
        <v>0</v>
      </c>
      <c r="BZ113" s="171">
        <f t="shared" si="113"/>
        <v>0</v>
      </c>
      <c r="CA113" s="171">
        <f t="shared" si="113"/>
        <v>0</v>
      </c>
      <c r="CB113" s="171">
        <f t="shared" si="113"/>
        <v>0</v>
      </c>
      <c r="CC113" s="171">
        <f t="shared" si="113"/>
        <v>0</v>
      </c>
      <c r="CD113" s="171">
        <f t="shared" si="113"/>
        <v>0</v>
      </c>
      <c r="CE113" s="171">
        <f t="shared" si="113"/>
        <v>0</v>
      </c>
      <c r="CF113" s="171">
        <f t="shared" si="113"/>
        <v>0</v>
      </c>
      <c r="CG113" s="171">
        <f t="shared" si="113"/>
        <v>0</v>
      </c>
      <c r="CH113" s="171">
        <f t="shared" si="113"/>
        <v>0</v>
      </c>
      <c r="CI113" s="171">
        <f t="shared" si="113"/>
        <v>0</v>
      </c>
      <c r="CJ113" s="243"/>
      <c r="CK113" s="171">
        <f t="shared" ref="CK113:CK176" si="124">IF(CK$48&lt;$B$9,AA113,AA113*((1/(1+$B$10))^(CK$48-$B$9+1)))</f>
        <v>0</v>
      </c>
      <c r="CL113" s="171">
        <f t="shared" ref="CL113:CL176" si="125">IF(CL$48&lt;$B$9,AB113,AB113*((1/(1+$B$10))^(CL$48-$B$9+1)))</f>
        <v>0</v>
      </c>
      <c r="CM113" s="171">
        <f t="shared" ref="CM113:CM176" si="126">IF(CM$48&lt;$B$9,AC113,AC113*((1/(1+$B$10))^(CM$48-$B$9+1)))</f>
        <v>7.306E-2</v>
      </c>
      <c r="CN113" s="171">
        <f t="shared" ref="CN113:CN176" si="127">IF(CN$48&lt;$B$9,AD113,AD113*((1/(1+$B$10))^(CN$48-$B$9+1)))</f>
        <v>7.306E-2</v>
      </c>
      <c r="CO113" s="171">
        <f t="shared" ref="CO113:CO176" si="128">IF(CO$48&lt;$B$9,AE113,AE113*((1/(1+$B$10))^(CO$48-$B$9+1)))</f>
        <v>7.306E-2</v>
      </c>
      <c r="CP113" s="171">
        <f t="shared" ref="CP113:CP176" si="129">IF(CP$48&lt;$B$9,AF113,AF113*((1/(1+$B$10))^(CP$48-$B$9+1)))</f>
        <v>7.306E-2</v>
      </c>
      <c r="CQ113" s="171">
        <f t="shared" ref="CQ113:CQ176" si="130">IF(CQ$48&lt;$B$9,AG113,AG113*((1/(1+$B$10))^(CQ$48-$B$9+1)))</f>
        <v>7.306E-2</v>
      </c>
      <c r="CR113" s="171">
        <f t="shared" ref="CR113:CR176" si="131">IF(CR$48&lt;$B$9,AH113,AH113*((1/(1+$B$10))^(CR$48-$B$9+1)))</f>
        <v>7.306E-2</v>
      </c>
      <c r="CS113" s="171">
        <f t="shared" ref="CS113:CS176" si="132">IF(CS$48&lt;$B$9,AI113,AI113*((1/(1+$B$10))^(CS$48-$B$9+1)))</f>
        <v>7.306E-2</v>
      </c>
      <c r="CT113" s="171">
        <f t="shared" ref="CT113:CT176" si="133">IF(CT$48&lt;$B$9,AJ113,AJ113*((1/(1+$B$10))^(CT$48-$B$9+1)))</f>
        <v>7.306E-2</v>
      </c>
      <c r="CU113" s="171">
        <f t="shared" ref="CU113:CU176" si="134">IF(CU$48&lt;$B$9,AK113,AK113*((1/(1+$B$10))^(CU$48-$B$9+1)))</f>
        <v>7.306E-2</v>
      </c>
      <c r="CV113" s="171">
        <f t="shared" ref="CV113:CV176" si="135">IF(CV$48&lt;$B$9,AL113,AL113*((1/(1+$B$10))^(CV$48-$B$9+1)))</f>
        <v>7.306E-2</v>
      </c>
      <c r="CW113" s="171">
        <f t="shared" ref="CW113:CW176" si="136">IF(CW$48&lt;$B$9,AM113,AM113*((1/(1+$B$10))^(CW$48-$B$9+1)))</f>
        <v>7.306E-2</v>
      </c>
      <c r="CX113" s="171">
        <f t="shared" ref="CX113:CX176" si="137">IF(CX$48&lt;$B$9,AN113,AN113*((1/(1+$B$10))^(CX$48-$B$9+1)))</f>
        <v>7.306E-2</v>
      </c>
      <c r="CY113" s="171">
        <f t="shared" ref="CY113:CY176" ca="1" si="138">IF(CY$48&lt;$B$9,AO113,AO113*((1/(1+$B$10))^(CY$48-$B$9+1)))</f>
        <v>6.9360765422841475E-2</v>
      </c>
      <c r="CZ113" s="171">
        <f t="shared" ref="CZ113:CZ176" ca="1" si="139">IF(CZ$48&lt;$B$9,AP113,AP113*((1/(1+$B$10))^(CZ$48-$B$9+1)))</f>
        <v>6.5848833562037232E-2</v>
      </c>
      <c r="DA113" s="171">
        <f t="shared" ref="DA113:DA176" ca="1" si="140">IF(DA$48&lt;$B$9,AQ113,AQ113*((1/(1+$B$10))^(DA$48-$B$9+1)))</f>
        <v>3.7105207549462316</v>
      </c>
      <c r="DB113" s="171">
        <f t="shared" ref="DB113:DB176" ca="1" si="141">IF(DB$48&lt;$B$9,AR113,AR113*((1/(1+$B$10))^(DB$48-$B$9+1)))</f>
        <v>3.5226465874679742</v>
      </c>
      <c r="DC113" s="171">
        <f t="shared" ref="DC113:DC176" ca="1" si="142">IF(DC$48&lt;$B$9,AS113,AS113*((1/(1+$B$10))^(DC$48-$B$9+1)))</f>
        <v>3.3442850208176726</v>
      </c>
      <c r="DD113" s="171">
        <f t="shared" ref="DD113:DD176" ca="1" si="143">IF(DD$48&lt;$B$9,AT113,AT113*((1/(1+$B$10))^(DD$48-$B$9+1)))</f>
        <v>3.1749544050924867</v>
      </c>
      <c r="DE113" s="171">
        <f t="shared" ref="DE113:DE176" ca="1" si="144">IF(DE$48&lt;$B$9,AU113,AU113*((1/(1+$B$10))^(DE$48-$B$9+1)))</f>
        <v>3.0141974776873415</v>
      </c>
      <c r="DF113" s="171">
        <f t="shared" ref="DF113:DF176" ca="1" si="145">IF(DF$48&lt;$B$9,AV113,AV113*((1/(1+$B$10))^(DF$48-$B$9+1)))</f>
        <v>2.8615801284970179</v>
      </c>
      <c r="DG113" s="171">
        <f t="shared" ref="DG113:DG176" ca="1" si="146">IF(DG$48&lt;$B$9,AW113,AW113*((1/(1+$B$10))^(DG$48-$B$9+1)))</f>
        <v>2.7166902276395595</v>
      </c>
      <c r="DH113" s="171">
        <f t="shared" ref="DH113:DH176" ca="1" si="147">IF(DH$48&lt;$B$9,AX113,AX113*((1/(1+$B$10))^(DH$48-$B$9+1)))</f>
        <v>2.5791365125353582</v>
      </c>
      <c r="DI113" s="171">
        <f t="shared" ref="DI113:DI176" ca="1" si="148">IF(DI$48&lt;$B$9,AY113,AY113*((1/(1+$B$10))^(DI$48-$B$9+1)))</f>
        <v>2.4485475313365779</v>
      </c>
      <c r="DJ113" s="171">
        <f t="shared" ref="DJ113:DJ176" ca="1" si="149">IF(DJ$48&lt;$B$9,AZ113,AZ113*((1/(1+$B$10))^(DJ$48-$B$9+1)))</f>
        <v>2.3245706398537362</v>
      </c>
      <c r="DK113" s="171">
        <f t="shared" ref="DK113:DK176" ca="1" si="150">IF(DK$48&lt;$B$9,BA113,BA113*((1/(1+$B$10))^(DK$48-$B$9+1)))</f>
        <v>2.2068710492707293</v>
      </c>
      <c r="DL113" s="171">
        <f t="shared" ref="DL113:DL176" ca="1" si="151">IF(DL$48&lt;$B$9,BB113,BB113*((1/(1+$B$10))^(DL$48-$B$9+1)))</f>
        <v>2.0951309220767458</v>
      </c>
      <c r="DM113" s="171">
        <f t="shared" ref="DM113:DM176" ca="1" si="152">IF(DM$48&lt;$B$9,BC113,BC113*((1/(1+$B$10))^(DM$48-$B$9+1)))</f>
        <v>1.9890485137737031</v>
      </c>
      <c r="DN113" s="171">
        <f t="shared" ref="DN113:DN176" ca="1" si="153">IF(DN$48&lt;$B$9,BD113,BD113*((1/(1+$B$10))^(DN$48-$B$9+1)))</f>
        <v>1.8883373580414626</v>
      </c>
      <c r="DO113" s="171">
        <f t="shared" ref="DO113:DO176" ca="1" si="154">IF(DO$48&lt;$B$9,BE113,BE113*((1/(1+$B$10))^(DO$48-$B$9+1)))</f>
        <v>1.7927254931604448</v>
      </c>
      <c r="DP113" s="171">
        <f t="shared" ref="DP113:DP176" ca="1" si="155">IF(DP$48&lt;$B$9,BF113,BF113*((1/(1+$B$10))^(DP$48-$B$9+1)))</f>
        <v>1.701954727602647</v>
      </c>
      <c r="DQ113" s="171">
        <f t="shared" ref="DQ113:DQ176" ca="1" si="156">IF(DQ$48&lt;$B$9,BG113,BG113*((1/(1+$B$10))^(DQ$48-$B$9+1)))</f>
        <v>1.6157799428078736</v>
      </c>
      <c r="DR113" s="171">
        <f t="shared" ref="DR113:DR176" ca="1" si="157">IF(DR$48&lt;$B$9,BH113,BH113*((1/(1+$B$10))^(DR$48-$B$9+1)))</f>
        <v>0</v>
      </c>
      <c r="DS113" s="171">
        <f t="shared" ref="DS113:DS176" ca="1" si="158">IF(DS$48&lt;$B$9,BI113,BI113*((1/(1+$B$10))^(DS$48-$B$9+1)))</f>
        <v>0</v>
      </c>
      <c r="DT113" s="171">
        <f t="shared" ref="DT113:DT176" ca="1" si="159">IF(DT$48&lt;$B$9,BJ113,BJ113*((1/(1+$B$10))^(DT$48-$B$9+1)))</f>
        <v>0</v>
      </c>
      <c r="DU113" s="171">
        <f t="shared" ref="DU113:DU176" ca="1" si="160">IF(DU$48&lt;$B$9,BK113,BK113*((1/(1+$B$10))^(DU$48-$B$9+1)))</f>
        <v>0</v>
      </c>
      <c r="DV113" s="171">
        <f t="shared" ref="DV113:DV176" ca="1" si="161">IF(DV$48&lt;$B$9,BL113,BL113*((1/(1+$B$10))^(DV$48-$B$9+1)))</f>
        <v>0</v>
      </c>
      <c r="DW113" s="171">
        <f t="shared" ref="DW113:DW176" ca="1" si="162">IF(DW$48&lt;$B$9,BM113,BM113*((1/(1+$B$10))^(DW$48-$B$9+1)))</f>
        <v>0</v>
      </c>
      <c r="DX113" s="171">
        <f t="shared" ref="DX113:DX176" ca="1" si="163">IF(DX$48&lt;$B$9,BN113,BN113*((1/(1+$B$10))^(DX$48-$B$9+1)))</f>
        <v>0</v>
      </c>
      <c r="DY113" s="171">
        <f t="shared" ref="DY113:DY176" ca="1" si="164">IF(DY$48&lt;$B$9,BO113,BO113*((1/(1+$B$10))^(DY$48-$B$9+1)))</f>
        <v>0</v>
      </c>
      <c r="DZ113" s="171">
        <f t="shared" ref="DZ113:DZ176" ca="1" si="165">IF(DZ$48&lt;$B$9,BP113,BP113*((1/(1+$B$10))^(DZ$48-$B$9+1)))</f>
        <v>0</v>
      </c>
      <c r="EA113" s="171">
        <f t="shared" ref="EA113:EA176" ca="1" si="166">IF(EA$48&lt;$B$9,BQ113,BQ113*((1/(1+$B$10))^(EA$48-$B$9+1)))</f>
        <v>0</v>
      </c>
      <c r="EB113" s="171">
        <f t="shared" ref="EB113:EB176" ca="1" si="167">IF(EB$48&lt;$B$9,BR113,BR113*((1/(1+$B$10))^(EB$48-$B$9+1)))</f>
        <v>0</v>
      </c>
      <c r="EC113" s="171">
        <f t="shared" ref="EC113:EC176" ca="1" si="168">IF(EC$48&lt;$B$9,BS113,BS113*((1/(1+$B$10))^(EC$48-$B$9+1)))</f>
        <v>0</v>
      </c>
      <c r="ED113" s="171">
        <f t="shared" ref="ED113:ED176" ca="1" si="169">IF(ED$48&lt;$B$9,BT113,BT113*((1/(1+$B$10))^(ED$48-$B$9+1)))</f>
        <v>0</v>
      </c>
      <c r="EE113" s="171">
        <f t="shared" ref="EE113:EE176" ca="1" si="170">IF(EE$48&lt;$B$9,BU113,BU113*((1/(1+$B$10))^(EE$48-$B$9+1)))</f>
        <v>0</v>
      </c>
      <c r="EF113" s="171">
        <f t="shared" ref="EF113:EF176" ca="1" si="171">IF(EF$48&lt;$B$9,BV113,BV113*((1/(1+$B$10))^(EF$48-$B$9+1)))</f>
        <v>0</v>
      </c>
      <c r="EG113" s="171">
        <f t="shared" ref="EG113:EG176" ca="1" si="172">IF(EG$48&lt;$B$9,BW113,BW113*((1/(1+$B$10))^(EG$48-$B$9+1)))</f>
        <v>0</v>
      </c>
      <c r="EH113" s="171">
        <f t="shared" ref="EH113:EH176" ca="1" si="173">IF(EH$48&lt;$B$9,BX113,BX113*((1/(1+$B$10))^(EH$48-$B$9+1)))</f>
        <v>0</v>
      </c>
      <c r="EI113" s="171">
        <f t="shared" ref="EI113:EI176" ca="1" si="174">IF(EI$48&lt;$B$9,BY113,BY113*((1/(1+$B$10))^(EI$48-$B$9+1)))</f>
        <v>0</v>
      </c>
      <c r="EJ113" s="171">
        <f t="shared" ref="EJ113:EJ176" ca="1" si="175">IF(EJ$48&lt;$B$9,BZ113,BZ113*((1/(1+$B$10))^(EJ$48-$B$9+1)))</f>
        <v>0</v>
      </c>
      <c r="EK113" s="171">
        <f t="shared" ref="EK113:EK176" ca="1" si="176">IF(EK$48&lt;$B$9,CA113,CA113*((1/(1+$B$10))^(EK$48-$B$9+1)))</f>
        <v>0</v>
      </c>
      <c r="EL113" s="171">
        <f t="shared" ref="EL113:EL176" ca="1" si="177">IF(EL$48&lt;$B$9,CB113,CB113*((1/(1+$B$10))^(EL$48-$B$9+1)))</f>
        <v>0</v>
      </c>
      <c r="EM113" s="171">
        <f t="shared" ref="EM113:EM176" ca="1" si="178">IF(EM$48&lt;$B$9,CC113,CC113*((1/(1+$B$10))^(EM$48-$B$9+1)))</f>
        <v>0</v>
      </c>
      <c r="EN113" s="171">
        <f t="shared" ref="EN113:EN176" ca="1" si="179">IF(EN$48&lt;$B$9,CD113,CD113*((1/(1+$B$10))^(EN$48-$B$9+1)))</f>
        <v>0</v>
      </c>
      <c r="EO113" s="171">
        <f t="shared" ref="EO113:EO176" ca="1" si="180">IF(EO$48&lt;$B$9,CE113,CE113*((1/(1+$B$10))^(EO$48-$B$9+1)))</f>
        <v>0</v>
      </c>
      <c r="EP113" s="171">
        <f t="shared" ref="EP113:EP176" ca="1" si="181">IF(EP$48&lt;$B$9,CF113,CF113*((1/(1+$B$10))^(EP$48-$B$9+1)))</f>
        <v>0</v>
      </c>
      <c r="EQ113" s="171">
        <f t="shared" ref="EQ113:EQ176" ca="1" si="182">IF(EQ$48&lt;$B$9,CG113,CG113*((1/(1+$B$10))^(EQ$48-$B$9+1)))</f>
        <v>0</v>
      </c>
      <c r="ER113" s="171">
        <f t="shared" ref="ER113:ER176" ca="1" si="183">IF(ER$48&lt;$B$9,CH113,CH113*((1/(1+$B$10))^(ER$48-$B$9+1)))</f>
        <v>0</v>
      </c>
      <c r="ES113" s="171">
        <f t="shared" ref="ES113:ES176" ca="1" si="184">IF(ES$48&lt;$B$9,CI113,CI113*((1/(1+$B$10))^(ES$48-$B$9+1)))</f>
        <v>0</v>
      </c>
    </row>
    <row r="114" spans="1:149">
      <c r="A114" s="139" t="s">
        <v>479</v>
      </c>
      <c r="B114" s="160" t="s">
        <v>420</v>
      </c>
      <c r="C114" s="160" t="s">
        <v>105</v>
      </c>
      <c r="D114" s="160" t="s">
        <v>428</v>
      </c>
      <c r="E114" s="160">
        <v>2012</v>
      </c>
      <c r="F114" s="160" t="s">
        <v>400</v>
      </c>
      <c r="G114" s="160" t="s">
        <v>289</v>
      </c>
      <c r="H114" s="160" t="s">
        <v>396</v>
      </c>
      <c r="I114" s="160" t="s">
        <v>183</v>
      </c>
      <c r="J114" s="160" t="s">
        <v>401</v>
      </c>
      <c r="K114" s="187">
        <v>41.2</v>
      </c>
      <c r="L114" s="163" t="s">
        <v>110</v>
      </c>
      <c r="M114" s="164">
        <f t="shared" si="115"/>
        <v>41.2</v>
      </c>
      <c r="N114" s="164">
        <f t="shared" si="116"/>
        <v>41.2</v>
      </c>
      <c r="O114" s="165">
        <f t="shared" si="117"/>
        <v>1</v>
      </c>
      <c r="P114" s="192">
        <v>0.10366666669999999</v>
      </c>
      <c r="Q114" s="177">
        <v>60</v>
      </c>
      <c r="R114" s="168">
        <f t="shared" si="118"/>
        <v>48</v>
      </c>
      <c r="S114" s="178">
        <v>0</v>
      </c>
      <c r="T114" s="160" t="s">
        <v>289</v>
      </c>
      <c r="U114" s="171">
        <f t="shared" si="119"/>
        <v>4.1998822235726614</v>
      </c>
      <c r="V114" s="171">
        <f t="shared" ca="1" si="120"/>
        <v>2.0728338865861016</v>
      </c>
      <c r="W114" s="171">
        <f t="shared" ca="1" si="114"/>
        <v>124.37003319516609</v>
      </c>
      <c r="X114" s="172" t="str">
        <f t="shared" si="121"/>
        <v>Equity</v>
      </c>
      <c r="Y114" s="172" t="str">
        <f t="shared" si="122"/>
        <v>Equity</v>
      </c>
      <c r="Z114" s="173">
        <f t="shared" si="123"/>
        <v>251.99293341435967</v>
      </c>
      <c r="AA114" s="171">
        <f t="shared" si="108"/>
        <v>0</v>
      </c>
      <c r="AB114" s="171">
        <f t="shared" si="108"/>
        <v>0</v>
      </c>
      <c r="AC114" s="171">
        <f t="shared" si="108"/>
        <v>4.2710666680399996</v>
      </c>
      <c r="AD114" s="171">
        <f t="shared" si="108"/>
        <v>4.2710666680399996</v>
      </c>
      <c r="AE114" s="171">
        <f t="shared" si="108"/>
        <v>4.2710666680399996</v>
      </c>
      <c r="AF114" s="171">
        <f t="shared" si="108"/>
        <v>4.2710666680399996</v>
      </c>
      <c r="AG114" s="171">
        <f t="shared" si="108"/>
        <v>4.2710666680399996</v>
      </c>
      <c r="AH114" s="171">
        <f t="shared" si="108"/>
        <v>4.2710666680399996</v>
      </c>
      <c r="AI114" s="171">
        <f t="shared" si="108"/>
        <v>4.2710666680399996</v>
      </c>
      <c r="AJ114" s="171">
        <f t="shared" si="108"/>
        <v>4.2710666680399996</v>
      </c>
      <c r="AK114" s="171">
        <f t="shared" si="109"/>
        <v>4.2710666680399996</v>
      </c>
      <c r="AL114" s="171">
        <f t="shared" si="109"/>
        <v>4.2710666680399996</v>
      </c>
      <c r="AM114" s="171">
        <f t="shared" si="109"/>
        <v>4.2710666680399996</v>
      </c>
      <c r="AN114" s="171">
        <f t="shared" si="109"/>
        <v>4.2710666680399996</v>
      </c>
      <c r="AO114" s="171">
        <f t="shared" si="109"/>
        <v>4.2710666680399996</v>
      </c>
      <c r="AP114" s="171">
        <f t="shared" si="109"/>
        <v>4.2710666680399996</v>
      </c>
      <c r="AQ114" s="171">
        <f t="shared" si="109"/>
        <v>4.2710666680399996</v>
      </c>
      <c r="AR114" s="171">
        <f t="shared" si="109"/>
        <v>4.2710666680399996</v>
      </c>
      <c r="AS114" s="171">
        <f t="shared" si="109"/>
        <v>4.2710666680399996</v>
      </c>
      <c r="AT114" s="171">
        <f t="shared" si="109"/>
        <v>4.2710666680399996</v>
      </c>
      <c r="AU114" s="171">
        <f t="shared" si="110"/>
        <v>4.2710666680399996</v>
      </c>
      <c r="AV114" s="171">
        <f t="shared" si="110"/>
        <v>4.2710666680399996</v>
      </c>
      <c r="AW114" s="171">
        <f t="shared" si="110"/>
        <v>4.2710666680399996</v>
      </c>
      <c r="AX114" s="171">
        <f t="shared" si="110"/>
        <v>4.2710666680399996</v>
      </c>
      <c r="AY114" s="171">
        <f t="shared" si="110"/>
        <v>4.2710666680399996</v>
      </c>
      <c r="AZ114" s="171">
        <f t="shared" si="110"/>
        <v>4.2710666680399996</v>
      </c>
      <c r="BA114" s="171">
        <f t="shared" si="110"/>
        <v>4.2710666680399996</v>
      </c>
      <c r="BB114" s="171">
        <f t="shared" si="110"/>
        <v>4.2710666680399996</v>
      </c>
      <c r="BC114" s="171">
        <f t="shared" si="110"/>
        <v>4.2710666680399996</v>
      </c>
      <c r="BD114" s="171">
        <f t="shared" si="110"/>
        <v>4.2710666680399996</v>
      </c>
      <c r="BE114" s="171">
        <f t="shared" si="111"/>
        <v>4.2710666680399996</v>
      </c>
      <c r="BF114" s="171">
        <f t="shared" si="111"/>
        <v>4.2710666680399996</v>
      </c>
      <c r="BG114" s="171">
        <f t="shared" si="111"/>
        <v>4.2710666680399996</v>
      </c>
      <c r="BH114" s="171">
        <f t="shared" si="111"/>
        <v>4.2710666680399996</v>
      </c>
      <c r="BI114" s="171">
        <f t="shared" si="111"/>
        <v>4.2710666680399996</v>
      </c>
      <c r="BJ114" s="171">
        <f t="shared" si="111"/>
        <v>4.2710666680399996</v>
      </c>
      <c r="BK114" s="171">
        <f t="shared" si="111"/>
        <v>4.2710666680399996</v>
      </c>
      <c r="BL114" s="171">
        <f t="shared" si="111"/>
        <v>4.2710666680399996</v>
      </c>
      <c r="BM114" s="171">
        <f t="shared" si="111"/>
        <v>4.2710666680399996</v>
      </c>
      <c r="BN114" s="171">
        <f t="shared" si="111"/>
        <v>4.2710666680399996</v>
      </c>
      <c r="BO114" s="171">
        <f t="shared" si="112"/>
        <v>4.2710666680399996</v>
      </c>
      <c r="BP114" s="171">
        <f t="shared" si="112"/>
        <v>4.2710666680399996</v>
      </c>
      <c r="BQ114" s="171">
        <f t="shared" si="112"/>
        <v>4.2710666680399996</v>
      </c>
      <c r="BR114" s="171">
        <f t="shared" si="112"/>
        <v>4.2710666680399996</v>
      </c>
      <c r="BS114" s="171">
        <f t="shared" si="112"/>
        <v>4.2710666680399996</v>
      </c>
      <c r="BT114" s="171">
        <f t="shared" si="112"/>
        <v>4.2710666680399996</v>
      </c>
      <c r="BU114" s="171">
        <f t="shared" si="112"/>
        <v>4.2710666680399996</v>
      </c>
      <c r="BV114" s="171">
        <f t="shared" si="112"/>
        <v>4.2710666680399996</v>
      </c>
      <c r="BW114" s="171">
        <f t="shared" si="112"/>
        <v>4.2710666680399996</v>
      </c>
      <c r="BX114" s="171">
        <f t="shared" si="112"/>
        <v>4.2710666680399996</v>
      </c>
      <c r="BY114" s="171">
        <f t="shared" si="113"/>
        <v>4.2710666680399996</v>
      </c>
      <c r="BZ114" s="171">
        <f t="shared" si="113"/>
        <v>4.2710666680399996</v>
      </c>
      <c r="CA114" s="171">
        <f t="shared" si="113"/>
        <v>4.2710666680399996</v>
      </c>
      <c r="CB114" s="171">
        <f t="shared" si="113"/>
        <v>4.2710666680399996</v>
      </c>
      <c r="CC114" s="171">
        <f t="shared" si="113"/>
        <v>4.2710666680399996</v>
      </c>
      <c r="CD114" s="171">
        <f t="shared" si="113"/>
        <v>4.2710666680399996</v>
      </c>
      <c r="CE114" s="171">
        <f t="shared" si="113"/>
        <v>4.2710666680399996</v>
      </c>
      <c r="CF114" s="171">
        <f t="shared" si="113"/>
        <v>4.2710666680399996</v>
      </c>
      <c r="CG114" s="171">
        <f t="shared" si="113"/>
        <v>4.2710666680399996</v>
      </c>
      <c r="CH114" s="171">
        <f t="shared" si="113"/>
        <v>4.2710666680399996</v>
      </c>
      <c r="CI114" s="171">
        <f t="shared" si="113"/>
        <v>4.2710666680399996</v>
      </c>
      <c r="CJ114" s="243"/>
      <c r="CK114" s="171">
        <f t="shared" si="124"/>
        <v>0</v>
      </c>
      <c r="CL114" s="171">
        <f t="shared" si="125"/>
        <v>0</v>
      </c>
      <c r="CM114" s="171">
        <f t="shared" si="126"/>
        <v>4.2710666680399996</v>
      </c>
      <c r="CN114" s="171">
        <f t="shared" si="127"/>
        <v>4.2710666680399996</v>
      </c>
      <c r="CO114" s="171">
        <f t="shared" si="128"/>
        <v>4.2710666680399996</v>
      </c>
      <c r="CP114" s="171">
        <f t="shared" si="129"/>
        <v>4.2710666680399996</v>
      </c>
      <c r="CQ114" s="171">
        <f t="shared" si="130"/>
        <v>4.2710666680399996</v>
      </c>
      <c r="CR114" s="171">
        <f t="shared" si="131"/>
        <v>4.2710666680399996</v>
      </c>
      <c r="CS114" s="171">
        <f t="shared" si="132"/>
        <v>4.2710666680399996</v>
      </c>
      <c r="CT114" s="171">
        <f t="shared" si="133"/>
        <v>4.2710666680399996</v>
      </c>
      <c r="CU114" s="171">
        <f t="shared" si="134"/>
        <v>4.2710666680399996</v>
      </c>
      <c r="CV114" s="171">
        <f t="shared" si="135"/>
        <v>4.2710666680399996</v>
      </c>
      <c r="CW114" s="171">
        <f t="shared" si="136"/>
        <v>4.2710666680399996</v>
      </c>
      <c r="CX114" s="171">
        <f t="shared" si="137"/>
        <v>4.2710666680399996</v>
      </c>
      <c r="CY114" s="171">
        <f t="shared" ca="1" si="138"/>
        <v>4.0548104745036895</v>
      </c>
      <c r="CZ114" s="171">
        <f t="shared" ca="1" si="139"/>
        <v>3.8495039441025307</v>
      </c>
      <c r="DA114" s="171">
        <f t="shared" ca="1" si="140"/>
        <v>3.6545926644018429</v>
      </c>
      <c r="DB114" s="171">
        <f t="shared" ca="1" si="141"/>
        <v>3.4695502944376324</v>
      </c>
      <c r="DC114" s="171">
        <f t="shared" ca="1" si="142"/>
        <v>3.2938771433785816</v>
      </c>
      <c r="DD114" s="171">
        <f t="shared" ca="1" si="143"/>
        <v>3.1270988211544064</v>
      </c>
      <c r="DE114" s="171">
        <f t="shared" ca="1" si="144"/>
        <v>2.968764957406719</v>
      </c>
      <c r="DF114" s="171">
        <f t="shared" ca="1" si="145"/>
        <v>2.8184479853030302</v>
      </c>
      <c r="DG114" s="171">
        <f t="shared" ca="1" si="146"/>
        <v>2.6757419869296966</v>
      </c>
      <c r="DH114" s="171">
        <f t="shared" ca="1" si="147"/>
        <v>2.5402615971458857</v>
      </c>
      <c r="DI114" s="171">
        <f t="shared" ca="1" si="148"/>
        <v>2.4116409629385216</v>
      </c>
      <c r="DJ114" s="171">
        <f t="shared" ca="1" si="149"/>
        <v>2.2895327554680307</v>
      </c>
      <c r="DK114" s="171">
        <f t="shared" ca="1" si="150"/>
        <v>2.1736072321370092</v>
      </c>
      <c r="DL114" s="171">
        <f t="shared" ca="1" si="151"/>
        <v>2.063551346149012</v>
      </c>
      <c r="DM114" s="171">
        <f t="shared" ca="1" si="152"/>
        <v>1.9590679011528933</v>
      </c>
      <c r="DN114" s="171">
        <f t="shared" ca="1" si="153"/>
        <v>1.8598747486899014</v>
      </c>
      <c r="DO114" s="171">
        <f t="shared" ca="1" si="154"/>
        <v>1.7657040262763002</v>
      </c>
      <c r="DP114" s="171">
        <f t="shared" ca="1" si="155"/>
        <v>1.6763014340640179</v>
      </c>
      <c r="DQ114" s="171">
        <f t="shared" ca="1" si="156"/>
        <v>1.5914255481260213</v>
      </c>
      <c r="DR114" s="171">
        <f t="shared" ca="1" si="157"/>
        <v>1.5108471685119882</v>
      </c>
      <c r="DS114" s="171">
        <f t="shared" ca="1" si="158"/>
        <v>1.4343487003137727</v>
      </c>
      <c r="DT114" s="171">
        <f t="shared" ca="1" si="159"/>
        <v>1.3617235660692737</v>
      </c>
      <c r="DU114" s="171">
        <f t="shared" ca="1" si="160"/>
        <v>1.2927756479179586</v>
      </c>
      <c r="DV114" s="171">
        <f t="shared" ca="1" si="161"/>
        <v>1.2273187580016347</v>
      </c>
      <c r="DW114" s="171">
        <f t="shared" ca="1" si="162"/>
        <v>1.1651761356803247</v>
      </c>
      <c r="DX114" s="171">
        <f t="shared" ca="1" si="163"/>
        <v>1.1061799702055284</v>
      </c>
      <c r="DY114" s="171">
        <f t="shared" ca="1" si="164"/>
        <v>1.0501709475618863</v>
      </c>
      <c r="DZ114" s="171">
        <f t="shared" ca="1" si="165"/>
        <v>0.99699782025353334</v>
      </c>
      <c r="EA114" s="171">
        <f t="shared" ca="1" si="166"/>
        <v>0.94651699887338603</v>
      </c>
      <c r="EB114" s="171">
        <f t="shared" ca="1" si="167"/>
        <v>0.89859216435243394</v>
      </c>
      <c r="EC114" s="171">
        <f t="shared" ca="1" si="168"/>
        <v>0.85309389984194606</v>
      </c>
      <c r="ED114" s="171">
        <f t="shared" ca="1" si="169"/>
        <v>0.80989934123452267</v>
      </c>
      <c r="EE114" s="171">
        <f t="shared" ca="1" si="170"/>
        <v>0.7688918453802569</v>
      </c>
      <c r="EF114" s="171">
        <f t="shared" ca="1" si="171"/>
        <v>0.72996067510204887</v>
      </c>
      <c r="EG114" s="171">
        <f t="shared" ca="1" si="172"/>
        <v>0.69300070015948811</v>
      </c>
      <c r="EH114" s="171">
        <f t="shared" ca="1" si="173"/>
        <v>0.65791211335377975</v>
      </c>
      <c r="EI114" s="171">
        <f t="shared" ca="1" si="174"/>
        <v>0.62460016100708193</v>
      </c>
      <c r="EJ114" s="171">
        <f t="shared" ca="1" si="175"/>
        <v>0.59297488708843726</v>
      </c>
      <c r="EK114" s="171">
        <f t="shared" ca="1" si="176"/>
        <v>0.56295089029533263</v>
      </c>
      <c r="EL114" s="171">
        <f t="shared" ca="1" si="177"/>
        <v>0.53444709343490726</v>
      </c>
      <c r="EM114" s="171">
        <f t="shared" ca="1" si="178"/>
        <v>0.5073865244820428</v>
      </c>
      <c r="EN114" s="171">
        <f t="shared" ca="1" si="179"/>
        <v>0.4816961087231012</v>
      </c>
      <c r="EO114" s="171">
        <f t="shared" ca="1" si="180"/>
        <v>0.45730647142401537</v>
      </c>
      <c r="EP114" s="171">
        <f t="shared" ca="1" si="181"/>
        <v>0.43415175048985061</v>
      </c>
      <c r="EQ114" s="171">
        <f t="shared" ca="1" si="182"/>
        <v>0.41216941860994422</v>
      </c>
      <c r="ER114" s="171">
        <f t="shared" ca="1" si="183"/>
        <v>0.39130011440833962</v>
      </c>
      <c r="ES114" s="171">
        <f t="shared" ca="1" si="184"/>
        <v>0.37148748214355154</v>
      </c>
    </row>
    <row r="115" spans="1:149">
      <c r="A115" s="139" t="s">
        <v>482</v>
      </c>
      <c r="B115" s="160" t="s">
        <v>420</v>
      </c>
      <c r="C115" s="160" t="s">
        <v>105</v>
      </c>
      <c r="D115" s="160" t="s">
        <v>428</v>
      </c>
      <c r="E115" s="160">
        <v>2019</v>
      </c>
      <c r="F115" s="160" t="s">
        <v>400</v>
      </c>
      <c r="G115" s="160" t="s">
        <v>289</v>
      </c>
      <c r="H115" s="160" t="s">
        <v>396</v>
      </c>
      <c r="I115" s="160" t="s">
        <v>183</v>
      </c>
      <c r="J115" s="160" t="s">
        <v>401</v>
      </c>
      <c r="K115" s="187">
        <v>96</v>
      </c>
      <c r="L115" s="163" t="s">
        <v>110</v>
      </c>
      <c r="M115" s="164">
        <f t="shared" si="115"/>
        <v>96</v>
      </c>
      <c r="N115" s="164">
        <f t="shared" si="116"/>
        <v>96</v>
      </c>
      <c r="O115" s="165">
        <f t="shared" si="117"/>
        <v>1</v>
      </c>
      <c r="P115" s="192">
        <v>0.10366666669999999</v>
      </c>
      <c r="Q115" s="177">
        <v>60</v>
      </c>
      <c r="R115" s="168">
        <f t="shared" si="118"/>
        <v>55</v>
      </c>
      <c r="S115" s="178">
        <v>0</v>
      </c>
      <c r="T115" s="160" t="s">
        <v>289</v>
      </c>
      <c r="U115" s="171">
        <f t="shared" si="119"/>
        <v>8.6250666694399989</v>
      </c>
      <c r="V115" s="171">
        <f t="shared" ca="1" si="120"/>
        <v>3.6688375347140236</v>
      </c>
      <c r="W115" s="171">
        <f t="shared" ca="1" si="114"/>
        <v>220.13025208284142</v>
      </c>
      <c r="X115" s="172" t="str">
        <f t="shared" si="121"/>
        <v>Equity</v>
      </c>
      <c r="Y115" s="172" t="str">
        <f t="shared" si="122"/>
        <v>Equity</v>
      </c>
      <c r="Z115" s="173">
        <f t="shared" si="123"/>
        <v>517.50400016639992</v>
      </c>
      <c r="AA115" s="171">
        <f t="shared" si="108"/>
        <v>0</v>
      </c>
      <c r="AB115" s="171">
        <f t="shared" si="108"/>
        <v>0</v>
      </c>
      <c r="AC115" s="171">
        <f t="shared" si="108"/>
        <v>0</v>
      </c>
      <c r="AD115" s="171">
        <f t="shared" si="108"/>
        <v>0</v>
      </c>
      <c r="AE115" s="171">
        <f t="shared" si="108"/>
        <v>0</v>
      </c>
      <c r="AF115" s="171">
        <f t="shared" si="108"/>
        <v>0</v>
      </c>
      <c r="AG115" s="171">
        <f t="shared" si="108"/>
        <v>0</v>
      </c>
      <c r="AH115" s="171">
        <f t="shared" si="108"/>
        <v>0</v>
      </c>
      <c r="AI115" s="171">
        <f t="shared" si="108"/>
        <v>0</v>
      </c>
      <c r="AJ115" s="171">
        <f t="shared" si="108"/>
        <v>9.9520000031999984</v>
      </c>
      <c r="AK115" s="171">
        <f t="shared" si="109"/>
        <v>9.9520000031999984</v>
      </c>
      <c r="AL115" s="171">
        <f t="shared" si="109"/>
        <v>9.9520000031999984</v>
      </c>
      <c r="AM115" s="171">
        <f t="shared" si="109"/>
        <v>9.9520000031999984</v>
      </c>
      <c r="AN115" s="171">
        <f t="shared" si="109"/>
        <v>9.9520000031999984</v>
      </c>
      <c r="AO115" s="171">
        <f t="shared" si="109"/>
        <v>9.9520000031999984</v>
      </c>
      <c r="AP115" s="171">
        <f t="shared" si="109"/>
        <v>9.9520000031999984</v>
      </c>
      <c r="AQ115" s="171">
        <f t="shared" si="109"/>
        <v>9.9520000031999984</v>
      </c>
      <c r="AR115" s="171">
        <f t="shared" si="109"/>
        <v>9.9520000031999984</v>
      </c>
      <c r="AS115" s="171">
        <f t="shared" si="109"/>
        <v>9.9520000031999984</v>
      </c>
      <c r="AT115" s="171">
        <f t="shared" si="109"/>
        <v>9.9520000031999984</v>
      </c>
      <c r="AU115" s="171">
        <f t="shared" si="110"/>
        <v>9.9520000031999984</v>
      </c>
      <c r="AV115" s="171">
        <f t="shared" si="110"/>
        <v>9.9520000031999984</v>
      </c>
      <c r="AW115" s="171">
        <f t="shared" si="110"/>
        <v>9.9520000031999984</v>
      </c>
      <c r="AX115" s="171">
        <f t="shared" si="110"/>
        <v>9.9520000031999984</v>
      </c>
      <c r="AY115" s="171">
        <f t="shared" si="110"/>
        <v>9.9520000031999984</v>
      </c>
      <c r="AZ115" s="171">
        <f t="shared" si="110"/>
        <v>9.9520000031999984</v>
      </c>
      <c r="BA115" s="171">
        <f t="shared" si="110"/>
        <v>9.9520000031999984</v>
      </c>
      <c r="BB115" s="171">
        <f t="shared" si="110"/>
        <v>9.9520000031999984</v>
      </c>
      <c r="BC115" s="171">
        <f t="shared" si="110"/>
        <v>9.9520000031999984</v>
      </c>
      <c r="BD115" s="171">
        <f t="shared" si="110"/>
        <v>9.9520000031999984</v>
      </c>
      <c r="BE115" s="171">
        <f t="shared" si="111"/>
        <v>9.9520000031999984</v>
      </c>
      <c r="BF115" s="171">
        <f t="shared" si="111"/>
        <v>9.9520000031999984</v>
      </c>
      <c r="BG115" s="171">
        <f t="shared" si="111"/>
        <v>9.9520000031999984</v>
      </c>
      <c r="BH115" s="171">
        <f t="shared" si="111"/>
        <v>9.9520000031999984</v>
      </c>
      <c r="BI115" s="171">
        <f t="shared" si="111"/>
        <v>9.9520000031999984</v>
      </c>
      <c r="BJ115" s="171">
        <f t="shared" si="111"/>
        <v>9.9520000031999984</v>
      </c>
      <c r="BK115" s="171">
        <f t="shared" si="111"/>
        <v>9.9520000031999984</v>
      </c>
      <c r="BL115" s="171">
        <f t="shared" si="111"/>
        <v>9.9520000031999984</v>
      </c>
      <c r="BM115" s="171">
        <f t="shared" si="111"/>
        <v>9.9520000031999984</v>
      </c>
      <c r="BN115" s="171">
        <f t="shared" si="111"/>
        <v>9.9520000031999984</v>
      </c>
      <c r="BO115" s="171">
        <f t="shared" si="112"/>
        <v>9.9520000031999984</v>
      </c>
      <c r="BP115" s="171">
        <f t="shared" si="112"/>
        <v>9.9520000031999984</v>
      </c>
      <c r="BQ115" s="171">
        <f t="shared" si="112"/>
        <v>9.9520000031999984</v>
      </c>
      <c r="BR115" s="171">
        <f t="shared" si="112"/>
        <v>9.9520000031999984</v>
      </c>
      <c r="BS115" s="171">
        <f t="shared" si="112"/>
        <v>9.9520000031999984</v>
      </c>
      <c r="BT115" s="171">
        <f t="shared" si="112"/>
        <v>9.9520000031999984</v>
      </c>
      <c r="BU115" s="171">
        <f t="shared" si="112"/>
        <v>9.9520000031999984</v>
      </c>
      <c r="BV115" s="171">
        <f t="shared" si="112"/>
        <v>9.9520000031999984</v>
      </c>
      <c r="BW115" s="171">
        <f t="shared" si="112"/>
        <v>9.9520000031999984</v>
      </c>
      <c r="BX115" s="171">
        <f t="shared" si="112"/>
        <v>9.9520000031999984</v>
      </c>
      <c r="BY115" s="171">
        <f t="shared" si="113"/>
        <v>9.9520000031999984</v>
      </c>
      <c r="BZ115" s="171">
        <f t="shared" si="113"/>
        <v>9.9520000031999984</v>
      </c>
      <c r="CA115" s="171">
        <f t="shared" si="113"/>
        <v>9.9520000031999984</v>
      </c>
      <c r="CB115" s="171">
        <f t="shared" si="113"/>
        <v>9.9520000031999984</v>
      </c>
      <c r="CC115" s="171">
        <f t="shared" si="113"/>
        <v>9.9520000031999984</v>
      </c>
      <c r="CD115" s="171">
        <f t="shared" si="113"/>
        <v>9.9520000031999984</v>
      </c>
      <c r="CE115" s="171">
        <f t="shared" si="113"/>
        <v>9.9520000031999984</v>
      </c>
      <c r="CF115" s="171">
        <f t="shared" si="113"/>
        <v>9.9520000031999984</v>
      </c>
      <c r="CG115" s="171">
        <f t="shared" si="113"/>
        <v>9.9520000031999984</v>
      </c>
      <c r="CH115" s="171">
        <f t="shared" si="113"/>
        <v>9.9520000031999984</v>
      </c>
      <c r="CI115" s="171">
        <f t="shared" si="113"/>
        <v>9.9520000031999984</v>
      </c>
      <c r="CJ115" s="243"/>
      <c r="CK115" s="171">
        <f t="shared" si="124"/>
        <v>0</v>
      </c>
      <c r="CL115" s="171">
        <f t="shared" si="125"/>
        <v>0</v>
      </c>
      <c r="CM115" s="171">
        <f t="shared" si="126"/>
        <v>0</v>
      </c>
      <c r="CN115" s="171">
        <f t="shared" si="127"/>
        <v>0</v>
      </c>
      <c r="CO115" s="171">
        <f t="shared" si="128"/>
        <v>0</v>
      </c>
      <c r="CP115" s="171">
        <f t="shared" si="129"/>
        <v>0</v>
      </c>
      <c r="CQ115" s="171">
        <f t="shared" si="130"/>
        <v>0</v>
      </c>
      <c r="CR115" s="171">
        <f t="shared" si="131"/>
        <v>0</v>
      </c>
      <c r="CS115" s="171">
        <f t="shared" si="132"/>
        <v>0</v>
      </c>
      <c r="CT115" s="171">
        <f t="shared" si="133"/>
        <v>9.9520000031999984</v>
      </c>
      <c r="CU115" s="171">
        <f t="shared" si="134"/>
        <v>9.9520000031999984</v>
      </c>
      <c r="CV115" s="171">
        <f t="shared" si="135"/>
        <v>9.9520000031999984</v>
      </c>
      <c r="CW115" s="171">
        <f t="shared" si="136"/>
        <v>9.9520000031999984</v>
      </c>
      <c r="CX115" s="171">
        <f t="shared" si="137"/>
        <v>9.9520000031999984</v>
      </c>
      <c r="CY115" s="171">
        <f t="shared" ca="1" si="138"/>
        <v>9.4481020765134502</v>
      </c>
      <c r="CZ115" s="171">
        <f t="shared" ca="1" si="139"/>
        <v>8.9697179280058954</v>
      </c>
      <c r="DA115" s="171">
        <f t="shared" ca="1" si="140"/>
        <v>8.51555572287808</v>
      </c>
      <c r="DB115" s="171">
        <f t="shared" ca="1" si="141"/>
        <v>8.0843890355828325</v>
      </c>
      <c r="DC115" s="171">
        <f t="shared" ca="1" si="142"/>
        <v>7.67505353796951</v>
      </c>
      <c r="DD115" s="171">
        <f t="shared" ca="1" si="143"/>
        <v>7.2864438551170636</v>
      </c>
      <c r="DE115" s="171">
        <f t="shared" ca="1" si="144"/>
        <v>6.9175105803651702</v>
      </c>
      <c r="DF115" s="171">
        <f t="shared" ca="1" si="145"/>
        <v>6.5672574414827878</v>
      </c>
      <c r="DG115" s="171">
        <f t="shared" ca="1" si="146"/>
        <v>6.2347386103216227</v>
      </c>
      <c r="DH115" s="171">
        <f t="shared" ca="1" si="147"/>
        <v>5.9190561486894424</v>
      </c>
      <c r="DI115" s="171">
        <f t="shared" ca="1" si="148"/>
        <v>5.6193575835460692</v>
      </c>
      <c r="DJ115" s="171">
        <f t="shared" ca="1" si="149"/>
        <v>5.3348336049740519</v>
      </c>
      <c r="DK115" s="171">
        <f t="shared" ca="1" si="150"/>
        <v>5.0647158807075945</v>
      </c>
      <c r="DL115" s="171">
        <f t="shared" ca="1" si="151"/>
        <v>4.8082749813180863</v>
      </c>
      <c r="DM115" s="171">
        <f t="shared" ca="1" si="152"/>
        <v>4.5648184104533431</v>
      </c>
      <c r="DN115" s="171">
        <f t="shared" ca="1" si="153"/>
        <v>4.3336887348114201</v>
      </c>
      <c r="DO115" s="171">
        <f t="shared" ca="1" si="154"/>
        <v>4.1142618087991458</v>
      </c>
      <c r="DP115" s="171">
        <f t="shared" ca="1" si="155"/>
        <v>3.9059450890812064</v>
      </c>
      <c r="DQ115" s="171">
        <f t="shared" ca="1" si="156"/>
        <v>3.7081760344683987</v>
      </c>
      <c r="DR115" s="171">
        <f t="shared" ca="1" si="157"/>
        <v>3.5204205868240499</v>
      </c>
      <c r="DS115" s="171">
        <f t="shared" ca="1" si="158"/>
        <v>3.3421717288864605</v>
      </c>
      <c r="DT115" s="171">
        <f t="shared" ca="1" si="159"/>
        <v>3.1729481151128707</v>
      </c>
      <c r="DU115" s="171">
        <f t="shared" ca="1" si="160"/>
        <v>3.0122927718476702</v>
      </c>
      <c r="DV115" s="171">
        <f t="shared" ca="1" si="161"/>
        <v>2.8597718633047795</v>
      </c>
      <c r="DW115" s="171">
        <f t="shared" ca="1" si="162"/>
        <v>2.7149735200318243</v>
      </c>
      <c r="DX115" s="171">
        <f t="shared" ca="1" si="163"/>
        <v>2.5775067266924929</v>
      </c>
      <c r="DY115" s="171">
        <f t="shared" ca="1" si="164"/>
        <v>2.4470002661636183</v>
      </c>
      <c r="DZ115" s="171">
        <f t="shared" ca="1" si="165"/>
        <v>2.3231017170956116</v>
      </c>
      <c r="EA115" s="171">
        <f t="shared" ca="1" si="166"/>
        <v>2.2054765022292488</v>
      </c>
      <c r="EB115" s="171">
        <f t="shared" ca="1" si="167"/>
        <v>2.0938069848988752</v>
      </c>
      <c r="EC115" s="171">
        <f t="shared" ca="1" si="168"/>
        <v>1.9877916112822043</v>
      </c>
      <c r="ED115" s="171">
        <f t="shared" ca="1" si="169"/>
        <v>1.8871440960804413</v>
      </c>
      <c r="EE115" s="171">
        <f t="shared" ca="1" si="170"/>
        <v>1.7915926494297247</v>
      </c>
      <c r="EF115" s="171">
        <f t="shared" ca="1" si="171"/>
        <v>1.7008792429562303</v>
      </c>
      <c r="EG115" s="171">
        <f t="shared" ca="1" si="172"/>
        <v>1.614758912992982</v>
      </c>
      <c r="EH115" s="171">
        <f t="shared" ca="1" si="173"/>
        <v>1.5329990990767683</v>
      </c>
      <c r="EI115" s="171">
        <f t="shared" ca="1" si="174"/>
        <v>1.4553790159388316</v>
      </c>
      <c r="EJ115" s="171">
        <f t="shared" ca="1" si="175"/>
        <v>1.3816890572934459</v>
      </c>
      <c r="EK115" s="171">
        <f t="shared" ca="1" si="176"/>
        <v>1.3117302298143672</v>
      </c>
      <c r="EL115" s="171">
        <f t="shared" ca="1" si="177"/>
        <v>1.2453136157706577</v>
      </c>
      <c r="EM115" s="171">
        <f t="shared" ca="1" si="178"/>
        <v>1.1822598628707792</v>
      </c>
      <c r="EN115" s="171">
        <f t="shared" ca="1" si="179"/>
        <v>1.1223986999373232</v>
      </c>
      <c r="EO115" s="171">
        <f t="shared" ca="1" si="180"/>
        <v>1.0655684771045018</v>
      </c>
      <c r="EP115" s="171">
        <f t="shared" ca="1" si="181"/>
        <v>1.0116157292967392</v>
      </c>
      <c r="EQ115" s="171">
        <f t="shared" ca="1" si="182"/>
        <v>0.96039476180957872</v>
      </c>
      <c r="ER115" s="171">
        <f t="shared" ca="1" si="183"/>
        <v>0.911767256873801</v>
      </c>
      <c r="ES115" s="171">
        <f t="shared" ca="1" si="184"/>
        <v>0.86560190014031424</v>
      </c>
    </row>
    <row r="116" spans="1:149">
      <c r="A116" s="139" t="s">
        <v>483</v>
      </c>
      <c r="B116" s="160" t="s">
        <v>427</v>
      </c>
      <c r="C116" s="160" t="s">
        <v>460</v>
      </c>
      <c r="D116" s="161" t="s">
        <v>394</v>
      </c>
      <c r="E116" s="160">
        <v>2014</v>
      </c>
      <c r="F116" s="160" t="s">
        <v>395</v>
      </c>
      <c r="G116" s="160" t="s">
        <v>402</v>
      </c>
      <c r="H116" s="160" t="s">
        <v>396</v>
      </c>
      <c r="I116" s="160" t="s">
        <v>176</v>
      </c>
      <c r="J116" s="160" t="s">
        <v>397</v>
      </c>
      <c r="K116" s="187">
        <v>66.47</v>
      </c>
      <c r="L116" s="163" t="s">
        <v>110</v>
      </c>
      <c r="M116" s="164">
        <f t="shared" si="115"/>
        <v>66.47</v>
      </c>
      <c r="N116" s="164">
        <f t="shared" si="116"/>
        <v>66.47</v>
      </c>
      <c r="O116" s="165">
        <f t="shared" si="117"/>
        <v>1</v>
      </c>
      <c r="P116" s="180">
        <v>2.5268225719901158E-2</v>
      </c>
      <c r="Q116" s="183">
        <v>18.845594729243253</v>
      </c>
      <c r="R116" s="168">
        <f t="shared" si="118"/>
        <v>8.8455947292432526</v>
      </c>
      <c r="S116" s="186">
        <v>6.387366943339261</v>
      </c>
      <c r="T116" s="170" t="s">
        <v>403</v>
      </c>
      <c r="U116" s="171">
        <f t="shared" si="119"/>
        <v>4.3729611998745241</v>
      </c>
      <c r="V116" s="171">
        <f t="shared" ca="1" si="120"/>
        <v>3.7492028559103763</v>
      </c>
      <c r="W116" s="171">
        <f t="shared" ca="1" si="114"/>
        <v>70.655957580208337</v>
      </c>
      <c r="X116" s="172">
        <f t="shared" si="121"/>
        <v>0.22452991582962523</v>
      </c>
      <c r="Y116" s="172">
        <f t="shared" si="122"/>
        <v>0.77547008417037477</v>
      </c>
      <c r="Z116" s="173">
        <f t="shared" si="123"/>
        <v>82.411054539540586</v>
      </c>
      <c r="AA116" s="171">
        <f t="shared" si="108"/>
        <v>0</v>
      </c>
      <c r="AB116" s="171">
        <f t="shared" si="108"/>
        <v>0</v>
      </c>
      <c r="AC116" s="171">
        <f t="shared" si="108"/>
        <v>0</v>
      </c>
      <c r="AD116" s="171">
        <f t="shared" si="108"/>
        <v>0</v>
      </c>
      <c r="AE116" s="171">
        <f t="shared" si="108"/>
        <v>1.6795789636018299</v>
      </c>
      <c r="AF116" s="171">
        <f t="shared" si="108"/>
        <v>1.6795789636018299</v>
      </c>
      <c r="AG116" s="171">
        <f t="shared" si="108"/>
        <v>1.6795789636018299</v>
      </c>
      <c r="AH116" s="171">
        <f t="shared" si="108"/>
        <v>1.6795789636018299</v>
      </c>
      <c r="AI116" s="171">
        <f t="shared" si="108"/>
        <v>1.6795789636018299</v>
      </c>
      <c r="AJ116" s="171">
        <f t="shared" si="108"/>
        <v>1.6795789636018299</v>
      </c>
      <c r="AK116" s="171">
        <f t="shared" si="109"/>
        <v>1.6795789636018299</v>
      </c>
      <c r="AL116" s="171">
        <f t="shared" si="109"/>
        <v>5.8878334828606489</v>
      </c>
      <c r="AM116" s="171">
        <f t="shared" si="109"/>
        <v>5.8878334828606489</v>
      </c>
      <c r="AN116" s="171">
        <f t="shared" si="109"/>
        <v>5.8878334828606489</v>
      </c>
      <c r="AO116" s="171">
        <f t="shared" si="109"/>
        <v>5.8878334828606489</v>
      </c>
      <c r="AP116" s="171">
        <f t="shared" si="109"/>
        <v>5.8878334828606489</v>
      </c>
      <c r="AQ116" s="171">
        <f t="shared" si="109"/>
        <v>5.8878334828606489</v>
      </c>
      <c r="AR116" s="171">
        <f t="shared" si="109"/>
        <v>5.8878334828606489</v>
      </c>
      <c r="AS116" s="171">
        <f t="shared" si="109"/>
        <v>5.8878334828606489</v>
      </c>
      <c r="AT116" s="171">
        <f t="shared" si="109"/>
        <v>5.8878334828606489</v>
      </c>
      <c r="AU116" s="171">
        <f t="shared" si="110"/>
        <v>5.8878334828606489</v>
      </c>
      <c r="AV116" s="171">
        <f t="shared" si="110"/>
        <v>5.8878334828606489</v>
      </c>
      <c r="AW116" s="171">
        <f t="shared" si="110"/>
        <v>5.8878334828606489</v>
      </c>
      <c r="AX116" s="171">
        <f t="shared" si="110"/>
        <v>0</v>
      </c>
      <c r="AY116" s="171">
        <f t="shared" si="110"/>
        <v>0</v>
      </c>
      <c r="AZ116" s="171">
        <f t="shared" si="110"/>
        <v>0</v>
      </c>
      <c r="BA116" s="171">
        <f t="shared" si="110"/>
        <v>0</v>
      </c>
      <c r="BB116" s="171">
        <f t="shared" si="110"/>
        <v>0</v>
      </c>
      <c r="BC116" s="171">
        <f t="shared" si="110"/>
        <v>0</v>
      </c>
      <c r="BD116" s="171">
        <f t="shared" si="110"/>
        <v>0</v>
      </c>
      <c r="BE116" s="171">
        <f t="shared" si="111"/>
        <v>0</v>
      </c>
      <c r="BF116" s="171">
        <f t="shared" si="111"/>
        <v>0</v>
      </c>
      <c r="BG116" s="171">
        <f t="shared" si="111"/>
        <v>0</v>
      </c>
      <c r="BH116" s="171">
        <f t="shared" si="111"/>
        <v>0</v>
      </c>
      <c r="BI116" s="171">
        <f t="shared" si="111"/>
        <v>0</v>
      </c>
      <c r="BJ116" s="171">
        <f t="shared" si="111"/>
        <v>0</v>
      </c>
      <c r="BK116" s="171">
        <f t="shared" si="111"/>
        <v>0</v>
      </c>
      <c r="BL116" s="171">
        <f t="shared" si="111"/>
        <v>0</v>
      </c>
      <c r="BM116" s="171">
        <f t="shared" si="111"/>
        <v>0</v>
      </c>
      <c r="BN116" s="171">
        <f t="shared" si="111"/>
        <v>0</v>
      </c>
      <c r="BO116" s="171">
        <f t="shared" si="112"/>
        <v>0</v>
      </c>
      <c r="BP116" s="171">
        <f t="shared" si="112"/>
        <v>0</v>
      </c>
      <c r="BQ116" s="171">
        <f t="shared" si="112"/>
        <v>0</v>
      </c>
      <c r="BR116" s="171">
        <f t="shared" si="112"/>
        <v>0</v>
      </c>
      <c r="BS116" s="171">
        <f t="shared" si="112"/>
        <v>0</v>
      </c>
      <c r="BT116" s="171">
        <f t="shared" si="112"/>
        <v>0</v>
      </c>
      <c r="BU116" s="171">
        <f t="shared" si="112"/>
        <v>0</v>
      </c>
      <c r="BV116" s="171">
        <f t="shared" si="112"/>
        <v>0</v>
      </c>
      <c r="BW116" s="171">
        <f t="shared" si="112"/>
        <v>0</v>
      </c>
      <c r="BX116" s="171">
        <f t="shared" si="112"/>
        <v>0</v>
      </c>
      <c r="BY116" s="171">
        <f t="shared" si="113"/>
        <v>0</v>
      </c>
      <c r="BZ116" s="171">
        <f t="shared" si="113"/>
        <v>0</v>
      </c>
      <c r="CA116" s="171">
        <f t="shared" si="113"/>
        <v>0</v>
      </c>
      <c r="CB116" s="171">
        <f t="shared" si="113"/>
        <v>0</v>
      </c>
      <c r="CC116" s="171">
        <f t="shared" si="113"/>
        <v>0</v>
      </c>
      <c r="CD116" s="171">
        <f t="shared" si="113"/>
        <v>0</v>
      </c>
      <c r="CE116" s="171">
        <f t="shared" si="113"/>
        <v>0</v>
      </c>
      <c r="CF116" s="171">
        <f t="shared" si="113"/>
        <v>0</v>
      </c>
      <c r="CG116" s="171">
        <f t="shared" si="113"/>
        <v>0</v>
      </c>
      <c r="CH116" s="171">
        <f t="shared" si="113"/>
        <v>0</v>
      </c>
      <c r="CI116" s="171">
        <f t="shared" si="113"/>
        <v>0</v>
      </c>
      <c r="CJ116" s="243"/>
      <c r="CK116" s="171">
        <f t="shared" si="124"/>
        <v>0</v>
      </c>
      <c r="CL116" s="171">
        <f t="shared" si="125"/>
        <v>0</v>
      </c>
      <c r="CM116" s="171">
        <f t="shared" si="126"/>
        <v>0</v>
      </c>
      <c r="CN116" s="171">
        <f t="shared" si="127"/>
        <v>0</v>
      </c>
      <c r="CO116" s="171">
        <f t="shared" si="128"/>
        <v>1.6795789636018299</v>
      </c>
      <c r="CP116" s="171">
        <f t="shared" si="129"/>
        <v>1.6795789636018299</v>
      </c>
      <c r="CQ116" s="171">
        <f t="shared" si="130"/>
        <v>1.6795789636018299</v>
      </c>
      <c r="CR116" s="171">
        <f t="shared" si="131"/>
        <v>1.6795789636018299</v>
      </c>
      <c r="CS116" s="171">
        <f t="shared" si="132"/>
        <v>1.6795789636018299</v>
      </c>
      <c r="CT116" s="171">
        <f t="shared" si="133"/>
        <v>1.6795789636018299</v>
      </c>
      <c r="CU116" s="171">
        <f t="shared" si="134"/>
        <v>1.6795789636018299</v>
      </c>
      <c r="CV116" s="171">
        <f t="shared" si="135"/>
        <v>5.8878334828606489</v>
      </c>
      <c r="CW116" s="171">
        <f t="shared" si="136"/>
        <v>5.8878334828606489</v>
      </c>
      <c r="CX116" s="171">
        <f t="shared" si="137"/>
        <v>5.8878334828606489</v>
      </c>
      <c r="CY116" s="171">
        <f t="shared" ca="1" si="138"/>
        <v>5.5897158096557513</v>
      </c>
      <c r="CZ116" s="171">
        <f t="shared" ca="1" si="139"/>
        <v>5.3066926779890622</v>
      </c>
      <c r="DA116" s="171">
        <f t="shared" ca="1" si="140"/>
        <v>5.0379998085013655</v>
      </c>
      <c r="DB116" s="171">
        <f t="shared" ca="1" si="141"/>
        <v>4.7829116194604904</v>
      </c>
      <c r="DC116" s="171">
        <f t="shared" ca="1" si="142"/>
        <v>4.5407392673909373</v>
      </c>
      <c r="DD116" s="171">
        <f t="shared" ca="1" si="143"/>
        <v>4.3108287869119604</v>
      </c>
      <c r="DE116" s="171">
        <f t="shared" ca="1" si="144"/>
        <v>4.0925593247609191</v>
      </c>
      <c r="DF116" s="171">
        <f t="shared" ca="1" si="145"/>
        <v>3.8853414632330217</v>
      </c>
      <c r="DG116" s="171">
        <f t="shared" ca="1" si="146"/>
        <v>3.688615628510064</v>
      </c>
      <c r="DH116" s="171">
        <f t="shared" ca="1" si="147"/>
        <v>0</v>
      </c>
      <c r="DI116" s="171">
        <f t="shared" ca="1" si="148"/>
        <v>0</v>
      </c>
      <c r="DJ116" s="171">
        <f t="shared" ca="1" si="149"/>
        <v>0</v>
      </c>
      <c r="DK116" s="171">
        <f t="shared" ca="1" si="150"/>
        <v>0</v>
      </c>
      <c r="DL116" s="171">
        <f t="shared" ca="1" si="151"/>
        <v>0</v>
      </c>
      <c r="DM116" s="171">
        <f t="shared" ca="1" si="152"/>
        <v>0</v>
      </c>
      <c r="DN116" s="171">
        <f t="shared" ca="1" si="153"/>
        <v>0</v>
      </c>
      <c r="DO116" s="171">
        <f t="shared" ca="1" si="154"/>
        <v>0</v>
      </c>
      <c r="DP116" s="171">
        <f t="shared" ca="1" si="155"/>
        <v>0</v>
      </c>
      <c r="DQ116" s="171">
        <f t="shared" ca="1" si="156"/>
        <v>0</v>
      </c>
      <c r="DR116" s="171">
        <f t="shared" ca="1" si="157"/>
        <v>0</v>
      </c>
      <c r="DS116" s="171">
        <f t="shared" ca="1" si="158"/>
        <v>0</v>
      </c>
      <c r="DT116" s="171">
        <f t="shared" ca="1" si="159"/>
        <v>0</v>
      </c>
      <c r="DU116" s="171">
        <f t="shared" ca="1" si="160"/>
        <v>0</v>
      </c>
      <c r="DV116" s="171">
        <f t="shared" ca="1" si="161"/>
        <v>0</v>
      </c>
      <c r="DW116" s="171">
        <f t="shared" ca="1" si="162"/>
        <v>0</v>
      </c>
      <c r="DX116" s="171">
        <f t="shared" ca="1" si="163"/>
        <v>0</v>
      </c>
      <c r="DY116" s="171">
        <f t="shared" ca="1" si="164"/>
        <v>0</v>
      </c>
      <c r="DZ116" s="171">
        <f t="shared" ca="1" si="165"/>
        <v>0</v>
      </c>
      <c r="EA116" s="171">
        <f t="shared" ca="1" si="166"/>
        <v>0</v>
      </c>
      <c r="EB116" s="171">
        <f t="shared" ca="1" si="167"/>
        <v>0</v>
      </c>
      <c r="EC116" s="171">
        <f t="shared" ca="1" si="168"/>
        <v>0</v>
      </c>
      <c r="ED116" s="171">
        <f t="shared" ca="1" si="169"/>
        <v>0</v>
      </c>
      <c r="EE116" s="171">
        <f t="shared" ca="1" si="170"/>
        <v>0</v>
      </c>
      <c r="EF116" s="171">
        <f t="shared" ca="1" si="171"/>
        <v>0</v>
      </c>
      <c r="EG116" s="171">
        <f t="shared" ca="1" si="172"/>
        <v>0</v>
      </c>
      <c r="EH116" s="171">
        <f t="shared" ca="1" si="173"/>
        <v>0</v>
      </c>
      <c r="EI116" s="171">
        <f t="shared" ca="1" si="174"/>
        <v>0</v>
      </c>
      <c r="EJ116" s="171">
        <f t="shared" ca="1" si="175"/>
        <v>0</v>
      </c>
      <c r="EK116" s="171">
        <f t="shared" ca="1" si="176"/>
        <v>0</v>
      </c>
      <c r="EL116" s="171">
        <f t="shared" ca="1" si="177"/>
        <v>0</v>
      </c>
      <c r="EM116" s="171">
        <f t="shared" ca="1" si="178"/>
        <v>0</v>
      </c>
      <c r="EN116" s="171">
        <f t="shared" ca="1" si="179"/>
        <v>0</v>
      </c>
      <c r="EO116" s="171">
        <f t="shared" ca="1" si="180"/>
        <v>0</v>
      </c>
      <c r="EP116" s="171">
        <f t="shared" ca="1" si="181"/>
        <v>0</v>
      </c>
      <c r="EQ116" s="171">
        <f t="shared" ca="1" si="182"/>
        <v>0</v>
      </c>
      <c r="ER116" s="171">
        <f t="shared" ca="1" si="183"/>
        <v>0</v>
      </c>
      <c r="ES116" s="171">
        <f t="shared" ca="1" si="184"/>
        <v>0</v>
      </c>
    </row>
    <row r="117" spans="1:149">
      <c r="A117" s="139" t="s">
        <v>483</v>
      </c>
      <c r="B117" s="160" t="s">
        <v>432</v>
      </c>
      <c r="C117" s="161" t="s">
        <v>460</v>
      </c>
      <c r="D117" s="161" t="s">
        <v>394</v>
      </c>
      <c r="E117" s="161">
        <v>2014</v>
      </c>
      <c r="F117" s="161" t="s">
        <v>395</v>
      </c>
      <c r="G117" s="161" t="s">
        <v>402</v>
      </c>
      <c r="H117" s="161" t="s">
        <v>396</v>
      </c>
      <c r="I117" s="161" t="s">
        <v>178</v>
      </c>
      <c r="J117" s="161" t="s">
        <v>407</v>
      </c>
      <c r="K117" s="184">
        <v>179.46</v>
      </c>
      <c r="L117" s="163" t="s">
        <v>110</v>
      </c>
      <c r="M117" s="164">
        <f t="shared" si="115"/>
        <v>179.46</v>
      </c>
      <c r="N117" s="164">
        <f t="shared" si="116"/>
        <v>179.46</v>
      </c>
      <c r="O117" s="165">
        <f t="shared" si="117"/>
        <v>1</v>
      </c>
      <c r="P117" s="180">
        <v>8.2482067447802281E-3</v>
      </c>
      <c r="Q117" s="183">
        <v>38.303405271670549</v>
      </c>
      <c r="R117" s="168">
        <f t="shared" si="118"/>
        <v>28.303405271670549</v>
      </c>
      <c r="S117" s="183">
        <v>7.9180339887256128</v>
      </c>
      <c r="T117" s="170" t="s">
        <v>403</v>
      </c>
      <c r="U117" s="171">
        <f t="shared" si="119"/>
        <v>5.5806132409858478</v>
      </c>
      <c r="V117" s="171">
        <f t="shared" ca="1" si="120"/>
        <v>3.1310546873422389</v>
      </c>
      <c r="W117" s="171">
        <f t="shared" ca="1" si="114"/>
        <v>119.9300566170335</v>
      </c>
      <c r="X117" s="172">
        <f t="shared" si="121"/>
        <v>8.3078633047089845E-2</v>
      </c>
      <c r="Y117" s="172">
        <f t="shared" si="122"/>
        <v>0.91692136695291016</v>
      </c>
      <c r="Z117" s="173">
        <f t="shared" si="123"/>
        <v>213.7564906339318</v>
      </c>
      <c r="AA117" s="171">
        <f t="shared" si="108"/>
        <v>0</v>
      </c>
      <c r="AB117" s="171">
        <f t="shared" si="108"/>
        <v>0</v>
      </c>
      <c r="AC117" s="171">
        <f t="shared" si="108"/>
        <v>0</v>
      </c>
      <c r="AD117" s="171">
        <f t="shared" si="108"/>
        <v>0</v>
      </c>
      <c r="AE117" s="171">
        <f t="shared" si="108"/>
        <v>1.4802231824182599</v>
      </c>
      <c r="AF117" s="171">
        <f t="shared" si="108"/>
        <v>1.4802231824182599</v>
      </c>
      <c r="AG117" s="171">
        <f t="shared" si="108"/>
        <v>1.4802231824182599</v>
      </c>
      <c r="AH117" s="171">
        <f t="shared" si="108"/>
        <v>1.4802231824182599</v>
      </c>
      <c r="AI117" s="171">
        <f t="shared" si="108"/>
        <v>1.4802231824182599</v>
      </c>
      <c r="AJ117" s="171">
        <f t="shared" si="108"/>
        <v>1.4802231824182599</v>
      </c>
      <c r="AK117" s="171">
        <f t="shared" si="109"/>
        <v>1.4802231824182599</v>
      </c>
      <c r="AL117" s="171">
        <f t="shared" si="109"/>
        <v>1.4802231824182599</v>
      </c>
      <c r="AM117" s="171">
        <f t="shared" si="109"/>
        <v>6.5133775862769561</v>
      </c>
      <c r="AN117" s="171">
        <f t="shared" si="109"/>
        <v>6.5133775862769561</v>
      </c>
      <c r="AO117" s="171">
        <f t="shared" si="109"/>
        <v>6.5133775862769561</v>
      </c>
      <c r="AP117" s="171">
        <f t="shared" si="109"/>
        <v>6.5133775862769561</v>
      </c>
      <c r="AQ117" s="171">
        <f t="shared" si="109"/>
        <v>6.5133775862769561</v>
      </c>
      <c r="AR117" s="171">
        <f t="shared" si="109"/>
        <v>6.5133775862769561</v>
      </c>
      <c r="AS117" s="171">
        <f t="shared" si="109"/>
        <v>6.5133775862769561</v>
      </c>
      <c r="AT117" s="171">
        <f t="shared" si="109"/>
        <v>6.5133775862769561</v>
      </c>
      <c r="AU117" s="171">
        <f t="shared" si="110"/>
        <v>6.5133775862769561</v>
      </c>
      <c r="AV117" s="171">
        <f t="shared" si="110"/>
        <v>6.5133775862769561</v>
      </c>
      <c r="AW117" s="171">
        <f t="shared" si="110"/>
        <v>6.5133775862769561</v>
      </c>
      <c r="AX117" s="171">
        <f t="shared" si="110"/>
        <v>6.5133775862769561</v>
      </c>
      <c r="AY117" s="171">
        <f t="shared" si="110"/>
        <v>6.5133775862769561</v>
      </c>
      <c r="AZ117" s="171">
        <f t="shared" si="110"/>
        <v>6.5133775862769561</v>
      </c>
      <c r="BA117" s="171">
        <f t="shared" si="110"/>
        <v>6.5133775862769561</v>
      </c>
      <c r="BB117" s="171">
        <f t="shared" si="110"/>
        <v>6.5133775862769561</v>
      </c>
      <c r="BC117" s="171">
        <f t="shared" si="110"/>
        <v>6.5133775862769561</v>
      </c>
      <c r="BD117" s="171">
        <f t="shared" si="110"/>
        <v>6.5133775862769561</v>
      </c>
      <c r="BE117" s="171">
        <f t="shared" si="111"/>
        <v>6.5133775862769561</v>
      </c>
      <c r="BF117" s="171">
        <f t="shared" si="111"/>
        <v>6.5133775862769561</v>
      </c>
      <c r="BG117" s="171">
        <f t="shared" si="111"/>
        <v>6.5133775862769561</v>
      </c>
      <c r="BH117" s="171">
        <f t="shared" si="111"/>
        <v>6.5133775862769561</v>
      </c>
      <c r="BI117" s="171">
        <f t="shared" si="111"/>
        <v>6.5133775862769561</v>
      </c>
      <c r="BJ117" s="171">
        <f t="shared" si="111"/>
        <v>6.5133775862769561</v>
      </c>
      <c r="BK117" s="171">
        <f t="shared" si="111"/>
        <v>6.5133775862769561</v>
      </c>
      <c r="BL117" s="171">
        <f t="shared" si="111"/>
        <v>6.5133775862769561</v>
      </c>
      <c r="BM117" s="171">
        <f t="shared" si="111"/>
        <v>6.5133775862769561</v>
      </c>
      <c r="BN117" s="171">
        <f t="shared" si="111"/>
        <v>6.5133775862769561</v>
      </c>
      <c r="BO117" s="171">
        <f t="shared" si="112"/>
        <v>6.5133775862769561</v>
      </c>
      <c r="BP117" s="171">
        <f t="shared" si="112"/>
        <v>6.5133775862769561</v>
      </c>
      <c r="BQ117" s="171">
        <f t="shared" si="112"/>
        <v>6.5133775862769561</v>
      </c>
      <c r="BR117" s="171">
        <f t="shared" si="112"/>
        <v>0</v>
      </c>
      <c r="BS117" s="171">
        <f t="shared" si="112"/>
        <v>0</v>
      </c>
      <c r="BT117" s="171">
        <f t="shared" si="112"/>
        <v>0</v>
      </c>
      <c r="BU117" s="171">
        <f t="shared" si="112"/>
        <v>0</v>
      </c>
      <c r="BV117" s="171">
        <f t="shared" si="112"/>
        <v>0</v>
      </c>
      <c r="BW117" s="171">
        <f t="shared" si="112"/>
        <v>0</v>
      </c>
      <c r="BX117" s="171">
        <f t="shared" si="112"/>
        <v>0</v>
      </c>
      <c r="BY117" s="171">
        <f t="shared" si="113"/>
        <v>0</v>
      </c>
      <c r="BZ117" s="171">
        <f t="shared" si="113"/>
        <v>0</v>
      </c>
      <c r="CA117" s="171">
        <f t="shared" si="113"/>
        <v>0</v>
      </c>
      <c r="CB117" s="171">
        <f t="shared" si="113"/>
        <v>0</v>
      </c>
      <c r="CC117" s="171">
        <f t="shared" si="113"/>
        <v>0</v>
      </c>
      <c r="CD117" s="171">
        <f t="shared" si="113"/>
        <v>0</v>
      </c>
      <c r="CE117" s="171">
        <f t="shared" si="113"/>
        <v>0</v>
      </c>
      <c r="CF117" s="171">
        <f t="shared" si="113"/>
        <v>0</v>
      </c>
      <c r="CG117" s="171">
        <f t="shared" si="113"/>
        <v>0</v>
      </c>
      <c r="CH117" s="171">
        <f t="shared" si="113"/>
        <v>0</v>
      </c>
      <c r="CI117" s="171">
        <f t="shared" si="113"/>
        <v>0</v>
      </c>
      <c r="CJ117" s="243"/>
      <c r="CK117" s="171">
        <f t="shared" si="124"/>
        <v>0</v>
      </c>
      <c r="CL117" s="171">
        <f t="shared" si="125"/>
        <v>0</v>
      </c>
      <c r="CM117" s="171">
        <f t="shared" si="126"/>
        <v>0</v>
      </c>
      <c r="CN117" s="171">
        <f t="shared" si="127"/>
        <v>0</v>
      </c>
      <c r="CO117" s="171">
        <f t="shared" si="128"/>
        <v>1.4802231824182599</v>
      </c>
      <c r="CP117" s="171">
        <f t="shared" si="129"/>
        <v>1.4802231824182599</v>
      </c>
      <c r="CQ117" s="171">
        <f t="shared" si="130"/>
        <v>1.4802231824182599</v>
      </c>
      <c r="CR117" s="171">
        <f t="shared" si="131"/>
        <v>1.4802231824182599</v>
      </c>
      <c r="CS117" s="171">
        <f t="shared" si="132"/>
        <v>1.4802231824182599</v>
      </c>
      <c r="CT117" s="171">
        <f t="shared" si="133"/>
        <v>1.4802231824182599</v>
      </c>
      <c r="CU117" s="171">
        <f t="shared" si="134"/>
        <v>1.4802231824182599</v>
      </c>
      <c r="CV117" s="171">
        <f t="shared" si="135"/>
        <v>1.4802231824182599</v>
      </c>
      <c r="CW117" s="171">
        <f t="shared" si="136"/>
        <v>6.5133775862769561</v>
      </c>
      <c r="CX117" s="171">
        <f t="shared" si="137"/>
        <v>6.5133775862769561</v>
      </c>
      <c r="CY117" s="171">
        <f t="shared" ca="1" si="138"/>
        <v>6.1835868446776532</v>
      </c>
      <c r="CZ117" s="171">
        <f t="shared" ca="1" si="139"/>
        <v>5.8704943417116766</v>
      </c>
      <c r="DA117" s="171">
        <f t="shared" ca="1" si="140"/>
        <v>5.5732545982970407</v>
      </c>
      <c r="DB117" s="171">
        <f t="shared" ca="1" si="141"/>
        <v>5.2910649443505822</v>
      </c>
      <c r="DC117" s="171">
        <f t="shared" ca="1" si="142"/>
        <v>5.0231633512472005</v>
      </c>
      <c r="DD117" s="171">
        <f t="shared" ca="1" si="143"/>
        <v>4.7688263740278032</v>
      </c>
      <c r="DE117" s="171">
        <f t="shared" ca="1" si="144"/>
        <v>4.5273671977990988</v>
      </c>
      <c r="DF117" s="171">
        <f t="shared" ca="1" si="145"/>
        <v>4.29813378304969</v>
      </c>
      <c r="DG117" s="171">
        <f t="shared" ca="1" si="146"/>
        <v>4.0805071048740729</v>
      </c>
      <c r="DH117" s="171">
        <f t="shared" ca="1" si="147"/>
        <v>3.8738994813496928</v>
      </c>
      <c r="DI117" s="171">
        <f t="shared" ca="1" si="148"/>
        <v>3.6777529865530147</v>
      </c>
      <c r="DJ117" s="171">
        <f t="shared" ca="1" si="149"/>
        <v>3.4915379439290759</v>
      </c>
      <c r="DK117" s="171">
        <f t="shared" ca="1" si="150"/>
        <v>3.3147514959460009</v>
      </c>
      <c r="DL117" s="171">
        <f t="shared" ca="1" si="151"/>
        <v>3.1469162461719602</v>
      </c>
      <c r="DM117" s="171">
        <f t="shared" ca="1" si="152"/>
        <v>2.9875789701076125</v>
      </c>
      <c r="DN117" s="171">
        <f t="shared" ca="1" si="153"/>
        <v>2.8363093912927511</v>
      </c>
      <c r="DO117" s="171">
        <f t="shared" ca="1" si="154"/>
        <v>2.6926990193821352</v>
      </c>
      <c r="DP117" s="171">
        <f t="shared" ca="1" si="155"/>
        <v>2.5563600470528267</v>
      </c>
      <c r="DQ117" s="171">
        <f t="shared" ca="1" si="156"/>
        <v>2.4269243027642364</v>
      </c>
      <c r="DR117" s="171">
        <f t="shared" ca="1" si="157"/>
        <v>2.304042256542886</v>
      </c>
      <c r="DS117" s="171">
        <f t="shared" ca="1" si="158"/>
        <v>2.1873820761071099</v>
      </c>
      <c r="DT117" s="171">
        <f t="shared" ca="1" si="159"/>
        <v>2.0766287307828253</v>
      </c>
      <c r="DU117" s="171">
        <f t="shared" ca="1" si="160"/>
        <v>1.9714831407905906</v>
      </c>
      <c r="DV117" s="171">
        <f t="shared" ca="1" si="161"/>
        <v>1.8716613696066644</v>
      </c>
      <c r="DW117" s="171">
        <f t="shared" ca="1" si="162"/>
        <v>1.77689385721711</v>
      </c>
      <c r="DX117" s="171">
        <f t="shared" ca="1" si="163"/>
        <v>1.6869246921944143</v>
      </c>
      <c r="DY117" s="171">
        <f t="shared" ca="1" si="164"/>
        <v>1.601510920630931</v>
      </c>
      <c r="DZ117" s="171">
        <f t="shared" ca="1" si="165"/>
        <v>1.520421890062974</v>
      </c>
      <c r="EA117" s="171">
        <f t="shared" ca="1" si="166"/>
        <v>1.4434386266138954</v>
      </c>
      <c r="EB117" s="171">
        <f t="shared" ca="1" si="167"/>
        <v>0</v>
      </c>
      <c r="EC117" s="171">
        <f t="shared" ca="1" si="168"/>
        <v>0</v>
      </c>
      <c r="ED117" s="171">
        <f t="shared" ca="1" si="169"/>
        <v>0</v>
      </c>
      <c r="EE117" s="171">
        <f t="shared" ca="1" si="170"/>
        <v>0</v>
      </c>
      <c r="EF117" s="171">
        <f t="shared" ca="1" si="171"/>
        <v>0</v>
      </c>
      <c r="EG117" s="171">
        <f t="shared" ca="1" si="172"/>
        <v>0</v>
      </c>
      <c r="EH117" s="171">
        <f t="shared" ca="1" si="173"/>
        <v>0</v>
      </c>
      <c r="EI117" s="171">
        <f t="shared" ca="1" si="174"/>
        <v>0</v>
      </c>
      <c r="EJ117" s="171">
        <f t="shared" ca="1" si="175"/>
        <v>0</v>
      </c>
      <c r="EK117" s="171">
        <f t="shared" ca="1" si="176"/>
        <v>0</v>
      </c>
      <c r="EL117" s="171">
        <f t="shared" ca="1" si="177"/>
        <v>0</v>
      </c>
      <c r="EM117" s="171">
        <f t="shared" ca="1" si="178"/>
        <v>0</v>
      </c>
      <c r="EN117" s="171">
        <f t="shared" ca="1" si="179"/>
        <v>0</v>
      </c>
      <c r="EO117" s="171">
        <f t="shared" ca="1" si="180"/>
        <v>0</v>
      </c>
      <c r="EP117" s="171">
        <f t="shared" ca="1" si="181"/>
        <v>0</v>
      </c>
      <c r="EQ117" s="171">
        <f t="shared" ca="1" si="182"/>
        <v>0</v>
      </c>
      <c r="ER117" s="171">
        <f t="shared" ca="1" si="183"/>
        <v>0</v>
      </c>
      <c r="ES117" s="171">
        <f t="shared" ca="1" si="184"/>
        <v>0</v>
      </c>
    </row>
    <row r="118" spans="1:149">
      <c r="A118" s="139" t="s">
        <v>483</v>
      </c>
      <c r="B118" s="160" t="s">
        <v>484</v>
      </c>
      <c r="C118" s="160" t="s">
        <v>460</v>
      </c>
      <c r="D118" s="161" t="s">
        <v>394</v>
      </c>
      <c r="E118" s="160">
        <v>2014</v>
      </c>
      <c r="F118" s="160" t="s">
        <v>395</v>
      </c>
      <c r="G118" s="160" t="s">
        <v>289</v>
      </c>
      <c r="H118" s="160" t="s">
        <v>396</v>
      </c>
      <c r="I118" s="174" t="s">
        <v>180</v>
      </c>
      <c r="J118" s="160" t="s">
        <v>397</v>
      </c>
      <c r="K118" s="187">
        <v>9.9700000000000006</v>
      </c>
      <c r="L118" s="163" t="s">
        <v>110</v>
      </c>
      <c r="M118" s="164">
        <f t="shared" si="115"/>
        <v>9.9700000000000006</v>
      </c>
      <c r="N118" s="164">
        <f t="shared" si="116"/>
        <v>9.9700000000000006</v>
      </c>
      <c r="O118" s="165">
        <f t="shared" si="117"/>
        <v>1</v>
      </c>
      <c r="P118" s="190">
        <v>0.16</v>
      </c>
      <c r="Q118" s="177">
        <v>25</v>
      </c>
      <c r="R118" s="168">
        <f t="shared" si="118"/>
        <v>15</v>
      </c>
      <c r="S118" s="178">
        <v>0</v>
      </c>
      <c r="T118" s="160" t="s">
        <v>289</v>
      </c>
      <c r="U118" s="171">
        <f t="shared" si="119"/>
        <v>1.6590079999999992</v>
      </c>
      <c r="V118" s="171">
        <f t="shared" ca="1" si="120"/>
        <v>1.3134979006853202</v>
      </c>
      <c r="W118" s="171">
        <f t="shared" ref="W118:W176" ca="1" si="185">SUM(CK118:ES118)</f>
        <v>32.837447517133008</v>
      </c>
      <c r="X118" s="172" t="str">
        <f t="shared" si="121"/>
        <v>Equity</v>
      </c>
      <c r="Y118" s="172" t="str">
        <f t="shared" si="122"/>
        <v>Equity</v>
      </c>
      <c r="Z118" s="173">
        <f t="shared" si="123"/>
        <v>41.47519999999998</v>
      </c>
      <c r="AA118" s="171">
        <f t="shared" si="108"/>
        <v>0</v>
      </c>
      <c r="AB118" s="171">
        <f t="shared" si="108"/>
        <v>0</v>
      </c>
      <c r="AC118" s="171">
        <f t="shared" si="108"/>
        <v>0</v>
      </c>
      <c r="AD118" s="171">
        <f t="shared" si="108"/>
        <v>0</v>
      </c>
      <c r="AE118" s="171">
        <f t="shared" si="108"/>
        <v>1.5952000000000002</v>
      </c>
      <c r="AF118" s="171">
        <f t="shared" si="108"/>
        <v>1.5952000000000002</v>
      </c>
      <c r="AG118" s="171">
        <f t="shared" si="108"/>
        <v>1.5952000000000002</v>
      </c>
      <c r="AH118" s="171">
        <f t="shared" si="108"/>
        <v>1.5952000000000002</v>
      </c>
      <c r="AI118" s="171">
        <f t="shared" si="108"/>
        <v>1.5952000000000002</v>
      </c>
      <c r="AJ118" s="171">
        <f t="shared" si="108"/>
        <v>1.5952000000000002</v>
      </c>
      <c r="AK118" s="171">
        <f t="shared" si="109"/>
        <v>1.5952000000000002</v>
      </c>
      <c r="AL118" s="171">
        <f t="shared" si="109"/>
        <v>1.5952000000000002</v>
      </c>
      <c r="AM118" s="171">
        <f t="shared" si="109"/>
        <v>1.5952000000000002</v>
      </c>
      <c r="AN118" s="171">
        <f t="shared" si="109"/>
        <v>1.5952000000000002</v>
      </c>
      <c r="AO118" s="171">
        <f t="shared" si="109"/>
        <v>1.5952000000000002</v>
      </c>
      <c r="AP118" s="171">
        <f t="shared" si="109"/>
        <v>1.5952000000000002</v>
      </c>
      <c r="AQ118" s="171">
        <f t="shared" si="109"/>
        <v>1.5952000000000002</v>
      </c>
      <c r="AR118" s="171">
        <f t="shared" si="109"/>
        <v>1.5952000000000002</v>
      </c>
      <c r="AS118" s="171">
        <f t="shared" si="109"/>
        <v>1.5952000000000002</v>
      </c>
      <c r="AT118" s="171">
        <f t="shared" si="109"/>
        <v>1.5952000000000002</v>
      </c>
      <c r="AU118" s="171">
        <f t="shared" si="110"/>
        <v>1.5952000000000002</v>
      </c>
      <c r="AV118" s="171">
        <f t="shared" si="110"/>
        <v>1.5952000000000002</v>
      </c>
      <c r="AW118" s="171">
        <f t="shared" si="110"/>
        <v>1.5952000000000002</v>
      </c>
      <c r="AX118" s="171">
        <f t="shared" si="110"/>
        <v>1.5952000000000002</v>
      </c>
      <c r="AY118" s="171">
        <f t="shared" si="110"/>
        <v>1.5952000000000002</v>
      </c>
      <c r="AZ118" s="171">
        <f t="shared" si="110"/>
        <v>1.5952000000000002</v>
      </c>
      <c r="BA118" s="171">
        <f t="shared" si="110"/>
        <v>1.5952000000000002</v>
      </c>
      <c r="BB118" s="171">
        <f t="shared" si="110"/>
        <v>1.5952000000000002</v>
      </c>
      <c r="BC118" s="171">
        <f t="shared" si="110"/>
        <v>1.5952000000000002</v>
      </c>
      <c r="BD118" s="171">
        <f t="shared" si="110"/>
        <v>1.5952000000000002</v>
      </c>
      <c r="BE118" s="171">
        <f t="shared" si="111"/>
        <v>0</v>
      </c>
      <c r="BF118" s="171">
        <f t="shared" si="111"/>
        <v>0</v>
      </c>
      <c r="BG118" s="171">
        <f t="shared" si="111"/>
        <v>0</v>
      </c>
      <c r="BH118" s="171">
        <f t="shared" si="111"/>
        <v>0</v>
      </c>
      <c r="BI118" s="171">
        <f t="shared" si="111"/>
        <v>0</v>
      </c>
      <c r="BJ118" s="171">
        <f t="shared" si="111"/>
        <v>0</v>
      </c>
      <c r="BK118" s="171">
        <f t="shared" si="111"/>
        <v>0</v>
      </c>
      <c r="BL118" s="171">
        <f t="shared" si="111"/>
        <v>0</v>
      </c>
      <c r="BM118" s="171">
        <f t="shared" si="111"/>
        <v>0</v>
      </c>
      <c r="BN118" s="171">
        <f t="shared" si="111"/>
        <v>0</v>
      </c>
      <c r="BO118" s="171">
        <f t="shared" si="112"/>
        <v>0</v>
      </c>
      <c r="BP118" s="171">
        <f t="shared" si="112"/>
        <v>0</v>
      </c>
      <c r="BQ118" s="171">
        <f t="shared" si="112"/>
        <v>0</v>
      </c>
      <c r="BR118" s="171">
        <f t="shared" si="112"/>
        <v>0</v>
      </c>
      <c r="BS118" s="171">
        <f t="shared" si="112"/>
        <v>0</v>
      </c>
      <c r="BT118" s="171">
        <f t="shared" si="112"/>
        <v>0</v>
      </c>
      <c r="BU118" s="171">
        <f t="shared" si="112"/>
        <v>0</v>
      </c>
      <c r="BV118" s="171">
        <f t="shared" si="112"/>
        <v>0</v>
      </c>
      <c r="BW118" s="171">
        <f t="shared" si="112"/>
        <v>0</v>
      </c>
      <c r="BX118" s="171">
        <f t="shared" si="112"/>
        <v>0</v>
      </c>
      <c r="BY118" s="171">
        <f t="shared" si="113"/>
        <v>0</v>
      </c>
      <c r="BZ118" s="171">
        <f t="shared" si="113"/>
        <v>0</v>
      </c>
      <c r="CA118" s="171">
        <f t="shared" si="113"/>
        <v>0</v>
      </c>
      <c r="CB118" s="171">
        <f t="shared" si="113"/>
        <v>0</v>
      </c>
      <c r="CC118" s="171">
        <f t="shared" si="113"/>
        <v>0</v>
      </c>
      <c r="CD118" s="171">
        <f t="shared" si="113"/>
        <v>0</v>
      </c>
      <c r="CE118" s="171">
        <f t="shared" si="113"/>
        <v>0</v>
      </c>
      <c r="CF118" s="171">
        <f t="shared" si="113"/>
        <v>0</v>
      </c>
      <c r="CG118" s="171">
        <f t="shared" si="113"/>
        <v>0</v>
      </c>
      <c r="CH118" s="171">
        <f t="shared" si="113"/>
        <v>0</v>
      </c>
      <c r="CI118" s="171">
        <f t="shared" si="113"/>
        <v>0</v>
      </c>
      <c r="CJ118" s="243"/>
      <c r="CK118" s="171">
        <f t="shared" si="124"/>
        <v>0</v>
      </c>
      <c r="CL118" s="171">
        <f t="shared" si="125"/>
        <v>0</v>
      </c>
      <c r="CM118" s="171">
        <f t="shared" si="126"/>
        <v>0</v>
      </c>
      <c r="CN118" s="171">
        <f t="shared" si="127"/>
        <v>0</v>
      </c>
      <c r="CO118" s="171">
        <f t="shared" si="128"/>
        <v>1.5952000000000002</v>
      </c>
      <c r="CP118" s="171">
        <f t="shared" si="129"/>
        <v>1.5952000000000002</v>
      </c>
      <c r="CQ118" s="171">
        <f t="shared" si="130"/>
        <v>1.5952000000000002</v>
      </c>
      <c r="CR118" s="171">
        <f t="shared" si="131"/>
        <v>1.5952000000000002</v>
      </c>
      <c r="CS118" s="171">
        <f t="shared" si="132"/>
        <v>1.5952000000000002</v>
      </c>
      <c r="CT118" s="171">
        <f t="shared" si="133"/>
        <v>1.5952000000000002</v>
      </c>
      <c r="CU118" s="171">
        <f t="shared" si="134"/>
        <v>1.5952000000000002</v>
      </c>
      <c r="CV118" s="171">
        <f t="shared" si="135"/>
        <v>1.5952000000000002</v>
      </c>
      <c r="CW118" s="171">
        <f t="shared" si="136"/>
        <v>1.5952000000000002</v>
      </c>
      <c r="CX118" s="171">
        <f t="shared" si="137"/>
        <v>1.5952000000000002</v>
      </c>
      <c r="CY118" s="171">
        <f t="shared" ca="1" si="138"/>
        <v>1.5144305092049921</v>
      </c>
      <c r="CZ118" s="171">
        <f t="shared" ca="1" si="139"/>
        <v>1.4377506063257846</v>
      </c>
      <c r="DA118" s="171">
        <f t="shared" ca="1" si="140"/>
        <v>1.3649532239516948</v>
      </c>
      <c r="DB118" s="171">
        <f t="shared" ca="1" si="141"/>
        <v>1.2958417790810937</v>
      </c>
      <c r="DC118" s="171">
        <f t="shared" ca="1" si="142"/>
        <v>1.2302296422661003</v>
      </c>
      <c r="DD118" s="171">
        <f t="shared" ca="1" si="143"/>
        <v>1.1679396336359862</v>
      </c>
      <c r="DE118" s="171">
        <f t="shared" ca="1" si="144"/>
        <v>1.1088035444383391</v>
      </c>
      <c r="DF118" s="171">
        <f t="shared" ca="1" si="145"/>
        <v>1.0526616828059514</v>
      </c>
      <c r="DG118" s="171">
        <f t="shared" ca="1" si="146"/>
        <v>0.99936244252281903</v>
      </c>
      <c r="DH118" s="171">
        <f t="shared" ca="1" si="147"/>
        <v>0.94876189362473495</v>
      </c>
      <c r="DI118" s="171">
        <f t="shared" ca="1" si="148"/>
        <v>0.90072339372893662</v>
      </c>
      <c r="DJ118" s="171">
        <f t="shared" ca="1" si="149"/>
        <v>0.8551172190432309</v>
      </c>
      <c r="DK118" s="171">
        <f t="shared" ca="1" si="150"/>
        <v>0.81182021405817251</v>
      </c>
      <c r="DL118" s="171">
        <f t="shared" ca="1" si="151"/>
        <v>0.77071545897631877</v>
      </c>
      <c r="DM118" s="171">
        <f t="shared" ca="1" si="152"/>
        <v>0.73169195398048237</v>
      </c>
      <c r="DN118" s="171">
        <f t="shared" ca="1" si="153"/>
        <v>0.69464431948837602</v>
      </c>
      <c r="DO118" s="171">
        <f t="shared" ca="1" si="154"/>
        <v>0</v>
      </c>
      <c r="DP118" s="171">
        <f t="shared" ca="1" si="155"/>
        <v>0</v>
      </c>
      <c r="DQ118" s="171">
        <f t="shared" ca="1" si="156"/>
        <v>0</v>
      </c>
      <c r="DR118" s="171">
        <f t="shared" ca="1" si="157"/>
        <v>0</v>
      </c>
      <c r="DS118" s="171">
        <f t="shared" ca="1" si="158"/>
        <v>0</v>
      </c>
      <c r="DT118" s="171">
        <f t="shared" ca="1" si="159"/>
        <v>0</v>
      </c>
      <c r="DU118" s="171">
        <f t="shared" ca="1" si="160"/>
        <v>0</v>
      </c>
      <c r="DV118" s="171">
        <f t="shared" ca="1" si="161"/>
        <v>0</v>
      </c>
      <c r="DW118" s="171">
        <f t="shared" ca="1" si="162"/>
        <v>0</v>
      </c>
      <c r="DX118" s="171">
        <f t="shared" ca="1" si="163"/>
        <v>0</v>
      </c>
      <c r="DY118" s="171">
        <f t="shared" ca="1" si="164"/>
        <v>0</v>
      </c>
      <c r="DZ118" s="171">
        <f t="shared" ca="1" si="165"/>
        <v>0</v>
      </c>
      <c r="EA118" s="171">
        <f t="shared" ca="1" si="166"/>
        <v>0</v>
      </c>
      <c r="EB118" s="171">
        <f t="shared" ca="1" si="167"/>
        <v>0</v>
      </c>
      <c r="EC118" s="171">
        <f t="shared" ca="1" si="168"/>
        <v>0</v>
      </c>
      <c r="ED118" s="171">
        <f t="shared" ca="1" si="169"/>
        <v>0</v>
      </c>
      <c r="EE118" s="171">
        <f t="shared" ca="1" si="170"/>
        <v>0</v>
      </c>
      <c r="EF118" s="171">
        <f t="shared" ca="1" si="171"/>
        <v>0</v>
      </c>
      <c r="EG118" s="171">
        <f t="shared" ca="1" si="172"/>
        <v>0</v>
      </c>
      <c r="EH118" s="171">
        <f t="shared" ca="1" si="173"/>
        <v>0</v>
      </c>
      <c r="EI118" s="171">
        <f t="shared" ca="1" si="174"/>
        <v>0</v>
      </c>
      <c r="EJ118" s="171">
        <f t="shared" ca="1" si="175"/>
        <v>0</v>
      </c>
      <c r="EK118" s="171">
        <f t="shared" ca="1" si="176"/>
        <v>0</v>
      </c>
      <c r="EL118" s="171">
        <f t="shared" ca="1" si="177"/>
        <v>0</v>
      </c>
      <c r="EM118" s="171">
        <f t="shared" ca="1" si="178"/>
        <v>0</v>
      </c>
      <c r="EN118" s="171">
        <f t="shared" ca="1" si="179"/>
        <v>0</v>
      </c>
      <c r="EO118" s="171">
        <f t="shared" ca="1" si="180"/>
        <v>0</v>
      </c>
      <c r="EP118" s="171">
        <f t="shared" ca="1" si="181"/>
        <v>0</v>
      </c>
      <c r="EQ118" s="171">
        <f t="shared" ca="1" si="182"/>
        <v>0</v>
      </c>
      <c r="ER118" s="171">
        <f t="shared" ca="1" si="183"/>
        <v>0</v>
      </c>
      <c r="ES118" s="171">
        <f t="shared" ca="1" si="184"/>
        <v>0</v>
      </c>
    </row>
    <row r="119" spans="1:149">
      <c r="A119" s="139" t="s">
        <v>483</v>
      </c>
      <c r="B119" s="160" t="s">
        <v>485</v>
      </c>
      <c r="C119" s="161" t="s">
        <v>460</v>
      </c>
      <c r="D119" s="161" t="s">
        <v>394</v>
      </c>
      <c r="E119" s="161">
        <v>2014</v>
      </c>
      <c r="F119" s="161" t="s">
        <v>395</v>
      </c>
      <c r="G119" s="170" t="s">
        <v>402</v>
      </c>
      <c r="H119" s="161" t="s">
        <v>396</v>
      </c>
      <c r="I119" s="161" t="s">
        <v>180</v>
      </c>
      <c r="J119" s="161" t="s">
        <v>397</v>
      </c>
      <c r="K119" s="184">
        <v>33.229999999999997</v>
      </c>
      <c r="L119" s="163" t="s">
        <v>110</v>
      </c>
      <c r="M119" s="164">
        <f t="shared" si="115"/>
        <v>33.229999999999997</v>
      </c>
      <c r="N119" s="164">
        <f t="shared" si="116"/>
        <v>33.229999999999997</v>
      </c>
      <c r="O119" s="165">
        <f t="shared" si="117"/>
        <v>1</v>
      </c>
      <c r="P119" s="180">
        <v>4.9550000000000004E-2</v>
      </c>
      <c r="Q119" s="183">
        <v>14.1082910321489</v>
      </c>
      <c r="R119" s="168">
        <f t="shared" si="118"/>
        <v>4.1082910321488999</v>
      </c>
      <c r="S119" s="186">
        <v>1</v>
      </c>
      <c r="T119" s="170" t="s">
        <v>403</v>
      </c>
      <c r="U119" s="171">
        <f t="shared" si="119"/>
        <v>3.4205627554744256</v>
      </c>
      <c r="V119" s="171">
        <f t="shared" ca="1" si="120"/>
        <v>3.252980188595664</v>
      </c>
      <c r="W119" s="171">
        <f t="shared" ca="1" si="185"/>
        <v>45.893991222522246</v>
      </c>
      <c r="X119" s="172">
        <f t="shared" si="121"/>
        <v>0.49371538134980619</v>
      </c>
      <c r="Y119" s="172">
        <f t="shared" si="122"/>
        <v>0.50628461865019381</v>
      </c>
      <c r="Z119" s="173">
        <f t="shared" si="123"/>
        <v>48.258294847962368</v>
      </c>
      <c r="AA119" s="171">
        <f t="shared" ref="AA119:AJ128" si="186">IFERROR(
    IF($T119="Equity",
        IF(AND(AA$48&gt;=$E119, AA$48&lt;=($E119+$Q119)),
$K119*$P119*(VLOOKUP($C$39,$C$37:$BL$44,MATCH($E119,$C$37:$BL$37,0),FALSE)/VLOOKUP($L119,$C$37:$BL$44,MATCH($E119,$C$37:$BL$37,0),FALSE))*
IF($B$5="Foreign Currency",VLOOKUP($C$38,$C$37:$BL$44,MATCH(AA$48,$C$37:$BL$37,0),FALSE)/VLOOKUP($C$39,$C$37:$BL$44,MATCH(AA$48,$C$37:$BL$37,0),FALSE),1),
0),
    IF($T119="Lump Sum Principal",
        IF(AND(AA$48&gt;=$E119, AA$48&lt;($E119+$Q119)),
$K119*$P119*(VLOOKUP($C$39,$C$37:$BL$44,MATCH($E119,$C$37:$BL$37,0),FALSE)/VLOOKUP($L119,$C$37:$BL$44,MATCH($E119,$C$37:$BL$37,0),FALSE))*
IF($B$5="Foreign Currency",VLOOKUP($C$38,$C$37:$BL$44,MATCH(AA$48,$C$37:$BL$37,0),FALSE)/VLOOKUP($C$39,$C$37:$BL$44,MATCH(AA$48,$C$37:$BL$37,0),FALSE),1),
        IF(AA$48=($E119+$Q119),
$K119*(1+$P119)*(VLOOKUP($C$39,$C$37:$BL$44,MATCH($E119,$C$37:$BL$37,0),FALSE)/VLOOKUP($L119,$C$37:$BL$44,MATCH($E119,$C$37:$BL$37,0),FALSE))*
IF($B$5="Foreign Currency",VLOOKUP($C$38,$C$37:$BL$44,MATCH(AA$48,$C$37:$BL$37,0),FALSE)/VLOOKUP($C$39,$C$37:$BL$44,MATCH(AA$48,$C$37:$BL$37,0),FALSE),1),
0)),
    IF($T119="Lump Sum Principal and Interest",
        IF(AA$48=($E119+$Q119),
$K119*((1+$P119)^$Q119)*(VLOOKUP($C$39,$C$37:$BL$44,MATCH($E119,$C$37:$BL$37,0),FALSE)/VLOOKUP($L119,$C$37:$BL$44,MATCH($E119,$C$37:$BL$37,0),FALSE))*
IF($B$5="Foreign Currency",VLOOKUP($C$38,$C$37:$BL$44,MATCH(AA$48,$C$37:$BL$37,0),FALSE)/VLOOKUP($C$39,$C$37:$BL$44,MATCH(AA$48,$C$37:$BL$37,0),FALSE),1),
0),
    IF($T119="EPP with Grace Years for Principal",
        IF(AND(AA$48&gt;=$E119, AA$48&lt;($E119+$S119)),
$K119*$P119*(VLOOKUP($C$39,$C$37:$BL$44,MATCH($E119,$C$37:$BL$37,0),FALSE)/VLOOKUP($L119,$C$37:$BL$44,MATCH($E119,$C$37:$BL$37,0),FALSE))*
IF($B$5="Foreign Currency",VLOOKUP($C$38,$C$37:$BL$44,MATCH(AA$48,$C$37:$BL$37,0),FALSE)/VLOOKUP($C$39,$C$37:$BL$44,MATCH(AA$48,$C$37:$BL$37,0),FALSE),1),
        IF(AND(AA$48&gt;=($E119+$S119), AA$48&lt;=($E119+$Q119)),
-PMT($P119,($Q119-$S119+1),($K119*(VLOOKUP($C$39,$C$37:$BL$44,MATCH($E119,$C$37:$BL$37,0),FALSE)/VLOOKUP($L119,$C$37:$BL$44,MATCH($E119,$C$37:$BL$37,0),FALSE))*
IF($B$5="Foreign Currency",VLOOKUP($C$38,$C$37:$BL$44,MATCH(AA$48,$C$37:$BL$37,0),FALSE)/VLOOKUP($C$39,$C$37:$BL$44,MATCH(AA$48,$C$37:$BL$37,0),FALSE),1)),0),
0)),
    IF($T119="Equal Principal Payments (EPP)",
        IF(AND(AA$48&gt;=$E119, AA$48&lt;=($E119+$Q119)),
-PMT($P119,($Q119-$S119+1),($K119*(VLOOKUP($C$39,$C$37:$BL$44,MATCH($E119,$C$37:$BL$37,0),FALSE)/VLOOKUP($L119,$C$37:$BL$44,MATCH($E119,$C$37:$BL$37,0),FALSE))*
IF($B$5="Foreign Currency",VLOOKUP($C$38,$C$37:$BL$44,MATCH(AA$48,$C$37:$BL$37,0),FALSE)/VLOOKUP($C$39,$C$37:$BL$44,MATCH(AA$48,$C$37:$BL$37,0),FALSE),1)),0), 0),
    IF($T119="EPP with Grace Years for Principal and on Interest",
        IF(AND(AA$48&gt;=($E119+$S119), AA$48&lt;=($E119+$Q119)),
-PMT($P119,($Q119-$S119+1),($K119*(VLOOKUP($C$39,$C$37:$BL$44,MATCH($E119,$C$37:$BL$37,0),FALSE)/VLOOKUP($L119,$C$37:$BL$44,MATCH($E119,$C$37:$BL$37,0),FALSE))*
IF($B$5="Foreign Currency",VLOOKUP($C$38,$C$37:$BL$44,MATCH(AA$48,$C$37:$BL$37,0),FALSE)/VLOOKUP($C$39,$C$37:$BL$44,MATCH(AA$48,$C$37:$BL$37,0),FALSE),1))*((1+$P119)^$S119),0), 0),
    0)))))),"")</f>
        <v>0</v>
      </c>
      <c r="AB119" s="171">
        <f t="shared" si="186"/>
        <v>0</v>
      </c>
      <c r="AC119" s="171">
        <f t="shared" si="186"/>
        <v>0</v>
      </c>
      <c r="AD119" s="171">
        <f t="shared" si="186"/>
        <v>0</v>
      </c>
      <c r="AE119" s="171">
        <f t="shared" si="186"/>
        <v>1.6465464999999999</v>
      </c>
      <c r="AF119" s="171">
        <f t="shared" si="186"/>
        <v>3.3294105962830267</v>
      </c>
      <c r="AG119" s="171">
        <f t="shared" si="186"/>
        <v>3.3294105962830267</v>
      </c>
      <c r="AH119" s="171">
        <f t="shared" si="186"/>
        <v>3.3294105962830267</v>
      </c>
      <c r="AI119" s="171">
        <f t="shared" si="186"/>
        <v>3.3294105962830267</v>
      </c>
      <c r="AJ119" s="171">
        <f t="shared" si="186"/>
        <v>3.3294105962830267</v>
      </c>
      <c r="AK119" s="171">
        <f t="shared" ref="AK119:AT128" si="187">IFERROR(
    IF($T119="Equity",
        IF(AND(AK$48&gt;=$E119, AK$48&lt;=($E119+$Q119)),
$K119*$P119*(VLOOKUP($C$39,$C$37:$BL$44,MATCH($E119,$C$37:$BL$37,0),FALSE)/VLOOKUP($L119,$C$37:$BL$44,MATCH($E119,$C$37:$BL$37,0),FALSE))*
IF($B$5="Foreign Currency",VLOOKUP($C$38,$C$37:$BL$44,MATCH(AK$48,$C$37:$BL$37,0),FALSE)/VLOOKUP($C$39,$C$37:$BL$44,MATCH(AK$48,$C$37:$BL$37,0),FALSE),1),
0),
    IF($T119="Lump Sum Principal",
        IF(AND(AK$48&gt;=$E119, AK$48&lt;($E119+$Q119)),
$K119*$P119*(VLOOKUP($C$39,$C$37:$BL$44,MATCH($E119,$C$37:$BL$37,0),FALSE)/VLOOKUP($L119,$C$37:$BL$44,MATCH($E119,$C$37:$BL$37,0),FALSE))*
IF($B$5="Foreign Currency",VLOOKUP($C$38,$C$37:$BL$44,MATCH(AK$48,$C$37:$BL$37,0),FALSE)/VLOOKUP($C$39,$C$37:$BL$44,MATCH(AK$48,$C$37:$BL$37,0),FALSE),1),
        IF(AK$48=($E119+$Q119),
$K119*(1+$P119)*(VLOOKUP($C$39,$C$37:$BL$44,MATCH($E119,$C$37:$BL$37,0),FALSE)/VLOOKUP($L119,$C$37:$BL$44,MATCH($E119,$C$37:$BL$37,0),FALSE))*
IF($B$5="Foreign Currency",VLOOKUP($C$38,$C$37:$BL$44,MATCH(AK$48,$C$37:$BL$37,0),FALSE)/VLOOKUP($C$39,$C$37:$BL$44,MATCH(AK$48,$C$37:$BL$37,0),FALSE),1),
0)),
    IF($T119="Lump Sum Principal and Interest",
        IF(AK$48=($E119+$Q119),
$K119*((1+$P119)^$Q119)*(VLOOKUP($C$39,$C$37:$BL$44,MATCH($E119,$C$37:$BL$37,0),FALSE)/VLOOKUP($L119,$C$37:$BL$44,MATCH($E119,$C$37:$BL$37,0),FALSE))*
IF($B$5="Foreign Currency",VLOOKUP($C$38,$C$37:$BL$44,MATCH(AK$48,$C$37:$BL$37,0),FALSE)/VLOOKUP($C$39,$C$37:$BL$44,MATCH(AK$48,$C$37:$BL$37,0),FALSE),1),
0),
    IF($T119="EPP with Grace Years for Principal",
        IF(AND(AK$48&gt;=$E119, AK$48&lt;($E119+$S119)),
$K119*$P119*(VLOOKUP($C$39,$C$37:$BL$44,MATCH($E119,$C$37:$BL$37,0),FALSE)/VLOOKUP($L119,$C$37:$BL$44,MATCH($E119,$C$37:$BL$37,0),FALSE))*
IF($B$5="Foreign Currency",VLOOKUP($C$38,$C$37:$BL$44,MATCH(AK$48,$C$37:$BL$37,0),FALSE)/VLOOKUP($C$39,$C$37:$BL$44,MATCH(AK$48,$C$37:$BL$37,0),FALSE),1),
        IF(AND(AK$48&gt;=($E119+$S119), AK$48&lt;=($E119+$Q119)),
-PMT($P119,($Q119-$S119+1),($K119*(VLOOKUP($C$39,$C$37:$BL$44,MATCH($E119,$C$37:$BL$37,0),FALSE)/VLOOKUP($L119,$C$37:$BL$44,MATCH($E119,$C$37:$BL$37,0),FALSE))*
IF($B$5="Foreign Currency",VLOOKUP($C$38,$C$37:$BL$44,MATCH(AK$48,$C$37:$BL$37,0),FALSE)/VLOOKUP($C$39,$C$37:$BL$44,MATCH(AK$48,$C$37:$BL$37,0),FALSE),1)),0),
0)),
    IF($T119="Equal Principal Payments (EPP)",
        IF(AND(AK$48&gt;=$E119, AK$48&lt;=($E119+$Q119)),
-PMT($P119,($Q119-$S119+1),($K119*(VLOOKUP($C$39,$C$37:$BL$44,MATCH($E119,$C$37:$BL$37,0),FALSE)/VLOOKUP($L119,$C$37:$BL$44,MATCH($E119,$C$37:$BL$37,0),FALSE))*
IF($B$5="Foreign Currency",VLOOKUP($C$38,$C$37:$BL$44,MATCH(AK$48,$C$37:$BL$37,0),FALSE)/VLOOKUP($C$39,$C$37:$BL$44,MATCH(AK$48,$C$37:$BL$37,0),FALSE),1)),0), 0),
    IF($T119="EPP with Grace Years for Principal and on Interest",
        IF(AND(AK$48&gt;=($E119+$S119), AK$48&lt;=($E119+$Q119)),
-PMT($P119,($Q119-$S119+1),($K119*(VLOOKUP($C$39,$C$37:$BL$44,MATCH($E119,$C$37:$BL$37,0),FALSE)/VLOOKUP($L119,$C$37:$BL$44,MATCH($E119,$C$37:$BL$37,0),FALSE))*
IF($B$5="Foreign Currency",VLOOKUP($C$38,$C$37:$BL$44,MATCH(AK$48,$C$37:$BL$37,0),FALSE)/VLOOKUP($C$39,$C$37:$BL$44,MATCH(AK$48,$C$37:$BL$37,0),FALSE),1))*((1+$P119)^$S119),0), 0),
    0)))))),"")</f>
        <v>3.3294105962830267</v>
      </c>
      <c r="AL119" s="171">
        <f t="shared" si="187"/>
        <v>3.3294105962830267</v>
      </c>
      <c r="AM119" s="171">
        <f t="shared" si="187"/>
        <v>3.3294105962830267</v>
      </c>
      <c r="AN119" s="171">
        <f t="shared" si="187"/>
        <v>3.3294105962830267</v>
      </c>
      <c r="AO119" s="171">
        <f t="shared" si="187"/>
        <v>3.3294105962830267</v>
      </c>
      <c r="AP119" s="171">
        <f t="shared" si="187"/>
        <v>3.3294105962830267</v>
      </c>
      <c r="AQ119" s="171">
        <f t="shared" si="187"/>
        <v>3.3294105962830267</v>
      </c>
      <c r="AR119" s="171">
        <f t="shared" si="187"/>
        <v>3.3294105962830267</v>
      </c>
      <c r="AS119" s="171">
        <f t="shared" si="187"/>
        <v>3.3294105962830267</v>
      </c>
      <c r="AT119" s="171">
        <f t="shared" si="187"/>
        <v>0</v>
      </c>
      <c r="AU119" s="171">
        <f t="shared" ref="AU119:BD128" si="188">IFERROR(
    IF($T119="Equity",
        IF(AND(AU$48&gt;=$E119, AU$48&lt;=($E119+$Q119)),
$K119*$P119*(VLOOKUP($C$39,$C$37:$BL$44,MATCH($E119,$C$37:$BL$37,0),FALSE)/VLOOKUP($L119,$C$37:$BL$44,MATCH($E119,$C$37:$BL$37,0),FALSE))*
IF($B$5="Foreign Currency",VLOOKUP($C$38,$C$37:$BL$44,MATCH(AU$48,$C$37:$BL$37,0),FALSE)/VLOOKUP($C$39,$C$37:$BL$44,MATCH(AU$48,$C$37:$BL$37,0),FALSE),1),
0),
    IF($T119="Lump Sum Principal",
        IF(AND(AU$48&gt;=$E119, AU$48&lt;($E119+$Q119)),
$K119*$P119*(VLOOKUP($C$39,$C$37:$BL$44,MATCH($E119,$C$37:$BL$37,0),FALSE)/VLOOKUP($L119,$C$37:$BL$44,MATCH($E119,$C$37:$BL$37,0),FALSE))*
IF($B$5="Foreign Currency",VLOOKUP($C$38,$C$37:$BL$44,MATCH(AU$48,$C$37:$BL$37,0),FALSE)/VLOOKUP($C$39,$C$37:$BL$44,MATCH(AU$48,$C$37:$BL$37,0),FALSE),1),
        IF(AU$48=($E119+$Q119),
$K119*(1+$P119)*(VLOOKUP($C$39,$C$37:$BL$44,MATCH($E119,$C$37:$BL$37,0),FALSE)/VLOOKUP($L119,$C$37:$BL$44,MATCH($E119,$C$37:$BL$37,0),FALSE))*
IF($B$5="Foreign Currency",VLOOKUP($C$38,$C$37:$BL$44,MATCH(AU$48,$C$37:$BL$37,0),FALSE)/VLOOKUP($C$39,$C$37:$BL$44,MATCH(AU$48,$C$37:$BL$37,0),FALSE),1),
0)),
    IF($T119="Lump Sum Principal and Interest",
        IF(AU$48=($E119+$Q119),
$K119*((1+$P119)^$Q119)*(VLOOKUP($C$39,$C$37:$BL$44,MATCH($E119,$C$37:$BL$37,0),FALSE)/VLOOKUP($L119,$C$37:$BL$44,MATCH($E119,$C$37:$BL$37,0),FALSE))*
IF($B$5="Foreign Currency",VLOOKUP($C$38,$C$37:$BL$44,MATCH(AU$48,$C$37:$BL$37,0),FALSE)/VLOOKUP($C$39,$C$37:$BL$44,MATCH(AU$48,$C$37:$BL$37,0),FALSE),1),
0),
    IF($T119="EPP with Grace Years for Principal",
        IF(AND(AU$48&gt;=$E119, AU$48&lt;($E119+$S119)),
$K119*$P119*(VLOOKUP($C$39,$C$37:$BL$44,MATCH($E119,$C$37:$BL$37,0),FALSE)/VLOOKUP($L119,$C$37:$BL$44,MATCH($E119,$C$37:$BL$37,0),FALSE))*
IF($B$5="Foreign Currency",VLOOKUP($C$38,$C$37:$BL$44,MATCH(AU$48,$C$37:$BL$37,0),FALSE)/VLOOKUP($C$39,$C$37:$BL$44,MATCH(AU$48,$C$37:$BL$37,0),FALSE),1),
        IF(AND(AU$48&gt;=($E119+$S119), AU$48&lt;=($E119+$Q119)),
-PMT($P119,($Q119-$S119+1),($K119*(VLOOKUP($C$39,$C$37:$BL$44,MATCH($E119,$C$37:$BL$37,0),FALSE)/VLOOKUP($L119,$C$37:$BL$44,MATCH($E119,$C$37:$BL$37,0),FALSE))*
IF($B$5="Foreign Currency",VLOOKUP($C$38,$C$37:$BL$44,MATCH(AU$48,$C$37:$BL$37,0),FALSE)/VLOOKUP($C$39,$C$37:$BL$44,MATCH(AU$48,$C$37:$BL$37,0),FALSE),1)),0),
0)),
    IF($T119="Equal Principal Payments (EPP)",
        IF(AND(AU$48&gt;=$E119, AU$48&lt;=($E119+$Q119)),
-PMT($P119,($Q119-$S119+1),($K119*(VLOOKUP($C$39,$C$37:$BL$44,MATCH($E119,$C$37:$BL$37,0),FALSE)/VLOOKUP($L119,$C$37:$BL$44,MATCH($E119,$C$37:$BL$37,0),FALSE))*
IF($B$5="Foreign Currency",VLOOKUP($C$38,$C$37:$BL$44,MATCH(AU$48,$C$37:$BL$37,0),FALSE)/VLOOKUP($C$39,$C$37:$BL$44,MATCH(AU$48,$C$37:$BL$37,0),FALSE),1)),0), 0),
    IF($T119="EPP with Grace Years for Principal and on Interest",
        IF(AND(AU$48&gt;=($E119+$S119), AU$48&lt;=($E119+$Q119)),
-PMT($P119,($Q119-$S119+1),($K119*(VLOOKUP($C$39,$C$37:$BL$44,MATCH($E119,$C$37:$BL$37,0),FALSE)/VLOOKUP($L119,$C$37:$BL$44,MATCH($E119,$C$37:$BL$37,0),FALSE))*
IF($B$5="Foreign Currency",VLOOKUP($C$38,$C$37:$BL$44,MATCH(AU$48,$C$37:$BL$37,0),FALSE)/VLOOKUP($C$39,$C$37:$BL$44,MATCH(AU$48,$C$37:$BL$37,0),FALSE),1))*((1+$P119)^$S119),0), 0),
    0)))))),"")</f>
        <v>0</v>
      </c>
      <c r="AV119" s="171">
        <f t="shared" si="188"/>
        <v>0</v>
      </c>
      <c r="AW119" s="171">
        <f t="shared" si="188"/>
        <v>0</v>
      </c>
      <c r="AX119" s="171">
        <f t="shared" si="188"/>
        <v>0</v>
      </c>
      <c r="AY119" s="171">
        <f t="shared" si="188"/>
        <v>0</v>
      </c>
      <c r="AZ119" s="171">
        <f t="shared" si="188"/>
        <v>0</v>
      </c>
      <c r="BA119" s="171">
        <f t="shared" si="188"/>
        <v>0</v>
      </c>
      <c r="BB119" s="171">
        <f t="shared" si="188"/>
        <v>0</v>
      </c>
      <c r="BC119" s="171">
        <f t="shared" si="188"/>
        <v>0</v>
      </c>
      <c r="BD119" s="171">
        <f t="shared" si="188"/>
        <v>0</v>
      </c>
      <c r="BE119" s="171">
        <f t="shared" ref="BE119:BN128" si="189">IFERROR(
    IF($T119="Equity",
        IF(AND(BE$48&gt;=$E119, BE$48&lt;=($E119+$Q119)),
$K119*$P119*(VLOOKUP($C$39,$C$37:$BL$44,MATCH($E119,$C$37:$BL$37,0),FALSE)/VLOOKUP($L119,$C$37:$BL$44,MATCH($E119,$C$37:$BL$37,0),FALSE))*
IF($B$5="Foreign Currency",VLOOKUP($C$38,$C$37:$BL$44,MATCH(BE$48,$C$37:$BL$37,0),FALSE)/VLOOKUP($C$39,$C$37:$BL$44,MATCH(BE$48,$C$37:$BL$37,0),FALSE),1),
0),
    IF($T119="Lump Sum Principal",
        IF(AND(BE$48&gt;=$E119, BE$48&lt;($E119+$Q119)),
$K119*$P119*(VLOOKUP($C$39,$C$37:$BL$44,MATCH($E119,$C$37:$BL$37,0),FALSE)/VLOOKUP($L119,$C$37:$BL$44,MATCH($E119,$C$37:$BL$37,0),FALSE))*
IF($B$5="Foreign Currency",VLOOKUP($C$38,$C$37:$BL$44,MATCH(BE$48,$C$37:$BL$37,0),FALSE)/VLOOKUP($C$39,$C$37:$BL$44,MATCH(BE$48,$C$37:$BL$37,0),FALSE),1),
        IF(BE$48=($E119+$Q119),
$K119*(1+$P119)*(VLOOKUP($C$39,$C$37:$BL$44,MATCH($E119,$C$37:$BL$37,0),FALSE)/VLOOKUP($L119,$C$37:$BL$44,MATCH($E119,$C$37:$BL$37,0),FALSE))*
IF($B$5="Foreign Currency",VLOOKUP($C$38,$C$37:$BL$44,MATCH(BE$48,$C$37:$BL$37,0),FALSE)/VLOOKUP($C$39,$C$37:$BL$44,MATCH(BE$48,$C$37:$BL$37,0),FALSE),1),
0)),
    IF($T119="Lump Sum Principal and Interest",
        IF(BE$48=($E119+$Q119),
$K119*((1+$P119)^$Q119)*(VLOOKUP($C$39,$C$37:$BL$44,MATCH($E119,$C$37:$BL$37,0),FALSE)/VLOOKUP($L119,$C$37:$BL$44,MATCH($E119,$C$37:$BL$37,0),FALSE))*
IF($B$5="Foreign Currency",VLOOKUP($C$38,$C$37:$BL$44,MATCH(BE$48,$C$37:$BL$37,0),FALSE)/VLOOKUP($C$39,$C$37:$BL$44,MATCH(BE$48,$C$37:$BL$37,0),FALSE),1),
0),
    IF($T119="EPP with Grace Years for Principal",
        IF(AND(BE$48&gt;=$E119, BE$48&lt;($E119+$S119)),
$K119*$P119*(VLOOKUP($C$39,$C$37:$BL$44,MATCH($E119,$C$37:$BL$37,0),FALSE)/VLOOKUP($L119,$C$37:$BL$44,MATCH($E119,$C$37:$BL$37,0),FALSE))*
IF($B$5="Foreign Currency",VLOOKUP($C$38,$C$37:$BL$44,MATCH(BE$48,$C$37:$BL$37,0),FALSE)/VLOOKUP($C$39,$C$37:$BL$44,MATCH(BE$48,$C$37:$BL$37,0),FALSE),1),
        IF(AND(BE$48&gt;=($E119+$S119), BE$48&lt;=($E119+$Q119)),
-PMT($P119,($Q119-$S119+1),($K119*(VLOOKUP($C$39,$C$37:$BL$44,MATCH($E119,$C$37:$BL$37,0),FALSE)/VLOOKUP($L119,$C$37:$BL$44,MATCH($E119,$C$37:$BL$37,0),FALSE))*
IF($B$5="Foreign Currency",VLOOKUP($C$38,$C$37:$BL$44,MATCH(BE$48,$C$37:$BL$37,0),FALSE)/VLOOKUP($C$39,$C$37:$BL$44,MATCH(BE$48,$C$37:$BL$37,0),FALSE),1)),0),
0)),
    IF($T119="Equal Principal Payments (EPP)",
        IF(AND(BE$48&gt;=$E119, BE$48&lt;=($E119+$Q119)),
-PMT($P119,($Q119-$S119+1),($K119*(VLOOKUP($C$39,$C$37:$BL$44,MATCH($E119,$C$37:$BL$37,0),FALSE)/VLOOKUP($L119,$C$37:$BL$44,MATCH($E119,$C$37:$BL$37,0),FALSE))*
IF($B$5="Foreign Currency",VLOOKUP($C$38,$C$37:$BL$44,MATCH(BE$48,$C$37:$BL$37,0),FALSE)/VLOOKUP($C$39,$C$37:$BL$44,MATCH(BE$48,$C$37:$BL$37,0),FALSE),1)),0), 0),
    IF($T119="EPP with Grace Years for Principal and on Interest",
        IF(AND(BE$48&gt;=($E119+$S119), BE$48&lt;=($E119+$Q119)),
-PMT($P119,($Q119-$S119+1),($K119*(VLOOKUP($C$39,$C$37:$BL$44,MATCH($E119,$C$37:$BL$37,0),FALSE)/VLOOKUP($L119,$C$37:$BL$44,MATCH($E119,$C$37:$BL$37,0),FALSE))*
IF($B$5="Foreign Currency",VLOOKUP($C$38,$C$37:$BL$44,MATCH(BE$48,$C$37:$BL$37,0),FALSE)/VLOOKUP($C$39,$C$37:$BL$44,MATCH(BE$48,$C$37:$BL$37,0),FALSE),1))*((1+$P119)^$S119),0), 0),
    0)))))),"")</f>
        <v>0</v>
      </c>
      <c r="BF119" s="171">
        <f t="shared" si="189"/>
        <v>0</v>
      </c>
      <c r="BG119" s="171">
        <f t="shared" si="189"/>
        <v>0</v>
      </c>
      <c r="BH119" s="171">
        <f t="shared" si="189"/>
        <v>0</v>
      </c>
      <c r="BI119" s="171">
        <f t="shared" si="189"/>
        <v>0</v>
      </c>
      <c r="BJ119" s="171">
        <f t="shared" si="189"/>
        <v>0</v>
      </c>
      <c r="BK119" s="171">
        <f t="shared" si="189"/>
        <v>0</v>
      </c>
      <c r="BL119" s="171">
        <f t="shared" si="189"/>
        <v>0</v>
      </c>
      <c r="BM119" s="171">
        <f t="shared" si="189"/>
        <v>0</v>
      </c>
      <c r="BN119" s="171">
        <f t="shared" si="189"/>
        <v>0</v>
      </c>
      <c r="BO119" s="171">
        <f t="shared" ref="BO119:BX128" si="190">IFERROR(
    IF($T119="Equity",
        IF(AND(BO$48&gt;=$E119, BO$48&lt;=($E119+$Q119)),
$K119*$P119*(VLOOKUP($C$39,$C$37:$BL$44,MATCH($E119,$C$37:$BL$37,0),FALSE)/VLOOKUP($L119,$C$37:$BL$44,MATCH($E119,$C$37:$BL$37,0),FALSE))*
IF($B$5="Foreign Currency",VLOOKUP($C$38,$C$37:$BL$44,MATCH(BO$48,$C$37:$BL$37,0),FALSE)/VLOOKUP($C$39,$C$37:$BL$44,MATCH(BO$48,$C$37:$BL$37,0),FALSE),1),
0),
    IF($T119="Lump Sum Principal",
        IF(AND(BO$48&gt;=$E119, BO$48&lt;($E119+$Q119)),
$K119*$P119*(VLOOKUP($C$39,$C$37:$BL$44,MATCH($E119,$C$37:$BL$37,0),FALSE)/VLOOKUP($L119,$C$37:$BL$44,MATCH($E119,$C$37:$BL$37,0),FALSE))*
IF($B$5="Foreign Currency",VLOOKUP($C$38,$C$37:$BL$44,MATCH(BO$48,$C$37:$BL$37,0),FALSE)/VLOOKUP($C$39,$C$37:$BL$44,MATCH(BO$48,$C$37:$BL$37,0),FALSE),1),
        IF(BO$48=($E119+$Q119),
$K119*(1+$P119)*(VLOOKUP($C$39,$C$37:$BL$44,MATCH($E119,$C$37:$BL$37,0),FALSE)/VLOOKUP($L119,$C$37:$BL$44,MATCH($E119,$C$37:$BL$37,0),FALSE))*
IF($B$5="Foreign Currency",VLOOKUP($C$38,$C$37:$BL$44,MATCH(BO$48,$C$37:$BL$37,0),FALSE)/VLOOKUP($C$39,$C$37:$BL$44,MATCH(BO$48,$C$37:$BL$37,0),FALSE),1),
0)),
    IF($T119="Lump Sum Principal and Interest",
        IF(BO$48=($E119+$Q119),
$K119*((1+$P119)^$Q119)*(VLOOKUP($C$39,$C$37:$BL$44,MATCH($E119,$C$37:$BL$37,0),FALSE)/VLOOKUP($L119,$C$37:$BL$44,MATCH($E119,$C$37:$BL$37,0),FALSE))*
IF($B$5="Foreign Currency",VLOOKUP($C$38,$C$37:$BL$44,MATCH(BO$48,$C$37:$BL$37,0),FALSE)/VLOOKUP($C$39,$C$37:$BL$44,MATCH(BO$48,$C$37:$BL$37,0),FALSE),1),
0),
    IF($T119="EPP with Grace Years for Principal",
        IF(AND(BO$48&gt;=$E119, BO$48&lt;($E119+$S119)),
$K119*$P119*(VLOOKUP($C$39,$C$37:$BL$44,MATCH($E119,$C$37:$BL$37,0),FALSE)/VLOOKUP($L119,$C$37:$BL$44,MATCH($E119,$C$37:$BL$37,0),FALSE))*
IF($B$5="Foreign Currency",VLOOKUP($C$38,$C$37:$BL$44,MATCH(BO$48,$C$37:$BL$37,0),FALSE)/VLOOKUP($C$39,$C$37:$BL$44,MATCH(BO$48,$C$37:$BL$37,0),FALSE),1),
        IF(AND(BO$48&gt;=($E119+$S119), BO$48&lt;=($E119+$Q119)),
-PMT($P119,($Q119-$S119+1),($K119*(VLOOKUP($C$39,$C$37:$BL$44,MATCH($E119,$C$37:$BL$37,0),FALSE)/VLOOKUP($L119,$C$37:$BL$44,MATCH($E119,$C$37:$BL$37,0),FALSE))*
IF($B$5="Foreign Currency",VLOOKUP($C$38,$C$37:$BL$44,MATCH(BO$48,$C$37:$BL$37,0),FALSE)/VLOOKUP($C$39,$C$37:$BL$44,MATCH(BO$48,$C$37:$BL$37,0),FALSE),1)),0),
0)),
    IF($T119="Equal Principal Payments (EPP)",
        IF(AND(BO$48&gt;=$E119, BO$48&lt;=($E119+$Q119)),
-PMT($P119,($Q119-$S119+1),($K119*(VLOOKUP($C$39,$C$37:$BL$44,MATCH($E119,$C$37:$BL$37,0),FALSE)/VLOOKUP($L119,$C$37:$BL$44,MATCH($E119,$C$37:$BL$37,0),FALSE))*
IF($B$5="Foreign Currency",VLOOKUP($C$38,$C$37:$BL$44,MATCH(BO$48,$C$37:$BL$37,0),FALSE)/VLOOKUP($C$39,$C$37:$BL$44,MATCH(BO$48,$C$37:$BL$37,0),FALSE),1)),0), 0),
    IF($T119="EPP with Grace Years for Principal and on Interest",
        IF(AND(BO$48&gt;=($E119+$S119), BO$48&lt;=($E119+$Q119)),
-PMT($P119,($Q119-$S119+1),($K119*(VLOOKUP($C$39,$C$37:$BL$44,MATCH($E119,$C$37:$BL$37,0),FALSE)/VLOOKUP($L119,$C$37:$BL$44,MATCH($E119,$C$37:$BL$37,0),FALSE))*
IF($B$5="Foreign Currency",VLOOKUP($C$38,$C$37:$BL$44,MATCH(BO$48,$C$37:$BL$37,0),FALSE)/VLOOKUP($C$39,$C$37:$BL$44,MATCH(BO$48,$C$37:$BL$37,0),FALSE),1))*((1+$P119)^$S119),0), 0),
    0)))))),"")</f>
        <v>0</v>
      </c>
      <c r="BP119" s="171">
        <f t="shared" si="190"/>
        <v>0</v>
      </c>
      <c r="BQ119" s="171">
        <f t="shared" si="190"/>
        <v>0</v>
      </c>
      <c r="BR119" s="171">
        <f t="shared" si="190"/>
        <v>0</v>
      </c>
      <c r="BS119" s="171">
        <f t="shared" si="190"/>
        <v>0</v>
      </c>
      <c r="BT119" s="171">
        <f t="shared" si="190"/>
        <v>0</v>
      </c>
      <c r="BU119" s="171">
        <f t="shared" si="190"/>
        <v>0</v>
      </c>
      <c r="BV119" s="171">
        <f t="shared" si="190"/>
        <v>0</v>
      </c>
      <c r="BW119" s="171">
        <f t="shared" si="190"/>
        <v>0</v>
      </c>
      <c r="BX119" s="171">
        <f t="shared" si="190"/>
        <v>0</v>
      </c>
      <c r="BY119" s="171">
        <f t="shared" ref="BY119:CI128" si="191">IFERROR(
    IF($T119="Equity",
        IF(AND(BY$48&gt;=$E119, BY$48&lt;=($E119+$Q119)),
$K119*$P119*(VLOOKUP($C$39,$C$37:$BL$44,MATCH($E119,$C$37:$BL$37,0),FALSE)/VLOOKUP($L119,$C$37:$BL$44,MATCH($E119,$C$37:$BL$37,0),FALSE))*
IF($B$5="Foreign Currency",VLOOKUP($C$38,$C$37:$BL$44,MATCH(BY$48,$C$37:$BL$37,0),FALSE)/VLOOKUP($C$39,$C$37:$BL$44,MATCH(BY$48,$C$37:$BL$37,0),FALSE),1),
0),
    IF($T119="Lump Sum Principal",
        IF(AND(BY$48&gt;=$E119, BY$48&lt;($E119+$Q119)),
$K119*$P119*(VLOOKUP($C$39,$C$37:$BL$44,MATCH($E119,$C$37:$BL$37,0),FALSE)/VLOOKUP($L119,$C$37:$BL$44,MATCH($E119,$C$37:$BL$37,0),FALSE))*
IF($B$5="Foreign Currency",VLOOKUP($C$38,$C$37:$BL$44,MATCH(BY$48,$C$37:$BL$37,0),FALSE)/VLOOKUP($C$39,$C$37:$BL$44,MATCH(BY$48,$C$37:$BL$37,0),FALSE),1),
        IF(BY$48=($E119+$Q119),
$K119*(1+$P119)*(VLOOKUP($C$39,$C$37:$BL$44,MATCH($E119,$C$37:$BL$37,0),FALSE)/VLOOKUP($L119,$C$37:$BL$44,MATCH($E119,$C$37:$BL$37,0),FALSE))*
IF($B$5="Foreign Currency",VLOOKUP($C$38,$C$37:$BL$44,MATCH(BY$48,$C$37:$BL$37,0),FALSE)/VLOOKUP($C$39,$C$37:$BL$44,MATCH(BY$48,$C$37:$BL$37,0),FALSE),1),
0)),
    IF($T119="Lump Sum Principal and Interest",
        IF(BY$48=($E119+$Q119),
$K119*((1+$P119)^$Q119)*(VLOOKUP($C$39,$C$37:$BL$44,MATCH($E119,$C$37:$BL$37,0),FALSE)/VLOOKUP($L119,$C$37:$BL$44,MATCH($E119,$C$37:$BL$37,0),FALSE))*
IF($B$5="Foreign Currency",VLOOKUP($C$38,$C$37:$BL$44,MATCH(BY$48,$C$37:$BL$37,0),FALSE)/VLOOKUP($C$39,$C$37:$BL$44,MATCH(BY$48,$C$37:$BL$37,0),FALSE),1),
0),
    IF($T119="EPP with Grace Years for Principal",
        IF(AND(BY$48&gt;=$E119, BY$48&lt;($E119+$S119)),
$K119*$P119*(VLOOKUP($C$39,$C$37:$BL$44,MATCH($E119,$C$37:$BL$37,0),FALSE)/VLOOKUP($L119,$C$37:$BL$44,MATCH($E119,$C$37:$BL$37,0),FALSE))*
IF($B$5="Foreign Currency",VLOOKUP($C$38,$C$37:$BL$44,MATCH(BY$48,$C$37:$BL$37,0),FALSE)/VLOOKUP($C$39,$C$37:$BL$44,MATCH(BY$48,$C$37:$BL$37,0),FALSE),1),
        IF(AND(BY$48&gt;=($E119+$S119), BY$48&lt;=($E119+$Q119)),
-PMT($P119,($Q119-$S119+1),($K119*(VLOOKUP($C$39,$C$37:$BL$44,MATCH($E119,$C$37:$BL$37,0),FALSE)/VLOOKUP($L119,$C$37:$BL$44,MATCH($E119,$C$37:$BL$37,0),FALSE))*
IF($B$5="Foreign Currency",VLOOKUP($C$38,$C$37:$BL$44,MATCH(BY$48,$C$37:$BL$37,0),FALSE)/VLOOKUP($C$39,$C$37:$BL$44,MATCH(BY$48,$C$37:$BL$37,0),FALSE),1)),0),
0)),
    IF($T119="Equal Principal Payments (EPP)",
        IF(AND(BY$48&gt;=$E119, BY$48&lt;=($E119+$Q119)),
-PMT($P119,($Q119-$S119+1),($K119*(VLOOKUP($C$39,$C$37:$BL$44,MATCH($E119,$C$37:$BL$37,0),FALSE)/VLOOKUP($L119,$C$37:$BL$44,MATCH($E119,$C$37:$BL$37,0),FALSE))*
IF($B$5="Foreign Currency",VLOOKUP($C$38,$C$37:$BL$44,MATCH(BY$48,$C$37:$BL$37,0),FALSE)/VLOOKUP($C$39,$C$37:$BL$44,MATCH(BY$48,$C$37:$BL$37,0),FALSE),1)),0), 0),
    IF($T119="EPP with Grace Years for Principal and on Interest",
        IF(AND(BY$48&gt;=($E119+$S119), BY$48&lt;=($E119+$Q119)),
-PMT($P119,($Q119-$S119+1),($K119*(VLOOKUP($C$39,$C$37:$BL$44,MATCH($E119,$C$37:$BL$37,0),FALSE)/VLOOKUP($L119,$C$37:$BL$44,MATCH($E119,$C$37:$BL$37,0),FALSE))*
IF($B$5="Foreign Currency",VLOOKUP($C$38,$C$37:$BL$44,MATCH(BY$48,$C$37:$BL$37,0),FALSE)/VLOOKUP($C$39,$C$37:$BL$44,MATCH(BY$48,$C$37:$BL$37,0),FALSE),1))*((1+$P119)^$S119),0), 0),
    0)))))),"")</f>
        <v>0</v>
      </c>
      <c r="BZ119" s="171">
        <f t="shared" si="191"/>
        <v>0</v>
      </c>
      <c r="CA119" s="171">
        <f t="shared" si="191"/>
        <v>0</v>
      </c>
      <c r="CB119" s="171">
        <f t="shared" si="191"/>
        <v>0</v>
      </c>
      <c r="CC119" s="171">
        <f t="shared" si="191"/>
        <v>0</v>
      </c>
      <c r="CD119" s="171">
        <f t="shared" si="191"/>
        <v>0</v>
      </c>
      <c r="CE119" s="171">
        <f t="shared" si="191"/>
        <v>0</v>
      </c>
      <c r="CF119" s="171">
        <f t="shared" si="191"/>
        <v>0</v>
      </c>
      <c r="CG119" s="171">
        <f t="shared" si="191"/>
        <v>0</v>
      </c>
      <c r="CH119" s="171">
        <f t="shared" si="191"/>
        <v>0</v>
      </c>
      <c r="CI119" s="171">
        <f t="shared" si="191"/>
        <v>0</v>
      </c>
      <c r="CJ119" s="243"/>
      <c r="CK119" s="171">
        <f t="shared" si="124"/>
        <v>0</v>
      </c>
      <c r="CL119" s="171">
        <f t="shared" si="125"/>
        <v>0</v>
      </c>
      <c r="CM119" s="171">
        <f t="shared" si="126"/>
        <v>0</v>
      </c>
      <c r="CN119" s="171">
        <f t="shared" si="127"/>
        <v>0</v>
      </c>
      <c r="CO119" s="171">
        <f t="shared" si="128"/>
        <v>1.6465464999999999</v>
      </c>
      <c r="CP119" s="171">
        <f t="shared" si="129"/>
        <v>3.3294105962830267</v>
      </c>
      <c r="CQ119" s="171">
        <f t="shared" si="130"/>
        <v>3.3294105962830267</v>
      </c>
      <c r="CR119" s="171">
        <f t="shared" si="131"/>
        <v>3.3294105962830267</v>
      </c>
      <c r="CS119" s="171">
        <f t="shared" si="132"/>
        <v>3.3294105962830267</v>
      </c>
      <c r="CT119" s="171">
        <f t="shared" si="133"/>
        <v>3.3294105962830267</v>
      </c>
      <c r="CU119" s="171">
        <f t="shared" si="134"/>
        <v>3.3294105962830267</v>
      </c>
      <c r="CV119" s="171">
        <f t="shared" si="135"/>
        <v>3.3294105962830267</v>
      </c>
      <c r="CW119" s="171">
        <f t="shared" si="136"/>
        <v>3.3294105962830267</v>
      </c>
      <c r="CX119" s="171">
        <f t="shared" si="137"/>
        <v>3.3294105962830267</v>
      </c>
      <c r="CY119" s="171">
        <f t="shared" ca="1" si="138"/>
        <v>3.1608331147701856</v>
      </c>
      <c r="CZ119" s="171">
        <f t="shared" ca="1" si="139"/>
        <v>3.0007911882606648</v>
      </c>
      <c r="DA119" s="171">
        <f t="shared" ca="1" si="140"/>
        <v>2.8488526374469982</v>
      </c>
      <c r="DB119" s="171">
        <f t="shared" ca="1" si="141"/>
        <v>2.7046071654832256</v>
      </c>
      <c r="DC119" s="171">
        <f t="shared" ca="1" si="142"/>
        <v>2.5676652500139365</v>
      </c>
      <c r="DD119" s="171">
        <f t="shared" ca="1" si="143"/>
        <v>0</v>
      </c>
      <c r="DE119" s="171">
        <f t="shared" ca="1" si="144"/>
        <v>0</v>
      </c>
      <c r="DF119" s="171">
        <f t="shared" ca="1" si="145"/>
        <v>0</v>
      </c>
      <c r="DG119" s="171">
        <f t="shared" ca="1" si="146"/>
        <v>0</v>
      </c>
      <c r="DH119" s="171">
        <f t="shared" ca="1" si="147"/>
        <v>0</v>
      </c>
      <c r="DI119" s="171">
        <f t="shared" ca="1" si="148"/>
        <v>0</v>
      </c>
      <c r="DJ119" s="171">
        <f t="shared" ca="1" si="149"/>
        <v>0</v>
      </c>
      <c r="DK119" s="171">
        <f t="shared" ca="1" si="150"/>
        <v>0</v>
      </c>
      <c r="DL119" s="171">
        <f t="shared" ca="1" si="151"/>
        <v>0</v>
      </c>
      <c r="DM119" s="171">
        <f t="shared" ca="1" si="152"/>
        <v>0</v>
      </c>
      <c r="DN119" s="171">
        <f t="shared" ca="1" si="153"/>
        <v>0</v>
      </c>
      <c r="DO119" s="171">
        <f t="shared" ca="1" si="154"/>
        <v>0</v>
      </c>
      <c r="DP119" s="171">
        <f t="shared" ca="1" si="155"/>
        <v>0</v>
      </c>
      <c r="DQ119" s="171">
        <f t="shared" ca="1" si="156"/>
        <v>0</v>
      </c>
      <c r="DR119" s="171">
        <f t="shared" ca="1" si="157"/>
        <v>0</v>
      </c>
      <c r="DS119" s="171">
        <f t="shared" ca="1" si="158"/>
        <v>0</v>
      </c>
      <c r="DT119" s="171">
        <f t="shared" ca="1" si="159"/>
        <v>0</v>
      </c>
      <c r="DU119" s="171">
        <f t="shared" ca="1" si="160"/>
        <v>0</v>
      </c>
      <c r="DV119" s="171">
        <f t="shared" ca="1" si="161"/>
        <v>0</v>
      </c>
      <c r="DW119" s="171">
        <f t="shared" ca="1" si="162"/>
        <v>0</v>
      </c>
      <c r="DX119" s="171">
        <f t="shared" ca="1" si="163"/>
        <v>0</v>
      </c>
      <c r="DY119" s="171">
        <f t="shared" ca="1" si="164"/>
        <v>0</v>
      </c>
      <c r="DZ119" s="171">
        <f t="shared" ca="1" si="165"/>
        <v>0</v>
      </c>
      <c r="EA119" s="171">
        <f t="shared" ca="1" si="166"/>
        <v>0</v>
      </c>
      <c r="EB119" s="171">
        <f t="shared" ca="1" si="167"/>
        <v>0</v>
      </c>
      <c r="EC119" s="171">
        <f t="shared" ca="1" si="168"/>
        <v>0</v>
      </c>
      <c r="ED119" s="171">
        <f t="shared" ca="1" si="169"/>
        <v>0</v>
      </c>
      <c r="EE119" s="171">
        <f t="shared" ca="1" si="170"/>
        <v>0</v>
      </c>
      <c r="EF119" s="171">
        <f t="shared" ca="1" si="171"/>
        <v>0</v>
      </c>
      <c r="EG119" s="171">
        <f t="shared" ca="1" si="172"/>
        <v>0</v>
      </c>
      <c r="EH119" s="171">
        <f t="shared" ca="1" si="173"/>
        <v>0</v>
      </c>
      <c r="EI119" s="171">
        <f t="shared" ca="1" si="174"/>
        <v>0</v>
      </c>
      <c r="EJ119" s="171">
        <f t="shared" ca="1" si="175"/>
        <v>0</v>
      </c>
      <c r="EK119" s="171">
        <f t="shared" ca="1" si="176"/>
        <v>0</v>
      </c>
      <c r="EL119" s="171">
        <f t="shared" ca="1" si="177"/>
        <v>0</v>
      </c>
      <c r="EM119" s="171">
        <f t="shared" ca="1" si="178"/>
        <v>0</v>
      </c>
      <c r="EN119" s="171">
        <f t="shared" ca="1" si="179"/>
        <v>0</v>
      </c>
      <c r="EO119" s="171">
        <f t="shared" ca="1" si="180"/>
        <v>0</v>
      </c>
      <c r="EP119" s="171">
        <f t="shared" ca="1" si="181"/>
        <v>0</v>
      </c>
      <c r="EQ119" s="171">
        <f t="shared" ca="1" si="182"/>
        <v>0</v>
      </c>
      <c r="ER119" s="171">
        <f t="shared" ca="1" si="183"/>
        <v>0</v>
      </c>
      <c r="ES119" s="171">
        <f t="shared" ca="1" si="184"/>
        <v>0</v>
      </c>
    </row>
    <row r="120" spans="1:149">
      <c r="A120" s="139" t="s">
        <v>483</v>
      </c>
      <c r="B120" s="160" t="s">
        <v>486</v>
      </c>
      <c r="C120" s="160" t="s">
        <v>460</v>
      </c>
      <c r="D120" s="161" t="s">
        <v>394</v>
      </c>
      <c r="E120" s="160">
        <v>2014</v>
      </c>
      <c r="F120" s="194" t="s">
        <v>405</v>
      </c>
      <c r="G120" s="160" t="s">
        <v>402</v>
      </c>
      <c r="H120" s="194" t="s">
        <v>406</v>
      </c>
      <c r="I120" s="194" t="s">
        <v>184</v>
      </c>
      <c r="J120" s="194" t="s">
        <v>397</v>
      </c>
      <c r="K120" s="187">
        <v>33.229999999999997</v>
      </c>
      <c r="L120" s="163" t="s">
        <v>110</v>
      </c>
      <c r="M120" s="164">
        <f t="shared" si="115"/>
        <v>33.229999999999997</v>
      </c>
      <c r="N120" s="164">
        <f t="shared" si="116"/>
        <v>33.229999999999997</v>
      </c>
      <c r="O120" s="165">
        <f t="shared" si="117"/>
        <v>1</v>
      </c>
      <c r="P120" s="180">
        <v>8.0329758713136745E-2</v>
      </c>
      <c r="Q120" s="183">
        <v>15</v>
      </c>
      <c r="R120" s="168">
        <f t="shared" si="118"/>
        <v>5</v>
      </c>
      <c r="S120" s="186">
        <v>1.5</v>
      </c>
      <c r="T120" s="170" t="s">
        <v>403</v>
      </c>
      <c r="U120" s="171">
        <f t="shared" si="119"/>
        <v>4.0532420923792198</v>
      </c>
      <c r="V120" s="171">
        <f t="shared" ca="1" si="120"/>
        <v>3.7949657849209979</v>
      </c>
      <c r="W120" s="171">
        <f t="shared" ca="1" si="185"/>
        <v>56.924486773814969</v>
      </c>
      <c r="X120" s="172">
        <f t="shared" si="121"/>
        <v>0.5929092273482659</v>
      </c>
      <c r="Y120" s="172">
        <f t="shared" si="122"/>
        <v>0.4070907726517341</v>
      </c>
      <c r="Z120" s="173">
        <f t="shared" si="123"/>
        <v>60.798631385688296</v>
      </c>
      <c r="AA120" s="171">
        <f t="shared" si="186"/>
        <v>0</v>
      </c>
      <c r="AB120" s="171">
        <f t="shared" si="186"/>
        <v>0</v>
      </c>
      <c r="AC120" s="171">
        <f t="shared" si="186"/>
        <v>0</v>
      </c>
      <c r="AD120" s="171">
        <f t="shared" si="186"/>
        <v>0</v>
      </c>
      <c r="AE120" s="171">
        <f t="shared" si="186"/>
        <v>2.6693578820375339</v>
      </c>
      <c r="AF120" s="171">
        <f t="shared" si="186"/>
        <v>2.6693578820375339</v>
      </c>
      <c r="AG120" s="171">
        <f t="shared" si="186"/>
        <v>3.9614225444009428</v>
      </c>
      <c r="AH120" s="171">
        <f t="shared" si="186"/>
        <v>3.9614225444009428</v>
      </c>
      <c r="AI120" s="171">
        <f t="shared" si="186"/>
        <v>3.9614225444009428</v>
      </c>
      <c r="AJ120" s="171">
        <f t="shared" si="186"/>
        <v>3.9614225444009428</v>
      </c>
      <c r="AK120" s="171">
        <f t="shared" si="187"/>
        <v>3.9614225444009428</v>
      </c>
      <c r="AL120" s="171">
        <f t="shared" si="187"/>
        <v>3.9614225444009428</v>
      </c>
      <c r="AM120" s="171">
        <f t="shared" si="187"/>
        <v>3.9614225444009428</v>
      </c>
      <c r="AN120" s="171">
        <f t="shared" si="187"/>
        <v>3.9614225444009428</v>
      </c>
      <c r="AO120" s="171">
        <f t="shared" si="187"/>
        <v>3.9614225444009428</v>
      </c>
      <c r="AP120" s="171">
        <f t="shared" si="187"/>
        <v>3.9614225444009428</v>
      </c>
      <c r="AQ120" s="171">
        <f t="shared" si="187"/>
        <v>3.9614225444009428</v>
      </c>
      <c r="AR120" s="171">
        <f t="shared" si="187"/>
        <v>3.9614225444009428</v>
      </c>
      <c r="AS120" s="171">
        <f t="shared" si="187"/>
        <v>3.9614225444009428</v>
      </c>
      <c r="AT120" s="171">
        <f t="shared" si="187"/>
        <v>3.9614225444009428</v>
      </c>
      <c r="AU120" s="171">
        <f t="shared" si="188"/>
        <v>0</v>
      </c>
      <c r="AV120" s="171">
        <f t="shared" si="188"/>
        <v>0</v>
      </c>
      <c r="AW120" s="171">
        <f t="shared" si="188"/>
        <v>0</v>
      </c>
      <c r="AX120" s="171">
        <f t="shared" si="188"/>
        <v>0</v>
      </c>
      <c r="AY120" s="171">
        <f t="shared" si="188"/>
        <v>0</v>
      </c>
      <c r="AZ120" s="171">
        <f t="shared" si="188"/>
        <v>0</v>
      </c>
      <c r="BA120" s="171">
        <f t="shared" si="188"/>
        <v>0</v>
      </c>
      <c r="BB120" s="171">
        <f t="shared" si="188"/>
        <v>0</v>
      </c>
      <c r="BC120" s="171">
        <f t="shared" si="188"/>
        <v>0</v>
      </c>
      <c r="BD120" s="171">
        <f t="shared" si="188"/>
        <v>0</v>
      </c>
      <c r="BE120" s="171">
        <f t="shared" si="189"/>
        <v>0</v>
      </c>
      <c r="BF120" s="171">
        <f t="shared" si="189"/>
        <v>0</v>
      </c>
      <c r="BG120" s="171">
        <f t="shared" si="189"/>
        <v>0</v>
      </c>
      <c r="BH120" s="171">
        <f t="shared" si="189"/>
        <v>0</v>
      </c>
      <c r="BI120" s="171">
        <f t="shared" si="189"/>
        <v>0</v>
      </c>
      <c r="BJ120" s="171">
        <f t="shared" si="189"/>
        <v>0</v>
      </c>
      <c r="BK120" s="171">
        <f t="shared" si="189"/>
        <v>0</v>
      </c>
      <c r="BL120" s="171">
        <f t="shared" si="189"/>
        <v>0</v>
      </c>
      <c r="BM120" s="171">
        <f t="shared" si="189"/>
        <v>0</v>
      </c>
      <c r="BN120" s="171">
        <f t="shared" si="189"/>
        <v>0</v>
      </c>
      <c r="BO120" s="171">
        <f t="shared" si="190"/>
        <v>0</v>
      </c>
      <c r="BP120" s="171">
        <f t="shared" si="190"/>
        <v>0</v>
      </c>
      <c r="BQ120" s="171">
        <f t="shared" si="190"/>
        <v>0</v>
      </c>
      <c r="BR120" s="171">
        <f t="shared" si="190"/>
        <v>0</v>
      </c>
      <c r="BS120" s="171">
        <f t="shared" si="190"/>
        <v>0</v>
      </c>
      <c r="BT120" s="171">
        <f t="shared" si="190"/>
        <v>0</v>
      </c>
      <c r="BU120" s="171">
        <f t="shared" si="190"/>
        <v>0</v>
      </c>
      <c r="BV120" s="171">
        <f t="shared" si="190"/>
        <v>0</v>
      </c>
      <c r="BW120" s="171">
        <f t="shared" si="190"/>
        <v>0</v>
      </c>
      <c r="BX120" s="171">
        <f t="shared" si="190"/>
        <v>0</v>
      </c>
      <c r="BY120" s="171">
        <f t="shared" si="191"/>
        <v>0</v>
      </c>
      <c r="BZ120" s="171">
        <f t="shared" si="191"/>
        <v>0</v>
      </c>
      <c r="CA120" s="171">
        <f t="shared" si="191"/>
        <v>0</v>
      </c>
      <c r="CB120" s="171">
        <f t="shared" si="191"/>
        <v>0</v>
      </c>
      <c r="CC120" s="171">
        <f t="shared" si="191"/>
        <v>0</v>
      </c>
      <c r="CD120" s="171">
        <f t="shared" si="191"/>
        <v>0</v>
      </c>
      <c r="CE120" s="171">
        <f t="shared" si="191"/>
        <v>0</v>
      </c>
      <c r="CF120" s="171">
        <f t="shared" si="191"/>
        <v>0</v>
      </c>
      <c r="CG120" s="171">
        <f t="shared" si="191"/>
        <v>0</v>
      </c>
      <c r="CH120" s="171">
        <f t="shared" si="191"/>
        <v>0</v>
      </c>
      <c r="CI120" s="171">
        <f t="shared" si="191"/>
        <v>0</v>
      </c>
      <c r="CJ120" s="243"/>
      <c r="CK120" s="171">
        <f t="shared" si="124"/>
        <v>0</v>
      </c>
      <c r="CL120" s="171">
        <f t="shared" si="125"/>
        <v>0</v>
      </c>
      <c r="CM120" s="171">
        <f t="shared" si="126"/>
        <v>0</v>
      </c>
      <c r="CN120" s="171">
        <f t="shared" si="127"/>
        <v>0</v>
      </c>
      <c r="CO120" s="171">
        <f t="shared" si="128"/>
        <v>2.6693578820375339</v>
      </c>
      <c r="CP120" s="171">
        <f t="shared" si="129"/>
        <v>2.6693578820375339</v>
      </c>
      <c r="CQ120" s="171">
        <f t="shared" si="130"/>
        <v>3.9614225444009428</v>
      </c>
      <c r="CR120" s="171">
        <f t="shared" si="131"/>
        <v>3.9614225444009428</v>
      </c>
      <c r="CS120" s="171">
        <f t="shared" si="132"/>
        <v>3.9614225444009428</v>
      </c>
      <c r="CT120" s="171">
        <f t="shared" si="133"/>
        <v>3.9614225444009428</v>
      </c>
      <c r="CU120" s="171">
        <f t="shared" si="134"/>
        <v>3.9614225444009428</v>
      </c>
      <c r="CV120" s="171">
        <f t="shared" si="135"/>
        <v>3.9614225444009428</v>
      </c>
      <c r="CW120" s="171">
        <f t="shared" si="136"/>
        <v>3.9614225444009428</v>
      </c>
      <c r="CX120" s="171">
        <f t="shared" si="137"/>
        <v>3.9614225444009428</v>
      </c>
      <c r="CY120" s="171">
        <f t="shared" ca="1" si="138"/>
        <v>3.7608445092109171</v>
      </c>
      <c r="CZ120" s="171">
        <f t="shared" ca="1" si="139"/>
        <v>3.5704223076260573</v>
      </c>
      <c r="DA120" s="171">
        <f t="shared" ca="1" si="140"/>
        <v>3.3896417210475129</v>
      </c>
      <c r="DB120" s="171">
        <f t="shared" ca="1" si="141"/>
        <v>3.218014567219452</v>
      </c>
      <c r="DC120" s="171">
        <f t="shared" ca="1" si="142"/>
        <v>3.0550773819353285</v>
      </c>
      <c r="DD120" s="171">
        <f t="shared" ca="1" si="143"/>
        <v>2.9003901674930876</v>
      </c>
      <c r="DE120" s="171">
        <f t="shared" ca="1" si="144"/>
        <v>0</v>
      </c>
      <c r="DF120" s="171">
        <f t="shared" ca="1" si="145"/>
        <v>0</v>
      </c>
      <c r="DG120" s="171">
        <f t="shared" ca="1" si="146"/>
        <v>0</v>
      </c>
      <c r="DH120" s="171">
        <f t="shared" ca="1" si="147"/>
        <v>0</v>
      </c>
      <c r="DI120" s="171">
        <f t="shared" ca="1" si="148"/>
        <v>0</v>
      </c>
      <c r="DJ120" s="171">
        <f t="shared" ca="1" si="149"/>
        <v>0</v>
      </c>
      <c r="DK120" s="171">
        <f t="shared" ca="1" si="150"/>
        <v>0</v>
      </c>
      <c r="DL120" s="171">
        <f t="shared" ca="1" si="151"/>
        <v>0</v>
      </c>
      <c r="DM120" s="171">
        <f t="shared" ca="1" si="152"/>
        <v>0</v>
      </c>
      <c r="DN120" s="171">
        <f t="shared" ca="1" si="153"/>
        <v>0</v>
      </c>
      <c r="DO120" s="171">
        <f t="shared" ca="1" si="154"/>
        <v>0</v>
      </c>
      <c r="DP120" s="171">
        <f t="shared" ca="1" si="155"/>
        <v>0</v>
      </c>
      <c r="DQ120" s="171">
        <f t="shared" ca="1" si="156"/>
        <v>0</v>
      </c>
      <c r="DR120" s="171">
        <f t="shared" ca="1" si="157"/>
        <v>0</v>
      </c>
      <c r="DS120" s="171">
        <f t="shared" ca="1" si="158"/>
        <v>0</v>
      </c>
      <c r="DT120" s="171">
        <f t="shared" ca="1" si="159"/>
        <v>0</v>
      </c>
      <c r="DU120" s="171">
        <f t="shared" ca="1" si="160"/>
        <v>0</v>
      </c>
      <c r="DV120" s="171">
        <f t="shared" ca="1" si="161"/>
        <v>0</v>
      </c>
      <c r="DW120" s="171">
        <f t="shared" ca="1" si="162"/>
        <v>0</v>
      </c>
      <c r="DX120" s="171">
        <f t="shared" ca="1" si="163"/>
        <v>0</v>
      </c>
      <c r="DY120" s="171">
        <f t="shared" ca="1" si="164"/>
        <v>0</v>
      </c>
      <c r="DZ120" s="171">
        <f t="shared" ca="1" si="165"/>
        <v>0</v>
      </c>
      <c r="EA120" s="171">
        <f t="shared" ca="1" si="166"/>
        <v>0</v>
      </c>
      <c r="EB120" s="171">
        <f t="shared" ca="1" si="167"/>
        <v>0</v>
      </c>
      <c r="EC120" s="171">
        <f t="shared" ca="1" si="168"/>
        <v>0</v>
      </c>
      <c r="ED120" s="171">
        <f t="shared" ca="1" si="169"/>
        <v>0</v>
      </c>
      <c r="EE120" s="171">
        <f t="shared" ca="1" si="170"/>
        <v>0</v>
      </c>
      <c r="EF120" s="171">
        <f t="shared" ca="1" si="171"/>
        <v>0</v>
      </c>
      <c r="EG120" s="171">
        <f t="shared" ca="1" si="172"/>
        <v>0</v>
      </c>
      <c r="EH120" s="171">
        <f t="shared" ca="1" si="173"/>
        <v>0</v>
      </c>
      <c r="EI120" s="171">
        <f t="shared" ca="1" si="174"/>
        <v>0</v>
      </c>
      <c r="EJ120" s="171">
        <f t="shared" ca="1" si="175"/>
        <v>0</v>
      </c>
      <c r="EK120" s="171">
        <f t="shared" ca="1" si="176"/>
        <v>0</v>
      </c>
      <c r="EL120" s="171">
        <f t="shared" ca="1" si="177"/>
        <v>0</v>
      </c>
      <c r="EM120" s="171">
        <f t="shared" ca="1" si="178"/>
        <v>0</v>
      </c>
      <c r="EN120" s="171">
        <f t="shared" ca="1" si="179"/>
        <v>0</v>
      </c>
      <c r="EO120" s="171">
        <f t="shared" ca="1" si="180"/>
        <v>0</v>
      </c>
      <c r="EP120" s="171">
        <f t="shared" ca="1" si="181"/>
        <v>0</v>
      </c>
      <c r="EQ120" s="171">
        <f t="shared" ca="1" si="182"/>
        <v>0</v>
      </c>
      <c r="ER120" s="171">
        <f t="shared" ca="1" si="183"/>
        <v>0</v>
      </c>
      <c r="ES120" s="171">
        <f t="shared" ca="1" si="184"/>
        <v>0</v>
      </c>
    </row>
    <row r="121" spans="1:149">
      <c r="A121" s="139" t="s">
        <v>483</v>
      </c>
      <c r="B121" s="161" t="s">
        <v>487</v>
      </c>
      <c r="C121" s="161" t="s">
        <v>460</v>
      </c>
      <c r="D121" s="161" t="s">
        <v>394</v>
      </c>
      <c r="E121" s="161">
        <v>2014</v>
      </c>
      <c r="F121" s="161" t="s">
        <v>405</v>
      </c>
      <c r="G121" s="161" t="s">
        <v>402</v>
      </c>
      <c r="H121" s="161" t="s">
        <v>406</v>
      </c>
      <c r="I121" s="161" t="s">
        <v>184</v>
      </c>
      <c r="J121" s="161" t="s">
        <v>397</v>
      </c>
      <c r="K121" s="184">
        <v>7.31</v>
      </c>
      <c r="L121" s="163" t="s">
        <v>110</v>
      </c>
      <c r="M121" s="164">
        <f t="shared" si="115"/>
        <v>7.31</v>
      </c>
      <c r="N121" s="164">
        <f t="shared" si="116"/>
        <v>7.31</v>
      </c>
      <c r="O121" s="165">
        <f t="shared" si="117"/>
        <v>1</v>
      </c>
      <c r="P121" s="180">
        <v>8.0329758713136745E-2</v>
      </c>
      <c r="Q121" s="183">
        <v>15</v>
      </c>
      <c r="R121" s="168">
        <f t="shared" si="118"/>
        <v>5</v>
      </c>
      <c r="S121" s="186">
        <v>1.5</v>
      </c>
      <c r="T121" s="170" t="s">
        <v>403</v>
      </c>
      <c r="U121" s="171">
        <f t="shared" si="119"/>
        <v>0.89164007509154608</v>
      </c>
      <c r="V121" s="171">
        <f t="shared" ca="1" si="120"/>
        <v>0.83482395088090589</v>
      </c>
      <c r="W121" s="171">
        <f t="shared" ca="1" si="185"/>
        <v>12.522359263213588</v>
      </c>
      <c r="X121" s="172">
        <f t="shared" si="121"/>
        <v>0.5929092273482659</v>
      </c>
      <c r="Y121" s="172">
        <f t="shared" si="122"/>
        <v>0.4070907726517341</v>
      </c>
      <c r="Z121" s="173">
        <f t="shared" si="123"/>
        <v>13.374601126373191</v>
      </c>
      <c r="AA121" s="171">
        <f t="shared" si="186"/>
        <v>0</v>
      </c>
      <c r="AB121" s="171">
        <f t="shared" si="186"/>
        <v>0</v>
      </c>
      <c r="AC121" s="171">
        <f t="shared" si="186"/>
        <v>0</v>
      </c>
      <c r="AD121" s="171">
        <f t="shared" si="186"/>
        <v>0</v>
      </c>
      <c r="AE121" s="171">
        <f t="shared" si="186"/>
        <v>0.58721053619302954</v>
      </c>
      <c r="AF121" s="171">
        <f t="shared" si="186"/>
        <v>0.58721053619302954</v>
      </c>
      <c r="AG121" s="171">
        <f t="shared" si="186"/>
        <v>0.87144143242765248</v>
      </c>
      <c r="AH121" s="171">
        <f t="shared" si="186"/>
        <v>0.87144143242765248</v>
      </c>
      <c r="AI121" s="171">
        <f t="shared" si="186"/>
        <v>0.87144143242765248</v>
      </c>
      <c r="AJ121" s="171">
        <f t="shared" si="186"/>
        <v>0.87144143242765248</v>
      </c>
      <c r="AK121" s="171">
        <f t="shared" si="187"/>
        <v>0.87144143242765248</v>
      </c>
      <c r="AL121" s="171">
        <f t="shared" si="187"/>
        <v>0.87144143242765248</v>
      </c>
      <c r="AM121" s="171">
        <f t="shared" si="187"/>
        <v>0.87144143242765248</v>
      </c>
      <c r="AN121" s="171">
        <f t="shared" si="187"/>
        <v>0.87144143242765248</v>
      </c>
      <c r="AO121" s="171">
        <f t="shared" si="187"/>
        <v>0.87144143242765248</v>
      </c>
      <c r="AP121" s="171">
        <f t="shared" si="187"/>
        <v>0.87144143242765248</v>
      </c>
      <c r="AQ121" s="171">
        <f t="shared" si="187"/>
        <v>0.87144143242765248</v>
      </c>
      <c r="AR121" s="171">
        <f t="shared" si="187"/>
        <v>0.87144143242765248</v>
      </c>
      <c r="AS121" s="171">
        <f t="shared" si="187"/>
        <v>0.87144143242765248</v>
      </c>
      <c r="AT121" s="171">
        <f t="shared" si="187"/>
        <v>0.87144143242765248</v>
      </c>
      <c r="AU121" s="171">
        <f t="shared" si="188"/>
        <v>0</v>
      </c>
      <c r="AV121" s="171">
        <f t="shared" si="188"/>
        <v>0</v>
      </c>
      <c r="AW121" s="171">
        <f t="shared" si="188"/>
        <v>0</v>
      </c>
      <c r="AX121" s="171">
        <f t="shared" si="188"/>
        <v>0</v>
      </c>
      <c r="AY121" s="171">
        <f t="shared" si="188"/>
        <v>0</v>
      </c>
      <c r="AZ121" s="171">
        <f t="shared" si="188"/>
        <v>0</v>
      </c>
      <c r="BA121" s="171">
        <f t="shared" si="188"/>
        <v>0</v>
      </c>
      <c r="BB121" s="171">
        <f t="shared" si="188"/>
        <v>0</v>
      </c>
      <c r="BC121" s="171">
        <f t="shared" si="188"/>
        <v>0</v>
      </c>
      <c r="BD121" s="171">
        <f t="shared" si="188"/>
        <v>0</v>
      </c>
      <c r="BE121" s="171">
        <f t="shared" si="189"/>
        <v>0</v>
      </c>
      <c r="BF121" s="171">
        <f t="shared" si="189"/>
        <v>0</v>
      </c>
      <c r="BG121" s="171">
        <f t="shared" si="189"/>
        <v>0</v>
      </c>
      <c r="BH121" s="171">
        <f t="shared" si="189"/>
        <v>0</v>
      </c>
      <c r="BI121" s="171">
        <f t="shared" si="189"/>
        <v>0</v>
      </c>
      <c r="BJ121" s="171">
        <f t="shared" si="189"/>
        <v>0</v>
      </c>
      <c r="BK121" s="171">
        <f t="shared" si="189"/>
        <v>0</v>
      </c>
      <c r="BL121" s="171">
        <f t="shared" si="189"/>
        <v>0</v>
      </c>
      <c r="BM121" s="171">
        <f t="shared" si="189"/>
        <v>0</v>
      </c>
      <c r="BN121" s="171">
        <f t="shared" si="189"/>
        <v>0</v>
      </c>
      <c r="BO121" s="171">
        <f t="shared" si="190"/>
        <v>0</v>
      </c>
      <c r="BP121" s="171">
        <f t="shared" si="190"/>
        <v>0</v>
      </c>
      <c r="BQ121" s="171">
        <f t="shared" si="190"/>
        <v>0</v>
      </c>
      <c r="BR121" s="171">
        <f t="shared" si="190"/>
        <v>0</v>
      </c>
      <c r="BS121" s="171">
        <f t="shared" si="190"/>
        <v>0</v>
      </c>
      <c r="BT121" s="171">
        <f t="shared" si="190"/>
        <v>0</v>
      </c>
      <c r="BU121" s="171">
        <f t="shared" si="190"/>
        <v>0</v>
      </c>
      <c r="BV121" s="171">
        <f t="shared" si="190"/>
        <v>0</v>
      </c>
      <c r="BW121" s="171">
        <f t="shared" si="190"/>
        <v>0</v>
      </c>
      <c r="BX121" s="171">
        <f t="shared" si="190"/>
        <v>0</v>
      </c>
      <c r="BY121" s="171">
        <f t="shared" si="191"/>
        <v>0</v>
      </c>
      <c r="BZ121" s="171">
        <f t="shared" si="191"/>
        <v>0</v>
      </c>
      <c r="CA121" s="171">
        <f t="shared" si="191"/>
        <v>0</v>
      </c>
      <c r="CB121" s="171">
        <f t="shared" si="191"/>
        <v>0</v>
      </c>
      <c r="CC121" s="171">
        <f t="shared" si="191"/>
        <v>0</v>
      </c>
      <c r="CD121" s="171">
        <f t="shared" si="191"/>
        <v>0</v>
      </c>
      <c r="CE121" s="171">
        <f t="shared" si="191"/>
        <v>0</v>
      </c>
      <c r="CF121" s="171">
        <f t="shared" si="191"/>
        <v>0</v>
      </c>
      <c r="CG121" s="171">
        <f t="shared" si="191"/>
        <v>0</v>
      </c>
      <c r="CH121" s="171">
        <f t="shared" si="191"/>
        <v>0</v>
      </c>
      <c r="CI121" s="171">
        <f t="shared" si="191"/>
        <v>0</v>
      </c>
      <c r="CJ121" s="243"/>
      <c r="CK121" s="171">
        <f t="shared" si="124"/>
        <v>0</v>
      </c>
      <c r="CL121" s="171">
        <f t="shared" si="125"/>
        <v>0</v>
      </c>
      <c r="CM121" s="171">
        <f t="shared" si="126"/>
        <v>0</v>
      </c>
      <c r="CN121" s="171">
        <f t="shared" si="127"/>
        <v>0</v>
      </c>
      <c r="CO121" s="171">
        <f t="shared" si="128"/>
        <v>0.58721053619302954</v>
      </c>
      <c r="CP121" s="171">
        <f t="shared" si="129"/>
        <v>0.58721053619302954</v>
      </c>
      <c r="CQ121" s="171">
        <f t="shared" si="130"/>
        <v>0.87144143242765248</v>
      </c>
      <c r="CR121" s="171">
        <f t="shared" si="131"/>
        <v>0.87144143242765248</v>
      </c>
      <c r="CS121" s="171">
        <f t="shared" si="132"/>
        <v>0.87144143242765248</v>
      </c>
      <c r="CT121" s="171">
        <f t="shared" si="133"/>
        <v>0.87144143242765248</v>
      </c>
      <c r="CU121" s="171">
        <f t="shared" si="134"/>
        <v>0.87144143242765248</v>
      </c>
      <c r="CV121" s="171">
        <f t="shared" si="135"/>
        <v>0.87144143242765248</v>
      </c>
      <c r="CW121" s="171">
        <f t="shared" si="136"/>
        <v>0.87144143242765248</v>
      </c>
      <c r="CX121" s="171">
        <f t="shared" si="137"/>
        <v>0.87144143242765248</v>
      </c>
      <c r="CY121" s="171">
        <f t="shared" ca="1" si="138"/>
        <v>0.82731788631753844</v>
      </c>
      <c r="CZ121" s="171">
        <f t="shared" ca="1" si="139"/>
        <v>0.78542844022709835</v>
      </c>
      <c r="DA121" s="171">
        <f t="shared" ca="1" si="140"/>
        <v>0.7456599753493024</v>
      </c>
      <c r="DB121" s="171">
        <f t="shared" ca="1" si="141"/>
        <v>0.70790510040247345</v>
      </c>
      <c r="DC121" s="171">
        <f t="shared" ca="1" si="142"/>
        <v>0.6720618616294689</v>
      </c>
      <c r="DD121" s="171">
        <f t="shared" ca="1" si="143"/>
        <v>0.63803346748042344</v>
      </c>
      <c r="DE121" s="171">
        <f t="shared" ca="1" si="144"/>
        <v>0</v>
      </c>
      <c r="DF121" s="171">
        <f t="shared" ca="1" si="145"/>
        <v>0</v>
      </c>
      <c r="DG121" s="171">
        <f t="shared" ca="1" si="146"/>
        <v>0</v>
      </c>
      <c r="DH121" s="171">
        <f t="shared" ca="1" si="147"/>
        <v>0</v>
      </c>
      <c r="DI121" s="171">
        <f t="shared" ca="1" si="148"/>
        <v>0</v>
      </c>
      <c r="DJ121" s="171">
        <f t="shared" ca="1" si="149"/>
        <v>0</v>
      </c>
      <c r="DK121" s="171">
        <f t="shared" ca="1" si="150"/>
        <v>0</v>
      </c>
      <c r="DL121" s="171">
        <f t="shared" ca="1" si="151"/>
        <v>0</v>
      </c>
      <c r="DM121" s="171">
        <f t="shared" ca="1" si="152"/>
        <v>0</v>
      </c>
      <c r="DN121" s="171">
        <f t="shared" ca="1" si="153"/>
        <v>0</v>
      </c>
      <c r="DO121" s="171">
        <f t="shared" ca="1" si="154"/>
        <v>0</v>
      </c>
      <c r="DP121" s="171">
        <f t="shared" ca="1" si="155"/>
        <v>0</v>
      </c>
      <c r="DQ121" s="171">
        <f t="shared" ca="1" si="156"/>
        <v>0</v>
      </c>
      <c r="DR121" s="171">
        <f t="shared" ca="1" si="157"/>
        <v>0</v>
      </c>
      <c r="DS121" s="171">
        <f t="shared" ca="1" si="158"/>
        <v>0</v>
      </c>
      <c r="DT121" s="171">
        <f t="shared" ca="1" si="159"/>
        <v>0</v>
      </c>
      <c r="DU121" s="171">
        <f t="shared" ca="1" si="160"/>
        <v>0</v>
      </c>
      <c r="DV121" s="171">
        <f t="shared" ca="1" si="161"/>
        <v>0</v>
      </c>
      <c r="DW121" s="171">
        <f t="shared" ca="1" si="162"/>
        <v>0</v>
      </c>
      <c r="DX121" s="171">
        <f t="shared" ca="1" si="163"/>
        <v>0</v>
      </c>
      <c r="DY121" s="171">
        <f t="shared" ca="1" si="164"/>
        <v>0</v>
      </c>
      <c r="DZ121" s="171">
        <f t="shared" ca="1" si="165"/>
        <v>0</v>
      </c>
      <c r="EA121" s="171">
        <f t="shared" ca="1" si="166"/>
        <v>0</v>
      </c>
      <c r="EB121" s="171">
        <f t="shared" ca="1" si="167"/>
        <v>0</v>
      </c>
      <c r="EC121" s="171">
        <f t="shared" ca="1" si="168"/>
        <v>0</v>
      </c>
      <c r="ED121" s="171">
        <f t="shared" ca="1" si="169"/>
        <v>0</v>
      </c>
      <c r="EE121" s="171">
        <f t="shared" ca="1" si="170"/>
        <v>0</v>
      </c>
      <c r="EF121" s="171">
        <f t="shared" ca="1" si="171"/>
        <v>0</v>
      </c>
      <c r="EG121" s="171">
        <f t="shared" ca="1" si="172"/>
        <v>0</v>
      </c>
      <c r="EH121" s="171">
        <f t="shared" ca="1" si="173"/>
        <v>0</v>
      </c>
      <c r="EI121" s="171">
        <f t="shared" ca="1" si="174"/>
        <v>0</v>
      </c>
      <c r="EJ121" s="171">
        <f t="shared" ca="1" si="175"/>
        <v>0</v>
      </c>
      <c r="EK121" s="171">
        <f t="shared" ca="1" si="176"/>
        <v>0</v>
      </c>
      <c r="EL121" s="171">
        <f t="shared" ca="1" si="177"/>
        <v>0</v>
      </c>
      <c r="EM121" s="171">
        <f t="shared" ca="1" si="178"/>
        <v>0</v>
      </c>
      <c r="EN121" s="171">
        <f t="shared" ca="1" si="179"/>
        <v>0</v>
      </c>
      <c r="EO121" s="171">
        <f t="shared" ca="1" si="180"/>
        <v>0</v>
      </c>
      <c r="EP121" s="171">
        <f t="shared" ca="1" si="181"/>
        <v>0</v>
      </c>
      <c r="EQ121" s="171">
        <f t="shared" ca="1" si="182"/>
        <v>0</v>
      </c>
      <c r="ER121" s="171">
        <f t="shared" ca="1" si="183"/>
        <v>0</v>
      </c>
      <c r="ES121" s="171">
        <f t="shared" ca="1" si="184"/>
        <v>0</v>
      </c>
    </row>
    <row r="122" spans="1:149">
      <c r="A122" s="139" t="s">
        <v>483</v>
      </c>
      <c r="B122" s="160" t="s">
        <v>413</v>
      </c>
      <c r="C122" s="160" t="s">
        <v>460</v>
      </c>
      <c r="D122" s="161" t="s">
        <v>394</v>
      </c>
      <c r="E122" s="160">
        <v>2014</v>
      </c>
      <c r="F122" s="160" t="s">
        <v>405</v>
      </c>
      <c r="G122" s="160" t="s">
        <v>402</v>
      </c>
      <c r="H122" s="160" t="s">
        <v>406</v>
      </c>
      <c r="I122" s="160" t="s">
        <v>184</v>
      </c>
      <c r="J122" s="160" t="s">
        <v>407</v>
      </c>
      <c r="K122" s="187">
        <v>33.229999999999997</v>
      </c>
      <c r="L122" s="163" t="s">
        <v>110</v>
      </c>
      <c r="M122" s="164">
        <f t="shared" si="115"/>
        <v>33.229999999999997</v>
      </c>
      <c r="N122" s="164">
        <f t="shared" si="116"/>
        <v>33.229999999999997</v>
      </c>
      <c r="O122" s="165">
        <f t="shared" si="117"/>
        <v>1</v>
      </c>
      <c r="P122" s="180">
        <v>8.0329758713136745E-2</v>
      </c>
      <c r="Q122" s="183">
        <v>15</v>
      </c>
      <c r="R122" s="168">
        <f t="shared" si="118"/>
        <v>5</v>
      </c>
      <c r="S122" s="186">
        <v>1.5</v>
      </c>
      <c r="T122" s="170" t="s">
        <v>403</v>
      </c>
      <c r="U122" s="171">
        <f t="shared" si="119"/>
        <v>4.0532420923792198</v>
      </c>
      <c r="V122" s="171">
        <f t="shared" ca="1" si="120"/>
        <v>3.7949657849209979</v>
      </c>
      <c r="W122" s="171">
        <f t="shared" ca="1" si="185"/>
        <v>56.924486773814969</v>
      </c>
      <c r="X122" s="172">
        <f t="shared" si="121"/>
        <v>0.5929092273482659</v>
      </c>
      <c r="Y122" s="172">
        <f t="shared" si="122"/>
        <v>0.4070907726517341</v>
      </c>
      <c r="Z122" s="173">
        <f t="shared" si="123"/>
        <v>60.798631385688296</v>
      </c>
      <c r="AA122" s="171">
        <f t="shared" si="186"/>
        <v>0</v>
      </c>
      <c r="AB122" s="171">
        <f t="shared" si="186"/>
        <v>0</v>
      </c>
      <c r="AC122" s="171">
        <f t="shared" si="186"/>
        <v>0</v>
      </c>
      <c r="AD122" s="171">
        <f t="shared" si="186"/>
        <v>0</v>
      </c>
      <c r="AE122" s="171">
        <f t="shared" si="186"/>
        <v>2.6693578820375339</v>
      </c>
      <c r="AF122" s="171">
        <f t="shared" si="186"/>
        <v>2.6693578820375339</v>
      </c>
      <c r="AG122" s="171">
        <f t="shared" si="186"/>
        <v>3.9614225444009428</v>
      </c>
      <c r="AH122" s="171">
        <f t="shared" si="186"/>
        <v>3.9614225444009428</v>
      </c>
      <c r="AI122" s="171">
        <f t="shared" si="186"/>
        <v>3.9614225444009428</v>
      </c>
      <c r="AJ122" s="171">
        <f t="shared" si="186"/>
        <v>3.9614225444009428</v>
      </c>
      <c r="AK122" s="171">
        <f t="shared" si="187"/>
        <v>3.9614225444009428</v>
      </c>
      <c r="AL122" s="171">
        <f t="shared" si="187"/>
        <v>3.9614225444009428</v>
      </c>
      <c r="AM122" s="171">
        <f t="shared" si="187"/>
        <v>3.9614225444009428</v>
      </c>
      <c r="AN122" s="171">
        <f t="shared" si="187"/>
        <v>3.9614225444009428</v>
      </c>
      <c r="AO122" s="171">
        <f t="shared" si="187"/>
        <v>3.9614225444009428</v>
      </c>
      <c r="AP122" s="171">
        <f t="shared" si="187"/>
        <v>3.9614225444009428</v>
      </c>
      <c r="AQ122" s="171">
        <f t="shared" si="187"/>
        <v>3.9614225444009428</v>
      </c>
      <c r="AR122" s="171">
        <f t="shared" si="187"/>
        <v>3.9614225444009428</v>
      </c>
      <c r="AS122" s="171">
        <f t="shared" si="187"/>
        <v>3.9614225444009428</v>
      </c>
      <c r="AT122" s="171">
        <f t="shared" si="187"/>
        <v>3.9614225444009428</v>
      </c>
      <c r="AU122" s="171">
        <f t="shared" si="188"/>
        <v>0</v>
      </c>
      <c r="AV122" s="171">
        <f t="shared" si="188"/>
        <v>0</v>
      </c>
      <c r="AW122" s="171">
        <f t="shared" si="188"/>
        <v>0</v>
      </c>
      <c r="AX122" s="171">
        <f t="shared" si="188"/>
        <v>0</v>
      </c>
      <c r="AY122" s="171">
        <f t="shared" si="188"/>
        <v>0</v>
      </c>
      <c r="AZ122" s="171">
        <f t="shared" si="188"/>
        <v>0</v>
      </c>
      <c r="BA122" s="171">
        <f t="shared" si="188"/>
        <v>0</v>
      </c>
      <c r="BB122" s="171">
        <f t="shared" si="188"/>
        <v>0</v>
      </c>
      <c r="BC122" s="171">
        <f t="shared" si="188"/>
        <v>0</v>
      </c>
      <c r="BD122" s="171">
        <f t="shared" si="188"/>
        <v>0</v>
      </c>
      <c r="BE122" s="171">
        <f t="shared" si="189"/>
        <v>0</v>
      </c>
      <c r="BF122" s="171">
        <f t="shared" si="189"/>
        <v>0</v>
      </c>
      <c r="BG122" s="171">
        <f t="shared" si="189"/>
        <v>0</v>
      </c>
      <c r="BH122" s="171">
        <f t="shared" si="189"/>
        <v>0</v>
      </c>
      <c r="BI122" s="171">
        <f t="shared" si="189"/>
        <v>0</v>
      </c>
      <c r="BJ122" s="171">
        <f t="shared" si="189"/>
        <v>0</v>
      </c>
      <c r="BK122" s="171">
        <f t="shared" si="189"/>
        <v>0</v>
      </c>
      <c r="BL122" s="171">
        <f t="shared" si="189"/>
        <v>0</v>
      </c>
      <c r="BM122" s="171">
        <f t="shared" si="189"/>
        <v>0</v>
      </c>
      <c r="BN122" s="171">
        <f t="shared" si="189"/>
        <v>0</v>
      </c>
      <c r="BO122" s="171">
        <f t="shared" si="190"/>
        <v>0</v>
      </c>
      <c r="BP122" s="171">
        <f t="shared" si="190"/>
        <v>0</v>
      </c>
      <c r="BQ122" s="171">
        <f t="shared" si="190"/>
        <v>0</v>
      </c>
      <c r="BR122" s="171">
        <f t="shared" si="190"/>
        <v>0</v>
      </c>
      <c r="BS122" s="171">
        <f t="shared" si="190"/>
        <v>0</v>
      </c>
      <c r="BT122" s="171">
        <f t="shared" si="190"/>
        <v>0</v>
      </c>
      <c r="BU122" s="171">
        <f t="shared" si="190"/>
        <v>0</v>
      </c>
      <c r="BV122" s="171">
        <f t="shared" si="190"/>
        <v>0</v>
      </c>
      <c r="BW122" s="171">
        <f t="shared" si="190"/>
        <v>0</v>
      </c>
      <c r="BX122" s="171">
        <f t="shared" si="190"/>
        <v>0</v>
      </c>
      <c r="BY122" s="171">
        <f t="shared" si="191"/>
        <v>0</v>
      </c>
      <c r="BZ122" s="171">
        <f t="shared" si="191"/>
        <v>0</v>
      </c>
      <c r="CA122" s="171">
        <f t="shared" si="191"/>
        <v>0</v>
      </c>
      <c r="CB122" s="171">
        <f t="shared" si="191"/>
        <v>0</v>
      </c>
      <c r="CC122" s="171">
        <f t="shared" si="191"/>
        <v>0</v>
      </c>
      <c r="CD122" s="171">
        <f t="shared" si="191"/>
        <v>0</v>
      </c>
      <c r="CE122" s="171">
        <f t="shared" si="191"/>
        <v>0</v>
      </c>
      <c r="CF122" s="171">
        <f t="shared" si="191"/>
        <v>0</v>
      </c>
      <c r="CG122" s="171">
        <f t="shared" si="191"/>
        <v>0</v>
      </c>
      <c r="CH122" s="171">
        <f t="shared" si="191"/>
        <v>0</v>
      </c>
      <c r="CI122" s="171">
        <f t="shared" si="191"/>
        <v>0</v>
      </c>
      <c r="CJ122" s="243"/>
      <c r="CK122" s="171">
        <f t="shared" si="124"/>
        <v>0</v>
      </c>
      <c r="CL122" s="171">
        <f t="shared" si="125"/>
        <v>0</v>
      </c>
      <c r="CM122" s="171">
        <f t="shared" si="126"/>
        <v>0</v>
      </c>
      <c r="CN122" s="171">
        <f t="shared" si="127"/>
        <v>0</v>
      </c>
      <c r="CO122" s="171">
        <f t="shared" si="128"/>
        <v>2.6693578820375339</v>
      </c>
      <c r="CP122" s="171">
        <f t="shared" si="129"/>
        <v>2.6693578820375339</v>
      </c>
      <c r="CQ122" s="171">
        <f t="shared" si="130"/>
        <v>3.9614225444009428</v>
      </c>
      <c r="CR122" s="171">
        <f t="shared" si="131"/>
        <v>3.9614225444009428</v>
      </c>
      <c r="CS122" s="171">
        <f t="shared" si="132"/>
        <v>3.9614225444009428</v>
      </c>
      <c r="CT122" s="171">
        <f t="shared" si="133"/>
        <v>3.9614225444009428</v>
      </c>
      <c r="CU122" s="171">
        <f t="shared" si="134"/>
        <v>3.9614225444009428</v>
      </c>
      <c r="CV122" s="171">
        <f t="shared" si="135"/>
        <v>3.9614225444009428</v>
      </c>
      <c r="CW122" s="171">
        <f t="shared" si="136"/>
        <v>3.9614225444009428</v>
      </c>
      <c r="CX122" s="171">
        <f t="shared" si="137"/>
        <v>3.9614225444009428</v>
      </c>
      <c r="CY122" s="171">
        <f t="shared" ca="1" si="138"/>
        <v>3.7608445092109171</v>
      </c>
      <c r="CZ122" s="171">
        <f t="shared" ca="1" si="139"/>
        <v>3.5704223076260573</v>
      </c>
      <c r="DA122" s="171">
        <f t="shared" ca="1" si="140"/>
        <v>3.3896417210475129</v>
      </c>
      <c r="DB122" s="171">
        <f t="shared" ca="1" si="141"/>
        <v>3.218014567219452</v>
      </c>
      <c r="DC122" s="171">
        <f t="shared" ca="1" si="142"/>
        <v>3.0550773819353285</v>
      </c>
      <c r="DD122" s="171">
        <f t="shared" ca="1" si="143"/>
        <v>2.9003901674930876</v>
      </c>
      <c r="DE122" s="171">
        <f t="shared" ca="1" si="144"/>
        <v>0</v>
      </c>
      <c r="DF122" s="171">
        <f t="shared" ca="1" si="145"/>
        <v>0</v>
      </c>
      <c r="DG122" s="171">
        <f t="shared" ca="1" si="146"/>
        <v>0</v>
      </c>
      <c r="DH122" s="171">
        <f t="shared" ca="1" si="147"/>
        <v>0</v>
      </c>
      <c r="DI122" s="171">
        <f t="shared" ca="1" si="148"/>
        <v>0</v>
      </c>
      <c r="DJ122" s="171">
        <f t="shared" ca="1" si="149"/>
        <v>0</v>
      </c>
      <c r="DK122" s="171">
        <f t="shared" ca="1" si="150"/>
        <v>0</v>
      </c>
      <c r="DL122" s="171">
        <f t="shared" ca="1" si="151"/>
        <v>0</v>
      </c>
      <c r="DM122" s="171">
        <f t="shared" ca="1" si="152"/>
        <v>0</v>
      </c>
      <c r="DN122" s="171">
        <f t="shared" ca="1" si="153"/>
        <v>0</v>
      </c>
      <c r="DO122" s="171">
        <f t="shared" ca="1" si="154"/>
        <v>0</v>
      </c>
      <c r="DP122" s="171">
        <f t="shared" ca="1" si="155"/>
        <v>0</v>
      </c>
      <c r="DQ122" s="171">
        <f t="shared" ca="1" si="156"/>
        <v>0</v>
      </c>
      <c r="DR122" s="171">
        <f t="shared" ca="1" si="157"/>
        <v>0</v>
      </c>
      <c r="DS122" s="171">
        <f t="shared" ca="1" si="158"/>
        <v>0</v>
      </c>
      <c r="DT122" s="171">
        <f t="shared" ca="1" si="159"/>
        <v>0</v>
      </c>
      <c r="DU122" s="171">
        <f t="shared" ca="1" si="160"/>
        <v>0</v>
      </c>
      <c r="DV122" s="171">
        <f t="shared" ca="1" si="161"/>
        <v>0</v>
      </c>
      <c r="DW122" s="171">
        <f t="shared" ca="1" si="162"/>
        <v>0</v>
      </c>
      <c r="DX122" s="171">
        <f t="shared" ca="1" si="163"/>
        <v>0</v>
      </c>
      <c r="DY122" s="171">
        <f t="shared" ca="1" si="164"/>
        <v>0</v>
      </c>
      <c r="DZ122" s="171">
        <f t="shared" ca="1" si="165"/>
        <v>0</v>
      </c>
      <c r="EA122" s="171">
        <f t="shared" ca="1" si="166"/>
        <v>0</v>
      </c>
      <c r="EB122" s="171">
        <f t="shared" ca="1" si="167"/>
        <v>0</v>
      </c>
      <c r="EC122" s="171">
        <f t="shared" ca="1" si="168"/>
        <v>0</v>
      </c>
      <c r="ED122" s="171">
        <f t="shared" ca="1" si="169"/>
        <v>0</v>
      </c>
      <c r="EE122" s="171">
        <f t="shared" ca="1" si="170"/>
        <v>0</v>
      </c>
      <c r="EF122" s="171">
        <f t="shared" ca="1" si="171"/>
        <v>0</v>
      </c>
      <c r="EG122" s="171">
        <f t="shared" ca="1" si="172"/>
        <v>0</v>
      </c>
      <c r="EH122" s="171">
        <f t="shared" ca="1" si="173"/>
        <v>0</v>
      </c>
      <c r="EI122" s="171">
        <f t="shared" ca="1" si="174"/>
        <v>0</v>
      </c>
      <c r="EJ122" s="171">
        <f t="shared" ca="1" si="175"/>
        <v>0</v>
      </c>
      <c r="EK122" s="171">
        <f t="shared" ca="1" si="176"/>
        <v>0</v>
      </c>
      <c r="EL122" s="171">
        <f t="shared" ca="1" si="177"/>
        <v>0</v>
      </c>
      <c r="EM122" s="171">
        <f t="shared" ca="1" si="178"/>
        <v>0</v>
      </c>
      <c r="EN122" s="171">
        <f t="shared" ca="1" si="179"/>
        <v>0</v>
      </c>
      <c r="EO122" s="171">
        <f t="shared" ca="1" si="180"/>
        <v>0</v>
      </c>
      <c r="EP122" s="171">
        <f t="shared" ca="1" si="181"/>
        <v>0</v>
      </c>
      <c r="EQ122" s="171">
        <f t="shared" ca="1" si="182"/>
        <v>0</v>
      </c>
      <c r="ER122" s="171">
        <f t="shared" ca="1" si="183"/>
        <v>0</v>
      </c>
      <c r="ES122" s="171">
        <f t="shared" ca="1" si="184"/>
        <v>0</v>
      </c>
    </row>
    <row r="123" spans="1:149">
      <c r="A123" s="139" t="s">
        <v>483</v>
      </c>
      <c r="B123" s="160" t="s">
        <v>409</v>
      </c>
      <c r="C123" s="160" t="s">
        <v>460</v>
      </c>
      <c r="D123" s="160" t="s">
        <v>394</v>
      </c>
      <c r="E123" s="160">
        <v>2014</v>
      </c>
      <c r="F123" s="160" t="s">
        <v>395</v>
      </c>
      <c r="G123" s="160" t="s">
        <v>402</v>
      </c>
      <c r="H123" s="160" t="s">
        <v>396</v>
      </c>
      <c r="I123" s="160" t="s">
        <v>178</v>
      </c>
      <c r="J123" s="160" t="s">
        <v>397</v>
      </c>
      <c r="K123" s="187">
        <v>199.4</v>
      </c>
      <c r="L123" s="163" t="s">
        <v>110</v>
      </c>
      <c r="M123" s="164">
        <f t="shared" si="115"/>
        <v>199.4</v>
      </c>
      <c r="N123" s="164">
        <f t="shared" si="116"/>
        <v>199.4</v>
      </c>
      <c r="O123" s="165">
        <f t="shared" si="117"/>
        <v>1</v>
      </c>
      <c r="P123" s="180">
        <v>2.3903633306096857E-2</v>
      </c>
      <c r="Q123" s="183">
        <v>32.668289591298226</v>
      </c>
      <c r="R123" s="168">
        <f t="shared" si="118"/>
        <v>22.668289591298226</v>
      </c>
      <c r="S123" s="183">
        <v>6.9579862261231415</v>
      </c>
      <c r="T123" s="170" t="s">
        <v>403</v>
      </c>
      <c r="U123" s="171">
        <f t="shared" si="119"/>
        <v>9.1283926567487228</v>
      </c>
      <c r="V123" s="171">
        <f t="shared" ca="1" si="120"/>
        <v>6.0335889206394802</v>
      </c>
      <c r="W123" s="171">
        <f t="shared" ca="1" si="185"/>
        <v>197.10703013429904</v>
      </c>
      <c r="X123" s="172">
        <f t="shared" si="121"/>
        <v>0.17920836052863021</v>
      </c>
      <c r="Y123" s="172">
        <f t="shared" si="122"/>
        <v>0.82079163947136979</v>
      </c>
      <c r="Z123" s="173">
        <f t="shared" si="123"/>
        <v>298.20897481374749</v>
      </c>
      <c r="AA123" s="171">
        <f t="shared" si="186"/>
        <v>0</v>
      </c>
      <c r="AB123" s="171">
        <f t="shared" si="186"/>
        <v>0</v>
      </c>
      <c r="AC123" s="171">
        <f t="shared" si="186"/>
        <v>0</v>
      </c>
      <c r="AD123" s="171">
        <f t="shared" si="186"/>
        <v>0</v>
      </c>
      <c r="AE123" s="171">
        <f t="shared" si="186"/>
        <v>4.766384481235713</v>
      </c>
      <c r="AF123" s="171">
        <f t="shared" si="186"/>
        <v>4.766384481235713</v>
      </c>
      <c r="AG123" s="171">
        <f t="shared" si="186"/>
        <v>4.766384481235713</v>
      </c>
      <c r="AH123" s="171">
        <f t="shared" si="186"/>
        <v>4.766384481235713</v>
      </c>
      <c r="AI123" s="171">
        <f t="shared" si="186"/>
        <v>4.766384481235713</v>
      </c>
      <c r="AJ123" s="171">
        <f t="shared" si="186"/>
        <v>4.766384481235713</v>
      </c>
      <c r="AK123" s="171">
        <f t="shared" si="187"/>
        <v>4.766384481235713</v>
      </c>
      <c r="AL123" s="171">
        <f t="shared" si="187"/>
        <v>10.186318594042209</v>
      </c>
      <c r="AM123" s="171">
        <f t="shared" si="187"/>
        <v>10.186318594042209</v>
      </c>
      <c r="AN123" s="171">
        <f t="shared" si="187"/>
        <v>10.186318594042209</v>
      </c>
      <c r="AO123" s="171">
        <f t="shared" si="187"/>
        <v>10.186318594042209</v>
      </c>
      <c r="AP123" s="171">
        <f t="shared" si="187"/>
        <v>10.186318594042209</v>
      </c>
      <c r="AQ123" s="171">
        <f t="shared" si="187"/>
        <v>10.186318594042209</v>
      </c>
      <c r="AR123" s="171">
        <f t="shared" si="187"/>
        <v>10.186318594042209</v>
      </c>
      <c r="AS123" s="171">
        <f t="shared" si="187"/>
        <v>10.186318594042209</v>
      </c>
      <c r="AT123" s="171">
        <f t="shared" si="187"/>
        <v>10.186318594042209</v>
      </c>
      <c r="AU123" s="171">
        <f t="shared" si="188"/>
        <v>10.186318594042209</v>
      </c>
      <c r="AV123" s="171">
        <f t="shared" si="188"/>
        <v>10.186318594042209</v>
      </c>
      <c r="AW123" s="171">
        <f t="shared" si="188"/>
        <v>10.186318594042209</v>
      </c>
      <c r="AX123" s="171">
        <f t="shared" si="188"/>
        <v>10.186318594042209</v>
      </c>
      <c r="AY123" s="171">
        <f t="shared" si="188"/>
        <v>10.186318594042209</v>
      </c>
      <c r="AZ123" s="171">
        <f t="shared" si="188"/>
        <v>10.186318594042209</v>
      </c>
      <c r="BA123" s="171">
        <f t="shared" si="188"/>
        <v>10.186318594042209</v>
      </c>
      <c r="BB123" s="171">
        <f t="shared" si="188"/>
        <v>10.186318594042209</v>
      </c>
      <c r="BC123" s="171">
        <f t="shared" si="188"/>
        <v>10.186318594042209</v>
      </c>
      <c r="BD123" s="171">
        <f t="shared" si="188"/>
        <v>10.186318594042209</v>
      </c>
      <c r="BE123" s="171">
        <f t="shared" si="189"/>
        <v>10.186318594042209</v>
      </c>
      <c r="BF123" s="171">
        <f t="shared" si="189"/>
        <v>10.186318594042209</v>
      </c>
      <c r="BG123" s="171">
        <f t="shared" si="189"/>
        <v>10.186318594042209</v>
      </c>
      <c r="BH123" s="171">
        <f t="shared" si="189"/>
        <v>10.186318594042209</v>
      </c>
      <c r="BI123" s="171">
        <f t="shared" si="189"/>
        <v>10.186318594042209</v>
      </c>
      <c r="BJ123" s="171">
        <f t="shared" si="189"/>
        <v>10.186318594042209</v>
      </c>
      <c r="BK123" s="171">
        <f t="shared" si="189"/>
        <v>10.186318594042209</v>
      </c>
      <c r="BL123" s="171">
        <f t="shared" si="189"/>
        <v>0</v>
      </c>
      <c r="BM123" s="171">
        <f t="shared" si="189"/>
        <v>0</v>
      </c>
      <c r="BN123" s="171">
        <f t="shared" si="189"/>
        <v>0</v>
      </c>
      <c r="BO123" s="171">
        <f t="shared" si="190"/>
        <v>0</v>
      </c>
      <c r="BP123" s="171">
        <f t="shared" si="190"/>
        <v>0</v>
      </c>
      <c r="BQ123" s="171">
        <f t="shared" si="190"/>
        <v>0</v>
      </c>
      <c r="BR123" s="171">
        <f t="shared" si="190"/>
        <v>0</v>
      </c>
      <c r="BS123" s="171">
        <f t="shared" si="190"/>
        <v>0</v>
      </c>
      <c r="BT123" s="171">
        <f t="shared" si="190"/>
        <v>0</v>
      </c>
      <c r="BU123" s="171">
        <f t="shared" si="190"/>
        <v>0</v>
      </c>
      <c r="BV123" s="171">
        <f t="shared" si="190"/>
        <v>0</v>
      </c>
      <c r="BW123" s="171">
        <f t="shared" si="190"/>
        <v>0</v>
      </c>
      <c r="BX123" s="171">
        <f t="shared" si="190"/>
        <v>0</v>
      </c>
      <c r="BY123" s="171">
        <f t="shared" si="191"/>
        <v>0</v>
      </c>
      <c r="BZ123" s="171">
        <f t="shared" si="191"/>
        <v>0</v>
      </c>
      <c r="CA123" s="171">
        <f t="shared" si="191"/>
        <v>0</v>
      </c>
      <c r="CB123" s="171">
        <f t="shared" si="191"/>
        <v>0</v>
      </c>
      <c r="CC123" s="171">
        <f t="shared" si="191"/>
        <v>0</v>
      </c>
      <c r="CD123" s="171">
        <f t="shared" si="191"/>
        <v>0</v>
      </c>
      <c r="CE123" s="171">
        <f t="shared" si="191"/>
        <v>0</v>
      </c>
      <c r="CF123" s="171">
        <f t="shared" si="191"/>
        <v>0</v>
      </c>
      <c r="CG123" s="171">
        <f t="shared" si="191"/>
        <v>0</v>
      </c>
      <c r="CH123" s="171">
        <f t="shared" si="191"/>
        <v>0</v>
      </c>
      <c r="CI123" s="171">
        <f t="shared" si="191"/>
        <v>0</v>
      </c>
      <c r="CJ123" s="243"/>
      <c r="CK123" s="171">
        <f t="shared" si="124"/>
        <v>0</v>
      </c>
      <c r="CL123" s="171">
        <f t="shared" si="125"/>
        <v>0</v>
      </c>
      <c r="CM123" s="171">
        <f t="shared" si="126"/>
        <v>0</v>
      </c>
      <c r="CN123" s="171">
        <f t="shared" si="127"/>
        <v>0</v>
      </c>
      <c r="CO123" s="171">
        <f t="shared" si="128"/>
        <v>4.766384481235713</v>
      </c>
      <c r="CP123" s="171">
        <f t="shared" si="129"/>
        <v>4.766384481235713</v>
      </c>
      <c r="CQ123" s="171">
        <f t="shared" si="130"/>
        <v>4.766384481235713</v>
      </c>
      <c r="CR123" s="171">
        <f t="shared" si="131"/>
        <v>4.766384481235713</v>
      </c>
      <c r="CS123" s="171">
        <f t="shared" si="132"/>
        <v>4.766384481235713</v>
      </c>
      <c r="CT123" s="171">
        <f t="shared" si="133"/>
        <v>4.766384481235713</v>
      </c>
      <c r="CU123" s="171">
        <f t="shared" si="134"/>
        <v>4.766384481235713</v>
      </c>
      <c r="CV123" s="171">
        <f t="shared" si="135"/>
        <v>10.186318594042209</v>
      </c>
      <c r="CW123" s="171">
        <f t="shared" si="136"/>
        <v>10.186318594042209</v>
      </c>
      <c r="CX123" s="171">
        <f t="shared" si="137"/>
        <v>10.186318594042209</v>
      </c>
      <c r="CY123" s="171">
        <f t="shared" ca="1" si="138"/>
        <v>9.6705564539240356</v>
      </c>
      <c r="CZ123" s="171">
        <f t="shared" ca="1" si="139"/>
        <v>9.1809088106894414</v>
      </c>
      <c r="DA123" s="171">
        <f t="shared" ca="1" si="140"/>
        <v>8.7160534134509824</v>
      </c>
      <c r="DB123" s="171">
        <f t="shared" ca="1" si="141"/>
        <v>8.2747349606259277</v>
      </c>
      <c r="DC123" s="171">
        <f t="shared" ca="1" si="142"/>
        <v>7.8557617101034802</v>
      </c>
      <c r="DD123" s="171">
        <f t="shared" ca="1" si="143"/>
        <v>7.4580022610488284</v>
      </c>
      <c r="DE123" s="171">
        <f t="shared" ca="1" si="144"/>
        <v>7.0803824986535604</v>
      </c>
      <c r="DF123" s="171">
        <f t="shared" ca="1" si="145"/>
        <v>6.7218826935820113</v>
      </c>
      <c r="DG123" s="171">
        <f t="shared" ca="1" si="146"/>
        <v>6.3815347482808606</v>
      </c>
      <c r="DH123" s="171">
        <f t="shared" ca="1" si="147"/>
        <v>6.0584195827158558</v>
      </c>
      <c r="DI123" s="171">
        <f t="shared" ca="1" si="148"/>
        <v>5.7516646524760962</v>
      </c>
      <c r="DJ123" s="171">
        <f t="shared" ca="1" si="149"/>
        <v>5.4604415925437104</v>
      </c>
      <c r="DK123" s="171">
        <f t="shared" ca="1" si="150"/>
        <v>5.183963980366153</v>
      </c>
      <c r="DL123" s="171">
        <f t="shared" ca="1" si="151"/>
        <v>4.9214852121904782</v>
      </c>
      <c r="DM123" s="171">
        <f t="shared" ca="1" si="152"/>
        <v>4.6722964869248145</v>
      </c>
      <c r="DN123" s="171">
        <f t="shared" ca="1" si="153"/>
        <v>4.4357248920826482</v>
      </c>
      <c r="DO123" s="171">
        <f t="shared" ca="1" si="154"/>
        <v>4.2111315866411632</v>
      </c>
      <c r="DP123" s="171">
        <f t="shared" ca="1" si="155"/>
        <v>3.9979100759065958</v>
      </c>
      <c r="DQ123" s="171">
        <f t="shared" ca="1" si="156"/>
        <v>3.7954845737280558</v>
      </c>
      <c r="DR123" s="171">
        <f t="shared" ca="1" si="157"/>
        <v>3.60330844763708</v>
      </c>
      <c r="DS123" s="171">
        <f t="shared" ca="1" si="158"/>
        <v>3.4208627427141876</v>
      </c>
      <c r="DT123" s="171">
        <f t="shared" ca="1" si="159"/>
        <v>3.2476547801962341</v>
      </c>
      <c r="DU123" s="171">
        <f t="shared" ca="1" si="160"/>
        <v>3.0832168270402511</v>
      </c>
      <c r="DV123" s="171">
        <f t="shared" ca="1" si="161"/>
        <v>0</v>
      </c>
      <c r="DW123" s="171">
        <f t="shared" ca="1" si="162"/>
        <v>0</v>
      </c>
      <c r="DX123" s="171">
        <f t="shared" ca="1" si="163"/>
        <v>0</v>
      </c>
      <c r="DY123" s="171">
        <f t="shared" ca="1" si="164"/>
        <v>0</v>
      </c>
      <c r="DZ123" s="171">
        <f t="shared" ca="1" si="165"/>
        <v>0</v>
      </c>
      <c r="EA123" s="171">
        <f t="shared" ca="1" si="166"/>
        <v>0</v>
      </c>
      <c r="EB123" s="171">
        <f t="shared" ca="1" si="167"/>
        <v>0</v>
      </c>
      <c r="EC123" s="171">
        <f t="shared" ca="1" si="168"/>
        <v>0</v>
      </c>
      <c r="ED123" s="171">
        <f t="shared" ca="1" si="169"/>
        <v>0</v>
      </c>
      <c r="EE123" s="171">
        <f t="shared" ca="1" si="170"/>
        <v>0</v>
      </c>
      <c r="EF123" s="171">
        <f t="shared" ca="1" si="171"/>
        <v>0</v>
      </c>
      <c r="EG123" s="171">
        <f t="shared" ca="1" si="172"/>
        <v>0</v>
      </c>
      <c r="EH123" s="171">
        <f t="shared" ca="1" si="173"/>
        <v>0</v>
      </c>
      <c r="EI123" s="171">
        <f t="shared" ca="1" si="174"/>
        <v>0</v>
      </c>
      <c r="EJ123" s="171">
        <f t="shared" ca="1" si="175"/>
        <v>0</v>
      </c>
      <c r="EK123" s="171">
        <f t="shared" ca="1" si="176"/>
        <v>0</v>
      </c>
      <c r="EL123" s="171">
        <f t="shared" ca="1" si="177"/>
        <v>0</v>
      </c>
      <c r="EM123" s="171">
        <f t="shared" ca="1" si="178"/>
        <v>0</v>
      </c>
      <c r="EN123" s="171">
        <f t="shared" ca="1" si="179"/>
        <v>0</v>
      </c>
      <c r="EO123" s="171">
        <f t="shared" ca="1" si="180"/>
        <v>0</v>
      </c>
      <c r="EP123" s="171">
        <f t="shared" ca="1" si="181"/>
        <v>0</v>
      </c>
      <c r="EQ123" s="171">
        <f t="shared" ca="1" si="182"/>
        <v>0</v>
      </c>
      <c r="ER123" s="171">
        <f t="shared" ca="1" si="183"/>
        <v>0</v>
      </c>
      <c r="ES123" s="171">
        <f t="shared" ca="1" si="184"/>
        <v>0</v>
      </c>
    </row>
    <row r="124" spans="1:149">
      <c r="A124" s="139" t="s">
        <v>483</v>
      </c>
      <c r="B124" s="160" t="s">
        <v>472</v>
      </c>
      <c r="C124" s="160" t="s">
        <v>460</v>
      </c>
      <c r="D124" s="160" t="s">
        <v>394</v>
      </c>
      <c r="E124" s="160">
        <v>2014</v>
      </c>
      <c r="F124" s="160" t="s">
        <v>395</v>
      </c>
      <c r="G124" s="160" t="s">
        <v>402</v>
      </c>
      <c r="H124" s="194" t="s">
        <v>396</v>
      </c>
      <c r="I124" s="194" t="s">
        <v>176</v>
      </c>
      <c r="J124" s="194" t="s">
        <v>397</v>
      </c>
      <c r="K124" s="187">
        <v>46.53</v>
      </c>
      <c r="L124" s="163" t="s">
        <v>110</v>
      </c>
      <c r="M124" s="164">
        <f t="shared" si="115"/>
        <v>46.53</v>
      </c>
      <c r="N124" s="164">
        <f t="shared" si="116"/>
        <v>46.53</v>
      </c>
      <c r="O124" s="165">
        <f t="shared" si="117"/>
        <v>1</v>
      </c>
      <c r="P124" s="180">
        <v>2.4058710569794983E-2</v>
      </c>
      <c r="Q124" s="183">
        <v>23.583342661777632</v>
      </c>
      <c r="R124" s="168">
        <f t="shared" si="118"/>
        <v>13.583342661777632</v>
      </c>
      <c r="S124" s="186">
        <v>6.5440636898279223</v>
      </c>
      <c r="T124" s="170" t="s">
        <v>403</v>
      </c>
      <c r="U124" s="171">
        <f t="shared" si="119"/>
        <v>2.6461159722037135</v>
      </c>
      <c r="V124" s="171">
        <f t="shared" ca="1" si="120"/>
        <v>2.0596278126130194</v>
      </c>
      <c r="W124" s="171">
        <f t="shared" ca="1" si="185"/>
        <v>48.572908460580365</v>
      </c>
      <c r="X124" s="172">
        <f t="shared" si="121"/>
        <v>0.20135495345148102</v>
      </c>
      <c r="Y124" s="172">
        <f t="shared" si="122"/>
        <v>0.79864504654851898</v>
      </c>
      <c r="Z124" s="173">
        <f t="shared" si="123"/>
        <v>62.404259695283031</v>
      </c>
      <c r="AA124" s="171">
        <f t="shared" si="186"/>
        <v>0</v>
      </c>
      <c r="AB124" s="171">
        <f t="shared" si="186"/>
        <v>0</v>
      </c>
      <c r="AC124" s="171">
        <f t="shared" si="186"/>
        <v>0</v>
      </c>
      <c r="AD124" s="171">
        <f t="shared" si="186"/>
        <v>0</v>
      </c>
      <c r="AE124" s="171">
        <f t="shared" si="186"/>
        <v>1.1194518028125606</v>
      </c>
      <c r="AF124" s="171">
        <f t="shared" si="186"/>
        <v>1.1194518028125606</v>
      </c>
      <c r="AG124" s="171">
        <f t="shared" si="186"/>
        <v>1.1194518028125606</v>
      </c>
      <c r="AH124" s="171">
        <f t="shared" si="186"/>
        <v>1.1194518028125606</v>
      </c>
      <c r="AI124" s="171">
        <f t="shared" si="186"/>
        <v>1.1194518028125606</v>
      </c>
      <c r="AJ124" s="171">
        <f t="shared" si="186"/>
        <v>1.1194518028125606</v>
      </c>
      <c r="AK124" s="171">
        <f t="shared" si="187"/>
        <v>1.1194518028125606</v>
      </c>
      <c r="AL124" s="171">
        <f t="shared" si="187"/>
        <v>3.2098880632703013</v>
      </c>
      <c r="AM124" s="171">
        <f t="shared" si="187"/>
        <v>3.2098880632703013</v>
      </c>
      <c r="AN124" s="171">
        <f t="shared" si="187"/>
        <v>3.2098880632703013</v>
      </c>
      <c r="AO124" s="171">
        <f t="shared" si="187"/>
        <v>3.2098880632703013</v>
      </c>
      <c r="AP124" s="171">
        <f t="shared" si="187"/>
        <v>3.2098880632703013</v>
      </c>
      <c r="AQ124" s="171">
        <f t="shared" si="187"/>
        <v>3.2098880632703013</v>
      </c>
      <c r="AR124" s="171">
        <f t="shared" si="187"/>
        <v>3.2098880632703013</v>
      </c>
      <c r="AS124" s="171">
        <f t="shared" si="187"/>
        <v>3.2098880632703013</v>
      </c>
      <c r="AT124" s="171">
        <f t="shared" si="187"/>
        <v>3.2098880632703013</v>
      </c>
      <c r="AU124" s="171">
        <f t="shared" si="188"/>
        <v>3.2098880632703013</v>
      </c>
      <c r="AV124" s="171">
        <f t="shared" si="188"/>
        <v>3.2098880632703013</v>
      </c>
      <c r="AW124" s="171">
        <f t="shared" si="188"/>
        <v>3.2098880632703013</v>
      </c>
      <c r="AX124" s="171">
        <f t="shared" si="188"/>
        <v>3.2098880632703013</v>
      </c>
      <c r="AY124" s="171">
        <f t="shared" si="188"/>
        <v>3.2098880632703013</v>
      </c>
      <c r="AZ124" s="171">
        <f t="shared" si="188"/>
        <v>3.2098880632703013</v>
      </c>
      <c r="BA124" s="171">
        <f t="shared" si="188"/>
        <v>3.2098880632703013</v>
      </c>
      <c r="BB124" s="171">
        <f t="shared" si="188"/>
        <v>3.2098880632703013</v>
      </c>
      <c r="BC124" s="171">
        <f t="shared" si="188"/>
        <v>0</v>
      </c>
      <c r="BD124" s="171">
        <f t="shared" si="188"/>
        <v>0</v>
      </c>
      <c r="BE124" s="171">
        <f t="shared" si="189"/>
        <v>0</v>
      </c>
      <c r="BF124" s="171">
        <f t="shared" si="189"/>
        <v>0</v>
      </c>
      <c r="BG124" s="171">
        <f t="shared" si="189"/>
        <v>0</v>
      </c>
      <c r="BH124" s="171">
        <f t="shared" si="189"/>
        <v>0</v>
      </c>
      <c r="BI124" s="171">
        <f t="shared" si="189"/>
        <v>0</v>
      </c>
      <c r="BJ124" s="171">
        <f t="shared" si="189"/>
        <v>0</v>
      </c>
      <c r="BK124" s="171">
        <f t="shared" si="189"/>
        <v>0</v>
      </c>
      <c r="BL124" s="171">
        <f t="shared" si="189"/>
        <v>0</v>
      </c>
      <c r="BM124" s="171">
        <f t="shared" si="189"/>
        <v>0</v>
      </c>
      <c r="BN124" s="171">
        <f t="shared" si="189"/>
        <v>0</v>
      </c>
      <c r="BO124" s="171">
        <f t="shared" si="190"/>
        <v>0</v>
      </c>
      <c r="BP124" s="171">
        <f t="shared" si="190"/>
        <v>0</v>
      </c>
      <c r="BQ124" s="171">
        <f t="shared" si="190"/>
        <v>0</v>
      </c>
      <c r="BR124" s="171">
        <f t="shared" si="190"/>
        <v>0</v>
      </c>
      <c r="BS124" s="171">
        <f t="shared" si="190"/>
        <v>0</v>
      </c>
      <c r="BT124" s="171">
        <f t="shared" si="190"/>
        <v>0</v>
      </c>
      <c r="BU124" s="171">
        <f t="shared" si="190"/>
        <v>0</v>
      </c>
      <c r="BV124" s="171">
        <f t="shared" si="190"/>
        <v>0</v>
      </c>
      <c r="BW124" s="171">
        <f t="shared" si="190"/>
        <v>0</v>
      </c>
      <c r="BX124" s="171">
        <f t="shared" si="190"/>
        <v>0</v>
      </c>
      <c r="BY124" s="171">
        <f t="shared" si="191"/>
        <v>0</v>
      </c>
      <c r="BZ124" s="171">
        <f t="shared" si="191"/>
        <v>0</v>
      </c>
      <c r="CA124" s="171">
        <f t="shared" si="191"/>
        <v>0</v>
      </c>
      <c r="CB124" s="171">
        <f t="shared" si="191"/>
        <v>0</v>
      </c>
      <c r="CC124" s="171">
        <f t="shared" si="191"/>
        <v>0</v>
      </c>
      <c r="CD124" s="171">
        <f t="shared" si="191"/>
        <v>0</v>
      </c>
      <c r="CE124" s="171">
        <f t="shared" si="191"/>
        <v>0</v>
      </c>
      <c r="CF124" s="171">
        <f t="shared" si="191"/>
        <v>0</v>
      </c>
      <c r="CG124" s="171">
        <f t="shared" si="191"/>
        <v>0</v>
      </c>
      <c r="CH124" s="171">
        <f t="shared" si="191"/>
        <v>0</v>
      </c>
      <c r="CI124" s="171">
        <f t="shared" si="191"/>
        <v>0</v>
      </c>
      <c r="CJ124" s="243"/>
      <c r="CK124" s="171">
        <f t="shared" si="124"/>
        <v>0</v>
      </c>
      <c r="CL124" s="171">
        <f t="shared" si="125"/>
        <v>0</v>
      </c>
      <c r="CM124" s="171">
        <f t="shared" si="126"/>
        <v>0</v>
      </c>
      <c r="CN124" s="171">
        <f t="shared" si="127"/>
        <v>0</v>
      </c>
      <c r="CO124" s="171">
        <f t="shared" si="128"/>
        <v>1.1194518028125606</v>
      </c>
      <c r="CP124" s="171">
        <f t="shared" si="129"/>
        <v>1.1194518028125606</v>
      </c>
      <c r="CQ124" s="171">
        <f t="shared" si="130"/>
        <v>1.1194518028125606</v>
      </c>
      <c r="CR124" s="171">
        <f t="shared" si="131"/>
        <v>1.1194518028125606</v>
      </c>
      <c r="CS124" s="171">
        <f t="shared" si="132"/>
        <v>1.1194518028125606</v>
      </c>
      <c r="CT124" s="171">
        <f t="shared" si="133"/>
        <v>1.1194518028125606</v>
      </c>
      <c r="CU124" s="171">
        <f t="shared" si="134"/>
        <v>1.1194518028125606</v>
      </c>
      <c r="CV124" s="171">
        <f t="shared" si="135"/>
        <v>3.2098880632703013</v>
      </c>
      <c r="CW124" s="171">
        <f t="shared" si="136"/>
        <v>3.2098880632703013</v>
      </c>
      <c r="CX124" s="171">
        <f t="shared" si="137"/>
        <v>3.2098880632703013</v>
      </c>
      <c r="CY124" s="171">
        <f t="shared" ca="1" si="138"/>
        <v>3.0473623458810608</v>
      </c>
      <c r="CZ124" s="171">
        <f t="shared" ca="1" si="139"/>
        <v>2.8930657655496321</v>
      </c>
      <c r="DA124" s="171">
        <f t="shared" ca="1" si="140"/>
        <v>2.7465816577763662</v>
      </c>
      <c r="DB124" s="171">
        <f t="shared" ca="1" si="141"/>
        <v>2.6075144549644889</v>
      </c>
      <c r="DC124" s="171">
        <f t="shared" ca="1" si="142"/>
        <v>2.4754886182242024</v>
      </c>
      <c r="DD124" s="171">
        <f t="shared" ca="1" si="143"/>
        <v>2.3501476232625631</v>
      </c>
      <c r="DE124" s="171">
        <f t="shared" ca="1" si="144"/>
        <v>2.2311529976206277</v>
      </c>
      <c r="DF124" s="171">
        <f t="shared" ca="1" si="145"/>
        <v>2.1181834066580061</v>
      </c>
      <c r="DG124" s="171">
        <f t="shared" ca="1" si="146"/>
        <v>2.0109337858166056</v>
      </c>
      <c r="DH124" s="171">
        <f t="shared" ca="1" si="147"/>
        <v>1.9091145168203134</v>
      </c>
      <c r="DI124" s="171">
        <f t="shared" ca="1" si="148"/>
        <v>1.8124506455860263</v>
      </c>
      <c r="DJ124" s="171">
        <f t="shared" ca="1" si="149"/>
        <v>1.7206811397340536</v>
      </c>
      <c r="DK124" s="171">
        <f t="shared" ca="1" si="150"/>
        <v>1.6335581836928714</v>
      </c>
      <c r="DL124" s="171">
        <f t="shared" ca="1" si="151"/>
        <v>1.5508465094947197</v>
      </c>
      <c r="DM124" s="171">
        <f t="shared" ca="1" si="152"/>
        <v>0</v>
      </c>
      <c r="DN124" s="171">
        <f t="shared" ca="1" si="153"/>
        <v>0</v>
      </c>
      <c r="DO124" s="171">
        <f t="shared" ca="1" si="154"/>
        <v>0</v>
      </c>
      <c r="DP124" s="171">
        <f t="shared" ca="1" si="155"/>
        <v>0</v>
      </c>
      <c r="DQ124" s="171">
        <f t="shared" ca="1" si="156"/>
        <v>0</v>
      </c>
      <c r="DR124" s="171">
        <f t="shared" ca="1" si="157"/>
        <v>0</v>
      </c>
      <c r="DS124" s="171">
        <f t="shared" ca="1" si="158"/>
        <v>0</v>
      </c>
      <c r="DT124" s="171">
        <f t="shared" ca="1" si="159"/>
        <v>0</v>
      </c>
      <c r="DU124" s="171">
        <f t="shared" ca="1" si="160"/>
        <v>0</v>
      </c>
      <c r="DV124" s="171">
        <f t="shared" ca="1" si="161"/>
        <v>0</v>
      </c>
      <c r="DW124" s="171">
        <f t="shared" ca="1" si="162"/>
        <v>0</v>
      </c>
      <c r="DX124" s="171">
        <f t="shared" ca="1" si="163"/>
        <v>0</v>
      </c>
      <c r="DY124" s="171">
        <f t="shared" ca="1" si="164"/>
        <v>0</v>
      </c>
      <c r="DZ124" s="171">
        <f t="shared" ca="1" si="165"/>
        <v>0</v>
      </c>
      <c r="EA124" s="171">
        <f t="shared" ca="1" si="166"/>
        <v>0</v>
      </c>
      <c r="EB124" s="171">
        <f t="shared" ca="1" si="167"/>
        <v>0</v>
      </c>
      <c r="EC124" s="171">
        <f t="shared" ca="1" si="168"/>
        <v>0</v>
      </c>
      <c r="ED124" s="171">
        <f t="shared" ca="1" si="169"/>
        <v>0</v>
      </c>
      <c r="EE124" s="171">
        <f t="shared" ca="1" si="170"/>
        <v>0</v>
      </c>
      <c r="EF124" s="171">
        <f t="shared" ca="1" si="171"/>
        <v>0</v>
      </c>
      <c r="EG124" s="171">
        <f t="shared" ca="1" si="172"/>
        <v>0</v>
      </c>
      <c r="EH124" s="171">
        <f t="shared" ca="1" si="173"/>
        <v>0</v>
      </c>
      <c r="EI124" s="171">
        <f t="shared" ca="1" si="174"/>
        <v>0</v>
      </c>
      <c r="EJ124" s="171">
        <f t="shared" ca="1" si="175"/>
        <v>0</v>
      </c>
      <c r="EK124" s="171">
        <f t="shared" ca="1" si="176"/>
        <v>0</v>
      </c>
      <c r="EL124" s="171">
        <f t="shared" ca="1" si="177"/>
        <v>0</v>
      </c>
      <c r="EM124" s="171">
        <f t="shared" ca="1" si="178"/>
        <v>0</v>
      </c>
      <c r="EN124" s="171">
        <f t="shared" ca="1" si="179"/>
        <v>0</v>
      </c>
      <c r="EO124" s="171">
        <f t="shared" ca="1" si="180"/>
        <v>0</v>
      </c>
      <c r="EP124" s="171">
        <f t="shared" ca="1" si="181"/>
        <v>0</v>
      </c>
      <c r="EQ124" s="171">
        <f t="shared" ca="1" si="182"/>
        <v>0</v>
      </c>
      <c r="ER124" s="171">
        <f t="shared" ca="1" si="183"/>
        <v>0</v>
      </c>
      <c r="ES124" s="171">
        <f t="shared" ca="1" si="184"/>
        <v>0</v>
      </c>
    </row>
    <row r="125" spans="1:149">
      <c r="A125" s="139" t="s">
        <v>483</v>
      </c>
      <c r="B125" s="160" t="s">
        <v>488</v>
      </c>
      <c r="C125" s="160" t="s">
        <v>460</v>
      </c>
      <c r="D125" s="160" t="s">
        <v>394</v>
      </c>
      <c r="E125" s="160">
        <v>2014</v>
      </c>
      <c r="F125" s="194" t="s">
        <v>395</v>
      </c>
      <c r="G125" s="160" t="s">
        <v>289</v>
      </c>
      <c r="H125" s="194" t="s">
        <v>396</v>
      </c>
      <c r="I125" s="199" t="s">
        <v>176</v>
      </c>
      <c r="J125" s="194" t="s">
        <v>397</v>
      </c>
      <c r="K125" s="187">
        <v>21.27</v>
      </c>
      <c r="L125" s="163" t="s">
        <v>110</v>
      </c>
      <c r="M125" s="164">
        <f t="shared" si="115"/>
        <v>21.27</v>
      </c>
      <c r="N125" s="164">
        <f t="shared" si="116"/>
        <v>21.27</v>
      </c>
      <c r="O125" s="165">
        <f t="shared" si="117"/>
        <v>1</v>
      </c>
      <c r="P125" s="190">
        <v>0.16</v>
      </c>
      <c r="Q125" s="177">
        <v>25</v>
      </c>
      <c r="R125" s="168">
        <f t="shared" si="118"/>
        <v>15</v>
      </c>
      <c r="S125" s="178">
        <v>0</v>
      </c>
      <c r="T125" s="160" t="s">
        <v>289</v>
      </c>
      <c r="U125" s="171">
        <f t="shared" si="119"/>
        <v>3.5393279999999989</v>
      </c>
      <c r="V125" s="171">
        <f t="shared" ca="1" si="120"/>
        <v>2.8022166848121124</v>
      </c>
      <c r="W125" s="171">
        <f t="shared" ca="1" si="185"/>
        <v>70.055417120302806</v>
      </c>
      <c r="X125" s="172" t="str">
        <f t="shared" si="121"/>
        <v>Equity</v>
      </c>
      <c r="Y125" s="172" t="str">
        <f t="shared" si="122"/>
        <v>Equity</v>
      </c>
      <c r="Z125" s="173">
        <f t="shared" si="123"/>
        <v>88.483199999999968</v>
      </c>
      <c r="AA125" s="171">
        <f t="shared" si="186"/>
        <v>0</v>
      </c>
      <c r="AB125" s="171">
        <f t="shared" si="186"/>
        <v>0</v>
      </c>
      <c r="AC125" s="171">
        <f t="shared" si="186"/>
        <v>0</v>
      </c>
      <c r="AD125" s="171">
        <f t="shared" si="186"/>
        <v>0</v>
      </c>
      <c r="AE125" s="171">
        <f t="shared" si="186"/>
        <v>3.4032</v>
      </c>
      <c r="AF125" s="171">
        <f t="shared" si="186"/>
        <v>3.4032</v>
      </c>
      <c r="AG125" s="171">
        <f t="shared" si="186"/>
        <v>3.4032</v>
      </c>
      <c r="AH125" s="171">
        <f t="shared" si="186"/>
        <v>3.4032</v>
      </c>
      <c r="AI125" s="171">
        <f t="shared" si="186"/>
        <v>3.4032</v>
      </c>
      <c r="AJ125" s="171">
        <f t="shared" si="186"/>
        <v>3.4032</v>
      </c>
      <c r="AK125" s="171">
        <f t="shared" si="187"/>
        <v>3.4032</v>
      </c>
      <c r="AL125" s="171">
        <f t="shared" si="187"/>
        <v>3.4032</v>
      </c>
      <c r="AM125" s="171">
        <f t="shared" si="187"/>
        <v>3.4032</v>
      </c>
      <c r="AN125" s="171">
        <f t="shared" si="187"/>
        <v>3.4032</v>
      </c>
      <c r="AO125" s="171">
        <f t="shared" si="187"/>
        <v>3.4032</v>
      </c>
      <c r="AP125" s="171">
        <f t="shared" si="187"/>
        <v>3.4032</v>
      </c>
      <c r="AQ125" s="171">
        <f t="shared" si="187"/>
        <v>3.4032</v>
      </c>
      <c r="AR125" s="171">
        <f t="shared" si="187"/>
        <v>3.4032</v>
      </c>
      <c r="AS125" s="171">
        <f t="shared" si="187"/>
        <v>3.4032</v>
      </c>
      <c r="AT125" s="171">
        <f t="shared" si="187"/>
        <v>3.4032</v>
      </c>
      <c r="AU125" s="171">
        <f t="shared" si="188"/>
        <v>3.4032</v>
      </c>
      <c r="AV125" s="171">
        <f t="shared" si="188"/>
        <v>3.4032</v>
      </c>
      <c r="AW125" s="171">
        <f t="shared" si="188"/>
        <v>3.4032</v>
      </c>
      <c r="AX125" s="171">
        <f t="shared" si="188"/>
        <v>3.4032</v>
      </c>
      <c r="AY125" s="171">
        <f t="shared" si="188"/>
        <v>3.4032</v>
      </c>
      <c r="AZ125" s="171">
        <f t="shared" si="188"/>
        <v>3.4032</v>
      </c>
      <c r="BA125" s="171">
        <f t="shared" si="188"/>
        <v>3.4032</v>
      </c>
      <c r="BB125" s="171">
        <f t="shared" si="188"/>
        <v>3.4032</v>
      </c>
      <c r="BC125" s="171">
        <f t="shared" si="188"/>
        <v>3.4032</v>
      </c>
      <c r="BD125" s="171">
        <f t="shared" si="188"/>
        <v>3.4032</v>
      </c>
      <c r="BE125" s="171">
        <f t="shared" si="189"/>
        <v>0</v>
      </c>
      <c r="BF125" s="171">
        <f t="shared" si="189"/>
        <v>0</v>
      </c>
      <c r="BG125" s="171">
        <f t="shared" si="189"/>
        <v>0</v>
      </c>
      <c r="BH125" s="171">
        <f t="shared" si="189"/>
        <v>0</v>
      </c>
      <c r="BI125" s="171">
        <f t="shared" si="189"/>
        <v>0</v>
      </c>
      <c r="BJ125" s="171">
        <f t="shared" si="189"/>
        <v>0</v>
      </c>
      <c r="BK125" s="171">
        <f t="shared" si="189"/>
        <v>0</v>
      </c>
      <c r="BL125" s="171">
        <f t="shared" si="189"/>
        <v>0</v>
      </c>
      <c r="BM125" s="171">
        <f t="shared" si="189"/>
        <v>0</v>
      </c>
      <c r="BN125" s="171">
        <f t="shared" si="189"/>
        <v>0</v>
      </c>
      <c r="BO125" s="171">
        <f t="shared" si="190"/>
        <v>0</v>
      </c>
      <c r="BP125" s="171">
        <f t="shared" si="190"/>
        <v>0</v>
      </c>
      <c r="BQ125" s="171">
        <f t="shared" si="190"/>
        <v>0</v>
      </c>
      <c r="BR125" s="171">
        <f t="shared" si="190"/>
        <v>0</v>
      </c>
      <c r="BS125" s="171">
        <f t="shared" si="190"/>
        <v>0</v>
      </c>
      <c r="BT125" s="171">
        <f t="shared" si="190"/>
        <v>0</v>
      </c>
      <c r="BU125" s="171">
        <f t="shared" si="190"/>
        <v>0</v>
      </c>
      <c r="BV125" s="171">
        <f t="shared" si="190"/>
        <v>0</v>
      </c>
      <c r="BW125" s="171">
        <f t="shared" si="190"/>
        <v>0</v>
      </c>
      <c r="BX125" s="171">
        <f t="shared" si="190"/>
        <v>0</v>
      </c>
      <c r="BY125" s="171">
        <f t="shared" si="191"/>
        <v>0</v>
      </c>
      <c r="BZ125" s="171">
        <f t="shared" si="191"/>
        <v>0</v>
      </c>
      <c r="CA125" s="171">
        <f t="shared" si="191"/>
        <v>0</v>
      </c>
      <c r="CB125" s="171">
        <f t="shared" si="191"/>
        <v>0</v>
      </c>
      <c r="CC125" s="171">
        <f t="shared" si="191"/>
        <v>0</v>
      </c>
      <c r="CD125" s="171">
        <f t="shared" si="191"/>
        <v>0</v>
      </c>
      <c r="CE125" s="171">
        <f t="shared" si="191"/>
        <v>0</v>
      </c>
      <c r="CF125" s="171">
        <f t="shared" si="191"/>
        <v>0</v>
      </c>
      <c r="CG125" s="171">
        <f t="shared" si="191"/>
        <v>0</v>
      </c>
      <c r="CH125" s="171">
        <f t="shared" si="191"/>
        <v>0</v>
      </c>
      <c r="CI125" s="171">
        <f t="shared" si="191"/>
        <v>0</v>
      </c>
      <c r="CJ125" s="243"/>
      <c r="CK125" s="171">
        <f t="shared" si="124"/>
        <v>0</v>
      </c>
      <c r="CL125" s="171">
        <f t="shared" si="125"/>
        <v>0</v>
      </c>
      <c r="CM125" s="171">
        <f t="shared" si="126"/>
        <v>0</v>
      </c>
      <c r="CN125" s="171">
        <f t="shared" si="127"/>
        <v>0</v>
      </c>
      <c r="CO125" s="171">
        <f t="shared" si="128"/>
        <v>3.4032</v>
      </c>
      <c r="CP125" s="171">
        <f t="shared" si="129"/>
        <v>3.4032</v>
      </c>
      <c r="CQ125" s="171">
        <f t="shared" si="130"/>
        <v>3.4032</v>
      </c>
      <c r="CR125" s="171">
        <f t="shared" si="131"/>
        <v>3.4032</v>
      </c>
      <c r="CS125" s="171">
        <f t="shared" si="132"/>
        <v>3.4032</v>
      </c>
      <c r="CT125" s="171">
        <f t="shared" si="133"/>
        <v>3.4032</v>
      </c>
      <c r="CU125" s="171">
        <f t="shared" si="134"/>
        <v>3.4032</v>
      </c>
      <c r="CV125" s="171">
        <f t="shared" si="135"/>
        <v>3.4032</v>
      </c>
      <c r="CW125" s="171">
        <f t="shared" si="136"/>
        <v>3.4032</v>
      </c>
      <c r="CX125" s="171">
        <f t="shared" si="137"/>
        <v>3.4032</v>
      </c>
      <c r="CY125" s="171">
        <f t="shared" ca="1" si="138"/>
        <v>3.2308863521354243</v>
      </c>
      <c r="CZ125" s="171">
        <f t="shared" ca="1" si="139"/>
        <v>3.0672974319507955</v>
      </c>
      <c r="DA125" s="171">
        <f t="shared" ca="1" si="140"/>
        <v>2.9119914817906265</v>
      </c>
      <c r="DB125" s="171">
        <f t="shared" ca="1" si="141"/>
        <v>2.7645491114398051</v>
      </c>
      <c r="DC125" s="171">
        <f t="shared" ca="1" si="142"/>
        <v>2.6245721655967853</v>
      </c>
      <c r="DD125" s="171">
        <f t="shared" ca="1" si="143"/>
        <v>2.491682648689812</v>
      </c>
      <c r="DE125" s="171">
        <f t="shared" ca="1" si="144"/>
        <v>2.3655217041327452</v>
      </c>
      <c r="DF125" s="171">
        <f t="shared" ca="1" si="145"/>
        <v>2.2457486452640505</v>
      </c>
      <c r="DG125" s="171">
        <f t="shared" ca="1" si="146"/>
        <v>2.1320400353520923</v>
      </c>
      <c r="DH125" s="171">
        <f t="shared" ca="1" si="147"/>
        <v>2.0240888141823583</v>
      </c>
      <c r="DI125" s="171">
        <f t="shared" ca="1" si="148"/>
        <v>1.9216034688680521</v>
      </c>
      <c r="DJ125" s="171">
        <f t="shared" ca="1" si="149"/>
        <v>1.8243072466448866</v>
      </c>
      <c r="DK125" s="171">
        <f t="shared" ca="1" si="150"/>
        <v>1.7319374075243055</v>
      </c>
      <c r="DL125" s="171">
        <f t="shared" ca="1" si="151"/>
        <v>1.6442445147869909</v>
      </c>
      <c r="DM125" s="171">
        <f t="shared" ca="1" si="152"/>
        <v>1.5609917614006881</v>
      </c>
      <c r="DN125" s="171">
        <f t="shared" ca="1" si="153"/>
        <v>1.4819543305434058</v>
      </c>
      <c r="DO125" s="171">
        <f t="shared" ca="1" si="154"/>
        <v>0</v>
      </c>
      <c r="DP125" s="171">
        <f t="shared" ca="1" si="155"/>
        <v>0</v>
      </c>
      <c r="DQ125" s="171">
        <f t="shared" ca="1" si="156"/>
        <v>0</v>
      </c>
      <c r="DR125" s="171">
        <f t="shared" ca="1" si="157"/>
        <v>0</v>
      </c>
      <c r="DS125" s="171">
        <f t="shared" ca="1" si="158"/>
        <v>0</v>
      </c>
      <c r="DT125" s="171">
        <f t="shared" ca="1" si="159"/>
        <v>0</v>
      </c>
      <c r="DU125" s="171">
        <f t="shared" ca="1" si="160"/>
        <v>0</v>
      </c>
      <c r="DV125" s="171">
        <f t="shared" ca="1" si="161"/>
        <v>0</v>
      </c>
      <c r="DW125" s="171">
        <f t="shared" ca="1" si="162"/>
        <v>0</v>
      </c>
      <c r="DX125" s="171">
        <f t="shared" ca="1" si="163"/>
        <v>0</v>
      </c>
      <c r="DY125" s="171">
        <f t="shared" ca="1" si="164"/>
        <v>0</v>
      </c>
      <c r="DZ125" s="171">
        <f t="shared" ca="1" si="165"/>
        <v>0</v>
      </c>
      <c r="EA125" s="171">
        <f t="shared" ca="1" si="166"/>
        <v>0</v>
      </c>
      <c r="EB125" s="171">
        <f t="shared" ca="1" si="167"/>
        <v>0</v>
      </c>
      <c r="EC125" s="171">
        <f t="shared" ca="1" si="168"/>
        <v>0</v>
      </c>
      <c r="ED125" s="171">
        <f t="shared" ca="1" si="169"/>
        <v>0</v>
      </c>
      <c r="EE125" s="171">
        <f t="shared" ca="1" si="170"/>
        <v>0</v>
      </c>
      <c r="EF125" s="171">
        <f t="shared" ca="1" si="171"/>
        <v>0</v>
      </c>
      <c r="EG125" s="171">
        <f t="shared" ca="1" si="172"/>
        <v>0</v>
      </c>
      <c r="EH125" s="171">
        <f t="shared" ca="1" si="173"/>
        <v>0</v>
      </c>
      <c r="EI125" s="171">
        <f t="shared" ca="1" si="174"/>
        <v>0</v>
      </c>
      <c r="EJ125" s="171">
        <f t="shared" ca="1" si="175"/>
        <v>0</v>
      </c>
      <c r="EK125" s="171">
        <f t="shared" ca="1" si="176"/>
        <v>0</v>
      </c>
      <c r="EL125" s="171">
        <f t="shared" ca="1" si="177"/>
        <v>0</v>
      </c>
      <c r="EM125" s="171">
        <f t="shared" ca="1" si="178"/>
        <v>0</v>
      </c>
      <c r="EN125" s="171">
        <f t="shared" ca="1" si="179"/>
        <v>0</v>
      </c>
      <c r="EO125" s="171">
        <f t="shared" ca="1" si="180"/>
        <v>0</v>
      </c>
      <c r="EP125" s="171">
        <f t="shared" ca="1" si="181"/>
        <v>0</v>
      </c>
      <c r="EQ125" s="171">
        <f t="shared" ca="1" si="182"/>
        <v>0</v>
      </c>
      <c r="ER125" s="171">
        <f t="shared" ca="1" si="183"/>
        <v>0</v>
      </c>
      <c r="ES125" s="171">
        <f t="shared" ca="1" si="184"/>
        <v>0</v>
      </c>
    </row>
    <row r="126" spans="1:149">
      <c r="A126" s="139" t="s">
        <v>483</v>
      </c>
      <c r="B126" s="160" t="s">
        <v>489</v>
      </c>
      <c r="C126" s="160" t="s">
        <v>460</v>
      </c>
      <c r="D126" s="160" t="s">
        <v>394</v>
      </c>
      <c r="E126" s="160">
        <v>2014</v>
      </c>
      <c r="F126" s="194" t="s">
        <v>395</v>
      </c>
      <c r="G126" s="160" t="s">
        <v>289</v>
      </c>
      <c r="H126" s="194" t="s">
        <v>396</v>
      </c>
      <c r="I126" s="199" t="s">
        <v>176</v>
      </c>
      <c r="J126" s="194" t="s">
        <v>397</v>
      </c>
      <c r="K126" s="187">
        <v>21.27</v>
      </c>
      <c r="L126" s="163" t="s">
        <v>110</v>
      </c>
      <c r="M126" s="164">
        <f t="shared" si="115"/>
        <v>21.27</v>
      </c>
      <c r="N126" s="164">
        <f t="shared" si="116"/>
        <v>21.27</v>
      </c>
      <c r="O126" s="165">
        <f t="shared" si="117"/>
        <v>1</v>
      </c>
      <c r="P126" s="190">
        <v>0.16</v>
      </c>
      <c r="Q126" s="177">
        <v>25</v>
      </c>
      <c r="R126" s="168">
        <f t="shared" si="118"/>
        <v>15</v>
      </c>
      <c r="S126" s="178">
        <v>0</v>
      </c>
      <c r="T126" s="160" t="s">
        <v>289</v>
      </c>
      <c r="U126" s="171">
        <f t="shared" si="119"/>
        <v>3.5393279999999989</v>
      </c>
      <c r="V126" s="171">
        <f t="shared" ca="1" si="120"/>
        <v>2.8022166848121124</v>
      </c>
      <c r="W126" s="171">
        <f t="shared" ca="1" si="185"/>
        <v>70.055417120302806</v>
      </c>
      <c r="X126" s="172" t="str">
        <f t="shared" si="121"/>
        <v>Equity</v>
      </c>
      <c r="Y126" s="172" t="str">
        <f t="shared" si="122"/>
        <v>Equity</v>
      </c>
      <c r="Z126" s="173">
        <f t="shared" si="123"/>
        <v>88.483199999999968</v>
      </c>
      <c r="AA126" s="171">
        <f t="shared" si="186"/>
        <v>0</v>
      </c>
      <c r="AB126" s="171">
        <f t="shared" si="186"/>
        <v>0</v>
      </c>
      <c r="AC126" s="171">
        <f t="shared" si="186"/>
        <v>0</v>
      </c>
      <c r="AD126" s="171">
        <f t="shared" si="186"/>
        <v>0</v>
      </c>
      <c r="AE126" s="171">
        <f t="shared" si="186"/>
        <v>3.4032</v>
      </c>
      <c r="AF126" s="171">
        <f t="shared" si="186"/>
        <v>3.4032</v>
      </c>
      <c r="AG126" s="171">
        <f t="shared" si="186"/>
        <v>3.4032</v>
      </c>
      <c r="AH126" s="171">
        <f t="shared" si="186"/>
        <v>3.4032</v>
      </c>
      <c r="AI126" s="171">
        <f t="shared" si="186"/>
        <v>3.4032</v>
      </c>
      <c r="AJ126" s="171">
        <f t="shared" si="186"/>
        <v>3.4032</v>
      </c>
      <c r="AK126" s="171">
        <f t="shared" si="187"/>
        <v>3.4032</v>
      </c>
      <c r="AL126" s="171">
        <f t="shared" si="187"/>
        <v>3.4032</v>
      </c>
      <c r="AM126" s="171">
        <f t="shared" si="187"/>
        <v>3.4032</v>
      </c>
      <c r="AN126" s="171">
        <f t="shared" si="187"/>
        <v>3.4032</v>
      </c>
      <c r="AO126" s="171">
        <f t="shared" si="187"/>
        <v>3.4032</v>
      </c>
      <c r="AP126" s="171">
        <f t="shared" si="187"/>
        <v>3.4032</v>
      </c>
      <c r="AQ126" s="171">
        <f t="shared" si="187"/>
        <v>3.4032</v>
      </c>
      <c r="AR126" s="171">
        <f t="shared" si="187"/>
        <v>3.4032</v>
      </c>
      <c r="AS126" s="171">
        <f t="shared" si="187"/>
        <v>3.4032</v>
      </c>
      <c r="AT126" s="171">
        <f t="shared" si="187"/>
        <v>3.4032</v>
      </c>
      <c r="AU126" s="171">
        <f t="shared" si="188"/>
        <v>3.4032</v>
      </c>
      <c r="AV126" s="171">
        <f t="shared" si="188"/>
        <v>3.4032</v>
      </c>
      <c r="AW126" s="171">
        <f t="shared" si="188"/>
        <v>3.4032</v>
      </c>
      <c r="AX126" s="171">
        <f t="shared" si="188"/>
        <v>3.4032</v>
      </c>
      <c r="AY126" s="171">
        <f t="shared" si="188"/>
        <v>3.4032</v>
      </c>
      <c r="AZ126" s="171">
        <f t="shared" si="188"/>
        <v>3.4032</v>
      </c>
      <c r="BA126" s="171">
        <f t="shared" si="188"/>
        <v>3.4032</v>
      </c>
      <c r="BB126" s="171">
        <f t="shared" si="188"/>
        <v>3.4032</v>
      </c>
      <c r="BC126" s="171">
        <f t="shared" si="188"/>
        <v>3.4032</v>
      </c>
      <c r="BD126" s="171">
        <f t="shared" si="188"/>
        <v>3.4032</v>
      </c>
      <c r="BE126" s="171">
        <f t="shared" si="189"/>
        <v>0</v>
      </c>
      <c r="BF126" s="171">
        <f t="shared" si="189"/>
        <v>0</v>
      </c>
      <c r="BG126" s="171">
        <f t="shared" si="189"/>
        <v>0</v>
      </c>
      <c r="BH126" s="171">
        <f t="shared" si="189"/>
        <v>0</v>
      </c>
      <c r="BI126" s="171">
        <f t="shared" si="189"/>
        <v>0</v>
      </c>
      <c r="BJ126" s="171">
        <f t="shared" si="189"/>
        <v>0</v>
      </c>
      <c r="BK126" s="171">
        <f t="shared" si="189"/>
        <v>0</v>
      </c>
      <c r="BL126" s="171">
        <f t="shared" si="189"/>
        <v>0</v>
      </c>
      <c r="BM126" s="171">
        <f t="shared" si="189"/>
        <v>0</v>
      </c>
      <c r="BN126" s="171">
        <f t="shared" si="189"/>
        <v>0</v>
      </c>
      <c r="BO126" s="171">
        <f t="shared" si="190"/>
        <v>0</v>
      </c>
      <c r="BP126" s="171">
        <f t="shared" si="190"/>
        <v>0</v>
      </c>
      <c r="BQ126" s="171">
        <f t="shared" si="190"/>
        <v>0</v>
      </c>
      <c r="BR126" s="171">
        <f t="shared" si="190"/>
        <v>0</v>
      </c>
      <c r="BS126" s="171">
        <f t="shared" si="190"/>
        <v>0</v>
      </c>
      <c r="BT126" s="171">
        <f t="shared" si="190"/>
        <v>0</v>
      </c>
      <c r="BU126" s="171">
        <f t="shared" si="190"/>
        <v>0</v>
      </c>
      <c r="BV126" s="171">
        <f t="shared" si="190"/>
        <v>0</v>
      </c>
      <c r="BW126" s="171">
        <f t="shared" si="190"/>
        <v>0</v>
      </c>
      <c r="BX126" s="171">
        <f t="shared" si="190"/>
        <v>0</v>
      </c>
      <c r="BY126" s="171">
        <f t="shared" si="191"/>
        <v>0</v>
      </c>
      <c r="BZ126" s="171">
        <f t="shared" si="191"/>
        <v>0</v>
      </c>
      <c r="CA126" s="171">
        <f t="shared" si="191"/>
        <v>0</v>
      </c>
      <c r="CB126" s="171">
        <f t="shared" si="191"/>
        <v>0</v>
      </c>
      <c r="CC126" s="171">
        <f t="shared" si="191"/>
        <v>0</v>
      </c>
      <c r="CD126" s="171">
        <f t="shared" si="191"/>
        <v>0</v>
      </c>
      <c r="CE126" s="171">
        <f t="shared" si="191"/>
        <v>0</v>
      </c>
      <c r="CF126" s="171">
        <f t="shared" si="191"/>
        <v>0</v>
      </c>
      <c r="CG126" s="171">
        <f t="shared" si="191"/>
        <v>0</v>
      </c>
      <c r="CH126" s="171">
        <f t="shared" si="191"/>
        <v>0</v>
      </c>
      <c r="CI126" s="171">
        <f t="shared" si="191"/>
        <v>0</v>
      </c>
      <c r="CJ126" s="243"/>
      <c r="CK126" s="171">
        <f t="shared" si="124"/>
        <v>0</v>
      </c>
      <c r="CL126" s="171">
        <f t="shared" si="125"/>
        <v>0</v>
      </c>
      <c r="CM126" s="171">
        <f t="shared" si="126"/>
        <v>0</v>
      </c>
      <c r="CN126" s="171">
        <f t="shared" si="127"/>
        <v>0</v>
      </c>
      <c r="CO126" s="171">
        <f t="shared" si="128"/>
        <v>3.4032</v>
      </c>
      <c r="CP126" s="171">
        <f t="shared" si="129"/>
        <v>3.4032</v>
      </c>
      <c r="CQ126" s="171">
        <f t="shared" si="130"/>
        <v>3.4032</v>
      </c>
      <c r="CR126" s="171">
        <f t="shared" si="131"/>
        <v>3.4032</v>
      </c>
      <c r="CS126" s="171">
        <f t="shared" si="132"/>
        <v>3.4032</v>
      </c>
      <c r="CT126" s="171">
        <f t="shared" si="133"/>
        <v>3.4032</v>
      </c>
      <c r="CU126" s="171">
        <f t="shared" si="134"/>
        <v>3.4032</v>
      </c>
      <c r="CV126" s="171">
        <f t="shared" si="135"/>
        <v>3.4032</v>
      </c>
      <c r="CW126" s="171">
        <f t="shared" si="136"/>
        <v>3.4032</v>
      </c>
      <c r="CX126" s="171">
        <f t="shared" si="137"/>
        <v>3.4032</v>
      </c>
      <c r="CY126" s="171">
        <f t="shared" ca="1" si="138"/>
        <v>3.2308863521354243</v>
      </c>
      <c r="CZ126" s="171">
        <f t="shared" ca="1" si="139"/>
        <v>3.0672974319507955</v>
      </c>
      <c r="DA126" s="171">
        <f t="shared" ca="1" si="140"/>
        <v>2.9119914817906265</v>
      </c>
      <c r="DB126" s="171">
        <f t="shared" ca="1" si="141"/>
        <v>2.7645491114398051</v>
      </c>
      <c r="DC126" s="171">
        <f t="shared" ca="1" si="142"/>
        <v>2.6245721655967853</v>
      </c>
      <c r="DD126" s="171">
        <f t="shared" ca="1" si="143"/>
        <v>2.491682648689812</v>
      </c>
      <c r="DE126" s="171">
        <f t="shared" ca="1" si="144"/>
        <v>2.3655217041327452</v>
      </c>
      <c r="DF126" s="171">
        <f t="shared" ca="1" si="145"/>
        <v>2.2457486452640505</v>
      </c>
      <c r="DG126" s="171">
        <f t="shared" ca="1" si="146"/>
        <v>2.1320400353520923</v>
      </c>
      <c r="DH126" s="171">
        <f t="shared" ca="1" si="147"/>
        <v>2.0240888141823583</v>
      </c>
      <c r="DI126" s="171">
        <f t="shared" ca="1" si="148"/>
        <v>1.9216034688680521</v>
      </c>
      <c r="DJ126" s="171">
        <f t="shared" ca="1" si="149"/>
        <v>1.8243072466448866</v>
      </c>
      <c r="DK126" s="171">
        <f t="shared" ca="1" si="150"/>
        <v>1.7319374075243055</v>
      </c>
      <c r="DL126" s="171">
        <f t="shared" ca="1" si="151"/>
        <v>1.6442445147869909</v>
      </c>
      <c r="DM126" s="171">
        <f t="shared" ca="1" si="152"/>
        <v>1.5609917614006881</v>
      </c>
      <c r="DN126" s="171">
        <f t="shared" ca="1" si="153"/>
        <v>1.4819543305434058</v>
      </c>
      <c r="DO126" s="171">
        <f t="shared" ca="1" si="154"/>
        <v>0</v>
      </c>
      <c r="DP126" s="171">
        <f t="shared" ca="1" si="155"/>
        <v>0</v>
      </c>
      <c r="DQ126" s="171">
        <f t="shared" ca="1" si="156"/>
        <v>0</v>
      </c>
      <c r="DR126" s="171">
        <f t="shared" ca="1" si="157"/>
        <v>0</v>
      </c>
      <c r="DS126" s="171">
        <f t="shared" ca="1" si="158"/>
        <v>0</v>
      </c>
      <c r="DT126" s="171">
        <f t="shared" ca="1" si="159"/>
        <v>0</v>
      </c>
      <c r="DU126" s="171">
        <f t="shared" ca="1" si="160"/>
        <v>0</v>
      </c>
      <c r="DV126" s="171">
        <f t="shared" ca="1" si="161"/>
        <v>0</v>
      </c>
      <c r="DW126" s="171">
        <f t="shared" ca="1" si="162"/>
        <v>0</v>
      </c>
      <c r="DX126" s="171">
        <f t="shared" ca="1" si="163"/>
        <v>0</v>
      </c>
      <c r="DY126" s="171">
        <f t="shared" ca="1" si="164"/>
        <v>0</v>
      </c>
      <c r="DZ126" s="171">
        <f t="shared" ca="1" si="165"/>
        <v>0</v>
      </c>
      <c r="EA126" s="171">
        <f t="shared" ca="1" si="166"/>
        <v>0</v>
      </c>
      <c r="EB126" s="171">
        <f t="shared" ca="1" si="167"/>
        <v>0</v>
      </c>
      <c r="EC126" s="171">
        <f t="shared" ca="1" si="168"/>
        <v>0</v>
      </c>
      <c r="ED126" s="171">
        <f t="shared" ca="1" si="169"/>
        <v>0</v>
      </c>
      <c r="EE126" s="171">
        <f t="shared" ca="1" si="170"/>
        <v>0</v>
      </c>
      <c r="EF126" s="171">
        <f t="shared" ca="1" si="171"/>
        <v>0</v>
      </c>
      <c r="EG126" s="171">
        <f t="shared" ca="1" si="172"/>
        <v>0</v>
      </c>
      <c r="EH126" s="171">
        <f t="shared" ca="1" si="173"/>
        <v>0</v>
      </c>
      <c r="EI126" s="171">
        <f t="shared" ca="1" si="174"/>
        <v>0</v>
      </c>
      <c r="EJ126" s="171">
        <f t="shared" ca="1" si="175"/>
        <v>0</v>
      </c>
      <c r="EK126" s="171">
        <f t="shared" ca="1" si="176"/>
        <v>0</v>
      </c>
      <c r="EL126" s="171">
        <f t="shared" ca="1" si="177"/>
        <v>0</v>
      </c>
      <c r="EM126" s="171">
        <f t="shared" ca="1" si="178"/>
        <v>0</v>
      </c>
      <c r="EN126" s="171">
        <f t="shared" ca="1" si="179"/>
        <v>0</v>
      </c>
      <c r="EO126" s="171">
        <f t="shared" ca="1" si="180"/>
        <v>0</v>
      </c>
      <c r="EP126" s="171">
        <f t="shared" ca="1" si="181"/>
        <v>0</v>
      </c>
      <c r="EQ126" s="171">
        <f t="shared" ca="1" si="182"/>
        <v>0</v>
      </c>
      <c r="ER126" s="171">
        <f t="shared" ca="1" si="183"/>
        <v>0</v>
      </c>
      <c r="ES126" s="171">
        <f t="shared" ca="1" si="184"/>
        <v>0</v>
      </c>
    </row>
    <row r="127" spans="1:149">
      <c r="A127" s="139" t="s">
        <v>483</v>
      </c>
      <c r="B127" s="160" t="s">
        <v>421</v>
      </c>
      <c r="C127" s="160" t="s">
        <v>460</v>
      </c>
      <c r="D127" s="160" t="s">
        <v>394</v>
      </c>
      <c r="E127" s="160">
        <v>2014</v>
      </c>
      <c r="F127" s="194" t="s">
        <v>395</v>
      </c>
      <c r="G127" s="174" t="s">
        <v>402</v>
      </c>
      <c r="H127" s="194" t="s">
        <v>396</v>
      </c>
      <c r="I127" s="199" t="s">
        <v>176</v>
      </c>
      <c r="J127" s="194" t="s">
        <v>397</v>
      </c>
      <c r="K127" s="187">
        <v>26.59</v>
      </c>
      <c r="L127" s="163" t="s">
        <v>110</v>
      </c>
      <c r="M127" s="164">
        <f t="shared" si="115"/>
        <v>26.59</v>
      </c>
      <c r="N127" s="164">
        <f t="shared" si="116"/>
        <v>26.59</v>
      </c>
      <c r="O127" s="165">
        <f t="shared" si="117"/>
        <v>1</v>
      </c>
      <c r="P127" s="180">
        <v>2.4058710569794983E-2</v>
      </c>
      <c r="Q127" s="183">
        <v>23.583342661777632</v>
      </c>
      <c r="R127" s="168">
        <f t="shared" si="118"/>
        <v>13.583342661777632</v>
      </c>
      <c r="S127" s="186">
        <v>6.5440636898279223</v>
      </c>
      <c r="T127" s="170" t="s">
        <v>403</v>
      </c>
      <c r="U127" s="171">
        <f t="shared" si="119"/>
        <v>1.5121475113023162</v>
      </c>
      <c r="V127" s="171">
        <f t="shared" ca="1" si="120"/>
        <v>1.1769934136552798</v>
      </c>
      <c r="W127" s="171">
        <f t="shared" ca="1" si="185"/>
        <v>27.757438984887845</v>
      </c>
      <c r="X127" s="172">
        <f t="shared" si="121"/>
        <v>0.20135495345148102</v>
      </c>
      <c r="Y127" s="172">
        <f t="shared" si="122"/>
        <v>0.79864504654851898</v>
      </c>
      <c r="Z127" s="173">
        <f t="shared" si="123"/>
        <v>35.661492914196785</v>
      </c>
      <c r="AA127" s="171">
        <f t="shared" si="186"/>
        <v>0</v>
      </c>
      <c r="AB127" s="171">
        <f t="shared" si="186"/>
        <v>0</v>
      </c>
      <c r="AC127" s="171">
        <f t="shared" si="186"/>
        <v>0</v>
      </c>
      <c r="AD127" s="171">
        <f t="shared" si="186"/>
        <v>0</v>
      </c>
      <c r="AE127" s="171">
        <f t="shared" si="186"/>
        <v>0.63972111405084853</v>
      </c>
      <c r="AF127" s="171">
        <f t="shared" si="186"/>
        <v>0.63972111405084853</v>
      </c>
      <c r="AG127" s="171">
        <f t="shared" si="186"/>
        <v>0.63972111405084853</v>
      </c>
      <c r="AH127" s="171">
        <f t="shared" si="186"/>
        <v>0.63972111405084853</v>
      </c>
      <c r="AI127" s="171">
        <f t="shared" si="186"/>
        <v>0.63972111405084853</v>
      </c>
      <c r="AJ127" s="171">
        <f t="shared" si="186"/>
        <v>0.63972111405084853</v>
      </c>
      <c r="AK127" s="171">
        <f t="shared" si="187"/>
        <v>0.63972111405084853</v>
      </c>
      <c r="AL127" s="171">
        <f t="shared" si="187"/>
        <v>1.8343203009318139</v>
      </c>
      <c r="AM127" s="171">
        <f t="shared" si="187"/>
        <v>1.8343203009318139</v>
      </c>
      <c r="AN127" s="171">
        <f t="shared" si="187"/>
        <v>1.8343203009318139</v>
      </c>
      <c r="AO127" s="171">
        <f t="shared" si="187"/>
        <v>1.8343203009318139</v>
      </c>
      <c r="AP127" s="171">
        <f t="shared" si="187"/>
        <v>1.8343203009318139</v>
      </c>
      <c r="AQ127" s="171">
        <f t="shared" si="187"/>
        <v>1.8343203009318139</v>
      </c>
      <c r="AR127" s="171">
        <f t="shared" si="187"/>
        <v>1.8343203009318139</v>
      </c>
      <c r="AS127" s="171">
        <f t="shared" si="187"/>
        <v>1.8343203009318139</v>
      </c>
      <c r="AT127" s="171">
        <f t="shared" si="187"/>
        <v>1.8343203009318139</v>
      </c>
      <c r="AU127" s="171">
        <f t="shared" si="188"/>
        <v>1.8343203009318139</v>
      </c>
      <c r="AV127" s="171">
        <f t="shared" si="188"/>
        <v>1.8343203009318139</v>
      </c>
      <c r="AW127" s="171">
        <f t="shared" si="188"/>
        <v>1.8343203009318139</v>
      </c>
      <c r="AX127" s="171">
        <f t="shared" si="188"/>
        <v>1.8343203009318139</v>
      </c>
      <c r="AY127" s="171">
        <f t="shared" si="188"/>
        <v>1.8343203009318139</v>
      </c>
      <c r="AZ127" s="171">
        <f t="shared" si="188"/>
        <v>1.8343203009318139</v>
      </c>
      <c r="BA127" s="171">
        <f t="shared" si="188"/>
        <v>1.8343203009318139</v>
      </c>
      <c r="BB127" s="171">
        <f t="shared" si="188"/>
        <v>1.8343203009318139</v>
      </c>
      <c r="BC127" s="171">
        <f t="shared" si="188"/>
        <v>0</v>
      </c>
      <c r="BD127" s="171">
        <f t="shared" si="188"/>
        <v>0</v>
      </c>
      <c r="BE127" s="171">
        <f t="shared" si="189"/>
        <v>0</v>
      </c>
      <c r="BF127" s="171">
        <f t="shared" si="189"/>
        <v>0</v>
      </c>
      <c r="BG127" s="171">
        <f t="shared" si="189"/>
        <v>0</v>
      </c>
      <c r="BH127" s="171">
        <f t="shared" si="189"/>
        <v>0</v>
      </c>
      <c r="BI127" s="171">
        <f t="shared" si="189"/>
        <v>0</v>
      </c>
      <c r="BJ127" s="171">
        <f t="shared" si="189"/>
        <v>0</v>
      </c>
      <c r="BK127" s="171">
        <f t="shared" si="189"/>
        <v>0</v>
      </c>
      <c r="BL127" s="171">
        <f t="shared" si="189"/>
        <v>0</v>
      </c>
      <c r="BM127" s="171">
        <f t="shared" si="189"/>
        <v>0</v>
      </c>
      <c r="BN127" s="171">
        <f t="shared" si="189"/>
        <v>0</v>
      </c>
      <c r="BO127" s="171">
        <f t="shared" si="190"/>
        <v>0</v>
      </c>
      <c r="BP127" s="171">
        <f t="shared" si="190"/>
        <v>0</v>
      </c>
      <c r="BQ127" s="171">
        <f t="shared" si="190"/>
        <v>0</v>
      </c>
      <c r="BR127" s="171">
        <f t="shared" si="190"/>
        <v>0</v>
      </c>
      <c r="BS127" s="171">
        <f t="shared" si="190"/>
        <v>0</v>
      </c>
      <c r="BT127" s="171">
        <f t="shared" si="190"/>
        <v>0</v>
      </c>
      <c r="BU127" s="171">
        <f t="shared" si="190"/>
        <v>0</v>
      </c>
      <c r="BV127" s="171">
        <f t="shared" si="190"/>
        <v>0</v>
      </c>
      <c r="BW127" s="171">
        <f t="shared" si="190"/>
        <v>0</v>
      </c>
      <c r="BX127" s="171">
        <f t="shared" si="190"/>
        <v>0</v>
      </c>
      <c r="BY127" s="171">
        <f t="shared" si="191"/>
        <v>0</v>
      </c>
      <c r="BZ127" s="171">
        <f t="shared" si="191"/>
        <v>0</v>
      </c>
      <c r="CA127" s="171">
        <f t="shared" si="191"/>
        <v>0</v>
      </c>
      <c r="CB127" s="171">
        <f t="shared" si="191"/>
        <v>0</v>
      </c>
      <c r="CC127" s="171">
        <f t="shared" si="191"/>
        <v>0</v>
      </c>
      <c r="CD127" s="171">
        <f t="shared" si="191"/>
        <v>0</v>
      </c>
      <c r="CE127" s="171">
        <f t="shared" si="191"/>
        <v>0</v>
      </c>
      <c r="CF127" s="171">
        <f t="shared" si="191"/>
        <v>0</v>
      </c>
      <c r="CG127" s="171">
        <f t="shared" si="191"/>
        <v>0</v>
      </c>
      <c r="CH127" s="171">
        <f t="shared" si="191"/>
        <v>0</v>
      </c>
      <c r="CI127" s="171">
        <f t="shared" si="191"/>
        <v>0</v>
      </c>
      <c r="CJ127" s="243"/>
      <c r="CK127" s="171">
        <f t="shared" si="124"/>
        <v>0</v>
      </c>
      <c r="CL127" s="171">
        <f t="shared" si="125"/>
        <v>0</v>
      </c>
      <c r="CM127" s="171">
        <f t="shared" si="126"/>
        <v>0</v>
      </c>
      <c r="CN127" s="171">
        <f t="shared" si="127"/>
        <v>0</v>
      </c>
      <c r="CO127" s="171">
        <f t="shared" si="128"/>
        <v>0.63972111405084853</v>
      </c>
      <c r="CP127" s="171">
        <f t="shared" si="129"/>
        <v>0.63972111405084853</v>
      </c>
      <c r="CQ127" s="171">
        <f t="shared" si="130"/>
        <v>0.63972111405084853</v>
      </c>
      <c r="CR127" s="171">
        <f t="shared" si="131"/>
        <v>0.63972111405084853</v>
      </c>
      <c r="CS127" s="171">
        <f t="shared" si="132"/>
        <v>0.63972111405084853</v>
      </c>
      <c r="CT127" s="171">
        <f t="shared" si="133"/>
        <v>0.63972111405084853</v>
      </c>
      <c r="CU127" s="171">
        <f t="shared" si="134"/>
        <v>0.63972111405084853</v>
      </c>
      <c r="CV127" s="171">
        <f t="shared" si="135"/>
        <v>1.8343203009318139</v>
      </c>
      <c r="CW127" s="171">
        <f t="shared" si="136"/>
        <v>1.8343203009318139</v>
      </c>
      <c r="CX127" s="171">
        <f t="shared" si="137"/>
        <v>1.8343203009318139</v>
      </c>
      <c r="CY127" s="171">
        <f t="shared" ca="1" si="138"/>
        <v>1.7414434725333632</v>
      </c>
      <c r="CZ127" s="171">
        <f t="shared" ca="1" si="139"/>
        <v>1.6532692608202173</v>
      </c>
      <c r="DA127" s="171">
        <f t="shared" ca="1" si="140"/>
        <v>1.5695595590000766</v>
      </c>
      <c r="DB127" s="171">
        <f t="shared" ca="1" si="141"/>
        <v>1.4900883163014347</v>
      </c>
      <c r="DC127" s="171">
        <f t="shared" ca="1" si="142"/>
        <v>1.4146409275431235</v>
      </c>
      <c r="DD127" s="171">
        <f t="shared" ca="1" si="143"/>
        <v>1.3430136536116817</v>
      </c>
      <c r="DE127" s="171">
        <f t="shared" ca="1" si="144"/>
        <v>1.2750130712815921</v>
      </c>
      <c r="DF127" s="171">
        <f t="shared" ca="1" si="145"/>
        <v>1.2104555508926795</v>
      </c>
      <c r="DG127" s="171">
        <f t="shared" ca="1" si="146"/>
        <v>1.1491667604741787</v>
      </c>
      <c r="DH127" s="171">
        <f t="shared" ca="1" si="147"/>
        <v>1.090981194976405</v>
      </c>
      <c r="DI127" s="171">
        <f t="shared" ca="1" si="148"/>
        <v>1.0357417293387585</v>
      </c>
      <c r="DJ127" s="171">
        <f t="shared" ca="1" si="149"/>
        <v>0.98329919418715828</v>
      </c>
      <c r="DK127" s="171">
        <f t="shared" ca="1" si="150"/>
        <v>0.93351197301511801</v>
      </c>
      <c r="DL127" s="171">
        <f t="shared" ca="1" si="151"/>
        <v>0.88624561976068317</v>
      </c>
      <c r="DM127" s="171">
        <f t="shared" ca="1" si="152"/>
        <v>0</v>
      </c>
      <c r="DN127" s="171">
        <f t="shared" ca="1" si="153"/>
        <v>0</v>
      </c>
      <c r="DO127" s="171">
        <f t="shared" ca="1" si="154"/>
        <v>0</v>
      </c>
      <c r="DP127" s="171">
        <f t="shared" ca="1" si="155"/>
        <v>0</v>
      </c>
      <c r="DQ127" s="171">
        <f t="shared" ca="1" si="156"/>
        <v>0</v>
      </c>
      <c r="DR127" s="171">
        <f t="shared" ca="1" si="157"/>
        <v>0</v>
      </c>
      <c r="DS127" s="171">
        <f t="shared" ca="1" si="158"/>
        <v>0</v>
      </c>
      <c r="DT127" s="171">
        <f t="shared" ca="1" si="159"/>
        <v>0</v>
      </c>
      <c r="DU127" s="171">
        <f t="shared" ca="1" si="160"/>
        <v>0</v>
      </c>
      <c r="DV127" s="171">
        <f t="shared" ca="1" si="161"/>
        <v>0</v>
      </c>
      <c r="DW127" s="171">
        <f t="shared" ca="1" si="162"/>
        <v>0</v>
      </c>
      <c r="DX127" s="171">
        <f t="shared" ca="1" si="163"/>
        <v>0</v>
      </c>
      <c r="DY127" s="171">
        <f t="shared" ca="1" si="164"/>
        <v>0</v>
      </c>
      <c r="DZ127" s="171">
        <f t="shared" ca="1" si="165"/>
        <v>0</v>
      </c>
      <c r="EA127" s="171">
        <f t="shared" ca="1" si="166"/>
        <v>0</v>
      </c>
      <c r="EB127" s="171">
        <f t="shared" ca="1" si="167"/>
        <v>0</v>
      </c>
      <c r="EC127" s="171">
        <f t="shared" ca="1" si="168"/>
        <v>0</v>
      </c>
      <c r="ED127" s="171">
        <f t="shared" ca="1" si="169"/>
        <v>0</v>
      </c>
      <c r="EE127" s="171">
        <f t="shared" ca="1" si="170"/>
        <v>0</v>
      </c>
      <c r="EF127" s="171">
        <f t="shared" ca="1" si="171"/>
        <v>0</v>
      </c>
      <c r="EG127" s="171">
        <f t="shared" ca="1" si="172"/>
        <v>0</v>
      </c>
      <c r="EH127" s="171">
        <f t="shared" ca="1" si="173"/>
        <v>0</v>
      </c>
      <c r="EI127" s="171">
        <f t="shared" ca="1" si="174"/>
        <v>0</v>
      </c>
      <c r="EJ127" s="171">
        <f t="shared" ca="1" si="175"/>
        <v>0</v>
      </c>
      <c r="EK127" s="171">
        <f t="shared" ca="1" si="176"/>
        <v>0</v>
      </c>
      <c r="EL127" s="171">
        <f t="shared" ca="1" si="177"/>
        <v>0</v>
      </c>
      <c r="EM127" s="171">
        <f t="shared" ca="1" si="178"/>
        <v>0</v>
      </c>
      <c r="EN127" s="171">
        <f t="shared" ca="1" si="179"/>
        <v>0</v>
      </c>
      <c r="EO127" s="171">
        <f t="shared" ca="1" si="180"/>
        <v>0</v>
      </c>
      <c r="EP127" s="171">
        <f t="shared" ca="1" si="181"/>
        <v>0</v>
      </c>
      <c r="EQ127" s="171">
        <f t="shared" ca="1" si="182"/>
        <v>0</v>
      </c>
      <c r="ER127" s="171">
        <f t="shared" ca="1" si="183"/>
        <v>0</v>
      </c>
      <c r="ES127" s="171">
        <f t="shared" ca="1" si="184"/>
        <v>0</v>
      </c>
    </row>
    <row r="128" spans="1:149">
      <c r="A128" s="139" t="s">
        <v>483</v>
      </c>
      <c r="B128" s="160" t="s">
        <v>490</v>
      </c>
      <c r="C128" s="161" t="s">
        <v>460</v>
      </c>
      <c r="D128" s="161" t="s">
        <v>394</v>
      </c>
      <c r="E128" s="161">
        <v>2014</v>
      </c>
      <c r="F128" s="189" t="s">
        <v>395</v>
      </c>
      <c r="G128" s="174" t="s">
        <v>402</v>
      </c>
      <c r="H128" s="189" t="s">
        <v>396</v>
      </c>
      <c r="I128" s="189" t="s">
        <v>178</v>
      </c>
      <c r="J128" s="189" t="s">
        <v>407</v>
      </c>
      <c r="K128" s="184">
        <v>6.65</v>
      </c>
      <c r="L128" s="163" t="s">
        <v>110</v>
      </c>
      <c r="M128" s="164">
        <f t="shared" si="115"/>
        <v>6.65</v>
      </c>
      <c r="N128" s="164">
        <f t="shared" si="116"/>
        <v>6.65</v>
      </c>
      <c r="O128" s="165">
        <f t="shared" si="117"/>
        <v>1</v>
      </c>
      <c r="P128" s="180">
        <v>2.3903633306096857E-2</v>
      </c>
      <c r="Q128" s="183">
        <v>32.668289591298226</v>
      </c>
      <c r="R128" s="168">
        <f t="shared" si="118"/>
        <v>22.668289591298226</v>
      </c>
      <c r="S128" s="183">
        <v>6.9579862261231415</v>
      </c>
      <c r="T128" s="170" t="s">
        <v>403</v>
      </c>
      <c r="U128" s="171">
        <f t="shared" si="119"/>
        <v>0.30443235289558174</v>
      </c>
      <c r="V128" s="171">
        <f t="shared" ca="1" si="120"/>
        <v>0.20122049309053433</v>
      </c>
      <c r="W128" s="171">
        <f t="shared" ca="1" si="185"/>
        <v>6.5735293399853996</v>
      </c>
      <c r="X128" s="172">
        <f t="shared" si="121"/>
        <v>0.17920836052863021</v>
      </c>
      <c r="Y128" s="172">
        <f t="shared" si="122"/>
        <v>0.82079163947136979</v>
      </c>
      <c r="Z128" s="173">
        <f t="shared" si="123"/>
        <v>9.9452842653531608</v>
      </c>
      <c r="AA128" s="171">
        <f t="shared" si="186"/>
        <v>0</v>
      </c>
      <c r="AB128" s="171">
        <f t="shared" si="186"/>
        <v>0</v>
      </c>
      <c r="AC128" s="171">
        <f t="shared" si="186"/>
        <v>0</v>
      </c>
      <c r="AD128" s="171">
        <f t="shared" si="186"/>
        <v>0</v>
      </c>
      <c r="AE128" s="171">
        <f t="shared" si="186"/>
        <v>0.15895916148554409</v>
      </c>
      <c r="AF128" s="171">
        <f t="shared" si="186"/>
        <v>0.15895916148554409</v>
      </c>
      <c r="AG128" s="171">
        <f t="shared" si="186"/>
        <v>0.15895916148554409</v>
      </c>
      <c r="AH128" s="171">
        <f t="shared" si="186"/>
        <v>0.15895916148554409</v>
      </c>
      <c r="AI128" s="171">
        <f t="shared" si="186"/>
        <v>0.15895916148554409</v>
      </c>
      <c r="AJ128" s="171">
        <f t="shared" si="186"/>
        <v>0.15895916148554409</v>
      </c>
      <c r="AK128" s="171">
        <f t="shared" si="187"/>
        <v>0.15895916148554409</v>
      </c>
      <c r="AL128" s="171">
        <f t="shared" si="187"/>
        <v>0.33971423595978278</v>
      </c>
      <c r="AM128" s="171">
        <f t="shared" si="187"/>
        <v>0.33971423595978278</v>
      </c>
      <c r="AN128" s="171">
        <f t="shared" si="187"/>
        <v>0.33971423595978278</v>
      </c>
      <c r="AO128" s="171">
        <f t="shared" si="187"/>
        <v>0.33971423595978278</v>
      </c>
      <c r="AP128" s="171">
        <f t="shared" si="187"/>
        <v>0.33971423595978278</v>
      </c>
      <c r="AQ128" s="171">
        <f t="shared" si="187"/>
        <v>0.33971423595978278</v>
      </c>
      <c r="AR128" s="171">
        <f t="shared" si="187"/>
        <v>0.33971423595978278</v>
      </c>
      <c r="AS128" s="171">
        <f t="shared" si="187"/>
        <v>0.33971423595978278</v>
      </c>
      <c r="AT128" s="171">
        <f t="shared" si="187"/>
        <v>0.33971423595978278</v>
      </c>
      <c r="AU128" s="171">
        <f t="shared" si="188"/>
        <v>0.33971423595978278</v>
      </c>
      <c r="AV128" s="171">
        <f t="shared" si="188"/>
        <v>0.33971423595978278</v>
      </c>
      <c r="AW128" s="171">
        <f t="shared" si="188"/>
        <v>0.33971423595978278</v>
      </c>
      <c r="AX128" s="171">
        <f t="shared" si="188"/>
        <v>0.33971423595978278</v>
      </c>
      <c r="AY128" s="171">
        <f t="shared" si="188"/>
        <v>0.33971423595978278</v>
      </c>
      <c r="AZ128" s="171">
        <f t="shared" si="188"/>
        <v>0.33971423595978278</v>
      </c>
      <c r="BA128" s="171">
        <f t="shared" si="188"/>
        <v>0.33971423595978278</v>
      </c>
      <c r="BB128" s="171">
        <f t="shared" si="188"/>
        <v>0.33971423595978278</v>
      </c>
      <c r="BC128" s="171">
        <f t="shared" si="188"/>
        <v>0.33971423595978278</v>
      </c>
      <c r="BD128" s="171">
        <f t="shared" si="188"/>
        <v>0.33971423595978278</v>
      </c>
      <c r="BE128" s="171">
        <f t="shared" si="189"/>
        <v>0.33971423595978278</v>
      </c>
      <c r="BF128" s="171">
        <f t="shared" si="189"/>
        <v>0.33971423595978278</v>
      </c>
      <c r="BG128" s="171">
        <f t="shared" si="189"/>
        <v>0.33971423595978278</v>
      </c>
      <c r="BH128" s="171">
        <f t="shared" si="189"/>
        <v>0.33971423595978278</v>
      </c>
      <c r="BI128" s="171">
        <f t="shared" si="189"/>
        <v>0.33971423595978278</v>
      </c>
      <c r="BJ128" s="171">
        <f t="shared" si="189"/>
        <v>0.33971423595978278</v>
      </c>
      <c r="BK128" s="171">
        <f t="shared" si="189"/>
        <v>0.33971423595978278</v>
      </c>
      <c r="BL128" s="171">
        <f t="shared" si="189"/>
        <v>0</v>
      </c>
      <c r="BM128" s="171">
        <f t="shared" si="189"/>
        <v>0</v>
      </c>
      <c r="BN128" s="171">
        <f t="shared" si="189"/>
        <v>0</v>
      </c>
      <c r="BO128" s="171">
        <f t="shared" si="190"/>
        <v>0</v>
      </c>
      <c r="BP128" s="171">
        <f t="shared" si="190"/>
        <v>0</v>
      </c>
      <c r="BQ128" s="171">
        <f t="shared" si="190"/>
        <v>0</v>
      </c>
      <c r="BR128" s="171">
        <f t="shared" si="190"/>
        <v>0</v>
      </c>
      <c r="BS128" s="171">
        <f t="shared" si="190"/>
        <v>0</v>
      </c>
      <c r="BT128" s="171">
        <f t="shared" si="190"/>
        <v>0</v>
      </c>
      <c r="BU128" s="171">
        <f t="shared" si="190"/>
        <v>0</v>
      </c>
      <c r="BV128" s="171">
        <f t="shared" si="190"/>
        <v>0</v>
      </c>
      <c r="BW128" s="171">
        <f t="shared" si="190"/>
        <v>0</v>
      </c>
      <c r="BX128" s="171">
        <f t="shared" si="190"/>
        <v>0</v>
      </c>
      <c r="BY128" s="171">
        <f t="shared" si="191"/>
        <v>0</v>
      </c>
      <c r="BZ128" s="171">
        <f t="shared" si="191"/>
        <v>0</v>
      </c>
      <c r="CA128" s="171">
        <f t="shared" si="191"/>
        <v>0</v>
      </c>
      <c r="CB128" s="171">
        <f t="shared" si="191"/>
        <v>0</v>
      </c>
      <c r="CC128" s="171">
        <f t="shared" si="191"/>
        <v>0</v>
      </c>
      <c r="CD128" s="171">
        <f t="shared" si="191"/>
        <v>0</v>
      </c>
      <c r="CE128" s="171">
        <f t="shared" si="191"/>
        <v>0</v>
      </c>
      <c r="CF128" s="171">
        <f t="shared" si="191"/>
        <v>0</v>
      </c>
      <c r="CG128" s="171">
        <f t="shared" si="191"/>
        <v>0</v>
      </c>
      <c r="CH128" s="171">
        <f t="shared" si="191"/>
        <v>0</v>
      </c>
      <c r="CI128" s="171">
        <f t="shared" si="191"/>
        <v>0</v>
      </c>
      <c r="CJ128" s="243"/>
      <c r="CK128" s="171">
        <f t="shared" si="124"/>
        <v>0</v>
      </c>
      <c r="CL128" s="171">
        <f t="shared" si="125"/>
        <v>0</v>
      </c>
      <c r="CM128" s="171">
        <f t="shared" si="126"/>
        <v>0</v>
      </c>
      <c r="CN128" s="171">
        <f t="shared" si="127"/>
        <v>0</v>
      </c>
      <c r="CO128" s="171">
        <f t="shared" si="128"/>
        <v>0.15895916148554409</v>
      </c>
      <c r="CP128" s="171">
        <f t="shared" si="129"/>
        <v>0.15895916148554409</v>
      </c>
      <c r="CQ128" s="171">
        <f t="shared" si="130"/>
        <v>0.15895916148554409</v>
      </c>
      <c r="CR128" s="171">
        <f t="shared" si="131"/>
        <v>0.15895916148554409</v>
      </c>
      <c r="CS128" s="171">
        <f t="shared" si="132"/>
        <v>0.15895916148554409</v>
      </c>
      <c r="CT128" s="171">
        <f t="shared" si="133"/>
        <v>0.15895916148554409</v>
      </c>
      <c r="CU128" s="171">
        <f t="shared" si="134"/>
        <v>0.15895916148554409</v>
      </c>
      <c r="CV128" s="171">
        <f t="shared" si="135"/>
        <v>0.33971423595978278</v>
      </c>
      <c r="CW128" s="171">
        <f t="shared" si="136"/>
        <v>0.33971423595978278</v>
      </c>
      <c r="CX128" s="171">
        <f t="shared" si="137"/>
        <v>0.33971423595978278</v>
      </c>
      <c r="CY128" s="171">
        <f t="shared" ca="1" si="138"/>
        <v>0.32251354272113758</v>
      </c>
      <c r="CZ128" s="171">
        <f t="shared" ca="1" si="139"/>
        <v>0.30618376926321356</v>
      </c>
      <c r="DA128" s="171">
        <f t="shared" ca="1" si="140"/>
        <v>0.29068081845260296</v>
      </c>
      <c r="DB128" s="171">
        <f t="shared" ca="1" si="141"/>
        <v>0.2759628259185678</v>
      </c>
      <c r="DC128" s="171">
        <f t="shared" ca="1" si="142"/>
        <v>0.26199004700194656</v>
      </c>
      <c r="DD128" s="171">
        <f t="shared" ca="1" si="143"/>
        <v>0.248724749428158</v>
      </c>
      <c r="DE128" s="171">
        <f t="shared" ca="1" si="144"/>
        <v>0.23613111141447429</v>
      </c>
      <c r="DF128" s="171">
        <f t="shared" ca="1" si="145"/>
        <v>0.22417512493641109</v>
      </c>
      <c r="DG128" s="171">
        <f t="shared" ca="1" si="146"/>
        <v>0.21282450389201465</v>
      </c>
      <c r="DH128" s="171">
        <f t="shared" ca="1" si="147"/>
        <v>0.20204859691605034</v>
      </c>
      <c r="DI128" s="171">
        <f t="shared" ca="1" si="148"/>
        <v>0.19181830460865615</v>
      </c>
      <c r="DJ128" s="171">
        <f t="shared" ca="1" si="149"/>
        <v>0.1821060009549432</v>
      </c>
      <c r="DK128" s="171">
        <f t="shared" ca="1" si="150"/>
        <v>0.17288545872334463</v>
      </c>
      <c r="DL128" s="171">
        <f t="shared" ca="1" si="151"/>
        <v>0.16413177864125714</v>
      </c>
      <c r="DM128" s="171">
        <f t="shared" ca="1" si="152"/>
        <v>0.15582132215672023</v>
      </c>
      <c r="DN128" s="171">
        <f t="shared" ca="1" si="153"/>
        <v>0.14793164760456173</v>
      </c>
      <c r="DO128" s="171">
        <f t="shared" ca="1" si="154"/>
        <v>0.14044144960463256</v>
      </c>
      <c r="DP128" s="171">
        <f t="shared" ca="1" si="155"/>
        <v>0.13333050152847975</v>
      </c>
      <c r="DQ128" s="171">
        <f t="shared" ca="1" si="156"/>
        <v>0.12657960087909512</v>
      </c>
      <c r="DR128" s="171">
        <f t="shared" ca="1" si="157"/>
        <v>0.12017051743624163</v>
      </c>
      <c r="DS128" s="171">
        <f t="shared" ca="1" si="158"/>
        <v>0.11408594402732872</v>
      </c>
      <c r="DT128" s="171">
        <f t="shared" ca="1" si="159"/>
        <v>0.10830944979089747</v>
      </c>
      <c r="DU128" s="171">
        <f t="shared" ca="1" si="160"/>
        <v>0.10282543580650787</v>
      </c>
      <c r="DV128" s="171">
        <f t="shared" ca="1" si="161"/>
        <v>0</v>
      </c>
      <c r="DW128" s="171">
        <f t="shared" ca="1" si="162"/>
        <v>0</v>
      </c>
      <c r="DX128" s="171">
        <f t="shared" ca="1" si="163"/>
        <v>0</v>
      </c>
      <c r="DY128" s="171">
        <f t="shared" ca="1" si="164"/>
        <v>0</v>
      </c>
      <c r="DZ128" s="171">
        <f t="shared" ca="1" si="165"/>
        <v>0</v>
      </c>
      <c r="EA128" s="171">
        <f t="shared" ca="1" si="166"/>
        <v>0</v>
      </c>
      <c r="EB128" s="171">
        <f t="shared" ca="1" si="167"/>
        <v>0</v>
      </c>
      <c r="EC128" s="171">
        <f t="shared" ca="1" si="168"/>
        <v>0</v>
      </c>
      <c r="ED128" s="171">
        <f t="shared" ca="1" si="169"/>
        <v>0</v>
      </c>
      <c r="EE128" s="171">
        <f t="shared" ca="1" si="170"/>
        <v>0</v>
      </c>
      <c r="EF128" s="171">
        <f t="shared" ca="1" si="171"/>
        <v>0</v>
      </c>
      <c r="EG128" s="171">
        <f t="shared" ca="1" si="172"/>
        <v>0</v>
      </c>
      <c r="EH128" s="171">
        <f t="shared" ca="1" si="173"/>
        <v>0</v>
      </c>
      <c r="EI128" s="171">
        <f t="shared" ca="1" si="174"/>
        <v>0</v>
      </c>
      <c r="EJ128" s="171">
        <f t="shared" ca="1" si="175"/>
        <v>0</v>
      </c>
      <c r="EK128" s="171">
        <f t="shared" ca="1" si="176"/>
        <v>0</v>
      </c>
      <c r="EL128" s="171">
        <f t="shared" ca="1" si="177"/>
        <v>0</v>
      </c>
      <c r="EM128" s="171">
        <f t="shared" ca="1" si="178"/>
        <v>0</v>
      </c>
      <c r="EN128" s="171">
        <f t="shared" ca="1" si="179"/>
        <v>0</v>
      </c>
      <c r="EO128" s="171">
        <f t="shared" ca="1" si="180"/>
        <v>0</v>
      </c>
      <c r="EP128" s="171">
        <f t="shared" ca="1" si="181"/>
        <v>0</v>
      </c>
      <c r="EQ128" s="171">
        <f t="shared" ca="1" si="182"/>
        <v>0</v>
      </c>
      <c r="ER128" s="171">
        <f t="shared" ca="1" si="183"/>
        <v>0</v>
      </c>
      <c r="ES128" s="171">
        <f t="shared" ca="1" si="184"/>
        <v>0</v>
      </c>
    </row>
    <row r="129" spans="1:149">
      <c r="A129" s="139" t="s">
        <v>483</v>
      </c>
      <c r="B129" s="160" t="s">
        <v>491</v>
      </c>
      <c r="C129" s="160" t="s">
        <v>460</v>
      </c>
      <c r="D129" s="161" t="s">
        <v>394</v>
      </c>
      <c r="E129" s="160">
        <v>2014</v>
      </c>
      <c r="F129" s="194" t="s">
        <v>405</v>
      </c>
      <c r="G129" s="194" t="s">
        <v>289</v>
      </c>
      <c r="H129" s="194" t="s">
        <v>406</v>
      </c>
      <c r="I129" s="194" t="s">
        <v>365</v>
      </c>
      <c r="J129" s="194" t="s">
        <v>397</v>
      </c>
      <c r="K129" s="187">
        <v>50.51</v>
      </c>
      <c r="L129" s="163" t="s">
        <v>110</v>
      </c>
      <c r="M129" s="164">
        <f t="shared" si="115"/>
        <v>50.51</v>
      </c>
      <c r="N129" s="164">
        <f t="shared" si="116"/>
        <v>50.51</v>
      </c>
      <c r="O129" s="165">
        <f t="shared" si="117"/>
        <v>1</v>
      </c>
      <c r="P129" s="190">
        <v>0.16</v>
      </c>
      <c r="Q129" s="177">
        <v>25</v>
      </c>
      <c r="R129" s="168">
        <f t="shared" si="118"/>
        <v>15</v>
      </c>
      <c r="S129" s="178">
        <v>0</v>
      </c>
      <c r="T129" s="160" t="s">
        <v>289</v>
      </c>
      <c r="U129" s="171">
        <f t="shared" si="119"/>
        <v>8.4048640000000017</v>
      </c>
      <c r="V129" s="171">
        <f t="shared" ca="1" si="120"/>
        <v>6.654441220021619</v>
      </c>
      <c r="W129" s="171">
        <f t="shared" ca="1" si="185"/>
        <v>166.36103050054047</v>
      </c>
      <c r="X129" s="172" t="str">
        <f t="shared" si="121"/>
        <v>Equity</v>
      </c>
      <c r="Y129" s="172" t="str">
        <f t="shared" si="122"/>
        <v>Equity</v>
      </c>
      <c r="Z129" s="173">
        <f t="shared" si="123"/>
        <v>210.12160000000006</v>
      </c>
      <c r="AA129" s="171">
        <f t="shared" ref="AA129:AJ138" si="192">IFERROR(
    IF($T129="Equity",
        IF(AND(AA$48&gt;=$E129, AA$48&lt;=($E129+$Q129)),
$K129*$P129*(VLOOKUP($C$39,$C$37:$BL$44,MATCH($E129,$C$37:$BL$37,0),FALSE)/VLOOKUP($L129,$C$37:$BL$44,MATCH($E129,$C$37:$BL$37,0),FALSE))*
IF($B$5="Foreign Currency",VLOOKUP($C$38,$C$37:$BL$44,MATCH(AA$48,$C$37:$BL$37,0),FALSE)/VLOOKUP($C$39,$C$37:$BL$44,MATCH(AA$48,$C$37:$BL$37,0),FALSE),1),
0),
    IF($T129="Lump Sum Principal",
        IF(AND(AA$48&gt;=$E129, AA$48&lt;($E129+$Q129)),
$K129*$P129*(VLOOKUP($C$39,$C$37:$BL$44,MATCH($E129,$C$37:$BL$37,0),FALSE)/VLOOKUP($L129,$C$37:$BL$44,MATCH($E129,$C$37:$BL$37,0),FALSE))*
IF($B$5="Foreign Currency",VLOOKUP($C$38,$C$37:$BL$44,MATCH(AA$48,$C$37:$BL$37,0),FALSE)/VLOOKUP($C$39,$C$37:$BL$44,MATCH(AA$48,$C$37:$BL$37,0),FALSE),1),
        IF(AA$48=($E129+$Q129),
$K129*(1+$P129)*(VLOOKUP($C$39,$C$37:$BL$44,MATCH($E129,$C$37:$BL$37,0),FALSE)/VLOOKUP($L129,$C$37:$BL$44,MATCH($E129,$C$37:$BL$37,0),FALSE))*
IF($B$5="Foreign Currency",VLOOKUP($C$38,$C$37:$BL$44,MATCH(AA$48,$C$37:$BL$37,0),FALSE)/VLOOKUP($C$39,$C$37:$BL$44,MATCH(AA$48,$C$37:$BL$37,0),FALSE),1),
0)),
    IF($T129="Lump Sum Principal and Interest",
        IF(AA$48=($E129+$Q129),
$K129*((1+$P129)^$Q129)*(VLOOKUP($C$39,$C$37:$BL$44,MATCH($E129,$C$37:$BL$37,0),FALSE)/VLOOKUP($L129,$C$37:$BL$44,MATCH($E129,$C$37:$BL$37,0),FALSE))*
IF($B$5="Foreign Currency",VLOOKUP($C$38,$C$37:$BL$44,MATCH(AA$48,$C$37:$BL$37,0),FALSE)/VLOOKUP($C$39,$C$37:$BL$44,MATCH(AA$48,$C$37:$BL$37,0),FALSE),1),
0),
    IF($T129="EPP with Grace Years for Principal",
        IF(AND(AA$48&gt;=$E129, AA$48&lt;($E129+$S129)),
$K129*$P129*(VLOOKUP($C$39,$C$37:$BL$44,MATCH($E129,$C$37:$BL$37,0),FALSE)/VLOOKUP($L129,$C$37:$BL$44,MATCH($E129,$C$37:$BL$37,0),FALSE))*
IF($B$5="Foreign Currency",VLOOKUP($C$38,$C$37:$BL$44,MATCH(AA$48,$C$37:$BL$37,0),FALSE)/VLOOKUP($C$39,$C$37:$BL$44,MATCH(AA$48,$C$37:$BL$37,0),FALSE),1),
        IF(AND(AA$48&gt;=($E129+$S129), AA$48&lt;=($E129+$Q129)),
-PMT($P129,($Q129-$S129+1),($K129*(VLOOKUP($C$39,$C$37:$BL$44,MATCH($E129,$C$37:$BL$37,0),FALSE)/VLOOKUP($L129,$C$37:$BL$44,MATCH($E129,$C$37:$BL$37,0),FALSE))*
IF($B$5="Foreign Currency",VLOOKUP($C$38,$C$37:$BL$44,MATCH(AA$48,$C$37:$BL$37,0),FALSE)/VLOOKUP($C$39,$C$37:$BL$44,MATCH(AA$48,$C$37:$BL$37,0),FALSE),1)),0),
0)),
    IF($T129="Equal Principal Payments (EPP)",
        IF(AND(AA$48&gt;=$E129, AA$48&lt;=($E129+$Q129)),
-PMT($P129,($Q129-$S129+1),($K129*(VLOOKUP($C$39,$C$37:$BL$44,MATCH($E129,$C$37:$BL$37,0),FALSE)/VLOOKUP($L129,$C$37:$BL$44,MATCH($E129,$C$37:$BL$37,0),FALSE))*
IF($B$5="Foreign Currency",VLOOKUP($C$38,$C$37:$BL$44,MATCH(AA$48,$C$37:$BL$37,0),FALSE)/VLOOKUP($C$39,$C$37:$BL$44,MATCH(AA$48,$C$37:$BL$37,0),FALSE),1)),0), 0),
    IF($T129="EPP with Grace Years for Principal and on Interest",
        IF(AND(AA$48&gt;=($E129+$S129), AA$48&lt;=($E129+$Q129)),
-PMT($P129,($Q129-$S129+1),($K129*(VLOOKUP($C$39,$C$37:$BL$44,MATCH($E129,$C$37:$BL$37,0),FALSE)/VLOOKUP($L129,$C$37:$BL$44,MATCH($E129,$C$37:$BL$37,0),FALSE))*
IF($B$5="Foreign Currency",VLOOKUP($C$38,$C$37:$BL$44,MATCH(AA$48,$C$37:$BL$37,0),FALSE)/VLOOKUP($C$39,$C$37:$BL$44,MATCH(AA$48,$C$37:$BL$37,0),FALSE),1))*((1+$P129)^$S129),0), 0),
    0)))))),"")</f>
        <v>0</v>
      </c>
      <c r="AB129" s="171">
        <f t="shared" si="192"/>
        <v>0</v>
      </c>
      <c r="AC129" s="171">
        <f t="shared" si="192"/>
        <v>0</v>
      </c>
      <c r="AD129" s="171">
        <f t="shared" si="192"/>
        <v>0</v>
      </c>
      <c r="AE129" s="171">
        <f t="shared" si="192"/>
        <v>8.0815999999999999</v>
      </c>
      <c r="AF129" s="171">
        <f t="shared" si="192"/>
        <v>8.0815999999999999</v>
      </c>
      <c r="AG129" s="171">
        <f t="shared" si="192"/>
        <v>8.0815999999999999</v>
      </c>
      <c r="AH129" s="171">
        <f t="shared" si="192"/>
        <v>8.0815999999999999</v>
      </c>
      <c r="AI129" s="171">
        <f t="shared" si="192"/>
        <v>8.0815999999999999</v>
      </c>
      <c r="AJ129" s="171">
        <f t="shared" si="192"/>
        <v>8.0815999999999999</v>
      </c>
      <c r="AK129" s="171">
        <f t="shared" ref="AK129:AT138" si="193">IFERROR(
    IF($T129="Equity",
        IF(AND(AK$48&gt;=$E129, AK$48&lt;=($E129+$Q129)),
$K129*$P129*(VLOOKUP($C$39,$C$37:$BL$44,MATCH($E129,$C$37:$BL$37,0),FALSE)/VLOOKUP($L129,$C$37:$BL$44,MATCH($E129,$C$37:$BL$37,0),FALSE))*
IF($B$5="Foreign Currency",VLOOKUP($C$38,$C$37:$BL$44,MATCH(AK$48,$C$37:$BL$37,0),FALSE)/VLOOKUP($C$39,$C$37:$BL$44,MATCH(AK$48,$C$37:$BL$37,0),FALSE),1),
0),
    IF($T129="Lump Sum Principal",
        IF(AND(AK$48&gt;=$E129, AK$48&lt;($E129+$Q129)),
$K129*$P129*(VLOOKUP($C$39,$C$37:$BL$44,MATCH($E129,$C$37:$BL$37,0),FALSE)/VLOOKUP($L129,$C$37:$BL$44,MATCH($E129,$C$37:$BL$37,0),FALSE))*
IF($B$5="Foreign Currency",VLOOKUP($C$38,$C$37:$BL$44,MATCH(AK$48,$C$37:$BL$37,0),FALSE)/VLOOKUP($C$39,$C$37:$BL$44,MATCH(AK$48,$C$37:$BL$37,0),FALSE),1),
        IF(AK$48=($E129+$Q129),
$K129*(1+$P129)*(VLOOKUP($C$39,$C$37:$BL$44,MATCH($E129,$C$37:$BL$37,0),FALSE)/VLOOKUP($L129,$C$37:$BL$44,MATCH($E129,$C$37:$BL$37,0),FALSE))*
IF($B$5="Foreign Currency",VLOOKUP($C$38,$C$37:$BL$44,MATCH(AK$48,$C$37:$BL$37,0),FALSE)/VLOOKUP($C$39,$C$37:$BL$44,MATCH(AK$48,$C$37:$BL$37,0),FALSE),1),
0)),
    IF($T129="Lump Sum Principal and Interest",
        IF(AK$48=($E129+$Q129),
$K129*((1+$P129)^$Q129)*(VLOOKUP($C$39,$C$37:$BL$44,MATCH($E129,$C$37:$BL$37,0),FALSE)/VLOOKUP($L129,$C$37:$BL$44,MATCH($E129,$C$37:$BL$37,0),FALSE))*
IF($B$5="Foreign Currency",VLOOKUP($C$38,$C$37:$BL$44,MATCH(AK$48,$C$37:$BL$37,0),FALSE)/VLOOKUP($C$39,$C$37:$BL$44,MATCH(AK$48,$C$37:$BL$37,0),FALSE),1),
0),
    IF($T129="EPP with Grace Years for Principal",
        IF(AND(AK$48&gt;=$E129, AK$48&lt;($E129+$S129)),
$K129*$P129*(VLOOKUP($C$39,$C$37:$BL$44,MATCH($E129,$C$37:$BL$37,0),FALSE)/VLOOKUP($L129,$C$37:$BL$44,MATCH($E129,$C$37:$BL$37,0),FALSE))*
IF($B$5="Foreign Currency",VLOOKUP($C$38,$C$37:$BL$44,MATCH(AK$48,$C$37:$BL$37,0),FALSE)/VLOOKUP($C$39,$C$37:$BL$44,MATCH(AK$48,$C$37:$BL$37,0),FALSE),1),
        IF(AND(AK$48&gt;=($E129+$S129), AK$48&lt;=($E129+$Q129)),
-PMT($P129,($Q129-$S129+1),($K129*(VLOOKUP($C$39,$C$37:$BL$44,MATCH($E129,$C$37:$BL$37,0),FALSE)/VLOOKUP($L129,$C$37:$BL$44,MATCH($E129,$C$37:$BL$37,0),FALSE))*
IF($B$5="Foreign Currency",VLOOKUP($C$38,$C$37:$BL$44,MATCH(AK$48,$C$37:$BL$37,0),FALSE)/VLOOKUP($C$39,$C$37:$BL$44,MATCH(AK$48,$C$37:$BL$37,0),FALSE),1)),0),
0)),
    IF($T129="Equal Principal Payments (EPP)",
        IF(AND(AK$48&gt;=$E129, AK$48&lt;=($E129+$Q129)),
-PMT($P129,($Q129-$S129+1),($K129*(VLOOKUP($C$39,$C$37:$BL$44,MATCH($E129,$C$37:$BL$37,0),FALSE)/VLOOKUP($L129,$C$37:$BL$44,MATCH($E129,$C$37:$BL$37,0),FALSE))*
IF($B$5="Foreign Currency",VLOOKUP($C$38,$C$37:$BL$44,MATCH(AK$48,$C$37:$BL$37,0),FALSE)/VLOOKUP($C$39,$C$37:$BL$44,MATCH(AK$48,$C$37:$BL$37,0),FALSE),1)),0), 0),
    IF($T129="EPP with Grace Years for Principal and on Interest",
        IF(AND(AK$48&gt;=($E129+$S129), AK$48&lt;=($E129+$Q129)),
-PMT($P129,($Q129-$S129+1),($K129*(VLOOKUP($C$39,$C$37:$BL$44,MATCH($E129,$C$37:$BL$37,0),FALSE)/VLOOKUP($L129,$C$37:$BL$44,MATCH($E129,$C$37:$BL$37,0),FALSE))*
IF($B$5="Foreign Currency",VLOOKUP($C$38,$C$37:$BL$44,MATCH(AK$48,$C$37:$BL$37,0),FALSE)/VLOOKUP($C$39,$C$37:$BL$44,MATCH(AK$48,$C$37:$BL$37,0),FALSE),1))*((1+$P129)^$S129),0), 0),
    0)))))),"")</f>
        <v>8.0815999999999999</v>
      </c>
      <c r="AL129" s="171">
        <f t="shared" si="193"/>
        <v>8.0815999999999999</v>
      </c>
      <c r="AM129" s="171">
        <f t="shared" si="193"/>
        <v>8.0815999999999999</v>
      </c>
      <c r="AN129" s="171">
        <f t="shared" si="193"/>
        <v>8.0815999999999999</v>
      </c>
      <c r="AO129" s="171">
        <f t="shared" si="193"/>
        <v>8.0815999999999999</v>
      </c>
      <c r="AP129" s="171">
        <f t="shared" si="193"/>
        <v>8.0815999999999999</v>
      </c>
      <c r="AQ129" s="171">
        <f t="shared" si="193"/>
        <v>8.0815999999999999</v>
      </c>
      <c r="AR129" s="171">
        <f t="shared" si="193"/>
        <v>8.0815999999999999</v>
      </c>
      <c r="AS129" s="171">
        <f t="shared" si="193"/>
        <v>8.0815999999999999</v>
      </c>
      <c r="AT129" s="171">
        <f t="shared" si="193"/>
        <v>8.0815999999999999</v>
      </c>
      <c r="AU129" s="171">
        <f t="shared" ref="AU129:BD138" si="194">IFERROR(
    IF($T129="Equity",
        IF(AND(AU$48&gt;=$E129, AU$48&lt;=($E129+$Q129)),
$K129*$P129*(VLOOKUP($C$39,$C$37:$BL$44,MATCH($E129,$C$37:$BL$37,0),FALSE)/VLOOKUP($L129,$C$37:$BL$44,MATCH($E129,$C$37:$BL$37,0),FALSE))*
IF($B$5="Foreign Currency",VLOOKUP($C$38,$C$37:$BL$44,MATCH(AU$48,$C$37:$BL$37,0),FALSE)/VLOOKUP($C$39,$C$37:$BL$44,MATCH(AU$48,$C$37:$BL$37,0),FALSE),1),
0),
    IF($T129="Lump Sum Principal",
        IF(AND(AU$48&gt;=$E129, AU$48&lt;($E129+$Q129)),
$K129*$P129*(VLOOKUP($C$39,$C$37:$BL$44,MATCH($E129,$C$37:$BL$37,0),FALSE)/VLOOKUP($L129,$C$37:$BL$44,MATCH($E129,$C$37:$BL$37,0),FALSE))*
IF($B$5="Foreign Currency",VLOOKUP($C$38,$C$37:$BL$44,MATCH(AU$48,$C$37:$BL$37,0),FALSE)/VLOOKUP($C$39,$C$37:$BL$44,MATCH(AU$48,$C$37:$BL$37,0),FALSE),1),
        IF(AU$48=($E129+$Q129),
$K129*(1+$P129)*(VLOOKUP($C$39,$C$37:$BL$44,MATCH($E129,$C$37:$BL$37,0),FALSE)/VLOOKUP($L129,$C$37:$BL$44,MATCH($E129,$C$37:$BL$37,0),FALSE))*
IF($B$5="Foreign Currency",VLOOKUP($C$38,$C$37:$BL$44,MATCH(AU$48,$C$37:$BL$37,0),FALSE)/VLOOKUP($C$39,$C$37:$BL$44,MATCH(AU$48,$C$37:$BL$37,0),FALSE),1),
0)),
    IF($T129="Lump Sum Principal and Interest",
        IF(AU$48=($E129+$Q129),
$K129*((1+$P129)^$Q129)*(VLOOKUP($C$39,$C$37:$BL$44,MATCH($E129,$C$37:$BL$37,0),FALSE)/VLOOKUP($L129,$C$37:$BL$44,MATCH($E129,$C$37:$BL$37,0),FALSE))*
IF($B$5="Foreign Currency",VLOOKUP($C$38,$C$37:$BL$44,MATCH(AU$48,$C$37:$BL$37,0),FALSE)/VLOOKUP($C$39,$C$37:$BL$44,MATCH(AU$48,$C$37:$BL$37,0),FALSE),1),
0),
    IF($T129="EPP with Grace Years for Principal",
        IF(AND(AU$48&gt;=$E129, AU$48&lt;($E129+$S129)),
$K129*$P129*(VLOOKUP($C$39,$C$37:$BL$44,MATCH($E129,$C$37:$BL$37,0),FALSE)/VLOOKUP($L129,$C$37:$BL$44,MATCH($E129,$C$37:$BL$37,0),FALSE))*
IF($B$5="Foreign Currency",VLOOKUP($C$38,$C$37:$BL$44,MATCH(AU$48,$C$37:$BL$37,0),FALSE)/VLOOKUP($C$39,$C$37:$BL$44,MATCH(AU$48,$C$37:$BL$37,0),FALSE),1),
        IF(AND(AU$48&gt;=($E129+$S129), AU$48&lt;=($E129+$Q129)),
-PMT($P129,($Q129-$S129+1),($K129*(VLOOKUP($C$39,$C$37:$BL$44,MATCH($E129,$C$37:$BL$37,0),FALSE)/VLOOKUP($L129,$C$37:$BL$44,MATCH($E129,$C$37:$BL$37,0),FALSE))*
IF($B$5="Foreign Currency",VLOOKUP($C$38,$C$37:$BL$44,MATCH(AU$48,$C$37:$BL$37,0),FALSE)/VLOOKUP($C$39,$C$37:$BL$44,MATCH(AU$48,$C$37:$BL$37,0),FALSE),1)),0),
0)),
    IF($T129="Equal Principal Payments (EPP)",
        IF(AND(AU$48&gt;=$E129, AU$48&lt;=($E129+$Q129)),
-PMT($P129,($Q129-$S129+1),($K129*(VLOOKUP($C$39,$C$37:$BL$44,MATCH($E129,$C$37:$BL$37,0),FALSE)/VLOOKUP($L129,$C$37:$BL$44,MATCH($E129,$C$37:$BL$37,0),FALSE))*
IF($B$5="Foreign Currency",VLOOKUP($C$38,$C$37:$BL$44,MATCH(AU$48,$C$37:$BL$37,0),FALSE)/VLOOKUP($C$39,$C$37:$BL$44,MATCH(AU$48,$C$37:$BL$37,0),FALSE),1)),0), 0),
    IF($T129="EPP with Grace Years for Principal and on Interest",
        IF(AND(AU$48&gt;=($E129+$S129), AU$48&lt;=($E129+$Q129)),
-PMT($P129,($Q129-$S129+1),($K129*(VLOOKUP($C$39,$C$37:$BL$44,MATCH($E129,$C$37:$BL$37,0),FALSE)/VLOOKUP($L129,$C$37:$BL$44,MATCH($E129,$C$37:$BL$37,0),FALSE))*
IF($B$5="Foreign Currency",VLOOKUP($C$38,$C$37:$BL$44,MATCH(AU$48,$C$37:$BL$37,0),FALSE)/VLOOKUP($C$39,$C$37:$BL$44,MATCH(AU$48,$C$37:$BL$37,0),FALSE),1))*((1+$P129)^$S129),0), 0),
    0)))))),"")</f>
        <v>8.0815999999999999</v>
      </c>
      <c r="AV129" s="171">
        <f t="shared" si="194"/>
        <v>8.0815999999999999</v>
      </c>
      <c r="AW129" s="171">
        <f t="shared" si="194"/>
        <v>8.0815999999999999</v>
      </c>
      <c r="AX129" s="171">
        <f t="shared" si="194"/>
        <v>8.0815999999999999</v>
      </c>
      <c r="AY129" s="171">
        <f t="shared" si="194"/>
        <v>8.0815999999999999</v>
      </c>
      <c r="AZ129" s="171">
        <f t="shared" si="194"/>
        <v>8.0815999999999999</v>
      </c>
      <c r="BA129" s="171">
        <f t="shared" si="194"/>
        <v>8.0815999999999999</v>
      </c>
      <c r="BB129" s="171">
        <f t="shared" si="194"/>
        <v>8.0815999999999999</v>
      </c>
      <c r="BC129" s="171">
        <f t="shared" si="194"/>
        <v>8.0815999999999999</v>
      </c>
      <c r="BD129" s="171">
        <f t="shared" si="194"/>
        <v>8.0815999999999999</v>
      </c>
      <c r="BE129" s="171">
        <f t="shared" ref="BE129:BN138" si="195">IFERROR(
    IF($T129="Equity",
        IF(AND(BE$48&gt;=$E129, BE$48&lt;=($E129+$Q129)),
$K129*$P129*(VLOOKUP($C$39,$C$37:$BL$44,MATCH($E129,$C$37:$BL$37,0),FALSE)/VLOOKUP($L129,$C$37:$BL$44,MATCH($E129,$C$37:$BL$37,0),FALSE))*
IF($B$5="Foreign Currency",VLOOKUP($C$38,$C$37:$BL$44,MATCH(BE$48,$C$37:$BL$37,0),FALSE)/VLOOKUP($C$39,$C$37:$BL$44,MATCH(BE$48,$C$37:$BL$37,0),FALSE),1),
0),
    IF($T129="Lump Sum Principal",
        IF(AND(BE$48&gt;=$E129, BE$48&lt;($E129+$Q129)),
$K129*$P129*(VLOOKUP($C$39,$C$37:$BL$44,MATCH($E129,$C$37:$BL$37,0),FALSE)/VLOOKUP($L129,$C$37:$BL$44,MATCH($E129,$C$37:$BL$37,0),FALSE))*
IF($B$5="Foreign Currency",VLOOKUP($C$38,$C$37:$BL$44,MATCH(BE$48,$C$37:$BL$37,0),FALSE)/VLOOKUP($C$39,$C$37:$BL$44,MATCH(BE$48,$C$37:$BL$37,0),FALSE),1),
        IF(BE$48=($E129+$Q129),
$K129*(1+$P129)*(VLOOKUP($C$39,$C$37:$BL$44,MATCH($E129,$C$37:$BL$37,0),FALSE)/VLOOKUP($L129,$C$37:$BL$44,MATCH($E129,$C$37:$BL$37,0),FALSE))*
IF($B$5="Foreign Currency",VLOOKUP($C$38,$C$37:$BL$44,MATCH(BE$48,$C$37:$BL$37,0),FALSE)/VLOOKUP($C$39,$C$37:$BL$44,MATCH(BE$48,$C$37:$BL$37,0),FALSE),1),
0)),
    IF($T129="Lump Sum Principal and Interest",
        IF(BE$48=($E129+$Q129),
$K129*((1+$P129)^$Q129)*(VLOOKUP($C$39,$C$37:$BL$44,MATCH($E129,$C$37:$BL$37,0),FALSE)/VLOOKUP($L129,$C$37:$BL$44,MATCH($E129,$C$37:$BL$37,0),FALSE))*
IF($B$5="Foreign Currency",VLOOKUP($C$38,$C$37:$BL$44,MATCH(BE$48,$C$37:$BL$37,0),FALSE)/VLOOKUP($C$39,$C$37:$BL$44,MATCH(BE$48,$C$37:$BL$37,0),FALSE),1),
0),
    IF($T129="EPP with Grace Years for Principal",
        IF(AND(BE$48&gt;=$E129, BE$48&lt;($E129+$S129)),
$K129*$P129*(VLOOKUP($C$39,$C$37:$BL$44,MATCH($E129,$C$37:$BL$37,0),FALSE)/VLOOKUP($L129,$C$37:$BL$44,MATCH($E129,$C$37:$BL$37,0),FALSE))*
IF($B$5="Foreign Currency",VLOOKUP($C$38,$C$37:$BL$44,MATCH(BE$48,$C$37:$BL$37,0),FALSE)/VLOOKUP($C$39,$C$37:$BL$44,MATCH(BE$48,$C$37:$BL$37,0),FALSE),1),
        IF(AND(BE$48&gt;=($E129+$S129), BE$48&lt;=($E129+$Q129)),
-PMT($P129,($Q129-$S129+1),($K129*(VLOOKUP($C$39,$C$37:$BL$44,MATCH($E129,$C$37:$BL$37,0),FALSE)/VLOOKUP($L129,$C$37:$BL$44,MATCH($E129,$C$37:$BL$37,0),FALSE))*
IF($B$5="Foreign Currency",VLOOKUP($C$38,$C$37:$BL$44,MATCH(BE$48,$C$37:$BL$37,0),FALSE)/VLOOKUP($C$39,$C$37:$BL$44,MATCH(BE$48,$C$37:$BL$37,0),FALSE),1)),0),
0)),
    IF($T129="Equal Principal Payments (EPP)",
        IF(AND(BE$48&gt;=$E129, BE$48&lt;=($E129+$Q129)),
-PMT($P129,($Q129-$S129+1),($K129*(VLOOKUP($C$39,$C$37:$BL$44,MATCH($E129,$C$37:$BL$37,0),FALSE)/VLOOKUP($L129,$C$37:$BL$44,MATCH($E129,$C$37:$BL$37,0),FALSE))*
IF($B$5="Foreign Currency",VLOOKUP($C$38,$C$37:$BL$44,MATCH(BE$48,$C$37:$BL$37,0),FALSE)/VLOOKUP($C$39,$C$37:$BL$44,MATCH(BE$48,$C$37:$BL$37,0),FALSE),1)),0), 0),
    IF($T129="EPP with Grace Years for Principal and on Interest",
        IF(AND(BE$48&gt;=($E129+$S129), BE$48&lt;=($E129+$Q129)),
-PMT($P129,($Q129-$S129+1),($K129*(VLOOKUP($C$39,$C$37:$BL$44,MATCH($E129,$C$37:$BL$37,0),FALSE)/VLOOKUP($L129,$C$37:$BL$44,MATCH($E129,$C$37:$BL$37,0),FALSE))*
IF($B$5="Foreign Currency",VLOOKUP($C$38,$C$37:$BL$44,MATCH(BE$48,$C$37:$BL$37,0),FALSE)/VLOOKUP($C$39,$C$37:$BL$44,MATCH(BE$48,$C$37:$BL$37,0),FALSE),1))*((1+$P129)^$S129),0), 0),
    0)))))),"")</f>
        <v>0</v>
      </c>
      <c r="BF129" s="171">
        <f t="shared" si="195"/>
        <v>0</v>
      </c>
      <c r="BG129" s="171">
        <f t="shared" si="195"/>
        <v>0</v>
      </c>
      <c r="BH129" s="171">
        <f t="shared" si="195"/>
        <v>0</v>
      </c>
      <c r="BI129" s="171">
        <f t="shared" si="195"/>
        <v>0</v>
      </c>
      <c r="BJ129" s="171">
        <f t="shared" si="195"/>
        <v>0</v>
      </c>
      <c r="BK129" s="171">
        <f t="shared" si="195"/>
        <v>0</v>
      </c>
      <c r="BL129" s="171">
        <f t="shared" si="195"/>
        <v>0</v>
      </c>
      <c r="BM129" s="171">
        <f t="shared" si="195"/>
        <v>0</v>
      </c>
      <c r="BN129" s="171">
        <f t="shared" si="195"/>
        <v>0</v>
      </c>
      <c r="BO129" s="171">
        <f t="shared" ref="BO129:BX138" si="196">IFERROR(
    IF($T129="Equity",
        IF(AND(BO$48&gt;=$E129, BO$48&lt;=($E129+$Q129)),
$K129*$P129*(VLOOKUP($C$39,$C$37:$BL$44,MATCH($E129,$C$37:$BL$37,0),FALSE)/VLOOKUP($L129,$C$37:$BL$44,MATCH($E129,$C$37:$BL$37,0),FALSE))*
IF($B$5="Foreign Currency",VLOOKUP($C$38,$C$37:$BL$44,MATCH(BO$48,$C$37:$BL$37,0),FALSE)/VLOOKUP($C$39,$C$37:$BL$44,MATCH(BO$48,$C$37:$BL$37,0),FALSE),1),
0),
    IF($T129="Lump Sum Principal",
        IF(AND(BO$48&gt;=$E129, BO$48&lt;($E129+$Q129)),
$K129*$P129*(VLOOKUP($C$39,$C$37:$BL$44,MATCH($E129,$C$37:$BL$37,0),FALSE)/VLOOKUP($L129,$C$37:$BL$44,MATCH($E129,$C$37:$BL$37,0),FALSE))*
IF($B$5="Foreign Currency",VLOOKUP($C$38,$C$37:$BL$44,MATCH(BO$48,$C$37:$BL$37,0),FALSE)/VLOOKUP($C$39,$C$37:$BL$44,MATCH(BO$48,$C$37:$BL$37,0),FALSE),1),
        IF(BO$48=($E129+$Q129),
$K129*(1+$P129)*(VLOOKUP($C$39,$C$37:$BL$44,MATCH($E129,$C$37:$BL$37,0),FALSE)/VLOOKUP($L129,$C$37:$BL$44,MATCH($E129,$C$37:$BL$37,0),FALSE))*
IF($B$5="Foreign Currency",VLOOKUP($C$38,$C$37:$BL$44,MATCH(BO$48,$C$37:$BL$37,0),FALSE)/VLOOKUP($C$39,$C$37:$BL$44,MATCH(BO$48,$C$37:$BL$37,0),FALSE),1),
0)),
    IF($T129="Lump Sum Principal and Interest",
        IF(BO$48=($E129+$Q129),
$K129*((1+$P129)^$Q129)*(VLOOKUP($C$39,$C$37:$BL$44,MATCH($E129,$C$37:$BL$37,0),FALSE)/VLOOKUP($L129,$C$37:$BL$44,MATCH($E129,$C$37:$BL$37,0),FALSE))*
IF($B$5="Foreign Currency",VLOOKUP($C$38,$C$37:$BL$44,MATCH(BO$48,$C$37:$BL$37,0),FALSE)/VLOOKUP($C$39,$C$37:$BL$44,MATCH(BO$48,$C$37:$BL$37,0),FALSE),1),
0),
    IF($T129="EPP with Grace Years for Principal",
        IF(AND(BO$48&gt;=$E129, BO$48&lt;($E129+$S129)),
$K129*$P129*(VLOOKUP($C$39,$C$37:$BL$44,MATCH($E129,$C$37:$BL$37,0),FALSE)/VLOOKUP($L129,$C$37:$BL$44,MATCH($E129,$C$37:$BL$37,0),FALSE))*
IF($B$5="Foreign Currency",VLOOKUP($C$38,$C$37:$BL$44,MATCH(BO$48,$C$37:$BL$37,0),FALSE)/VLOOKUP($C$39,$C$37:$BL$44,MATCH(BO$48,$C$37:$BL$37,0),FALSE),1),
        IF(AND(BO$48&gt;=($E129+$S129), BO$48&lt;=($E129+$Q129)),
-PMT($P129,($Q129-$S129+1),($K129*(VLOOKUP($C$39,$C$37:$BL$44,MATCH($E129,$C$37:$BL$37,0),FALSE)/VLOOKUP($L129,$C$37:$BL$44,MATCH($E129,$C$37:$BL$37,0),FALSE))*
IF($B$5="Foreign Currency",VLOOKUP($C$38,$C$37:$BL$44,MATCH(BO$48,$C$37:$BL$37,0),FALSE)/VLOOKUP($C$39,$C$37:$BL$44,MATCH(BO$48,$C$37:$BL$37,0),FALSE),1)),0),
0)),
    IF($T129="Equal Principal Payments (EPP)",
        IF(AND(BO$48&gt;=$E129, BO$48&lt;=($E129+$Q129)),
-PMT($P129,($Q129-$S129+1),($K129*(VLOOKUP($C$39,$C$37:$BL$44,MATCH($E129,$C$37:$BL$37,0),FALSE)/VLOOKUP($L129,$C$37:$BL$44,MATCH($E129,$C$37:$BL$37,0),FALSE))*
IF($B$5="Foreign Currency",VLOOKUP($C$38,$C$37:$BL$44,MATCH(BO$48,$C$37:$BL$37,0),FALSE)/VLOOKUP($C$39,$C$37:$BL$44,MATCH(BO$48,$C$37:$BL$37,0),FALSE),1)),0), 0),
    IF($T129="EPP with Grace Years for Principal and on Interest",
        IF(AND(BO$48&gt;=($E129+$S129), BO$48&lt;=($E129+$Q129)),
-PMT($P129,($Q129-$S129+1),($K129*(VLOOKUP($C$39,$C$37:$BL$44,MATCH($E129,$C$37:$BL$37,0),FALSE)/VLOOKUP($L129,$C$37:$BL$44,MATCH($E129,$C$37:$BL$37,0),FALSE))*
IF($B$5="Foreign Currency",VLOOKUP($C$38,$C$37:$BL$44,MATCH(BO$48,$C$37:$BL$37,0),FALSE)/VLOOKUP($C$39,$C$37:$BL$44,MATCH(BO$48,$C$37:$BL$37,0),FALSE),1))*((1+$P129)^$S129),0), 0),
    0)))))),"")</f>
        <v>0</v>
      </c>
      <c r="BP129" s="171">
        <f t="shared" si="196"/>
        <v>0</v>
      </c>
      <c r="BQ129" s="171">
        <f t="shared" si="196"/>
        <v>0</v>
      </c>
      <c r="BR129" s="171">
        <f t="shared" si="196"/>
        <v>0</v>
      </c>
      <c r="BS129" s="171">
        <f t="shared" si="196"/>
        <v>0</v>
      </c>
      <c r="BT129" s="171">
        <f t="shared" si="196"/>
        <v>0</v>
      </c>
      <c r="BU129" s="171">
        <f t="shared" si="196"/>
        <v>0</v>
      </c>
      <c r="BV129" s="171">
        <f t="shared" si="196"/>
        <v>0</v>
      </c>
      <c r="BW129" s="171">
        <f t="shared" si="196"/>
        <v>0</v>
      </c>
      <c r="BX129" s="171">
        <f t="shared" si="196"/>
        <v>0</v>
      </c>
      <c r="BY129" s="171">
        <f t="shared" ref="BY129:CI138" si="197">IFERROR(
    IF($T129="Equity",
        IF(AND(BY$48&gt;=$E129, BY$48&lt;=($E129+$Q129)),
$K129*$P129*(VLOOKUP($C$39,$C$37:$BL$44,MATCH($E129,$C$37:$BL$37,0),FALSE)/VLOOKUP($L129,$C$37:$BL$44,MATCH($E129,$C$37:$BL$37,0),FALSE))*
IF($B$5="Foreign Currency",VLOOKUP($C$38,$C$37:$BL$44,MATCH(BY$48,$C$37:$BL$37,0),FALSE)/VLOOKUP($C$39,$C$37:$BL$44,MATCH(BY$48,$C$37:$BL$37,0),FALSE),1),
0),
    IF($T129="Lump Sum Principal",
        IF(AND(BY$48&gt;=$E129, BY$48&lt;($E129+$Q129)),
$K129*$P129*(VLOOKUP($C$39,$C$37:$BL$44,MATCH($E129,$C$37:$BL$37,0),FALSE)/VLOOKUP($L129,$C$37:$BL$44,MATCH($E129,$C$37:$BL$37,0),FALSE))*
IF($B$5="Foreign Currency",VLOOKUP($C$38,$C$37:$BL$44,MATCH(BY$48,$C$37:$BL$37,0),FALSE)/VLOOKUP($C$39,$C$37:$BL$44,MATCH(BY$48,$C$37:$BL$37,0),FALSE),1),
        IF(BY$48=($E129+$Q129),
$K129*(1+$P129)*(VLOOKUP($C$39,$C$37:$BL$44,MATCH($E129,$C$37:$BL$37,0),FALSE)/VLOOKUP($L129,$C$37:$BL$44,MATCH($E129,$C$37:$BL$37,0),FALSE))*
IF($B$5="Foreign Currency",VLOOKUP($C$38,$C$37:$BL$44,MATCH(BY$48,$C$37:$BL$37,0),FALSE)/VLOOKUP($C$39,$C$37:$BL$44,MATCH(BY$48,$C$37:$BL$37,0),FALSE),1),
0)),
    IF($T129="Lump Sum Principal and Interest",
        IF(BY$48=($E129+$Q129),
$K129*((1+$P129)^$Q129)*(VLOOKUP($C$39,$C$37:$BL$44,MATCH($E129,$C$37:$BL$37,0),FALSE)/VLOOKUP($L129,$C$37:$BL$44,MATCH($E129,$C$37:$BL$37,0),FALSE))*
IF($B$5="Foreign Currency",VLOOKUP($C$38,$C$37:$BL$44,MATCH(BY$48,$C$37:$BL$37,0),FALSE)/VLOOKUP($C$39,$C$37:$BL$44,MATCH(BY$48,$C$37:$BL$37,0),FALSE),1),
0),
    IF($T129="EPP with Grace Years for Principal",
        IF(AND(BY$48&gt;=$E129, BY$48&lt;($E129+$S129)),
$K129*$P129*(VLOOKUP($C$39,$C$37:$BL$44,MATCH($E129,$C$37:$BL$37,0),FALSE)/VLOOKUP($L129,$C$37:$BL$44,MATCH($E129,$C$37:$BL$37,0),FALSE))*
IF($B$5="Foreign Currency",VLOOKUP($C$38,$C$37:$BL$44,MATCH(BY$48,$C$37:$BL$37,0),FALSE)/VLOOKUP($C$39,$C$37:$BL$44,MATCH(BY$48,$C$37:$BL$37,0),FALSE),1),
        IF(AND(BY$48&gt;=($E129+$S129), BY$48&lt;=($E129+$Q129)),
-PMT($P129,($Q129-$S129+1),($K129*(VLOOKUP($C$39,$C$37:$BL$44,MATCH($E129,$C$37:$BL$37,0),FALSE)/VLOOKUP($L129,$C$37:$BL$44,MATCH($E129,$C$37:$BL$37,0),FALSE))*
IF($B$5="Foreign Currency",VLOOKUP($C$38,$C$37:$BL$44,MATCH(BY$48,$C$37:$BL$37,0),FALSE)/VLOOKUP($C$39,$C$37:$BL$44,MATCH(BY$48,$C$37:$BL$37,0),FALSE),1)),0),
0)),
    IF($T129="Equal Principal Payments (EPP)",
        IF(AND(BY$48&gt;=$E129, BY$48&lt;=($E129+$Q129)),
-PMT($P129,($Q129-$S129+1),($K129*(VLOOKUP($C$39,$C$37:$BL$44,MATCH($E129,$C$37:$BL$37,0),FALSE)/VLOOKUP($L129,$C$37:$BL$44,MATCH($E129,$C$37:$BL$37,0),FALSE))*
IF($B$5="Foreign Currency",VLOOKUP($C$38,$C$37:$BL$44,MATCH(BY$48,$C$37:$BL$37,0),FALSE)/VLOOKUP($C$39,$C$37:$BL$44,MATCH(BY$48,$C$37:$BL$37,0),FALSE),1)),0), 0),
    IF($T129="EPP with Grace Years for Principal and on Interest",
        IF(AND(BY$48&gt;=($E129+$S129), BY$48&lt;=($E129+$Q129)),
-PMT($P129,($Q129-$S129+1),($K129*(VLOOKUP($C$39,$C$37:$BL$44,MATCH($E129,$C$37:$BL$37,0),FALSE)/VLOOKUP($L129,$C$37:$BL$44,MATCH($E129,$C$37:$BL$37,0),FALSE))*
IF($B$5="Foreign Currency",VLOOKUP($C$38,$C$37:$BL$44,MATCH(BY$48,$C$37:$BL$37,0),FALSE)/VLOOKUP($C$39,$C$37:$BL$44,MATCH(BY$48,$C$37:$BL$37,0),FALSE),1))*((1+$P129)^$S129),0), 0),
    0)))))),"")</f>
        <v>0</v>
      </c>
      <c r="BZ129" s="171">
        <f t="shared" si="197"/>
        <v>0</v>
      </c>
      <c r="CA129" s="171">
        <f t="shared" si="197"/>
        <v>0</v>
      </c>
      <c r="CB129" s="171">
        <f t="shared" si="197"/>
        <v>0</v>
      </c>
      <c r="CC129" s="171">
        <f t="shared" si="197"/>
        <v>0</v>
      </c>
      <c r="CD129" s="171">
        <f t="shared" si="197"/>
        <v>0</v>
      </c>
      <c r="CE129" s="171">
        <f t="shared" si="197"/>
        <v>0</v>
      </c>
      <c r="CF129" s="171">
        <f t="shared" si="197"/>
        <v>0</v>
      </c>
      <c r="CG129" s="171">
        <f t="shared" si="197"/>
        <v>0</v>
      </c>
      <c r="CH129" s="171">
        <f t="shared" si="197"/>
        <v>0</v>
      </c>
      <c r="CI129" s="171">
        <f t="shared" si="197"/>
        <v>0</v>
      </c>
      <c r="CJ129" s="243"/>
      <c r="CK129" s="171">
        <f t="shared" si="124"/>
        <v>0</v>
      </c>
      <c r="CL129" s="171">
        <f t="shared" si="125"/>
        <v>0</v>
      </c>
      <c r="CM129" s="171">
        <f t="shared" si="126"/>
        <v>0</v>
      </c>
      <c r="CN129" s="171">
        <f t="shared" si="127"/>
        <v>0</v>
      </c>
      <c r="CO129" s="171">
        <f t="shared" si="128"/>
        <v>8.0815999999999999</v>
      </c>
      <c r="CP129" s="171">
        <f t="shared" si="129"/>
        <v>8.0815999999999999</v>
      </c>
      <c r="CQ129" s="171">
        <f t="shared" si="130"/>
        <v>8.0815999999999999</v>
      </c>
      <c r="CR129" s="171">
        <f t="shared" si="131"/>
        <v>8.0815999999999999</v>
      </c>
      <c r="CS129" s="171">
        <f t="shared" si="132"/>
        <v>8.0815999999999999</v>
      </c>
      <c r="CT129" s="171">
        <f t="shared" si="133"/>
        <v>8.0815999999999999</v>
      </c>
      <c r="CU129" s="171">
        <f t="shared" si="134"/>
        <v>8.0815999999999999</v>
      </c>
      <c r="CV129" s="171">
        <f t="shared" si="135"/>
        <v>8.0815999999999999</v>
      </c>
      <c r="CW129" s="171">
        <f t="shared" si="136"/>
        <v>8.0815999999999999</v>
      </c>
      <c r="CX129" s="171">
        <f t="shared" si="137"/>
        <v>8.0815999999999999</v>
      </c>
      <c r="CY129" s="171">
        <f t="shared" ca="1" si="138"/>
        <v>7.67240571915187</v>
      </c>
      <c r="CZ129" s="171">
        <f t="shared" ca="1" si="139"/>
        <v>7.2839301028601167</v>
      </c>
      <c r="DA129" s="171">
        <f t="shared" ca="1" si="140"/>
        <v>6.9151241064995084</v>
      </c>
      <c r="DB129" s="171">
        <f t="shared" ca="1" si="141"/>
        <v>6.5649918015432327</v>
      </c>
      <c r="DC129" s="171">
        <f t="shared" ca="1" si="142"/>
        <v>6.2325876861445053</v>
      </c>
      <c r="DD129" s="171">
        <f t="shared" ca="1" si="143"/>
        <v>5.9170141318910394</v>
      </c>
      <c r="DE129" s="171">
        <f t="shared" ca="1" si="144"/>
        <v>5.617418959837563</v>
      </c>
      <c r="DF129" s="171">
        <f t="shared" ca="1" si="145"/>
        <v>5.3329931392706724</v>
      </c>
      <c r="DG129" s="171">
        <f t="shared" ca="1" si="146"/>
        <v>5.0629686029917336</v>
      </c>
      <c r="DH129" s="171">
        <f t="shared" ca="1" si="147"/>
        <v>4.80661617321819</v>
      </c>
      <c r="DI129" s="171">
        <f t="shared" ca="1" si="148"/>
        <v>4.5632435925023653</v>
      </c>
      <c r="DJ129" s="171">
        <f t="shared" ca="1" si="149"/>
        <v>4.3321936543504105</v>
      </c>
      <c r="DK129" s="171">
        <f t="shared" ca="1" si="150"/>
        <v>4.1128424284933089</v>
      </c>
      <c r="DL129" s="171">
        <f t="shared" ca="1" si="151"/>
        <v>3.9045975760174376</v>
      </c>
      <c r="DM129" s="171">
        <f t="shared" ca="1" si="152"/>
        <v>3.7068967498048306</v>
      </c>
      <c r="DN129" s="171">
        <f t="shared" ca="1" si="153"/>
        <v>3.5192060759636776</v>
      </c>
      <c r="DO129" s="171">
        <f t="shared" ca="1" si="154"/>
        <v>0</v>
      </c>
      <c r="DP129" s="171">
        <f t="shared" ca="1" si="155"/>
        <v>0</v>
      </c>
      <c r="DQ129" s="171">
        <f t="shared" ca="1" si="156"/>
        <v>0</v>
      </c>
      <c r="DR129" s="171">
        <f t="shared" ca="1" si="157"/>
        <v>0</v>
      </c>
      <c r="DS129" s="171">
        <f t="shared" ca="1" si="158"/>
        <v>0</v>
      </c>
      <c r="DT129" s="171">
        <f t="shared" ca="1" si="159"/>
        <v>0</v>
      </c>
      <c r="DU129" s="171">
        <f t="shared" ca="1" si="160"/>
        <v>0</v>
      </c>
      <c r="DV129" s="171">
        <f t="shared" ca="1" si="161"/>
        <v>0</v>
      </c>
      <c r="DW129" s="171">
        <f t="shared" ca="1" si="162"/>
        <v>0</v>
      </c>
      <c r="DX129" s="171">
        <f t="shared" ca="1" si="163"/>
        <v>0</v>
      </c>
      <c r="DY129" s="171">
        <f t="shared" ca="1" si="164"/>
        <v>0</v>
      </c>
      <c r="DZ129" s="171">
        <f t="shared" ca="1" si="165"/>
        <v>0</v>
      </c>
      <c r="EA129" s="171">
        <f t="shared" ca="1" si="166"/>
        <v>0</v>
      </c>
      <c r="EB129" s="171">
        <f t="shared" ca="1" si="167"/>
        <v>0</v>
      </c>
      <c r="EC129" s="171">
        <f t="shared" ca="1" si="168"/>
        <v>0</v>
      </c>
      <c r="ED129" s="171">
        <f t="shared" ca="1" si="169"/>
        <v>0</v>
      </c>
      <c r="EE129" s="171">
        <f t="shared" ca="1" si="170"/>
        <v>0</v>
      </c>
      <c r="EF129" s="171">
        <f t="shared" ca="1" si="171"/>
        <v>0</v>
      </c>
      <c r="EG129" s="171">
        <f t="shared" ca="1" si="172"/>
        <v>0</v>
      </c>
      <c r="EH129" s="171">
        <f t="shared" ca="1" si="173"/>
        <v>0</v>
      </c>
      <c r="EI129" s="171">
        <f t="shared" ca="1" si="174"/>
        <v>0</v>
      </c>
      <c r="EJ129" s="171">
        <f t="shared" ca="1" si="175"/>
        <v>0</v>
      </c>
      <c r="EK129" s="171">
        <f t="shared" ca="1" si="176"/>
        <v>0</v>
      </c>
      <c r="EL129" s="171">
        <f t="shared" ca="1" si="177"/>
        <v>0</v>
      </c>
      <c r="EM129" s="171">
        <f t="shared" ca="1" si="178"/>
        <v>0</v>
      </c>
      <c r="EN129" s="171">
        <f t="shared" ca="1" si="179"/>
        <v>0</v>
      </c>
      <c r="EO129" s="171">
        <f t="shared" ca="1" si="180"/>
        <v>0</v>
      </c>
      <c r="EP129" s="171">
        <f t="shared" ca="1" si="181"/>
        <v>0</v>
      </c>
      <c r="EQ129" s="171">
        <f t="shared" ca="1" si="182"/>
        <v>0</v>
      </c>
      <c r="ER129" s="171">
        <f t="shared" ca="1" si="183"/>
        <v>0</v>
      </c>
      <c r="ES129" s="171">
        <f t="shared" ca="1" si="184"/>
        <v>0</v>
      </c>
    </row>
    <row r="130" spans="1:149">
      <c r="A130" s="139" t="s">
        <v>483</v>
      </c>
      <c r="B130" s="160" t="s">
        <v>492</v>
      </c>
      <c r="C130" s="161" t="s">
        <v>460</v>
      </c>
      <c r="D130" s="161" t="s">
        <v>394</v>
      </c>
      <c r="E130" s="161">
        <v>2014</v>
      </c>
      <c r="F130" s="189" t="s">
        <v>405</v>
      </c>
      <c r="G130" s="189" t="s">
        <v>289</v>
      </c>
      <c r="H130" s="189" t="s">
        <v>406</v>
      </c>
      <c r="I130" s="189" t="s">
        <v>365</v>
      </c>
      <c r="J130" s="189" t="s">
        <v>397</v>
      </c>
      <c r="K130" s="184">
        <v>41.21</v>
      </c>
      <c r="L130" s="163" t="s">
        <v>110</v>
      </c>
      <c r="M130" s="164">
        <f t="shared" si="115"/>
        <v>41.21</v>
      </c>
      <c r="N130" s="164">
        <f t="shared" si="116"/>
        <v>41.21</v>
      </c>
      <c r="O130" s="165">
        <f t="shared" si="117"/>
        <v>1</v>
      </c>
      <c r="P130" s="190">
        <v>0.16</v>
      </c>
      <c r="Q130" s="177">
        <v>25</v>
      </c>
      <c r="R130" s="168">
        <f t="shared" si="118"/>
        <v>15</v>
      </c>
      <c r="S130" s="178">
        <v>0</v>
      </c>
      <c r="T130" s="161" t="s">
        <v>289</v>
      </c>
      <c r="U130" s="171">
        <f t="shared" si="119"/>
        <v>6.8573440000000003</v>
      </c>
      <c r="V130" s="171">
        <f t="shared" ca="1" si="120"/>
        <v>5.4292124861827524</v>
      </c>
      <c r="W130" s="171">
        <f t="shared" ca="1" si="185"/>
        <v>135.73031215456882</v>
      </c>
      <c r="X130" s="172" t="str">
        <f t="shared" si="121"/>
        <v>Equity</v>
      </c>
      <c r="Y130" s="172" t="str">
        <f t="shared" si="122"/>
        <v>Equity</v>
      </c>
      <c r="Z130" s="173">
        <f t="shared" si="123"/>
        <v>171.43360000000001</v>
      </c>
      <c r="AA130" s="171">
        <f t="shared" si="192"/>
        <v>0</v>
      </c>
      <c r="AB130" s="171">
        <f t="shared" si="192"/>
        <v>0</v>
      </c>
      <c r="AC130" s="171">
        <f t="shared" si="192"/>
        <v>0</v>
      </c>
      <c r="AD130" s="171">
        <f t="shared" si="192"/>
        <v>0</v>
      </c>
      <c r="AE130" s="171">
        <f t="shared" si="192"/>
        <v>6.5936000000000003</v>
      </c>
      <c r="AF130" s="171">
        <f t="shared" si="192"/>
        <v>6.5936000000000003</v>
      </c>
      <c r="AG130" s="171">
        <f t="shared" si="192"/>
        <v>6.5936000000000003</v>
      </c>
      <c r="AH130" s="171">
        <f t="shared" si="192"/>
        <v>6.5936000000000003</v>
      </c>
      <c r="AI130" s="171">
        <f t="shared" si="192"/>
        <v>6.5936000000000003</v>
      </c>
      <c r="AJ130" s="171">
        <f t="shared" si="192"/>
        <v>6.5936000000000003</v>
      </c>
      <c r="AK130" s="171">
        <f t="shared" si="193"/>
        <v>6.5936000000000003</v>
      </c>
      <c r="AL130" s="171">
        <f t="shared" si="193"/>
        <v>6.5936000000000003</v>
      </c>
      <c r="AM130" s="171">
        <f t="shared" si="193"/>
        <v>6.5936000000000003</v>
      </c>
      <c r="AN130" s="171">
        <f t="shared" si="193"/>
        <v>6.5936000000000003</v>
      </c>
      <c r="AO130" s="171">
        <f t="shared" si="193"/>
        <v>6.5936000000000003</v>
      </c>
      <c r="AP130" s="171">
        <f t="shared" si="193"/>
        <v>6.5936000000000003</v>
      </c>
      <c r="AQ130" s="171">
        <f t="shared" si="193"/>
        <v>6.5936000000000003</v>
      </c>
      <c r="AR130" s="171">
        <f t="shared" si="193"/>
        <v>6.5936000000000003</v>
      </c>
      <c r="AS130" s="171">
        <f t="shared" si="193"/>
        <v>6.5936000000000003</v>
      </c>
      <c r="AT130" s="171">
        <f t="shared" si="193"/>
        <v>6.5936000000000003</v>
      </c>
      <c r="AU130" s="171">
        <f t="shared" si="194"/>
        <v>6.5936000000000003</v>
      </c>
      <c r="AV130" s="171">
        <f t="shared" si="194"/>
        <v>6.5936000000000003</v>
      </c>
      <c r="AW130" s="171">
        <f t="shared" si="194"/>
        <v>6.5936000000000003</v>
      </c>
      <c r="AX130" s="171">
        <f t="shared" si="194"/>
        <v>6.5936000000000003</v>
      </c>
      <c r="AY130" s="171">
        <f t="shared" si="194"/>
        <v>6.5936000000000003</v>
      </c>
      <c r="AZ130" s="171">
        <f t="shared" si="194"/>
        <v>6.5936000000000003</v>
      </c>
      <c r="BA130" s="171">
        <f t="shared" si="194"/>
        <v>6.5936000000000003</v>
      </c>
      <c r="BB130" s="171">
        <f t="shared" si="194"/>
        <v>6.5936000000000003</v>
      </c>
      <c r="BC130" s="171">
        <f t="shared" si="194"/>
        <v>6.5936000000000003</v>
      </c>
      <c r="BD130" s="171">
        <f t="shared" si="194"/>
        <v>6.5936000000000003</v>
      </c>
      <c r="BE130" s="171">
        <f t="shared" si="195"/>
        <v>0</v>
      </c>
      <c r="BF130" s="171">
        <f t="shared" si="195"/>
        <v>0</v>
      </c>
      <c r="BG130" s="171">
        <f t="shared" si="195"/>
        <v>0</v>
      </c>
      <c r="BH130" s="171">
        <f t="shared" si="195"/>
        <v>0</v>
      </c>
      <c r="BI130" s="171">
        <f t="shared" si="195"/>
        <v>0</v>
      </c>
      <c r="BJ130" s="171">
        <f t="shared" si="195"/>
        <v>0</v>
      </c>
      <c r="BK130" s="171">
        <f t="shared" si="195"/>
        <v>0</v>
      </c>
      <c r="BL130" s="171">
        <f t="shared" si="195"/>
        <v>0</v>
      </c>
      <c r="BM130" s="171">
        <f t="shared" si="195"/>
        <v>0</v>
      </c>
      <c r="BN130" s="171">
        <f t="shared" si="195"/>
        <v>0</v>
      </c>
      <c r="BO130" s="171">
        <f t="shared" si="196"/>
        <v>0</v>
      </c>
      <c r="BP130" s="171">
        <f t="shared" si="196"/>
        <v>0</v>
      </c>
      <c r="BQ130" s="171">
        <f t="shared" si="196"/>
        <v>0</v>
      </c>
      <c r="BR130" s="171">
        <f t="shared" si="196"/>
        <v>0</v>
      </c>
      <c r="BS130" s="171">
        <f t="shared" si="196"/>
        <v>0</v>
      </c>
      <c r="BT130" s="171">
        <f t="shared" si="196"/>
        <v>0</v>
      </c>
      <c r="BU130" s="171">
        <f t="shared" si="196"/>
        <v>0</v>
      </c>
      <c r="BV130" s="171">
        <f t="shared" si="196"/>
        <v>0</v>
      </c>
      <c r="BW130" s="171">
        <f t="shared" si="196"/>
        <v>0</v>
      </c>
      <c r="BX130" s="171">
        <f t="shared" si="196"/>
        <v>0</v>
      </c>
      <c r="BY130" s="171">
        <f t="shared" si="197"/>
        <v>0</v>
      </c>
      <c r="BZ130" s="171">
        <f t="shared" si="197"/>
        <v>0</v>
      </c>
      <c r="CA130" s="171">
        <f t="shared" si="197"/>
        <v>0</v>
      </c>
      <c r="CB130" s="171">
        <f t="shared" si="197"/>
        <v>0</v>
      </c>
      <c r="CC130" s="171">
        <f t="shared" si="197"/>
        <v>0</v>
      </c>
      <c r="CD130" s="171">
        <f t="shared" si="197"/>
        <v>0</v>
      </c>
      <c r="CE130" s="171">
        <f t="shared" si="197"/>
        <v>0</v>
      </c>
      <c r="CF130" s="171">
        <f t="shared" si="197"/>
        <v>0</v>
      </c>
      <c r="CG130" s="171">
        <f t="shared" si="197"/>
        <v>0</v>
      </c>
      <c r="CH130" s="171">
        <f t="shared" si="197"/>
        <v>0</v>
      </c>
      <c r="CI130" s="171">
        <f t="shared" si="197"/>
        <v>0</v>
      </c>
      <c r="CJ130" s="243"/>
      <c r="CK130" s="171">
        <f t="shared" si="124"/>
        <v>0</v>
      </c>
      <c r="CL130" s="171">
        <f t="shared" si="125"/>
        <v>0</v>
      </c>
      <c r="CM130" s="171">
        <f t="shared" si="126"/>
        <v>0</v>
      </c>
      <c r="CN130" s="171">
        <f t="shared" si="127"/>
        <v>0</v>
      </c>
      <c r="CO130" s="171">
        <f t="shared" si="128"/>
        <v>6.5936000000000003</v>
      </c>
      <c r="CP130" s="171">
        <f t="shared" si="129"/>
        <v>6.5936000000000003</v>
      </c>
      <c r="CQ130" s="171">
        <f t="shared" si="130"/>
        <v>6.5936000000000003</v>
      </c>
      <c r="CR130" s="171">
        <f t="shared" si="131"/>
        <v>6.5936000000000003</v>
      </c>
      <c r="CS130" s="171">
        <f t="shared" si="132"/>
        <v>6.5936000000000003</v>
      </c>
      <c r="CT130" s="171">
        <f t="shared" si="133"/>
        <v>6.5936000000000003</v>
      </c>
      <c r="CU130" s="171">
        <f t="shared" si="134"/>
        <v>6.5936000000000003</v>
      </c>
      <c r="CV130" s="171">
        <f t="shared" si="135"/>
        <v>6.5936000000000003</v>
      </c>
      <c r="CW130" s="171">
        <f t="shared" si="136"/>
        <v>6.5936000000000003</v>
      </c>
      <c r="CX130" s="171">
        <f t="shared" si="137"/>
        <v>6.5936000000000003</v>
      </c>
      <c r="CY130" s="171">
        <f t="shared" ca="1" si="138"/>
        <v>6.2597473705454085</v>
      </c>
      <c r="CZ130" s="171">
        <f t="shared" ca="1" si="139"/>
        <v>5.9427986446023642</v>
      </c>
      <c r="DA130" s="171">
        <f t="shared" ca="1" si="140"/>
        <v>5.6418979296940162</v>
      </c>
      <c r="DB130" s="171">
        <f t="shared" ca="1" si="141"/>
        <v>5.3562326696019928</v>
      </c>
      <c r="DC130" s="171">
        <f t="shared" ca="1" si="142"/>
        <v>5.0850314501289864</v>
      </c>
      <c r="DD130" s="171">
        <f t="shared" ca="1" si="143"/>
        <v>4.8275619159617849</v>
      </c>
      <c r="DE130" s="171">
        <f t="shared" ca="1" si="144"/>
        <v>4.5831287930094238</v>
      </c>
      <c r="DF130" s="171">
        <f t="shared" ca="1" si="145"/>
        <v>4.3510720108759537</v>
      </c>
      <c r="DG130" s="171">
        <f t="shared" ca="1" si="146"/>
        <v>4.1307649203977306</v>
      </c>
      <c r="DH130" s="171">
        <f t="shared" ca="1" si="147"/>
        <v>3.921612601431828</v>
      </c>
      <c r="DI130" s="171">
        <f t="shared" ca="1" si="148"/>
        <v>3.7230502563259256</v>
      </c>
      <c r="DJ130" s="171">
        <f t="shared" ca="1" si="149"/>
        <v>3.5345416847313484</v>
      </c>
      <c r="DK130" s="171">
        <f t="shared" ca="1" si="150"/>
        <v>3.3555778356406503</v>
      </c>
      <c r="DL130" s="171">
        <f t="shared" ca="1" si="151"/>
        <v>3.1856754327396284</v>
      </c>
      <c r="DM130" s="171">
        <f t="shared" ca="1" si="152"/>
        <v>3.0243756693616528</v>
      </c>
      <c r="DN130" s="171">
        <f t="shared" ca="1" si="153"/>
        <v>2.871242969520158</v>
      </c>
      <c r="DO130" s="171">
        <f t="shared" ca="1" si="154"/>
        <v>0</v>
      </c>
      <c r="DP130" s="171">
        <f t="shared" ca="1" si="155"/>
        <v>0</v>
      </c>
      <c r="DQ130" s="171">
        <f t="shared" ca="1" si="156"/>
        <v>0</v>
      </c>
      <c r="DR130" s="171">
        <f t="shared" ca="1" si="157"/>
        <v>0</v>
      </c>
      <c r="DS130" s="171">
        <f t="shared" ca="1" si="158"/>
        <v>0</v>
      </c>
      <c r="DT130" s="171">
        <f t="shared" ca="1" si="159"/>
        <v>0</v>
      </c>
      <c r="DU130" s="171">
        <f t="shared" ca="1" si="160"/>
        <v>0</v>
      </c>
      <c r="DV130" s="171">
        <f t="shared" ca="1" si="161"/>
        <v>0</v>
      </c>
      <c r="DW130" s="171">
        <f t="shared" ca="1" si="162"/>
        <v>0</v>
      </c>
      <c r="DX130" s="171">
        <f t="shared" ca="1" si="163"/>
        <v>0</v>
      </c>
      <c r="DY130" s="171">
        <f t="shared" ca="1" si="164"/>
        <v>0</v>
      </c>
      <c r="DZ130" s="171">
        <f t="shared" ca="1" si="165"/>
        <v>0</v>
      </c>
      <c r="EA130" s="171">
        <f t="shared" ca="1" si="166"/>
        <v>0</v>
      </c>
      <c r="EB130" s="171">
        <f t="shared" ca="1" si="167"/>
        <v>0</v>
      </c>
      <c r="EC130" s="171">
        <f t="shared" ca="1" si="168"/>
        <v>0</v>
      </c>
      <c r="ED130" s="171">
        <f t="shared" ca="1" si="169"/>
        <v>0</v>
      </c>
      <c r="EE130" s="171">
        <f t="shared" ca="1" si="170"/>
        <v>0</v>
      </c>
      <c r="EF130" s="171">
        <f t="shared" ca="1" si="171"/>
        <v>0</v>
      </c>
      <c r="EG130" s="171">
        <f t="shared" ca="1" si="172"/>
        <v>0</v>
      </c>
      <c r="EH130" s="171">
        <f t="shared" ca="1" si="173"/>
        <v>0</v>
      </c>
      <c r="EI130" s="171">
        <f t="shared" ca="1" si="174"/>
        <v>0</v>
      </c>
      <c r="EJ130" s="171">
        <f t="shared" ca="1" si="175"/>
        <v>0</v>
      </c>
      <c r="EK130" s="171">
        <f t="shared" ca="1" si="176"/>
        <v>0</v>
      </c>
      <c r="EL130" s="171">
        <f t="shared" ca="1" si="177"/>
        <v>0</v>
      </c>
      <c r="EM130" s="171">
        <f t="shared" ca="1" si="178"/>
        <v>0</v>
      </c>
      <c r="EN130" s="171">
        <f t="shared" ca="1" si="179"/>
        <v>0</v>
      </c>
      <c r="EO130" s="171">
        <f t="shared" ca="1" si="180"/>
        <v>0</v>
      </c>
      <c r="EP130" s="171">
        <f t="shared" ca="1" si="181"/>
        <v>0</v>
      </c>
      <c r="EQ130" s="171">
        <f t="shared" ca="1" si="182"/>
        <v>0</v>
      </c>
      <c r="ER130" s="171">
        <f t="shared" ca="1" si="183"/>
        <v>0</v>
      </c>
      <c r="ES130" s="171">
        <f t="shared" ca="1" si="184"/>
        <v>0</v>
      </c>
    </row>
    <row r="131" spans="1:149">
      <c r="A131" s="139" t="s">
        <v>483</v>
      </c>
      <c r="B131" s="160" t="s">
        <v>493</v>
      </c>
      <c r="C131" s="160" t="s">
        <v>460</v>
      </c>
      <c r="D131" s="161" t="s">
        <v>394</v>
      </c>
      <c r="E131" s="160">
        <v>2014</v>
      </c>
      <c r="F131" s="194" t="s">
        <v>405</v>
      </c>
      <c r="G131" s="160" t="s">
        <v>289</v>
      </c>
      <c r="H131" s="194" t="s">
        <v>406</v>
      </c>
      <c r="I131" s="194" t="s">
        <v>365</v>
      </c>
      <c r="J131" s="194" t="s">
        <v>397</v>
      </c>
      <c r="K131" s="187">
        <v>21.27</v>
      </c>
      <c r="L131" s="163" t="s">
        <v>110</v>
      </c>
      <c r="M131" s="164">
        <f t="shared" si="115"/>
        <v>21.27</v>
      </c>
      <c r="N131" s="164">
        <f t="shared" si="116"/>
        <v>21.27</v>
      </c>
      <c r="O131" s="165">
        <f t="shared" si="117"/>
        <v>1</v>
      </c>
      <c r="P131" s="190">
        <v>0.16</v>
      </c>
      <c r="Q131" s="177">
        <v>25</v>
      </c>
      <c r="R131" s="168">
        <f t="shared" si="118"/>
        <v>15</v>
      </c>
      <c r="S131" s="178">
        <v>0</v>
      </c>
      <c r="T131" s="160" t="s">
        <v>289</v>
      </c>
      <c r="U131" s="171">
        <f t="shared" si="119"/>
        <v>3.5393279999999989</v>
      </c>
      <c r="V131" s="171">
        <f t="shared" ca="1" si="120"/>
        <v>2.8022166848121124</v>
      </c>
      <c r="W131" s="171">
        <f t="shared" ca="1" si="185"/>
        <v>70.055417120302806</v>
      </c>
      <c r="X131" s="172" t="str">
        <f t="shared" si="121"/>
        <v>Equity</v>
      </c>
      <c r="Y131" s="172" t="str">
        <f t="shared" si="122"/>
        <v>Equity</v>
      </c>
      <c r="Z131" s="173">
        <f t="shared" si="123"/>
        <v>88.483199999999968</v>
      </c>
      <c r="AA131" s="171">
        <f t="shared" si="192"/>
        <v>0</v>
      </c>
      <c r="AB131" s="171">
        <f t="shared" si="192"/>
        <v>0</v>
      </c>
      <c r="AC131" s="171">
        <f t="shared" si="192"/>
        <v>0</v>
      </c>
      <c r="AD131" s="171">
        <f t="shared" si="192"/>
        <v>0</v>
      </c>
      <c r="AE131" s="171">
        <f t="shared" si="192"/>
        <v>3.4032</v>
      </c>
      <c r="AF131" s="171">
        <f t="shared" si="192"/>
        <v>3.4032</v>
      </c>
      <c r="AG131" s="171">
        <f t="shared" si="192"/>
        <v>3.4032</v>
      </c>
      <c r="AH131" s="171">
        <f t="shared" si="192"/>
        <v>3.4032</v>
      </c>
      <c r="AI131" s="171">
        <f t="shared" si="192"/>
        <v>3.4032</v>
      </c>
      <c r="AJ131" s="171">
        <f t="shared" si="192"/>
        <v>3.4032</v>
      </c>
      <c r="AK131" s="171">
        <f t="shared" si="193"/>
        <v>3.4032</v>
      </c>
      <c r="AL131" s="171">
        <f t="shared" si="193"/>
        <v>3.4032</v>
      </c>
      <c r="AM131" s="171">
        <f t="shared" si="193"/>
        <v>3.4032</v>
      </c>
      <c r="AN131" s="171">
        <f t="shared" si="193"/>
        <v>3.4032</v>
      </c>
      <c r="AO131" s="171">
        <f t="shared" si="193"/>
        <v>3.4032</v>
      </c>
      <c r="AP131" s="171">
        <f t="shared" si="193"/>
        <v>3.4032</v>
      </c>
      <c r="AQ131" s="171">
        <f t="shared" si="193"/>
        <v>3.4032</v>
      </c>
      <c r="AR131" s="171">
        <f t="shared" si="193"/>
        <v>3.4032</v>
      </c>
      <c r="AS131" s="171">
        <f t="shared" si="193"/>
        <v>3.4032</v>
      </c>
      <c r="AT131" s="171">
        <f t="shared" si="193"/>
        <v>3.4032</v>
      </c>
      <c r="AU131" s="171">
        <f t="shared" si="194"/>
        <v>3.4032</v>
      </c>
      <c r="AV131" s="171">
        <f t="shared" si="194"/>
        <v>3.4032</v>
      </c>
      <c r="AW131" s="171">
        <f t="shared" si="194"/>
        <v>3.4032</v>
      </c>
      <c r="AX131" s="171">
        <f t="shared" si="194"/>
        <v>3.4032</v>
      </c>
      <c r="AY131" s="171">
        <f t="shared" si="194"/>
        <v>3.4032</v>
      </c>
      <c r="AZ131" s="171">
        <f t="shared" si="194"/>
        <v>3.4032</v>
      </c>
      <c r="BA131" s="171">
        <f t="shared" si="194"/>
        <v>3.4032</v>
      </c>
      <c r="BB131" s="171">
        <f t="shared" si="194"/>
        <v>3.4032</v>
      </c>
      <c r="BC131" s="171">
        <f t="shared" si="194"/>
        <v>3.4032</v>
      </c>
      <c r="BD131" s="171">
        <f t="shared" si="194"/>
        <v>3.4032</v>
      </c>
      <c r="BE131" s="171">
        <f t="shared" si="195"/>
        <v>0</v>
      </c>
      <c r="BF131" s="171">
        <f t="shared" si="195"/>
        <v>0</v>
      </c>
      <c r="BG131" s="171">
        <f t="shared" si="195"/>
        <v>0</v>
      </c>
      <c r="BH131" s="171">
        <f t="shared" si="195"/>
        <v>0</v>
      </c>
      <c r="BI131" s="171">
        <f t="shared" si="195"/>
        <v>0</v>
      </c>
      <c r="BJ131" s="171">
        <f t="shared" si="195"/>
        <v>0</v>
      </c>
      <c r="BK131" s="171">
        <f t="shared" si="195"/>
        <v>0</v>
      </c>
      <c r="BL131" s="171">
        <f t="shared" si="195"/>
        <v>0</v>
      </c>
      <c r="BM131" s="171">
        <f t="shared" si="195"/>
        <v>0</v>
      </c>
      <c r="BN131" s="171">
        <f t="shared" si="195"/>
        <v>0</v>
      </c>
      <c r="BO131" s="171">
        <f t="shared" si="196"/>
        <v>0</v>
      </c>
      <c r="BP131" s="171">
        <f t="shared" si="196"/>
        <v>0</v>
      </c>
      <c r="BQ131" s="171">
        <f t="shared" si="196"/>
        <v>0</v>
      </c>
      <c r="BR131" s="171">
        <f t="shared" si="196"/>
        <v>0</v>
      </c>
      <c r="BS131" s="171">
        <f t="shared" si="196"/>
        <v>0</v>
      </c>
      <c r="BT131" s="171">
        <f t="shared" si="196"/>
        <v>0</v>
      </c>
      <c r="BU131" s="171">
        <f t="shared" si="196"/>
        <v>0</v>
      </c>
      <c r="BV131" s="171">
        <f t="shared" si="196"/>
        <v>0</v>
      </c>
      <c r="BW131" s="171">
        <f t="shared" si="196"/>
        <v>0</v>
      </c>
      <c r="BX131" s="171">
        <f t="shared" si="196"/>
        <v>0</v>
      </c>
      <c r="BY131" s="171">
        <f t="shared" si="197"/>
        <v>0</v>
      </c>
      <c r="BZ131" s="171">
        <f t="shared" si="197"/>
        <v>0</v>
      </c>
      <c r="CA131" s="171">
        <f t="shared" si="197"/>
        <v>0</v>
      </c>
      <c r="CB131" s="171">
        <f t="shared" si="197"/>
        <v>0</v>
      </c>
      <c r="CC131" s="171">
        <f t="shared" si="197"/>
        <v>0</v>
      </c>
      <c r="CD131" s="171">
        <f t="shared" si="197"/>
        <v>0</v>
      </c>
      <c r="CE131" s="171">
        <f t="shared" si="197"/>
        <v>0</v>
      </c>
      <c r="CF131" s="171">
        <f t="shared" si="197"/>
        <v>0</v>
      </c>
      <c r="CG131" s="171">
        <f t="shared" si="197"/>
        <v>0</v>
      </c>
      <c r="CH131" s="171">
        <f t="shared" si="197"/>
        <v>0</v>
      </c>
      <c r="CI131" s="171">
        <f t="shared" si="197"/>
        <v>0</v>
      </c>
      <c r="CJ131" s="243"/>
      <c r="CK131" s="171">
        <f t="shared" si="124"/>
        <v>0</v>
      </c>
      <c r="CL131" s="171">
        <f t="shared" si="125"/>
        <v>0</v>
      </c>
      <c r="CM131" s="171">
        <f t="shared" si="126"/>
        <v>0</v>
      </c>
      <c r="CN131" s="171">
        <f t="shared" si="127"/>
        <v>0</v>
      </c>
      <c r="CO131" s="171">
        <f t="shared" si="128"/>
        <v>3.4032</v>
      </c>
      <c r="CP131" s="171">
        <f t="shared" si="129"/>
        <v>3.4032</v>
      </c>
      <c r="CQ131" s="171">
        <f t="shared" si="130"/>
        <v>3.4032</v>
      </c>
      <c r="CR131" s="171">
        <f t="shared" si="131"/>
        <v>3.4032</v>
      </c>
      <c r="CS131" s="171">
        <f t="shared" si="132"/>
        <v>3.4032</v>
      </c>
      <c r="CT131" s="171">
        <f t="shared" si="133"/>
        <v>3.4032</v>
      </c>
      <c r="CU131" s="171">
        <f t="shared" si="134"/>
        <v>3.4032</v>
      </c>
      <c r="CV131" s="171">
        <f t="shared" si="135"/>
        <v>3.4032</v>
      </c>
      <c r="CW131" s="171">
        <f t="shared" si="136"/>
        <v>3.4032</v>
      </c>
      <c r="CX131" s="171">
        <f t="shared" si="137"/>
        <v>3.4032</v>
      </c>
      <c r="CY131" s="171">
        <f t="shared" ca="1" si="138"/>
        <v>3.2308863521354243</v>
      </c>
      <c r="CZ131" s="171">
        <f t="shared" ca="1" si="139"/>
        <v>3.0672974319507955</v>
      </c>
      <c r="DA131" s="171">
        <f t="shared" ca="1" si="140"/>
        <v>2.9119914817906265</v>
      </c>
      <c r="DB131" s="171">
        <f t="shared" ca="1" si="141"/>
        <v>2.7645491114398051</v>
      </c>
      <c r="DC131" s="171">
        <f t="shared" ca="1" si="142"/>
        <v>2.6245721655967853</v>
      </c>
      <c r="DD131" s="171">
        <f t="shared" ca="1" si="143"/>
        <v>2.491682648689812</v>
      </c>
      <c r="DE131" s="171">
        <f t="shared" ca="1" si="144"/>
        <v>2.3655217041327452</v>
      </c>
      <c r="DF131" s="171">
        <f t="shared" ca="1" si="145"/>
        <v>2.2457486452640505</v>
      </c>
      <c r="DG131" s="171">
        <f t="shared" ca="1" si="146"/>
        <v>2.1320400353520923</v>
      </c>
      <c r="DH131" s="171">
        <f t="shared" ca="1" si="147"/>
        <v>2.0240888141823583</v>
      </c>
      <c r="DI131" s="171">
        <f t="shared" ca="1" si="148"/>
        <v>1.9216034688680521</v>
      </c>
      <c r="DJ131" s="171">
        <f t="shared" ca="1" si="149"/>
        <v>1.8243072466448866</v>
      </c>
      <c r="DK131" s="171">
        <f t="shared" ca="1" si="150"/>
        <v>1.7319374075243055</v>
      </c>
      <c r="DL131" s="171">
        <f t="shared" ca="1" si="151"/>
        <v>1.6442445147869909</v>
      </c>
      <c r="DM131" s="171">
        <f t="shared" ca="1" si="152"/>
        <v>1.5609917614006881</v>
      </c>
      <c r="DN131" s="171">
        <f t="shared" ca="1" si="153"/>
        <v>1.4819543305434058</v>
      </c>
      <c r="DO131" s="171">
        <f t="shared" ca="1" si="154"/>
        <v>0</v>
      </c>
      <c r="DP131" s="171">
        <f t="shared" ca="1" si="155"/>
        <v>0</v>
      </c>
      <c r="DQ131" s="171">
        <f t="shared" ca="1" si="156"/>
        <v>0</v>
      </c>
      <c r="DR131" s="171">
        <f t="shared" ca="1" si="157"/>
        <v>0</v>
      </c>
      <c r="DS131" s="171">
        <f t="shared" ca="1" si="158"/>
        <v>0</v>
      </c>
      <c r="DT131" s="171">
        <f t="shared" ca="1" si="159"/>
        <v>0</v>
      </c>
      <c r="DU131" s="171">
        <f t="shared" ca="1" si="160"/>
        <v>0</v>
      </c>
      <c r="DV131" s="171">
        <f t="shared" ca="1" si="161"/>
        <v>0</v>
      </c>
      <c r="DW131" s="171">
        <f t="shared" ca="1" si="162"/>
        <v>0</v>
      </c>
      <c r="DX131" s="171">
        <f t="shared" ca="1" si="163"/>
        <v>0</v>
      </c>
      <c r="DY131" s="171">
        <f t="shared" ca="1" si="164"/>
        <v>0</v>
      </c>
      <c r="DZ131" s="171">
        <f t="shared" ca="1" si="165"/>
        <v>0</v>
      </c>
      <c r="EA131" s="171">
        <f t="shared" ca="1" si="166"/>
        <v>0</v>
      </c>
      <c r="EB131" s="171">
        <f t="shared" ca="1" si="167"/>
        <v>0</v>
      </c>
      <c r="EC131" s="171">
        <f t="shared" ca="1" si="168"/>
        <v>0</v>
      </c>
      <c r="ED131" s="171">
        <f t="shared" ca="1" si="169"/>
        <v>0</v>
      </c>
      <c r="EE131" s="171">
        <f t="shared" ca="1" si="170"/>
        <v>0</v>
      </c>
      <c r="EF131" s="171">
        <f t="shared" ca="1" si="171"/>
        <v>0</v>
      </c>
      <c r="EG131" s="171">
        <f t="shared" ca="1" si="172"/>
        <v>0</v>
      </c>
      <c r="EH131" s="171">
        <f t="shared" ca="1" si="173"/>
        <v>0</v>
      </c>
      <c r="EI131" s="171">
        <f t="shared" ca="1" si="174"/>
        <v>0</v>
      </c>
      <c r="EJ131" s="171">
        <f t="shared" ca="1" si="175"/>
        <v>0</v>
      </c>
      <c r="EK131" s="171">
        <f t="shared" ca="1" si="176"/>
        <v>0</v>
      </c>
      <c r="EL131" s="171">
        <f t="shared" ca="1" si="177"/>
        <v>0</v>
      </c>
      <c r="EM131" s="171">
        <f t="shared" ca="1" si="178"/>
        <v>0</v>
      </c>
      <c r="EN131" s="171">
        <f t="shared" ca="1" si="179"/>
        <v>0</v>
      </c>
      <c r="EO131" s="171">
        <f t="shared" ca="1" si="180"/>
        <v>0</v>
      </c>
      <c r="EP131" s="171">
        <f t="shared" ca="1" si="181"/>
        <v>0</v>
      </c>
      <c r="EQ131" s="171">
        <f t="shared" ca="1" si="182"/>
        <v>0</v>
      </c>
      <c r="ER131" s="171">
        <f t="shared" ca="1" si="183"/>
        <v>0</v>
      </c>
      <c r="ES131" s="171">
        <f t="shared" ca="1" si="184"/>
        <v>0</v>
      </c>
    </row>
    <row r="132" spans="1:149">
      <c r="A132" s="139" t="s">
        <v>483</v>
      </c>
      <c r="B132" s="174" t="s">
        <v>494</v>
      </c>
      <c r="C132" s="161" t="s">
        <v>460</v>
      </c>
      <c r="D132" s="161" t="s">
        <v>394</v>
      </c>
      <c r="E132" s="161">
        <v>2014</v>
      </c>
      <c r="F132" s="194" t="s">
        <v>405</v>
      </c>
      <c r="G132" s="160" t="s">
        <v>289</v>
      </c>
      <c r="H132" s="194" t="s">
        <v>406</v>
      </c>
      <c r="I132" s="194" t="s">
        <v>365</v>
      </c>
      <c r="J132" s="189" t="s">
        <v>397</v>
      </c>
      <c r="K132" s="184">
        <v>0.66</v>
      </c>
      <c r="L132" s="163" t="s">
        <v>110</v>
      </c>
      <c r="M132" s="164">
        <f t="shared" si="115"/>
        <v>0.66</v>
      </c>
      <c r="N132" s="164">
        <f t="shared" si="116"/>
        <v>0.66</v>
      </c>
      <c r="O132" s="165">
        <f t="shared" si="117"/>
        <v>1</v>
      </c>
      <c r="P132" s="190">
        <v>0.16</v>
      </c>
      <c r="Q132" s="177">
        <v>25</v>
      </c>
      <c r="R132" s="168">
        <f t="shared" si="118"/>
        <v>15</v>
      </c>
      <c r="S132" s="178">
        <v>0</v>
      </c>
      <c r="T132" s="161" t="s">
        <v>289</v>
      </c>
      <c r="U132" s="171">
        <f t="shared" si="119"/>
        <v>0.10982399999999995</v>
      </c>
      <c r="V132" s="171">
        <f t="shared" ca="1" si="120"/>
        <v>8.6951716595016215E-2</v>
      </c>
      <c r="W132" s="171">
        <f t="shared" ca="1" si="185"/>
        <v>2.1737929148754054</v>
      </c>
      <c r="X132" s="172" t="str">
        <f t="shared" si="121"/>
        <v>Equity</v>
      </c>
      <c r="Y132" s="172" t="str">
        <f t="shared" si="122"/>
        <v>Equity</v>
      </c>
      <c r="Z132" s="173">
        <f t="shared" si="123"/>
        <v>2.7455999999999987</v>
      </c>
      <c r="AA132" s="171">
        <f t="shared" si="192"/>
        <v>0</v>
      </c>
      <c r="AB132" s="171">
        <f t="shared" si="192"/>
        <v>0</v>
      </c>
      <c r="AC132" s="171">
        <f t="shared" si="192"/>
        <v>0</v>
      </c>
      <c r="AD132" s="171">
        <f t="shared" si="192"/>
        <v>0</v>
      </c>
      <c r="AE132" s="171">
        <f t="shared" si="192"/>
        <v>0.10560000000000001</v>
      </c>
      <c r="AF132" s="171">
        <f t="shared" si="192"/>
        <v>0.10560000000000001</v>
      </c>
      <c r="AG132" s="171">
        <f t="shared" si="192"/>
        <v>0.10560000000000001</v>
      </c>
      <c r="AH132" s="171">
        <f t="shared" si="192"/>
        <v>0.10560000000000001</v>
      </c>
      <c r="AI132" s="171">
        <f t="shared" si="192"/>
        <v>0.10560000000000001</v>
      </c>
      <c r="AJ132" s="171">
        <f t="shared" si="192"/>
        <v>0.10560000000000001</v>
      </c>
      <c r="AK132" s="171">
        <f t="shared" si="193"/>
        <v>0.10560000000000001</v>
      </c>
      <c r="AL132" s="171">
        <f t="shared" si="193"/>
        <v>0.10560000000000001</v>
      </c>
      <c r="AM132" s="171">
        <f t="shared" si="193"/>
        <v>0.10560000000000001</v>
      </c>
      <c r="AN132" s="171">
        <f t="shared" si="193"/>
        <v>0.10560000000000001</v>
      </c>
      <c r="AO132" s="171">
        <f t="shared" si="193"/>
        <v>0.10560000000000001</v>
      </c>
      <c r="AP132" s="171">
        <f t="shared" si="193"/>
        <v>0.10560000000000001</v>
      </c>
      <c r="AQ132" s="171">
        <f t="shared" si="193"/>
        <v>0.10560000000000001</v>
      </c>
      <c r="AR132" s="171">
        <f t="shared" si="193"/>
        <v>0.10560000000000001</v>
      </c>
      <c r="AS132" s="171">
        <f t="shared" si="193"/>
        <v>0.10560000000000001</v>
      </c>
      <c r="AT132" s="171">
        <f t="shared" si="193"/>
        <v>0.10560000000000001</v>
      </c>
      <c r="AU132" s="171">
        <f t="shared" si="194"/>
        <v>0.10560000000000001</v>
      </c>
      <c r="AV132" s="171">
        <f t="shared" si="194"/>
        <v>0.10560000000000001</v>
      </c>
      <c r="AW132" s="171">
        <f t="shared" si="194"/>
        <v>0.10560000000000001</v>
      </c>
      <c r="AX132" s="171">
        <f t="shared" si="194"/>
        <v>0.10560000000000001</v>
      </c>
      <c r="AY132" s="171">
        <f t="shared" si="194"/>
        <v>0.10560000000000001</v>
      </c>
      <c r="AZ132" s="171">
        <f t="shared" si="194"/>
        <v>0.10560000000000001</v>
      </c>
      <c r="BA132" s="171">
        <f t="shared" si="194"/>
        <v>0.10560000000000001</v>
      </c>
      <c r="BB132" s="171">
        <f t="shared" si="194"/>
        <v>0.10560000000000001</v>
      </c>
      <c r="BC132" s="171">
        <f t="shared" si="194"/>
        <v>0.10560000000000001</v>
      </c>
      <c r="BD132" s="171">
        <f t="shared" si="194"/>
        <v>0.10560000000000001</v>
      </c>
      <c r="BE132" s="171">
        <f t="shared" si="195"/>
        <v>0</v>
      </c>
      <c r="BF132" s="171">
        <f t="shared" si="195"/>
        <v>0</v>
      </c>
      <c r="BG132" s="171">
        <f t="shared" si="195"/>
        <v>0</v>
      </c>
      <c r="BH132" s="171">
        <f t="shared" si="195"/>
        <v>0</v>
      </c>
      <c r="BI132" s="171">
        <f t="shared" si="195"/>
        <v>0</v>
      </c>
      <c r="BJ132" s="171">
        <f t="shared" si="195"/>
        <v>0</v>
      </c>
      <c r="BK132" s="171">
        <f t="shared" si="195"/>
        <v>0</v>
      </c>
      <c r="BL132" s="171">
        <f t="shared" si="195"/>
        <v>0</v>
      </c>
      <c r="BM132" s="171">
        <f t="shared" si="195"/>
        <v>0</v>
      </c>
      <c r="BN132" s="171">
        <f t="shared" si="195"/>
        <v>0</v>
      </c>
      <c r="BO132" s="171">
        <f t="shared" si="196"/>
        <v>0</v>
      </c>
      <c r="BP132" s="171">
        <f t="shared" si="196"/>
        <v>0</v>
      </c>
      <c r="BQ132" s="171">
        <f t="shared" si="196"/>
        <v>0</v>
      </c>
      <c r="BR132" s="171">
        <f t="shared" si="196"/>
        <v>0</v>
      </c>
      <c r="BS132" s="171">
        <f t="shared" si="196"/>
        <v>0</v>
      </c>
      <c r="BT132" s="171">
        <f t="shared" si="196"/>
        <v>0</v>
      </c>
      <c r="BU132" s="171">
        <f t="shared" si="196"/>
        <v>0</v>
      </c>
      <c r="BV132" s="171">
        <f t="shared" si="196"/>
        <v>0</v>
      </c>
      <c r="BW132" s="171">
        <f t="shared" si="196"/>
        <v>0</v>
      </c>
      <c r="BX132" s="171">
        <f t="shared" si="196"/>
        <v>0</v>
      </c>
      <c r="BY132" s="171">
        <f t="shared" si="197"/>
        <v>0</v>
      </c>
      <c r="BZ132" s="171">
        <f t="shared" si="197"/>
        <v>0</v>
      </c>
      <c r="CA132" s="171">
        <f t="shared" si="197"/>
        <v>0</v>
      </c>
      <c r="CB132" s="171">
        <f t="shared" si="197"/>
        <v>0</v>
      </c>
      <c r="CC132" s="171">
        <f t="shared" si="197"/>
        <v>0</v>
      </c>
      <c r="CD132" s="171">
        <f t="shared" si="197"/>
        <v>0</v>
      </c>
      <c r="CE132" s="171">
        <f t="shared" si="197"/>
        <v>0</v>
      </c>
      <c r="CF132" s="171">
        <f t="shared" si="197"/>
        <v>0</v>
      </c>
      <c r="CG132" s="171">
        <f t="shared" si="197"/>
        <v>0</v>
      </c>
      <c r="CH132" s="171">
        <f t="shared" si="197"/>
        <v>0</v>
      </c>
      <c r="CI132" s="171">
        <f t="shared" si="197"/>
        <v>0</v>
      </c>
      <c r="CJ132" s="243"/>
      <c r="CK132" s="171">
        <f t="shared" si="124"/>
        <v>0</v>
      </c>
      <c r="CL132" s="171">
        <f t="shared" si="125"/>
        <v>0</v>
      </c>
      <c r="CM132" s="171">
        <f t="shared" si="126"/>
        <v>0</v>
      </c>
      <c r="CN132" s="171">
        <f t="shared" si="127"/>
        <v>0</v>
      </c>
      <c r="CO132" s="171">
        <f t="shared" si="128"/>
        <v>0.10560000000000001</v>
      </c>
      <c r="CP132" s="171">
        <f t="shared" si="129"/>
        <v>0.10560000000000001</v>
      </c>
      <c r="CQ132" s="171">
        <f t="shared" si="130"/>
        <v>0.10560000000000001</v>
      </c>
      <c r="CR132" s="171">
        <f t="shared" si="131"/>
        <v>0.10560000000000001</v>
      </c>
      <c r="CS132" s="171">
        <f t="shared" si="132"/>
        <v>0.10560000000000001</v>
      </c>
      <c r="CT132" s="171">
        <f t="shared" si="133"/>
        <v>0.10560000000000001</v>
      </c>
      <c r="CU132" s="171">
        <f t="shared" si="134"/>
        <v>0.10560000000000001</v>
      </c>
      <c r="CV132" s="171">
        <f t="shared" si="135"/>
        <v>0.10560000000000001</v>
      </c>
      <c r="CW132" s="171">
        <f t="shared" si="136"/>
        <v>0.10560000000000001</v>
      </c>
      <c r="CX132" s="171">
        <f t="shared" si="137"/>
        <v>0.10560000000000001</v>
      </c>
      <c r="CY132" s="171">
        <f t="shared" ca="1" si="138"/>
        <v>0.10025317312691022</v>
      </c>
      <c r="CZ132" s="171">
        <f t="shared" ca="1" si="139"/>
        <v>9.5177071231195357E-2</v>
      </c>
      <c r="DA132" s="171">
        <f t="shared" ca="1" si="140"/>
        <v>9.0357986741034971E-2</v>
      </c>
      <c r="DB132" s="171">
        <f t="shared" ca="1" si="141"/>
        <v>8.5782906137765472E-2</v>
      </c>
      <c r="DC132" s="171">
        <f t="shared" ca="1" si="142"/>
        <v>8.1439474814004639E-2</v>
      </c>
      <c r="DD132" s="171">
        <f t="shared" ca="1" si="143"/>
        <v>7.7315963711108424E-2</v>
      </c>
      <c r="DE132" s="171">
        <f t="shared" ca="1" si="144"/>
        <v>7.3401237645867992E-2</v>
      </c>
      <c r="DF132" s="171">
        <f t="shared" ca="1" si="145"/>
        <v>6.968472524091554E-2</v>
      </c>
      <c r="DG132" s="171">
        <f t="shared" ca="1" si="146"/>
        <v>6.6156390377638971E-2</v>
      </c>
      <c r="DH132" s="171">
        <f t="shared" ca="1" si="147"/>
        <v>6.2806705094516052E-2</v>
      </c>
      <c r="DI132" s="171">
        <f t="shared" ca="1" si="148"/>
        <v>5.9626623857682866E-2</v>
      </c>
      <c r="DJ132" s="171">
        <f t="shared" ca="1" si="149"/>
        <v>5.6607559134256011E-2</v>
      </c>
      <c r="DK132" s="171">
        <f t="shared" ca="1" si="150"/>
        <v>5.3741358202446722E-2</v>
      </c>
      <c r="DL132" s="171">
        <f t="shared" ca="1" si="151"/>
        <v>5.1020281135844572E-2</v>
      </c>
      <c r="DM132" s="171">
        <f t="shared" ca="1" si="152"/>
        <v>4.8436979902419096E-2</v>
      </c>
      <c r="DN132" s="171">
        <f t="shared" ca="1" si="153"/>
        <v>4.5984478521798211E-2</v>
      </c>
      <c r="DO132" s="171">
        <f t="shared" ca="1" si="154"/>
        <v>0</v>
      </c>
      <c r="DP132" s="171">
        <f t="shared" ca="1" si="155"/>
        <v>0</v>
      </c>
      <c r="DQ132" s="171">
        <f t="shared" ca="1" si="156"/>
        <v>0</v>
      </c>
      <c r="DR132" s="171">
        <f t="shared" ca="1" si="157"/>
        <v>0</v>
      </c>
      <c r="DS132" s="171">
        <f t="shared" ca="1" si="158"/>
        <v>0</v>
      </c>
      <c r="DT132" s="171">
        <f t="shared" ca="1" si="159"/>
        <v>0</v>
      </c>
      <c r="DU132" s="171">
        <f t="shared" ca="1" si="160"/>
        <v>0</v>
      </c>
      <c r="DV132" s="171">
        <f t="shared" ca="1" si="161"/>
        <v>0</v>
      </c>
      <c r="DW132" s="171">
        <f t="shared" ca="1" si="162"/>
        <v>0</v>
      </c>
      <c r="DX132" s="171">
        <f t="shared" ca="1" si="163"/>
        <v>0</v>
      </c>
      <c r="DY132" s="171">
        <f t="shared" ca="1" si="164"/>
        <v>0</v>
      </c>
      <c r="DZ132" s="171">
        <f t="shared" ca="1" si="165"/>
        <v>0</v>
      </c>
      <c r="EA132" s="171">
        <f t="shared" ca="1" si="166"/>
        <v>0</v>
      </c>
      <c r="EB132" s="171">
        <f t="shared" ca="1" si="167"/>
        <v>0</v>
      </c>
      <c r="EC132" s="171">
        <f t="shared" ca="1" si="168"/>
        <v>0</v>
      </c>
      <c r="ED132" s="171">
        <f t="shared" ca="1" si="169"/>
        <v>0</v>
      </c>
      <c r="EE132" s="171">
        <f t="shared" ca="1" si="170"/>
        <v>0</v>
      </c>
      <c r="EF132" s="171">
        <f t="shared" ca="1" si="171"/>
        <v>0</v>
      </c>
      <c r="EG132" s="171">
        <f t="shared" ca="1" si="172"/>
        <v>0</v>
      </c>
      <c r="EH132" s="171">
        <f t="shared" ca="1" si="173"/>
        <v>0</v>
      </c>
      <c r="EI132" s="171">
        <f t="shared" ca="1" si="174"/>
        <v>0</v>
      </c>
      <c r="EJ132" s="171">
        <f t="shared" ca="1" si="175"/>
        <v>0</v>
      </c>
      <c r="EK132" s="171">
        <f t="shared" ca="1" si="176"/>
        <v>0</v>
      </c>
      <c r="EL132" s="171">
        <f t="shared" ca="1" si="177"/>
        <v>0</v>
      </c>
      <c r="EM132" s="171">
        <f t="shared" ca="1" si="178"/>
        <v>0</v>
      </c>
      <c r="EN132" s="171">
        <f t="shared" ca="1" si="179"/>
        <v>0</v>
      </c>
      <c r="EO132" s="171">
        <f t="shared" ca="1" si="180"/>
        <v>0</v>
      </c>
      <c r="EP132" s="171">
        <f t="shared" ca="1" si="181"/>
        <v>0</v>
      </c>
      <c r="EQ132" s="171">
        <f t="shared" ca="1" si="182"/>
        <v>0</v>
      </c>
      <c r="ER132" s="171">
        <f t="shared" ca="1" si="183"/>
        <v>0</v>
      </c>
      <c r="ES132" s="171">
        <f t="shared" ca="1" si="184"/>
        <v>0</v>
      </c>
    </row>
    <row r="133" spans="1:149">
      <c r="A133" s="139" t="s">
        <v>483</v>
      </c>
      <c r="B133" s="160" t="s">
        <v>476</v>
      </c>
      <c r="C133" s="161" t="s">
        <v>460</v>
      </c>
      <c r="D133" s="161" t="s">
        <v>394</v>
      </c>
      <c r="E133" s="161">
        <v>2014</v>
      </c>
      <c r="F133" s="161" t="s">
        <v>395</v>
      </c>
      <c r="G133" s="160" t="s">
        <v>402</v>
      </c>
      <c r="H133" s="161" t="s">
        <v>396</v>
      </c>
      <c r="I133" s="161" t="s">
        <v>178</v>
      </c>
      <c r="J133" s="161" t="s">
        <v>407</v>
      </c>
      <c r="K133" s="184">
        <v>13.29</v>
      </c>
      <c r="L133" s="163" t="s">
        <v>110</v>
      </c>
      <c r="M133" s="164">
        <f t="shared" si="115"/>
        <v>13.29</v>
      </c>
      <c r="N133" s="164">
        <f t="shared" si="116"/>
        <v>13.29</v>
      </c>
      <c r="O133" s="165">
        <f t="shared" si="117"/>
        <v>1</v>
      </c>
      <c r="P133" s="180">
        <v>2.3903633306096857E-2</v>
      </c>
      <c r="Q133" s="183">
        <v>32.668289591298226</v>
      </c>
      <c r="R133" s="168">
        <f t="shared" si="118"/>
        <v>22.668289591298226</v>
      </c>
      <c r="S133" s="183">
        <v>6.9579862261231415</v>
      </c>
      <c r="T133" s="170" t="s">
        <v>403</v>
      </c>
      <c r="U133" s="171">
        <f t="shared" si="119"/>
        <v>0.60840691277929004</v>
      </c>
      <c r="V133" s="171">
        <f t="shared" ca="1" si="120"/>
        <v>0.40213839897341358</v>
      </c>
      <c r="W133" s="171">
        <f t="shared" ca="1" si="185"/>
        <v>13.137173673444501</v>
      </c>
      <c r="X133" s="172">
        <f t="shared" si="121"/>
        <v>0.17920836052863021</v>
      </c>
      <c r="Y133" s="172">
        <f t="shared" si="122"/>
        <v>0.82079163947136979</v>
      </c>
      <c r="Z133" s="173">
        <f t="shared" si="123"/>
        <v>19.87561321602157</v>
      </c>
      <c r="AA133" s="171">
        <f t="shared" si="192"/>
        <v>0</v>
      </c>
      <c r="AB133" s="171">
        <f t="shared" si="192"/>
        <v>0</v>
      </c>
      <c r="AC133" s="171">
        <f t="shared" si="192"/>
        <v>0</v>
      </c>
      <c r="AD133" s="171">
        <f t="shared" si="192"/>
        <v>0</v>
      </c>
      <c r="AE133" s="171">
        <f t="shared" si="192"/>
        <v>0.31767928663802719</v>
      </c>
      <c r="AF133" s="171">
        <f t="shared" si="192"/>
        <v>0.31767928663802719</v>
      </c>
      <c r="AG133" s="171">
        <f t="shared" si="192"/>
        <v>0.31767928663802719</v>
      </c>
      <c r="AH133" s="171">
        <f t="shared" si="192"/>
        <v>0.31767928663802719</v>
      </c>
      <c r="AI133" s="171">
        <f t="shared" si="192"/>
        <v>0.31767928663802719</v>
      </c>
      <c r="AJ133" s="171">
        <f t="shared" si="192"/>
        <v>0.31767928663802719</v>
      </c>
      <c r="AK133" s="171">
        <f t="shared" si="193"/>
        <v>0.31767928663802719</v>
      </c>
      <c r="AL133" s="171">
        <f t="shared" si="193"/>
        <v>0.67891762344443796</v>
      </c>
      <c r="AM133" s="171">
        <f t="shared" si="193"/>
        <v>0.67891762344443796</v>
      </c>
      <c r="AN133" s="171">
        <f t="shared" si="193"/>
        <v>0.67891762344443796</v>
      </c>
      <c r="AO133" s="171">
        <f t="shared" si="193"/>
        <v>0.67891762344443796</v>
      </c>
      <c r="AP133" s="171">
        <f t="shared" si="193"/>
        <v>0.67891762344443796</v>
      </c>
      <c r="AQ133" s="171">
        <f t="shared" si="193"/>
        <v>0.67891762344443796</v>
      </c>
      <c r="AR133" s="171">
        <f t="shared" si="193"/>
        <v>0.67891762344443796</v>
      </c>
      <c r="AS133" s="171">
        <f t="shared" si="193"/>
        <v>0.67891762344443796</v>
      </c>
      <c r="AT133" s="171">
        <f t="shared" si="193"/>
        <v>0.67891762344443796</v>
      </c>
      <c r="AU133" s="171">
        <f t="shared" si="194"/>
        <v>0.67891762344443796</v>
      </c>
      <c r="AV133" s="171">
        <f t="shared" si="194"/>
        <v>0.67891762344443796</v>
      </c>
      <c r="AW133" s="171">
        <f t="shared" si="194"/>
        <v>0.67891762344443796</v>
      </c>
      <c r="AX133" s="171">
        <f t="shared" si="194"/>
        <v>0.67891762344443796</v>
      </c>
      <c r="AY133" s="171">
        <f t="shared" si="194"/>
        <v>0.67891762344443796</v>
      </c>
      <c r="AZ133" s="171">
        <f t="shared" si="194"/>
        <v>0.67891762344443796</v>
      </c>
      <c r="BA133" s="171">
        <f t="shared" si="194"/>
        <v>0.67891762344443796</v>
      </c>
      <c r="BB133" s="171">
        <f t="shared" si="194"/>
        <v>0.67891762344443796</v>
      </c>
      <c r="BC133" s="171">
        <f t="shared" si="194"/>
        <v>0.67891762344443796</v>
      </c>
      <c r="BD133" s="171">
        <f t="shared" si="194"/>
        <v>0.67891762344443796</v>
      </c>
      <c r="BE133" s="171">
        <f t="shared" si="195"/>
        <v>0.67891762344443796</v>
      </c>
      <c r="BF133" s="171">
        <f t="shared" si="195"/>
        <v>0.67891762344443796</v>
      </c>
      <c r="BG133" s="171">
        <f t="shared" si="195"/>
        <v>0.67891762344443796</v>
      </c>
      <c r="BH133" s="171">
        <f t="shared" si="195"/>
        <v>0.67891762344443796</v>
      </c>
      <c r="BI133" s="171">
        <f t="shared" si="195"/>
        <v>0.67891762344443796</v>
      </c>
      <c r="BJ133" s="171">
        <f t="shared" si="195"/>
        <v>0.67891762344443796</v>
      </c>
      <c r="BK133" s="171">
        <f t="shared" si="195"/>
        <v>0.67891762344443796</v>
      </c>
      <c r="BL133" s="171">
        <f t="shared" si="195"/>
        <v>0</v>
      </c>
      <c r="BM133" s="171">
        <f t="shared" si="195"/>
        <v>0</v>
      </c>
      <c r="BN133" s="171">
        <f t="shared" si="195"/>
        <v>0</v>
      </c>
      <c r="BO133" s="171">
        <f t="shared" si="196"/>
        <v>0</v>
      </c>
      <c r="BP133" s="171">
        <f t="shared" si="196"/>
        <v>0</v>
      </c>
      <c r="BQ133" s="171">
        <f t="shared" si="196"/>
        <v>0</v>
      </c>
      <c r="BR133" s="171">
        <f t="shared" si="196"/>
        <v>0</v>
      </c>
      <c r="BS133" s="171">
        <f t="shared" si="196"/>
        <v>0</v>
      </c>
      <c r="BT133" s="171">
        <f t="shared" si="196"/>
        <v>0</v>
      </c>
      <c r="BU133" s="171">
        <f t="shared" si="196"/>
        <v>0</v>
      </c>
      <c r="BV133" s="171">
        <f t="shared" si="196"/>
        <v>0</v>
      </c>
      <c r="BW133" s="171">
        <f t="shared" si="196"/>
        <v>0</v>
      </c>
      <c r="BX133" s="171">
        <f t="shared" si="196"/>
        <v>0</v>
      </c>
      <c r="BY133" s="171">
        <f t="shared" si="197"/>
        <v>0</v>
      </c>
      <c r="BZ133" s="171">
        <f t="shared" si="197"/>
        <v>0</v>
      </c>
      <c r="CA133" s="171">
        <f t="shared" si="197"/>
        <v>0</v>
      </c>
      <c r="CB133" s="171">
        <f t="shared" si="197"/>
        <v>0</v>
      </c>
      <c r="CC133" s="171">
        <f t="shared" si="197"/>
        <v>0</v>
      </c>
      <c r="CD133" s="171">
        <f t="shared" si="197"/>
        <v>0</v>
      </c>
      <c r="CE133" s="171">
        <f t="shared" si="197"/>
        <v>0</v>
      </c>
      <c r="CF133" s="171">
        <f t="shared" si="197"/>
        <v>0</v>
      </c>
      <c r="CG133" s="171">
        <f t="shared" si="197"/>
        <v>0</v>
      </c>
      <c r="CH133" s="171">
        <f t="shared" si="197"/>
        <v>0</v>
      </c>
      <c r="CI133" s="171">
        <f t="shared" si="197"/>
        <v>0</v>
      </c>
      <c r="CJ133" s="243"/>
      <c r="CK133" s="171">
        <f t="shared" si="124"/>
        <v>0</v>
      </c>
      <c r="CL133" s="171">
        <f t="shared" si="125"/>
        <v>0</v>
      </c>
      <c r="CM133" s="171">
        <f t="shared" si="126"/>
        <v>0</v>
      </c>
      <c r="CN133" s="171">
        <f t="shared" si="127"/>
        <v>0</v>
      </c>
      <c r="CO133" s="171">
        <f t="shared" si="128"/>
        <v>0.31767928663802719</v>
      </c>
      <c r="CP133" s="171">
        <f t="shared" si="129"/>
        <v>0.31767928663802719</v>
      </c>
      <c r="CQ133" s="171">
        <f t="shared" si="130"/>
        <v>0.31767928663802719</v>
      </c>
      <c r="CR133" s="171">
        <f t="shared" si="131"/>
        <v>0.31767928663802719</v>
      </c>
      <c r="CS133" s="171">
        <f t="shared" si="132"/>
        <v>0.31767928663802719</v>
      </c>
      <c r="CT133" s="171">
        <f t="shared" si="133"/>
        <v>0.31767928663802719</v>
      </c>
      <c r="CU133" s="171">
        <f t="shared" si="134"/>
        <v>0.31767928663802719</v>
      </c>
      <c r="CV133" s="171">
        <f t="shared" si="135"/>
        <v>0.67891762344443796</v>
      </c>
      <c r="CW133" s="171">
        <f t="shared" si="136"/>
        <v>0.67891762344443796</v>
      </c>
      <c r="CX133" s="171">
        <f t="shared" si="137"/>
        <v>0.67891762344443796</v>
      </c>
      <c r="CY133" s="171">
        <f t="shared" ca="1" si="138"/>
        <v>0.64454210267126577</v>
      </c>
      <c r="CZ133" s="171">
        <f t="shared" ca="1" si="139"/>
        <v>0.61190711180573043</v>
      </c>
      <c r="DA133" s="171">
        <f t="shared" ca="1" si="140"/>
        <v>0.58092452289249519</v>
      </c>
      <c r="DB133" s="171">
        <f t="shared" ca="1" si="141"/>
        <v>0.55151067014402477</v>
      </c>
      <c r="DC133" s="171">
        <f t="shared" ca="1" si="142"/>
        <v>0.52358612400840132</v>
      </c>
      <c r="DD133" s="171">
        <f t="shared" ca="1" si="143"/>
        <v>0.49707547667672475</v>
      </c>
      <c r="DE133" s="171">
        <f t="shared" ca="1" si="144"/>
        <v>0.47190713845088161</v>
      </c>
      <c r="DF133" s="171">
        <f t="shared" ca="1" si="145"/>
        <v>0.44801314442178991</v>
      </c>
      <c r="DG133" s="171">
        <f t="shared" ca="1" si="146"/>
        <v>0.4253289709360713</v>
      </c>
      <c r="DH133" s="171">
        <f t="shared" ca="1" si="147"/>
        <v>0.40379336135553512</v>
      </c>
      <c r="DI133" s="171">
        <f t="shared" ca="1" si="148"/>
        <v>0.38334816063895333</v>
      </c>
      <c r="DJ133" s="171">
        <f t="shared" ca="1" si="149"/>
        <v>0.36393815829942777</v>
      </c>
      <c r="DK133" s="171">
        <f t="shared" ca="1" si="150"/>
        <v>0.34551093931327059</v>
      </c>
      <c r="DL133" s="171">
        <f t="shared" ca="1" si="151"/>
        <v>0.32801674257779057</v>
      </c>
      <c r="DM133" s="171">
        <f t="shared" ca="1" si="152"/>
        <v>0.31140832653576112</v>
      </c>
      <c r="DN133" s="171">
        <f t="shared" ca="1" si="153"/>
        <v>0.29564084160370302</v>
      </c>
      <c r="DO133" s="171">
        <f t="shared" ca="1" si="154"/>
        <v>0.28067170905948369</v>
      </c>
      <c r="DP133" s="171">
        <f t="shared" ca="1" si="155"/>
        <v>0.26646050606217975</v>
      </c>
      <c r="DQ133" s="171">
        <f t="shared" ca="1" si="156"/>
        <v>0.25296885649371037</v>
      </c>
      <c r="DR133" s="171">
        <f t="shared" ca="1" si="157"/>
        <v>0.24016032732746631</v>
      </c>
      <c r="DS133" s="171">
        <f t="shared" ca="1" si="158"/>
        <v>0.22800033024409</v>
      </c>
      <c r="DT133" s="171">
        <f t="shared" ca="1" si="159"/>
        <v>0.21645602822872589</v>
      </c>
      <c r="DU133" s="171">
        <f t="shared" ca="1" si="160"/>
        <v>0.20549624689751719</v>
      </c>
      <c r="DV133" s="171">
        <f t="shared" ca="1" si="161"/>
        <v>0</v>
      </c>
      <c r="DW133" s="171">
        <f t="shared" ca="1" si="162"/>
        <v>0</v>
      </c>
      <c r="DX133" s="171">
        <f t="shared" ca="1" si="163"/>
        <v>0</v>
      </c>
      <c r="DY133" s="171">
        <f t="shared" ca="1" si="164"/>
        <v>0</v>
      </c>
      <c r="DZ133" s="171">
        <f t="shared" ca="1" si="165"/>
        <v>0</v>
      </c>
      <c r="EA133" s="171">
        <f t="shared" ca="1" si="166"/>
        <v>0</v>
      </c>
      <c r="EB133" s="171">
        <f t="shared" ca="1" si="167"/>
        <v>0</v>
      </c>
      <c r="EC133" s="171">
        <f t="shared" ca="1" si="168"/>
        <v>0</v>
      </c>
      <c r="ED133" s="171">
        <f t="shared" ca="1" si="169"/>
        <v>0</v>
      </c>
      <c r="EE133" s="171">
        <f t="shared" ca="1" si="170"/>
        <v>0</v>
      </c>
      <c r="EF133" s="171">
        <f t="shared" ca="1" si="171"/>
        <v>0</v>
      </c>
      <c r="EG133" s="171">
        <f t="shared" ca="1" si="172"/>
        <v>0</v>
      </c>
      <c r="EH133" s="171">
        <f t="shared" ca="1" si="173"/>
        <v>0</v>
      </c>
      <c r="EI133" s="171">
        <f t="shared" ca="1" si="174"/>
        <v>0</v>
      </c>
      <c r="EJ133" s="171">
        <f t="shared" ca="1" si="175"/>
        <v>0</v>
      </c>
      <c r="EK133" s="171">
        <f t="shared" ca="1" si="176"/>
        <v>0</v>
      </c>
      <c r="EL133" s="171">
        <f t="shared" ca="1" si="177"/>
        <v>0</v>
      </c>
      <c r="EM133" s="171">
        <f t="shared" ca="1" si="178"/>
        <v>0</v>
      </c>
      <c r="EN133" s="171">
        <f t="shared" ca="1" si="179"/>
        <v>0</v>
      </c>
      <c r="EO133" s="171">
        <f t="shared" ca="1" si="180"/>
        <v>0</v>
      </c>
      <c r="EP133" s="171">
        <f t="shared" ca="1" si="181"/>
        <v>0</v>
      </c>
      <c r="EQ133" s="171">
        <f t="shared" ca="1" si="182"/>
        <v>0</v>
      </c>
      <c r="ER133" s="171">
        <f t="shared" ca="1" si="183"/>
        <v>0</v>
      </c>
      <c r="ES133" s="171">
        <f t="shared" ca="1" si="184"/>
        <v>0</v>
      </c>
    </row>
    <row r="134" spans="1:149">
      <c r="A134" s="139" t="s">
        <v>483</v>
      </c>
      <c r="B134" s="160" t="s">
        <v>476</v>
      </c>
      <c r="C134" s="161" t="s">
        <v>460</v>
      </c>
      <c r="D134" s="161" t="s">
        <v>394</v>
      </c>
      <c r="E134" s="161">
        <v>2014</v>
      </c>
      <c r="F134" s="161" t="s">
        <v>395</v>
      </c>
      <c r="G134" s="174" t="s">
        <v>402</v>
      </c>
      <c r="H134" s="161" t="s">
        <v>396</v>
      </c>
      <c r="I134" s="161" t="s">
        <v>178</v>
      </c>
      <c r="J134" s="161" t="s">
        <v>407</v>
      </c>
      <c r="K134" s="184">
        <v>13.29</v>
      </c>
      <c r="L134" s="163" t="s">
        <v>110</v>
      </c>
      <c r="M134" s="164">
        <f t="shared" si="115"/>
        <v>13.29</v>
      </c>
      <c r="N134" s="164">
        <f t="shared" si="116"/>
        <v>13.29</v>
      </c>
      <c r="O134" s="165">
        <f t="shared" si="117"/>
        <v>1</v>
      </c>
      <c r="P134" s="180">
        <v>2.3903633306096857E-2</v>
      </c>
      <c r="Q134" s="183">
        <v>32.668289591298226</v>
      </c>
      <c r="R134" s="168">
        <f t="shared" si="118"/>
        <v>22.668289591298226</v>
      </c>
      <c r="S134" s="183">
        <v>6.9579862261231415</v>
      </c>
      <c r="T134" s="170" t="s">
        <v>403</v>
      </c>
      <c r="U134" s="171">
        <f t="shared" si="119"/>
        <v>0.60840691277929004</v>
      </c>
      <c r="V134" s="171">
        <f t="shared" ca="1" si="120"/>
        <v>0.40213839897341358</v>
      </c>
      <c r="W134" s="171">
        <f t="shared" ca="1" si="185"/>
        <v>13.137173673444501</v>
      </c>
      <c r="X134" s="172">
        <f t="shared" si="121"/>
        <v>0.17920836052863021</v>
      </c>
      <c r="Y134" s="172">
        <f t="shared" si="122"/>
        <v>0.82079163947136979</v>
      </c>
      <c r="Z134" s="173">
        <f t="shared" si="123"/>
        <v>19.87561321602157</v>
      </c>
      <c r="AA134" s="171">
        <f t="shared" si="192"/>
        <v>0</v>
      </c>
      <c r="AB134" s="171">
        <f t="shared" si="192"/>
        <v>0</v>
      </c>
      <c r="AC134" s="171">
        <f t="shared" si="192"/>
        <v>0</v>
      </c>
      <c r="AD134" s="171">
        <f t="shared" si="192"/>
        <v>0</v>
      </c>
      <c r="AE134" s="171">
        <f t="shared" si="192"/>
        <v>0.31767928663802719</v>
      </c>
      <c r="AF134" s="171">
        <f t="shared" si="192"/>
        <v>0.31767928663802719</v>
      </c>
      <c r="AG134" s="171">
        <f t="shared" si="192"/>
        <v>0.31767928663802719</v>
      </c>
      <c r="AH134" s="171">
        <f t="shared" si="192"/>
        <v>0.31767928663802719</v>
      </c>
      <c r="AI134" s="171">
        <f t="shared" si="192"/>
        <v>0.31767928663802719</v>
      </c>
      <c r="AJ134" s="171">
        <f t="shared" si="192"/>
        <v>0.31767928663802719</v>
      </c>
      <c r="AK134" s="171">
        <f t="shared" si="193"/>
        <v>0.31767928663802719</v>
      </c>
      <c r="AL134" s="171">
        <f t="shared" si="193"/>
        <v>0.67891762344443796</v>
      </c>
      <c r="AM134" s="171">
        <f t="shared" si="193"/>
        <v>0.67891762344443796</v>
      </c>
      <c r="AN134" s="171">
        <f t="shared" si="193"/>
        <v>0.67891762344443796</v>
      </c>
      <c r="AO134" s="171">
        <f t="shared" si="193"/>
        <v>0.67891762344443796</v>
      </c>
      <c r="AP134" s="171">
        <f t="shared" si="193"/>
        <v>0.67891762344443796</v>
      </c>
      <c r="AQ134" s="171">
        <f t="shared" si="193"/>
        <v>0.67891762344443796</v>
      </c>
      <c r="AR134" s="171">
        <f t="shared" si="193"/>
        <v>0.67891762344443796</v>
      </c>
      <c r="AS134" s="171">
        <f t="shared" si="193"/>
        <v>0.67891762344443796</v>
      </c>
      <c r="AT134" s="171">
        <f t="shared" si="193"/>
        <v>0.67891762344443796</v>
      </c>
      <c r="AU134" s="171">
        <f t="shared" si="194"/>
        <v>0.67891762344443796</v>
      </c>
      <c r="AV134" s="171">
        <f t="shared" si="194"/>
        <v>0.67891762344443796</v>
      </c>
      <c r="AW134" s="171">
        <f t="shared" si="194"/>
        <v>0.67891762344443796</v>
      </c>
      <c r="AX134" s="171">
        <f t="shared" si="194"/>
        <v>0.67891762344443796</v>
      </c>
      <c r="AY134" s="171">
        <f t="shared" si="194"/>
        <v>0.67891762344443796</v>
      </c>
      <c r="AZ134" s="171">
        <f t="shared" si="194"/>
        <v>0.67891762344443796</v>
      </c>
      <c r="BA134" s="171">
        <f t="shared" si="194"/>
        <v>0.67891762344443796</v>
      </c>
      <c r="BB134" s="171">
        <f t="shared" si="194"/>
        <v>0.67891762344443796</v>
      </c>
      <c r="BC134" s="171">
        <f t="shared" si="194"/>
        <v>0.67891762344443796</v>
      </c>
      <c r="BD134" s="171">
        <f t="shared" si="194"/>
        <v>0.67891762344443796</v>
      </c>
      <c r="BE134" s="171">
        <f t="shared" si="195"/>
        <v>0.67891762344443796</v>
      </c>
      <c r="BF134" s="171">
        <f t="shared" si="195"/>
        <v>0.67891762344443796</v>
      </c>
      <c r="BG134" s="171">
        <f t="shared" si="195"/>
        <v>0.67891762344443796</v>
      </c>
      <c r="BH134" s="171">
        <f t="shared" si="195"/>
        <v>0.67891762344443796</v>
      </c>
      <c r="BI134" s="171">
        <f t="shared" si="195"/>
        <v>0.67891762344443796</v>
      </c>
      <c r="BJ134" s="171">
        <f t="shared" si="195"/>
        <v>0.67891762344443796</v>
      </c>
      <c r="BK134" s="171">
        <f t="shared" si="195"/>
        <v>0.67891762344443796</v>
      </c>
      <c r="BL134" s="171">
        <f t="shared" si="195"/>
        <v>0</v>
      </c>
      <c r="BM134" s="171">
        <f t="shared" si="195"/>
        <v>0</v>
      </c>
      <c r="BN134" s="171">
        <f t="shared" si="195"/>
        <v>0</v>
      </c>
      <c r="BO134" s="171">
        <f t="shared" si="196"/>
        <v>0</v>
      </c>
      <c r="BP134" s="171">
        <f t="shared" si="196"/>
        <v>0</v>
      </c>
      <c r="BQ134" s="171">
        <f t="shared" si="196"/>
        <v>0</v>
      </c>
      <c r="BR134" s="171">
        <f t="shared" si="196"/>
        <v>0</v>
      </c>
      <c r="BS134" s="171">
        <f t="shared" si="196"/>
        <v>0</v>
      </c>
      <c r="BT134" s="171">
        <f t="shared" si="196"/>
        <v>0</v>
      </c>
      <c r="BU134" s="171">
        <f t="shared" si="196"/>
        <v>0</v>
      </c>
      <c r="BV134" s="171">
        <f t="shared" si="196"/>
        <v>0</v>
      </c>
      <c r="BW134" s="171">
        <f t="shared" si="196"/>
        <v>0</v>
      </c>
      <c r="BX134" s="171">
        <f t="shared" si="196"/>
        <v>0</v>
      </c>
      <c r="BY134" s="171">
        <f t="shared" si="197"/>
        <v>0</v>
      </c>
      <c r="BZ134" s="171">
        <f t="shared" si="197"/>
        <v>0</v>
      </c>
      <c r="CA134" s="171">
        <f t="shared" si="197"/>
        <v>0</v>
      </c>
      <c r="CB134" s="171">
        <f t="shared" si="197"/>
        <v>0</v>
      </c>
      <c r="CC134" s="171">
        <f t="shared" si="197"/>
        <v>0</v>
      </c>
      <c r="CD134" s="171">
        <f t="shared" si="197"/>
        <v>0</v>
      </c>
      <c r="CE134" s="171">
        <f t="shared" si="197"/>
        <v>0</v>
      </c>
      <c r="CF134" s="171">
        <f t="shared" si="197"/>
        <v>0</v>
      </c>
      <c r="CG134" s="171">
        <f t="shared" si="197"/>
        <v>0</v>
      </c>
      <c r="CH134" s="171">
        <f t="shared" si="197"/>
        <v>0</v>
      </c>
      <c r="CI134" s="171">
        <f t="shared" si="197"/>
        <v>0</v>
      </c>
      <c r="CJ134" s="243"/>
      <c r="CK134" s="171">
        <f t="shared" si="124"/>
        <v>0</v>
      </c>
      <c r="CL134" s="171">
        <f t="shared" si="125"/>
        <v>0</v>
      </c>
      <c r="CM134" s="171">
        <f t="shared" si="126"/>
        <v>0</v>
      </c>
      <c r="CN134" s="171">
        <f t="shared" si="127"/>
        <v>0</v>
      </c>
      <c r="CO134" s="171">
        <f t="shared" si="128"/>
        <v>0.31767928663802719</v>
      </c>
      <c r="CP134" s="171">
        <f t="shared" si="129"/>
        <v>0.31767928663802719</v>
      </c>
      <c r="CQ134" s="171">
        <f t="shared" si="130"/>
        <v>0.31767928663802719</v>
      </c>
      <c r="CR134" s="171">
        <f t="shared" si="131"/>
        <v>0.31767928663802719</v>
      </c>
      <c r="CS134" s="171">
        <f t="shared" si="132"/>
        <v>0.31767928663802719</v>
      </c>
      <c r="CT134" s="171">
        <f t="shared" si="133"/>
        <v>0.31767928663802719</v>
      </c>
      <c r="CU134" s="171">
        <f t="shared" si="134"/>
        <v>0.31767928663802719</v>
      </c>
      <c r="CV134" s="171">
        <f t="shared" si="135"/>
        <v>0.67891762344443796</v>
      </c>
      <c r="CW134" s="171">
        <f t="shared" si="136"/>
        <v>0.67891762344443796</v>
      </c>
      <c r="CX134" s="171">
        <f t="shared" si="137"/>
        <v>0.67891762344443796</v>
      </c>
      <c r="CY134" s="171">
        <f t="shared" ca="1" si="138"/>
        <v>0.64454210267126577</v>
      </c>
      <c r="CZ134" s="171">
        <f t="shared" ca="1" si="139"/>
        <v>0.61190711180573043</v>
      </c>
      <c r="DA134" s="171">
        <f t="shared" ca="1" si="140"/>
        <v>0.58092452289249519</v>
      </c>
      <c r="DB134" s="171">
        <f t="shared" ca="1" si="141"/>
        <v>0.55151067014402477</v>
      </c>
      <c r="DC134" s="171">
        <f t="shared" ca="1" si="142"/>
        <v>0.52358612400840132</v>
      </c>
      <c r="DD134" s="171">
        <f t="shared" ca="1" si="143"/>
        <v>0.49707547667672475</v>
      </c>
      <c r="DE134" s="171">
        <f t="shared" ca="1" si="144"/>
        <v>0.47190713845088161</v>
      </c>
      <c r="DF134" s="171">
        <f t="shared" ca="1" si="145"/>
        <v>0.44801314442178991</v>
      </c>
      <c r="DG134" s="171">
        <f t="shared" ca="1" si="146"/>
        <v>0.4253289709360713</v>
      </c>
      <c r="DH134" s="171">
        <f t="shared" ca="1" si="147"/>
        <v>0.40379336135553512</v>
      </c>
      <c r="DI134" s="171">
        <f t="shared" ca="1" si="148"/>
        <v>0.38334816063895333</v>
      </c>
      <c r="DJ134" s="171">
        <f t="shared" ca="1" si="149"/>
        <v>0.36393815829942777</v>
      </c>
      <c r="DK134" s="171">
        <f t="shared" ca="1" si="150"/>
        <v>0.34551093931327059</v>
      </c>
      <c r="DL134" s="171">
        <f t="shared" ca="1" si="151"/>
        <v>0.32801674257779057</v>
      </c>
      <c r="DM134" s="171">
        <f t="shared" ca="1" si="152"/>
        <v>0.31140832653576112</v>
      </c>
      <c r="DN134" s="171">
        <f t="shared" ca="1" si="153"/>
        <v>0.29564084160370302</v>
      </c>
      <c r="DO134" s="171">
        <f t="shared" ca="1" si="154"/>
        <v>0.28067170905948369</v>
      </c>
      <c r="DP134" s="171">
        <f t="shared" ca="1" si="155"/>
        <v>0.26646050606217975</v>
      </c>
      <c r="DQ134" s="171">
        <f t="shared" ca="1" si="156"/>
        <v>0.25296885649371037</v>
      </c>
      <c r="DR134" s="171">
        <f t="shared" ca="1" si="157"/>
        <v>0.24016032732746631</v>
      </c>
      <c r="DS134" s="171">
        <f t="shared" ca="1" si="158"/>
        <v>0.22800033024409</v>
      </c>
      <c r="DT134" s="171">
        <f t="shared" ca="1" si="159"/>
        <v>0.21645602822872589</v>
      </c>
      <c r="DU134" s="171">
        <f t="shared" ca="1" si="160"/>
        <v>0.20549624689751719</v>
      </c>
      <c r="DV134" s="171">
        <f t="shared" ca="1" si="161"/>
        <v>0</v>
      </c>
      <c r="DW134" s="171">
        <f t="shared" ca="1" si="162"/>
        <v>0</v>
      </c>
      <c r="DX134" s="171">
        <f t="shared" ca="1" si="163"/>
        <v>0</v>
      </c>
      <c r="DY134" s="171">
        <f t="shared" ca="1" si="164"/>
        <v>0</v>
      </c>
      <c r="DZ134" s="171">
        <f t="shared" ca="1" si="165"/>
        <v>0</v>
      </c>
      <c r="EA134" s="171">
        <f t="shared" ca="1" si="166"/>
        <v>0</v>
      </c>
      <c r="EB134" s="171">
        <f t="shared" ca="1" si="167"/>
        <v>0</v>
      </c>
      <c r="EC134" s="171">
        <f t="shared" ca="1" si="168"/>
        <v>0</v>
      </c>
      <c r="ED134" s="171">
        <f t="shared" ca="1" si="169"/>
        <v>0</v>
      </c>
      <c r="EE134" s="171">
        <f t="shared" ca="1" si="170"/>
        <v>0</v>
      </c>
      <c r="EF134" s="171">
        <f t="shared" ca="1" si="171"/>
        <v>0</v>
      </c>
      <c r="EG134" s="171">
        <f t="shared" ca="1" si="172"/>
        <v>0</v>
      </c>
      <c r="EH134" s="171">
        <f t="shared" ca="1" si="173"/>
        <v>0</v>
      </c>
      <c r="EI134" s="171">
        <f t="shared" ca="1" si="174"/>
        <v>0</v>
      </c>
      <c r="EJ134" s="171">
        <f t="shared" ca="1" si="175"/>
        <v>0</v>
      </c>
      <c r="EK134" s="171">
        <f t="shared" ca="1" si="176"/>
        <v>0</v>
      </c>
      <c r="EL134" s="171">
        <f t="shared" ca="1" si="177"/>
        <v>0</v>
      </c>
      <c r="EM134" s="171">
        <f t="shared" ca="1" si="178"/>
        <v>0</v>
      </c>
      <c r="EN134" s="171">
        <f t="shared" ca="1" si="179"/>
        <v>0</v>
      </c>
      <c r="EO134" s="171">
        <f t="shared" ca="1" si="180"/>
        <v>0</v>
      </c>
      <c r="EP134" s="171">
        <f t="shared" ca="1" si="181"/>
        <v>0</v>
      </c>
      <c r="EQ134" s="171">
        <f t="shared" ca="1" si="182"/>
        <v>0</v>
      </c>
      <c r="ER134" s="171">
        <f t="shared" ca="1" si="183"/>
        <v>0</v>
      </c>
      <c r="ES134" s="171">
        <f t="shared" ca="1" si="184"/>
        <v>0</v>
      </c>
    </row>
    <row r="135" spans="1:149">
      <c r="A135" s="139" t="s">
        <v>483</v>
      </c>
      <c r="B135" s="160" t="s">
        <v>432</v>
      </c>
      <c r="C135" s="161" t="s">
        <v>460</v>
      </c>
      <c r="D135" s="161" t="s">
        <v>394</v>
      </c>
      <c r="E135" s="161">
        <v>2014</v>
      </c>
      <c r="F135" s="161" t="s">
        <v>395</v>
      </c>
      <c r="G135" s="174" t="s">
        <v>402</v>
      </c>
      <c r="H135" s="161" t="s">
        <v>396</v>
      </c>
      <c r="I135" s="161" t="s">
        <v>178</v>
      </c>
      <c r="J135" s="161" t="s">
        <v>407</v>
      </c>
      <c r="K135" s="184">
        <v>6.65</v>
      </c>
      <c r="L135" s="163" t="s">
        <v>110</v>
      </c>
      <c r="M135" s="164">
        <f t="shared" si="115"/>
        <v>6.65</v>
      </c>
      <c r="N135" s="164">
        <f t="shared" si="116"/>
        <v>6.65</v>
      </c>
      <c r="O135" s="165">
        <f t="shared" si="117"/>
        <v>1</v>
      </c>
      <c r="P135" s="180">
        <v>8.2482067447802281E-3</v>
      </c>
      <c r="Q135" s="183">
        <v>38.303405271670549</v>
      </c>
      <c r="R135" s="168">
        <f t="shared" si="118"/>
        <v>28.303405271670549</v>
      </c>
      <c r="S135" s="183">
        <v>7.9180339887256128</v>
      </c>
      <c r="T135" s="170" t="s">
        <v>403</v>
      </c>
      <c r="U135" s="171">
        <f t="shared" si="119"/>
        <v>0.2067930349523899</v>
      </c>
      <c r="V135" s="171">
        <f t="shared" ca="1" si="120"/>
        <v>0.11602314538518836</v>
      </c>
      <c r="W135" s="171">
        <f t="shared" ca="1" si="185"/>
        <v>4.4440815585828224</v>
      </c>
      <c r="X135" s="172">
        <f t="shared" si="121"/>
        <v>8.3078633047089845E-2</v>
      </c>
      <c r="Y135" s="172">
        <f t="shared" si="122"/>
        <v>0.91692136695291016</v>
      </c>
      <c r="Z135" s="173">
        <f t="shared" si="123"/>
        <v>7.9208774251401231</v>
      </c>
      <c r="AA135" s="171">
        <f t="shared" si="192"/>
        <v>0</v>
      </c>
      <c r="AB135" s="171">
        <f t="shared" si="192"/>
        <v>0</v>
      </c>
      <c r="AC135" s="171">
        <f t="shared" si="192"/>
        <v>0</v>
      </c>
      <c r="AD135" s="171">
        <f t="shared" si="192"/>
        <v>0</v>
      </c>
      <c r="AE135" s="171">
        <f t="shared" si="192"/>
        <v>5.485057485278852E-2</v>
      </c>
      <c r="AF135" s="171">
        <f t="shared" si="192"/>
        <v>5.485057485278852E-2</v>
      </c>
      <c r="AG135" s="171">
        <f t="shared" si="192"/>
        <v>5.485057485278852E-2</v>
      </c>
      <c r="AH135" s="171">
        <f t="shared" si="192"/>
        <v>5.485057485278852E-2</v>
      </c>
      <c r="AI135" s="171">
        <f t="shared" si="192"/>
        <v>5.485057485278852E-2</v>
      </c>
      <c r="AJ135" s="171">
        <f t="shared" si="192"/>
        <v>5.485057485278852E-2</v>
      </c>
      <c r="AK135" s="171">
        <f t="shared" si="193"/>
        <v>5.485057485278852E-2</v>
      </c>
      <c r="AL135" s="171">
        <f t="shared" si="193"/>
        <v>5.485057485278852E-2</v>
      </c>
      <c r="AM135" s="171">
        <f t="shared" si="193"/>
        <v>0.24135718794573588</v>
      </c>
      <c r="AN135" s="171">
        <f t="shared" si="193"/>
        <v>0.24135718794573588</v>
      </c>
      <c r="AO135" s="171">
        <f t="shared" si="193"/>
        <v>0.24135718794573588</v>
      </c>
      <c r="AP135" s="171">
        <f t="shared" si="193"/>
        <v>0.24135718794573588</v>
      </c>
      <c r="AQ135" s="171">
        <f t="shared" si="193"/>
        <v>0.24135718794573588</v>
      </c>
      <c r="AR135" s="171">
        <f t="shared" si="193"/>
        <v>0.24135718794573588</v>
      </c>
      <c r="AS135" s="171">
        <f t="shared" si="193"/>
        <v>0.24135718794573588</v>
      </c>
      <c r="AT135" s="171">
        <f t="shared" si="193"/>
        <v>0.24135718794573588</v>
      </c>
      <c r="AU135" s="171">
        <f t="shared" si="194"/>
        <v>0.24135718794573588</v>
      </c>
      <c r="AV135" s="171">
        <f t="shared" si="194"/>
        <v>0.24135718794573588</v>
      </c>
      <c r="AW135" s="171">
        <f t="shared" si="194"/>
        <v>0.24135718794573588</v>
      </c>
      <c r="AX135" s="171">
        <f t="shared" si="194"/>
        <v>0.24135718794573588</v>
      </c>
      <c r="AY135" s="171">
        <f t="shared" si="194"/>
        <v>0.24135718794573588</v>
      </c>
      <c r="AZ135" s="171">
        <f t="shared" si="194"/>
        <v>0.24135718794573588</v>
      </c>
      <c r="BA135" s="171">
        <f t="shared" si="194"/>
        <v>0.24135718794573588</v>
      </c>
      <c r="BB135" s="171">
        <f t="shared" si="194"/>
        <v>0.24135718794573588</v>
      </c>
      <c r="BC135" s="171">
        <f t="shared" si="194"/>
        <v>0.24135718794573588</v>
      </c>
      <c r="BD135" s="171">
        <f t="shared" si="194"/>
        <v>0.24135718794573588</v>
      </c>
      <c r="BE135" s="171">
        <f t="shared" si="195"/>
        <v>0.24135718794573588</v>
      </c>
      <c r="BF135" s="171">
        <f t="shared" si="195"/>
        <v>0.24135718794573588</v>
      </c>
      <c r="BG135" s="171">
        <f t="shared" si="195"/>
        <v>0.24135718794573588</v>
      </c>
      <c r="BH135" s="171">
        <f t="shared" si="195"/>
        <v>0.24135718794573588</v>
      </c>
      <c r="BI135" s="171">
        <f t="shared" si="195"/>
        <v>0.24135718794573588</v>
      </c>
      <c r="BJ135" s="171">
        <f t="shared" si="195"/>
        <v>0.24135718794573588</v>
      </c>
      <c r="BK135" s="171">
        <f t="shared" si="195"/>
        <v>0.24135718794573588</v>
      </c>
      <c r="BL135" s="171">
        <f t="shared" si="195"/>
        <v>0.24135718794573588</v>
      </c>
      <c r="BM135" s="171">
        <f t="shared" si="195"/>
        <v>0.24135718794573588</v>
      </c>
      <c r="BN135" s="171">
        <f t="shared" si="195"/>
        <v>0.24135718794573588</v>
      </c>
      <c r="BO135" s="171">
        <f t="shared" si="196"/>
        <v>0.24135718794573588</v>
      </c>
      <c r="BP135" s="171">
        <f t="shared" si="196"/>
        <v>0.24135718794573588</v>
      </c>
      <c r="BQ135" s="171">
        <f t="shared" si="196"/>
        <v>0.24135718794573588</v>
      </c>
      <c r="BR135" s="171">
        <f t="shared" si="196"/>
        <v>0</v>
      </c>
      <c r="BS135" s="171">
        <f t="shared" si="196"/>
        <v>0</v>
      </c>
      <c r="BT135" s="171">
        <f t="shared" si="196"/>
        <v>0</v>
      </c>
      <c r="BU135" s="171">
        <f t="shared" si="196"/>
        <v>0</v>
      </c>
      <c r="BV135" s="171">
        <f t="shared" si="196"/>
        <v>0</v>
      </c>
      <c r="BW135" s="171">
        <f t="shared" si="196"/>
        <v>0</v>
      </c>
      <c r="BX135" s="171">
        <f t="shared" si="196"/>
        <v>0</v>
      </c>
      <c r="BY135" s="171">
        <f t="shared" si="197"/>
        <v>0</v>
      </c>
      <c r="BZ135" s="171">
        <f t="shared" si="197"/>
        <v>0</v>
      </c>
      <c r="CA135" s="171">
        <f t="shared" si="197"/>
        <v>0</v>
      </c>
      <c r="CB135" s="171">
        <f t="shared" si="197"/>
        <v>0</v>
      </c>
      <c r="CC135" s="171">
        <f t="shared" si="197"/>
        <v>0</v>
      </c>
      <c r="CD135" s="171">
        <f t="shared" si="197"/>
        <v>0</v>
      </c>
      <c r="CE135" s="171">
        <f t="shared" si="197"/>
        <v>0</v>
      </c>
      <c r="CF135" s="171">
        <f t="shared" si="197"/>
        <v>0</v>
      </c>
      <c r="CG135" s="171">
        <f t="shared" si="197"/>
        <v>0</v>
      </c>
      <c r="CH135" s="171">
        <f t="shared" si="197"/>
        <v>0</v>
      </c>
      <c r="CI135" s="171">
        <f t="shared" si="197"/>
        <v>0</v>
      </c>
      <c r="CJ135" s="243"/>
      <c r="CK135" s="171">
        <f t="shared" si="124"/>
        <v>0</v>
      </c>
      <c r="CL135" s="171">
        <f t="shared" si="125"/>
        <v>0</v>
      </c>
      <c r="CM135" s="171">
        <f t="shared" si="126"/>
        <v>0</v>
      </c>
      <c r="CN135" s="171">
        <f t="shared" si="127"/>
        <v>0</v>
      </c>
      <c r="CO135" s="171">
        <f t="shared" si="128"/>
        <v>5.485057485278852E-2</v>
      </c>
      <c r="CP135" s="171">
        <f t="shared" si="129"/>
        <v>5.485057485278852E-2</v>
      </c>
      <c r="CQ135" s="171">
        <f t="shared" si="130"/>
        <v>5.485057485278852E-2</v>
      </c>
      <c r="CR135" s="171">
        <f t="shared" si="131"/>
        <v>5.485057485278852E-2</v>
      </c>
      <c r="CS135" s="171">
        <f t="shared" si="132"/>
        <v>5.485057485278852E-2</v>
      </c>
      <c r="CT135" s="171">
        <f t="shared" si="133"/>
        <v>5.485057485278852E-2</v>
      </c>
      <c r="CU135" s="171">
        <f t="shared" si="134"/>
        <v>5.485057485278852E-2</v>
      </c>
      <c r="CV135" s="171">
        <f t="shared" si="135"/>
        <v>5.485057485278852E-2</v>
      </c>
      <c r="CW135" s="171">
        <f t="shared" si="136"/>
        <v>0.24135718794573588</v>
      </c>
      <c r="CX135" s="171">
        <f t="shared" si="137"/>
        <v>0.24135718794573588</v>
      </c>
      <c r="CY135" s="171">
        <f t="shared" ca="1" si="138"/>
        <v>0.22913659042185666</v>
      </c>
      <c r="CZ135" s="171">
        <f t="shared" ca="1" si="139"/>
        <v>0.21753475633780595</v>
      </c>
      <c r="DA135" s="171">
        <f t="shared" ca="1" si="140"/>
        <v>0.2065203559493777</v>
      </c>
      <c r="DB135" s="171">
        <f t="shared" ca="1" si="141"/>
        <v>0.19606364582598559</v>
      </c>
      <c r="DC135" s="171">
        <f t="shared" ca="1" si="142"/>
        <v>0.18613638853111494</v>
      </c>
      <c r="DD135" s="171">
        <f t="shared" ca="1" si="143"/>
        <v>0.17671177636958038</v>
      </c>
      <c r="DE135" s="171">
        <f t="shared" ca="1" si="144"/>
        <v>0.16776435899567596</v>
      </c>
      <c r="DF135" s="171">
        <f t="shared" ca="1" si="145"/>
        <v>0.15926997468672932</v>
      </c>
      <c r="DG135" s="171">
        <f t="shared" ca="1" si="146"/>
        <v>0.15120568509647045</v>
      </c>
      <c r="DH135" s="171">
        <f t="shared" ca="1" si="147"/>
        <v>0.14354971331202193</v>
      </c>
      <c r="DI135" s="171">
        <f t="shared" ca="1" si="148"/>
        <v>0.13628138504723922</v>
      </c>
      <c r="DJ135" s="171">
        <f t="shared" ca="1" si="149"/>
        <v>0.12938107281359834</v>
      </c>
      <c r="DK135" s="171">
        <f t="shared" ca="1" si="150"/>
        <v>0.12283014291786976</v>
      </c>
      <c r="DL135" s="171">
        <f t="shared" ca="1" si="151"/>
        <v>0.11661090514344999</v>
      </c>
      <c r="DM135" s="171">
        <f t="shared" ca="1" si="152"/>
        <v>0.11070656497946967</v>
      </c>
      <c r="DN135" s="171">
        <f t="shared" ca="1" si="153"/>
        <v>0.10510117826867713</v>
      </c>
      <c r="DO135" s="171">
        <f t="shared" ca="1" si="154"/>
        <v>9.977960815162823E-2</v>
      </c>
      <c r="DP135" s="171">
        <f t="shared" ca="1" si="155"/>
        <v>9.4727484190913286E-2</v>
      </c>
      <c r="DQ135" s="171">
        <f t="shared" ca="1" si="156"/>
        <v>8.9931163565040523E-2</v>
      </c>
      <c r="DR135" s="171">
        <f t="shared" ca="1" si="157"/>
        <v>8.5377694227182624E-2</v>
      </c>
      <c r="DS135" s="171">
        <f t="shared" ca="1" si="158"/>
        <v>8.1054779929300574E-2</v>
      </c>
      <c r="DT135" s="171">
        <f t="shared" ca="1" si="159"/>
        <v>7.6950747017194857E-2</v>
      </c>
      <c r="DU135" s="171">
        <f t="shared" ca="1" si="160"/>
        <v>7.3054512906817276E-2</v>
      </c>
      <c r="DV135" s="171">
        <f t="shared" ca="1" si="161"/>
        <v>6.9355556156716375E-2</v>
      </c>
      <c r="DW135" s="171">
        <f t="shared" ca="1" si="162"/>
        <v>6.5843888055799521E-2</v>
      </c>
      <c r="DX135" s="171">
        <f t="shared" ca="1" si="163"/>
        <v>6.2510025649687148E-2</v>
      </c>
      <c r="DY135" s="171">
        <f t="shared" ca="1" si="164"/>
        <v>5.934496613281897E-2</v>
      </c>
      <c r="DZ135" s="171">
        <f t="shared" ca="1" si="165"/>
        <v>5.6340162537160253E-2</v>
      </c>
      <c r="EA135" s="171">
        <f t="shared" ca="1" si="166"/>
        <v>5.3487500651857825E-2</v>
      </c>
      <c r="EB135" s="171">
        <f t="shared" ca="1" si="167"/>
        <v>0</v>
      </c>
      <c r="EC135" s="171">
        <f t="shared" ca="1" si="168"/>
        <v>0</v>
      </c>
      <c r="ED135" s="171">
        <f t="shared" ca="1" si="169"/>
        <v>0</v>
      </c>
      <c r="EE135" s="171">
        <f t="shared" ca="1" si="170"/>
        <v>0</v>
      </c>
      <c r="EF135" s="171">
        <f t="shared" ca="1" si="171"/>
        <v>0</v>
      </c>
      <c r="EG135" s="171">
        <f t="shared" ca="1" si="172"/>
        <v>0</v>
      </c>
      <c r="EH135" s="171">
        <f t="shared" ca="1" si="173"/>
        <v>0</v>
      </c>
      <c r="EI135" s="171">
        <f t="shared" ca="1" si="174"/>
        <v>0</v>
      </c>
      <c r="EJ135" s="171">
        <f t="shared" ca="1" si="175"/>
        <v>0</v>
      </c>
      <c r="EK135" s="171">
        <f t="shared" ca="1" si="176"/>
        <v>0</v>
      </c>
      <c r="EL135" s="171">
        <f t="shared" ca="1" si="177"/>
        <v>0</v>
      </c>
      <c r="EM135" s="171">
        <f t="shared" ca="1" si="178"/>
        <v>0</v>
      </c>
      <c r="EN135" s="171">
        <f t="shared" ca="1" si="179"/>
        <v>0</v>
      </c>
      <c r="EO135" s="171">
        <f t="shared" ca="1" si="180"/>
        <v>0</v>
      </c>
      <c r="EP135" s="171">
        <f t="shared" ca="1" si="181"/>
        <v>0</v>
      </c>
      <c r="EQ135" s="171">
        <f t="shared" ca="1" si="182"/>
        <v>0</v>
      </c>
      <c r="ER135" s="171">
        <f t="shared" ca="1" si="183"/>
        <v>0</v>
      </c>
      <c r="ES135" s="171">
        <f t="shared" ca="1" si="184"/>
        <v>0</v>
      </c>
    </row>
    <row r="136" spans="1:149">
      <c r="A136" s="139" t="s">
        <v>495</v>
      </c>
      <c r="B136" s="160" t="s">
        <v>429</v>
      </c>
      <c r="C136" s="160" t="s">
        <v>109</v>
      </c>
      <c r="D136" s="161" t="s">
        <v>428</v>
      </c>
      <c r="E136" s="160">
        <v>2014</v>
      </c>
      <c r="F136" s="160" t="s">
        <v>395</v>
      </c>
      <c r="G136" s="160" t="s">
        <v>402</v>
      </c>
      <c r="H136" s="160" t="s">
        <v>396</v>
      </c>
      <c r="I136" s="160" t="s">
        <v>178</v>
      </c>
      <c r="J136" s="160" t="s">
        <v>407</v>
      </c>
      <c r="K136" s="187">
        <v>139.26599999999999</v>
      </c>
      <c r="L136" s="163" t="s">
        <v>110</v>
      </c>
      <c r="M136" s="164">
        <f t="shared" si="115"/>
        <v>139.26599999999999</v>
      </c>
      <c r="N136" s="164">
        <f t="shared" si="116"/>
        <v>139.26599999999999</v>
      </c>
      <c r="O136" s="165">
        <f t="shared" si="117"/>
        <v>1</v>
      </c>
      <c r="P136" s="190">
        <v>7.4999999999999997E-3</v>
      </c>
      <c r="Q136" s="191">
        <v>50</v>
      </c>
      <c r="R136" s="168">
        <f t="shared" si="118"/>
        <v>40</v>
      </c>
      <c r="S136" s="178">
        <v>10</v>
      </c>
      <c r="T136" s="170" t="s">
        <v>403</v>
      </c>
      <c r="U136" s="171">
        <f t="shared" si="119"/>
        <v>3.4547253241731113</v>
      </c>
      <c r="V136" s="171">
        <f t="shared" ca="1" si="120"/>
        <v>1.5169352624061134</v>
      </c>
      <c r="W136" s="171">
        <f t="shared" ca="1" si="185"/>
        <v>75.846763120305667</v>
      </c>
      <c r="X136" s="172">
        <f t="shared" si="121"/>
        <v>6.2006313877182473E-2</v>
      </c>
      <c r="Y136" s="172">
        <f t="shared" si="122"/>
        <v>0.93799368612281753</v>
      </c>
      <c r="Z136" s="173">
        <f t="shared" si="123"/>
        <v>172.73626620865556</v>
      </c>
      <c r="AA136" s="171">
        <f t="shared" si="192"/>
        <v>0</v>
      </c>
      <c r="AB136" s="171">
        <f t="shared" si="192"/>
        <v>0</v>
      </c>
      <c r="AC136" s="171">
        <f t="shared" si="192"/>
        <v>0</v>
      </c>
      <c r="AD136" s="171">
        <f t="shared" si="192"/>
        <v>0</v>
      </c>
      <c r="AE136" s="171">
        <f t="shared" si="192"/>
        <v>1.044495</v>
      </c>
      <c r="AF136" s="171">
        <f t="shared" si="192"/>
        <v>1.044495</v>
      </c>
      <c r="AG136" s="171">
        <f t="shared" si="192"/>
        <v>1.044495</v>
      </c>
      <c r="AH136" s="171">
        <f t="shared" si="192"/>
        <v>1.044495</v>
      </c>
      <c r="AI136" s="171">
        <f t="shared" si="192"/>
        <v>1.044495</v>
      </c>
      <c r="AJ136" s="171">
        <f t="shared" si="192"/>
        <v>1.044495</v>
      </c>
      <c r="AK136" s="171">
        <f t="shared" si="193"/>
        <v>1.044495</v>
      </c>
      <c r="AL136" s="171">
        <f t="shared" si="193"/>
        <v>1.044495</v>
      </c>
      <c r="AM136" s="171">
        <f t="shared" si="193"/>
        <v>1.044495</v>
      </c>
      <c r="AN136" s="171">
        <f t="shared" si="193"/>
        <v>1.044495</v>
      </c>
      <c r="AO136" s="171">
        <f t="shared" si="193"/>
        <v>3.958324785576969</v>
      </c>
      <c r="AP136" s="171">
        <f t="shared" si="193"/>
        <v>3.958324785576969</v>
      </c>
      <c r="AQ136" s="171">
        <f t="shared" si="193"/>
        <v>3.958324785576969</v>
      </c>
      <c r="AR136" s="171">
        <f t="shared" si="193"/>
        <v>3.958324785576969</v>
      </c>
      <c r="AS136" s="171">
        <f t="shared" si="193"/>
        <v>3.958324785576969</v>
      </c>
      <c r="AT136" s="171">
        <f t="shared" si="193"/>
        <v>3.958324785576969</v>
      </c>
      <c r="AU136" s="171">
        <f t="shared" si="194"/>
        <v>3.958324785576969</v>
      </c>
      <c r="AV136" s="171">
        <f t="shared" si="194"/>
        <v>3.958324785576969</v>
      </c>
      <c r="AW136" s="171">
        <f t="shared" si="194"/>
        <v>3.958324785576969</v>
      </c>
      <c r="AX136" s="171">
        <f t="shared" si="194"/>
        <v>3.958324785576969</v>
      </c>
      <c r="AY136" s="171">
        <f t="shared" si="194"/>
        <v>3.958324785576969</v>
      </c>
      <c r="AZ136" s="171">
        <f t="shared" si="194"/>
        <v>3.958324785576969</v>
      </c>
      <c r="BA136" s="171">
        <f t="shared" si="194"/>
        <v>3.958324785576969</v>
      </c>
      <c r="BB136" s="171">
        <f t="shared" si="194"/>
        <v>3.958324785576969</v>
      </c>
      <c r="BC136" s="171">
        <f t="shared" si="194"/>
        <v>3.958324785576969</v>
      </c>
      <c r="BD136" s="171">
        <f t="shared" si="194"/>
        <v>3.958324785576969</v>
      </c>
      <c r="BE136" s="171">
        <f t="shared" si="195"/>
        <v>3.958324785576969</v>
      </c>
      <c r="BF136" s="171">
        <f t="shared" si="195"/>
        <v>3.958324785576969</v>
      </c>
      <c r="BG136" s="171">
        <f t="shared" si="195"/>
        <v>3.958324785576969</v>
      </c>
      <c r="BH136" s="171">
        <f t="shared" si="195"/>
        <v>3.958324785576969</v>
      </c>
      <c r="BI136" s="171">
        <f t="shared" si="195"/>
        <v>3.958324785576969</v>
      </c>
      <c r="BJ136" s="171">
        <f t="shared" si="195"/>
        <v>3.958324785576969</v>
      </c>
      <c r="BK136" s="171">
        <f t="shared" si="195"/>
        <v>3.958324785576969</v>
      </c>
      <c r="BL136" s="171">
        <f t="shared" si="195"/>
        <v>3.958324785576969</v>
      </c>
      <c r="BM136" s="171">
        <f t="shared" si="195"/>
        <v>3.958324785576969</v>
      </c>
      <c r="BN136" s="171">
        <f t="shared" si="195"/>
        <v>3.958324785576969</v>
      </c>
      <c r="BO136" s="171">
        <f t="shared" si="196"/>
        <v>3.958324785576969</v>
      </c>
      <c r="BP136" s="171">
        <f t="shared" si="196"/>
        <v>3.958324785576969</v>
      </c>
      <c r="BQ136" s="171">
        <f t="shared" si="196"/>
        <v>3.958324785576969</v>
      </c>
      <c r="BR136" s="171">
        <f t="shared" si="196"/>
        <v>3.958324785576969</v>
      </c>
      <c r="BS136" s="171">
        <f t="shared" si="196"/>
        <v>3.958324785576969</v>
      </c>
      <c r="BT136" s="171">
        <f t="shared" si="196"/>
        <v>3.958324785576969</v>
      </c>
      <c r="BU136" s="171">
        <f t="shared" si="196"/>
        <v>3.958324785576969</v>
      </c>
      <c r="BV136" s="171">
        <f t="shared" si="196"/>
        <v>3.958324785576969</v>
      </c>
      <c r="BW136" s="171">
        <f t="shared" si="196"/>
        <v>3.958324785576969</v>
      </c>
      <c r="BX136" s="171">
        <f t="shared" si="196"/>
        <v>3.958324785576969</v>
      </c>
      <c r="BY136" s="171">
        <f t="shared" si="197"/>
        <v>3.958324785576969</v>
      </c>
      <c r="BZ136" s="171">
        <f t="shared" si="197"/>
        <v>3.958324785576969</v>
      </c>
      <c r="CA136" s="171">
        <f t="shared" si="197"/>
        <v>3.958324785576969</v>
      </c>
      <c r="CB136" s="171">
        <f t="shared" si="197"/>
        <v>3.958324785576969</v>
      </c>
      <c r="CC136" s="171">
        <f t="shared" si="197"/>
        <v>3.958324785576969</v>
      </c>
      <c r="CD136" s="171">
        <f t="shared" si="197"/>
        <v>0</v>
      </c>
      <c r="CE136" s="171">
        <f t="shared" si="197"/>
        <v>0</v>
      </c>
      <c r="CF136" s="171">
        <f t="shared" si="197"/>
        <v>0</v>
      </c>
      <c r="CG136" s="171">
        <f t="shared" si="197"/>
        <v>0</v>
      </c>
      <c r="CH136" s="171">
        <f t="shared" si="197"/>
        <v>0</v>
      </c>
      <c r="CI136" s="171">
        <f t="shared" si="197"/>
        <v>0</v>
      </c>
      <c r="CJ136" s="243"/>
      <c r="CK136" s="171">
        <f t="shared" si="124"/>
        <v>0</v>
      </c>
      <c r="CL136" s="171">
        <f t="shared" si="125"/>
        <v>0</v>
      </c>
      <c r="CM136" s="171">
        <f t="shared" si="126"/>
        <v>0</v>
      </c>
      <c r="CN136" s="171">
        <f t="shared" si="127"/>
        <v>0</v>
      </c>
      <c r="CO136" s="171">
        <f t="shared" si="128"/>
        <v>1.044495</v>
      </c>
      <c r="CP136" s="171">
        <f t="shared" si="129"/>
        <v>1.044495</v>
      </c>
      <c r="CQ136" s="171">
        <f t="shared" si="130"/>
        <v>1.044495</v>
      </c>
      <c r="CR136" s="171">
        <f t="shared" si="131"/>
        <v>1.044495</v>
      </c>
      <c r="CS136" s="171">
        <f t="shared" si="132"/>
        <v>1.044495</v>
      </c>
      <c r="CT136" s="171">
        <f t="shared" si="133"/>
        <v>1.044495</v>
      </c>
      <c r="CU136" s="171">
        <f t="shared" si="134"/>
        <v>1.044495</v>
      </c>
      <c r="CV136" s="171">
        <f t="shared" si="135"/>
        <v>1.044495</v>
      </c>
      <c r="CW136" s="171">
        <f t="shared" si="136"/>
        <v>1.044495</v>
      </c>
      <c r="CX136" s="171">
        <f t="shared" si="137"/>
        <v>1.044495</v>
      </c>
      <c r="CY136" s="171">
        <f t="shared" ca="1" si="138"/>
        <v>3.7579035986835945</v>
      </c>
      <c r="CZ136" s="171">
        <f t="shared" ca="1" si="139"/>
        <v>3.5676303037222086</v>
      </c>
      <c r="DA136" s="171">
        <f t="shared" ca="1" si="140"/>
        <v>3.3869910842033506</v>
      </c>
      <c r="DB136" s="171">
        <f t="shared" ca="1" si="141"/>
        <v>3.2154981396206415</v>
      </c>
      <c r="DC136" s="171">
        <f t="shared" ca="1" si="142"/>
        <v>3.0526883681879342</v>
      </c>
      <c r="DD136" s="171">
        <f t="shared" ca="1" si="143"/>
        <v>2.8981221162731998</v>
      </c>
      <c r="DE136" s="171">
        <f t="shared" ca="1" si="144"/>
        <v>2.751381991152126</v>
      </c>
      <c r="DF136" s="171">
        <f t="shared" ca="1" si="145"/>
        <v>2.6120717338753501</v>
      </c>
      <c r="DG136" s="171">
        <f t="shared" ca="1" si="146"/>
        <v>2.4798151492056251</v>
      </c>
      <c r="DH136" s="171">
        <f t="shared" ca="1" si="147"/>
        <v>2.3542550897352856</v>
      </c>
      <c r="DI136" s="171">
        <f t="shared" ca="1" si="148"/>
        <v>2.2350524914407299</v>
      </c>
      <c r="DJ136" s="171">
        <f t="shared" ca="1" si="149"/>
        <v>2.1218854580695026</v>
      </c>
      <c r="DK136" s="171">
        <f t="shared" ca="1" si="150"/>
        <v>2.0144483918874525</v>
      </c>
      <c r="DL136" s="171">
        <f t="shared" ca="1" si="151"/>
        <v>1.9124511684386232</v>
      </c>
      <c r="DM136" s="171">
        <f t="shared" ca="1" si="152"/>
        <v>1.8156183530893846</v>
      </c>
      <c r="DN136" s="171">
        <f t="shared" ca="1" si="153"/>
        <v>1.7236884572411517</v>
      </c>
      <c r="DO136" s="171">
        <f t="shared" ca="1" si="154"/>
        <v>1.6364132322031624</v>
      </c>
      <c r="DP136" s="171">
        <f t="shared" ca="1" si="155"/>
        <v>1.5535569988184688</v>
      </c>
      <c r="DQ136" s="171">
        <f t="shared" ca="1" si="156"/>
        <v>1.4748960110328693</v>
      </c>
      <c r="DR136" s="171">
        <f t="shared" ca="1" si="157"/>
        <v>1.4002178516881389</v>
      </c>
      <c r="DS136" s="171">
        <f t="shared" ca="1" si="158"/>
        <v>1.3293208589079664</v>
      </c>
      <c r="DT136" s="171">
        <f t="shared" ca="1" si="159"/>
        <v>1.2620135815275884</v>
      </c>
      <c r="DU136" s="171">
        <f t="shared" ca="1" si="160"/>
        <v>1.1981142620965655</v>
      </c>
      <c r="DV136" s="171">
        <f t="shared" ca="1" si="161"/>
        <v>1.1374503460585914</v>
      </c>
      <c r="DW136" s="171">
        <f t="shared" ca="1" si="162"/>
        <v>1.0798580157829156</v>
      </c>
      <c r="DX136" s="171">
        <f t="shared" ca="1" si="163"/>
        <v>1.0251817481890753</v>
      </c>
      <c r="DY136" s="171">
        <f t="shared" ca="1" si="164"/>
        <v>0.97327389477033921</v>
      </c>
      <c r="DZ136" s="171">
        <f t="shared" ca="1" si="165"/>
        <v>0.92399428288175189</v>
      </c>
      <c r="EA136" s="171">
        <f t="shared" ca="1" si="166"/>
        <v>0.87720983721609369</v>
      </c>
      <c r="EB136" s="171">
        <f t="shared" ca="1" si="167"/>
        <v>0.83279422044558471</v>
      </c>
      <c r="EC136" s="171">
        <f t="shared" ca="1" si="168"/>
        <v>0.79062749205891503</v>
      </c>
      <c r="ED136" s="171">
        <f t="shared" ca="1" si="169"/>
        <v>0.75059578447232211</v>
      </c>
      <c r="EE136" s="171">
        <f t="shared" ca="1" si="170"/>
        <v>0.71259099554008221</v>
      </c>
      <c r="EF136" s="171">
        <f t="shared" ca="1" si="171"/>
        <v>0.67651049663406404</v>
      </c>
      <c r="EG136" s="171">
        <f t="shared" ca="1" si="172"/>
        <v>0.64225685550404177</v>
      </c>
      <c r="EH136" s="171">
        <f t="shared" ca="1" si="173"/>
        <v>0.60973757317037547</v>
      </c>
      <c r="EI136" s="171">
        <f t="shared" ca="1" si="174"/>
        <v>0.57886483413855794</v>
      </c>
      <c r="EJ136" s="171">
        <f t="shared" ca="1" si="175"/>
        <v>0.54955526926110809</v>
      </c>
      <c r="EK136" s="171">
        <f t="shared" ca="1" si="176"/>
        <v>0.52172973060643579</v>
      </c>
      <c r="EL136" s="171">
        <f t="shared" ca="1" si="177"/>
        <v>0.49531307772673505</v>
      </c>
      <c r="EM136" s="171">
        <f t="shared" ca="1" si="178"/>
        <v>0.4702339747477377</v>
      </c>
      <c r="EN136" s="171">
        <f t="shared" ca="1" si="179"/>
        <v>0</v>
      </c>
      <c r="EO136" s="171">
        <f t="shared" ca="1" si="180"/>
        <v>0</v>
      </c>
      <c r="EP136" s="171">
        <f t="shared" ca="1" si="181"/>
        <v>0</v>
      </c>
      <c r="EQ136" s="171">
        <f t="shared" ca="1" si="182"/>
        <v>0</v>
      </c>
      <c r="ER136" s="171">
        <f t="shared" ca="1" si="183"/>
        <v>0</v>
      </c>
      <c r="ES136" s="171">
        <f t="shared" ca="1" si="184"/>
        <v>0</v>
      </c>
    </row>
    <row r="137" spans="1:149">
      <c r="A137" s="139" t="s">
        <v>495</v>
      </c>
      <c r="B137" s="161" t="s">
        <v>420</v>
      </c>
      <c r="C137" s="161" t="s">
        <v>109</v>
      </c>
      <c r="D137" s="161" t="s">
        <v>428</v>
      </c>
      <c r="E137" s="161">
        <v>2014</v>
      </c>
      <c r="F137" s="160" t="s">
        <v>400</v>
      </c>
      <c r="G137" s="161" t="s">
        <v>289</v>
      </c>
      <c r="H137" s="161" t="s">
        <v>396</v>
      </c>
      <c r="I137" s="161" t="s">
        <v>183</v>
      </c>
      <c r="J137" s="161" t="s">
        <v>401</v>
      </c>
      <c r="K137" s="187">
        <v>14.24</v>
      </c>
      <c r="L137" s="163" t="s">
        <v>110</v>
      </c>
      <c r="M137" s="164">
        <f t="shared" si="115"/>
        <v>14.24</v>
      </c>
      <c r="N137" s="164">
        <f t="shared" si="116"/>
        <v>14.24</v>
      </c>
      <c r="O137" s="165">
        <f t="shared" si="117"/>
        <v>1</v>
      </c>
      <c r="P137" s="200">
        <v>6.9199999999999998E-2</v>
      </c>
      <c r="Q137" s="177">
        <v>50</v>
      </c>
      <c r="R137" s="168">
        <f t="shared" si="118"/>
        <v>40</v>
      </c>
      <c r="S137" s="169">
        <v>0</v>
      </c>
      <c r="T137" s="161" t="s">
        <v>289</v>
      </c>
      <c r="U137" s="171">
        <f t="shared" si="119"/>
        <v>1.0051161599999998</v>
      </c>
      <c r="V137" s="171">
        <f t="shared" ca="1" si="120"/>
        <v>0.52271162459061837</v>
      </c>
      <c r="W137" s="171">
        <f t="shared" ca="1" si="185"/>
        <v>26.135581229530917</v>
      </c>
      <c r="X137" s="172" t="str">
        <f t="shared" si="121"/>
        <v>Equity</v>
      </c>
      <c r="Y137" s="172" t="str">
        <f t="shared" si="122"/>
        <v>Equity</v>
      </c>
      <c r="Z137" s="173">
        <f t="shared" si="123"/>
        <v>50.255807999999988</v>
      </c>
      <c r="AA137" s="171">
        <f t="shared" si="192"/>
        <v>0</v>
      </c>
      <c r="AB137" s="171">
        <f t="shared" si="192"/>
        <v>0</v>
      </c>
      <c r="AC137" s="171">
        <f t="shared" si="192"/>
        <v>0</v>
      </c>
      <c r="AD137" s="171">
        <f t="shared" si="192"/>
        <v>0</v>
      </c>
      <c r="AE137" s="171">
        <f t="shared" si="192"/>
        <v>0.98540799999999995</v>
      </c>
      <c r="AF137" s="171">
        <f t="shared" si="192"/>
        <v>0.98540799999999995</v>
      </c>
      <c r="AG137" s="171">
        <f t="shared" si="192"/>
        <v>0.98540799999999995</v>
      </c>
      <c r="AH137" s="171">
        <f t="shared" si="192"/>
        <v>0.98540799999999995</v>
      </c>
      <c r="AI137" s="171">
        <f t="shared" si="192"/>
        <v>0.98540799999999995</v>
      </c>
      <c r="AJ137" s="171">
        <f t="shared" si="192"/>
        <v>0.98540799999999995</v>
      </c>
      <c r="AK137" s="171">
        <f t="shared" si="193"/>
        <v>0.98540799999999995</v>
      </c>
      <c r="AL137" s="171">
        <f t="shared" si="193"/>
        <v>0.98540799999999995</v>
      </c>
      <c r="AM137" s="171">
        <f t="shared" si="193"/>
        <v>0.98540799999999995</v>
      </c>
      <c r="AN137" s="171">
        <f t="shared" si="193"/>
        <v>0.98540799999999995</v>
      </c>
      <c r="AO137" s="171">
        <f t="shared" si="193"/>
        <v>0.98540799999999995</v>
      </c>
      <c r="AP137" s="171">
        <f t="shared" si="193"/>
        <v>0.98540799999999995</v>
      </c>
      <c r="AQ137" s="171">
        <f t="shared" si="193"/>
        <v>0.98540799999999995</v>
      </c>
      <c r="AR137" s="171">
        <f t="shared" si="193"/>
        <v>0.98540799999999995</v>
      </c>
      <c r="AS137" s="171">
        <f t="shared" si="193"/>
        <v>0.98540799999999995</v>
      </c>
      <c r="AT137" s="171">
        <f t="shared" si="193"/>
        <v>0.98540799999999995</v>
      </c>
      <c r="AU137" s="171">
        <f t="shared" si="194"/>
        <v>0.98540799999999995</v>
      </c>
      <c r="AV137" s="171">
        <f t="shared" si="194"/>
        <v>0.98540799999999995</v>
      </c>
      <c r="AW137" s="171">
        <f t="shared" si="194"/>
        <v>0.98540799999999995</v>
      </c>
      <c r="AX137" s="171">
        <f t="shared" si="194"/>
        <v>0.98540799999999995</v>
      </c>
      <c r="AY137" s="171">
        <f t="shared" si="194"/>
        <v>0.98540799999999995</v>
      </c>
      <c r="AZ137" s="171">
        <f t="shared" si="194"/>
        <v>0.98540799999999995</v>
      </c>
      <c r="BA137" s="171">
        <f t="shared" si="194"/>
        <v>0.98540799999999995</v>
      </c>
      <c r="BB137" s="171">
        <f t="shared" si="194"/>
        <v>0.98540799999999995</v>
      </c>
      <c r="BC137" s="171">
        <f t="shared" si="194"/>
        <v>0.98540799999999995</v>
      </c>
      <c r="BD137" s="171">
        <f t="shared" si="194"/>
        <v>0.98540799999999995</v>
      </c>
      <c r="BE137" s="171">
        <f t="shared" si="195"/>
        <v>0.98540799999999995</v>
      </c>
      <c r="BF137" s="171">
        <f t="shared" si="195"/>
        <v>0.98540799999999995</v>
      </c>
      <c r="BG137" s="171">
        <f t="shared" si="195"/>
        <v>0.98540799999999995</v>
      </c>
      <c r="BH137" s="171">
        <f t="shared" si="195"/>
        <v>0.98540799999999995</v>
      </c>
      <c r="BI137" s="171">
        <f t="shared" si="195"/>
        <v>0.98540799999999995</v>
      </c>
      <c r="BJ137" s="171">
        <f t="shared" si="195"/>
        <v>0.98540799999999995</v>
      </c>
      <c r="BK137" s="171">
        <f t="shared" si="195"/>
        <v>0.98540799999999995</v>
      </c>
      <c r="BL137" s="171">
        <f t="shared" si="195"/>
        <v>0.98540799999999995</v>
      </c>
      <c r="BM137" s="171">
        <f t="shared" si="195"/>
        <v>0.98540799999999995</v>
      </c>
      <c r="BN137" s="171">
        <f t="shared" si="195"/>
        <v>0.98540799999999995</v>
      </c>
      <c r="BO137" s="171">
        <f t="shared" si="196"/>
        <v>0.98540799999999995</v>
      </c>
      <c r="BP137" s="171">
        <f t="shared" si="196"/>
        <v>0.98540799999999995</v>
      </c>
      <c r="BQ137" s="171">
        <f t="shared" si="196"/>
        <v>0.98540799999999995</v>
      </c>
      <c r="BR137" s="171">
        <f t="shared" si="196"/>
        <v>0.98540799999999995</v>
      </c>
      <c r="BS137" s="171">
        <f t="shared" si="196"/>
        <v>0.98540799999999995</v>
      </c>
      <c r="BT137" s="171">
        <f t="shared" si="196"/>
        <v>0.98540799999999995</v>
      </c>
      <c r="BU137" s="171">
        <f t="shared" si="196"/>
        <v>0.98540799999999995</v>
      </c>
      <c r="BV137" s="171">
        <f t="shared" si="196"/>
        <v>0.98540799999999995</v>
      </c>
      <c r="BW137" s="171">
        <f t="shared" si="196"/>
        <v>0.98540799999999995</v>
      </c>
      <c r="BX137" s="171">
        <f t="shared" si="196"/>
        <v>0.98540799999999995</v>
      </c>
      <c r="BY137" s="171">
        <f t="shared" si="197"/>
        <v>0.98540799999999995</v>
      </c>
      <c r="BZ137" s="171">
        <f t="shared" si="197"/>
        <v>0.98540799999999995</v>
      </c>
      <c r="CA137" s="171">
        <f t="shared" si="197"/>
        <v>0.98540799999999995</v>
      </c>
      <c r="CB137" s="171">
        <f t="shared" si="197"/>
        <v>0.98540799999999995</v>
      </c>
      <c r="CC137" s="171">
        <f t="shared" si="197"/>
        <v>0.98540799999999995</v>
      </c>
      <c r="CD137" s="171">
        <f t="shared" si="197"/>
        <v>0</v>
      </c>
      <c r="CE137" s="171">
        <f t="shared" si="197"/>
        <v>0</v>
      </c>
      <c r="CF137" s="171">
        <f t="shared" si="197"/>
        <v>0</v>
      </c>
      <c r="CG137" s="171">
        <f t="shared" si="197"/>
        <v>0</v>
      </c>
      <c r="CH137" s="171">
        <f t="shared" si="197"/>
        <v>0</v>
      </c>
      <c r="CI137" s="171">
        <f t="shared" si="197"/>
        <v>0</v>
      </c>
      <c r="CJ137" s="243"/>
      <c r="CK137" s="171">
        <f t="shared" si="124"/>
        <v>0</v>
      </c>
      <c r="CL137" s="171">
        <f t="shared" si="125"/>
        <v>0</v>
      </c>
      <c r="CM137" s="171">
        <f t="shared" si="126"/>
        <v>0</v>
      </c>
      <c r="CN137" s="171">
        <f t="shared" si="127"/>
        <v>0</v>
      </c>
      <c r="CO137" s="171">
        <f t="shared" si="128"/>
        <v>0.98540799999999995</v>
      </c>
      <c r="CP137" s="171">
        <f t="shared" si="129"/>
        <v>0.98540799999999995</v>
      </c>
      <c r="CQ137" s="171">
        <f t="shared" si="130"/>
        <v>0.98540799999999995</v>
      </c>
      <c r="CR137" s="171">
        <f t="shared" si="131"/>
        <v>0.98540799999999995</v>
      </c>
      <c r="CS137" s="171">
        <f t="shared" si="132"/>
        <v>0.98540799999999995</v>
      </c>
      <c r="CT137" s="171">
        <f t="shared" si="133"/>
        <v>0.98540799999999995</v>
      </c>
      <c r="CU137" s="171">
        <f t="shared" si="134"/>
        <v>0.98540799999999995</v>
      </c>
      <c r="CV137" s="171">
        <f t="shared" si="135"/>
        <v>0.98540799999999995</v>
      </c>
      <c r="CW137" s="171">
        <f t="shared" si="136"/>
        <v>0.98540799999999995</v>
      </c>
      <c r="CX137" s="171">
        <f t="shared" si="137"/>
        <v>0.98540799999999995</v>
      </c>
      <c r="CY137" s="171">
        <f t="shared" ca="1" si="138"/>
        <v>0.93551400402123408</v>
      </c>
      <c r="CZ137" s="171">
        <f t="shared" ca="1" si="139"/>
        <v>0.88814628227073622</v>
      </c>
      <c r="DA137" s="171">
        <f t="shared" ca="1" si="140"/>
        <v>0.8431769223343728</v>
      </c>
      <c r="DB137" s="171">
        <f t="shared" ca="1" si="141"/>
        <v>0.80048448836556052</v>
      </c>
      <c r="DC137" s="171">
        <f t="shared" ca="1" si="142"/>
        <v>0.75995369315832073</v>
      </c>
      <c r="DD137" s="171">
        <f t="shared" ca="1" si="143"/>
        <v>0.72147508682420369</v>
      </c>
      <c r="DE137" s="171">
        <f t="shared" ca="1" si="144"/>
        <v>0.68494476123238135</v>
      </c>
      <c r="DF137" s="171">
        <f t="shared" ca="1" si="145"/>
        <v>0.65026406941477355</v>
      </c>
      <c r="DG137" s="171">
        <f t="shared" ca="1" si="146"/>
        <v>0.61733935917848914</v>
      </c>
      <c r="DH137" s="171">
        <f t="shared" ca="1" si="147"/>
        <v>0.58608172020622029</v>
      </c>
      <c r="DI137" s="171">
        <f t="shared" ca="1" si="148"/>
        <v>0.55640674396166245</v>
      </c>
      <c r="DJ137" s="171">
        <f t="shared" ca="1" si="149"/>
        <v>0.52823429575159975</v>
      </c>
      <c r="DK137" s="171">
        <f t="shared" ca="1" si="150"/>
        <v>0.50148829832913455</v>
      </c>
      <c r="DL137" s="171">
        <f t="shared" ca="1" si="151"/>
        <v>0.47609652645369621</v>
      </c>
      <c r="DM137" s="171">
        <f t="shared" ca="1" si="152"/>
        <v>0.4519904118530586</v>
      </c>
      <c r="DN137" s="171">
        <f t="shared" ca="1" si="153"/>
        <v>0.42910485806068299</v>
      </c>
      <c r="DO137" s="171">
        <f t="shared" ca="1" si="154"/>
        <v>0.40737806462837012</v>
      </c>
      <c r="DP137" s="171">
        <f t="shared" ca="1" si="155"/>
        <v>0.38675136023952267</v>
      </c>
      <c r="DQ137" s="171">
        <f t="shared" ca="1" si="156"/>
        <v>0.36716904427235686</v>
      </c>
      <c r="DR137" s="171">
        <f t="shared" ca="1" si="157"/>
        <v>0.34857823638521535</v>
      </c>
      <c r="DS137" s="171">
        <f t="shared" ca="1" si="158"/>
        <v>0.33092873371780324</v>
      </c>
      <c r="DT137" s="171">
        <f t="shared" ca="1" si="159"/>
        <v>0.31417287532272814</v>
      </c>
      <c r="DU137" s="171">
        <f t="shared" ca="1" si="160"/>
        <v>0.29826541346125601</v>
      </c>
      <c r="DV137" s="171">
        <f t="shared" ca="1" si="161"/>
        <v>0.28316339141572683</v>
      </c>
      <c r="DW137" s="171">
        <f t="shared" ca="1" si="162"/>
        <v>0.26882602748867335</v>
      </c>
      <c r="DX137" s="171">
        <f t="shared" ca="1" si="163"/>
        <v>0.25521460487539288</v>
      </c>
      <c r="DY137" s="171">
        <f t="shared" ca="1" si="164"/>
        <v>0.24229236711258276</v>
      </c>
      <c r="DZ137" s="171">
        <f t="shared" ca="1" si="165"/>
        <v>0.23002441882070684</v>
      </c>
      <c r="EA137" s="171">
        <f t="shared" ca="1" si="166"/>
        <v>0.21837763147205702</v>
      </c>
      <c r="EB137" s="171">
        <f t="shared" ca="1" si="167"/>
        <v>0.20732055393004473</v>
      </c>
      <c r="EC137" s="171">
        <f t="shared" ca="1" si="168"/>
        <v>0.19682332751814108</v>
      </c>
      <c r="ED137" s="171">
        <f t="shared" ca="1" si="169"/>
        <v>0.18685760538911689</v>
      </c>
      <c r="EE137" s="171">
        <f t="shared" ca="1" si="170"/>
        <v>0.17739647597684663</v>
      </c>
      <c r="EF137" s="171">
        <f t="shared" ca="1" si="171"/>
        <v>0.16841439032396374</v>
      </c>
      <c r="EG137" s="171">
        <f t="shared" ca="1" si="172"/>
        <v>0.15988709308912277</v>
      </c>
      <c r="EH137" s="171">
        <f t="shared" ca="1" si="173"/>
        <v>0.15179155704755901</v>
      </c>
      <c r="EI137" s="171">
        <f t="shared" ca="1" si="174"/>
        <v>0.14410592090807006</v>
      </c>
      <c r="EJ137" s="171">
        <f t="shared" ca="1" si="175"/>
        <v>0.13680943027849979</v>
      </c>
      <c r="EK137" s="171">
        <f t="shared" ca="1" si="176"/>
        <v>0.12988238162030671</v>
      </c>
      <c r="EL137" s="171">
        <f t="shared" ca="1" si="177"/>
        <v>0.12330606904087148</v>
      </c>
      <c r="EM137" s="171">
        <f t="shared" ca="1" si="178"/>
        <v>0.11706273377986015</v>
      </c>
      <c r="EN137" s="171">
        <f t="shared" ca="1" si="179"/>
        <v>0</v>
      </c>
      <c r="EO137" s="171">
        <f t="shared" ca="1" si="180"/>
        <v>0</v>
      </c>
      <c r="EP137" s="171">
        <f t="shared" ca="1" si="181"/>
        <v>0</v>
      </c>
      <c r="EQ137" s="171">
        <f t="shared" ca="1" si="182"/>
        <v>0</v>
      </c>
      <c r="ER137" s="171">
        <f t="shared" ca="1" si="183"/>
        <v>0</v>
      </c>
      <c r="ES137" s="171">
        <f t="shared" ca="1" si="184"/>
        <v>0</v>
      </c>
    </row>
    <row r="138" spans="1:149">
      <c r="A138" s="139" t="s">
        <v>496</v>
      </c>
      <c r="B138" s="160" t="s">
        <v>429</v>
      </c>
      <c r="C138" s="160" t="s">
        <v>109</v>
      </c>
      <c r="D138" s="161" t="s">
        <v>428</v>
      </c>
      <c r="E138" s="160">
        <v>2016</v>
      </c>
      <c r="F138" s="160" t="s">
        <v>395</v>
      </c>
      <c r="G138" s="160" t="s">
        <v>402</v>
      </c>
      <c r="H138" s="160" t="s">
        <v>396</v>
      </c>
      <c r="I138" s="160" t="s">
        <v>178</v>
      </c>
      <c r="J138" s="160" t="s">
        <v>407</v>
      </c>
      <c r="K138" s="187">
        <v>162.22431</v>
      </c>
      <c r="L138" s="163" t="s">
        <v>110</v>
      </c>
      <c r="M138" s="164">
        <f t="shared" si="115"/>
        <v>162.22431</v>
      </c>
      <c r="N138" s="164">
        <f t="shared" si="116"/>
        <v>162.22431</v>
      </c>
      <c r="O138" s="165">
        <f t="shared" si="117"/>
        <v>1</v>
      </c>
      <c r="P138" s="190">
        <v>7.4999999999999997E-3</v>
      </c>
      <c r="Q138" s="191">
        <v>20</v>
      </c>
      <c r="R138" s="168">
        <f t="shared" si="118"/>
        <v>12</v>
      </c>
      <c r="S138" s="191">
        <v>5</v>
      </c>
      <c r="T138" s="170" t="s">
        <v>403</v>
      </c>
      <c r="U138" s="171">
        <f t="shared" si="119"/>
        <v>8.9421330203787495</v>
      </c>
      <c r="V138" s="171">
        <f t="shared" ca="1" si="120"/>
        <v>6.8948662670529206</v>
      </c>
      <c r="W138" s="171">
        <f t="shared" ca="1" si="185"/>
        <v>137.89732534105841</v>
      </c>
      <c r="X138" s="172">
        <f t="shared" si="121"/>
        <v>0.15377896041441208</v>
      </c>
      <c r="Y138" s="172">
        <f t="shared" si="122"/>
        <v>0.84622103958558792</v>
      </c>
      <c r="Z138" s="173">
        <f t="shared" si="123"/>
        <v>178.84266040757498</v>
      </c>
      <c r="AA138" s="171">
        <f t="shared" si="192"/>
        <v>0</v>
      </c>
      <c r="AB138" s="171">
        <f t="shared" si="192"/>
        <v>0</v>
      </c>
      <c r="AC138" s="171">
        <f t="shared" si="192"/>
        <v>0</v>
      </c>
      <c r="AD138" s="171">
        <f t="shared" si="192"/>
        <v>0</v>
      </c>
      <c r="AE138" s="171">
        <f t="shared" si="192"/>
        <v>0</v>
      </c>
      <c r="AF138" s="171">
        <f t="shared" si="192"/>
        <v>0</v>
      </c>
      <c r="AG138" s="171">
        <f t="shared" si="192"/>
        <v>1.2166823250000001</v>
      </c>
      <c r="AH138" s="171">
        <f t="shared" si="192"/>
        <v>1.2166823250000001</v>
      </c>
      <c r="AI138" s="171">
        <f t="shared" si="192"/>
        <v>1.2166823250000001</v>
      </c>
      <c r="AJ138" s="171">
        <f t="shared" si="192"/>
        <v>1.2166823250000001</v>
      </c>
      <c r="AK138" s="171">
        <f t="shared" si="193"/>
        <v>1.2166823250000001</v>
      </c>
      <c r="AL138" s="171">
        <f t="shared" si="193"/>
        <v>10.797453048910935</v>
      </c>
      <c r="AM138" s="171">
        <f t="shared" si="193"/>
        <v>10.797453048910935</v>
      </c>
      <c r="AN138" s="171">
        <f t="shared" si="193"/>
        <v>10.797453048910935</v>
      </c>
      <c r="AO138" s="171">
        <f t="shared" si="193"/>
        <v>10.797453048910935</v>
      </c>
      <c r="AP138" s="171">
        <f t="shared" si="193"/>
        <v>10.797453048910935</v>
      </c>
      <c r="AQ138" s="171">
        <f t="shared" si="193"/>
        <v>10.797453048910935</v>
      </c>
      <c r="AR138" s="171">
        <f t="shared" si="193"/>
        <v>10.797453048910935</v>
      </c>
      <c r="AS138" s="171">
        <f t="shared" si="193"/>
        <v>10.797453048910935</v>
      </c>
      <c r="AT138" s="171">
        <f t="shared" si="193"/>
        <v>10.797453048910935</v>
      </c>
      <c r="AU138" s="171">
        <f t="shared" si="194"/>
        <v>10.797453048910935</v>
      </c>
      <c r="AV138" s="171">
        <f t="shared" si="194"/>
        <v>10.797453048910935</v>
      </c>
      <c r="AW138" s="171">
        <f t="shared" si="194"/>
        <v>10.797453048910935</v>
      </c>
      <c r="AX138" s="171">
        <f t="shared" si="194"/>
        <v>10.797453048910935</v>
      </c>
      <c r="AY138" s="171">
        <f t="shared" si="194"/>
        <v>10.797453048910935</v>
      </c>
      <c r="AZ138" s="171">
        <f t="shared" si="194"/>
        <v>10.797453048910935</v>
      </c>
      <c r="BA138" s="171">
        <f t="shared" si="194"/>
        <v>10.797453048910935</v>
      </c>
      <c r="BB138" s="171">
        <f t="shared" si="194"/>
        <v>0</v>
      </c>
      <c r="BC138" s="171">
        <f t="shared" si="194"/>
        <v>0</v>
      </c>
      <c r="BD138" s="171">
        <f t="shared" si="194"/>
        <v>0</v>
      </c>
      <c r="BE138" s="171">
        <f t="shared" si="195"/>
        <v>0</v>
      </c>
      <c r="BF138" s="171">
        <f t="shared" si="195"/>
        <v>0</v>
      </c>
      <c r="BG138" s="171">
        <f t="shared" si="195"/>
        <v>0</v>
      </c>
      <c r="BH138" s="171">
        <f t="shared" si="195"/>
        <v>0</v>
      </c>
      <c r="BI138" s="171">
        <f t="shared" si="195"/>
        <v>0</v>
      </c>
      <c r="BJ138" s="171">
        <f t="shared" si="195"/>
        <v>0</v>
      </c>
      <c r="BK138" s="171">
        <f t="shared" si="195"/>
        <v>0</v>
      </c>
      <c r="BL138" s="171">
        <f t="shared" si="195"/>
        <v>0</v>
      </c>
      <c r="BM138" s="171">
        <f t="shared" si="195"/>
        <v>0</v>
      </c>
      <c r="BN138" s="171">
        <f t="shared" si="195"/>
        <v>0</v>
      </c>
      <c r="BO138" s="171">
        <f t="shared" si="196"/>
        <v>0</v>
      </c>
      <c r="BP138" s="171">
        <f t="shared" si="196"/>
        <v>0</v>
      </c>
      <c r="BQ138" s="171">
        <f t="shared" si="196"/>
        <v>0</v>
      </c>
      <c r="BR138" s="171">
        <f t="shared" si="196"/>
        <v>0</v>
      </c>
      <c r="BS138" s="171">
        <f t="shared" si="196"/>
        <v>0</v>
      </c>
      <c r="BT138" s="171">
        <f t="shared" si="196"/>
        <v>0</v>
      </c>
      <c r="BU138" s="171">
        <f t="shared" si="196"/>
        <v>0</v>
      </c>
      <c r="BV138" s="171">
        <f t="shared" si="196"/>
        <v>0</v>
      </c>
      <c r="BW138" s="171">
        <f t="shared" si="196"/>
        <v>0</v>
      </c>
      <c r="BX138" s="171">
        <f t="shared" si="196"/>
        <v>0</v>
      </c>
      <c r="BY138" s="171">
        <f t="shared" si="197"/>
        <v>0</v>
      </c>
      <c r="BZ138" s="171">
        <f t="shared" si="197"/>
        <v>0</v>
      </c>
      <c r="CA138" s="171">
        <f t="shared" si="197"/>
        <v>0</v>
      </c>
      <c r="CB138" s="171">
        <f t="shared" si="197"/>
        <v>0</v>
      </c>
      <c r="CC138" s="171">
        <f t="shared" si="197"/>
        <v>0</v>
      </c>
      <c r="CD138" s="171">
        <f t="shared" si="197"/>
        <v>0</v>
      </c>
      <c r="CE138" s="171">
        <f t="shared" si="197"/>
        <v>0</v>
      </c>
      <c r="CF138" s="171">
        <f t="shared" si="197"/>
        <v>0</v>
      </c>
      <c r="CG138" s="171">
        <f t="shared" si="197"/>
        <v>0</v>
      </c>
      <c r="CH138" s="171">
        <f t="shared" si="197"/>
        <v>0</v>
      </c>
      <c r="CI138" s="171">
        <f t="shared" si="197"/>
        <v>0</v>
      </c>
      <c r="CJ138" s="243"/>
      <c r="CK138" s="171">
        <f t="shared" si="124"/>
        <v>0</v>
      </c>
      <c r="CL138" s="171">
        <f t="shared" si="125"/>
        <v>0</v>
      </c>
      <c r="CM138" s="171">
        <f t="shared" si="126"/>
        <v>0</v>
      </c>
      <c r="CN138" s="171">
        <f t="shared" si="127"/>
        <v>0</v>
      </c>
      <c r="CO138" s="171">
        <f t="shared" si="128"/>
        <v>0</v>
      </c>
      <c r="CP138" s="171">
        <f t="shared" si="129"/>
        <v>0</v>
      </c>
      <c r="CQ138" s="171">
        <f t="shared" si="130"/>
        <v>1.2166823250000001</v>
      </c>
      <c r="CR138" s="171">
        <f t="shared" si="131"/>
        <v>1.2166823250000001</v>
      </c>
      <c r="CS138" s="171">
        <f t="shared" si="132"/>
        <v>1.2166823250000001</v>
      </c>
      <c r="CT138" s="171">
        <f t="shared" si="133"/>
        <v>1.2166823250000001</v>
      </c>
      <c r="CU138" s="171">
        <f t="shared" si="134"/>
        <v>1.2166823250000001</v>
      </c>
      <c r="CV138" s="171">
        <f t="shared" si="135"/>
        <v>10.797453048910935</v>
      </c>
      <c r="CW138" s="171">
        <f t="shared" si="136"/>
        <v>10.797453048910935</v>
      </c>
      <c r="CX138" s="171">
        <f t="shared" si="137"/>
        <v>10.797453048910935</v>
      </c>
      <c r="CY138" s="171">
        <f t="shared" ca="1" si="138"/>
        <v>10.250747441687048</v>
      </c>
      <c r="CZ138" s="171">
        <f t="shared" ca="1" si="139"/>
        <v>9.7317230866636688</v>
      </c>
      <c r="DA138" s="171">
        <f t="shared" ca="1" si="140"/>
        <v>9.2389784036973648</v>
      </c>
      <c r="DB138" s="171">
        <f t="shared" ca="1" si="141"/>
        <v>8.7711827786141701</v>
      </c>
      <c r="DC138" s="171">
        <f t="shared" ca="1" si="142"/>
        <v>8.3270729700016997</v>
      </c>
      <c r="DD138" s="171">
        <f t="shared" ca="1" si="143"/>
        <v>7.9054496979355564</v>
      </c>
      <c r="DE138" s="171">
        <f t="shared" ca="1" si="144"/>
        <v>7.5051744054281562</v>
      </c>
      <c r="DF138" s="171">
        <f t="shared" ca="1" si="145"/>
        <v>7.125166183854585</v>
      </c>
      <c r="DG138" s="171">
        <f t="shared" ca="1" si="146"/>
        <v>6.7643988540528399</v>
      </c>
      <c r="DH138" s="171">
        <f t="shared" ca="1" si="147"/>
        <v>6.4218981952162144</v>
      </c>
      <c r="DI138" s="171">
        <f t="shared" ca="1" si="148"/>
        <v>6.0967393140947284</v>
      </c>
      <c r="DJ138" s="171">
        <f t="shared" ca="1" si="149"/>
        <v>5.7880441474013118</v>
      </c>
      <c r="DK138" s="171">
        <f t="shared" ca="1" si="150"/>
        <v>5.4949790906782479</v>
      </c>
      <c r="DL138" s="171">
        <f t="shared" ca="1" si="151"/>
        <v>0</v>
      </c>
      <c r="DM138" s="171">
        <f t="shared" ca="1" si="152"/>
        <v>0</v>
      </c>
      <c r="DN138" s="171">
        <f t="shared" ca="1" si="153"/>
        <v>0</v>
      </c>
      <c r="DO138" s="171">
        <f t="shared" ca="1" si="154"/>
        <v>0</v>
      </c>
      <c r="DP138" s="171">
        <f t="shared" ca="1" si="155"/>
        <v>0</v>
      </c>
      <c r="DQ138" s="171">
        <f t="shared" ca="1" si="156"/>
        <v>0</v>
      </c>
      <c r="DR138" s="171">
        <f t="shared" ca="1" si="157"/>
        <v>0</v>
      </c>
      <c r="DS138" s="171">
        <f t="shared" ca="1" si="158"/>
        <v>0</v>
      </c>
      <c r="DT138" s="171">
        <f t="shared" ca="1" si="159"/>
        <v>0</v>
      </c>
      <c r="DU138" s="171">
        <f t="shared" ca="1" si="160"/>
        <v>0</v>
      </c>
      <c r="DV138" s="171">
        <f t="shared" ca="1" si="161"/>
        <v>0</v>
      </c>
      <c r="DW138" s="171">
        <f t="shared" ca="1" si="162"/>
        <v>0</v>
      </c>
      <c r="DX138" s="171">
        <f t="shared" ca="1" si="163"/>
        <v>0</v>
      </c>
      <c r="DY138" s="171">
        <f t="shared" ca="1" si="164"/>
        <v>0</v>
      </c>
      <c r="DZ138" s="171">
        <f t="shared" ca="1" si="165"/>
        <v>0</v>
      </c>
      <c r="EA138" s="171">
        <f t="shared" ca="1" si="166"/>
        <v>0</v>
      </c>
      <c r="EB138" s="171">
        <f t="shared" ca="1" si="167"/>
        <v>0</v>
      </c>
      <c r="EC138" s="171">
        <f t="shared" ca="1" si="168"/>
        <v>0</v>
      </c>
      <c r="ED138" s="171">
        <f t="shared" ca="1" si="169"/>
        <v>0</v>
      </c>
      <c r="EE138" s="171">
        <f t="shared" ca="1" si="170"/>
        <v>0</v>
      </c>
      <c r="EF138" s="171">
        <f t="shared" ca="1" si="171"/>
        <v>0</v>
      </c>
      <c r="EG138" s="171">
        <f t="shared" ca="1" si="172"/>
        <v>0</v>
      </c>
      <c r="EH138" s="171">
        <f t="shared" ca="1" si="173"/>
        <v>0</v>
      </c>
      <c r="EI138" s="171">
        <f t="shared" ca="1" si="174"/>
        <v>0</v>
      </c>
      <c r="EJ138" s="171">
        <f t="shared" ca="1" si="175"/>
        <v>0</v>
      </c>
      <c r="EK138" s="171">
        <f t="shared" ca="1" si="176"/>
        <v>0</v>
      </c>
      <c r="EL138" s="171">
        <f t="shared" ca="1" si="177"/>
        <v>0</v>
      </c>
      <c r="EM138" s="171">
        <f t="shared" ca="1" si="178"/>
        <v>0</v>
      </c>
      <c r="EN138" s="171">
        <f t="shared" ca="1" si="179"/>
        <v>0</v>
      </c>
      <c r="EO138" s="171">
        <f t="shared" ca="1" si="180"/>
        <v>0</v>
      </c>
      <c r="EP138" s="171">
        <f t="shared" ca="1" si="181"/>
        <v>0</v>
      </c>
      <c r="EQ138" s="171">
        <f t="shared" ca="1" si="182"/>
        <v>0</v>
      </c>
      <c r="ER138" s="171">
        <f t="shared" ca="1" si="183"/>
        <v>0</v>
      </c>
      <c r="ES138" s="171">
        <f t="shared" ca="1" si="184"/>
        <v>0</v>
      </c>
    </row>
    <row r="139" spans="1:149">
      <c r="A139" s="139" t="s">
        <v>496</v>
      </c>
      <c r="B139" s="160" t="s">
        <v>420</v>
      </c>
      <c r="C139" s="160" t="s">
        <v>109</v>
      </c>
      <c r="D139" s="161" t="s">
        <v>428</v>
      </c>
      <c r="E139" s="160">
        <v>2016</v>
      </c>
      <c r="F139" s="160" t="s">
        <v>400</v>
      </c>
      <c r="G139" s="160" t="s">
        <v>402</v>
      </c>
      <c r="H139" s="160" t="s">
        <v>396</v>
      </c>
      <c r="I139" s="160" t="s">
        <v>183</v>
      </c>
      <c r="J139" s="160" t="s">
        <v>401</v>
      </c>
      <c r="K139" s="187">
        <v>19.2</v>
      </c>
      <c r="L139" s="163" t="s">
        <v>110</v>
      </c>
      <c r="M139" s="164">
        <f t="shared" si="115"/>
        <v>19.2</v>
      </c>
      <c r="N139" s="164">
        <f t="shared" si="116"/>
        <v>19.2</v>
      </c>
      <c r="O139" s="165">
        <f t="shared" si="117"/>
        <v>1</v>
      </c>
      <c r="P139" s="176">
        <v>2.5999999999999999E-2</v>
      </c>
      <c r="Q139" s="177">
        <v>17.600000000000001</v>
      </c>
      <c r="R139" s="168">
        <f t="shared" si="118"/>
        <v>9.6000000000000014</v>
      </c>
      <c r="S139" s="181">
        <v>4.5</v>
      </c>
      <c r="T139" s="170" t="s">
        <v>403</v>
      </c>
      <c r="U139" s="171">
        <f t="shared" si="119"/>
        <v>1.3561004922774949</v>
      </c>
      <c r="V139" s="171">
        <f t="shared" ca="1" si="120"/>
        <v>1.1317622194129973</v>
      </c>
      <c r="W139" s="171">
        <f t="shared" ca="1" si="185"/>
        <v>19.919015061668755</v>
      </c>
      <c r="X139" s="172">
        <f t="shared" si="121"/>
        <v>0.26571154292680321</v>
      </c>
      <c r="Y139" s="172">
        <f t="shared" si="122"/>
        <v>0.73428845707319679</v>
      </c>
      <c r="Z139" s="173">
        <f t="shared" si="123"/>
        <v>23.867368664083912</v>
      </c>
      <c r="AA139" s="171">
        <f t="shared" ref="AA139:AJ148" si="198">IFERROR(
    IF($T139="Equity",
        IF(AND(AA$48&gt;=$E139, AA$48&lt;=($E139+$Q139)),
$K139*$P139*(VLOOKUP($C$39,$C$37:$BL$44,MATCH($E139,$C$37:$BL$37,0),FALSE)/VLOOKUP($L139,$C$37:$BL$44,MATCH($E139,$C$37:$BL$37,0),FALSE))*
IF($B$5="Foreign Currency",VLOOKUP($C$38,$C$37:$BL$44,MATCH(AA$48,$C$37:$BL$37,0),FALSE)/VLOOKUP($C$39,$C$37:$BL$44,MATCH(AA$48,$C$37:$BL$37,0),FALSE),1),
0),
    IF($T139="Lump Sum Principal",
        IF(AND(AA$48&gt;=$E139, AA$48&lt;($E139+$Q139)),
$K139*$P139*(VLOOKUP($C$39,$C$37:$BL$44,MATCH($E139,$C$37:$BL$37,0),FALSE)/VLOOKUP($L139,$C$37:$BL$44,MATCH($E139,$C$37:$BL$37,0),FALSE))*
IF($B$5="Foreign Currency",VLOOKUP($C$38,$C$37:$BL$44,MATCH(AA$48,$C$37:$BL$37,0),FALSE)/VLOOKUP($C$39,$C$37:$BL$44,MATCH(AA$48,$C$37:$BL$37,0),FALSE),1),
        IF(AA$48=($E139+$Q139),
$K139*(1+$P139)*(VLOOKUP($C$39,$C$37:$BL$44,MATCH($E139,$C$37:$BL$37,0),FALSE)/VLOOKUP($L139,$C$37:$BL$44,MATCH($E139,$C$37:$BL$37,0),FALSE))*
IF($B$5="Foreign Currency",VLOOKUP($C$38,$C$37:$BL$44,MATCH(AA$48,$C$37:$BL$37,0),FALSE)/VLOOKUP($C$39,$C$37:$BL$44,MATCH(AA$48,$C$37:$BL$37,0),FALSE),1),
0)),
    IF($T139="Lump Sum Principal and Interest",
        IF(AA$48=($E139+$Q139),
$K139*((1+$P139)^$Q139)*(VLOOKUP($C$39,$C$37:$BL$44,MATCH($E139,$C$37:$BL$37,0),FALSE)/VLOOKUP($L139,$C$37:$BL$44,MATCH($E139,$C$37:$BL$37,0),FALSE))*
IF($B$5="Foreign Currency",VLOOKUP($C$38,$C$37:$BL$44,MATCH(AA$48,$C$37:$BL$37,0),FALSE)/VLOOKUP($C$39,$C$37:$BL$44,MATCH(AA$48,$C$37:$BL$37,0),FALSE),1),
0),
    IF($T139="EPP with Grace Years for Principal",
        IF(AND(AA$48&gt;=$E139, AA$48&lt;($E139+$S139)),
$K139*$P139*(VLOOKUP($C$39,$C$37:$BL$44,MATCH($E139,$C$37:$BL$37,0),FALSE)/VLOOKUP($L139,$C$37:$BL$44,MATCH($E139,$C$37:$BL$37,0),FALSE))*
IF($B$5="Foreign Currency",VLOOKUP($C$38,$C$37:$BL$44,MATCH(AA$48,$C$37:$BL$37,0),FALSE)/VLOOKUP($C$39,$C$37:$BL$44,MATCH(AA$48,$C$37:$BL$37,0),FALSE),1),
        IF(AND(AA$48&gt;=($E139+$S139), AA$48&lt;=($E139+$Q139)),
-PMT($P139,($Q139-$S139+1),($K139*(VLOOKUP($C$39,$C$37:$BL$44,MATCH($E139,$C$37:$BL$37,0),FALSE)/VLOOKUP($L139,$C$37:$BL$44,MATCH($E139,$C$37:$BL$37,0),FALSE))*
IF($B$5="Foreign Currency",VLOOKUP($C$38,$C$37:$BL$44,MATCH(AA$48,$C$37:$BL$37,0),FALSE)/VLOOKUP($C$39,$C$37:$BL$44,MATCH(AA$48,$C$37:$BL$37,0),FALSE),1)),0),
0)),
    IF($T139="Equal Principal Payments (EPP)",
        IF(AND(AA$48&gt;=$E139, AA$48&lt;=($E139+$Q139)),
-PMT($P139,($Q139-$S139+1),($K139*(VLOOKUP($C$39,$C$37:$BL$44,MATCH($E139,$C$37:$BL$37,0),FALSE)/VLOOKUP($L139,$C$37:$BL$44,MATCH($E139,$C$37:$BL$37,0),FALSE))*
IF($B$5="Foreign Currency",VLOOKUP($C$38,$C$37:$BL$44,MATCH(AA$48,$C$37:$BL$37,0),FALSE)/VLOOKUP($C$39,$C$37:$BL$44,MATCH(AA$48,$C$37:$BL$37,0),FALSE),1)),0), 0),
    IF($T139="EPP with Grace Years for Principal and on Interest",
        IF(AND(AA$48&gt;=($E139+$S139), AA$48&lt;=($E139+$Q139)),
-PMT($P139,($Q139-$S139+1),($K139*(VLOOKUP($C$39,$C$37:$BL$44,MATCH($E139,$C$37:$BL$37,0),FALSE)/VLOOKUP($L139,$C$37:$BL$44,MATCH($E139,$C$37:$BL$37,0),FALSE))*
IF($B$5="Foreign Currency",VLOOKUP($C$38,$C$37:$BL$44,MATCH(AA$48,$C$37:$BL$37,0),FALSE)/VLOOKUP($C$39,$C$37:$BL$44,MATCH(AA$48,$C$37:$BL$37,0),FALSE),1))*((1+$P139)^$S139),0), 0),
    0)))))),"")</f>
        <v>0</v>
      </c>
      <c r="AB139" s="171">
        <f t="shared" si="198"/>
        <v>0</v>
      </c>
      <c r="AC139" s="171">
        <f t="shared" si="198"/>
        <v>0</v>
      </c>
      <c r="AD139" s="171">
        <f t="shared" si="198"/>
        <v>0</v>
      </c>
      <c r="AE139" s="171">
        <f t="shared" si="198"/>
        <v>0</v>
      </c>
      <c r="AF139" s="171">
        <f t="shared" si="198"/>
        <v>0</v>
      </c>
      <c r="AG139" s="171">
        <f t="shared" si="198"/>
        <v>0.49919999999999998</v>
      </c>
      <c r="AH139" s="171">
        <f t="shared" si="198"/>
        <v>0.49919999999999998</v>
      </c>
      <c r="AI139" s="171">
        <f t="shared" si="198"/>
        <v>0.49919999999999998</v>
      </c>
      <c r="AJ139" s="171">
        <f t="shared" si="198"/>
        <v>0.49919999999999998</v>
      </c>
      <c r="AK139" s="171">
        <f t="shared" ref="AK139:AT148" si="199">IFERROR(
    IF($T139="Equity",
        IF(AND(AK$48&gt;=$E139, AK$48&lt;=($E139+$Q139)),
$K139*$P139*(VLOOKUP($C$39,$C$37:$BL$44,MATCH($E139,$C$37:$BL$37,0),FALSE)/VLOOKUP($L139,$C$37:$BL$44,MATCH($E139,$C$37:$BL$37,0),FALSE))*
IF($B$5="Foreign Currency",VLOOKUP($C$38,$C$37:$BL$44,MATCH(AK$48,$C$37:$BL$37,0),FALSE)/VLOOKUP($C$39,$C$37:$BL$44,MATCH(AK$48,$C$37:$BL$37,0),FALSE),1),
0),
    IF($T139="Lump Sum Principal",
        IF(AND(AK$48&gt;=$E139, AK$48&lt;($E139+$Q139)),
$K139*$P139*(VLOOKUP($C$39,$C$37:$BL$44,MATCH($E139,$C$37:$BL$37,0),FALSE)/VLOOKUP($L139,$C$37:$BL$44,MATCH($E139,$C$37:$BL$37,0),FALSE))*
IF($B$5="Foreign Currency",VLOOKUP($C$38,$C$37:$BL$44,MATCH(AK$48,$C$37:$BL$37,0),FALSE)/VLOOKUP($C$39,$C$37:$BL$44,MATCH(AK$48,$C$37:$BL$37,0),FALSE),1),
        IF(AK$48=($E139+$Q139),
$K139*(1+$P139)*(VLOOKUP($C$39,$C$37:$BL$44,MATCH($E139,$C$37:$BL$37,0),FALSE)/VLOOKUP($L139,$C$37:$BL$44,MATCH($E139,$C$37:$BL$37,0),FALSE))*
IF($B$5="Foreign Currency",VLOOKUP($C$38,$C$37:$BL$44,MATCH(AK$48,$C$37:$BL$37,0),FALSE)/VLOOKUP($C$39,$C$37:$BL$44,MATCH(AK$48,$C$37:$BL$37,0),FALSE),1),
0)),
    IF($T139="Lump Sum Principal and Interest",
        IF(AK$48=($E139+$Q139),
$K139*((1+$P139)^$Q139)*(VLOOKUP($C$39,$C$37:$BL$44,MATCH($E139,$C$37:$BL$37,0),FALSE)/VLOOKUP($L139,$C$37:$BL$44,MATCH($E139,$C$37:$BL$37,0),FALSE))*
IF($B$5="Foreign Currency",VLOOKUP($C$38,$C$37:$BL$44,MATCH(AK$48,$C$37:$BL$37,0),FALSE)/VLOOKUP($C$39,$C$37:$BL$44,MATCH(AK$48,$C$37:$BL$37,0),FALSE),1),
0),
    IF($T139="EPP with Grace Years for Principal",
        IF(AND(AK$48&gt;=$E139, AK$48&lt;($E139+$S139)),
$K139*$P139*(VLOOKUP($C$39,$C$37:$BL$44,MATCH($E139,$C$37:$BL$37,0),FALSE)/VLOOKUP($L139,$C$37:$BL$44,MATCH($E139,$C$37:$BL$37,0),FALSE))*
IF($B$5="Foreign Currency",VLOOKUP($C$38,$C$37:$BL$44,MATCH(AK$48,$C$37:$BL$37,0),FALSE)/VLOOKUP($C$39,$C$37:$BL$44,MATCH(AK$48,$C$37:$BL$37,0),FALSE),1),
        IF(AND(AK$48&gt;=($E139+$S139), AK$48&lt;=($E139+$Q139)),
-PMT($P139,($Q139-$S139+1),($K139*(VLOOKUP($C$39,$C$37:$BL$44,MATCH($E139,$C$37:$BL$37,0),FALSE)/VLOOKUP($L139,$C$37:$BL$44,MATCH($E139,$C$37:$BL$37,0),FALSE))*
IF($B$5="Foreign Currency",VLOOKUP($C$38,$C$37:$BL$44,MATCH(AK$48,$C$37:$BL$37,0),FALSE)/VLOOKUP($C$39,$C$37:$BL$44,MATCH(AK$48,$C$37:$BL$37,0),FALSE),1)),0),
0)),
    IF($T139="Equal Principal Payments (EPP)",
        IF(AND(AK$48&gt;=$E139, AK$48&lt;=($E139+$Q139)),
-PMT($P139,($Q139-$S139+1),($K139*(VLOOKUP($C$39,$C$37:$BL$44,MATCH($E139,$C$37:$BL$37,0),FALSE)/VLOOKUP($L139,$C$37:$BL$44,MATCH($E139,$C$37:$BL$37,0),FALSE))*
IF($B$5="Foreign Currency",VLOOKUP($C$38,$C$37:$BL$44,MATCH(AK$48,$C$37:$BL$37,0),FALSE)/VLOOKUP($C$39,$C$37:$BL$44,MATCH(AK$48,$C$37:$BL$37,0),FALSE),1)),0), 0),
    IF($T139="EPP with Grace Years for Principal and on Interest",
        IF(AND(AK$48&gt;=($E139+$S139), AK$48&lt;=($E139+$Q139)),
-PMT($P139,($Q139-$S139+1),($K139*(VLOOKUP($C$39,$C$37:$BL$44,MATCH($E139,$C$37:$BL$37,0),FALSE)/VLOOKUP($L139,$C$37:$BL$44,MATCH($E139,$C$37:$BL$37,0),FALSE))*
IF($B$5="Foreign Currency",VLOOKUP($C$38,$C$37:$BL$44,MATCH(AK$48,$C$37:$BL$37,0),FALSE)/VLOOKUP($C$39,$C$37:$BL$44,MATCH(AK$48,$C$37:$BL$37,0),FALSE),1))*((1+$P139)^$S139),0), 0),
    0)))))),"")</f>
        <v>0.49919999999999998</v>
      </c>
      <c r="AL139" s="171">
        <f t="shared" si="199"/>
        <v>1.6439514356987623</v>
      </c>
      <c r="AM139" s="171">
        <f t="shared" si="199"/>
        <v>1.6439514356987623</v>
      </c>
      <c r="AN139" s="171">
        <f t="shared" si="199"/>
        <v>1.6439514356987623</v>
      </c>
      <c r="AO139" s="171">
        <f t="shared" si="199"/>
        <v>1.6439514356987623</v>
      </c>
      <c r="AP139" s="171">
        <f t="shared" si="199"/>
        <v>1.6439514356987623</v>
      </c>
      <c r="AQ139" s="171">
        <f t="shared" si="199"/>
        <v>1.6439514356987623</v>
      </c>
      <c r="AR139" s="171">
        <f t="shared" si="199"/>
        <v>1.6439514356987623</v>
      </c>
      <c r="AS139" s="171">
        <f t="shared" si="199"/>
        <v>1.6439514356987623</v>
      </c>
      <c r="AT139" s="171">
        <f t="shared" si="199"/>
        <v>1.6439514356987623</v>
      </c>
      <c r="AU139" s="171">
        <f t="shared" ref="AU139:BD148" si="200">IFERROR(
    IF($T139="Equity",
        IF(AND(AU$48&gt;=$E139, AU$48&lt;=($E139+$Q139)),
$K139*$P139*(VLOOKUP($C$39,$C$37:$BL$44,MATCH($E139,$C$37:$BL$37,0),FALSE)/VLOOKUP($L139,$C$37:$BL$44,MATCH($E139,$C$37:$BL$37,0),FALSE))*
IF($B$5="Foreign Currency",VLOOKUP($C$38,$C$37:$BL$44,MATCH(AU$48,$C$37:$BL$37,0),FALSE)/VLOOKUP($C$39,$C$37:$BL$44,MATCH(AU$48,$C$37:$BL$37,0),FALSE),1),
0),
    IF($T139="Lump Sum Principal",
        IF(AND(AU$48&gt;=$E139, AU$48&lt;($E139+$Q139)),
$K139*$P139*(VLOOKUP($C$39,$C$37:$BL$44,MATCH($E139,$C$37:$BL$37,0),FALSE)/VLOOKUP($L139,$C$37:$BL$44,MATCH($E139,$C$37:$BL$37,0),FALSE))*
IF($B$5="Foreign Currency",VLOOKUP($C$38,$C$37:$BL$44,MATCH(AU$48,$C$37:$BL$37,0),FALSE)/VLOOKUP($C$39,$C$37:$BL$44,MATCH(AU$48,$C$37:$BL$37,0),FALSE),1),
        IF(AU$48=($E139+$Q139),
$K139*(1+$P139)*(VLOOKUP($C$39,$C$37:$BL$44,MATCH($E139,$C$37:$BL$37,0),FALSE)/VLOOKUP($L139,$C$37:$BL$44,MATCH($E139,$C$37:$BL$37,0),FALSE))*
IF($B$5="Foreign Currency",VLOOKUP($C$38,$C$37:$BL$44,MATCH(AU$48,$C$37:$BL$37,0),FALSE)/VLOOKUP($C$39,$C$37:$BL$44,MATCH(AU$48,$C$37:$BL$37,0),FALSE),1),
0)),
    IF($T139="Lump Sum Principal and Interest",
        IF(AU$48=($E139+$Q139),
$K139*((1+$P139)^$Q139)*(VLOOKUP($C$39,$C$37:$BL$44,MATCH($E139,$C$37:$BL$37,0),FALSE)/VLOOKUP($L139,$C$37:$BL$44,MATCH($E139,$C$37:$BL$37,0),FALSE))*
IF($B$5="Foreign Currency",VLOOKUP($C$38,$C$37:$BL$44,MATCH(AU$48,$C$37:$BL$37,0),FALSE)/VLOOKUP($C$39,$C$37:$BL$44,MATCH(AU$48,$C$37:$BL$37,0),FALSE),1),
0),
    IF($T139="EPP with Grace Years for Principal",
        IF(AND(AU$48&gt;=$E139, AU$48&lt;($E139+$S139)),
$K139*$P139*(VLOOKUP($C$39,$C$37:$BL$44,MATCH($E139,$C$37:$BL$37,0),FALSE)/VLOOKUP($L139,$C$37:$BL$44,MATCH($E139,$C$37:$BL$37,0),FALSE))*
IF($B$5="Foreign Currency",VLOOKUP($C$38,$C$37:$BL$44,MATCH(AU$48,$C$37:$BL$37,0),FALSE)/VLOOKUP($C$39,$C$37:$BL$44,MATCH(AU$48,$C$37:$BL$37,0),FALSE),1),
        IF(AND(AU$48&gt;=($E139+$S139), AU$48&lt;=($E139+$Q139)),
-PMT($P139,($Q139-$S139+1),($K139*(VLOOKUP($C$39,$C$37:$BL$44,MATCH($E139,$C$37:$BL$37,0),FALSE)/VLOOKUP($L139,$C$37:$BL$44,MATCH($E139,$C$37:$BL$37,0),FALSE))*
IF($B$5="Foreign Currency",VLOOKUP($C$38,$C$37:$BL$44,MATCH(AU$48,$C$37:$BL$37,0),FALSE)/VLOOKUP($C$39,$C$37:$BL$44,MATCH(AU$48,$C$37:$BL$37,0),FALSE),1)),0),
0)),
    IF($T139="Equal Principal Payments (EPP)",
        IF(AND(AU$48&gt;=$E139, AU$48&lt;=($E139+$Q139)),
-PMT($P139,($Q139-$S139+1),($K139*(VLOOKUP($C$39,$C$37:$BL$44,MATCH($E139,$C$37:$BL$37,0),FALSE)/VLOOKUP($L139,$C$37:$BL$44,MATCH($E139,$C$37:$BL$37,0),FALSE))*
IF($B$5="Foreign Currency",VLOOKUP($C$38,$C$37:$BL$44,MATCH(AU$48,$C$37:$BL$37,0),FALSE)/VLOOKUP($C$39,$C$37:$BL$44,MATCH(AU$48,$C$37:$BL$37,0),FALSE),1)),0), 0),
    IF($T139="EPP with Grace Years for Principal and on Interest",
        IF(AND(AU$48&gt;=($E139+$S139), AU$48&lt;=($E139+$Q139)),
-PMT($P139,($Q139-$S139+1),($K139*(VLOOKUP($C$39,$C$37:$BL$44,MATCH($E139,$C$37:$BL$37,0),FALSE)/VLOOKUP($L139,$C$37:$BL$44,MATCH($E139,$C$37:$BL$37,0),FALSE))*
IF($B$5="Foreign Currency",VLOOKUP($C$38,$C$37:$BL$44,MATCH(AU$48,$C$37:$BL$37,0),FALSE)/VLOOKUP($C$39,$C$37:$BL$44,MATCH(AU$48,$C$37:$BL$37,0),FALSE),1))*((1+$P139)^$S139),0), 0),
    0)))))),"")</f>
        <v>1.6439514356987623</v>
      </c>
      <c r="AV139" s="171">
        <f t="shared" si="200"/>
        <v>1.6439514356987623</v>
      </c>
      <c r="AW139" s="171">
        <f t="shared" si="200"/>
        <v>1.6439514356987623</v>
      </c>
      <c r="AX139" s="171">
        <f t="shared" si="200"/>
        <v>1.6439514356987623</v>
      </c>
      <c r="AY139" s="171">
        <f t="shared" si="200"/>
        <v>0</v>
      </c>
      <c r="AZ139" s="171">
        <f t="shared" si="200"/>
        <v>0</v>
      </c>
      <c r="BA139" s="171">
        <f t="shared" si="200"/>
        <v>0</v>
      </c>
      <c r="BB139" s="171">
        <f t="shared" si="200"/>
        <v>0</v>
      </c>
      <c r="BC139" s="171">
        <f t="shared" si="200"/>
        <v>0</v>
      </c>
      <c r="BD139" s="171">
        <f t="shared" si="200"/>
        <v>0</v>
      </c>
      <c r="BE139" s="171">
        <f t="shared" ref="BE139:BN148" si="201">IFERROR(
    IF($T139="Equity",
        IF(AND(BE$48&gt;=$E139, BE$48&lt;=($E139+$Q139)),
$K139*$P139*(VLOOKUP($C$39,$C$37:$BL$44,MATCH($E139,$C$37:$BL$37,0),FALSE)/VLOOKUP($L139,$C$37:$BL$44,MATCH($E139,$C$37:$BL$37,0),FALSE))*
IF($B$5="Foreign Currency",VLOOKUP($C$38,$C$37:$BL$44,MATCH(BE$48,$C$37:$BL$37,0),FALSE)/VLOOKUP($C$39,$C$37:$BL$44,MATCH(BE$48,$C$37:$BL$37,0),FALSE),1),
0),
    IF($T139="Lump Sum Principal",
        IF(AND(BE$48&gt;=$E139, BE$48&lt;($E139+$Q139)),
$K139*$P139*(VLOOKUP($C$39,$C$37:$BL$44,MATCH($E139,$C$37:$BL$37,0),FALSE)/VLOOKUP($L139,$C$37:$BL$44,MATCH($E139,$C$37:$BL$37,0),FALSE))*
IF($B$5="Foreign Currency",VLOOKUP($C$38,$C$37:$BL$44,MATCH(BE$48,$C$37:$BL$37,0),FALSE)/VLOOKUP($C$39,$C$37:$BL$44,MATCH(BE$48,$C$37:$BL$37,0),FALSE),1),
        IF(BE$48=($E139+$Q139),
$K139*(1+$P139)*(VLOOKUP($C$39,$C$37:$BL$44,MATCH($E139,$C$37:$BL$37,0),FALSE)/VLOOKUP($L139,$C$37:$BL$44,MATCH($E139,$C$37:$BL$37,0),FALSE))*
IF($B$5="Foreign Currency",VLOOKUP($C$38,$C$37:$BL$44,MATCH(BE$48,$C$37:$BL$37,0),FALSE)/VLOOKUP($C$39,$C$37:$BL$44,MATCH(BE$48,$C$37:$BL$37,0),FALSE),1),
0)),
    IF($T139="Lump Sum Principal and Interest",
        IF(BE$48=($E139+$Q139),
$K139*((1+$P139)^$Q139)*(VLOOKUP($C$39,$C$37:$BL$44,MATCH($E139,$C$37:$BL$37,0),FALSE)/VLOOKUP($L139,$C$37:$BL$44,MATCH($E139,$C$37:$BL$37,0),FALSE))*
IF($B$5="Foreign Currency",VLOOKUP($C$38,$C$37:$BL$44,MATCH(BE$48,$C$37:$BL$37,0),FALSE)/VLOOKUP($C$39,$C$37:$BL$44,MATCH(BE$48,$C$37:$BL$37,0),FALSE),1),
0),
    IF($T139="EPP with Grace Years for Principal",
        IF(AND(BE$48&gt;=$E139, BE$48&lt;($E139+$S139)),
$K139*$P139*(VLOOKUP($C$39,$C$37:$BL$44,MATCH($E139,$C$37:$BL$37,0),FALSE)/VLOOKUP($L139,$C$37:$BL$44,MATCH($E139,$C$37:$BL$37,0),FALSE))*
IF($B$5="Foreign Currency",VLOOKUP($C$38,$C$37:$BL$44,MATCH(BE$48,$C$37:$BL$37,0),FALSE)/VLOOKUP($C$39,$C$37:$BL$44,MATCH(BE$48,$C$37:$BL$37,0),FALSE),1),
        IF(AND(BE$48&gt;=($E139+$S139), BE$48&lt;=($E139+$Q139)),
-PMT($P139,($Q139-$S139+1),($K139*(VLOOKUP($C$39,$C$37:$BL$44,MATCH($E139,$C$37:$BL$37,0),FALSE)/VLOOKUP($L139,$C$37:$BL$44,MATCH($E139,$C$37:$BL$37,0),FALSE))*
IF($B$5="Foreign Currency",VLOOKUP($C$38,$C$37:$BL$44,MATCH(BE$48,$C$37:$BL$37,0),FALSE)/VLOOKUP($C$39,$C$37:$BL$44,MATCH(BE$48,$C$37:$BL$37,0),FALSE),1)),0),
0)),
    IF($T139="Equal Principal Payments (EPP)",
        IF(AND(BE$48&gt;=$E139, BE$48&lt;=($E139+$Q139)),
-PMT($P139,($Q139-$S139+1),($K139*(VLOOKUP($C$39,$C$37:$BL$44,MATCH($E139,$C$37:$BL$37,0),FALSE)/VLOOKUP($L139,$C$37:$BL$44,MATCH($E139,$C$37:$BL$37,0),FALSE))*
IF($B$5="Foreign Currency",VLOOKUP($C$38,$C$37:$BL$44,MATCH(BE$48,$C$37:$BL$37,0),FALSE)/VLOOKUP($C$39,$C$37:$BL$44,MATCH(BE$48,$C$37:$BL$37,0),FALSE),1)),0), 0),
    IF($T139="EPP with Grace Years for Principal and on Interest",
        IF(AND(BE$48&gt;=($E139+$S139), BE$48&lt;=($E139+$Q139)),
-PMT($P139,($Q139-$S139+1),($K139*(VLOOKUP($C$39,$C$37:$BL$44,MATCH($E139,$C$37:$BL$37,0),FALSE)/VLOOKUP($L139,$C$37:$BL$44,MATCH($E139,$C$37:$BL$37,0),FALSE))*
IF($B$5="Foreign Currency",VLOOKUP($C$38,$C$37:$BL$44,MATCH(BE$48,$C$37:$BL$37,0),FALSE)/VLOOKUP($C$39,$C$37:$BL$44,MATCH(BE$48,$C$37:$BL$37,0),FALSE),1))*((1+$P139)^$S139),0), 0),
    0)))))),"")</f>
        <v>0</v>
      </c>
      <c r="BF139" s="171">
        <f t="shared" si="201"/>
        <v>0</v>
      </c>
      <c r="BG139" s="171">
        <f t="shared" si="201"/>
        <v>0</v>
      </c>
      <c r="BH139" s="171">
        <f t="shared" si="201"/>
        <v>0</v>
      </c>
      <c r="BI139" s="171">
        <f t="shared" si="201"/>
        <v>0</v>
      </c>
      <c r="BJ139" s="171">
        <f t="shared" si="201"/>
        <v>0</v>
      </c>
      <c r="BK139" s="171">
        <f t="shared" si="201"/>
        <v>0</v>
      </c>
      <c r="BL139" s="171">
        <f t="shared" si="201"/>
        <v>0</v>
      </c>
      <c r="BM139" s="171">
        <f t="shared" si="201"/>
        <v>0</v>
      </c>
      <c r="BN139" s="171">
        <f t="shared" si="201"/>
        <v>0</v>
      </c>
      <c r="BO139" s="171">
        <f t="shared" ref="BO139:BX148" si="202">IFERROR(
    IF($T139="Equity",
        IF(AND(BO$48&gt;=$E139, BO$48&lt;=($E139+$Q139)),
$K139*$P139*(VLOOKUP($C$39,$C$37:$BL$44,MATCH($E139,$C$37:$BL$37,0),FALSE)/VLOOKUP($L139,$C$37:$BL$44,MATCH($E139,$C$37:$BL$37,0),FALSE))*
IF($B$5="Foreign Currency",VLOOKUP($C$38,$C$37:$BL$44,MATCH(BO$48,$C$37:$BL$37,0),FALSE)/VLOOKUP($C$39,$C$37:$BL$44,MATCH(BO$48,$C$37:$BL$37,0),FALSE),1),
0),
    IF($T139="Lump Sum Principal",
        IF(AND(BO$48&gt;=$E139, BO$48&lt;($E139+$Q139)),
$K139*$P139*(VLOOKUP($C$39,$C$37:$BL$44,MATCH($E139,$C$37:$BL$37,0),FALSE)/VLOOKUP($L139,$C$37:$BL$44,MATCH($E139,$C$37:$BL$37,0),FALSE))*
IF($B$5="Foreign Currency",VLOOKUP($C$38,$C$37:$BL$44,MATCH(BO$48,$C$37:$BL$37,0),FALSE)/VLOOKUP($C$39,$C$37:$BL$44,MATCH(BO$48,$C$37:$BL$37,0),FALSE),1),
        IF(BO$48=($E139+$Q139),
$K139*(1+$P139)*(VLOOKUP($C$39,$C$37:$BL$44,MATCH($E139,$C$37:$BL$37,0),FALSE)/VLOOKUP($L139,$C$37:$BL$44,MATCH($E139,$C$37:$BL$37,0),FALSE))*
IF($B$5="Foreign Currency",VLOOKUP($C$38,$C$37:$BL$44,MATCH(BO$48,$C$37:$BL$37,0),FALSE)/VLOOKUP($C$39,$C$37:$BL$44,MATCH(BO$48,$C$37:$BL$37,0),FALSE),1),
0)),
    IF($T139="Lump Sum Principal and Interest",
        IF(BO$48=($E139+$Q139),
$K139*((1+$P139)^$Q139)*(VLOOKUP($C$39,$C$37:$BL$44,MATCH($E139,$C$37:$BL$37,0),FALSE)/VLOOKUP($L139,$C$37:$BL$44,MATCH($E139,$C$37:$BL$37,0),FALSE))*
IF($B$5="Foreign Currency",VLOOKUP($C$38,$C$37:$BL$44,MATCH(BO$48,$C$37:$BL$37,0),FALSE)/VLOOKUP($C$39,$C$37:$BL$44,MATCH(BO$48,$C$37:$BL$37,0),FALSE),1),
0),
    IF($T139="EPP with Grace Years for Principal",
        IF(AND(BO$48&gt;=$E139, BO$48&lt;($E139+$S139)),
$K139*$P139*(VLOOKUP($C$39,$C$37:$BL$44,MATCH($E139,$C$37:$BL$37,0),FALSE)/VLOOKUP($L139,$C$37:$BL$44,MATCH($E139,$C$37:$BL$37,0),FALSE))*
IF($B$5="Foreign Currency",VLOOKUP($C$38,$C$37:$BL$44,MATCH(BO$48,$C$37:$BL$37,0),FALSE)/VLOOKUP($C$39,$C$37:$BL$44,MATCH(BO$48,$C$37:$BL$37,0),FALSE),1),
        IF(AND(BO$48&gt;=($E139+$S139), BO$48&lt;=($E139+$Q139)),
-PMT($P139,($Q139-$S139+1),($K139*(VLOOKUP($C$39,$C$37:$BL$44,MATCH($E139,$C$37:$BL$37,0),FALSE)/VLOOKUP($L139,$C$37:$BL$44,MATCH($E139,$C$37:$BL$37,0),FALSE))*
IF($B$5="Foreign Currency",VLOOKUP($C$38,$C$37:$BL$44,MATCH(BO$48,$C$37:$BL$37,0),FALSE)/VLOOKUP($C$39,$C$37:$BL$44,MATCH(BO$48,$C$37:$BL$37,0),FALSE),1)),0),
0)),
    IF($T139="Equal Principal Payments (EPP)",
        IF(AND(BO$48&gt;=$E139, BO$48&lt;=($E139+$Q139)),
-PMT($P139,($Q139-$S139+1),($K139*(VLOOKUP($C$39,$C$37:$BL$44,MATCH($E139,$C$37:$BL$37,0),FALSE)/VLOOKUP($L139,$C$37:$BL$44,MATCH($E139,$C$37:$BL$37,0),FALSE))*
IF($B$5="Foreign Currency",VLOOKUP($C$38,$C$37:$BL$44,MATCH(BO$48,$C$37:$BL$37,0),FALSE)/VLOOKUP($C$39,$C$37:$BL$44,MATCH(BO$48,$C$37:$BL$37,0),FALSE),1)),0), 0),
    IF($T139="EPP with Grace Years for Principal and on Interest",
        IF(AND(BO$48&gt;=($E139+$S139), BO$48&lt;=($E139+$Q139)),
-PMT($P139,($Q139-$S139+1),($K139*(VLOOKUP($C$39,$C$37:$BL$44,MATCH($E139,$C$37:$BL$37,0),FALSE)/VLOOKUP($L139,$C$37:$BL$44,MATCH($E139,$C$37:$BL$37,0),FALSE))*
IF($B$5="Foreign Currency",VLOOKUP($C$38,$C$37:$BL$44,MATCH(BO$48,$C$37:$BL$37,0),FALSE)/VLOOKUP($C$39,$C$37:$BL$44,MATCH(BO$48,$C$37:$BL$37,0),FALSE),1))*((1+$P139)^$S139),0), 0),
    0)))))),"")</f>
        <v>0</v>
      </c>
      <c r="BP139" s="171">
        <f t="shared" si="202"/>
        <v>0</v>
      </c>
      <c r="BQ139" s="171">
        <f t="shared" si="202"/>
        <v>0</v>
      </c>
      <c r="BR139" s="171">
        <f t="shared" si="202"/>
        <v>0</v>
      </c>
      <c r="BS139" s="171">
        <f t="shared" si="202"/>
        <v>0</v>
      </c>
      <c r="BT139" s="171">
        <f t="shared" si="202"/>
        <v>0</v>
      </c>
      <c r="BU139" s="171">
        <f t="shared" si="202"/>
        <v>0</v>
      </c>
      <c r="BV139" s="171">
        <f t="shared" si="202"/>
        <v>0</v>
      </c>
      <c r="BW139" s="171">
        <f t="shared" si="202"/>
        <v>0</v>
      </c>
      <c r="BX139" s="171">
        <f t="shared" si="202"/>
        <v>0</v>
      </c>
      <c r="BY139" s="171">
        <f t="shared" ref="BY139:CI148" si="203">IFERROR(
    IF($T139="Equity",
        IF(AND(BY$48&gt;=$E139, BY$48&lt;=($E139+$Q139)),
$K139*$P139*(VLOOKUP($C$39,$C$37:$BL$44,MATCH($E139,$C$37:$BL$37,0),FALSE)/VLOOKUP($L139,$C$37:$BL$44,MATCH($E139,$C$37:$BL$37,0),FALSE))*
IF($B$5="Foreign Currency",VLOOKUP($C$38,$C$37:$BL$44,MATCH(BY$48,$C$37:$BL$37,0),FALSE)/VLOOKUP($C$39,$C$37:$BL$44,MATCH(BY$48,$C$37:$BL$37,0),FALSE),1),
0),
    IF($T139="Lump Sum Principal",
        IF(AND(BY$48&gt;=$E139, BY$48&lt;($E139+$Q139)),
$K139*$P139*(VLOOKUP($C$39,$C$37:$BL$44,MATCH($E139,$C$37:$BL$37,0),FALSE)/VLOOKUP($L139,$C$37:$BL$44,MATCH($E139,$C$37:$BL$37,0),FALSE))*
IF($B$5="Foreign Currency",VLOOKUP($C$38,$C$37:$BL$44,MATCH(BY$48,$C$37:$BL$37,0),FALSE)/VLOOKUP($C$39,$C$37:$BL$44,MATCH(BY$48,$C$37:$BL$37,0),FALSE),1),
        IF(BY$48=($E139+$Q139),
$K139*(1+$P139)*(VLOOKUP($C$39,$C$37:$BL$44,MATCH($E139,$C$37:$BL$37,0),FALSE)/VLOOKUP($L139,$C$37:$BL$44,MATCH($E139,$C$37:$BL$37,0),FALSE))*
IF($B$5="Foreign Currency",VLOOKUP($C$38,$C$37:$BL$44,MATCH(BY$48,$C$37:$BL$37,0),FALSE)/VLOOKUP($C$39,$C$37:$BL$44,MATCH(BY$48,$C$37:$BL$37,0),FALSE),1),
0)),
    IF($T139="Lump Sum Principal and Interest",
        IF(BY$48=($E139+$Q139),
$K139*((1+$P139)^$Q139)*(VLOOKUP($C$39,$C$37:$BL$44,MATCH($E139,$C$37:$BL$37,0),FALSE)/VLOOKUP($L139,$C$37:$BL$44,MATCH($E139,$C$37:$BL$37,0),FALSE))*
IF($B$5="Foreign Currency",VLOOKUP($C$38,$C$37:$BL$44,MATCH(BY$48,$C$37:$BL$37,0),FALSE)/VLOOKUP($C$39,$C$37:$BL$44,MATCH(BY$48,$C$37:$BL$37,0),FALSE),1),
0),
    IF($T139="EPP with Grace Years for Principal",
        IF(AND(BY$48&gt;=$E139, BY$48&lt;($E139+$S139)),
$K139*$P139*(VLOOKUP($C$39,$C$37:$BL$44,MATCH($E139,$C$37:$BL$37,0),FALSE)/VLOOKUP($L139,$C$37:$BL$44,MATCH($E139,$C$37:$BL$37,0),FALSE))*
IF($B$5="Foreign Currency",VLOOKUP($C$38,$C$37:$BL$44,MATCH(BY$48,$C$37:$BL$37,0),FALSE)/VLOOKUP($C$39,$C$37:$BL$44,MATCH(BY$48,$C$37:$BL$37,0),FALSE),1),
        IF(AND(BY$48&gt;=($E139+$S139), BY$48&lt;=($E139+$Q139)),
-PMT($P139,($Q139-$S139+1),($K139*(VLOOKUP($C$39,$C$37:$BL$44,MATCH($E139,$C$37:$BL$37,0),FALSE)/VLOOKUP($L139,$C$37:$BL$44,MATCH($E139,$C$37:$BL$37,0),FALSE))*
IF($B$5="Foreign Currency",VLOOKUP($C$38,$C$37:$BL$44,MATCH(BY$48,$C$37:$BL$37,0),FALSE)/VLOOKUP($C$39,$C$37:$BL$44,MATCH(BY$48,$C$37:$BL$37,0),FALSE),1)),0),
0)),
    IF($T139="Equal Principal Payments (EPP)",
        IF(AND(BY$48&gt;=$E139, BY$48&lt;=($E139+$Q139)),
-PMT($P139,($Q139-$S139+1),($K139*(VLOOKUP($C$39,$C$37:$BL$44,MATCH($E139,$C$37:$BL$37,0),FALSE)/VLOOKUP($L139,$C$37:$BL$44,MATCH($E139,$C$37:$BL$37,0),FALSE))*
IF($B$5="Foreign Currency",VLOOKUP($C$38,$C$37:$BL$44,MATCH(BY$48,$C$37:$BL$37,0),FALSE)/VLOOKUP($C$39,$C$37:$BL$44,MATCH(BY$48,$C$37:$BL$37,0),FALSE),1)),0), 0),
    IF($T139="EPP with Grace Years for Principal and on Interest",
        IF(AND(BY$48&gt;=($E139+$S139), BY$48&lt;=($E139+$Q139)),
-PMT($P139,($Q139-$S139+1),($K139*(VLOOKUP($C$39,$C$37:$BL$44,MATCH($E139,$C$37:$BL$37,0),FALSE)/VLOOKUP($L139,$C$37:$BL$44,MATCH($E139,$C$37:$BL$37,0),FALSE))*
IF($B$5="Foreign Currency",VLOOKUP($C$38,$C$37:$BL$44,MATCH(BY$48,$C$37:$BL$37,0),FALSE)/VLOOKUP($C$39,$C$37:$BL$44,MATCH(BY$48,$C$37:$BL$37,0),FALSE),1))*((1+$P139)^$S139),0), 0),
    0)))))),"")</f>
        <v>0</v>
      </c>
      <c r="BZ139" s="171">
        <f t="shared" si="203"/>
        <v>0</v>
      </c>
      <c r="CA139" s="171">
        <f t="shared" si="203"/>
        <v>0</v>
      </c>
      <c r="CB139" s="171">
        <f t="shared" si="203"/>
        <v>0</v>
      </c>
      <c r="CC139" s="171">
        <f t="shared" si="203"/>
        <v>0</v>
      </c>
      <c r="CD139" s="171">
        <f t="shared" si="203"/>
        <v>0</v>
      </c>
      <c r="CE139" s="171">
        <f t="shared" si="203"/>
        <v>0</v>
      </c>
      <c r="CF139" s="171">
        <f t="shared" si="203"/>
        <v>0</v>
      </c>
      <c r="CG139" s="171">
        <f t="shared" si="203"/>
        <v>0</v>
      </c>
      <c r="CH139" s="171">
        <f t="shared" si="203"/>
        <v>0</v>
      </c>
      <c r="CI139" s="171">
        <f t="shared" si="203"/>
        <v>0</v>
      </c>
      <c r="CJ139" s="243"/>
      <c r="CK139" s="171">
        <f t="shared" si="124"/>
        <v>0</v>
      </c>
      <c r="CL139" s="171">
        <f t="shared" si="125"/>
        <v>0</v>
      </c>
      <c r="CM139" s="171">
        <f t="shared" si="126"/>
        <v>0</v>
      </c>
      <c r="CN139" s="171">
        <f t="shared" si="127"/>
        <v>0</v>
      </c>
      <c r="CO139" s="171">
        <f t="shared" si="128"/>
        <v>0</v>
      </c>
      <c r="CP139" s="171">
        <f t="shared" si="129"/>
        <v>0</v>
      </c>
      <c r="CQ139" s="171">
        <f t="shared" si="130"/>
        <v>0.49919999999999998</v>
      </c>
      <c r="CR139" s="171">
        <f t="shared" si="131"/>
        <v>0.49919999999999998</v>
      </c>
      <c r="CS139" s="171">
        <f t="shared" si="132"/>
        <v>0.49919999999999998</v>
      </c>
      <c r="CT139" s="171">
        <f t="shared" si="133"/>
        <v>0.49919999999999998</v>
      </c>
      <c r="CU139" s="171">
        <f t="shared" si="134"/>
        <v>0.49919999999999998</v>
      </c>
      <c r="CV139" s="171">
        <f t="shared" si="135"/>
        <v>1.6439514356987623</v>
      </c>
      <c r="CW139" s="171">
        <f t="shared" si="136"/>
        <v>1.6439514356987623</v>
      </c>
      <c r="CX139" s="171">
        <f t="shared" si="137"/>
        <v>1.6439514356987623</v>
      </c>
      <c r="CY139" s="171">
        <f t="shared" ca="1" si="138"/>
        <v>1.5607135217361801</v>
      </c>
      <c r="CZ139" s="171">
        <f t="shared" ca="1" si="139"/>
        <v>1.4816901789405963</v>
      </c>
      <c r="DA139" s="171">
        <f t="shared" ca="1" si="140"/>
        <v>1.4066680116455885</v>
      </c>
      <c r="DB139" s="171">
        <f t="shared" ca="1" si="141"/>
        <v>1.3354444290112852</v>
      </c>
      <c r="DC139" s="171">
        <f t="shared" ca="1" si="142"/>
        <v>1.2678270979454176</v>
      </c>
      <c r="DD139" s="171">
        <f t="shared" ca="1" si="143"/>
        <v>1.2036334237245272</v>
      </c>
      <c r="DE139" s="171">
        <f t="shared" ca="1" si="144"/>
        <v>1.1426900569127907</v>
      </c>
      <c r="DF139" s="171">
        <f t="shared" ca="1" si="145"/>
        <v>1.0848324252469401</v>
      </c>
      <c r="DG139" s="171">
        <f t="shared" ca="1" si="146"/>
        <v>1.0299042892231758</v>
      </c>
      <c r="DH139" s="171">
        <f t="shared" ca="1" si="147"/>
        <v>0.97775732018596995</v>
      </c>
      <c r="DI139" s="171">
        <f t="shared" ca="1" si="148"/>
        <v>0</v>
      </c>
      <c r="DJ139" s="171">
        <f t="shared" ca="1" si="149"/>
        <v>0</v>
      </c>
      <c r="DK139" s="171">
        <f t="shared" ca="1" si="150"/>
        <v>0</v>
      </c>
      <c r="DL139" s="171">
        <f t="shared" ca="1" si="151"/>
        <v>0</v>
      </c>
      <c r="DM139" s="171">
        <f t="shared" ca="1" si="152"/>
        <v>0</v>
      </c>
      <c r="DN139" s="171">
        <f t="shared" ca="1" si="153"/>
        <v>0</v>
      </c>
      <c r="DO139" s="171">
        <f t="shared" ca="1" si="154"/>
        <v>0</v>
      </c>
      <c r="DP139" s="171">
        <f t="shared" ca="1" si="155"/>
        <v>0</v>
      </c>
      <c r="DQ139" s="171">
        <f t="shared" ca="1" si="156"/>
        <v>0</v>
      </c>
      <c r="DR139" s="171">
        <f t="shared" ca="1" si="157"/>
        <v>0</v>
      </c>
      <c r="DS139" s="171">
        <f t="shared" ca="1" si="158"/>
        <v>0</v>
      </c>
      <c r="DT139" s="171">
        <f t="shared" ca="1" si="159"/>
        <v>0</v>
      </c>
      <c r="DU139" s="171">
        <f t="shared" ca="1" si="160"/>
        <v>0</v>
      </c>
      <c r="DV139" s="171">
        <f t="shared" ca="1" si="161"/>
        <v>0</v>
      </c>
      <c r="DW139" s="171">
        <f t="shared" ca="1" si="162"/>
        <v>0</v>
      </c>
      <c r="DX139" s="171">
        <f t="shared" ca="1" si="163"/>
        <v>0</v>
      </c>
      <c r="DY139" s="171">
        <f t="shared" ca="1" si="164"/>
        <v>0</v>
      </c>
      <c r="DZ139" s="171">
        <f t="shared" ca="1" si="165"/>
        <v>0</v>
      </c>
      <c r="EA139" s="171">
        <f t="shared" ca="1" si="166"/>
        <v>0</v>
      </c>
      <c r="EB139" s="171">
        <f t="shared" ca="1" si="167"/>
        <v>0</v>
      </c>
      <c r="EC139" s="171">
        <f t="shared" ca="1" si="168"/>
        <v>0</v>
      </c>
      <c r="ED139" s="171">
        <f t="shared" ca="1" si="169"/>
        <v>0</v>
      </c>
      <c r="EE139" s="171">
        <f t="shared" ca="1" si="170"/>
        <v>0</v>
      </c>
      <c r="EF139" s="171">
        <f t="shared" ca="1" si="171"/>
        <v>0</v>
      </c>
      <c r="EG139" s="171">
        <f t="shared" ca="1" si="172"/>
        <v>0</v>
      </c>
      <c r="EH139" s="171">
        <f t="shared" ca="1" si="173"/>
        <v>0</v>
      </c>
      <c r="EI139" s="171">
        <f t="shared" ca="1" si="174"/>
        <v>0</v>
      </c>
      <c r="EJ139" s="171">
        <f t="shared" ca="1" si="175"/>
        <v>0</v>
      </c>
      <c r="EK139" s="171">
        <f t="shared" ca="1" si="176"/>
        <v>0</v>
      </c>
      <c r="EL139" s="171">
        <f t="shared" ca="1" si="177"/>
        <v>0</v>
      </c>
      <c r="EM139" s="171">
        <f t="shared" ca="1" si="178"/>
        <v>0</v>
      </c>
      <c r="EN139" s="171">
        <f t="shared" ca="1" si="179"/>
        <v>0</v>
      </c>
      <c r="EO139" s="171">
        <f t="shared" ca="1" si="180"/>
        <v>0</v>
      </c>
      <c r="EP139" s="171">
        <f t="shared" ca="1" si="181"/>
        <v>0</v>
      </c>
      <c r="EQ139" s="171">
        <f t="shared" ca="1" si="182"/>
        <v>0</v>
      </c>
      <c r="ER139" s="171">
        <f t="shared" ca="1" si="183"/>
        <v>0</v>
      </c>
      <c r="ES139" s="171">
        <f t="shared" ca="1" si="184"/>
        <v>0</v>
      </c>
    </row>
    <row r="140" spans="1:149">
      <c r="A140" s="139" t="s">
        <v>497</v>
      </c>
      <c r="B140" s="174" t="s">
        <v>427</v>
      </c>
      <c r="C140" s="170" t="s">
        <v>109</v>
      </c>
      <c r="D140" s="170" t="s">
        <v>428</v>
      </c>
      <c r="E140" s="170">
        <v>2015</v>
      </c>
      <c r="F140" s="170" t="s">
        <v>395</v>
      </c>
      <c r="G140" s="170" t="s">
        <v>402</v>
      </c>
      <c r="H140" s="170" t="s">
        <v>396</v>
      </c>
      <c r="I140" s="170" t="s">
        <v>176</v>
      </c>
      <c r="J140" s="170" t="s">
        <v>397</v>
      </c>
      <c r="K140" s="182">
        <v>99.9</v>
      </c>
      <c r="L140" s="163" t="s">
        <v>110</v>
      </c>
      <c r="M140" s="164">
        <f t="shared" si="115"/>
        <v>99.9</v>
      </c>
      <c r="N140" s="164">
        <f t="shared" si="116"/>
        <v>99.9</v>
      </c>
      <c r="O140" s="165">
        <f t="shared" si="117"/>
        <v>1</v>
      </c>
      <c r="P140" s="180">
        <v>2.4058710569794983E-2</v>
      </c>
      <c r="Q140" s="183">
        <v>23.583342661777632</v>
      </c>
      <c r="R140" s="168">
        <f t="shared" si="118"/>
        <v>14.583342661777632</v>
      </c>
      <c r="S140" s="186">
        <v>6.5440636898279223</v>
      </c>
      <c r="T140" s="170" t="s">
        <v>403</v>
      </c>
      <c r="U140" s="171">
        <f t="shared" si="119"/>
        <v>5.6812161105340877</v>
      </c>
      <c r="V140" s="171">
        <f t="shared" ca="1" si="120"/>
        <v>4.2638388372080991</v>
      </c>
      <c r="W140" s="171">
        <f t="shared" ca="1" si="185"/>
        <v>100.55557235247409</v>
      </c>
      <c r="X140" s="172">
        <f t="shared" si="121"/>
        <v>0.20135495345148102</v>
      </c>
      <c r="Y140" s="172">
        <f t="shared" si="122"/>
        <v>0.79864504654851898</v>
      </c>
      <c r="Z140" s="173">
        <f t="shared" si="123"/>
        <v>133.98206627033693</v>
      </c>
      <c r="AA140" s="171">
        <f t="shared" si="198"/>
        <v>0</v>
      </c>
      <c r="AB140" s="171">
        <f t="shared" si="198"/>
        <v>0</v>
      </c>
      <c r="AC140" s="171">
        <f t="shared" si="198"/>
        <v>0</v>
      </c>
      <c r="AD140" s="171">
        <f t="shared" si="198"/>
        <v>0</v>
      </c>
      <c r="AE140" s="171">
        <f t="shared" si="198"/>
        <v>0</v>
      </c>
      <c r="AF140" s="171">
        <f t="shared" si="198"/>
        <v>2.4034651859225189</v>
      </c>
      <c r="AG140" s="171">
        <f t="shared" si="198"/>
        <v>2.4034651859225189</v>
      </c>
      <c r="AH140" s="171">
        <f t="shared" si="198"/>
        <v>2.4034651859225189</v>
      </c>
      <c r="AI140" s="171">
        <f t="shared" si="198"/>
        <v>2.4034651859225189</v>
      </c>
      <c r="AJ140" s="171">
        <f t="shared" si="198"/>
        <v>2.4034651859225189</v>
      </c>
      <c r="AK140" s="171">
        <f t="shared" si="199"/>
        <v>2.4034651859225189</v>
      </c>
      <c r="AL140" s="171">
        <f t="shared" si="199"/>
        <v>2.4034651859225189</v>
      </c>
      <c r="AM140" s="171">
        <f t="shared" si="199"/>
        <v>6.8916358805223092</v>
      </c>
      <c r="AN140" s="171">
        <f t="shared" si="199"/>
        <v>6.8916358805223092</v>
      </c>
      <c r="AO140" s="171">
        <f t="shared" si="199"/>
        <v>6.8916358805223092</v>
      </c>
      <c r="AP140" s="171">
        <f t="shared" si="199"/>
        <v>6.8916358805223092</v>
      </c>
      <c r="AQ140" s="171">
        <f t="shared" si="199"/>
        <v>6.8916358805223092</v>
      </c>
      <c r="AR140" s="171">
        <f t="shared" si="199"/>
        <v>6.8916358805223092</v>
      </c>
      <c r="AS140" s="171">
        <f t="shared" si="199"/>
        <v>6.8916358805223092</v>
      </c>
      <c r="AT140" s="171">
        <f t="shared" si="199"/>
        <v>6.8916358805223092</v>
      </c>
      <c r="AU140" s="171">
        <f t="shared" si="200"/>
        <v>6.8916358805223092</v>
      </c>
      <c r="AV140" s="171">
        <f t="shared" si="200"/>
        <v>6.8916358805223092</v>
      </c>
      <c r="AW140" s="171">
        <f t="shared" si="200"/>
        <v>6.8916358805223092</v>
      </c>
      <c r="AX140" s="171">
        <f t="shared" si="200"/>
        <v>6.8916358805223092</v>
      </c>
      <c r="AY140" s="171">
        <f t="shared" si="200"/>
        <v>6.8916358805223092</v>
      </c>
      <c r="AZ140" s="171">
        <f t="shared" si="200"/>
        <v>6.8916358805223092</v>
      </c>
      <c r="BA140" s="171">
        <f t="shared" si="200"/>
        <v>6.8916358805223092</v>
      </c>
      <c r="BB140" s="171">
        <f t="shared" si="200"/>
        <v>6.8916358805223092</v>
      </c>
      <c r="BC140" s="171">
        <f t="shared" si="200"/>
        <v>6.8916358805223092</v>
      </c>
      <c r="BD140" s="171">
        <f t="shared" si="200"/>
        <v>0</v>
      </c>
      <c r="BE140" s="171">
        <f t="shared" si="201"/>
        <v>0</v>
      </c>
      <c r="BF140" s="171">
        <f t="shared" si="201"/>
        <v>0</v>
      </c>
      <c r="BG140" s="171">
        <f t="shared" si="201"/>
        <v>0</v>
      </c>
      <c r="BH140" s="171">
        <f t="shared" si="201"/>
        <v>0</v>
      </c>
      <c r="BI140" s="171">
        <f t="shared" si="201"/>
        <v>0</v>
      </c>
      <c r="BJ140" s="171">
        <f t="shared" si="201"/>
        <v>0</v>
      </c>
      <c r="BK140" s="171">
        <f t="shared" si="201"/>
        <v>0</v>
      </c>
      <c r="BL140" s="171">
        <f t="shared" si="201"/>
        <v>0</v>
      </c>
      <c r="BM140" s="171">
        <f t="shared" si="201"/>
        <v>0</v>
      </c>
      <c r="BN140" s="171">
        <f t="shared" si="201"/>
        <v>0</v>
      </c>
      <c r="BO140" s="171">
        <f t="shared" si="202"/>
        <v>0</v>
      </c>
      <c r="BP140" s="171">
        <f t="shared" si="202"/>
        <v>0</v>
      </c>
      <c r="BQ140" s="171">
        <f t="shared" si="202"/>
        <v>0</v>
      </c>
      <c r="BR140" s="171">
        <f t="shared" si="202"/>
        <v>0</v>
      </c>
      <c r="BS140" s="171">
        <f t="shared" si="202"/>
        <v>0</v>
      </c>
      <c r="BT140" s="171">
        <f t="shared" si="202"/>
        <v>0</v>
      </c>
      <c r="BU140" s="171">
        <f t="shared" si="202"/>
        <v>0</v>
      </c>
      <c r="BV140" s="171">
        <f t="shared" si="202"/>
        <v>0</v>
      </c>
      <c r="BW140" s="171">
        <f t="shared" si="202"/>
        <v>0</v>
      </c>
      <c r="BX140" s="171">
        <f t="shared" si="202"/>
        <v>0</v>
      </c>
      <c r="BY140" s="171">
        <f t="shared" si="203"/>
        <v>0</v>
      </c>
      <c r="BZ140" s="171">
        <f t="shared" si="203"/>
        <v>0</v>
      </c>
      <c r="CA140" s="171">
        <f t="shared" si="203"/>
        <v>0</v>
      </c>
      <c r="CB140" s="171">
        <f t="shared" si="203"/>
        <v>0</v>
      </c>
      <c r="CC140" s="171">
        <f t="shared" si="203"/>
        <v>0</v>
      </c>
      <c r="CD140" s="171">
        <f t="shared" si="203"/>
        <v>0</v>
      </c>
      <c r="CE140" s="171">
        <f t="shared" si="203"/>
        <v>0</v>
      </c>
      <c r="CF140" s="171">
        <f t="shared" si="203"/>
        <v>0</v>
      </c>
      <c r="CG140" s="171">
        <f t="shared" si="203"/>
        <v>0</v>
      </c>
      <c r="CH140" s="171">
        <f t="shared" si="203"/>
        <v>0</v>
      </c>
      <c r="CI140" s="171">
        <f t="shared" si="203"/>
        <v>0</v>
      </c>
      <c r="CJ140" s="243"/>
      <c r="CK140" s="171">
        <f t="shared" si="124"/>
        <v>0</v>
      </c>
      <c r="CL140" s="171">
        <f t="shared" si="125"/>
        <v>0</v>
      </c>
      <c r="CM140" s="171">
        <f t="shared" si="126"/>
        <v>0</v>
      </c>
      <c r="CN140" s="171">
        <f t="shared" si="127"/>
        <v>0</v>
      </c>
      <c r="CO140" s="171">
        <f t="shared" si="128"/>
        <v>0</v>
      </c>
      <c r="CP140" s="171">
        <f t="shared" si="129"/>
        <v>2.4034651859225189</v>
      </c>
      <c r="CQ140" s="171">
        <f t="shared" si="130"/>
        <v>2.4034651859225189</v>
      </c>
      <c r="CR140" s="171">
        <f t="shared" si="131"/>
        <v>2.4034651859225189</v>
      </c>
      <c r="CS140" s="171">
        <f t="shared" si="132"/>
        <v>2.4034651859225189</v>
      </c>
      <c r="CT140" s="171">
        <f t="shared" si="133"/>
        <v>2.4034651859225189</v>
      </c>
      <c r="CU140" s="171">
        <f t="shared" si="134"/>
        <v>2.4034651859225189</v>
      </c>
      <c r="CV140" s="171">
        <f t="shared" si="135"/>
        <v>2.4034651859225189</v>
      </c>
      <c r="CW140" s="171">
        <f t="shared" si="136"/>
        <v>6.8916358805223092</v>
      </c>
      <c r="CX140" s="171">
        <f t="shared" si="137"/>
        <v>6.8916358805223092</v>
      </c>
      <c r="CY140" s="171">
        <f t="shared" ca="1" si="138"/>
        <v>6.5426928509245199</v>
      </c>
      <c r="CZ140" s="171">
        <f t="shared" ca="1" si="139"/>
        <v>6.2114177945069464</v>
      </c>
      <c r="DA140" s="171">
        <f t="shared" ca="1" si="140"/>
        <v>5.8969161317829126</v>
      </c>
      <c r="DB140" s="171">
        <f t="shared" ca="1" si="141"/>
        <v>5.5983385783570254</v>
      </c>
      <c r="DC140" s="171">
        <f t="shared" ca="1" si="142"/>
        <v>5.3148788515065073</v>
      </c>
      <c r="DD140" s="171">
        <f t="shared" ca="1" si="143"/>
        <v>5.0457714928848061</v>
      </c>
      <c r="DE140" s="171">
        <f t="shared" ca="1" si="144"/>
        <v>4.7902898014678845</v>
      </c>
      <c r="DF140" s="171">
        <f t="shared" ca="1" si="145"/>
        <v>4.5477438711612894</v>
      </c>
      <c r="DG140" s="171">
        <f t="shared" ca="1" si="146"/>
        <v>4.3174787277687265</v>
      </c>
      <c r="DH140" s="171">
        <f t="shared" ca="1" si="147"/>
        <v>4.098872560291194</v>
      </c>
      <c r="DI140" s="171">
        <f t="shared" ca="1" si="148"/>
        <v>3.8913350417804429</v>
      </c>
      <c r="DJ140" s="171">
        <f t="shared" ca="1" si="149"/>
        <v>3.6943057352123776</v>
      </c>
      <c r="DK140" s="171">
        <f t="shared" ca="1" si="150"/>
        <v>3.5072525800756034</v>
      </c>
      <c r="DL140" s="171">
        <f t="shared" ca="1" si="151"/>
        <v>3.3296704555882757</v>
      </c>
      <c r="DM140" s="171">
        <f t="shared" ca="1" si="152"/>
        <v>3.1610798166633467</v>
      </c>
      <c r="DN140" s="171">
        <f t="shared" ca="1" si="153"/>
        <v>0</v>
      </c>
      <c r="DO140" s="171">
        <f t="shared" ca="1" si="154"/>
        <v>0</v>
      </c>
      <c r="DP140" s="171">
        <f t="shared" ca="1" si="155"/>
        <v>0</v>
      </c>
      <c r="DQ140" s="171">
        <f t="shared" ca="1" si="156"/>
        <v>0</v>
      </c>
      <c r="DR140" s="171">
        <f t="shared" ca="1" si="157"/>
        <v>0</v>
      </c>
      <c r="DS140" s="171">
        <f t="shared" ca="1" si="158"/>
        <v>0</v>
      </c>
      <c r="DT140" s="171">
        <f t="shared" ca="1" si="159"/>
        <v>0</v>
      </c>
      <c r="DU140" s="171">
        <f t="shared" ca="1" si="160"/>
        <v>0</v>
      </c>
      <c r="DV140" s="171">
        <f t="shared" ca="1" si="161"/>
        <v>0</v>
      </c>
      <c r="DW140" s="171">
        <f t="shared" ca="1" si="162"/>
        <v>0</v>
      </c>
      <c r="DX140" s="171">
        <f t="shared" ca="1" si="163"/>
        <v>0</v>
      </c>
      <c r="DY140" s="171">
        <f t="shared" ca="1" si="164"/>
        <v>0</v>
      </c>
      <c r="DZ140" s="171">
        <f t="shared" ca="1" si="165"/>
        <v>0</v>
      </c>
      <c r="EA140" s="171">
        <f t="shared" ca="1" si="166"/>
        <v>0</v>
      </c>
      <c r="EB140" s="171">
        <f t="shared" ca="1" si="167"/>
        <v>0</v>
      </c>
      <c r="EC140" s="171">
        <f t="shared" ca="1" si="168"/>
        <v>0</v>
      </c>
      <c r="ED140" s="171">
        <f t="shared" ca="1" si="169"/>
        <v>0</v>
      </c>
      <c r="EE140" s="171">
        <f t="shared" ca="1" si="170"/>
        <v>0</v>
      </c>
      <c r="EF140" s="171">
        <f t="shared" ca="1" si="171"/>
        <v>0</v>
      </c>
      <c r="EG140" s="171">
        <f t="shared" ca="1" si="172"/>
        <v>0</v>
      </c>
      <c r="EH140" s="171">
        <f t="shared" ca="1" si="173"/>
        <v>0</v>
      </c>
      <c r="EI140" s="171">
        <f t="shared" ca="1" si="174"/>
        <v>0</v>
      </c>
      <c r="EJ140" s="171">
        <f t="shared" ca="1" si="175"/>
        <v>0</v>
      </c>
      <c r="EK140" s="171">
        <f t="shared" ca="1" si="176"/>
        <v>0</v>
      </c>
      <c r="EL140" s="171">
        <f t="shared" ca="1" si="177"/>
        <v>0</v>
      </c>
      <c r="EM140" s="171">
        <f t="shared" ca="1" si="178"/>
        <v>0</v>
      </c>
      <c r="EN140" s="171">
        <f t="shared" ca="1" si="179"/>
        <v>0</v>
      </c>
      <c r="EO140" s="171">
        <f t="shared" ca="1" si="180"/>
        <v>0</v>
      </c>
      <c r="EP140" s="171">
        <f t="shared" ca="1" si="181"/>
        <v>0</v>
      </c>
      <c r="EQ140" s="171">
        <f t="shared" ca="1" si="182"/>
        <v>0</v>
      </c>
      <c r="ER140" s="171">
        <f t="shared" ca="1" si="183"/>
        <v>0</v>
      </c>
      <c r="ES140" s="171">
        <f t="shared" ca="1" si="184"/>
        <v>0</v>
      </c>
    </row>
    <row r="141" spans="1:149">
      <c r="A141" s="139" t="s">
        <v>497</v>
      </c>
      <c r="B141" s="160" t="s">
        <v>409</v>
      </c>
      <c r="C141" s="160" t="s">
        <v>109</v>
      </c>
      <c r="D141" s="160" t="s">
        <v>428</v>
      </c>
      <c r="E141" s="160">
        <v>2015</v>
      </c>
      <c r="F141" s="160" t="s">
        <v>395</v>
      </c>
      <c r="G141" s="160" t="s">
        <v>402</v>
      </c>
      <c r="H141" s="160" t="s">
        <v>396</v>
      </c>
      <c r="I141" s="160" t="s">
        <v>178</v>
      </c>
      <c r="J141" s="160" t="s">
        <v>397</v>
      </c>
      <c r="K141" s="187">
        <v>66.599999999999994</v>
      </c>
      <c r="L141" s="163" t="s">
        <v>110</v>
      </c>
      <c r="M141" s="164">
        <f t="shared" si="115"/>
        <v>66.599999999999994</v>
      </c>
      <c r="N141" s="164">
        <f t="shared" si="116"/>
        <v>66.599999999999994</v>
      </c>
      <c r="O141" s="165">
        <f t="shared" si="117"/>
        <v>1</v>
      </c>
      <c r="P141" s="180">
        <v>2.3903633306096857E-2</v>
      </c>
      <c r="Q141" s="183">
        <v>32.668289591298226</v>
      </c>
      <c r="R141" s="168">
        <f t="shared" si="118"/>
        <v>23.668289591298226</v>
      </c>
      <c r="S141" s="183">
        <v>6.9579862261231415</v>
      </c>
      <c r="T141" s="170" t="s">
        <v>403</v>
      </c>
      <c r="U141" s="171">
        <f t="shared" si="119"/>
        <v>3.0489014590745467</v>
      </c>
      <c r="V141" s="171">
        <f t="shared" ca="1" si="120"/>
        <v>1.9410122874524613</v>
      </c>
      <c r="W141" s="171">
        <f t="shared" ca="1" si="185"/>
        <v>63.409551506765204</v>
      </c>
      <c r="X141" s="172">
        <f t="shared" si="121"/>
        <v>0.17920836052863021</v>
      </c>
      <c r="Y141" s="172">
        <f t="shared" si="122"/>
        <v>0.82079163947136979</v>
      </c>
      <c r="Z141" s="173">
        <f t="shared" si="123"/>
        <v>99.602395800378986</v>
      </c>
      <c r="AA141" s="171">
        <f t="shared" si="198"/>
        <v>0</v>
      </c>
      <c r="AB141" s="171">
        <f t="shared" si="198"/>
        <v>0</v>
      </c>
      <c r="AC141" s="171">
        <f t="shared" si="198"/>
        <v>0</v>
      </c>
      <c r="AD141" s="171">
        <f t="shared" si="198"/>
        <v>0</v>
      </c>
      <c r="AE141" s="171">
        <f t="shared" si="198"/>
        <v>0</v>
      </c>
      <c r="AF141" s="171">
        <f t="shared" si="198"/>
        <v>1.5919819781860505</v>
      </c>
      <c r="AG141" s="171">
        <f t="shared" si="198"/>
        <v>1.5919819781860505</v>
      </c>
      <c r="AH141" s="171">
        <f t="shared" si="198"/>
        <v>1.5919819781860505</v>
      </c>
      <c r="AI141" s="171">
        <f t="shared" si="198"/>
        <v>1.5919819781860505</v>
      </c>
      <c r="AJ141" s="171">
        <f t="shared" si="198"/>
        <v>1.5919819781860505</v>
      </c>
      <c r="AK141" s="171">
        <f t="shared" si="199"/>
        <v>1.5919819781860505</v>
      </c>
      <c r="AL141" s="171">
        <f t="shared" si="199"/>
        <v>1.5919819781860505</v>
      </c>
      <c r="AM141" s="171">
        <f t="shared" si="199"/>
        <v>3.4022508443491022</v>
      </c>
      <c r="AN141" s="171">
        <f t="shared" si="199"/>
        <v>3.4022508443491022</v>
      </c>
      <c r="AO141" s="171">
        <f t="shared" si="199"/>
        <v>3.4022508443491022</v>
      </c>
      <c r="AP141" s="171">
        <f t="shared" si="199"/>
        <v>3.4022508443491022</v>
      </c>
      <c r="AQ141" s="171">
        <f t="shared" si="199"/>
        <v>3.4022508443491022</v>
      </c>
      <c r="AR141" s="171">
        <f t="shared" si="199"/>
        <v>3.4022508443491022</v>
      </c>
      <c r="AS141" s="171">
        <f t="shared" si="199"/>
        <v>3.4022508443491022</v>
      </c>
      <c r="AT141" s="171">
        <f t="shared" si="199"/>
        <v>3.4022508443491022</v>
      </c>
      <c r="AU141" s="171">
        <f t="shared" si="200"/>
        <v>3.4022508443491022</v>
      </c>
      <c r="AV141" s="171">
        <f t="shared" si="200"/>
        <v>3.4022508443491022</v>
      </c>
      <c r="AW141" s="171">
        <f t="shared" si="200"/>
        <v>3.4022508443491022</v>
      </c>
      <c r="AX141" s="171">
        <f t="shared" si="200"/>
        <v>3.4022508443491022</v>
      </c>
      <c r="AY141" s="171">
        <f t="shared" si="200"/>
        <v>3.4022508443491022</v>
      </c>
      <c r="AZ141" s="171">
        <f t="shared" si="200"/>
        <v>3.4022508443491022</v>
      </c>
      <c r="BA141" s="171">
        <f t="shared" si="200"/>
        <v>3.4022508443491022</v>
      </c>
      <c r="BB141" s="171">
        <f t="shared" si="200"/>
        <v>3.4022508443491022</v>
      </c>
      <c r="BC141" s="171">
        <f t="shared" si="200"/>
        <v>3.4022508443491022</v>
      </c>
      <c r="BD141" s="171">
        <f t="shared" si="200"/>
        <v>3.4022508443491022</v>
      </c>
      <c r="BE141" s="171">
        <f t="shared" si="201"/>
        <v>3.4022508443491022</v>
      </c>
      <c r="BF141" s="171">
        <f t="shared" si="201"/>
        <v>3.4022508443491022</v>
      </c>
      <c r="BG141" s="171">
        <f t="shared" si="201"/>
        <v>3.4022508443491022</v>
      </c>
      <c r="BH141" s="171">
        <f t="shared" si="201"/>
        <v>3.4022508443491022</v>
      </c>
      <c r="BI141" s="171">
        <f t="shared" si="201"/>
        <v>3.4022508443491022</v>
      </c>
      <c r="BJ141" s="171">
        <f t="shared" si="201"/>
        <v>3.4022508443491022</v>
      </c>
      <c r="BK141" s="171">
        <f t="shared" si="201"/>
        <v>3.4022508443491022</v>
      </c>
      <c r="BL141" s="171">
        <f t="shared" si="201"/>
        <v>3.4022508443491022</v>
      </c>
      <c r="BM141" s="171">
        <f t="shared" si="201"/>
        <v>0</v>
      </c>
      <c r="BN141" s="171">
        <f t="shared" si="201"/>
        <v>0</v>
      </c>
      <c r="BO141" s="171">
        <f t="shared" si="202"/>
        <v>0</v>
      </c>
      <c r="BP141" s="171">
        <f t="shared" si="202"/>
        <v>0</v>
      </c>
      <c r="BQ141" s="171">
        <f t="shared" si="202"/>
        <v>0</v>
      </c>
      <c r="BR141" s="171">
        <f t="shared" si="202"/>
        <v>0</v>
      </c>
      <c r="BS141" s="171">
        <f t="shared" si="202"/>
        <v>0</v>
      </c>
      <c r="BT141" s="171">
        <f t="shared" si="202"/>
        <v>0</v>
      </c>
      <c r="BU141" s="171">
        <f t="shared" si="202"/>
        <v>0</v>
      </c>
      <c r="BV141" s="171">
        <f t="shared" si="202"/>
        <v>0</v>
      </c>
      <c r="BW141" s="171">
        <f t="shared" si="202"/>
        <v>0</v>
      </c>
      <c r="BX141" s="171">
        <f t="shared" si="202"/>
        <v>0</v>
      </c>
      <c r="BY141" s="171">
        <f t="shared" si="203"/>
        <v>0</v>
      </c>
      <c r="BZ141" s="171">
        <f t="shared" si="203"/>
        <v>0</v>
      </c>
      <c r="CA141" s="171">
        <f t="shared" si="203"/>
        <v>0</v>
      </c>
      <c r="CB141" s="171">
        <f t="shared" si="203"/>
        <v>0</v>
      </c>
      <c r="CC141" s="171">
        <f t="shared" si="203"/>
        <v>0</v>
      </c>
      <c r="CD141" s="171">
        <f t="shared" si="203"/>
        <v>0</v>
      </c>
      <c r="CE141" s="171">
        <f t="shared" si="203"/>
        <v>0</v>
      </c>
      <c r="CF141" s="171">
        <f t="shared" si="203"/>
        <v>0</v>
      </c>
      <c r="CG141" s="171">
        <f t="shared" si="203"/>
        <v>0</v>
      </c>
      <c r="CH141" s="171">
        <f t="shared" si="203"/>
        <v>0</v>
      </c>
      <c r="CI141" s="171">
        <f t="shared" si="203"/>
        <v>0</v>
      </c>
      <c r="CJ141" s="243"/>
      <c r="CK141" s="171">
        <f t="shared" si="124"/>
        <v>0</v>
      </c>
      <c r="CL141" s="171">
        <f t="shared" si="125"/>
        <v>0</v>
      </c>
      <c r="CM141" s="171">
        <f t="shared" si="126"/>
        <v>0</v>
      </c>
      <c r="CN141" s="171">
        <f t="shared" si="127"/>
        <v>0</v>
      </c>
      <c r="CO141" s="171">
        <f t="shared" si="128"/>
        <v>0</v>
      </c>
      <c r="CP141" s="171">
        <f t="shared" si="129"/>
        <v>1.5919819781860505</v>
      </c>
      <c r="CQ141" s="171">
        <f t="shared" si="130"/>
        <v>1.5919819781860505</v>
      </c>
      <c r="CR141" s="171">
        <f t="shared" si="131"/>
        <v>1.5919819781860505</v>
      </c>
      <c r="CS141" s="171">
        <f t="shared" si="132"/>
        <v>1.5919819781860505</v>
      </c>
      <c r="CT141" s="171">
        <f t="shared" si="133"/>
        <v>1.5919819781860505</v>
      </c>
      <c r="CU141" s="171">
        <f t="shared" si="134"/>
        <v>1.5919819781860505</v>
      </c>
      <c r="CV141" s="171">
        <f t="shared" si="135"/>
        <v>1.5919819781860505</v>
      </c>
      <c r="CW141" s="171">
        <f t="shared" si="136"/>
        <v>3.4022508443491022</v>
      </c>
      <c r="CX141" s="171">
        <f t="shared" si="137"/>
        <v>3.4022508443491022</v>
      </c>
      <c r="CY141" s="171">
        <f t="shared" ca="1" si="138"/>
        <v>3.2299852549214672</v>
      </c>
      <c r="CZ141" s="171">
        <f t="shared" ca="1" si="139"/>
        <v>3.0664419598391008</v>
      </c>
      <c r="DA141" s="171">
        <f t="shared" ca="1" si="140"/>
        <v>2.9111793246531361</v>
      </c>
      <c r="DB141" s="171">
        <f t="shared" ca="1" si="141"/>
        <v>2.7637780761167834</v>
      </c>
      <c r="DC141" s="171">
        <f t="shared" ca="1" si="142"/>
        <v>2.6238401699743816</v>
      </c>
      <c r="DD141" s="171">
        <f t="shared" ca="1" si="143"/>
        <v>2.490987716077492</v>
      </c>
      <c r="DE141" s="171">
        <f t="shared" ca="1" si="144"/>
        <v>2.3648619579254113</v>
      </c>
      <c r="DF141" s="171">
        <f t="shared" ca="1" si="145"/>
        <v>2.2451223038744326</v>
      </c>
      <c r="DG141" s="171">
        <f t="shared" ca="1" si="146"/>
        <v>2.1314454073997253</v>
      </c>
      <c r="DH141" s="171">
        <f t="shared" ca="1" si="147"/>
        <v>2.0235242939261582</v>
      </c>
      <c r="DI141" s="171">
        <f t="shared" ca="1" si="148"/>
        <v>1.92106753187015</v>
      </c>
      <c r="DJ141" s="171">
        <f t="shared" ca="1" si="149"/>
        <v>1.8237984456540173</v>
      </c>
      <c r="DK141" s="171">
        <f t="shared" ca="1" si="150"/>
        <v>1.7314543685676316</v>
      </c>
      <c r="DL141" s="171">
        <f t="shared" ca="1" si="151"/>
        <v>1.6437859334598082</v>
      </c>
      <c r="DM141" s="171">
        <f t="shared" ca="1" si="152"/>
        <v>1.5605563993439948</v>
      </c>
      <c r="DN141" s="171">
        <f t="shared" ca="1" si="153"/>
        <v>1.4815410120998209</v>
      </c>
      <c r="DO141" s="171">
        <f t="shared" ca="1" si="154"/>
        <v>1.4065263975441396</v>
      </c>
      <c r="DP141" s="171">
        <f t="shared" ca="1" si="155"/>
        <v>1.3353099852325938</v>
      </c>
      <c r="DQ141" s="171">
        <f t="shared" ca="1" si="156"/>
        <v>1.2676994614357495</v>
      </c>
      <c r="DR141" s="171">
        <f t="shared" ca="1" si="157"/>
        <v>1.2035122498125852</v>
      </c>
      <c r="DS141" s="171">
        <f t="shared" ca="1" si="158"/>
        <v>1.1425750183789611</v>
      </c>
      <c r="DT141" s="171">
        <f t="shared" ca="1" si="159"/>
        <v>1.0847232114396648</v>
      </c>
      <c r="DU141" s="171">
        <f t="shared" ca="1" si="160"/>
        <v>1.0298006052200637</v>
      </c>
      <c r="DV141" s="171">
        <f t="shared" ca="1" si="161"/>
        <v>0.97765888599738593</v>
      </c>
      <c r="DW141" s="171">
        <f t="shared" ca="1" si="162"/>
        <v>0</v>
      </c>
      <c r="DX141" s="171">
        <f t="shared" ca="1" si="163"/>
        <v>0</v>
      </c>
      <c r="DY141" s="171">
        <f t="shared" ca="1" si="164"/>
        <v>0</v>
      </c>
      <c r="DZ141" s="171">
        <f t="shared" ca="1" si="165"/>
        <v>0</v>
      </c>
      <c r="EA141" s="171">
        <f t="shared" ca="1" si="166"/>
        <v>0</v>
      </c>
      <c r="EB141" s="171">
        <f t="shared" ca="1" si="167"/>
        <v>0</v>
      </c>
      <c r="EC141" s="171">
        <f t="shared" ca="1" si="168"/>
        <v>0</v>
      </c>
      <c r="ED141" s="171">
        <f t="shared" ca="1" si="169"/>
        <v>0</v>
      </c>
      <c r="EE141" s="171">
        <f t="shared" ca="1" si="170"/>
        <v>0</v>
      </c>
      <c r="EF141" s="171">
        <f t="shared" ca="1" si="171"/>
        <v>0</v>
      </c>
      <c r="EG141" s="171">
        <f t="shared" ca="1" si="172"/>
        <v>0</v>
      </c>
      <c r="EH141" s="171">
        <f t="shared" ca="1" si="173"/>
        <v>0</v>
      </c>
      <c r="EI141" s="171">
        <f t="shared" ca="1" si="174"/>
        <v>0</v>
      </c>
      <c r="EJ141" s="171">
        <f t="shared" ca="1" si="175"/>
        <v>0</v>
      </c>
      <c r="EK141" s="171">
        <f t="shared" ca="1" si="176"/>
        <v>0</v>
      </c>
      <c r="EL141" s="171">
        <f t="shared" ca="1" si="177"/>
        <v>0</v>
      </c>
      <c r="EM141" s="171">
        <f t="shared" ca="1" si="178"/>
        <v>0</v>
      </c>
      <c r="EN141" s="171">
        <f t="shared" ca="1" si="179"/>
        <v>0</v>
      </c>
      <c r="EO141" s="171">
        <f t="shared" ca="1" si="180"/>
        <v>0</v>
      </c>
      <c r="EP141" s="171">
        <f t="shared" ca="1" si="181"/>
        <v>0</v>
      </c>
      <c r="EQ141" s="171">
        <f t="shared" ca="1" si="182"/>
        <v>0</v>
      </c>
      <c r="ER141" s="171">
        <f t="shared" ca="1" si="183"/>
        <v>0</v>
      </c>
      <c r="ES141" s="171">
        <f t="shared" ca="1" si="184"/>
        <v>0</v>
      </c>
    </row>
    <row r="142" spans="1:149">
      <c r="A142" s="139" t="s">
        <v>498</v>
      </c>
      <c r="B142" s="170" t="s">
        <v>499</v>
      </c>
      <c r="C142" s="189" t="s">
        <v>29</v>
      </c>
      <c r="D142" s="189" t="s">
        <v>394</v>
      </c>
      <c r="E142" s="189">
        <v>2013</v>
      </c>
      <c r="F142" s="201" t="s">
        <v>424</v>
      </c>
      <c r="G142" s="189" t="s">
        <v>289</v>
      </c>
      <c r="H142" s="201" t="s">
        <v>406</v>
      </c>
      <c r="I142" s="201" t="s">
        <v>365</v>
      </c>
      <c r="J142" s="201" t="s">
        <v>401</v>
      </c>
      <c r="K142" s="184">
        <v>10</v>
      </c>
      <c r="L142" s="163" t="s">
        <v>110</v>
      </c>
      <c r="M142" s="164">
        <f t="shared" si="115"/>
        <v>10</v>
      </c>
      <c r="N142" s="164">
        <f t="shared" si="116"/>
        <v>10</v>
      </c>
      <c r="O142" s="165">
        <f t="shared" si="117"/>
        <v>1</v>
      </c>
      <c r="P142" s="192">
        <v>0.23</v>
      </c>
      <c r="Q142" s="177">
        <v>25</v>
      </c>
      <c r="R142" s="168">
        <f t="shared" si="118"/>
        <v>14</v>
      </c>
      <c r="S142" s="169">
        <v>0</v>
      </c>
      <c r="T142" s="161" t="s">
        <v>289</v>
      </c>
      <c r="U142" s="171">
        <f t="shared" si="119"/>
        <v>2.3919999999999986</v>
      </c>
      <c r="V142" s="171">
        <f t="shared" ca="1" si="120"/>
        <v>1.9457725013686729</v>
      </c>
      <c r="W142" s="171">
        <f t="shared" ca="1" si="185"/>
        <v>48.644312534216823</v>
      </c>
      <c r="X142" s="172" t="str">
        <f t="shared" si="121"/>
        <v>Equity</v>
      </c>
      <c r="Y142" s="172" t="str">
        <f t="shared" si="122"/>
        <v>Equity</v>
      </c>
      <c r="Z142" s="173">
        <f t="shared" si="123"/>
        <v>59.799999999999969</v>
      </c>
      <c r="AA142" s="171">
        <f t="shared" si="198"/>
        <v>0</v>
      </c>
      <c r="AB142" s="171">
        <f t="shared" si="198"/>
        <v>0</v>
      </c>
      <c r="AC142" s="171">
        <f t="shared" si="198"/>
        <v>0</v>
      </c>
      <c r="AD142" s="171">
        <f t="shared" si="198"/>
        <v>2.3000000000000003</v>
      </c>
      <c r="AE142" s="171">
        <f t="shared" si="198"/>
        <v>2.3000000000000003</v>
      </c>
      <c r="AF142" s="171">
        <f t="shared" si="198"/>
        <v>2.3000000000000003</v>
      </c>
      <c r="AG142" s="171">
        <f t="shared" si="198"/>
        <v>2.3000000000000003</v>
      </c>
      <c r="AH142" s="171">
        <f t="shared" si="198"/>
        <v>2.3000000000000003</v>
      </c>
      <c r="AI142" s="171">
        <f t="shared" si="198"/>
        <v>2.3000000000000003</v>
      </c>
      <c r="AJ142" s="171">
        <f t="shared" si="198"/>
        <v>2.3000000000000003</v>
      </c>
      <c r="AK142" s="171">
        <f t="shared" si="199"/>
        <v>2.3000000000000003</v>
      </c>
      <c r="AL142" s="171">
        <f t="shared" si="199"/>
        <v>2.3000000000000003</v>
      </c>
      <c r="AM142" s="171">
        <f t="shared" si="199"/>
        <v>2.3000000000000003</v>
      </c>
      <c r="AN142" s="171">
        <f t="shared" si="199"/>
        <v>2.3000000000000003</v>
      </c>
      <c r="AO142" s="171">
        <f t="shared" si="199"/>
        <v>2.3000000000000003</v>
      </c>
      <c r="AP142" s="171">
        <f t="shared" si="199"/>
        <v>2.3000000000000003</v>
      </c>
      <c r="AQ142" s="171">
        <f t="shared" si="199"/>
        <v>2.3000000000000003</v>
      </c>
      <c r="AR142" s="171">
        <f t="shared" si="199"/>
        <v>2.3000000000000003</v>
      </c>
      <c r="AS142" s="171">
        <f t="shared" si="199"/>
        <v>2.3000000000000003</v>
      </c>
      <c r="AT142" s="171">
        <f t="shared" si="199"/>
        <v>2.3000000000000003</v>
      </c>
      <c r="AU142" s="171">
        <f t="shared" si="200"/>
        <v>2.3000000000000003</v>
      </c>
      <c r="AV142" s="171">
        <f t="shared" si="200"/>
        <v>2.3000000000000003</v>
      </c>
      <c r="AW142" s="171">
        <f t="shared" si="200"/>
        <v>2.3000000000000003</v>
      </c>
      <c r="AX142" s="171">
        <f t="shared" si="200"/>
        <v>2.3000000000000003</v>
      </c>
      <c r="AY142" s="171">
        <f t="shared" si="200"/>
        <v>2.3000000000000003</v>
      </c>
      <c r="AZ142" s="171">
        <f t="shared" si="200"/>
        <v>2.3000000000000003</v>
      </c>
      <c r="BA142" s="171">
        <f t="shared" si="200"/>
        <v>2.3000000000000003</v>
      </c>
      <c r="BB142" s="171">
        <f t="shared" si="200"/>
        <v>2.3000000000000003</v>
      </c>
      <c r="BC142" s="171">
        <f t="shared" si="200"/>
        <v>2.3000000000000003</v>
      </c>
      <c r="BD142" s="171">
        <f t="shared" si="200"/>
        <v>0</v>
      </c>
      <c r="BE142" s="171">
        <f t="shared" si="201"/>
        <v>0</v>
      </c>
      <c r="BF142" s="171">
        <f t="shared" si="201"/>
        <v>0</v>
      </c>
      <c r="BG142" s="171">
        <f t="shared" si="201"/>
        <v>0</v>
      </c>
      <c r="BH142" s="171">
        <f t="shared" si="201"/>
        <v>0</v>
      </c>
      <c r="BI142" s="171">
        <f t="shared" si="201"/>
        <v>0</v>
      </c>
      <c r="BJ142" s="171">
        <f t="shared" si="201"/>
        <v>0</v>
      </c>
      <c r="BK142" s="171">
        <f t="shared" si="201"/>
        <v>0</v>
      </c>
      <c r="BL142" s="171">
        <f t="shared" si="201"/>
        <v>0</v>
      </c>
      <c r="BM142" s="171">
        <f t="shared" si="201"/>
        <v>0</v>
      </c>
      <c r="BN142" s="171">
        <f t="shared" si="201"/>
        <v>0</v>
      </c>
      <c r="BO142" s="171">
        <f t="shared" si="202"/>
        <v>0</v>
      </c>
      <c r="BP142" s="171">
        <f t="shared" si="202"/>
        <v>0</v>
      </c>
      <c r="BQ142" s="171">
        <f t="shared" si="202"/>
        <v>0</v>
      </c>
      <c r="BR142" s="171">
        <f t="shared" si="202"/>
        <v>0</v>
      </c>
      <c r="BS142" s="171">
        <f t="shared" si="202"/>
        <v>0</v>
      </c>
      <c r="BT142" s="171">
        <f t="shared" si="202"/>
        <v>0</v>
      </c>
      <c r="BU142" s="171">
        <f t="shared" si="202"/>
        <v>0</v>
      </c>
      <c r="BV142" s="171">
        <f t="shared" si="202"/>
        <v>0</v>
      </c>
      <c r="BW142" s="171">
        <f t="shared" si="202"/>
        <v>0</v>
      </c>
      <c r="BX142" s="171">
        <f t="shared" si="202"/>
        <v>0</v>
      </c>
      <c r="BY142" s="171">
        <f t="shared" si="203"/>
        <v>0</v>
      </c>
      <c r="BZ142" s="171">
        <f t="shared" si="203"/>
        <v>0</v>
      </c>
      <c r="CA142" s="171">
        <f t="shared" si="203"/>
        <v>0</v>
      </c>
      <c r="CB142" s="171">
        <f t="shared" si="203"/>
        <v>0</v>
      </c>
      <c r="CC142" s="171">
        <f t="shared" si="203"/>
        <v>0</v>
      </c>
      <c r="CD142" s="171">
        <f t="shared" si="203"/>
        <v>0</v>
      </c>
      <c r="CE142" s="171">
        <f t="shared" si="203"/>
        <v>0</v>
      </c>
      <c r="CF142" s="171">
        <f t="shared" si="203"/>
        <v>0</v>
      </c>
      <c r="CG142" s="171">
        <f t="shared" si="203"/>
        <v>0</v>
      </c>
      <c r="CH142" s="171">
        <f t="shared" si="203"/>
        <v>0</v>
      </c>
      <c r="CI142" s="171">
        <f t="shared" si="203"/>
        <v>0</v>
      </c>
      <c r="CJ142" s="243"/>
      <c r="CK142" s="171">
        <f t="shared" si="124"/>
        <v>0</v>
      </c>
      <c r="CL142" s="171">
        <f t="shared" si="125"/>
        <v>0</v>
      </c>
      <c r="CM142" s="171">
        <f t="shared" si="126"/>
        <v>0</v>
      </c>
      <c r="CN142" s="171">
        <f t="shared" si="127"/>
        <v>2.3000000000000003</v>
      </c>
      <c r="CO142" s="171">
        <f t="shared" si="128"/>
        <v>2.3000000000000003</v>
      </c>
      <c r="CP142" s="171">
        <f t="shared" si="129"/>
        <v>2.3000000000000003</v>
      </c>
      <c r="CQ142" s="171">
        <f t="shared" si="130"/>
        <v>2.3000000000000003</v>
      </c>
      <c r="CR142" s="171">
        <f t="shared" si="131"/>
        <v>2.3000000000000003</v>
      </c>
      <c r="CS142" s="171">
        <f t="shared" si="132"/>
        <v>2.3000000000000003</v>
      </c>
      <c r="CT142" s="171">
        <f t="shared" si="133"/>
        <v>2.3000000000000003</v>
      </c>
      <c r="CU142" s="171">
        <f t="shared" si="134"/>
        <v>2.3000000000000003</v>
      </c>
      <c r="CV142" s="171">
        <f t="shared" si="135"/>
        <v>2.3000000000000003</v>
      </c>
      <c r="CW142" s="171">
        <f t="shared" si="136"/>
        <v>2.3000000000000003</v>
      </c>
      <c r="CX142" s="171">
        <f t="shared" si="137"/>
        <v>2.3000000000000003</v>
      </c>
      <c r="CY142" s="171">
        <f t="shared" ca="1" si="138"/>
        <v>2.1835444904535368</v>
      </c>
      <c r="CZ142" s="171">
        <f t="shared" ca="1" si="139"/>
        <v>2.0729854529521718</v>
      </c>
      <c r="DA142" s="171">
        <f t="shared" ca="1" si="140"/>
        <v>1.968024332427845</v>
      </c>
      <c r="DB142" s="171">
        <f t="shared" ca="1" si="141"/>
        <v>1.8683776905005738</v>
      </c>
      <c r="DC142" s="171">
        <f t="shared" ca="1" si="142"/>
        <v>1.7737764400777525</v>
      </c>
      <c r="DD142" s="171">
        <f t="shared" ca="1" si="143"/>
        <v>1.6839651187078539</v>
      </c>
      <c r="DE142" s="171">
        <f t="shared" ca="1" si="144"/>
        <v>1.5987011987262914</v>
      </c>
      <c r="DF142" s="171">
        <f t="shared" ca="1" si="145"/>
        <v>1.517754432330547</v>
      </c>
      <c r="DG142" s="171">
        <f t="shared" ca="1" si="146"/>
        <v>1.4409062298160005</v>
      </c>
      <c r="DH142" s="171">
        <f t="shared" ca="1" si="147"/>
        <v>1.3679490692934368</v>
      </c>
      <c r="DI142" s="171">
        <f t="shared" ca="1" si="148"/>
        <v>1.2986859362942291</v>
      </c>
      <c r="DJ142" s="171">
        <f t="shared" ca="1" si="149"/>
        <v>1.232929791749894</v>
      </c>
      <c r="DK142" s="171">
        <f t="shared" ca="1" si="150"/>
        <v>1.170503066909351</v>
      </c>
      <c r="DL142" s="171">
        <f t="shared" ca="1" si="151"/>
        <v>1.111237183829948</v>
      </c>
      <c r="DM142" s="171">
        <f t="shared" ca="1" si="152"/>
        <v>1.0549721001473857</v>
      </c>
      <c r="DN142" s="171">
        <f t="shared" ca="1" si="153"/>
        <v>0</v>
      </c>
      <c r="DO142" s="171">
        <f t="shared" ca="1" si="154"/>
        <v>0</v>
      </c>
      <c r="DP142" s="171">
        <f t="shared" ca="1" si="155"/>
        <v>0</v>
      </c>
      <c r="DQ142" s="171">
        <f t="shared" ca="1" si="156"/>
        <v>0</v>
      </c>
      <c r="DR142" s="171">
        <f t="shared" ca="1" si="157"/>
        <v>0</v>
      </c>
      <c r="DS142" s="171">
        <f t="shared" ca="1" si="158"/>
        <v>0</v>
      </c>
      <c r="DT142" s="171">
        <f t="shared" ca="1" si="159"/>
        <v>0</v>
      </c>
      <c r="DU142" s="171">
        <f t="shared" ca="1" si="160"/>
        <v>0</v>
      </c>
      <c r="DV142" s="171">
        <f t="shared" ca="1" si="161"/>
        <v>0</v>
      </c>
      <c r="DW142" s="171">
        <f t="shared" ca="1" si="162"/>
        <v>0</v>
      </c>
      <c r="DX142" s="171">
        <f t="shared" ca="1" si="163"/>
        <v>0</v>
      </c>
      <c r="DY142" s="171">
        <f t="shared" ca="1" si="164"/>
        <v>0</v>
      </c>
      <c r="DZ142" s="171">
        <f t="shared" ca="1" si="165"/>
        <v>0</v>
      </c>
      <c r="EA142" s="171">
        <f t="shared" ca="1" si="166"/>
        <v>0</v>
      </c>
      <c r="EB142" s="171">
        <f t="shared" ca="1" si="167"/>
        <v>0</v>
      </c>
      <c r="EC142" s="171">
        <f t="shared" ca="1" si="168"/>
        <v>0</v>
      </c>
      <c r="ED142" s="171">
        <f t="shared" ca="1" si="169"/>
        <v>0</v>
      </c>
      <c r="EE142" s="171">
        <f t="shared" ca="1" si="170"/>
        <v>0</v>
      </c>
      <c r="EF142" s="171">
        <f t="shared" ca="1" si="171"/>
        <v>0</v>
      </c>
      <c r="EG142" s="171">
        <f t="shared" ca="1" si="172"/>
        <v>0</v>
      </c>
      <c r="EH142" s="171">
        <f t="shared" ca="1" si="173"/>
        <v>0</v>
      </c>
      <c r="EI142" s="171">
        <f t="shared" ca="1" si="174"/>
        <v>0</v>
      </c>
      <c r="EJ142" s="171">
        <f t="shared" ca="1" si="175"/>
        <v>0</v>
      </c>
      <c r="EK142" s="171">
        <f t="shared" ca="1" si="176"/>
        <v>0</v>
      </c>
      <c r="EL142" s="171">
        <f t="shared" ca="1" si="177"/>
        <v>0</v>
      </c>
      <c r="EM142" s="171">
        <f t="shared" ca="1" si="178"/>
        <v>0</v>
      </c>
      <c r="EN142" s="171">
        <f t="shared" ca="1" si="179"/>
        <v>0</v>
      </c>
      <c r="EO142" s="171">
        <f t="shared" ca="1" si="180"/>
        <v>0</v>
      </c>
      <c r="EP142" s="171">
        <f t="shared" ca="1" si="181"/>
        <v>0</v>
      </c>
      <c r="EQ142" s="171">
        <f t="shared" ca="1" si="182"/>
        <v>0</v>
      </c>
      <c r="ER142" s="171">
        <f t="shared" ca="1" si="183"/>
        <v>0</v>
      </c>
      <c r="ES142" s="171">
        <f t="shared" ca="1" si="184"/>
        <v>0</v>
      </c>
    </row>
    <row r="143" spans="1:149">
      <c r="A143" s="139" t="s">
        <v>500</v>
      </c>
      <c r="B143" s="160" t="s">
        <v>393</v>
      </c>
      <c r="C143" s="160" t="s">
        <v>412</v>
      </c>
      <c r="D143" s="161" t="s">
        <v>394</v>
      </c>
      <c r="E143" s="160">
        <v>2019</v>
      </c>
      <c r="F143" s="160" t="s">
        <v>395</v>
      </c>
      <c r="G143" s="160" t="s">
        <v>402</v>
      </c>
      <c r="H143" s="160" t="s">
        <v>396</v>
      </c>
      <c r="I143" s="160" t="s">
        <v>176</v>
      </c>
      <c r="J143" s="160" t="s">
        <v>397</v>
      </c>
      <c r="K143" s="187">
        <v>32</v>
      </c>
      <c r="L143" s="163" t="s">
        <v>110</v>
      </c>
      <c r="M143" s="164">
        <f t="shared" si="115"/>
        <v>32</v>
      </c>
      <c r="N143" s="164">
        <f t="shared" si="116"/>
        <v>32</v>
      </c>
      <c r="O143" s="165">
        <f t="shared" si="117"/>
        <v>1</v>
      </c>
      <c r="P143" s="180">
        <v>2.4058710569794983E-2</v>
      </c>
      <c r="Q143" s="191">
        <v>16</v>
      </c>
      <c r="R143" s="168">
        <f t="shared" si="118"/>
        <v>11</v>
      </c>
      <c r="S143" s="186">
        <v>7.0783975996854291</v>
      </c>
      <c r="T143" s="170" t="s">
        <v>403</v>
      </c>
      <c r="U143" s="171">
        <f t="shared" si="119"/>
        <v>2.4459326810365201</v>
      </c>
      <c r="V143" s="171">
        <f t="shared" ca="1" si="120"/>
        <v>1.7431161360700604</v>
      </c>
      <c r="W143" s="171">
        <f t="shared" ca="1" si="185"/>
        <v>27.889858177120967</v>
      </c>
      <c r="X143" s="172">
        <f t="shared" si="121"/>
        <v>0.22027726867746023</v>
      </c>
      <c r="Y143" s="172">
        <f t="shared" si="122"/>
        <v>0.77972273132253977</v>
      </c>
      <c r="Z143" s="173">
        <f t="shared" si="123"/>
        <v>39.134922896584321</v>
      </c>
      <c r="AA143" s="171">
        <f t="shared" si="198"/>
        <v>0</v>
      </c>
      <c r="AB143" s="171">
        <f t="shared" si="198"/>
        <v>0</v>
      </c>
      <c r="AC143" s="171">
        <f t="shared" si="198"/>
        <v>0</v>
      </c>
      <c r="AD143" s="171">
        <f t="shared" si="198"/>
        <v>0</v>
      </c>
      <c r="AE143" s="171">
        <f t="shared" si="198"/>
        <v>0</v>
      </c>
      <c r="AF143" s="171">
        <f t="shared" si="198"/>
        <v>0</v>
      </c>
      <c r="AG143" s="171">
        <f t="shared" si="198"/>
        <v>0</v>
      </c>
      <c r="AH143" s="171">
        <f t="shared" si="198"/>
        <v>0</v>
      </c>
      <c r="AI143" s="171">
        <f t="shared" si="198"/>
        <v>0</v>
      </c>
      <c r="AJ143" s="171">
        <f t="shared" si="198"/>
        <v>0.76987873823343944</v>
      </c>
      <c r="AK143" s="171">
        <f t="shared" si="199"/>
        <v>0.76987873823343944</v>
      </c>
      <c r="AL143" s="171">
        <f t="shared" si="199"/>
        <v>0.76987873823343944</v>
      </c>
      <c r="AM143" s="171">
        <f t="shared" si="199"/>
        <v>0.76987873823343944</v>
      </c>
      <c r="AN143" s="171">
        <f t="shared" si="199"/>
        <v>0.76987873823343944</v>
      </c>
      <c r="AO143" s="171">
        <f t="shared" si="199"/>
        <v>0.76987873823343944</v>
      </c>
      <c r="AP143" s="171">
        <f t="shared" si="199"/>
        <v>0.76987873823343944</v>
      </c>
      <c r="AQ143" s="171">
        <f t="shared" si="199"/>
        <v>0.76987873823343944</v>
      </c>
      <c r="AR143" s="171">
        <f t="shared" si="199"/>
        <v>3.6639881100796452</v>
      </c>
      <c r="AS143" s="171">
        <f t="shared" si="199"/>
        <v>3.6639881100796452</v>
      </c>
      <c r="AT143" s="171">
        <f t="shared" si="199"/>
        <v>3.6639881100796452</v>
      </c>
      <c r="AU143" s="171">
        <f t="shared" si="200"/>
        <v>3.6639881100796452</v>
      </c>
      <c r="AV143" s="171">
        <f t="shared" si="200"/>
        <v>3.6639881100796452</v>
      </c>
      <c r="AW143" s="171">
        <f t="shared" si="200"/>
        <v>3.6639881100796452</v>
      </c>
      <c r="AX143" s="171">
        <f t="shared" si="200"/>
        <v>3.6639881100796452</v>
      </c>
      <c r="AY143" s="171">
        <f t="shared" si="200"/>
        <v>3.6639881100796452</v>
      </c>
      <c r="AZ143" s="171">
        <f t="shared" si="200"/>
        <v>3.6639881100796452</v>
      </c>
      <c r="BA143" s="171">
        <f t="shared" si="200"/>
        <v>0</v>
      </c>
      <c r="BB143" s="171">
        <f t="shared" si="200"/>
        <v>0</v>
      </c>
      <c r="BC143" s="171">
        <f t="shared" si="200"/>
        <v>0</v>
      </c>
      <c r="BD143" s="171">
        <f t="shared" si="200"/>
        <v>0</v>
      </c>
      <c r="BE143" s="171">
        <f t="shared" si="201"/>
        <v>0</v>
      </c>
      <c r="BF143" s="171">
        <f t="shared" si="201"/>
        <v>0</v>
      </c>
      <c r="BG143" s="171">
        <f t="shared" si="201"/>
        <v>0</v>
      </c>
      <c r="BH143" s="171">
        <f t="shared" si="201"/>
        <v>0</v>
      </c>
      <c r="BI143" s="171">
        <f t="shared" si="201"/>
        <v>0</v>
      </c>
      <c r="BJ143" s="171">
        <f t="shared" si="201"/>
        <v>0</v>
      </c>
      <c r="BK143" s="171">
        <f t="shared" si="201"/>
        <v>0</v>
      </c>
      <c r="BL143" s="171">
        <f t="shared" si="201"/>
        <v>0</v>
      </c>
      <c r="BM143" s="171">
        <f t="shared" si="201"/>
        <v>0</v>
      </c>
      <c r="BN143" s="171">
        <f t="shared" si="201"/>
        <v>0</v>
      </c>
      <c r="BO143" s="171">
        <f t="shared" si="202"/>
        <v>0</v>
      </c>
      <c r="BP143" s="171">
        <f t="shared" si="202"/>
        <v>0</v>
      </c>
      <c r="BQ143" s="171">
        <f t="shared" si="202"/>
        <v>0</v>
      </c>
      <c r="BR143" s="171">
        <f t="shared" si="202"/>
        <v>0</v>
      </c>
      <c r="BS143" s="171">
        <f t="shared" si="202"/>
        <v>0</v>
      </c>
      <c r="BT143" s="171">
        <f t="shared" si="202"/>
        <v>0</v>
      </c>
      <c r="BU143" s="171">
        <f t="shared" si="202"/>
        <v>0</v>
      </c>
      <c r="BV143" s="171">
        <f t="shared" si="202"/>
        <v>0</v>
      </c>
      <c r="BW143" s="171">
        <f t="shared" si="202"/>
        <v>0</v>
      </c>
      <c r="BX143" s="171">
        <f t="shared" si="202"/>
        <v>0</v>
      </c>
      <c r="BY143" s="171">
        <f t="shared" si="203"/>
        <v>0</v>
      </c>
      <c r="BZ143" s="171">
        <f t="shared" si="203"/>
        <v>0</v>
      </c>
      <c r="CA143" s="171">
        <f t="shared" si="203"/>
        <v>0</v>
      </c>
      <c r="CB143" s="171">
        <f t="shared" si="203"/>
        <v>0</v>
      </c>
      <c r="CC143" s="171">
        <f t="shared" si="203"/>
        <v>0</v>
      </c>
      <c r="CD143" s="171">
        <f t="shared" si="203"/>
        <v>0</v>
      </c>
      <c r="CE143" s="171">
        <f t="shared" si="203"/>
        <v>0</v>
      </c>
      <c r="CF143" s="171">
        <f t="shared" si="203"/>
        <v>0</v>
      </c>
      <c r="CG143" s="171">
        <f t="shared" si="203"/>
        <v>0</v>
      </c>
      <c r="CH143" s="171">
        <f t="shared" si="203"/>
        <v>0</v>
      </c>
      <c r="CI143" s="171">
        <f t="shared" si="203"/>
        <v>0</v>
      </c>
      <c r="CJ143" s="243"/>
      <c r="CK143" s="171">
        <f t="shared" si="124"/>
        <v>0</v>
      </c>
      <c r="CL143" s="171">
        <f t="shared" si="125"/>
        <v>0</v>
      </c>
      <c r="CM143" s="171">
        <f t="shared" si="126"/>
        <v>0</v>
      </c>
      <c r="CN143" s="171">
        <f t="shared" si="127"/>
        <v>0</v>
      </c>
      <c r="CO143" s="171">
        <f t="shared" si="128"/>
        <v>0</v>
      </c>
      <c r="CP143" s="171">
        <f t="shared" si="129"/>
        <v>0</v>
      </c>
      <c r="CQ143" s="171">
        <f t="shared" si="130"/>
        <v>0</v>
      </c>
      <c r="CR143" s="171">
        <f t="shared" si="131"/>
        <v>0</v>
      </c>
      <c r="CS143" s="171">
        <f t="shared" si="132"/>
        <v>0</v>
      </c>
      <c r="CT143" s="171">
        <f t="shared" si="133"/>
        <v>0.76987873823343944</v>
      </c>
      <c r="CU143" s="171">
        <f t="shared" si="134"/>
        <v>0.76987873823343944</v>
      </c>
      <c r="CV143" s="171">
        <f t="shared" si="135"/>
        <v>0.76987873823343944</v>
      </c>
      <c r="CW143" s="171">
        <f t="shared" si="136"/>
        <v>0.76987873823343944</v>
      </c>
      <c r="CX143" s="171">
        <f t="shared" si="137"/>
        <v>0.76987873823343944</v>
      </c>
      <c r="CY143" s="171">
        <f t="shared" ca="1" si="138"/>
        <v>0.73089759877693361</v>
      </c>
      <c r="CZ143" s="171">
        <f t="shared" ca="1" si="139"/>
        <v>0.69389018473699682</v>
      </c>
      <c r="DA143" s="171">
        <f t="shared" ca="1" si="140"/>
        <v>0.65875656080967659</v>
      </c>
      <c r="DB143" s="171">
        <f t="shared" ca="1" si="141"/>
        <v>2.9763972361444213</v>
      </c>
      <c r="DC143" s="171">
        <f t="shared" ca="1" si="142"/>
        <v>2.8256938201670803</v>
      </c>
      <c r="DD143" s="171">
        <f t="shared" ca="1" si="143"/>
        <v>2.6826209446671454</v>
      </c>
      <c r="DE143" s="171">
        <f t="shared" ca="1" si="144"/>
        <v>2.5467922537840031</v>
      </c>
      <c r="DF143" s="171">
        <f t="shared" ca="1" si="145"/>
        <v>2.4178409539477412</v>
      </c>
      <c r="DG143" s="171">
        <f t="shared" ca="1" si="146"/>
        <v>2.2954188233850057</v>
      </c>
      <c r="DH143" s="171">
        <f t="shared" ca="1" si="147"/>
        <v>2.1791952717763778</v>
      </c>
      <c r="DI143" s="171">
        <f t="shared" ca="1" si="148"/>
        <v>2.0688564475259592</v>
      </c>
      <c r="DJ143" s="171">
        <f t="shared" ca="1" si="149"/>
        <v>1.964104390232428</v>
      </c>
      <c r="DK143" s="171">
        <f t="shared" ca="1" si="150"/>
        <v>0</v>
      </c>
      <c r="DL143" s="171">
        <f t="shared" ca="1" si="151"/>
        <v>0</v>
      </c>
      <c r="DM143" s="171">
        <f t="shared" ca="1" si="152"/>
        <v>0</v>
      </c>
      <c r="DN143" s="171">
        <f t="shared" ca="1" si="153"/>
        <v>0</v>
      </c>
      <c r="DO143" s="171">
        <f t="shared" ca="1" si="154"/>
        <v>0</v>
      </c>
      <c r="DP143" s="171">
        <f t="shared" ca="1" si="155"/>
        <v>0</v>
      </c>
      <c r="DQ143" s="171">
        <f t="shared" ca="1" si="156"/>
        <v>0</v>
      </c>
      <c r="DR143" s="171">
        <f t="shared" ca="1" si="157"/>
        <v>0</v>
      </c>
      <c r="DS143" s="171">
        <f t="shared" ca="1" si="158"/>
        <v>0</v>
      </c>
      <c r="DT143" s="171">
        <f t="shared" ca="1" si="159"/>
        <v>0</v>
      </c>
      <c r="DU143" s="171">
        <f t="shared" ca="1" si="160"/>
        <v>0</v>
      </c>
      <c r="DV143" s="171">
        <f t="shared" ca="1" si="161"/>
        <v>0</v>
      </c>
      <c r="DW143" s="171">
        <f t="shared" ca="1" si="162"/>
        <v>0</v>
      </c>
      <c r="DX143" s="171">
        <f t="shared" ca="1" si="163"/>
        <v>0</v>
      </c>
      <c r="DY143" s="171">
        <f t="shared" ca="1" si="164"/>
        <v>0</v>
      </c>
      <c r="DZ143" s="171">
        <f t="shared" ca="1" si="165"/>
        <v>0</v>
      </c>
      <c r="EA143" s="171">
        <f t="shared" ca="1" si="166"/>
        <v>0</v>
      </c>
      <c r="EB143" s="171">
        <f t="shared" ca="1" si="167"/>
        <v>0</v>
      </c>
      <c r="EC143" s="171">
        <f t="shared" ca="1" si="168"/>
        <v>0</v>
      </c>
      <c r="ED143" s="171">
        <f t="shared" ca="1" si="169"/>
        <v>0</v>
      </c>
      <c r="EE143" s="171">
        <f t="shared" ca="1" si="170"/>
        <v>0</v>
      </c>
      <c r="EF143" s="171">
        <f t="shared" ca="1" si="171"/>
        <v>0</v>
      </c>
      <c r="EG143" s="171">
        <f t="shared" ca="1" si="172"/>
        <v>0</v>
      </c>
      <c r="EH143" s="171">
        <f t="shared" ca="1" si="173"/>
        <v>0</v>
      </c>
      <c r="EI143" s="171">
        <f t="shared" ca="1" si="174"/>
        <v>0</v>
      </c>
      <c r="EJ143" s="171">
        <f t="shared" ca="1" si="175"/>
        <v>0</v>
      </c>
      <c r="EK143" s="171">
        <f t="shared" ca="1" si="176"/>
        <v>0</v>
      </c>
      <c r="EL143" s="171">
        <f t="shared" ca="1" si="177"/>
        <v>0</v>
      </c>
      <c r="EM143" s="171">
        <f t="shared" ca="1" si="178"/>
        <v>0</v>
      </c>
      <c r="EN143" s="171">
        <f t="shared" ca="1" si="179"/>
        <v>0</v>
      </c>
      <c r="EO143" s="171">
        <f t="shared" ca="1" si="180"/>
        <v>0</v>
      </c>
      <c r="EP143" s="171">
        <f t="shared" ca="1" si="181"/>
        <v>0</v>
      </c>
      <c r="EQ143" s="171">
        <f t="shared" ca="1" si="182"/>
        <v>0</v>
      </c>
      <c r="ER143" s="171">
        <f t="shared" ca="1" si="183"/>
        <v>0</v>
      </c>
      <c r="ES143" s="171">
        <f t="shared" ca="1" si="184"/>
        <v>0</v>
      </c>
    </row>
    <row r="144" spans="1:149">
      <c r="A144" s="139" t="s">
        <v>500</v>
      </c>
      <c r="B144" s="161" t="s">
        <v>421</v>
      </c>
      <c r="C144" s="161" t="s">
        <v>412</v>
      </c>
      <c r="D144" s="161" t="s">
        <v>394</v>
      </c>
      <c r="E144" s="161">
        <v>2019</v>
      </c>
      <c r="F144" s="189" t="s">
        <v>395</v>
      </c>
      <c r="G144" s="161" t="s">
        <v>402</v>
      </c>
      <c r="H144" s="189" t="s">
        <v>396</v>
      </c>
      <c r="I144" s="189" t="s">
        <v>176</v>
      </c>
      <c r="J144" s="189" t="s">
        <v>397</v>
      </c>
      <c r="K144" s="184">
        <v>20</v>
      </c>
      <c r="L144" s="163" t="s">
        <v>110</v>
      </c>
      <c r="M144" s="164">
        <f t="shared" si="115"/>
        <v>20</v>
      </c>
      <c r="N144" s="164">
        <f t="shared" si="116"/>
        <v>20</v>
      </c>
      <c r="O144" s="165">
        <f t="shared" si="117"/>
        <v>1</v>
      </c>
      <c r="P144" s="180">
        <v>2.4058710569794983E-2</v>
      </c>
      <c r="Q144" s="191">
        <v>16</v>
      </c>
      <c r="R144" s="168">
        <f t="shared" si="118"/>
        <v>11</v>
      </c>
      <c r="S144" s="186">
        <v>7.0783975996854291</v>
      </c>
      <c r="T144" s="170" t="s">
        <v>403</v>
      </c>
      <c r="U144" s="171">
        <f t="shared" si="119"/>
        <v>1.5287079256478253</v>
      </c>
      <c r="V144" s="171">
        <f t="shared" ca="1" si="120"/>
        <v>1.0894475850437877</v>
      </c>
      <c r="W144" s="171">
        <f t="shared" ca="1" si="185"/>
        <v>17.431161360700603</v>
      </c>
      <c r="X144" s="172">
        <f t="shared" si="121"/>
        <v>0.22027726867746023</v>
      </c>
      <c r="Y144" s="172">
        <f t="shared" si="122"/>
        <v>0.77972273132253977</v>
      </c>
      <c r="Z144" s="173">
        <f t="shared" si="123"/>
        <v>24.459326810365205</v>
      </c>
      <c r="AA144" s="171">
        <f t="shared" si="198"/>
        <v>0</v>
      </c>
      <c r="AB144" s="171">
        <f t="shared" si="198"/>
        <v>0</v>
      </c>
      <c r="AC144" s="171">
        <f t="shared" si="198"/>
        <v>0</v>
      </c>
      <c r="AD144" s="171">
        <f t="shared" si="198"/>
        <v>0</v>
      </c>
      <c r="AE144" s="171">
        <f t="shared" si="198"/>
        <v>0</v>
      </c>
      <c r="AF144" s="171">
        <f t="shared" si="198"/>
        <v>0</v>
      </c>
      <c r="AG144" s="171">
        <f t="shared" si="198"/>
        <v>0</v>
      </c>
      <c r="AH144" s="171">
        <f t="shared" si="198"/>
        <v>0</v>
      </c>
      <c r="AI144" s="171">
        <f t="shared" si="198"/>
        <v>0</v>
      </c>
      <c r="AJ144" s="171">
        <f t="shared" si="198"/>
        <v>0.48117421139589966</v>
      </c>
      <c r="AK144" s="171">
        <f t="shared" si="199"/>
        <v>0.48117421139589966</v>
      </c>
      <c r="AL144" s="171">
        <f t="shared" si="199"/>
        <v>0.48117421139589966</v>
      </c>
      <c r="AM144" s="171">
        <f t="shared" si="199"/>
        <v>0.48117421139589966</v>
      </c>
      <c r="AN144" s="171">
        <f t="shared" si="199"/>
        <v>0.48117421139589966</v>
      </c>
      <c r="AO144" s="171">
        <f t="shared" si="199"/>
        <v>0.48117421139589966</v>
      </c>
      <c r="AP144" s="171">
        <f t="shared" si="199"/>
        <v>0.48117421139589966</v>
      </c>
      <c r="AQ144" s="171">
        <f t="shared" si="199"/>
        <v>0.48117421139589966</v>
      </c>
      <c r="AR144" s="171">
        <f t="shared" si="199"/>
        <v>2.2899925687997786</v>
      </c>
      <c r="AS144" s="171">
        <f t="shared" si="199"/>
        <v>2.2899925687997786</v>
      </c>
      <c r="AT144" s="171">
        <f t="shared" si="199"/>
        <v>2.2899925687997786</v>
      </c>
      <c r="AU144" s="171">
        <f t="shared" si="200"/>
        <v>2.2899925687997786</v>
      </c>
      <c r="AV144" s="171">
        <f t="shared" si="200"/>
        <v>2.2899925687997786</v>
      </c>
      <c r="AW144" s="171">
        <f t="shared" si="200"/>
        <v>2.2899925687997786</v>
      </c>
      <c r="AX144" s="171">
        <f t="shared" si="200"/>
        <v>2.2899925687997786</v>
      </c>
      <c r="AY144" s="171">
        <f t="shared" si="200"/>
        <v>2.2899925687997786</v>
      </c>
      <c r="AZ144" s="171">
        <f t="shared" si="200"/>
        <v>2.2899925687997786</v>
      </c>
      <c r="BA144" s="171">
        <f t="shared" si="200"/>
        <v>0</v>
      </c>
      <c r="BB144" s="171">
        <f t="shared" si="200"/>
        <v>0</v>
      </c>
      <c r="BC144" s="171">
        <f t="shared" si="200"/>
        <v>0</v>
      </c>
      <c r="BD144" s="171">
        <f t="shared" si="200"/>
        <v>0</v>
      </c>
      <c r="BE144" s="171">
        <f t="shared" si="201"/>
        <v>0</v>
      </c>
      <c r="BF144" s="171">
        <f t="shared" si="201"/>
        <v>0</v>
      </c>
      <c r="BG144" s="171">
        <f t="shared" si="201"/>
        <v>0</v>
      </c>
      <c r="BH144" s="171">
        <f t="shared" si="201"/>
        <v>0</v>
      </c>
      <c r="BI144" s="171">
        <f t="shared" si="201"/>
        <v>0</v>
      </c>
      <c r="BJ144" s="171">
        <f t="shared" si="201"/>
        <v>0</v>
      </c>
      <c r="BK144" s="171">
        <f t="shared" si="201"/>
        <v>0</v>
      </c>
      <c r="BL144" s="171">
        <f t="shared" si="201"/>
        <v>0</v>
      </c>
      <c r="BM144" s="171">
        <f t="shared" si="201"/>
        <v>0</v>
      </c>
      <c r="BN144" s="171">
        <f t="shared" si="201"/>
        <v>0</v>
      </c>
      <c r="BO144" s="171">
        <f t="shared" si="202"/>
        <v>0</v>
      </c>
      <c r="BP144" s="171">
        <f t="shared" si="202"/>
        <v>0</v>
      </c>
      <c r="BQ144" s="171">
        <f t="shared" si="202"/>
        <v>0</v>
      </c>
      <c r="BR144" s="171">
        <f t="shared" si="202"/>
        <v>0</v>
      </c>
      <c r="BS144" s="171">
        <f t="shared" si="202"/>
        <v>0</v>
      </c>
      <c r="BT144" s="171">
        <f t="shared" si="202"/>
        <v>0</v>
      </c>
      <c r="BU144" s="171">
        <f t="shared" si="202"/>
        <v>0</v>
      </c>
      <c r="BV144" s="171">
        <f t="shared" si="202"/>
        <v>0</v>
      </c>
      <c r="BW144" s="171">
        <f t="shared" si="202"/>
        <v>0</v>
      </c>
      <c r="BX144" s="171">
        <f t="shared" si="202"/>
        <v>0</v>
      </c>
      <c r="BY144" s="171">
        <f t="shared" si="203"/>
        <v>0</v>
      </c>
      <c r="BZ144" s="171">
        <f t="shared" si="203"/>
        <v>0</v>
      </c>
      <c r="CA144" s="171">
        <f t="shared" si="203"/>
        <v>0</v>
      </c>
      <c r="CB144" s="171">
        <f t="shared" si="203"/>
        <v>0</v>
      </c>
      <c r="CC144" s="171">
        <f t="shared" si="203"/>
        <v>0</v>
      </c>
      <c r="CD144" s="171">
        <f t="shared" si="203"/>
        <v>0</v>
      </c>
      <c r="CE144" s="171">
        <f t="shared" si="203"/>
        <v>0</v>
      </c>
      <c r="CF144" s="171">
        <f t="shared" si="203"/>
        <v>0</v>
      </c>
      <c r="CG144" s="171">
        <f t="shared" si="203"/>
        <v>0</v>
      </c>
      <c r="CH144" s="171">
        <f t="shared" si="203"/>
        <v>0</v>
      </c>
      <c r="CI144" s="171">
        <f t="shared" si="203"/>
        <v>0</v>
      </c>
      <c r="CJ144" s="243"/>
      <c r="CK144" s="171">
        <f t="shared" si="124"/>
        <v>0</v>
      </c>
      <c r="CL144" s="171">
        <f t="shared" si="125"/>
        <v>0</v>
      </c>
      <c r="CM144" s="171">
        <f t="shared" si="126"/>
        <v>0</v>
      </c>
      <c r="CN144" s="171">
        <f t="shared" si="127"/>
        <v>0</v>
      </c>
      <c r="CO144" s="171">
        <f t="shared" si="128"/>
        <v>0</v>
      </c>
      <c r="CP144" s="171">
        <f t="shared" si="129"/>
        <v>0</v>
      </c>
      <c r="CQ144" s="171">
        <f t="shared" si="130"/>
        <v>0</v>
      </c>
      <c r="CR144" s="171">
        <f t="shared" si="131"/>
        <v>0</v>
      </c>
      <c r="CS144" s="171">
        <f t="shared" si="132"/>
        <v>0</v>
      </c>
      <c r="CT144" s="171">
        <f t="shared" si="133"/>
        <v>0.48117421139589966</v>
      </c>
      <c r="CU144" s="171">
        <f t="shared" si="134"/>
        <v>0.48117421139589966</v>
      </c>
      <c r="CV144" s="171">
        <f t="shared" si="135"/>
        <v>0.48117421139589966</v>
      </c>
      <c r="CW144" s="171">
        <f t="shared" si="136"/>
        <v>0.48117421139589966</v>
      </c>
      <c r="CX144" s="171">
        <f t="shared" si="137"/>
        <v>0.48117421139589966</v>
      </c>
      <c r="CY144" s="171">
        <f t="shared" ca="1" si="138"/>
        <v>0.45681099923558349</v>
      </c>
      <c r="CZ144" s="171">
        <f t="shared" ca="1" si="139"/>
        <v>0.43368136546062303</v>
      </c>
      <c r="DA144" s="171">
        <f t="shared" ca="1" si="140"/>
        <v>0.41172285050604784</v>
      </c>
      <c r="DB144" s="171">
        <f t="shared" ca="1" si="141"/>
        <v>1.8602482725902636</v>
      </c>
      <c r="DC144" s="171">
        <f t="shared" ca="1" si="142"/>
        <v>1.7660586376044254</v>
      </c>
      <c r="DD144" s="171">
        <f t="shared" ca="1" si="143"/>
        <v>1.676638090416966</v>
      </c>
      <c r="DE144" s="171">
        <f t="shared" ca="1" si="144"/>
        <v>1.5917451586150022</v>
      </c>
      <c r="DF144" s="171">
        <f t="shared" ca="1" si="145"/>
        <v>1.5111505962173384</v>
      </c>
      <c r="DG144" s="171">
        <f t="shared" ca="1" si="146"/>
        <v>1.4346367646156288</v>
      </c>
      <c r="DH144" s="171">
        <f t="shared" ca="1" si="147"/>
        <v>1.3619970448602363</v>
      </c>
      <c r="DI144" s="171">
        <f t="shared" ca="1" si="148"/>
        <v>1.2930352797037248</v>
      </c>
      <c r="DJ144" s="171">
        <f t="shared" ca="1" si="149"/>
        <v>1.2275652438952678</v>
      </c>
      <c r="DK144" s="171">
        <f t="shared" ca="1" si="150"/>
        <v>0</v>
      </c>
      <c r="DL144" s="171">
        <f t="shared" ca="1" si="151"/>
        <v>0</v>
      </c>
      <c r="DM144" s="171">
        <f t="shared" ca="1" si="152"/>
        <v>0</v>
      </c>
      <c r="DN144" s="171">
        <f t="shared" ca="1" si="153"/>
        <v>0</v>
      </c>
      <c r="DO144" s="171">
        <f t="shared" ca="1" si="154"/>
        <v>0</v>
      </c>
      <c r="DP144" s="171">
        <f t="shared" ca="1" si="155"/>
        <v>0</v>
      </c>
      <c r="DQ144" s="171">
        <f t="shared" ca="1" si="156"/>
        <v>0</v>
      </c>
      <c r="DR144" s="171">
        <f t="shared" ca="1" si="157"/>
        <v>0</v>
      </c>
      <c r="DS144" s="171">
        <f t="shared" ca="1" si="158"/>
        <v>0</v>
      </c>
      <c r="DT144" s="171">
        <f t="shared" ca="1" si="159"/>
        <v>0</v>
      </c>
      <c r="DU144" s="171">
        <f t="shared" ca="1" si="160"/>
        <v>0</v>
      </c>
      <c r="DV144" s="171">
        <f t="shared" ca="1" si="161"/>
        <v>0</v>
      </c>
      <c r="DW144" s="171">
        <f t="shared" ca="1" si="162"/>
        <v>0</v>
      </c>
      <c r="DX144" s="171">
        <f t="shared" ca="1" si="163"/>
        <v>0</v>
      </c>
      <c r="DY144" s="171">
        <f t="shared" ca="1" si="164"/>
        <v>0</v>
      </c>
      <c r="DZ144" s="171">
        <f t="shared" ca="1" si="165"/>
        <v>0</v>
      </c>
      <c r="EA144" s="171">
        <f t="shared" ca="1" si="166"/>
        <v>0</v>
      </c>
      <c r="EB144" s="171">
        <f t="shared" ca="1" si="167"/>
        <v>0</v>
      </c>
      <c r="EC144" s="171">
        <f t="shared" ca="1" si="168"/>
        <v>0</v>
      </c>
      <c r="ED144" s="171">
        <f t="shared" ca="1" si="169"/>
        <v>0</v>
      </c>
      <c r="EE144" s="171">
        <f t="shared" ca="1" si="170"/>
        <v>0</v>
      </c>
      <c r="EF144" s="171">
        <f t="shared" ca="1" si="171"/>
        <v>0</v>
      </c>
      <c r="EG144" s="171">
        <f t="shared" ca="1" si="172"/>
        <v>0</v>
      </c>
      <c r="EH144" s="171">
        <f t="shared" ca="1" si="173"/>
        <v>0</v>
      </c>
      <c r="EI144" s="171">
        <f t="shared" ca="1" si="174"/>
        <v>0</v>
      </c>
      <c r="EJ144" s="171">
        <f t="shared" ca="1" si="175"/>
        <v>0</v>
      </c>
      <c r="EK144" s="171">
        <f t="shared" ca="1" si="176"/>
        <v>0</v>
      </c>
      <c r="EL144" s="171">
        <f t="shared" ca="1" si="177"/>
        <v>0</v>
      </c>
      <c r="EM144" s="171">
        <f t="shared" ca="1" si="178"/>
        <v>0</v>
      </c>
      <c r="EN144" s="171">
        <f t="shared" ca="1" si="179"/>
        <v>0</v>
      </c>
      <c r="EO144" s="171">
        <f t="shared" ca="1" si="180"/>
        <v>0</v>
      </c>
      <c r="EP144" s="171">
        <f t="shared" ca="1" si="181"/>
        <v>0</v>
      </c>
      <c r="EQ144" s="171">
        <f t="shared" ca="1" si="182"/>
        <v>0</v>
      </c>
      <c r="ER144" s="171">
        <f t="shared" ca="1" si="183"/>
        <v>0</v>
      </c>
      <c r="ES144" s="171">
        <f t="shared" ca="1" si="184"/>
        <v>0</v>
      </c>
    </row>
    <row r="145" spans="1:149">
      <c r="A145" s="139" t="s">
        <v>500</v>
      </c>
      <c r="B145" s="194" t="s">
        <v>501</v>
      </c>
      <c r="C145" s="194" t="s">
        <v>412</v>
      </c>
      <c r="D145" s="189" t="s">
        <v>394</v>
      </c>
      <c r="E145" s="194">
        <v>2019</v>
      </c>
      <c r="F145" s="194" t="s">
        <v>405</v>
      </c>
      <c r="G145" s="194" t="s">
        <v>289</v>
      </c>
      <c r="H145" s="194" t="s">
        <v>406</v>
      </c>
      <c r="I145" s="194" t="s">
        <v>365</v>
      </c>
      <c r="J145" s="199" t="s">
        <v>397</v>
      </c>
      <c r="K145" s="187">
        <v>1.7</v>
      </c>
      <c r="L145" s="163" t="s">
        <v>110</v>
      </c>
      <c r="M145" s="164">
        <f t="shared" si="115"/>
        <v>1.7</v>
      </c>
      <c r="N145" s="164">
        <f t="shared" si="116"/>
        <v>1.7</v>
      </c>
      <c r="O145" s="165">
        <f t="shared" si="117"/>
        <v>1</v>
      </c>
      <c r="P145" s="176">
        <v>5.2999999999999999E-2</v>
      </c>
      <c r="Q145" s="177">
        <v>24</v>
      </c>
      <c r="R145" s="168">
        <f t="shared" ref="R145:R176" si="204">IFERROR(IF($Q145="","",IF(($Q145-($B$9-$E145))&lt;=0,0,(Q145-($B$9-$E145)))),"NA")</f>
        <v>19</v>
      </c>
      <c r="S145" s="178">
        <v>0</v>
      </c>
      <c r="T145" s="160" t="s">
        <v>289</v>
      </c>
      <c r="U145" s="171">
        <f t="shared" si="119"/>
        <v>9.3854166666666683E-2</v>
      </c>
      <c r="V145" s="171">
        <f t="shared" ca="1" si="120"/>
        <v>6.4261554699823045E-2</v>
      </c>
      <c r="W145" s="171">
        <f t="shared" ca="1" si="185"/>
        <v>1.5422773127957532</v>
      </c>
      <c r="X145" s="172" t="str">
        <f t="shared" si="121"/>
        <v>Equity</v>
      </c>
      <c r="Y145" s="172" t="str">
        <f t="shared" si="122"/>
        <v>Equity</v>
      </c>
      <c r="Z145" s="173">
        <f t="shared" si="123"/>
        <v>2.2525000000000004</v>
      </c>
      <c r="AA145" s="171">
        <f t="shared" si="198"/>
        <v>0</v>
      </c>
      <c r="AB145" s="171">
        <f t="shared" si="198"/>
        <v>0</v>
      </c>
      <c r="AC145" s="171">
        <f t="shared" si="198"/>
        <v>0</v>
      </c>
      <c r="AD145" s="171">
        <f t="shared" si="198"/>
        <v>0</v>
      </c>
      <c r="AE145" s="171">
        <f t="shared" si="198"/>
        <v>0</v>
      </c>
      <c r="AF145" s="171">
        <f t="shared" si="198"/>
        <v>0</v>
      </c>
      <c r="AG145" s="171">
        <f t="shared" si="198"/>
        <v>0</v>
      </c>
      <c r="AH145" s="171">
        <f t="shared" si="198"/>
        <v>0</v>
      </c>
      <c r="AI145" s="171">
        <f t="shared" si="198"/>
        <v>0</v>
      </c>
      <c r="AJ145" s="171">
        <f t="shared" si="198"/>
        <v>9.01E-2</v>
      </c>
      <c r="AK145" s="171">
        <f t="shared" si="199"/>
        <v>9.01E-2</v>
      </c>
      <c r="AL145" s="171">
        <f t="shared" si="199"/>
        <v>9.01E-2</v>
      </c>
      <c r="AM145" s="171">
        <f t="shared" si="199"/>
        <v>9.01E-2</v>
      </c>
      <c r="AN145" s="171">
        <f t="shared" si="199"/>
        <v>9.01E-2</v>
      </c>
      <c r="AO145" s="171">
        <f t="shared" si="199"/>
        <v>9.01E-2</v>
      </c>
      <c r="AP145" s="171">
        <f t="shared" si="199"/>
        <v>9.01E-2</v>
      </c>
      <c r="AQ145" s="171">
        <f t="shared" si="199"/>
        <v>9.01E-2</v>
      </c>
      <c r="AR145" s="171">
        <f t="shared" si="199"/>
        <v>9.01E-2</v>
      </c>
      <c r="AS145" s="171">
        <f t="shared" si="199"/>
        <v>9.01E-2</v>
      </c>
      <c r="AT145" s="171">
        <f t="shared" si="199"/>
        <v>9.01E-2</v>
      </c>
      <c r="AU145" s="171">
        <f t="shared" si="200"/>
        <v>9.01E-2</v>
      </c>
      <c r="AV145" s="171">
        <f t="shared" si="200"/>
        <v>9.01E-2</v>
      </c>
      <c r="AW145" s="171">
        <f t="shared" si="200"/>
        <v>9.01E-2</v>
      </c>
      <c r="AX145" s="171">
        <f t="shared" si="200"/>
        <v>9.01E-2</v>
      </c>
      <c r="AY145" s="171">
        <f t="shared" si="200"/>
        <v>9.01E-2</v>
      </c>
      <c r="AZ145" s="171">
        <f t="shared" si="200"/>
        <v>9.01E-2</v>
      </c>
      <c r="BA145" s="171">
        <f t="shared" si="200"/>
        <v>9.01E-2</v>
      </c>
      <c r="BB145" s="171">
        <f t="shared" si="200"/>
        <v>9.01E-2</v>
      </c>
      <c r="BC145" s="171">
        <f t="shared" si="200"/>
        <v>9.01E-2</v>
      </c>
      <c r="BD145" s="171">
        <f t="shared" si="200"/>
        <v>9.01E-2</v>
      </c>
      <c r="BE145" s="171">
        <f t="shared" si="201"/>
        <v>9.01E-2</v>
      </c>
      <c r="BF145" s="171">
        <f t="shared" si="201"/>
        <v>9.01E-2</v>
      </c>
      <c r="BG145" s="171">
        <f t="shared" si="201"/>
        <v>9.01E-2</v>
      </c>
      <c r="BH145" s="171">
        <f t="shared" si="201"/>
        <v>9.01E-2</v>
      </c>
      <c r="BI145" s="171">
        <f t="shared" si="201"/>
        <v>0</v>
      </c>
      <c r="BJ145" s="171">
        <f t="shared" si="201"/>
        <v>0</v>
      </c>
      <c r="BK145" s="171">
        <f t="shared" si="201"/>
        <v>0</v>
      </c>
      <c r="BL145" s="171">
        <f t="shared" si="201"/>
        <v>0</v>
      </c>
      <c r="BM145" s="171">
        <f t="shared" si="201"/>
        <v>0</v>
      </c>
      <c r="BN145" s="171">
        <f t="shared" si="201"/>
        <v>0</v>
      </c>
      <c r="BO145" s="171">
        <f t="shared" si="202"/>
        <v>0</v>
      </c>
      <c r="BP145" s="171">
        <f t="shared" si="202"/>
        <v>0</v>
      </c>
      <c r="BQ145" s="171">
        <f t="shared" si="202"/>
        <v>0</v>
      </c>
      <c r="BR145" s="171">
        <f t="shared" si="202"/>
        <v>0</v>
      </c>
      <c r="BS145" s="171">
        <f t="shared" si="202"/>
        <v>0</v>
      </c>
      <c r="BT145" s="171">
        <f t="shared" si="202"/>
        <v>0</v>
      </c>
      <c r="BU145" s="171">
        <f t="shared" si="202"/>
        <v>0</v>
      </c>
      <c r="BV145" s="171">
        <f t="shared" si="202"/>
        <v>0</v>
      </c>
      <c r="BW145" s="171">
        <f t="shared" si="202"/>
        <v>0</v>
      </c>
      <c r="BX145" s="171">
        <f t="shared" si="202"/>
        <v>0</v>
      </c>
      <c r="BY145" s="171">
        <f t="shared" si="203"/>
        <v>0</v>
      </c>
      <c r="BZ145" s="171">
        <f t="shared" si="203"/>
        <v>0</v>
      </c>
      <c r="CA145" s="171">
        <f t="shared" si="203"/>
        <v>0</v>
      </c>
      <c r="CB145" s="171">
        <f t="shared" si="203"/>
        <v>0</v>
      </c>
      <c r="CC145" s="171">
        <f t="shared" si="203"/>
        <v>0</v>
      </c>
      <c r="CD145" s="171">
        <f t="shared" si="203"/>
        <v>0</v>
      </c>
      <c r="CE145" s="171">
        <f t="shared" si="203"/>
        <v>0</v>
      </c>
      <c r="CF145" s="171">
        <f t="shared" si="203"/>
        <v>0</v>
      </c>
      <c r="CG145" s="171">
        <f t="shared" si="203"/>
        <v>0</v>
      </c>
      <c r="CH145" s="171">
        <f t="shared" si="203"/>
        <v>0</v>
      </c>
      <c r="CI145" s="171">
        <f t="shared" si="203"/>
        <v>0</v>
      </c>
      <c r="CJ145" s="243"/>
      <c r="CK145" s="171">
        <f t="shared" si="124"/>
        <v>0</v>
      </c>
      <c r="CL145" s="171">
        <f t="shared" si="125"/>
        <v>0</v>
      </c>
      <c r="CM145" s="171">
        <f t="shared" si="126"/>
        <v>0</v>
      </c>
      <c r="CN145" s="171">
        <f t="shared" si="127"/>
        <v>0</v>
      </c>
      <c r="CO145" s="171">
        <f t="shared" si="128"/>
        <v>0</v>
      </c>
      <c r="CP145" s="171">
        <f t="shared" si="129"/>
        <v>0</v>
      </c>
      <c r="CQ145" s="171">
        <f t="shared" si="130"/>
        <v>0</v>
      </c>
      <c r="CR145" s="171">
        <f t="shared" si="131"/>
        <v>0</v>
      </c>
      <c r="CS145" s="171">
        <f t="shared" si="132"/>
        <v>0</v>
      </c>
      <c r="CT145" s="171">
        <f t="shared" si="133"/>
        <v>9.01E-2</v>
      </c>
      <c r="CU145" s="171">
        <f t="shared" si="134"/>
        <v>9.01E-2</v>
      </c>
      <c r="CV145" s="171">
        <f t="shared" si="135"/>
        <v>9.01E-2</v>
      </c>
      <c r="CW145" s="171">
        <f t="shared" si="136"/>
        <v>9.01E-2</v>
      </c>
      <c r="CX145" s="171">
        <f t="shared" si="137"/>
        <v>9.01E-2</v>
      </c>
      <c r="CY145" s="171">
        <f t="shared" ca="1" si="138"/>
        <v>8.5537981995592885E-2</v>
      </c>
      <c r="CZ145" s="171">
        <f t="shared" ca="1" si="139"/>
        <v>8.1206951874343763E-2</v>
      </c>
      <c r="DA145" s="171">
        <f t="shared" ca="1" si="140"/>
        <v>7.7095214065977746E-2</v>
      </c>
      <c r="DB145" s="171">
        <f t="shared" ca="1" si="141"/>
        <v>7.3191665180044205E-2</v>
      </c>
      <c r="DC145" s="171">
        <f t="shared" ca="1" si="142"/>
        <v>6.9485764022176294E-2</v>
      </c>
      <c r="DD145" s="171">
        <f t="shared" ca="1" si="143"/>
        <v>6.5967503128512003E-2</v>
      </c>
      <c r="DE145" s="171">
        <f t="shared" ca="1" si="144"/>
        <v>6.2627381741408195E-2</v>
      </c>
      <c r="DF145" s="171">
        <f t="shared" ca="1" si="145"/>
        <v>5.9456380153470545E-2</v>
      </c>
      <c r="DG145" s="171">
        <f t="shared" ca="1" si="146"/>
        <v>5.6445935350618093E-2</v>
      </c>
      <c r="DH145" s="171">
        <f t="shared" ca="1" si="147"/>
        <v>5.3587917888408103E-2</v>
      </c>
      <c r="DI145" s="171">
        <f t="shared" ca="1" si="148"/>
        <v>5.0874609939178271E-2</v>
      </c>
      <c r="DJ145" s="171">
        <f t="shared" ca="1" si="149"/>
        <v>4.8298684450724105E-2</v>
      </c>
      <c r="DK145" s="171">
        <f t="shared" ca="1" si="150"/>
        <v>4.5853185360231523E-2</v>
      </c>
      <c r="DL145" s="171">
        <f t="shared" ca="1" si="151"/>
        <v>4.3531508810034043E-2</v>
      </c>
      <c r="DM145" s="171">
        <f t="shared" ca="1" si="152"/>
        <v>4.132738531446932E-2</v>
      </c>
      <c r="DN145" s="171">
        <f t="shared" ca="1" si="153"/>
        <v>3.9234862829678203E-2</v>
      </c>
      <c r="DO145" s="171">
        <f t="shared" ca="1" si="154"/>
        <v>3.724829068062787E-2</v>
      </c>
      <c r="DP145" s="171">
        <f t="shared" ca="1" si="155"/>
        <v>3.5362304301955125E-2</v>
      </c>
      <c r="DQ145" s="171">
        <f t="shared" ca="1" si="156"/>
        <v>3.3571810751424132E-2</v>
      </c>
      <c r="DR145" s="171">
        <f t="shared" ca="1" si="157"/>
        <v>3.1871974956878678E-2</v>
      </c>
      <c r="DS145" s="171">
        <f t="shared" ca="1" si="158"/>
        <v>0</v>
      </c>
      <c r="DT145" s="171">
        <f t="shared" ca="1" si="159"/>
        <v>0</v>
      </c>
      <c r="DU145" s="171">
        <f t="shared" ca="1" si="160"/>
        <v>0</v>
      </c>
      <c r="DV145" s="171">
        <f t="shared" ca="1" si="161"/>
        <v>0</v>
      </c>
      <c r="DW145" s="171">
        <f t="shared" ca="1" si="162"/>
        <v>0</v>
      </c>
      <c r="DX145" s="171">
        <f t="shared" ca="1" si="163"/>
        <v>0</v>
      </c>
      <c r="DY145" s="171">
        <f t="shared" ca="1" si="164"/>
        <v>0</v>
      </c>
      <c r="DZ145" s="171">
        <f t="shared" ca="1" si="165"/>
        <v>0</v>
      </c>
      <c r="EA145" s="171">
        <f t="shared" ca="1" si="166"/>
        <v>0</v>
      </c>
      <c r="EB145" s="171">
        <f t="shared" ca="1" si="167"/>
        <v>0</v>
      </c>
      <c r="EC145" s="171">
        <f t="shared" ca="1" si="168"/>
        <v>0</v>
      </c>
      <c r="ED145" s="171">
        <f t="shared" ca="1" si="169"/>
        <v>0</v>
      </c>
      <c r="EE145" s="171">
        <f t="shared" ca="1" si="170"/>
        <v>0</v>
      </c>
      <c r="EF145" s="171">
        <f t="shared" ca="1" si="171"/>
        <v>0</v>
      </c>
      <c r="EG145" s="171">
        <f t="shared" ca="1" si="172"/>
        <v>0</v>
      </c>
      <c r="EH145" s="171">
        <f t="shared" ca="1" si="173"/>
        <v>0</v>
      </c>
      <c r="EI145" s="171">
        <f t="shared" ca="1" si="174"/>
        <v>0</v>
      </c>
      <c r="EJ145" s="171">
        <f t="shared" ca="1" si="175"/>
        <v>0</v>
      </c>
      <c r="EK145" s="171">
        <f t="shared" ca="1" si="176"/>
        <v>0</v>
      </c>
      <c r="EL145" s="171">
        <f t="shared" ca="1" si="177"/>
        <v>0</v>
      </c>
      <c r="EM145" s="171">
        <f t="shared" ca="1" si="178"/>
        <v>0</v>
      </c>
      <c r="EN145" s="171">
        <f t="shared" ca="1" si="179"/>
        <v>0</v>
      </c>
      <c r="EO145" s="171">
        <f t="shared" ca="1" si="180"/>
        <v>0</v>
      </c>
      <c r="EP145" s="171">
        <f t="shared" ca="1" si="181"/>
        <v>0</v>
      </c>
      <c r="EQ145" s="171">
        <f t="shared" ca="1" si="182"/>
        <v>0</v>
      </c>
      <c r="ER145" s="171">
        <f t="shared" ca="1" si="183"/>
        <v>0</v>
      </c>
      <c r="ES145" s="171">
        <f t="shared" ca="1" si="184"/>
        <v>0</v>
      </c>
    </row>
    <row r="146" spans="1:149">
      <c r="A146" s="139" t="s">
        <v>500</v>
      </c>
      <c r="B146" s="160" t="s">
        <v>502</v>
      </c>
      <c r="C146" s="160" t="s">
        <v>412</v>
      </c>
      <c r="D146" s="161" t="s">
        <v>394</v>
      </c>
      <c r="E146" s="160">
        <v>2019</v>
      </c>
      <c r="F146" s="194" t="s">
        <v>395</v>
      </c>
      <c r="G146" s="194" t="s">
        <v>289</v>
      </c>
      <c r="H146" s="194" t="s">
        <v>396</v>
      </c>
      <c r="I146" s="194" t="s">
        <v>178</v>
      </c>
      <c r="J146" s="194" t="s">
        <v>397</v>
      </c>
      <c r="K146" s="187">
        <v>15.3</v>
      </c>
      <c r="L146" s="163" t="s">
        <v>110</v>
      </c>
      <c r="M146" s="164">
        <f t="shared" si="115"/>
        <v>15.3</v>
      </c>
      <c r="N146" s="164">
        <f t="shared" si="116"/>
        <v>15.3</v>
      </c>
      <c r="O146" s="165">
        <f t="shared" si="117"/>
        <v>1</v>
      </c>
      <c r="P146" s="176">
        <v>5.2999999999999999E-2</v>
      </c>
      <c r="Q146" s="177">
        <v>24</v>
      </c>
      <c r="R146" s="168">
        <f t="shared" si="204"/>
        <v>19</v>
      </c>
      <c r="S146" s="178">
        <v>0</v>
      </c>
      <c r="T146" s="160" t="s">
        <v>289</v>
      </c>
      <c r="U146" s="171">
        <f t="shared" si="119"/>
        <v>0.84468750000000004</v>
      </c>
      <c r="V146" s="171">
        <f t="shared" ca="1" si="120"/>
        <v>0.57835399229840745</v>
      </c>
      <c r="W146" s="171">
        <f t="shared" ca="1" si="185"/>
        <v>13.88049581516178</v>
      </c>
      <c r="X146" s="172" t="str">
        <f t="shared" si="121"/>
        <v>Equity</v>
      </c>
      <c r="Y146" s="172" t="str">
        <f t="shared" si="122"/>
        <v>Equity</v>
      </c>
      <c r="Z146" s="173">
        <f t="shared" si="123"/>
        <v>20.272500000000001</v>
      </c>
      <c r="AA146" s="171">
        <f t="shared" si="198"/>
        <v>0</v>
      </c>
      <c r="AB146" s="171">
        <f t="shared" si="198"/>
        <v>0</v>
      </c>
      <c r="AC146" s="171">
        <f t="shared" si="198"/>
        <v>0</v>
      </c>
      <c r="AD146" s="171">
        <f t="shared" si="198"/>
        <v>0</v>
      </c>
      <c r="AE146" s="171">
        <f t="shared" si="198"/>
        <v>0</v>
      </c>
      <c r="AF146" s="171">
        <f t="shared" si="198"/>
        <v>0</v>
      </c>
      <c r="AG146" s="171">
        <f t="shared" si="198"/>
        <v>0</v>
      </c>
      <c r="AH146" s="171">
        <f t="shared" si="198"/>
        <v>0</v>
      </c>
      <c r="AI146" s="171">
        <f t="shared" si="198"/>
        <v>0</v>
      </c>
      <c r="AJ146" s="171">
        <f t="shared" si="198"/>
        <v>0.81090000000000007</v>
      </c>
      <c r="AK146" s="171">
        <f t="shared" si="199"/>
        <v>0.81090000000000007</v>
      </c>
      <c r="AL146" s="171">
        <f t="shared" si="199"/>
        <v>0.81090000000000007</v>
      </c>
      <c r="AM146" s="171">
        <f t="shared" si="199"/>
        <v>0.81090000000000007</v>
      </c>
      <c r="AN146" s="171">
        <f t="shared" si="199"/>
        <v>0.81090000000000007</v>
      </c>
      <c r="AO146" s="171">
        <f t="shared" si="199"/>
        <v>0.81090000000000007</v>
      </c>
      <c r="AP146" s="171">
        <f t="shared" si="199"/>
        <v>0.81090000000000007</v>
      </c>
      <c r="AQ146" s="171">
        <f t="shared" si="199"/>
        <v>0.81090000000000007</v>
      </c>
      <c r="AR146" s="171">
        <f t="shared" si="199"/>
        <v>0.81090000000000007</v>
      </c>
      <c r="AS146" s="171">
        <f t="shared" si="199"/>
        <v>0.81090000000000007</v>
      </c>
      <c r="AT146" s="171">
        <f t="shared" si="199"/>
        <v>0.81090000000000007</v>
      </c>
      <c r="AU146" s="171">
        <f t="shared" si="200"/>
        <v>0.81090000000000007</v>
      </c>
      <c r="AV146" s="171">
        <f t="shared" si="200"/>
        <v>0.81090000000000007</v>
      </c>
      <c r="AW146" s="171">
        <f t="shared" si="200"/>
        <v>0.81090000000000007</v>
      </c>
      <c r="AX146" s="171">
        <f t="shared" si="200"/>
        <v>0.81090000000000007</v>
      </c>
      <c r="AY146" s="171">
        <f t="shared" si="200"/>
        <v>0.81090000000000007</v>
      </c>
      <c r="AZ146" s="171">
        <f t="shared" si="200"/>
        <v>0.81090000000000007</v>
      </c>
      <c r="BA146" s="171">
        <f t="shared" si="200"/>
        <v>0.81090000000000007</v>
      </c>
      <c r="BB146" s="171">
        <f t="shared" si="200"/>
        <v>0.81090000000000007</v>
      </c>
      <c r="BC146" s="171">
        <f t="shared" si="200"/>
        <v>0.81090000000000007</v>
      </c>
      <c r="BD146" s="171">
        <f t="shared" si="200"/>
        <v>0.81090000000000007</v>
      </c>
      <c r="BE146" s="171">
        <f t="shared" si="201"/>
        <v>0.81090000000000007</v>
      </c>
      <c r="BF146" s="171">
        <f t="shared" si="201"/>
        <v>0.81090000000000007</v>
      </c>
      <c r="BG146" s="171">
        <f t="shared" si="201"/>
        <v>0.81090000000000007</v>
      </c>
      <c r="BH146" s="171">
        <f t="shared" si="201"/>
        <v>0.81090000000000007</v>
      </c>
      <c r="BI146" s="171">
        <f t="shared" si="201"/>
        <v>0</v>
      </c>
      <c r="BJ146" s="171">
        <f t="shared" si="201"/>
        <v>0</v>
      </c>
      <c r="BK146" s="171">
        <f t="shared" si="201"/>
        <v>0</v>
      </c>
      <c r="BL146" s="171">
        <f t="shared" si="201"/>
        <v>0</v>
      </c>
      <c r="BM146" s="171">
        <f t="shared" si="201"/>
        <v>0</v>
      </c>
      <c r="BN146" s="171">
        <f t="shared" si="201"/>
        <v>0</v>
      </c>
      <c r="BO146" s="171">
        <f t="shared" si="202"/>
        <v>0</v>
      </c>
      <c r="BP146" s="171">
        <f t="shared" si="202"/>
        <v>0</v>
      </c>
      <c r="BQ146" s="171">
        <f t="shared" si="202"/>
        <v>0</v>
      </c>
      <c r="BR146" s="171">
        <f t="shared" si="202"/>
        <v>0</v>
      </c>
      <c r="BS146" s="171">
        <f t="shared" si="202"/>
        <v>0</v>
      </c>
      <c r="BT146" s="171">
        <f t="shared" si="202"/>
        <v>0</v>
      </c>
      <c r="BU146" s="171">
        <f t="shared" si="202"/>
        <v>0</v>
      </c>
      <c r="BV146" s="171">
        <f t="shared" si="202"/>
        <v>0</v>
      </c>
      <c r="BW146" s="171">
        <f t="shared" si="202"/>
        <v>0</v>
      </c>
      <c r="BX146" s="171">
        <f t="shared" si="202"/>
        <v>0</v>
      </c>
      <c r="BY146" s="171">
        <f t="shared" si="203"/>
        <v>0</v>
      </c>
      <c r="BZ146" s="171">
        <f t="shared" si="203"/>
        <v>0</v>
      </c>
      <c r="CA146" s="171">
        <f t="shared" si="203"/>
        <v>0</v>
      </c>
      <c r="CB146" s="171">
        <f t="shared" si="203"/>
        <v>0</v>
      </c>
      <c r="CC146" s="171">
        <f t="shared" si="203"/>
        <v>0</v>
      </c>
      <c r="CD146" s="171">
        <f t="shared" si="203"/>
        <v>0</v>
      </c>
      <c r="CE146" s="171">
        <f t="shared" si="203"/>
        <v>0</v>
      </c>
      <c r="CF146" s="171">
        <f t="shared" si="203"/>
        <v>0</v>
      </c>
      <c r="CG146" s="171">
        <f t="shared" si="203"/>
        <v>0</v>
      </c>
      <c r="CH146" s="171">
        <f t="shared" si="203"/>
        <v>0</v>
      </c>
      <c r="CI146" s="171">
        <f t="shared" si="203"/>
        <v>0</v>
      </c>
      <c r="CJ146" s="243"/>
      <c r="CK146" s="171">
        <f t="shared" si="124"/>
        <v>0</v>
      </c>
      <c r="CL146" s="171">
        <f t="shared" si="125"/>
        <v>0</v>
      </c>
      <c r="CM146" s="171">
        <f t="shared" si="126"/>
        <v>0</v>
      </c>
      <c r="CN146" s="171">
        <f t="shared" si="127"/>
        <v>0</v>
      </c>
      <c r="CO146" s="171">
        <f t="shared" si="128"/>
        <v>0</v>
      </c>
      <c r="CP146" s="171">
        <f t="shared" si="129"/>
        <v>0</v>
      </c>
      <c r="CQ146" s="171">
        <f t="shared" si="130"/>
        <v>0</v>
      </c>
      <c r="CR146" s="171">
        <f t="shared" si="131"/>
        <v>0</v>
      </c>
      <c r="CS146" s="171">
        <f t="shared" si="132"/>
        <v>0</v>
      </c>
      <c r="CT146" s="171">
        <f t="shared" si="133"/>
        <v>0.81090000000000007</v>
      </c>
      <c r="CU146" s="171">
        <f t="shared" si="134"/>
        <v>0.81090000000000007</v>
      </c>
      <c r="CV146" s="171">
        <f t="shared" si="135"/>
        <v>0.81090000000000007</v>
      </c>
      <c r="CW146" s="171">
        <f t="shared" si="136"/>
        <v>0.81090000000000007</v>
      </c>
      <c r="CX146" s="171">
        <f t="shared" si="137"/>
        <v>0.81090000000000007</v>
      </c>
      <c r="CY146" s="171">
        <f t="shared" ca="1" si="138"/>
        <v>0.76984183796033612</v>
      </c>
      <c r="CZ146" s="171">
        <f t="shared" ca="1" si="139"/>
        <v>0.7308625668690939</v>
      </c>
      <c r="DA146" s="171">
        <f t="shared" ca="1" si="140"/>
        <v>0.69385692659379972</v>
      </c>
      <c r="DB146" s="171">
        <f t="shared" ca="1" si="141"/>
        <v>0.65872498662039791</v>
      </c>
      <c r="DC146" s="171">
        <f t="shared" ca="1" si="142"/>
        <v>0.62537187619958667</v>
      </c>
      <c r="DD146" s="171">
        <f t="shared" ca="1" si="143"/>
        <v>0.5937075281566081</v>
      </c>
      <c r="DE146" s="171">
        <f t="shared" ca="1" si="144"/>
        <v>0.5636464356726737</v>
      </c>
      <c r="DF146" s="171">
        <f t="shared" ca="1" si="145"/>
        <v>0.53510742138123502</v>
      </c>
      <c r="DG146" s="171">
        <f t="shared" ca="1" si="146"/>
        <v>0.50801341815556289</v>
      </c>
      <c r="DH146" s="171">
        <f t="shared" ca="1" si="147"/>
        <v>0.48229126099567299</v>
      </c>
      <c r="DI146" s="171">
        <f t="shared" ca="1" si="148"/>
        <v>0.45787148945260453</v>
      </c>
      <c r="DJ146" s="171">
        <f t="shared" ca="1" si="149"/>
        <v>0.434688160056517</v>
      </c>
      <c r="DK146" s="171">
        <f t="shared" ca="1" si="150"/>
        <v>0.41267866824208377</v>
      </c>
      <c r="DL146" s="171">
        <f t="shared" ca="1" si="151"/>
        <v>0.39178357929030644</v>
      </c>
      <c r="DM146" s="171">
        <f t="shared" ca="1" si="152"/>
        <v>0.37194646783022389</v>
      </c>
      <c r="DN146" s="171">
        <f t="shared" ca="1" si="153"/>
        <v>0.35311376546710388</v>
      </c>
      <c r="DO146" s="171">
        <f t="shared" ca="1" si="154"/>
        <v>0.33523461612565086</v>
      </c>
      <c r="DP146" s="171">
        <f t="shared" ca="1" si="155"/>
        <v>0.31826073871759614</v>
      </c>
      <c r="DQ146" s="171">
        <f t="shared" ca="1" si="156"/>
        <v>0.30214629676281723</v>
      </c>
      <c r="DR146" s="171">
        <f t="shared" ca="1" si="157"/>
        <v>0.28684777461190814</v>
      </c>
      <c r="DS146" s="171">
        <f t="shared" ca="1" si="158"/>
        <v>0</v>
      </c>
      <c r="DT146" s="171">
        <f t="shared" ca="1" si="159"/>
        <v>0</v>
      </c>
      <c r="DU146" s="171">
        <f t="shared" ca="1" si="160"/>
        <v>0</v>
      </c>
      <c r="DV146" s="171">
        <f t="shared" ca="1" si="161"/>
        <v>0</v>
      </c>
      <c r="DW146" s="171">
        <f t="shared" ca="1" si="162"/>
        <v>0</v>
      </c>
      <c r="DX146" s="171">
        <f t="shared" ca="1" si="163"/>
        <v>0</v>
      </c>
      <c r="DY146" s="171">
        <f t="shared" ca="1" si="164"/>
        <v>0</v>
      </c>
      <c r="DZ146" s="171">
        <f t="shared" ca="1" si="165"/>
        <v>0</v>
      </c>
      <c r="EA146" s="171">
        <f t="shared" ca="1" si="166"/>
        <v>0</v>
      </c>
      <c r="EB146" s="171">
        <f t="shared" ca="1" si="167"/>
        <v>0</v>
      </c>
      <c r="EC146" s="171">
        <f t="shared" ca="1" si="168"/>
        <v>0</v>
      </c>
      <c r="ED146" s="171">
        <f t="shared" ca="1" si="169"/>
        <v>0</v>
      </c>
      <c r="EE146" s="171">
        <f t="shared" ca="1" si="170"/>
        <v>0</v>
      </c>
      <c r="EF146" s="171">
        <f t="shared" ca="1" si="171"/>
        <v>0</v>
      </c>
      <c r="EG146" s="171">
        <f t="shared" ca="1" si="172"/>
        <v>0</v>
      </c>
      <c r="EH146" s="171">
        <f t="shared" ca="1" si="173"/>
        <v>0</v>
      </c>
      <c r="EI146" s="171">
        <f t="shared" ca="1" si="174"/>
        <v>0</v>
      </c>
      <c r="EJ146" s="171">
        <f t="shared" ca="1" si="175"/>
        <v>0</v>
      </c>
      <c r="EK146" s="171">
        <f t="shared" ca="1" si="176"/>
        <v>0</v>
      </c>
      <c r="EL146" s="171">
        <f t="shared" ca="1" si="177"/>
        <v>0</v>
      </c>
      <c r="EM146" s="171">
        <f t="shared" ca="1" si="178"/>
        <v>0</v>
      </c>
      <c r="EN146" s="171">
        <f t="shared" ca="1" si="179"/>
        <v>0</v>
      </c>
      <c r="EO146" s="171">
        <f t="shared" ca="1" si="180"/>
        <v>0</v>
      </c>
      <c r="EP146" s="171">
        <f t="shared" ca="1" si="181"/>
        <v>0</v>
      </c>
      <c r="EQ146" s="171">
        <f t="shared" ca="1" si="182"/>
        <v>0</v>
      </c>
      <c r="ER146" s="171">
        <f t="shared" ca="1" si="183"/>
        <v>0</v>
      </c>
      <c r="ES146" s="171">
        <f t="shared" ca="1" si="184"/>
        <v>0</v>
      </c>
    </row>
    <row r="147" spans="1:149">
      <c r="A147" s="139" t="s">
        <v>503</v>
      </c>
      <c r="B147" s="174" t="s">
        <v>427</v>
      </c>
      <c r="C147" s="161" t="s">
        <v>29</v>
      </c>
      <c r="D147" s="161" t="s">
        <v>394</v>
      </c>
      <c r="E147" s="161">
        <v>2011</v>
      </c>
      <c r="F147" s="161" t="s">
        <v>395</v>
      </c>
      <c r="G147" s="160" t="s">
        <v>402</v>
      </c>
      <c r="H147" s="160" t="s">
        <v>396</v>
      </c>
      <c r="I147" s="160" t="s">
        <v>176</v>
      </c>
      <c r="J147" s="160" t="s">
        <v>397</v>
      </c>
      <c r="K147" s="187">
        <v>70</v>
      </c>
      <c r="L147" s="163" t="s">
        <v>110</v>
      </c>
      <c r="M147" s="164">
        <f t="shared" si="115"/>
        <v>70</v>
      </c>
      <c r="N147" s="164">
        <f t="shared" si="116"/>
        <v>70</v>
      </c>
      <c r="O147" s="165">
        <f t="shared" si="117"/>
        <v>1</v>
      </c>
      <c r="P147" s="180">
        <v>2.4058710569794983E-2</v>
      </c>
      <c r="Q147" s="183">
        <v>23.583342661777632</v>
      </c>
      <c r="R147" s="168">
        <f t="shared" si="204"/>
        <v>10.583342661777632</v>
      </c>
      <c r="S147" s="186">
        <v>6.5440636898279223</v>
      </c>
      <c r="T147" s="170" t="s">
        <v>403</v>
      </c>
      <c r="U147" s="171">
        <f t="shared" si="119"/>
        <v>3.9808321094833432</v>
      </c>
      <c r="V147" s="171">
        <f t="shared" ca="1" si="120"/>
        <v>3.3999016719973274</v>
      </c>
      <c r="W147" s="171">
        <f t="shared" ca="1" si="185"/>
        <v>80.181046147063668</v>
      </c>
      <c r="X147" s="172">
        <f t="shared" si="121"/>
        <v>0.20135495345148102</v>
      </c>
      <c r="Y147" s="172">
        <f t="shared" si="122"/>
        <v>0.79864504654851898</v>
      </c>
      <c r="Z147" s="173">
        <f t="shared" si="123"/>
        <v>93.881327716952768</v>
      </c>
      <c r="AA147" s="171">
        <f t="shared" si="198"/>
        <v>0</v>
      </c>
      <c r="AB147" s="171">
        <f t="shared" si="198"/>
        <v>1.6841097398856488</v>
      </c>
      <c r="AC147" s="171">
        <f t="shared" si="198"/>
        <v>1.6841097398856488</v>
      </c>
      <c r="AD147" s="171">
        <f t="shared" si="198"/>
        <v>1.6841097398856488</v>
      </c>
      <c r="AE147" s="171">
        <f t="shared" si="198"/>
        <v>1.6841097398856488</v>
      </c>
      <c r="AF147" s="171">
        <f t="shared" si="198"/>
        <v>1.6841097398856488</v>
      </c>
      <c r="AG147" s="171">
        <f t="shared" si="198"/>
        <v>1.6841097398856488</v>
      </c>
      <c r="AH147" s="171">
        <f t="shared" si="198"/>
        <v>1.6841097398856488</v>
      </c>
      <c r="AI147" s="171">
        <f t="shared" si="198"/>
        <v>4.8289740904560725</v>
      </c>
      <c r="AJ147" s="171">
        <f t="shared" si="198"/>
        <v>4.8289740904560725</v>
      </c>
      <c r="AK147" s="171">
        <f t="shared" si="199"/>
        <v>4.8289740904560725</v>
      </c>
      <c r="AL147" s="171">
        <f t="shared" si="199"/>
        <v>4.8289740904560725</v>
      </c>
      <c r="AM147" s="171">
        <f t="shared" si="199"/>
        <v>4.8289740904560725</v>
      </c>
      <c r="AN147" s="171">
        <f t="shared" si="199"/>
        <v>4.8289740904560725</v>
      </c>
      <c r="AO147" s="171">
        <f t="shared" si="199"/>
        <v>4.8289740904560725</v>
      </c>
      <c r="AP147" s="171">
        <f t="shared" si="199"/>
        <v>4.8289740904560725</v>
      </c>
      <c r="AQ147" s="171">
        <f t="shared" si="199"/>
        <v>4.8289740904560725</v>
      </c>
      <c r="AR147" s="171">
        <f t="shared" si="199"/>
        <v>4.8289740904560725</v>
      </c>
      <c r="AS147" s="171">
        <f t="shared" si="199"/>
        <v>4.8289740904560725</v>
      </c>
      <c r="AT147" s="171">
        <f t="shared" si="199"/>
        <v>4.8289740904560725</v>
      </c>
      <c r="AU147" s="171">
        <f t="shared" si="200"/>
        <v>4.8289740904560725</v>
      </c>
      <c r="AV147" s="171">
        <f t="shared" si="200"/>
        <v>4.8289740904560725</v>
      </c>
      <c r="AW147" s="171">
        <f t="shared" si="200"/>
        <v>4.8289740904560725</v>
      </c>
      <c r="AX147" s="171">
        <f t="shared" si="200"/>
        <v>4.8289740904560725</v>
      </c>
      <c r="AY147" s="171">
        <f t="shared" si="200"/>
        <v>4.8289740904560725</v>
      </c>
      <c r="AZ147" s="171">
        <f t="shared" si="200"/>
        <v>0</v>
      </c>
      <c r="BA147" s="171">
        <f t="shared" si="200"/>
        <v>0</v>
      </c>
      <c r="BB147" s="171">
        <f t="shared" si="200"/>
        <v>0</v>
      </c>
      <c r="BC147" s="171">
        <f t="shared" si="200"/>
        <v>0</v>
      </c>
      <c r="BD147" s="171">
        <f t="shared" si="200"/>
        <v>0</v>
      </c>
      <c r="BE147" s="171">
        <f t="shared" si="201"/>
        <v>0</v>
      </c>
      <c r="BF147" s="171">
        <f t="shared" si="201"/>
        <v>0</v>
      </c>
      <c r="BG147" s="171">
        <f t="shared" si="201"/>
        <v>0</v>
      </c>
      <c r="BH147" s="171">
        <f t="shared" si="201"/>
        <v>0</v>
      </c>
      <c r="BI147" s="171">
        <f t="shared" si="201"/>
        <v>0</v>
      </c>
      <c r="BJ147" s="171">
        <f t="shared" si="201"/>
        <v>0</v>
      </c>
      <c r="BK147" s="171">
        <f t="shared" si="201"/>
        <v>0</v>
      </c>
      <c r="BL147" s="171">
        <f t="shared" si="201"/>
        <v>0</v>
      </c>
      <c r="BM147" s="171">
        <f t="shared" si="201"/>
        <v>0</v>
      </c>
      <c r="BN147" s="171">
        <f t="shared" si="201"/>
        <v>0</v>
      </c>
      <c r="BO147" s="171">
        <f t="shared" si="202"/>
        <v>0</v>
      </c>
      <c r="BP147" s="171">
        <f t="shared" si="202"/>
        <v>0</v>
      </c>
      <c r="BQ147" s="171">
        <f t="shared" si="202"/>
        <v>0</v>
      </c>
      <c r="BR147" s="171">
        <f t="shared" si="202"/>
        <v>0</v>
      </c>
      <c r="BS147" s="171">
        <f t="shared" si="202"/>
        <v>0</v>
      </c>
      <c r="BT147" s="171">
        <f t="shared" si="202"/>
        <v>0</v>
      </c>
      <c r="BU147" s="171">
        <f t="shared" si="202"/>
        <v>0</v>
      </c>
      <c r="BV147" s="171">
        <f t="shared" si="202"/>
        <v>0</v>
      </c>
      <c r="BW147" s="171">
        <f t="shared" si="202"/>
        <v>0</v>
      </c>
      <c r="BX147" s="171">
        <f t="shared" si="202"/>
        <v>0</v>
      </c>
      <c r="BY147" s="171">
        <f t="shared" si="203"/>
        <v>0</v>
      </c>
      <c r="BZ147" s="171">
        <f t="shared" si="203"/>
        <v>0</v>
      </c>
      <c r="CA147" s="171">
        <f t="shared" si="203"/>
        <v>0</v>
      </c>
      <c r="CB147" s="171">
        <f t="shared" si="203"/>
        <v>0</v>
      </c>
      <c r="CC147" s="171">
        <f t="shared" si="203"/>
        <v>0</v>
      </c>
      <c r="CD147" s="171">
        <f t="shared" si="203"/>
        <v>0</v>
      </c>
      <c r="CE147" s="171">
        <f t="shared" si="203"/>
        <v>0</v>
      </c>
      <c r="CF147" s="171">
        <f t="shared" si="203"/>
        <v>0</v>
      </c>
      <c r="CG147" s="171">
        <f t="shared" si="203"/>
        <v>0</v>
      </c>
      <c r="CH147" s="171">
        <f t="shared" si="203"/>
        <v>0</v>
      </c>
      <c r="CI147" s="171">
        <f t="shared" si="203"/>
        <v>0</v>
      </c>
      <c r="CJ147" s="243"/>
      <c r="CK147" s="171">
        <f t="shared" si="124"/>
        <v>0</v>
      </c>
      <c r="CL147" s="171">
        <f t="shared" si="125"/>
        <v>1.6841097398856488</v>
      </c>
      <c r="CM147" s="171">
        <f t="shared" si="126"/>
        <v>1.6841097398856488</v>
      </c>
      <c r="CN147" s="171">
        <f t="shared" si="127"/>
        <v>1.6841097398856488</v>
      </c>
      <c r="CO147" s="171">
        <f t="shared" si="128"/>
        <v>1.6841097398856488</v>
      </c>
      <c r="CP147" s="171">
        <f t="shared" si="129"/>
        <v>1.6841097398856488</v>
      </c>
      <c r="CQ147" s="171">
        <f t="shared" si="130"/>
        <v>1.6841097398856488</v>
      </c>
      <c r="CR147" s="171">
        <f t="shared" si="131"/>
        <v>1.6841097398856488</v>
      </c>
      <c r="CS147" s="171">
        <f t="shared" si="132"/>
        <v>4.8289740904560725</v>
      </c>
      <c r="CT147" s="171">
        <f t="shared" si="133"/>
        <v>4.8289740904560725</v>
      </c>
      <c r="CU147" s="171">
        <f t="shared" si="134"/>
        <v>4.8289740904560725</v>
      </c>
      <c r="CV147" s="171">
        <f t="shared" si="135"/>
        <v>4.8289740904560725</v>
      </c>
      <c r="CW147" s="171">
        <f t="shared" si="136"/>
        <v>4.8289740904560725</v>
      </c>
      <c r="CX147" s="171">
        <f t="shared" si="137"/>
        <v>4.8289740904560725</v>
      </c>
      <c r="CY147" s="171">
        <f t="shared" ca="1" si="138"/>
        <v>4.5844694651122762</v>
      </c>
      <c r="CZ147" s="171">
        <f t="shared" ca="1" si="139"/>
        <v>4.3523448009558185</v>
      </c>
      <c r="DA147" s="171">
        <f t="shared" ca="1" si="140"/>
        <v>4.1319732655135528</v>
      </c>
      <c r="DB147" s="171">
        <f t="shared" ca="1" si="141"/>
        <v>3.9227597646145327</v>
      </c>
      <c r="DC147" s="171">
        <f t="shared" ca="1" si="142"/>
        <v>3.7241393353899452</v>
      </c>
      <c r="DD147" s="171">
        <f t="shared" ca="1" si="143"/>
        <v>3.5355756206400044</v>
      </c>
      <c r="DE147" s="171">
        <f t="shared" ca="1" si="144"/>
        <v>3.3565594204479674</v>
      </c>
      <c r="DF147" s="171">
        <f t="shared" ca="1" si="145"/>
        <v>3.1866073171300324</v>
      </c>
      <c r="DG147" s="171">
        <f t="shared" ca="1" si="146"/>
        <v>3.0252603698079166</v>
      </c>
      <c r="DH147" s="171">
        <f t="shared" ca="1" si="147"/>
        <v>2.8720828750789149</v>
      </c>
      <c r="DI147" s="171">
        <f t="shared" ca="1" si="148"/>
        <v>2.7266611904367468</v>
      </c>
      <c r="DJ147" s="171">
        <f t="shared" ca="1" si="149"/>
        <v>0</v>
      </c>
      <c r="DK147" s="171">
        <f t="shared" ca="1" si="150"/>
        <v>0</v>
      </c>
      <c r="DL147" s="171">
        <f t="shared" ca="1" si="151"/>
        <v>0</v>
      </c>
      <c r="DM147" s="171">
        <f t="shared" ca="1" si="152"/>
        <v>0</v>
      </c>
      <c r="DN147" s="171">
        <f t="shared" ca="1" si="153"/>
        <v>0</v>
      </c>
      <c r="DO147" s="171">
        <f t="shared" ca="1" si="154"/>
        <v>0</v>
      </c>
      <c r="DP147" s="171">
        <f t="shared" ca="1" si="155"/>
        <v>0</v>
      </c>
      <c r="DQ147" s="171">
        <f t="shared" ca="1" si="156"/>
        <v>0</v>
      </c>
      <c r="DR147" s="171">
        <f t="shared" ca="1" si="157"/>
        <v>0</v>
      </c>
      <c r="DS147" s="171">
        <f t="shared" ca="1" si="158"/>
        <v>0</v>
      </c>
      <c r="DT147" s="171">
        <f t="shared" ca="1" si="159"/>
        <v>0</v>
      </c>
      <c r="DU147" s="171">
        <f t="shared" ca="1" si="160"/>
        <v>0</v>
      </c>
      <c r="DV147" s="171">
        <f t="shared" ca="1" si="161"/>
        <v>0</v>
      </c>
      <c r="DW147" s="171">
        <f t="shared" ca="1" si="162"/>
        <v>0</v>
      </c>
      <c r="DX147" s="171">
        <f t="shared" ca="1" si="163"/>
        <v>0</v>
      </c>
      <c r="DY147" s="171">
        <f t="shared" ca="1" si="164"/>
        <v>0</v>
      </c>
      <c r="DZ147" s="171">
        <f t="shared" ca="1" si="165"/>
        <v>0</v>
      </c>
      <c r="EA147" s="171">
        <f t="shared" ca="1" si="166"/>
        <v>0</v>
      </c>
      <c r="EB147" s="171">
        <f t="shared" ca="1" si="167"/>
        <v>0</v>
      </c>
      <c r="EC147" s="171">
        <f t="shared" ca="1" si="168"/>
        <v>0</v>
      </c>
      <c r="ED147" s="171">
        <f t="shared" ca="1" si="169"/>
        <v>0</v>
      </c>
      <c r="EE147" s="171">
        <f t="shared" ca="1" si="170"/>
        <v>0</v>
      </c>
      <c r="EF147" s="171">
        <f t="shared" ca="1" si="171"/>
        <v>0</v>
      </c>
      <c r="EG147" s="171">
        <f t="shared" ca="1" si="172"/>
        <v>0</v>
      </c>
      <c r="EH147" s="171">
        <f t="shared" ca="1" si="173"/>
        <v>0</v>
      </c>
      <c r="EI147" s="171">
        <f t="shared" ca="1" si="174"/>
        <v>0</v>
      </c>
      <c r="EJ147" s="171">
        <f t="shared" ca="1" si="175"/>
        <v>0</v>
      </c>
      <c r="EK147" s="171">
        <f t="shared" ca="1" si="176"/>
        <v>0</v>
      </c>
      <c r="EL147" s="171">
        <f t="shared" ca="1" si="177"/>
        <v>0</v>
      </c>
      <c r="EM147" s="171">
        <f t="shared" ca="1" si="178"/>
        <v>0</v>
      </c>
      <c r="EN147" s="171">
        <f t="shared" ca="1" si="179"/>
        <v>0</v>
      </c>
      <c r="EO147" s="171">
        <f t="shared" ca="1" si="180"/>
        <v>0</v>
      </c>
      <c r="EP147" s="171">
        <f t="shared" ca="1" si="181"/>
        <v>0</v>
      </c>
      <c r="EQ147" s="171">
        <f t="shared" ca="1" si="182"/>
        <v>0</v>
      </c>
      <c r="ER147" s="171">
        <f t="shared" ca="1" si="183"/>
        <v>0</v>
      </c>
      <c r="ES147" s="171">
        <f t="shared" ca="1" si="184"/>
        <v>0</v>
      </c>
    </row>
    <row r="148" spans="1:149">
      <c r="A148" s="139" t="s">
        <v>503</v>
      </c>
      <c r="B148" s="160" t="s">
        <v>432</v>
      </c>
      <c r="C148" s="160" t="s">
        <v>29</v>
      </c>
      <c r="D148" s="161" t="s">
        <v>394</v>
      </c>
      <c r="E148" s="161">
        <v>2011</v>
      </c>
      <c r="F148" s="160" t="s">
        <v>395</v>
      </c>
      <c r="G148" s="160" t="s">
        <v>402</v>
      </c>
      <c r="H148" s="160" t="s">
        <v>396</v>
      </c>
      <c r="I148" s="160" t="s">
        <v>178</v>
      </c>
      <c r="J148" s="160" t="s">
        <v>407</v>
      </c>
      <c r="K148" s="187">
        <v>7.5</v>
      </c>
      <c r="L148" s="163" t="s">
        <v>110</v>
      </c>
      <c r="M148" s="164">
        <f t="shared" si="115"/>
        <v>7.5</v>
      </c>
      <c r="N148" s="164">
        <f t="shared" si="116"/>
        <v>7.5</v>
      </c>
      <c r="O148" s="165">
        <f t="shared" si="117"/>
        <v>1</v>
      </c>
      <c r="P148" s="190">
        <v>1E-3</v>
      </c>
      <c r="Q148" s="191">
        <v>40</v>
      </c>
      <c r="R148" s="168">
        <f t="shared" si="204"/>
        <v>27</v>
      </c>
      <c r="S148" s="178">
        <v>10</v>
      </c>
      <c r="T148" s="170" t="s">
        <v>403</v>
      </c>
      <c r="U148" s="171">
        <f t="shared" si="119"/>
        <v>0.19238999226486203</v>
      </c>
      <c r="V148" s="171">
        <f t="shared" ca="1" si="120"/>
        <v>0.108644516893642</v>
      </c>
      <c r="W148" s="171">
        <f t="shared" ca="1" si="185"/>
        <v>4.3457806757456803</v>
      </c>
      <c r="X148" s="172">
        <f t="shared" si="121"/>
        <v>3.190969278567013E-2</v>
      </c>
      <c r="Y148" s="172">
        <f t="shared" si="122"/>
        <v>0.96809030721432987</v>
      </c>
      <c r="Z148" s="173">
        <f t="shared" si="123"/>
        <v>7.6955996905944817</v>
      </c>
      <c r="AA148" s="171">
        <f t="shared" si="198"/>
        <v>0</v>
      </c>
      <c r="AB148" s="171">
        <f t="shared" si="198"/>
        <v>7.4999999999999997E-3</v>
      </c>
      <c r="AC148" s="171">
        <f t="shared" si="198"/>
        <v>7.4999999999999997E-3</v>
      </c>
      <c r="AD148" s="171">
        <f t="shared" si="198"/>
        <v>7.4999999999999997E-3</v>
      </c>
      <c r="AE148" s="171">
        <f t="shared" si="198"/>
        <v>7.4999999999999997E-3</v>
      </c>
      <c r="AF148" s="171">
        <f t="shared" si="198"/>
        <v>7.4999999999999997E-3</v>
      </c>
      <c r="AG148" s="171">
        <f t="shared" si="198"/>
        <v>7.4999999999999997E-3</v>
      </c>
      <c r="AH148" s="171">
        <f t="shared" si="198"/>
        <v>7.4999999999999997E-3</v>
      </c>
      <c r="AI148" s="171">
        <f t="shared" si="198"/>
        <v>7.4999999999999997E-3</v>
      </c>
      <c r="AJ148" s="171">
        <f t="shared" si="198"/>
        <v>7.4999999999999997E-3</v>
      </c>
      <c r="AK148" s="171">
        <f t="shared" si="199"/>
        <v>7.4999999999999997E-3</v>
      </c>
      <c r="AL148" s="171">
        <f t="shared" si="199"/>
        <v>0.24582579647078973</v>
      </c>
      <c r="AM148" s="171">
        <f t="shared" si="199"/>
        <v>0.24582579647078973</v>
      </c>
      <c r="AN148" s="171">
        <f t="shared" si="199"/>
        <v>0.24582579647078973</v>
      </c>
      <c r="AO148" s="171">
        <f t="shared" si="199"/>
        <v>0.24582579647078973</v>
      </c>
      <c r="AP148" s="171">
        <f t="shared" si="199"/>
        <v>0.24582579647078973</v>
      </c>
      <c r="AQ148" s="171">
        <f t="shared" si="199"/>
        <v>0.24582579647078973</v>
      </c>
      <c r="AR148" s="171">
        <f t="shared" si="199"/>
        <v>0.24582579647078973</v>
      </c>
      <c r="AS148" s="171">
        <f t="shared" si="199"/>
        <v>0.24582579647078973</v>
      </c>
      <c r="AT148" s="171">
        <f t="shared" si="199"/>
        <v>0.24582579647078973</v>
      </c>
      <c r="AU148" s="171">
        <f t="shared" si="200"/>
        <v>0.24582579647078973</v>
      </c>
      <c r="AV148" s="171">
        <f t="shared" si="200"/>
        <v>0.24582579647078973</v>
      </c>
      <c r="AW148" s="171">
        <f t="shared" si="200"/>
        <v>0.24582579647078973</v>
      </c>
      <c r="AX148" s="171">
        <f t="shared" si="200"/>
        <v>0.24582579647078973</v>
      </c>
      <c r="AY148" s="171">
        <f t="shared" si="200"/>
        <v>0.24582579647078973</v>
      </c>
      <c r="AZ148" s="171">
        <f t="shared" si="200"/>
        <v>0.24582579647078973</v>
      </c>
      <c r="BA148" s="171">
        <f t="shared" si="200"/>
        <v>0.24582579647078973</v>
      </c>
      <c r="BB148" s="171">
        <f t="shared" si="200"/>
        <v>0.24582579647078973</v>
      </c>
      <c r="BC148" s="171">
        <f t="shared" si="200"/>
        <v>0.24582579647078973</v>
      </c>
      <c r="BD148" s="171">
        <f t="shared" si="200"/>
        <v>0.24582579647078973</v>
      </c>
      <c r="BE148" s="171">
        <f t="shared" si="201"/>
        <v>0.24582579647078973</v>
      </c>
      <c r="BF148" s="171">
        <f t="shared" si="201"/>
        <v>0.24582579647078973</v>
      </c>
      <c r="BG148" s="171">
        <f t="shared" si="201"/>
        <v>0.24582579647078973</v>
      </c>
      <c r="BH148" s="171">
        <f t="shared" si="201"/>
        <v>0.24582579647078973</v>
      </c>
      <c r="BI148" s="171">
        <f t="shared" si="201"/>
        <v>0.24582579647078973</v>
      </c>
      <c r="BJ148" s="171">
        <f t="shared" si="201"/>
        <v>0.24582579647078973</v>
      </c>
      <c r="BK148" s="171">
        <f t="shared" si="201"/>
        <v>0.24582579647078973</v>
      </c>
      <c r="BL148" s="171">
        <f t="shared" si="201"/>
        <v>0.24582579647078973</v>
      </c>
      <c r="BM148" s="171">
        <f t="shared" si="201"/>
        <v>0.24582579647078973</v>
      </c>
      <c r="BN148" s="171">
        <f t="shared" si="201"/>
        <v>0.24582579647078973</v>
      </c>
      <c r="BO148" s="171">
        <f t="shared" si="202"/>
        <v>0.24582579647078973</v>
      </c>
      <c r="BP148" s="171">
        <f t="shared" si="202"/>
        <v>0.24582579647078973</v>
      </c>
      <c r="BQ148" s="171">
        <f t="shared" si="202"/>
        <v>0</v>
      </c>
      <c r="BR148" s="171">
        <f t="shared" si="202"/>
        <v>0</v>
      </c>
      <c r="BS148" s="171">
        <f t="shared" si="202"/>
        <v>0</v>
      </c>
      <c r="BT148" s="171">
        <f t="shared" si="202"/>
        <v>0</v>
      </c>
      <c r="BU148" s="171">
        <f t="shared" si="202"/>
        <v>0</v>
      </c>
      <c r="BV148" s="171">
        <f t="shared" si="202"/>
        <v>0</v>
      </c>
      <c r="BW148" s="171">
        <f t="shared" si="202"/>
        <v>0</v>
      </c>
      <c r="BX148" s="171">
        <f t="shared" si="202"/>
        <v>0</v>
      </c>
      <c r="BY148" s="171">
        <f t="shared" si="203"/>
        <v>0</v>
      </c>
      <c r="BZ148" s="171">
        <f t="shared" si="203"/>
        <v>0</v>
      </c>
      <c r="CA148" s="171">
        <f t="shared" si="203"/>
        <v>0</v>
      </c>
      <c r="CB148" s="171">
        <f t="shared" si="203"/>
        <v>0</v>
      </c>
      <c r="CC148" s="171">
        <f t="shared" si="203"/>
        <v>0</v>
      </c>
      <c r="CD148" s="171">
        <f t="shared" si="203"/>
        <v>0</v>
      </c>
      <c r="CE148" s="171">
        <f t="shared" si="203"/>
        <v>0</v>
      </c>
      <c r="CF148" s="171">
        <f t="shared" si="203"/>
        <v>0</v>
      </c>
      <c r="CG148" s="171">
        <f t="shared" si="203"/>
        <v>0</v>
      </c>
      <c r="CH148" s="171">
        <f t="shared" si="203"/>
        <v>0</v>
      </c>
      <c r="CI148" s="171">
        <f t="shared" si="203"/>
        <v>0</v>
      </c>
      <c r="CJ148" s="243"/>
      <c r="CK148" s="171">
        <f t="shared" si="124"/>
        <v>0</v>
      </c>
      <c r="CL148" s="171">
        <f t="shared" si="125"/>
        <v>7.4999999999999997E-3</v>
      </c>
      <c r="CM148" s="171">
        <f t="shared" si="126"/>
        <v>7.4999999999999997E-3</v>
      </c>
      <c r="CN148" s="171">
        <f t="shared" si="127"/>
        <v>7.4999999999999997E-3</v>
      </c>
      <c r="CO148" s="171">
        <f t="shared" si="128"/>
        <v>7.4999999999999997E-3</v>
      </c>
      <c r="CP148" s="171">
        <f t="shared" si="129"/>
        <v>7.4999999999999997E-3</v>
      </c>
      <c r="CQ148" s="171">
        <f t="shared" si="130"/>
        <v>7.4999999999999997E-3</v>
      </c>
      <c r="CR148" s="171">
        <f t="shared" si="131"/>
        <v>7.4999999999999997E-3</v>
      </c>
      <c r="CS148" s="171">
        <f t="shared" si="132"/>
        <v>7.4999999999999997E-3</v>
      </c>
      <c r="CT148" s="171">
        <f t="shared" si="133"/>
        <v>7.4999999999999997E-3</v>
      </c>
      <c r="CU148" s="171">
        <f t="shared" si="134"/>
        <v>7.4999999999999997E-3</v>
      </c>
      <c r="CV148" s="171">
        <f t="shared" si="135"/>
        <v>0.24582579647078973</v>
      </c>
      <c r="CW148" s="171">
        <f t="shared" si="136"/>
        <v>0.24582579647078973</v>
      </c>
      <c r="CX148" s="171">
        <f t="shared" si="137"/>
        <v>0.24582579647078973</v>
      </c>
      <c r="CY148" s="171">
        <f t="shared" ca="1" si="138"/>
        <v>0.2333789406500632</v>
      </c>
      <c r="CZ148" s="171">
        <f t="shared" ca="1" si="139"/>
        <v>0.22156230436709928</v>
      </c>
      <c r="DA148" s="171">
        <f t="shared" ca="1" si="140"/>
        <v>0.21034397782303008</v>
      </c>
      <c r="DB148" s="171">
        <f t="shared" ca="1" si="141"/>
        <v>0.19969366690241661</v>
      </c>
      <c r="DC148" s="171">
        <f t="shared" ca="1" si="142"/>
        <v>0.18958261136662413</v>
      </c>
      <c r="DD148" s="171">
        <f t="shared" ca="1" si="143"/>
        <v>0.17998350718929831</v>
      </c>
      <c r="DE148" s="171">
        <f t="shared" ca="1" si="144"/>
        <v>0.17087043282421602</v>
      </c>
      <c r="DF148" s="171">
        <f t="shared" ca="1" si="145"/>
        <v>0.16221877920640346</v>
      </c>
      <c r="DG148" s="171">
        <f t="shared" ca="1" si="146"/>
        <v>0.1540051832974961</v>
      </c>
      <c r="DH148" s="171">
        <f t="shared" ca="1" si="147"/>
        <v>0.14620746499588461</v>
      </c>
      <c r="DI148" s="171">
        <f t="shared" ca="1" si="148"/>
        <v>0.13880456724127918</v>
      </c>
      <c r="DJ148" s="171">
        <f t="shared" ca="1" si="149"/>
        <v>0.13177649915194894</v>
      </c>
      <c r="DK148" s="171">
        <f t="shared" ca="1" si="150"/>
        <v>0.12510428204108401</v>
      </c>
      <c r="DL148" s="171">
        <f t="shared" ca="1" si="151"/>
        <v>0.11876989816650188</v>
      </c>
      <c r="DM148" s="171">
        <f t="shared" ca="1" si="152"/>
        <v>0.11275624207530122</v>
      </c>
      <c r="DN148" s="171">
        <f t="shared" ca="1" si="153"/>
        <v>0.10704707441207355</v>
      </c>
      <c r="DO148" s="171">
        <f t="shared" ca="1" si="154"/>
        <v>0.10162697806593608</v>
      </c>
      <c r="DP148" s="171">
        <f t="shared" ca="1" si="155"/>
        <v>9.6481316537963949E-2</v>
      </c>
      <c r="DQ148" s="171">
        <f t="shared" ca="1" si="156"/>
        <v>9.1596194416597776E-2</v>
      </c>
      <c r="DR148" s="171">
        <f t="shared" ca="1" si="157"/>
        <v>8.6958419854292618E-2</v>
      </c>
      <c r="DS148" s="171">
        <f t="shared" ca="1" si="158"/>
        <v>8.2555468944080904E-2</v>
      </c>
      <c r="DT148" s="171">
        <f t="shared" ca="1" si="159"/>
        <v>7.8375451899850387E-2</v>
      </c>
      <c r="DU148" s="171">
        <f t="shared" ca="1" si="160"/>
        <v>7.4407080949010634E-2</v>
      </c>
      <c r="DV148" s="171">
        <f t="shared" ca="1" si="161"/>
        <v>7.0639639850844566E-2</v>
      </c>
      <c r="DW148" s="171">
        <f t="shared" ca="1" si="162"/>
        <v>6.7062954958232057E-2</v>
      </c>
      <c r="DX148" s="171">
        <f t="shared" ca="1" si="163"/>
        <v>6.3667367744600564E-2</v>
      </c>
      <c r="DY148" s="171">
        <f t="shared" ca="1" si="164"/>
        <v>6.0443708721913805E-2</v>
      </c>
      <c r="DZ148" s="171">
        <f t="shared" ca="1" si="165"/>
        <v>5.7383272679266635E-2</v>
      </c>
      <c r="EA148" s="171">
        <f t="shared" ca="1" si="166"/>
        <v>0</v>
      </c>
      <c r="EB148" s="171">
        <f t="shared" ca="1" si="167"/>
        <v>0</v>
      </c>
      <c r="EC148" s="171">
        <f t="shared" ca="1" si="168"/>
        <v>0</v>
      </c>
      <c r="ED148" s="171">
        <f t="shared" ca="1" si="169"/>
        <v>0</v>
      </c>
      <c r="EE148" s="171">
        <f t="shared" ca="1" si="170"/>
        <v>0</v>
      </c>
      <c r="EF148" s="171">
        <f t="shared" ca="1" si="171"/>
        <v>0</v>
      </c>
      <c r="EG148" s="171">
        <f t="shared" ca="1" si="172"/>
        <v>0</v>
      </c>
      <c r="EH148" s="171">
        <f t="shared" ca="1" si="173"/>
        <v>0</v>
      </c>
      <c r="EI148" s="171">
        <f t="shared" ca="1" si="174"/>
        <v>0</v>
      </c>
      <c r="EJ148" s="171">
        <f t="shared" ca="1" si="175"/>
        <v>0</v>
      </c>
      <c r="EK148" s="171">
        <f t="shared" ca="1" si="176"/>
        <v>0</v>
      </c>
      <c r="EL148" s="171">
        <f t="shared" ca="1" si="177"/>
        <v>0</v>
      </c>
      <c r="EM148" s="171">
        <f t="shared" ca="1" si="178"/>
        <v>0</v>
      </c>
      <c r="EN148" s="171">
        <f t="shared" ca="1" si="179"/>
        <v>0</v>
      </c>
      <c r="EO148" s="171">
        <f t="shared" ca="1" si="180"/>
        <v>0</v>
      </c>
      <c r="EP148" s="171">
        <f t="shared" ca="1" si="181"/>
        <v>0</v>
      </c>
      <c r="EQ148" s="171">
        <f t="shared" ca="1" si="182"/>
        <v>0</v>
      </c>
      <c r="ER148" s="171">
        <f t="shared" ca="1" si="183"/>
        <v>0</v>
      </c>
      <c r="ES148" s="171">
        <f t="shared" ca="1" si="184"/>
        <v>0</v>
      </c>
    </row>
    <row r="149" spans="1:149">
      <c r="A149" s="139" t="s">
        <v>503</v>
      </c>
      <c r="B149" s="160" t="s">
        <v>432</v>
      </c>
      <c r="C149" s="161" t="s">
        <v>29</v>
      </c>
      <c r="D149" s="161" t="s">
        <v>394</v>
      </c>
      <c r="E149" s="161">
        <v>2011</v>
      </c>
      <c r="F149" s="161" t="s">
        <v>395</v>
      </c>
      <c r="G149" s="161" t="s">
        <v>402</v>
      </c>
      <c r="H149" s="161" t="s">
        <v>396</v>
      </c>
      <c r="I149" s="161" t="s">
        <v>178</v>
      </c>
      <c r="J149" s="161" t="s">
        <v>407</v>
      </c>
      <c r="K149" s="187">
        <v>120</v>
      </c>
      <c r="L149" s="163" t="s">
        <v>110</v>
      </c>
      <c r="M149" s="164">
        <f t="shared" si="115"/>
        <v>120</v>
      </c>
      <c r="N149" s="164">
        <f t="shared" si="116"/>
        <v>120</v>
      </c>
      <c r="O149" s="165">
        <f t="shared" si="117"/>
        <v>1</v>
      </c>
      <c r="P149" s="190">
        <v>7.4999999999999997E-3</v>
      </c>
      <c r="Q149" s="191">
        <v>50</v>
      </c>
      <c r="R149" s="168">
        <f t="shared" si="204"/>
        <v>37</v>
      </c>
      <c r="S149" s="178">
        <v>10</v>
      </c>
      <c r="T149" s="170" t="s">
        <v>403</v>
      </c>
      <c r="U149" s="171">
        <f t="shared" si="119"/>
        <v>2.9768000725286403</v>
      </c>
      <c r="V149" s="171">
        <f t="shared" ca="1" si="120"/>
        <v>1.4860964317600391</v>
      </c>
      <c r="W149" s="171">
        <f t="shared" ca="1" si="185"/>
        <v>74.304821588001957</v>
      </c>
      <c r="X149" s="172">
        <f t="shared" si="121"/>
        <v>6.2006313877182473E-2</v>
      </c>
      <c r="Y149" s="172">
        <f t="shared" si="122"/>
        <v>0.93799368612281753</v>
      </c>
      <c r="Z149" s="173">
        <f t="shared" si="123"/>
        <v>148.84000362643201</v>
      </c>
      <c r="AA149" s="171">
        <f t="shared" ref="AA149:AJ158" si="205">IFERROR(
    IF($T149="Equity",
        IF(AND(AA$48&gt;=$E149, AA$48&lt;=($E149+$Q149)),
$K149*$P149*(VLOOKUP($C$39,$C$37:$BL$44,MATCH($E149,$C$37:$BL$37,0),FALSE)/VLOOKUP($L149,$C$37:$BL$44,MATCH($E149,$C$37:$BL$37,0),FALSE))*
IF($B$5="Foreign Currency",VLOOKUP($C$38,$C$37:$BL$44,MATCH(AA$48,$C$37:$BL$37,0),FALSE)/VLOOKUP($C$39,$C$37:$BL$44,MATCH(AA$48,$C$37:$BL$37,0),FALSE),1),
0),
    IF($T149="Lump Sum Principal",
        IF(AND(AA$48&gt;=$E149, AA$48&lt;($E149+$Q149)),
$K149*$P149*(VLOOKUP($C$39,$C$37:$BL$44,MATCH($E149,$C$37:$BL$37,0),FALSE)/VLOOKUP($L149,$C$37:$BL$44,MATCH($E149,$C$37:$BL$37,0),FALSE))*
IF($B$5="Foreign Currency",VLOOKUP($C$38,$C$37:$BL$44,MATCH(AA$48,$C$37:$BL$37,0),FALSE)/VLOOKUP($C$39,$C$37:$BL$44,MATCH(AA$48,$C$37:$BL$37,0),FALSE),1),
        IF(AA$48=($E149+$Q149),
$K149*(1+$P149)*(VLOOKUP($C$39,$C$37:$BL$44,MATCH($E149,$C$37:$BL$37,0),FALSE)/VLOOKUP($L149,$C$37:$BL$44,MATCH($E149,$C$37:$BL$37,0),FALSE))*
IF($B$5="Foreign Currency",VLOOKUP($C$38,$C$37:$BL$44,MATCH(AA$48,$C$37:$BL$37,0),FALSE)/VLOOKUP($C$39,$C$37:$BL$44,MATCH(AA$48,$C$37:$BL$37,0),FALSE),1),
0)),
    IF($T149="Lump Sum Principal and Interest",
        IF(AA$48=($E149+$Q149),
$K149*((1+$P149)^$Q149)*(VLOOKUP($C$39,$C$37:$BL$44,MATCH($E149,$C$37:$BL$37,0),FALSE)/VLOOKUP($L149,$C$37:$BL$44,MATCH($E149,$C$37:$BL$37,0),FALSE))*
IF($B$5="Foreign Currency",VLOOKUP($C$38,$C$37:$BL$44,MATCH(AA$48,$C$37:$BL$37,0),FALSE)/VLOOKUP($C$39,$C$37:$BL$44,MATCH(AA$48,$C$37:$BL$37,0),FALSE),1),
0),
    IF($T149="EPP with Grace Years for Principal",
        IF(AND(AA$48&gt;=$E149, AA$48&lt;($E149+$S149)),
$K149*$P149*(VLOOKUP($C$39,$C$37:$BL$44,MATCH($E149,$C$37:$BL$37,0),FALSE)/VLOOKUP($L149,$C$37:$BL$44,MATCH($E149,$C$37:$BL$37,0),FALSE))*
IF($B$5="Foreign Currency",VLOOKUP($C$38,$C$37:$BL$44,MATCH(AA$48,$C$37:$BL$37,0),FALSE)/VLOOKUP($C$39,$C$37:$BL$44,MATCH(AA$48,$C$37:$BL$37,0),FALSE),1),
        IF(AND(AA$48&gt;=($E149+$S149), AA$48&lt;=($E149+$Q149)),
-PMT($P149,($Q149-$S149+1),($K149*(VLOOKUP($C$39,$C$37:$BL$44,MATCH($E149,$C$37:$BL$37,0),FALSE)/VLOOKUP($L149,$C$37:$BL$44,MATCH($E149,$C$37:$BL$37,0),FALSE))*
IF($B$5="Foreign Currency",VLOOKUP($C$38,$C$37:$BL$44,MATCH(AA$48,$C$37:$BL$37,0),FALSE)/VLOOKUP($C$39,$C$37:$BL$44,MATCH(AA$48,$C$37:$BL$37,0),FALSE),1)),0),
0)),
    IF($T149="Equal Principal Payments (EPP)",
        IF(AND(AA$48&gt;=$E149, AA$48&lt;=($E149+$Q149)),
-PMT($P149,($Q149-$S149+1),($K149*(VLOOKUP($C$39,$C$37:$BL$44,MATCH($E149,$C$37:$BL$37,0),FALSE)/VLOOKUP($L149,$C$37:$BL$44,MATCH($E149,$C$37:$BL$37,0),FALSE))*
IF($B$5="Foreign Currency",VLOOKUP($C$38,$C$37:$BL$44,MATCH(AA$48,$C$37:$BL$37,0),FALSE)/VLOOKUP($C$39,$C$37:$BL$44,MATCH(AA$48,$C$37:$BL$37,0),FALSE),1)),0), 0),
    IF($T149="EPP with Grace Years for Principal and on Interest",
        IF(AND(AA$48&gt;=($E149+$S149), AA$48&lt;=($E149+$Q149)),
-PMT($P149,($Q149-$S149+1),($K149*(VLOOKUP($C$39,$C$37:$BL$44,MATCH($E149,$C$37:$BL$37,0),FALSE)/VLOOKUP($L149,$C$37:$BL$44,MATCH($E149,$C$37:$BL$37,0),FALSE))*
IF($B$5="Foreign Currency",VLOOKUP($C$38,$C$37:$BL$44,MATCH(AA$48,$C$37:$BL$37,0),FALSE)/VLOOKUP($C$39,$C$37:$BL$44,MATCH(AA$48,$C$37:$BL$37,0),FALSE),1))*((1+$P149)^$S149),0), 0),
    0)))))),"")</f>
        <v>0</v>
      </c>
      <c r="AB149" s="171">
        <f t="shared" si="205"/>
        <v>0.89999999999999991</v>
      </c>
      <c r="AC149" s="171">
        <f t="shared" si="205"/>
        <v>0.89999999999999991</v>
      </c>
      <c r="AD149" s="171">
        <f t="shared" si="205"/>
        <v>0.89999999999999991</v>
      </c>
      <c r="AE149" s="171">
        <f t="shared" si="205"/>
        <v>0.89999999999999991</v>
      </c>
      <c r="AF149" s="171">
        <f t="shared" si="205"/>
        <v>0.89999999999999991</v>
      </c>
      <c r="AG149" s="171">
        <f t="shared" si="205"/>
        <v>0.89999999999999991</v>
      </c>
      <c r="AH149" s="171">
        <f t="shared" si="205"/>
        <v>0.89999999999999991</v>
      </c>
      <c r="AI149" s="171">
        <f t="shared" si="205"/>
        <v>0.89999999999999991</v>
      </c>
      <c r="AJ149" s="171">
        <f t="shared" si="205"/>
        <v>0.89999999999999991</v>
      </c>
      <c r="AK149" s="171">
        <f t="shared" ref="AK149:AT158" si="206">IFERROR(
    IF($T149="Equity",
        IF(AND(AK$48&gt;=$E149, AK$48&lt;=($E149+$Q149)),
$K149*$P149*(VLOOKUP($C$39,$C$37:$BL$44,MATCH($E149,$C$37:$BL$37,0),FALSE)/VLOOKUP($L149,$C$37:$BL$44,MATCH($E149,$C$37:$BL$37,0),FALSE))*
IF($B$5="Foreign Currency",VLOOKUP($C$38,$C$37:$BL$44,MATCH(AK$48,$C$37:$BL$37,0),FALSE)/VLOOKUP($C$39,$C$37:$BL$44,MATCH(AK$48,$C$37:$BL$37,0),FALSE),1),
0),
    IF($T149="Lump Sum Principal",
        IF(AND(AK$48&gt;=$E149, AK$48&lt;($E149+$Q149)),
$K149*$P149*(VLOOKUP($C$39,$C$37:$BL$44,MATCH($E149,$C$37:$BL$37,0),FALSE)/VLOOKUP($L149,$C$37:$BL$44,MATCH($E149,$C$37:$BL$37,0),FALSE))*
IF($B$5="Foreign Currency",VLOOKUP($C$38,$C$37:$BL$44,MATCH(AK$48,$C$37:$BL$37,0),FALSE)/VLOOKUP($C$39,$C$37:$BL$44,MATCH(AK$48,$C$37:$BL$37,0),FALSE),1),
        IF(AK$48=($E149+$Q149),
$K149*(1+$P149)*(VLOOKUP($C$39,$C$37:$BL$44,MATCH($E149,$C$37:$BL$37,0),FALSE)/VLOOKUP($L149,$C$37:$BL$44,MATCH($E149,$C$37:$BL$37,0),FALSE))*
IF($B$5="Foreign Currency",VLOOKUP($C$38,$C$37:$BL$44,MATCH(AK$48,$C$37:$BL$37,0),FALSE)/VLOOKUP($C$39,$C$37:$BL$44,MATCH(AK$48,$C$37:$BL$37,0),FALSE),1),
0)),
    IF($T149="Lump Sum Principal and Interest",
        IF(AK$48=($E149+$Q149),
$K149*((1+$P149)^$Q149)*(VLOOKUP($C$39,$C$37:$BL$44,MATCH($E149,$C$37:$BL$37,0),FALSE)/VLOOKUP($L149,$C$37:$BL$44,MATCH($E149,$C$37:$BL$37,0),FALSE))*
IF($B$5="Foreign Currency",VLOOKUP($C$38,$C$37:$BL$44,MATCH(AK$48,$C$37:$BL$37,0),FALSE)/VLOOKUP($C$39,$C$37:$BL$44,MATCH(AK$48,$C$37:$BL$37,0),FALSE),1),
0),
    IF($T149="EPP with Grace Years for Principal",
        IF(AND(AK$48&gt;=$E149, AK$48&lt;($E149+$S149)),
$K149*$P149*(VLOOKUP($C$39,$C$37:$BL$44,MATCH($E149,$C$37:$BL$37,0),FALSE)/VLOOKUP($L149,$C$37:$BL$44,MATCH($E149,$C$37:$BL$37,0),FALSE))*
IF($B$5="Foreign Currency",VLOOKUP($C$38,$C$37:$BL$44,MATCH(AK$48,$C$37:$BL$37,0),FALSE)/VLOOKUP($C$39,$C$37:$BL$44,MATCH(AK$48,$C$37:$BL$37,0),FALSE),1),
        IF(AND(AK$48&gt;=($E149+$S149), AK$48&lt;=($E149+$Q149)),
-PMT($P149,($Q149-$S149+1),($K149*(VLOOKUP($C$39,$C$37:$BL$44,MATCH($E149,$C$37:$BL$37,0),FALSE)/VLOOKUP($L149,$C$37:$BL$44,MATCH($E149,$C$37:$BL$37,0),FALSE))*
IF($B$5="Foreign Currency",VLOOKUP($C$38,$C$37:$BL$44,MATCH(AK$48,$C$37:$BL$37,0),FALSE)/VLOOKUP($C$39,$C$37:$BL$44,MATCH(AK$48,$C$37:$BL$37,0),FALSE),1)),0),
0)),
    IF($T149="Equal Principal Payments (EPP)",
        IF(AND(AK$48&gt;=$E149, AK$48&lt;=($E149+$Q149)),
-PMT($P149,($Q149-$S149+1),($K149*(VLOOKUP($C$39,$C$37:$BL$44,MATCH($E149,$C$37:$BL$37,0),FALSE)/VLOOKUP($L149,$C$37:$BL$44,MATCH($E149,$C$37:$BL$37,0),FALSE))*
IF($B$5="Foreign Currency",VLOOKUP($C$38,$C$37:$BL$44,MATCH(AK$48,$C$37:$BL$37,0),FALSE)/VLOOKUP($C$39,$C$37:$BL$44,MATCH(AK$48,$C$37:$BL$37,0),FALSE),1)),0), 0),
    IF($T149="EPP with Grace Years for Principal and on Interest",
        IF(AND(AK$48&gt;=($E149+$S149), AK$48&lt;=($E149+$Q149)),
-PMT($P149,($Q149-$S149+1),($K149*(VLOOKUP($C$39,$C$37:$BL$44,MATCH($E149,$C$37:$BL$37,0),FALSE)/VLOOKUP($L149,$C$37:$BL$44,MATCH($E149,$C$37:$BL$37,0),FALSE))*
IF($B$5="Foreign Currency",VLOOKUP($C$38,$C$37:$BL$44,MATCH(AK$48,$C$37:$BL$37,0),FALSE)/VLOOKUP($C$39,$C$37:$BL$44,MATCH(AK$48,$C$37:$BL$37,0),FALSE),1))*((1+$P149)^$S149),0), 0),
    0)))))),"")</f>
        <v>0.89999999999999991</v>
      </c>
      <c r="AL149" s="171">
        <f t="shared" si="206"/>
        <v>3.4107317957666359</v>
      </c>
      <c r="AM149" s="171">
        <f t="shared" si="206"/>
        <v>3.4107317957666359</v>
      </c>
      <c r="AN149" s="171">
        <f t="shared" si="206"/>
        <v>3.4107317957666359</v>
      </c>
      <c r="AO149" s="171">
        <f t="shared" si="206"/>
        <v>3.4107317957666359</v>
      </c>
      <c r="AP149" s="171">
        <f t="shared" si="206"/>
        <v>3.4107317957666359</v>
      </c>
      <c r="AQ149" s="171">
        <f t="shared" si="206"/>
        <v>3.4107317957666359</v>
      </c>
      <c r="AR149" s="171">
        <f t="shared" si="206"/>
        <v>3.4107317957666359</v>
      </c>
      <c r="AS149" s="171">
        <f t="shared" si="206"/>
        <v>3.4107317957666359</v>
      </c>
      <c r="AT149" s="171">
        <f t="shared" si="206"/>
        <v>3.4107317957666359</v>
      </c>
      <c r="AU149" s="171">
        <f t="shared" ref="AU149:BD158" si="207">IFERROR(
    IF($T149="Equity",
        IF(AND(AU$48&gt;=$E149, AU$48&lt;=($E149+$Q149)),
$K149*$P149*(VLOOKUP($C$39,$C$37:$BL$44,MATCH($E149,$C$37:$BL$37,0),FALSE)/VLOOKUP($L149,$C$37:$BL$44,MATCH($E149,$C$37:$BL$37,0),FALSE))*
IF($B$5="Foreign Currency",VLOOKUP($C$38,$C$37:$BL$44,MATCH(AU$48,$C$37:$BL$37,0),FALSE)/VLOOKUP($C$39,$C$37:$BL$44,MATCH(AU$48,$C$37:$BL$37,0),FALSE),1),
0),
    IF($T149="Lump Sum Principal",
        IF(AND(AU$48&gt;=$E149, AU$48&lt;($E149+$Q149)),
$K149*$P149*(VLOOKUP($C$39,$C$37:$BL$44,MATCH($E149,$C$37:$BL$37,0),FALSE)/VLOOKUP($L149,$C$37:$BL$44,MATCH($E149,$C$37:$BL$37,0),FALSE))*
IF($B$5="Foreign Currency",VLOOKUP($C$38,$C$37:$BL$44,MATCH(AU$48,$C$37:$BL$37,0),FALSE)/VLOOKUP($C$39,$C$37:$BL$44,MATCH(AU$48,$C$37:$BL$37,0),FALSE),1),
        IF(AU$48=($E149+$Q149),
$K149*(1+$P149)*(VLOOKUP($C$39,$C$37:$BL$44,MATCH($E149,$C$37:$BL$37,0),FALSE)/VLOOKUP($L149,$C$37:$BL$44,MATCH($E149,$C$37:$BL$37,0),FALSE))*
IF($B$5="Foreign Currency",VLOOKUP($C$38,$C$37:$BL$44,MATCH(AU$48,$C$37:$BL$37,0),FALSE)/VLOOKUP($C$39,$C$37:$BL$44,MATCH(AU$48,$C$37:$BL$37,0),FALSE),1),
0)),
    IF($T149="Lump Sum Principal and Interest",
        IF(AU$48=($E149+$Q149),
$K149*((1+$P149)^$Q149)*(VLOOKUP($C$39,$C$37:$BL$44,MATCH($E149,$C$37:$BL$37,0),FALSE)/VLOOKUP($L149,$C$37:$BL$44,MATCH($E149,$C$37:$BL$37,0),FALSE))*
IF($B$5="Foreign Currency",VLOOKUP($C$38,$C$37:$BL$44,MATCH(AU$48,$C$37:$BL$37,0),FALSE)/VLOOKUP($C$39,$C$37:$BL$44,MATCH(AU$48,$C$37:$BL$37,0),FALSE),1),
0),
    IF($T149="EPP with Grace Years for Principal",
        IF(AND(AU$48&gt;=$E149, AU$48&lt;($E149+$S149)),
$K149*$P149*(VLOOKUP($C$39,$C$37:$BL$44,MATCH($E149,$C$37:$BL$37,0),FALSE)/VLOOKUP($L149,$C$37:$BL$44,MATCH($E149,$C$37:$BL$37,0),FALSE))*
IF($B$5="Foreign Currency",VLOOKUP($C$38,$C$37:$BL$44,MATCH(AU$48,$C$37:$BL$37,0),FALSE)/VLOOKUP($C$39,$C$37:$BL$44,MATCH(AU$48,$C$37:$BL$37,0),FALSE),1),
        IF(AND(AU$48&gt;=($E149+$S149), AU$48&lt;=($E149+$Q149)),
-PMT($P149,($Q149-$S149+1),($K149*(VLOOKUP($C$39,$C$37:$BL$44,MATCH($E149,$C$37:$BL$37,0),FALSE)/VLOOKUP($L149,$C$37:$BL$44,MATCH($E149,$C$37:$BL$37,0),FALSE))*
IF($B$5="Foreign Currency",VLOOKUP($C$38,$C$37:$BL$44,MATCH(AU$48,$C$37:$BL$37,0),FALSE)/VLOOKUP($C$39,$C$37:$BL$44,MATCH(AU$48,$C$37:$BL$37,0),FALSE),1)),0),
0)),
    IF($T149="Equal Principal Payments (EPP)",
        IF(AND(AU$48&gt;=$E149, AU$48&lt;=($E149+$Q149)),
-PMT($P149,($Q149-$S149+1),($K149*(VLOOKUP($C$39,$C$37:$BL$44,MATCH($E149,$C$37:$BL$37,0),FALSE)/VLOOKUP($L149,$C$37:$BL$44,MATCH($E149,$C$37:$BL$37,0),FALSE))*
IF($B$5="Foreign Currency",VLOOKUP($C$38,$C$37:$BL$44,MATCH(AU$48,$C$37:$BL$37,0),FALSE)/VLOOKUP($C$39,$C$37:$BL$44,MATCH(AU$48,$C$37:$BL$37,0),FALSE),1)),0), 0),
    IF($T149="EPP with Grace Years for Principal and on Interest",
        IF(AND(AU$48&gt;=($E149+$S149), AU$48&lt;=($E149+$Q149)),
-PMT($P149,($Q149-$S149+1),($K149*(VLOOKUP($C$39,$C$37:$BL$44,MATCH($E149,$C$37:$BL$37,0),FALSE)/VLOOKUP($L149,$C$37:$BL$44,MATCH($E149,$C$37:$BL$37,0),FALSE))*
IF($B$5="Foreign Currency",VLOOKUP($C$38,$C$37:$BL$44,MATCH(AU$48,$C$37:$BL$37,0),FALSE)/VLOOKUP($C$39,$C$37:$BL$44,MATCH(AU$48,$C$37:$BL$37,0),FALSE),1))*((1+$P149)^$S149),0), 0),
    0)))))),"")</f>
        <v>3.4107317957666359</v>
      </c>
      <c r="AV149" s="171">
        <f t="shared" si="207"/>
        <v>3.4107317957666359</v>
      </c>
      <c r="AW149" s="171">
        <f t="shared" si="207"/>
        <v>3.4107317957666359</v>
      </c>
      <c r="AX149" s="171">
        <f t="shared" si="207"/>
        <v>3.4107317957666359</v>
      </c>
      <c r="AY149" s="171">
        <f t="shared" si="207"/>
        <v>3.4107317957666359</v>
      </c>
      <c r="AZ149" s="171">
        <f t="shared" si="207"/>
        <v>3.4107317957666359</v>
      </c>
      <c r="BA149" s="171">
        <f t="shared" si="207"/>
        <v>3.4107317957666359</v>
      </c>
      <c r="BB149" s="171">
        <f t="shared" si="207"/>
        <v>3.4107317957666359</v>
      </c>
      <c r="BC149" s="171">
        <f t="shared" si="207"/>
        <v>3.4107317957666359</v>
      </c>
      <c r="BD149" s="171">
        <f t="shared" si="207"/>
        <v>3.4107317957666359</v>
      </c>
      <c r="BE149" s="171">
        <f t="shared" ref="BE149:BN158" si="208">IFERROR(
    IF($T149="Equity",
        IF(AND(BE$48&gt;=$E149, BE$48&lt;=($E149+$Q149)),
$K149*$P149*(VLOOKUP($C$39,$C$37:$BL$44,MATCH($E149,$C$37:$BL$37,0),FALSE)/VLOOKUP($L149,$C$37:$BL$44,MATCH($E149,$C$37:$BL$37,0),FALSE))*
IF($B$5="Foreign Currency",VLOOKUP($C$38,$C$37:$BL$44,MATCH(BE$48,$C$37:$BL$37,0),FALSE)/VLOOKUP($C$39,$C$37:$BL$44,MATCH(BE$48,$C$37:$BL$37,0),FALSE),1),
0),
    IF($T149="Lump Sum Principal",
        IF(AND(BE$48&gt;=$E149, BE$48&lt;($E149+$Q149)),
$K149*$P149*(VLOOKUP($C$39,$C$37:$BL$44,MATCH($E149,$C$37:$BL$37,0),FALSE)/VLOOKUP($L149,$C$37:$BL$44,MATCH($E149,$C$37:$BL$37,0),FALSE))*
IF($B$5="Foreign Currency",VLOOKUP($C$38,$C$37:$BL$44,MATCH(BE$48,$C$37:$BL$37,0),FALSE)/VLOOKUP($C$39,$C$37:$BL$44,MATCH(BE$48,$C$37:$BL$37,0),FALSE),1),
        IF(BE$48=($E149+$Q149),
$K149*(1+$P149)*(VLOOKUP($C$39,$C$37:$BL$44,MATCH($E149,$C$37:$BL$37,0),FALSE)/VLOOKUP($L149,$C$37:$BL$44,MATCH($E149,$C$37:$BL$37,0),FALSE))*
IF($B$5="Foreign Currency",VLOOKUP($C$38,$C$37:$BL$44,MATCH(BE$48,$C$37:$BL$37,0),FALSE)/VLOOKUP($C$39,$C$37:$BL$44,MATCH(BE$48,$C$37:$BL$37,0),FALSE),1),
0)),
    IF($T149="Lump Sum Principal and Interest",
        IF(BE$48=($E149+$Q149),
$K149*((1+$P149)^$Q149)*(VLOOKUP($C$39,$C$37:$BL$44,MATCH($E149,$C$37:$BL$37,0),FALSE)/VLOOKUP($L149,$C$37:$BL$44,MATCH($E149,$C$37:$BL$37,0),FALSE))*
IF($B$5="Foreign Currency",VLOOKUP($C$38,$C$37:$BL$44,MATCH(BE$48,$C$37:$BL$37,0),FALSE)/VLOOKUP($C$39,$C$37:$BL$44,MATCH(BE$48,$C$37:$BL$37,0),FALSE),1),
0),
    IF($T149="EPP with Grace Years for Principal",
        IF(AND(BE$48&gt;=$E149, BE$48&lt;($E149+$S149)),
$K149*$P149*(VLOOKUP($C$39,$C$37:$BL$44,MATCH($E149,$C$37:$BL$37,0),FALSE)/VLOOKUP($L149,$C$37:$BL$44,MATCH($E149,$C$37:$BL$37,0),FALSE))*
IF($B$5="Foreign Currency",VLOOKUP($C$38,$C$37:$BL$44,MATCH(BE$48,$C$37:$BL$37,0),FALSE)/VLOOKUP($C$39,$C$37:$BL$44,MATCH(BE$48,$C$37:$BL$37,0),FALSE),1),
        IF(AND(BE$48&gt;=($E149+$S149), BE$48&lt;=($E149+$Q149)),
-PMT($P149,($Q149-$S149+1),($K149*(VLOOKUP($C$39,$C$37:$BL$44,MATCH($E149,$C$37:$BL$37,0),FALSE)/VLOOKUP($L149,$C$37:$BL$44,MATCH($E149,$C$37:$BL$37,0),FALSE))*
IF($B$5="Foreign Currency",VLOOKUP($C$38,$C$37:$BL$44,MATCH(BE$48,$C$37:$BL$37,0),FALSE)/VLOOKUP($C$39,$C$37:$BL$44,MATCH(BE$48,$C$37:$BL$37,0),FALSE),1)),0),
0)),
    IF($T149="Equal Principal Payments (EPP)",
        IF(AND(BE$48&gt;=$E149, BE$48&lt;=($E149+$Q149)),
-PMT($P149,($Q149-$S149+1),($K149*(VLOOKUP($C$39,$C$37:$BL$44,MATCH($E149,$C$37:$BL$37,0),FALSE)/VLOOKUP($L149,$C$37:$BL$44,MATCH($E149,$C$37:$BL$37,0),FALSE))*
IF($B$5="Foreign Currency",VLOOKUP($C$38,$C$37:$BL$44,MATCH(BE$48,$C$37:$BL$37,0),FALSE)/VLOOKUP($C$39,$C$37:$BL$44,MATCH(BE$48,$C$37:$BL$37,0),FALSE),1)),0), 0),
    IF($T149="EPP with Grace Years for Principal and on Interest",
        IF(AND(BE$48&gt;=($E149+$S149), BE$48&lt;=($E149+$Q149)),
-PMT($P149,($Q149-$S149+1),($K149*(VLOOKUP($C$39,$C$37:$BL$44,MATCH($E149,$C$37:$BL$37,0),FALSE)/VLOOKUP($L149,$C$37:$BL$44,MATCH($E149,$C$37:$BL$37,0),FALSE))*
IF($B$5="Foreign Currency",VLOOKUP($C$38,$C$37:$BL$44,MATCH(BE$48,$C$37:$BL$37,0),FALSE)/VLOOKUP($C$39,$C$37:$BL$44,MATCH(BE$48,$C$37:$BL$37,0),FALSE),1))*((1+$P149)^$S149),0), 0),
    0)))))),"")</f>
        <v>3.4107317957666359</v>
      </c>
      <c r="BF149" s="171">
        <f t="shared" si="208"/>
        <v>3.4107317957666359</v>
      </c>
      <c r="BG149" s="171">
        <f t="shared" si="208"/>
        <v>3.4107317957666359</v>
      </c>
      <c r="BH149" s="171">
        <f t="shared" si="208"/>
        <v>3.4107317957666359</v>
      </c>
      <c r="BI149" s="171">
        <f t="shared" si="208"/>
        <v>3.4107317957666359</v>
      </c>
      <c r="BJ149" s="171">
        <f t="shared" si="208"/>
        <v>3.4107317957666359</v>
      </c>
      <c r="BK149" s="171">
        <f t="shared" si="208"/>
        <v>3.4107317957666359</v>
      </c>
      <c r="BL149" s="171">
        <f t="shared" si="208"/>
        <v>3.4107317957666359</v>
      </c>
      <c r="BM149" s="171">
        <f t="shared" si="208"/>
        <v>3.4107317957666359</v>
      </c>
      <c r="BN149" s="171">
        <f t="shared" si="208"/>
        <v>3.4107317957666359</v>
      </c>
      <c r="BO149" s="171">
        <f t="shared" ref="BO149:BX158" si="209">IFERROR(
    IF($T149="Equity",
        IF(AND(BO$48&gt;=$E149, BO$48&lt;=($E149+$Q149)),
$K149*$P149*(VLOOKUP($C$39,$C$37:$BL$44,MATCH($E149,$C$37:$BL$37,0),FALSE)/VLOOKUP($L149,$C$37:$BL$44,MATCH($E149,$C$37:$BL$37,0),FALSE))*
IF($B$5="Foreign Currency",VLOOKUP($C$38,$C$37:$BL$44,MATCH(BO$48,$C$37:$BL$37,0),FALSE)/VLOOKUP($C$39,$C$37:$BL$44,MATCH(BO$48,$C$37:$BL$37,0),FALSE),1),
0),
    IF($T149="Lump Sum Principal",
        IF(AND(BO$48&gt;=$E149, BO$48&lt;($E149+$Q149)),
$K149*$P149*(VLOOKUP($C$39,$C$37:$BL$44,MATCH($E149,$C$37:$BL$37,0),FALSE)/VLOOKUP($L149,$C$37:$BL$44,MATCH($E149,$C$37:$BL$37,0),FALSE))*
IF($B$5="Foreign Currency",VLOOKUP($C$38,$C$37:$BL$44,MATCH(BO$48,$C$37:$BL$37,0),FALSE)/VLOOKUP($C$39,$C$37:$BL$44,MATCH(BO$48,$C$37:$BL$37,0),FALSE),1),
        IF(BO$48=($E149+$Q149),
$K149*(1+$P149)*(VLOOKUP($C$39,$C$37:$BL$44,MATCH($E149,$C$37:$BL$37,0),FALSE)/VLOOKUP($L149,$C$37:$BL$44,MATCH($E149,$C$37:$BL$37,0),FALSE))*
IF($B$5="Foreign Currency",VLOOKUP($C$38,$C$37:$BL$44,MATCH(BO$48,$C$37:$BL$37,0),FALSE)/VLOOKUP($C$39,$C$37:$BL$44,MATCH(BO$48,$C$37:$BL$37,0),FALSE),1),
0)),
    IF($T149="Lump Sum Principal and Interest",
        IF(BO$48=($E149+$Q149),
$K149*((1+$P149)^$Q149)*(VLOOKUP($C$39,$C$37:$BL$44,MATCH($E149,$C$37:$BL$37,0),FALSE)/VLOOKUP($L149,$C$37:$BL$44,MATCH($E149,$C$37:$BL$37,0),FALSE))*
IF($B$5="Foreign Currency",VLOOKUP($C$38,$C$37:$BL$44,MATCH(BO$48,$C$37:$BL$37,0),FALSE)/VLOOKUP($C$39,$C$37:$BL$44,MATCH(BO$48,$C$37:$BL$37,0),FALSE),1),
0),
    IF($T149="EPP with Grace Years for Principal",
        IF(AND(BO$48&gt;=$E149, BO$48&lt;($E149+$S149)),
$K149*$P149*(VLOOKUP($C$39,$C$37:$BL$44,MATCH($E149,$C$37:$BL$37,0),FALSE)/VLOOKUP($L149,$C$37:$BL$44,MATCH($E149,$C$37:$BL$37,0),FALSE))*
IF($B$5="Foreign Currency",VLOOKUP($C$38,$C$37:$BL$44,MATCH(BO$48,$C$37:$BL$37,0),FALSE)/VLOOKUP($C$39,$C$37:$BL$44,MATCH(BO$48,$C$37:$BL$37,0),FALSE),1),
        IF(AND(BO$48&gt;=($E149+$S149), BO$48&lt;=($E149+$Q149)),
-PMT($P149,($Q149-$S149+1),($K149*(VLOOKUP($C$39,$C$37:$BL$44,MATCH($E149,$C$37:$BL$37,0),FALSE)/VLOOKUP($L149,$C$37:$BL$44,MATCH($E149,$C$37:$BL$37,0),FALSE))*
IF($B$5="Foreign Currency",VLOOKUP($C$38,$C$37:$BL$44,MATCH(BO$48,$C$37:$BL$37,0),FALSE)/VLOOKUP($C$39,$C$37:$BL$44,MATCH(BO$48,$C$37:$BL$37,0),FALSE),1)),0),
0)),
    IF($T149="Equal Principal Payments (EPP)",
        IF(AND(BO$48&gt;=$E149, BO$48&lt;=($E149+$Q149)),
-PMT($P149,($Q149-$S149+1),($K149*(VLOOKUP($C$39,$C$37:$BL$44,MATCH($E149,$C$37:$BL$37,0),FALSE)/VLOOKUP($L149,$C$37:$BL$44,MATCH($E149,$C$37:$BL$37,0),FALSE))*
IF($B$5="Foreign Currency",VLOOKUP($C$38,$C$37:$BL$44,MATCH(BO$48,$C$37:$BL$37,0),FALSE)/VLOOKUP($C$39,$C$37:$BL$44,MATCH(BO$48,$C$37:$BL$37,0),FALSE),1)),0), 0),
    IF($T149="EPP with Grace Years for Principal and on Interest",
        IF(AND(BO$48&gt;=($E149+$S149), BO$48&lt;=($E149+$Q149)),
-PMT($P149,($Q149-$S149+1),($K149*(VLOOKUP($C$39,$C$37:$BL$44,MATCH($E149,$C$37:$BL$37,0),FALSE)/VLOOKUP($L149,$C$37:$BL$44,MATCH($E149,$C$37:$BL$37,0),FALSE))*
IF($B$5="Foreign Currency",VLOOKUP($C$38,$C$37:$BL$44,MATCH(BO$48,$C$37:$BL$37,0),FALSE)/VLOOKUP($C$39,$C$37:$BL$44,MATCH(BO$48,$C$37:$BL$37,0),FALSE),1))*((1+$P149)^$S149),0), 0),
    0)))))),"")</f>
        <v>3.4107317957666359</v>
      </c>
      <c r="BP149" s="171">
        <f t="shared" si="209"/>
        <v>3.4107317957666359</v>
      </c>
      <c r="BQ149" s="171">
        <f t="shared" si="209"/>
        <v>3.4107317957666359</v>
      </c>
      <c r="BR149" s="171">
        <f t="shared" si="209"/>
        <v>3.4107317957666359</v>
      </c>
      <c r="BS149" s="171">
        <f t="shared" si="209"/>
        <v>3.4107317957666359</v>
      </c>
      <c r="BT149" s="171">
        <f t="shared" si="209"/>
        <v>3.4107317957666359</v>
      </c>
      <c r="BU149" s="171">
        <f t="shared" si="209"/>
        <v>3.4107317957666359</v>
      </c>
      <c r="BV149" s="171">
        <f t="shared" si="209"/>
        <v>3.4107317957666359</v>
      </c>
      <c r="BW149" s="171">
        <f t="shared" si="209"/>
        <v>3.4107317957666359</v>
      </c>
      <c r="BX149" s="171">
        <f t="shared" si="209"/>
        <v>3.4107317957666359</v>
      </c>
      <c r="BY149" s="171">
        <f t="shared" ref="BY149:CI158" si="210">IFERROR(
    IF($T149="Equity",
        IF(AND(BY$48&gt;=$E149, BY$48&lt;=($E149+$Q149)),
$K149*$P149*(VLOOKUP($C$39,$C$37:$BL$44,MATCH($E149,$C$37:$BL$37,0),FALSE)/VLOOKUP($L149,$C$37:$BL$44,MATCH($E149,$C$37:$BL$37,0),FALSE))*
IF($B$5="Foreign Currency",VLOOKUP($C$38,$C$37:$BL$44,MATCH(BY$48,$C$37:$BL$37,0),FALSE)/VLOOKUP($C$39,$C$37:$BL$44,MATCH(BY$48,$C$37:$BL$37,0),FALSE),1),
0),
    IF($T149="Lump Sum Principal",
        IF(AND(BY$48&gt;=$E149, BY$48&lt;($E149+$Q149)),
$K149*$P149*(VLOOKUP($C$39,$C$37:$BL$44,MATCH($E149,$C$37:$BL$37,0),FALSE)/VLOOKUP($L149,$C$37:$BL$44,MATCH($E149,$C$37:$BL$37,0),FALSE))*
IF($B$5="Foreign Currency",VLOOKUP($C$38,$C$37:$BL$44,MATCH(BY$48,$C$37:$BL$37,0),FALSE)/VLOOKUP($C$39,$C$37:$BL$44,MATCH(BY$48,$C$37:$BL$37,0),FALSE),1),
        IF(BY$48=($E149+$Q149),
$K149*(1+$P149)*(VLOOKUP($C$39,$C$37:$BL$44,MATCH($E149,$C$37:$BL$37,0),FALSE)/VLOOKUP($L149,$C$37:$BL$44,MATCH($E149,$C$37:$BL$37,0),FALSE))*
IF($B$5="Foreign Currency",VLOOKUP($C$38,$C$37:$BL$44,MATCH(BY$48,$C$37:$BL$37,0),FALSE)/VLOOKUP($C$39,$C$37:$BL$44,MATCH(BY$48,$C$37:$BL$37,0),FALSE),1),
0)),
    IF($T149="Lump Sum Principal and Interest",
        IF(BY$48=($E149+$Q149),
$K149*((1+$P149)^$Q149)*(VLOOKUP($C$39,$C$37:$BL$44,MATCH($E149,$C$37:$BL$37,0),FALSE)/VLOOKUP($L149,$C$37:$BL$44,MATCH($E149,$C$37:$BL$37,0),FALSE))*
IF($B$5="Foreign Currency",VLOOKUP($C$38,$C$37:$BL$44,MATCH(BY$48,$C$37:$BL$37,0),FALSE)/VLOOKUP($C$39,$C$37:$BL$44,MATCH(BY$48,$C$37:$BL$37,0),FALSE),1),
0),
    IF($T149="EPP with Grace Years for Principal",
        IF(AND(BY$48&gt;=$E149, BY$48&lt;($E149+$S149)),
$K149*$P149*(VLOOKUP($C$39,$C$37:$BL$44,MATCH($E149,$C$37:$BL$37,0),FALSE)/VLOOKUP($L149,$C$37:$BL$44,MATCH($E149,$C$37:$BL$37,0),FALSE))*
IF($B$5="Foreign Currency",VLOOKUP($C$38,$C$37:$BL$44,MATCH(BY$48,$C$37:$BL$37,0),FALSE)/VLOOKUP($C$39,$C$37:$BL$44,MATCH(BY$48,$C$37:$BL$37,0),FALSE),1),
        IF(AND(BY$48&gt;=($E149+$S149), BY$48&lt;=($E149+$Q149)),
-PMT($P149,($Q149-$S149+1),($K149*(VLOOKUP($C$39,$C$37:$BL$44,MATCH($E149,$C$37:$BL$37,0),FALSE)/VLOOKUP($L149,$C$37:$BL$44,MATCH($E149,$C$37:$BL$37,0),FALSE))*
IF($B$5="Foreign Currency",VLOOKUP($C$38,$C$37:$BL$44,MATCH(BY$48,$C$37:$BL$37,0),FALSE)/VLOOKUP($C$39,$C$37:$BL$44,MATCH(BY$48,$C$37:$BL$37,0),FALSE),1)),0),
0)),
    IF($T149="Equal Principal Payments (EPP)",
        IF(AND(BY$48&gt;=$E149, BY$48&lt;=($E149+$Q149)),
-PMT($P149,($Q149-$S149+1),($K149*(VLOOKUP($C$39,$C$37:$BL$44,MATCH($E149,$C$37:$BL$37,0),FALSE)/VLOOKUP($L149,$C$37:$BL$44,MATCH($E149,$C$37:$BL$37,0),FALSE))*
IF($B$5="Foreign Currency",VLOOKUP($C$38,$C$37:$BL$44,MATCH(BY$48,$C$37:$BL$37,0),FALSE)/VLOOKUP($C$39,$C$37:$BL$44,MATCH(BY$48,$C$37:$BL$37,0),FALSE),1)),0), 0),
    IF($T149="EPP with Grace Years for Principal and on Interest",
        IF(AND(BY$48&gt;=($E149+$S149), BY$48&lt;=($E149+$Q149)),
-PMT($P149,($Q149-$S149+1),($K149*(VLOOKUP($C$39,$C$37:$BL$44,MATCH($E149,$C$37:$BL$37,0),FALSE)/VLOOKUP($L149,$C$37:$BL$44,MATCH($E149,$C$37:$BL$37,0),FALSE))*
IF($B$5="Foreign Currency",VLOOKUP($C$38,$C$37:$BL$44,MATCH(BY$48,$C$37:$BL$37,0),FALSE)/VLOOKUP($C$39,$C$37:$BL$44,MATCH(BY$48,$C$37:$BL$37,0),FALSE),1))*((1+$P149)^$S149),0), 0),
    0)))))),"")</f>
        <v>3.4107317957666359</v>
      </c>
      <c r="BZ149" s="171">
        <f t="shared" si="210"/>
        <v>3.4107317957666359</v>
      </c>
      <c r="CA149" s="171">
        <f t="shared" si="210"/>
        <v>0</v>
      </c>
      <c r="CB149" s="171">
        <f t="shared" si="210"/>
        <v>0</v>
      </c>
      <c r="CC149" s="171">
        <f t="shared" si="210"/>
        <v>0</v>
      </c>
      <c r="CD149" s="171">
        <f t="shared" si="210"/>
        <v>0</v>
      </c>
      <c r="CE149" s="171">
        <f t="shared" si="210"/>
        <v>0</v>
      </c>
      <c r="CF149" s="171">
        <f t="shared" si="210"/>
        <v>0</v>
      </c>
      <c r="CG149" s="171">
        <f t="shared" si="210"/>
        <v>0</v>
      </c>
      <c r="CH149" s="171">
        <f t="shared" si="210"/>
        <v>0</v>
      </c>
      <c r="CI149" s="171">
        <f t="shared" si="210"/>
        <v>0</v>
      </c>
      <c r="CJ149" s="243"/>
      <c r="CK149" s="171">
        <f t="shared" si="124"/>
        <v>0</v>
      </c>
      <c r="CL149" s="171">
        <f t="shared" si="125"/>
        <v>0.89999999999999991</v>
      </c>
      <c r="CM149" s="171">
        <f t="shared" si="126"/>
        <v>0.89999999999999991</v>
      </c>
      <c r="CN149" s="171">
        <f t="shared" si="127"/>
        <v>0.89999999999999991</v>
      </c>
      <c r="CO149" s="171">
        <f t="shared" si="128"/>
        <v>0.89999999999999991</v>
      </c>
      <c r="CP149" s="171">
        <f t="shared" si="129"/>
        <v>0.89999999999999991</v>
      </c>
      <c r="CQ149" s="171">
        <f t="shared" si="130"/>
        <v>0.89999999999999991</v>
      </c>
      <c r="CR149" s="171">
        <f t="shared" si="131"/>
        <v>0.89999999999999991</v>
      </c>
      <c r="CS149" s="171">
        <f t="shared" si="132"/>
        <v>0.89999999999999991</v>
      </c>
      <c r="CT149" s="171">
        <f t="shared" si="133"/>
        <v>0.89999999999999991</v>
      </c>
      <c r="CU149" s="171">
        <f t="shared" si="134"/>
        <v>0.89999999999999991</v>
      </c>
      <c r="CV149" s="171">
        <f t="shared" si="135"/>
        <v>3.4107317957666359</v>
      </c>
      <c r="CW149" s="171">
        <f t="shared" si="136"/>
        <v>3.4107317957666359</v>
      </c>
      <c r="CX149" s="171">
        <f t="shared" si="137"/>
        <v>3.4107317957666359</v>
      </c>
      <c r="CY149" s="171">
        <f t="shared" ca="1" si="138"/>
        <v>3.2380367917656239</v>
      </c>
      <c r="CZ149" s="171">
        <f t="shared" ca="1" si="139"/>
        <v>3.0740858245850751</v>
      </c>
      <c r="DA149" s="171">
        <f t="shared" ca="1" si="140"/>
        <v>2.9184361588930683</v>
      </c>
      <c r="DB149" s="171">
        <f t="shared" ca="1" si="141"/>
        <v>2.770667476300583</v>
      </c>
      <c r="DC149" s="171">
        <f t="shared" ca="1" si="142"/>
        <v>2.6303807403282358</v>
      </c>
      <c r="DD149" s="171">
        <f t="shared" ca="1" si="143"/>
        <v>2.4971971188429625</v>
      </c>
      <c r="DE149" s="171">
        <f t="shared" ca="1" si="144"/>
        <v>2.3707569610547812</v>
      </c>
      <c r="DF149" s="171">
        <f t="shared" ca="1" si="145"/>
        <v>2.2507188263111026</v>
      </c>
      <c r="DG149" s="171">
        <f t="shared" ca="1" si="146"/>
        <v>2.1367585620659386</v>
      </c>
      <c r="DH149" s="171">
        <f t="shared" ca="1" si="147"/>
        <v>2.0285684285341312</v>
      </c>
      <c r="DI149" s="171">
        <f t="shared" ca="1" si="148"/>
        <v>1.9258562676668218</v>
      </c>
      <c r="DJ149" s="171">
        <f t="shared" ca="1" si="149"/>
        <v>1.8283447142040437</v>
      </c>
      <c r="DK149" s="171">
        <f t="shared" ca="1" si="150"/>
        <v>1.7357704466739499</v>
      </c>
      <c r="DL149" s="171">
        <f t="shared" ca="1" si="151"/>
        <v>1.6478834763160772</v>
      </c>
      <c r="DM149" s="171">
        <f t="shared" ca="1" si="152"/>
        <v>1.564446472008431</v>
      </c>
      <c r="DN149" s="171">
        <f t="shared" ca="1" si="153"/>
        <v>1.485234119375427</v>
      </c>
      <c r="DO149" s="171">
        <f t="shared" ca="1" si="154"/>
        <v>1.4100325123460105</v>
      </c>
      <c r="DP149" s="171">
        <f t="shared" ca="1" si="155"/>
        <v>1.3386385755189083</v>
      </c>
      <c r="DQ149" s="171">
        <f t="shared" ca="1" si="156"/>
        <v>1.2708595157751663</v>
      </c>
      <c r="DR149" s="171">
        <f t="shared" ca="1" si="157"/>
        <v>1.2065123016570929</v>
      </c>
      <c r="DS149" s="171">
        <f t="shared" ca="1" si="158"/>
        <v>1.1454231691077219</v>
      </c>
      <c r="DT149" s="171">
        <f t="shared" ca="1" si="159"/>
        <v>1.087427152236085</v>
      </c>
      <c r="DU149" s="171">
        <f t="shared" ca="1" si="160"/>
        <v>1.0323676378411664</v>
      </c>
      <c r="DV149" s="171">
        <f t="shared" ca="1" si="161"/>
        <v>0.98009594249156984</v>
      </c>
      <c r="DW149" s="171">
        <f t="shared" ca="1" si="162"/>
        <v>0.93047091101884083</v>
      </c>
      <c r="DX149" s="171">
        <f t="shared" ca="1" si="163"/>
        <v>0.88335853534020548</v>
      </c>
      <c r="DY149" s="171">
        <f t="shared" ca="1" si="164"/>
        <v>0.83863159258139608</v>
      </c>
      <c r="DZ149" s="171">
        <f t="shared" ca="1" si="165"/>
        <v>0.79616930152234022</v>
      </c>
      <c r="EA149" s="171">
        <f t="shared" ca="1" si="166"/>
        <v>0.75585699643797666</v>
      </c>
      <c r="EB149" s="171">
        <f t="shared" ca="1" si="167"/>
        <v>0.71758581745343575</v>
      </c>
      <c r="EC149" s="171">
        <f t="shared" ca="1" si="168"/>
        <v>0.68125241657741165</v>
      </c>
      <c r="ED149" s="171">
        <f t="shared" ca="1" si="169"/>
        <v>0.64675867861989766</v>
      </c>
      <c r="EE149" s="171">
        <f t="shared" ca="1" si="170"/>
        <v>0.61401145624064646</v>
      </c>
      <c r="EF149" s="171">
        <f t="shared" ca="1" si="171"/>
        <v>0.58292231841287667</v>
      </c>
      <c r="EG149" s="171">
        <f t="shared" ca="1" si="172"/>
        <v>0.55340731162297341</v>
      </c>
      <c r="EH149" s="171">
        <f t="shared" ca="1" si="173"/>
        <v>0.52538673316132478</v>
      </c>
      <c r="EI149" s="171">
        <f t="shared" ca="1" si="174"/>
        <v>0.4987849158920839</v>
      </c>
      <c r="EJ149" s="171">
        <f t="shared" ca="1" si="175"/>
        <v>0.47353002392064808</v>
      </c>
      <c r="EK149" s="171">
        <f t="shared" ca="1" si="176"/>
        <v>0</v>
      </c>
      <c r="EL149" s="171">
        <f t="shared" ca="1" si="177"/>
        <v>0</v>
      </c>
      <c r="EM149" s="171">
        <f t="shared" ca="1" si="178"/>
        <v>0</v>
      </c>
      <c r="EN149" s="171">
        <f t="shared" ca="1" si="179"/>
        <v>0</v>
      </c>
      <c r="EO149" s="171">
        <f t="shared" ca="1" si="180"/>
        <v>0</v>
      </c>
      <c r="EP149" s="171">
        <f t="shared" ca="1" si="181"/>
        <v>0</v>
      </c>
      <c r="EQ149" s="171">
        <f t="shared" ca="1" si="182"/>
        <v>0</v>
      </c>
      <c r="ER149" s="171">
        <f t="shared" ca="1" si="183"/>
        <v>0</v>
      </c>
      <c r="ES149" s="171">
        <f t="shared" ca="1" si="184"/>
        <v>0</v>
      </c>
    </row>
    <row r="150" spans="1:149">
      <c r="A150" s="139" t="s">
        <v>503</v>
      </c>
      <c r="B150" s="160" t="s">
        <v>504</v>
      </c>
      <c r="C150" s="160" t="s">
        <v>29</v>
      </c>
      <c r="D150" s="161" t="s">
        <v>394</v>
      </c>
      <c r="E150" s="161">
        <v>2011</v>
      </c>
      <c r="F150" s="194" t="s">
        <v>395</v>
      </c>
      <c r="G150" s="194" t="s">
        <v>402</v>
      </c>
      <c r="H150" s="194" t="s">
        <v>396</v>
      </c>
      <c r="I150" s="194" t="s">
        <v>180</v>
      </c>
      <c r="J150" s="194" t="s">
        <v>407</v>
      </c>
      <c r="K150" s="187">
        <v>4.3999999999999997E-2</v>
      </c>
      <c r="L150" s="163" t="s">
        <v>110</v>
      </c>
      <c r="M150" s="164">
        <f t="shared" si="115"/>
        <v>4.3999999999999997E-2</v>
      </c>
      <c r="N150" s="164">
        <f t="shared" si="116"/>
        <v>4.3999999999999997E-2</v>
      </c>
      <c r="O150" s="165">
        <f t="shared" si="117"/>
        <v>1</v>
      </c>
      <c r="P150" s="180">
        <v>4.9550000000000004E-2</v>
      </c>
      <c r="Q150" s="183">
        <v>14.1082910321489</v>
      </c>
      <c r="R150" s="168">
        <f t="shared" si="204"/>
        <v>1.1082910321488999</v>
      </c>
      <c r="S150" s="186">
        <v>1</v>
      </c>
      <c r="T150" s="170" t="s">
        <v>403</v>
      </c>
      <c r="U150" s="171">
        <f t="shared" si="119"/>
        <v>4.5291833054732101E-3</v>
      </c>
      <c r="V150" s="171">
        <f t="shared" ca="1" si="120"/>
        <v>4.4825199109477581E-3</v>
      </c>
      <c r="W150" s="171">
        <f t="shared" ca="1" si="185"/>
        <v>6.324069546105314E-2</v>
      </c>
      <c r="X150" s="172">
        <f t="shared" si="121"/>
        <v>0.49371538134980619</v>
      </c>
      <c r="Y150" s="172">
        <f t="shared" si="122"/>
        <v>0.50628461865019381</v>
      </c>
      <c r="Z150" s="173">
        <f t="shared" si="123"/>
        <v>6.3899036211566201E-2</v>
      </c>
      <c r="AA150" s="171">
        <f t="shared" si="205"/>
        <v>0</v>
      </c>
      <c r="AB150" s="171">
        <f t="shared" si="205"/>
        <v>2.1802000000000002E-3</v>
      </c>
      <c r="AC150" s="171">
        <f t="shared" si="205"/>
        <v>4.4084883008261569E-3</v>
      </c>
      <c r="AD150" s="171">
        <f t="shared" si="205"/>
        <v>4.4084883008261569E-3</v>
      </c>
      <c r="AE150" s="171">
        <f t="shared" si="205"/>
        <v>4.4084883008261569E-3</v>
      </c>
      <c r="AF150" s="171">
        <f t="shared" si="205"/>
        <v>4.4084883008261569E-3</v>
      </c>
      <c r="AG150" s="171">
        <f t="shared" si="205"/>
        <v>4.4084883008261569E-3</v>
      </c>
      <c r="AH150" s="171">
        <f t="shared" si="205"/>
        <v>4.4084883008261569E-3</v>
      </c>
      <c r="AI150" s="171">
        <f t="shared" si="205"/>
        <v>4.4084883008261569E-3</v>
      </c>
      <c r="AJ150" s="171">
        <f t="shared" si="205"/>
        <v>4.4084883008261569E-3</v>
      </c>
      <c r="AK150" s="171">
        <f t="shared" si="206"/>
        <v>4.4084883008261569E-3</v>
      </c>
      <c r="AL150" s="171">
        <f t="shared" si="206"/>
        <v>4.4084883008261569E-3</v>
      </c>
      <c r="AM150" s="171">
        <f t="shared" si="206"/>
        <v>4.4084883008261569E-3</v>
      </c>
      <c r="AN150" s="171">
        <f t="shared" si="206"/>
        <v>4.4084883008261569E-3</v>
      </c>
      <c r="AO150" s="171">
        <f t="shared" si="206"/>
        <v>4.4084883008261569E-3</v>
      </c>
      <c r="AP150" s="171">
        <f t="shared" si="206"/>
        <v>4.4084883008261569E-3</v>
      </c>
      <c r="AQ150" s="171">
        <f t="shared" si="206"/>
        <v>0</v>
      </c>
      <c r="AR150" s="171">
        <f t="shared" si="206"/>
        <v>0</v>
      </c>
      <c r="AS150" s="171">
        <f t="shared" si="206"/>
        <v>0</v>
      </c>
      <c r="AT150" s="171">
        <f t="shared" si="206"/>
        <v>0</v>
      </c>
      <c r="AU150" s="171">
        <f t="shared" si="207"/>
        <v>0</v>
      </c>
      <c r="AV150" s="171">
        <f t="shared" si="207"/>
        <v>0</v>
      </c>
      <c r="AW150" s="171">
        <f t="shared" si="207"/>
        <v>0</v>
      </c>
      <c r="AX150" s="171">
        <f t="shared" si="207"/>
        <v>0</v>
      </c>
      <c r="AY150" s="171">
        <f t="shared" si="207"/>
        <v>0</v>
      </c>
      <c r="AZ150" s="171">
        <f t="shared" si="207"/>
        <v>0</v>
      </c>
      <c r="BA150" s="171">
        <f t="shared" si="207"/>
        <v>0</v>
      </c>
      <c r="BB150" s="171">
        <f t="shared" si="207"/>
        <v>0</v>
      </c>
      <c r="BC150" s="171">
        <f t="shared" si="207"/>
        <v>0</v>
      </c>
      <c r="BD150" s="171">
        <f t="shared" si="207"/>
        <v>0</v>
      </c>
      <c r="BE150" s="171">
        <f t="shared" si="208"/>
        <v>0</v>
      </c>
      <c r="BF150" s="171">
        <f t="shared" si="208"/>
        <v>0</v>
      </c>
      <c r="BG150" s="171">
        <f t="shared" si="208"/>
        <v>0</v>
      </c>
      <c r="BH150" s="171">
        <f t="shared" si="208"/>
        <v>0</v>
      </c>
      <c r="BI150" s="171">
        <f t="shared" si="208"/>
        <v>0</v>
      </c>
      <c r="BJ150" s="171">
        <f t="shared" si="208"/>
        <v>0</v>
      </c>
      <c r="BK150" s="171">
        <f t="shared" si="208"/>
        <v>0</v>
      </c>
      <c r="BL150" s="171">
        <f t="shared" si="208"/>
        <v>0</v>
      </c>
      <c r="BM150" s="171">
        <f t="shared" si="208"/>
        <v>0</v>
      </c>
      <c r="BN150" s="171">
        <f t="shared" si="208"/>
        <v>0</v>
      </c>
      <c r="BO150" s="171">
        <f t="shared" si="209"/>
        <v>0</v>
      </c>
      <c r="BP150" s="171">
        <f t="shared" si="209"/>
        <v>0</v>
      </c>
      <c r="BQ150" s="171">
        <f t="shared" si="209"/>
        <v>0</v>
      </c>
      <c r="BR150" s="171">
        <f t="shared" si="209"/>
        <v>0</v>
      </c>
      <c r="BS150" s="171">
        <f t="shared" si="209"/>
        <v>0</v>
      </c>
      <c r="BT150" s="171">
        <f t="shared" si="209"/>
        <v>0</v>
      </c>
      <c r="BU150" s="171">
        <f t="shared" si="209"/>
        <v>0</v>
      </c>
      <c r="BV150" s="171">
        <f t="shared" si="209"/>
        <v>0</v>
      </c>
      <c r="BW150" s="171">
        <f t="shared" si="209"/>
        <v>0</v>
      </c>
      <c r="BX150" s="171">
        <f t="shared" si="209"/>
        <v>0</v>
      </c>
      <c r="BY150" s="171">
        <f t="shared" si="210"/>
        <v>0</v>
      </c>
      <c r="BZ150" s="171">
        <f t="shared" si="210"/>
        <v>0</v>
      </c>
      <c r="CA150" s="171">
        <f t="shared" si="210"/>
        <v>0</v>
      </c>
      <c r="CB150" s="171">
        <f t="shared" si="210"/>
        <v>0</v>
      </c>
      <c r="CC150" s="171">
        <f t="shared" si="210"/>
        <v>0</v>
      </c>
      <c r="CD150" s="171">
        <f t="shared" si="210"/>
        <v>0</v>
      </c>
      <c r="CE150" s="171">
        <f t="shared" si="210"/>
        <v>0</v>
      </c>
      <c r="CF150" s="171">
        <f t="shared" si="210"/>
        <v>0</v>
      </c>
      <c r="CG150" s="171">
        <f t="shared" si="210"/>
        <v>0</v>
      </c>
      <c r="CH150" s="171">
        <f t="shared" si="210"/>
        <v>0</v>
      </c>
      <c r="CI150" s="171">
        <f t="shared" si="210"/>
        <v>0</v>
      </c>
      <c r="CJ150" s="243"/>
      <c r="CK150" s="171">
        <f t="shared" si="124"/>
        <v>0</v>
      </c>
      <c r="CL150" s="171">
        <f t="shared" si="125"/>
        <v>2.1802000000000002E-3</v>
      </c>
      <c r="CM150" s="171">
        <f t="shared" si="126"/>
        <v>4.4084883008261569E-3</v>
      </c>
      <c r="CN150" s="171">
        <f t="shared" si="127"/>
        <v>4.4084883008261569E-3</v>
      </c>
      <c r="CO150" s="171">
        <f t="shared" si="128"/>
        <v>4.4084883008261569E-3</v>
      </c>
      <c r="CP150" s="171">
        <f t="shared" si="129"/>
        <v>4.4084883008261569E-3</v>
      </c>
      <c r="CQ150" s="171">
        <f t="shared" si="130"/>
        <v>4.4084883008261569E-3</v>
      </c>
      <c r="CR150" s="171">
        <f t="shared" si="131"/>
        <v>4.4084883008261569E-3</v>
      </c>
      <c r="CS150" s="171">
        <f t="shared" si="132"/>
        <v>4.4084883008261569E-3</v>
      </c>
      <c r="CT150" s="171">
        <f t="shared" si="133"/>
        <v>4.4084883008261569E-3</v>
      </c>
      <c r="CU150" s="171">
        <f t="shared" si="134"/>
        <v>4.4084883008261569E-3</v>
      </c>
      <c r="CV150" s="171">
        <f t="shared" si="135"/>
        <v>4.4084883008261569E-3</v>
      </c>
      <c r="CW150" s="171">
        <f t="shared" si="136"/>
        <v>4.4084883008261569E-3</v>
      </c>
      <c r="CX150" s="171">
        <f t="shared" si="137"/>
        <v>4.4084883008261569E-3</v>
      </c>
      <c r="CY150" s="171">
        <f t="shared" ca="1" si="138"/>
        <v>4.1852740610860122E-3</v>
      </c>
      <c r="CZ150" s="171">
        <f t="shared" ca="1" si="139"/>
        <v>3.9733617900532432E-3</v>
      </c>
      <c r="DA150" s="171">
        <f t="shared" ca="1" si="140"/>
        <v>0</v>
      </c>
      <c r="DB150" s="171">
        <f t="shared" ca="1" si="141"/>
        <v>0</v>
      </c>
      <c r="DC150" s="171">
        <f t="shared" ca="1" si="142"/>
        <v>0</v>
      </c>
      <c r="DD150" s="171">
        <f t="shared" ca="1" si="143"/>
        <v>0</v>
      </c>
      <c r="DE150" s="171">
        <f t="shared" ca="1" si="144"/>
        <v>0</v>
      </c>
      <c r="DF150" s="171">
        <f t="shared" ca="1" si="145"/>
        <v>0</v>
      </c>
      <c r="DG150" s="171">
        <f t="shared" ca="1" si="146"/>
        <v>0</v>
      </c>
      <c r="DH150" s="171">
        <f t="shared" ca="1" si="147"/>
        <v>0</v>
      </c>
      <c r="DI150" s="171">
        <f t="shared" ca="1" si="148"/>
        <v>0</v>
      </c>
      <c r="DJ150" s="171">
        <f t="shared" ca="1" si="149"/>
        <v>0</v>
      </c>
      <c r="DK150" s="171">
        <f t="shared" ca="1" si="150"/>
        <v>0</v>
      </c>
      <c r="DL150" s="171">
        <f t="shared" ca="1" si="151"/>
        <v>0</v>
      </c>
      <c r="DM150" s="171">
        <f t="shared" ca="1" si="152"/>
        <v>0</v>
      </c>
      <c r="DN150" s="171">
        <f t="shared" ca="1" si="153"/>
        <v>0</v>
      </c>
      <c r="DO150" s="171">
        <f t="shared" ca="1" si="154"/>
        <v>0</v>
      </c>
      <c r="DP150" s="171">
        <f t="shared" ca="1" si="155"/>
        <v>0</v>
      </c>
      <c r="DQ150" s="171">
        <f t="shared" ca="1" si="156"/>
        <v>0</v>
      </c>
      <c r="DR150" s="171">
        <f t="shared" ca="1" si="157"/>
        <v>0</v>
      </c>
      <c r="DS150" s="171">
        <f t="shared" ca="1" si="158"/>
        <v>0</v>
      </c>
      <c r="DT150" s="171">
        <f t="shared" ca="1" si="159"/>
        <v>0</v>
      </c>
      <c r="DU150" s="171">
        <f t="shared" ca="1" si="160"/>
        <v>0</v>
      </c>
      <c r="DV150" s="171">
        <f t="shared" ca="1" si="161"/>
        <v>0</v>
      </c>
      <c r="DW150" s="171">
        <f t="shared" ca="1" si="162"/>
        <v>0</v>
      </c>
      <c r="DX150" s="171">
        <f t="shared" ca="1" si="163"/>
        <v>0</v>
      </c>
      <c r="DY150" s="171">
        <f t="shared" ca="1" si="164"/>
        <v>0</v>
      </c>
      <c r="DZ150" s="171">
        <f t="shared" ca="1" si="165"/>
        <v>0</v>
      </c>
      <c r="EA150" s="171">
        <f t="shared" ca="1" si="166"/>
        <v>0</v>
      </c>
      <c r="EB150" s="171">
        <f t="shared" ca="1" si="167"/>
        <v>0</v>
      </c>
      <c r="EC150" s="171">
        <f t="shared" ca="1" si="168"/>
        <v>0</v>
      </c>
      <c r="ED150" s="171">
        <f t="shared" ca="1" si="169"/>
        <v>0</v>
      </c>
      <c r="EE150" s="171">
        <f t="shared" ca="1" si="170"/>
        <v>0</v>
      </c>
      <c r="EF150" s="171">
        <f t="shared" ca="1" si="171"/>
        <v>0</v>
      </c>
      <c r="EG150" s="171">
        <f t="shared" ca="1" si="172"/>
        <v>0</v>
      </c>
      <c r="EH150" s="171">
        <f t="shared" ca="1" si="173"/>
        <v>0</v>
      </c>
      <c r="EI150" s="171">
        <f t="shared" ca="1" si="174"/>
        <v>0</v>
      </c>
      <c r="EJ150" s="171">
        <f t="shared" ca="1" si="175"/>
        <v>0</v>
      </c>
      <c r="EK150" s="171">
        <f t="shared" ca="1" si="176"/>
        <v>0</v>
      </c>
      <c r="EL150" s="171">
        <f t="shared" ca="1" si="177"/>
        <v>0</v>
      </c>
      <c r="EM150" s="171">
        <f t="shared" ca="1" si="178"/>
        <v>0</v>
      </c>
      <c r="EN150" s="171">
        <f t="shared" ca="1" si="179"/>
        <v>0</v>
      </c>
      <c r="EO150" s="171">
        <f t="shared" ca="1" si="180"/>
        <v>0</v>
      </c>
      <c r="EP150" s="171">
        <f t="shared" ca="1" si="181"/>
        <v>0</v>
      </c>
      <c r="EQ150" s="171">
        <f t="shared" ca="1" si="182"/>
        <v>0</v>
      </c>
      <c r="ER150" s="171">
        <f t="shared" ca="1" si="183"/>
        <v>0</v>
      </c>
      <c r="ES150" s="171">
        <f t="shared" ca="1" si="184"/>
        <v>0</v>
      </c>
    </row>
    <row r="151" spans="1:149">
      <c r="A151" s="139" t="s">
        <v>503</v>
      </c>
      <c r="B151" s="160" t="s">
        <v>409</v>
      </c>
      <c r="C151" s="161" t="s">
        <v>29</v>
      </c>
      <c r="D151" s="161" t="s">
        <v>394</v>
      </c>
      <c r="E151" s="161">
        <v>2011</v>
      </c>
      <c r="F151" s="161" t="s">
        <v>395</v>
      </c>
      <c r="G151" s="161" t="s">
        <v>402</v>
      </c>
      <c r="H151" s="161" t="s">
        <v>396</v>
      </c>
      <c r="I151" s="161" t="s">
        <v>178</v>
      </c>
      <c r="J151" s="161" t="s">
        <v>397</v>
      </c>
      <c r="K151" s="184">
        <v>13.5</v>
      </c>
      <c r="L151" s="163" t="s">
        <v>110</v>
      </c>
      <c r="M151" s="164">
        <f t="shared" si="115"/>
        <v>13.5</v>
      </c>
      <c r="N151" s="164">
        <f t="shared" si="116"/>
        <v>13.5</v>
      </c>
      <c r="O151" s="165">
        <f t="shared" si="117"/>
        <v>1</v>
      </c>
      <c r="P151" s="180">
        <v>2.3903633306096857E-2</v>
      </c>
      <c r="Q151" s="183">
        <v>32.668289591298226</v>
      </c>
      <c r="R151" s="168">
        <f t="shared" si="204"/>
        <v>19.668289591298226</v>
      </c>
      <c r="S151" s="183">
        <v>6.9579862261231415</v>
      </c>
      <c r="T151" s="170" t="s">
        <v>403</v>
      </c>
      <c r="U151" s="171">
        <f t="shared" si="119"/>
        <v>0.61802056602862454</v>
      </c>
      <c r="V151" s="171">
        <f t="shared" ca="1" si="120"/>
        <v>0.45161447331667776</v>
      </c>
      <c r="W151" s="171">
        <f t="shared" ca="1" si="185"/>
        <v>14.753472397930855</v>
      </c>
      <c r="X151" s="172">
        <f t="shared" si="121"/>
        <v>0.17920836052863021</v>
      </c>
      <c r="Y151" s="172">
        <f t="shared" si="122"/>
        <v>0.82079163947136979</v>
      </c>
      <c r="Z151" s="173">
        <f t="shared" si="123"/>
        <v>20.189674824401152</v>
      </c>
      <c r="AA151" s="171">
        <f t="shared" si="205"/>
        <v>0</v>
      </c>
      <c r="AB151" s="171">
        <f t="shared" si="205"/>
        <v>0.32269904963230756</v>
      </c>
      <c r="AC151" s="171">
        <f t="shared" si="205"/>
        <v>0.32269904963230756</v>
      </c>
      <c r="AD151" s="171">
        <f t="shared" si="205"/>
        <v>0.32269904963230756</v>
      </c>
      <c r="AE151" s="171">
        <f t="shared" si="205"/>
        <v>0.32269904963230756</v>
      </c>
      <c r="AF151" s="171">
        <f t="shared" si="205"/>
        <v>0.32269904963230756</v>
      </c>
      <c r="AG151" s="171">
        <f t="shared" si="205"/>
        <v>0.32269904963230756</v>
      </c>
      <c r="AH151" s="171">
        <f t="shared" si="205"/>
        <v>0.32269904963230756</v>
      </c>
      <c r="AI151" s="171">
        <f t="shared" si="205"/>
        <v>0.68964544142211537</v>
      </c>
      <c r="AJ151" s="171">
        <f t="shared" si="205"/>
        <v>0.68964544142211537</v>
      </c>
      <c r="AK151" s="171">
        <f t="shared" si="206"/>
        <v>0.68964544142211537</v>
      </c>
      <c r="AL151" s="171">
        <f t="shared" si="206"/>
        <v>0.68964544142211537</v>
      </c>
      <c r="AM151" s="171">
        <f t="shared" si="206"/>
        <v>0.68964544142211537</v>
      </c>
      <c r="AN151" s="171">
        <f t="shared" si="206"/>
        <v>0.68964544142211537</v>
      </c>
      <c r="AO151" s="171">
        <f t="shared" si="206"/>
        <v>0.68964544142211537</v>
      </c>
      <c r="AP151" s="171">
        <f t="shared" si="206"/>
        <v>0.68964544142211537</v>
      </c>
      <c r="AQ151" s="171">
        <f t="shared" si="206"/>
        <v>0.68964544142211537</v>
      </c>
      <c r="AR151" s="171">
        <f t="shared" si="206"/>
        <v>0.68964544142211537</v>
      </c>
      <c r="AS151" s="171">
        <f t="shared" si="206"/>
        <v>0.68964544142211537</v>
      </c>
      <c r="AT151" s="171">
        <f t="shared" si="206"/>
        <v>0.68964544142211537</v>
      </c>
      <c r="AU151" s="171">
        <f t="shared" si="207"/>
        <v>0.68964544142211537</v>
      </c>
      <c r="AV151" s="171">
        <f t="shared" si="207"/>
        <v>0.68964544142211537</v>
      </c>
      <c r="AW151" s="171">
        <f t="shared" si="207"/>
        <v>0.68964544142211537</v>
      </c>
      <c r="AX151" s="171">
        <f t="shared" si="207"/>
        <v>0.68964544142211537</v>
      </c>
      <c r="AY151" s="171">
        <f t="shared" si="207"/>
        <v>0.68964544142211537</v>
      </c>
      <c r="AZ151" s="171">
        <f t="shared" si="207"/>
        <v>0.68964544142211537</v>
      </c>
      <c r="BA151" s="171">
        <f t="shared" si="207"/>
        <v>0.68964544142211537</v>
      </c>
      <c r="BB151" s="171">
        <f t="shared" si="207"/>
        <v>0.68964544142211537</v>
      </c>
      <c r="BC151" s="171">
        <f t="shared" si="207"/>
        <v>0.68964544142211537</v>
      </c>
      <c r="BD151" s="171">
        <f t="shared" si="207"/>
        <v>0.68964544142211537</v>
      </c>
      <c r="BE151" s="171">
        <f t="shared" si="208"/>
        <v>0.68964544142211537</v>
      </c>
      <c r="BF151" s="171">
        <f t="shared" si="208"/>
        <v>0.68964544142211537</v>
      </c>
      <c r="BG151" s="171">
        <f t="shared" si="208"/>
        <v>0.68964544142211537</v>
      </c>
      <c r="BH151" s="171">
        <f t="shared" si="208"/>
        <v>0.68964544142211537</v>
      </c>
      <c r="BI151" s="171">
        <f t="shared" si="208"/>
        <v>0</v>
      </c>
      <c r="BJ151" s="171">
        <f t="shared" si="208"/>
        <v>0</v>
      </c>
      <c r="BK151" s="171">
        <f t="shared" si="208"/>
        <v>0</v>
      </c>
      <c r="BL151" s="171">
        <f t="shared" si="208"/>
        <v>0</v>
      </c>
      <c r="BM151" s="171">
        <f t="shared" si="208"/>
        <v>0</v>
      </c>
      <c r="BN151" s="171">
        <f t="shared" si="208"/>
        <v>0</v>
      </c>
      <c r="BO151" s="171">
        <f t="shared" si="209"/>
        <v>0</v>
      </c>
      <c r="BP151" s="171">
        <f t="shared" si="209"/>
        <v>0</v>
      </c>
      <c r="BQ151" s="171">
        <f t="shared" si="209"/>
        <v>0</v>
      </c>
      <c r="BR151" s="171">
        <f t="shared" si="209"/>
        <v>0</v>
      </c>
      <c r="BS151" s="171">
        <f t="shared" si="209"/>
        <v>0</v>
      </c>
      <c r="BT151" s="171">
        <f t="shared" si="209"/>
        <v>0</v>
      </c>
      <c r="BU151" s="171">
        <f t="shared" si="209"/>
        <v>0</v>
      </c>
      <c r="BV151" s="171">
        <f t="shared" si="209"/>
        <v>0</v>
      </c>
      <c r="BW151" s="171">
        <f t="shared" si="209"/>
        <v>0</v>
      </c>
      <c r="BX151" s="171">
        <f t="shared" si="209"/>
        <v>0</v>
      </c>
      <c r="BY151" s="171">
        <f t="shared" si="210"/>
        <v>0</v>
      </c>
      <c r="BZ151" s="171">
        <f t="shared" si="210"/>
        <v>0</v>
      </c>
      <c r="CA151" s="171">
        <f t="shared" si="210"/>
        <v>0</v>
      </c>
      <c r="CB151" s="171">
        <f t="shared" si="210"/>
        <v>0</v>
      </c>
      <c r="CC151" s="171">
        <f t="shared" si="210"/>
        <v>0</v>
      </c>
      <c r="CD151" s="171">
        <f t="shared" si="210"/>
        <v>0</v>
      </c>
      <c r="CE151" s="171">
        <f t="shared" si="210"/>
        <v>0</v>
      </c>
      <c r="CF151" s="171">
        <f t="shared" si="210"/>
        <v>0</v>
      </c>
      <c r="CG151" s="171">
        <f t="shared" si="210"/>
        <v>0</v>
      </c>
      <c r="CH151" s="171">
        <f t="shared" si="210"/>
        <v>0</v>
      </c>
      <c r="CI151" s="171">
        <f t="shared" si="210"/>
        <v>0</v>
      </c>
      <c r="CJ151" s="243"/>
      <c r="CK151" s="171">
        <f t="shared" si="124"/>
        <v>0</v>
      </c>
      <c r="CL151" s="171">
        <f t="shared" si="125"/>
        <v>0.32269904963230756</v>
      </c>
      <c r="CM151" s="171">
        <f t="shared" si="126"/>
        <v>0.32269904963230756</v>
      </c>
      <c r="CN151" s="171">
        <f t="shared" si="127"/>
        <v>0.32269904963230756</v>
      </c>
      <c r="CO151" s="171">
        <f t="shared" si="128"/>
        <v>0.32269904963230756</v>
      </c>
      <c r="CP151" s="171">
        <f t="shared" si="129"/>
        <v>0.32269904963230756</v>
      </c>
      <c r="CQ151" s="171">
        <f t="shared" si="130"/>
        <v>0.32269904963230756</v>
      </c>
      <c r="CR151" s="171">
        <f t="shared" si="131"/>
        <v>0.32269904963230756</v>
      </c>
      <c r="CS151" s="171">
        <f t="shared" si="132"/>
        <v>0.68964544142211537</v>
      </c>
      <c r="CT151" s="171">
        <f t="shared" si="133"/>
        <v>0.68964544142211537</v>
      </c>
      <c r="CU151" s="171">
        <f t="shared" si="134"/>
        <v>0.68964544142211537</v>
      </c>
      <c r="CV151" s="171">
        <f t="shared" si="135"/>
        <v>0.68964544142211537</v>
      </c>
      <c r="CW151" s="171">
        <f t="shared" si="136"/>
        <v>0.68964544142211537</v>
      </c>
      <c r="CX151" s="171">
        <f t="shared" si="137"/>
        <v>0.68964544142211537</v>
      </c>
      <c r="CY151" s="171">
        <f t="shared" ca="1" si="138"/>
        <v>0.65472674086245963</v>
      </c>
      <c r="CZ151" s="171">
        <f t="shared" ca="1" si="139"/>
        <v>0.62157607294035833</v>
      </c>
      <c r="DA151" s="171">
        <f t="shared" ca="1" si="140"/>
        <v>0.59010391715941957</v>
      </c>
      <c r="DB151" s="171">
        <f t="shared" ca="1" si="141"/>
        <v>0.56022528569934804</v>
      </c>
      <c r="DC151" s="171">
        <f t="shared" ca="1" si="142"/>
        <v>0.531859493913726</v>
      </c>
      <c r="DD151" s="171">
        <f t="shared" ca="1" si="143"/>
        <v>0.50492994244814027</v>
      </c>
      <c r="DE151" s="171">
        <f t="shared" ca="1" si="144"/>
        <v>0.47936391039028614</v>
      </c>
      <c r="DF151" s="171">
        <f t="shared" ca="1" si="145"/>
        <v>0.45509235889346611</v>
      </c>
      <c r="DG151" s="171">
        <f t="shared" ca="1" si="146"/>
        <v>0.43204974474318758</v>
      </c>
      <c r="DH151" s="171">
        <f t="shared" ca="1" si="147"/>
        <v>0.41017384336341045</v>
      </c>
      <c r="DI151" s="171">
        <f t="shared" ca="1" si="148"/>
        <v>0.38940558078448989</v>
      </c>
      <c r="DJ151" s="171">
        <f t="shared" ca="1" si="149"/>
        <v>0.3696888741190576</v>
      </c>
      <c r="DK151" s="171">
        <f t="shared" ca="1" si="150"/>
        <v>0.35097048011506049</v>
      </c>
      <c r="DL151" s="171">
        <f t="shared" ca="1" si="151"/>
        <v>0.33319985137698815</v>
      </c>
      <c r="DM151" s="171">
        <f t="shared" ca="1" si="152"/>
        <v>0.31632899986702601</v>
      </c>
      <c r="DN151" s="171">
        <f t="shared" ca="1" si="153"/>
        <v>0.3003123673175313</v>
      </c>
      <c r="DO151" s="171">
        <f t="shared" ca="1" si="154"/>
        <v>0.28510670220489315</v>
      </c>
      <c r="DP151" s="171">
        <f t="shared" ca="1" si="155"/>
        <v>0.27067094295255284</v>
      </c>
      <c r="DQ151" s="171">
        <f t="shared" ca="1" si="156"/>
        <v>0.25696610704778711</v>
      </c>
      <c r="DR151" s="171">
        <f t="shared" ca="1" si="157"/>
        <v>0.24395518577282135</v>
      </c>
      <c r="DS151" s="171">
        <f t="shared" ca="1" si="158"/>
        <v>0</v>
      </c>
      <c r="DT151" s="171">
        <f t="shared" ca="1" si="159"/>
        <v>0</v>
      </c>
      <c r="DU151" s="171">
        <f t="shared" ca="1" si="160"/>
        <v>0</v>
      </c>
      <c r="DV151" s="171">
        <f t="shared" ca="1" si="161"/>
        <v>0</v>
      </c>
      <c r="DW151" s="171">
        <f t="shared" ca="1" si="162"/>
        <v>0</v>
      </c>
      <c r="DX151" s="171">
        <f t="shared" ca="1" si="163"/>
        <v>0</v>
      </c>
      <c r="DY151" s="171">
        <f t="shared" ca="1" si="164"/>
        <v>0</v>
      </c>
      <c r="DZ151" s="171">
        <f t="shared" ca="1" si="165"/>
        <v>0</v>
      </c>
      <c r="EA151" s="171">
        <f t="shared" ca="1" si="166"/>
        <v>0</v>
      </c>
      <c r="EB151" s="171">
        <f t="shared" ca="1" si="167"/>
        <v>0</v>
      </c>
      <c r="EC151" s="171">
        <f t="shared" ca="1" si="168"/>
        <v>0</v>
      </c>
      <c r="ED151" s="171">
        <f t="shared" ca="1" si="169"/>
        <v>0</v>
      </c>
      <c r="EE151" s="171">
        <f t="shared" ca="1" si="170"/>
        <v>0</v>
      </c>
      <c r="EF151" s="171">
        <f t="shared" ca="1" si="171"/>
        <v>0</v>
      </c>
      <c r="EG151" s="171">
        <f t="shared" ca="1" si="172"/>
        <v>0</v>
      </c>
      <c r="EH151" s="171">
        <f t="shared" ca="1" si="173"/>
        <v>0</v>
      </c>
      <c r="EI151" s="171">
        <f t="shared" ca="1" si="174"/>
        <v>0</v>
      </c>
      <c r="EJ151" s="171">
        <f t="shared" ca="1" si="175"/>
        <v>0</v>
      </c>
      <c r="EK151" s="171">
        <f t="shared" ca="1" si="176"/>
        <v>0</v>
      </c>
      <c r="EL151" s="171">
        <f t="shared" ca="1" si="177"/>
        <v>0</v>
      </c>
      <c r="EM151" s="171">
        <f t="shared" ca="1" si="178"/>
        <v>0</v>
      </c>
      <c r="EN151" s="171">
        <f t="shared" ca="1" si="179"/>
        <v>0</v>
      </c>
      <c r="EO151" s="171">
        <f t="shared" ca="1" si="180"/>
        <v>0</v>
      </c>
      <c r="EP151" s="171">
        <f t="shared" ca="1" si="181"/>
        <v>0</v>
      </c>
      <c r="EQ151" s="171">
        <f t="shared" ca="1" si="182"/>
        <v>0</v>
      </c>
      <c r="ER151" s="171">
        <f t="shared" ca="1" si="183"/>
        <v>0</v>
      </c>
      <c r="ES151" s="171">
        <f t="shared" ca="1" si="184"/>
        <v>0</v>
      </c>
    </row>
    <row r="152" spans="1:149">
      <c r="A152" s="139" t="s">
        <v>503</v>
      </c>
      <c r="B152" s="160" t="s">
        <v>505</v>
      </c>
      <c r="C152" s="160" t="s">
        <v>29</v>
      </c>
      <c r="D152" s="161" t="s">
        <v>394</v>
      </c>
      <c r="E152" s="161">
        <v>2011</v>
      </c>
      <c r="F152" s="194" t="s">
        <v>395</v>
      </c>
      <c r="G152" s="160" t="s">
        <v>402</v>
      </c>
      <c r="H152" s="194" t="s">
        <v>396</v>
      </c>
      <c r="I152" s="198" t="s">
        <v>176</v>
      </c>
      <c r="J152" s="194" t="s">
        <v>397</v>
      </c>
      <c r="K152" s="187">
        <v>3</v>
      </c>
      <c r="L152" s="163" t="s">
        <v>110</v>
      </c>
      <c r="M152" s="164">
        <f t="shared" si="115"/>
        <v>3</v>
      </c>
      <c r="N152" s="164">
        <f t="shared" si="116"/>
        <v>3</v>
      </c>
      <c r="O152" s="165">
        <f t="shared" si="117"/>
        <v>1</v>
      </c>
      <c r="P152" s="180">
        <v>2.4058710569794983E-2</v>
      </c>
      <c r="Q152" s="183">
        <v>23.583342661777632</v>
      </c>
      <c r="R152" s="168">
        <f t="shared" si="204"/>
        <v>10.583342661777632</v>
      </c>
      <c r="S152" s="186">
        <v>6.5440636898279223</v>
      </c>
      <c r="T152" s="170" t="s">
        <v>403</v>
      </c>
      <c r="U152" s="171">
        <f t="shared" si="119"/>
        <v>0.17060709040642899</v>
      </c>
      <c r="V152" s="171">
        <f t="shared" ca="1" si="120"/>
        <v>0.14571007165702834</v>
      </c>
      <c r="W152" s="171">
        <f t="shared" ca="1" si="185"/>
        <v>3.4363305491598721</v>
      </c>
      <c r="X152" s="172">
        <f t="shared" si="121"/>
        <v>0.20135495345148102</v>
      </c>
      <c r="Y152" s="172">
        <f t="shared" si="122"/>
        <v>0.79864504654851898</v>
      </c>
      <c r="Z152" s="173">
        <f t="shared" si="123"/>
        <v>4.0234854735836905</v>
      </c>
      <c r="AA152" s="171">
        <f t="shared" si="205"/>
        <v>0</v>
      </c>
      <c r="AB152" s="171">
        <f t="shared" si="205"/>
        <v>7.2176131709384944E-2</v>
      </c>
      <c r="AC152" s="171">
        <f t="shared" si="205"/>
        <v>7.2176131709384944E-2</v>
      </c>
      <c r="AD152" s="171">
        <f t="shared" si="205"/>
        <v>7.2176131709384944E-2</v>
      </c>
      <c r="AE152" s="171">
        <f t="shared" si="205"/>
        <v>7.2176131709384944E-2</v>
      </c>
      <c r="AF152" s="171">
        <f t="shared" si="205"/>
        <v>7.2176131709384944E-2</v>
      </c>
      <c r="AG152" s="171">
        <f t="shared" si="205"/>
        <v>7.2176131709384944E-2</v>
      </c>
      <c r="AH152" s="171">
        <f t="shared" si="205"/>
        <v>7.2176131709384944E-2</v>
      </c>
      <c r="AI152" s="171">
        <f t="shared" si="205"/>
        <v>0.20695603244811742</v>
      </c>
      <c r="AJ152" s="171">
        <f t="shared" si="205"/>
        <v>0.20695603244811742</v>
      </c>
      <c r="AK152" s="171">
        <f t="shared" si="206"/>
        <v>0.20695603244811742</v>
      </c>
      <c r="AL152" s="171">
        <f t="shared" si="206"/>
        <v>0.20695603244811742</v>
      </c>
      <c r="AM152" s="171">
        <f t="shared" si="206"/>
        <v>0.20695603244811742</v>
      </c>
      <c r="AN152" s="171">
        <f t="shared" si="206"/>
        <v>0.20695603244811742</v>
      </c>
      <c r="AO152" s="171">
        <f t="shared" si="206"/>
        <v>0.20695603244811742</v>
      </c>
      <c r="AP152" s="171">
        <f t="shared" si="206"/>
        <v>0.20695603244811742</v>
      </c>
      <c r="AQ152" s="171">
        <f t="shared" si="206"/>
        <v>0.20695603244811742</v>
      </c>
      <c r="AR152" s="171">
        <f t="shared" si="206"/>
        <v>0.20695603244811742</v>
      </c>
      <c r="AS152" s="171">
        <f t="shared" si="206"/>
        <v>0.20695603244811742</v>
      </c>
      <c r="AT152" s="171">
        <f t="shared" si="206"/>
        <v>0.20695603244811742</v>
      </c>
      <c r="AU152" s="171">
        <f t="shared" si="207"/>
        <v>0.20695603244811742</v>
      </c>
      <c r="AV152" s="171">
        <f t="shared" si="207"/>
        <v>0.20695603244811742</v>
      </c>
      <c r="AW152" s="171">
        <f t="shared" si="207"/>
        <v>0.20695603244811742</v>
      </c>
      <c r="AX152" s="171">
        <f t="shared" si="207"/>
        <v>0.20695603244811742</v>
      </c>
      <c r="AY152" s="171">
        <f t="shared" si="207"/>
        <v>0.20695603244811742</v>
      </c>
      <c r="AZ152" s="171">
        <f t="shared" si="207"/>
        <v>0</v>
      </c>
      <c r="BA152" s="171">
        <f t="shared" si="207"/>
        <v>0</v>
      </c>
      <c r="BB152" s="171">
        <f t="shared" si="207"/>
        <v>0</v>
      </c>
      <c r="BC152" s="171">
        <f t="shared" si="207"/>
        <v>0</v>
      </c>
      <c r="BD152" s="171">
        <f t="shared" si="207"/>
        <v>0</v>
      </c>
      <c r="BE152" s="171">
        <f t="shared" si="208"/>
        <v>0</v>
      </c>
      <c r="BF152" s="171">
        <f t="shared" si="208"/>
        <v>0</v>
      </c>
      <c r="BG152" s="171">
        <f t="shared" si="208"/>
        <v>0</v>
      </c>
      <c r="BH152" s="171">
        <f t="shared" si="208"/>
        <v>0</v>
      </c>
      <c r="BI152" s="171">
        <f t="shared" si="208"/>
        <v>0</v>
      </c>
      <c r="BJ152" s="171">
        <f t="shared" si="208"/>
        <v>0</v>
      </c>
      <c r="BK152" s="171">
        <f t="shared" si="208"/>
        <v>0</v>
      </c>
      <c r="BL152" s="171">
        <f t="shared" si="208"/>
        <v>0</v>
      </c>
      <c r="BM152" s="171">
        <f t="shared" si="208"/>
        <v>0</v>
      </c>
      <c r="BN152" s="171">
        <f t="shared" si="208"/>
        <v>0</v>
      </c>
      <c r="BO152" s="171">
        <f t="shared" si="209"/>
        <v>0</v>
      </c>
      <c r="BP152" s="171">
        <f t="shared" si="209"/>
        <v>0</v>
      </c>
      <c r="BQ152" s="171">
        <f t="shared" si="209"/>
        <v>0</v>
      </c>
      <c r="BR152" s="171">
        <f t="shared" si="209"/>
        <v>0</v>
      </c>
      <c r="BS152" s="171">
        <f t="shared" si="209"/>
        <v>0</v>
      </c>
      <c r="BT152" s="171">
        <f t="shared" si="209"/>
        <v>0</v>
      </c>
      <c r="BU152" s="171">
        <f t="shared" si="209"/>
        <v>0</v>
      </c>
      <c r="BV152" s="171">
        <f t="shared" si="209"/>
        <v>0</v>
      </c>
      <c r="BW152" s="171">
        <f t="shared" si="209"/>
        <v>0</v>
      </c>
      <c r="BX152" s="171">
        <f t="shared" si="209"/>
        <v>0</v>
      </c>
      <c r="BY152" s="171">
        <f t="shared" si="210"/>
        <v>0</v>
      </c>
      <c r="BZ152" s="171">
        <f t="shared" si="210"/>
        <v>0</v>
      </c>
      <c r="CA152" s="171">
        <f t="shared" si="210"/>
        <v>0</v>
      </c>
      <c r="CB152" s="171">
        <f t="shared" si="210"/>
        <v>0</v>
      </c>
      <c r="CC152" s="171">
        <f t="shared" si="210"/>
        <v>0</v>
      </c>
      <c r="CD152" s="171">
        <f t="shared" si="210"/>
        <v>0</v>
      </c>
      <c r="CE152" s="171">
        <f t="shared" si="210"/>
        <v>0</v>
      </c>
      <c r="CF152" s="171">
        <f t="shared" si="210"/>
        <v>0</v>
      </c>
      <c r="CG152" s="171">
        <f t="shared" si="210"/>
        <v>0</v>
      </c>
      <c r="CH152" s="171">
        <f t="shared" si="210"/>
        <v>0</v>
      </c>
      <c r="CI152" s="171">
        <f t="shared" si="210"/>
        <v>0</v>
      </c>
      <c r="CJ152" s="243"/>
      <c r="CK152" s="171">
        <f t="shared" si="124"/>
        <v>0</v>
      </c>
      <c r="CL152" s="171">
        <f t="shared" si="125"/>
        <v>7.2176131709384944E-2</v>
      </c>
      <c r="CM152" s="171">
        <f t="shared" si="126"/>
        <v>7.2176131709384944E-2</v>
      </c>
      <c r="CN152" s="171">
        <f t="shared" si="127"/>
        <v>7.2176131709384944E-2</v>
      </c>
      <c r="CO152" s="171">
        <f t="shared" si="128"/>
        <v>7.2176131709384944E-2</v>
      </c>
      <c r="CP152" s="171">
        <f t="shared" si="129"/>
        <v>7.2176131709384944E-2</v>
      </c>
      <c r="CQ152" s="171">
        <f t="shared" si="130"/>
        <v>7.2176131709384944E-2</v>
      </c>
      <c r="CR152" s="171">
        <f t="shared" si="131"/>
        <v>7.2176131709384944E-2</v>
      </c>
      <c r="CS152" s="171">
        <f t="shared" si="132"/>
        <v>0.20695603244811742</v>
      </c>
      <c r="CT152" s="171">
        <f t="shared" si="133"/>
        <v>0.20695603244811742</v>
      </c>
      <c r="CU152" s="171">
        <f t="shared" si="134"/>
        <v>0.20695603244811742</v>
      </c>
      <c r="CV152" s="171">
        <f t="shared" si="135"/>
        <v>0.20695603244811742</v>
      </c>
      <c r="CW152" s="171">
        <f t="shared" si="136"/>
        <v>0.20695603244811742</v>
      </c>
      <c r="CX152" s="171">
        <f t="shared" si="137"/>
        <v>0.20695603244811742</v>
      </c>
      <c r="CY152" s="171">
        <f t="shared" ca="1" si="138"/>
        <v>0.19647726279052613</v>
      </c>
      <c r="CZ152" s="171">
        <f t="shared" ca="1" si="139"/>
        <v>0.1865290628981065</v>
      </c>
      <c r="DA152" s="171">
        <f t="shared" ca="1" si="140"/>
        <v>0.17708456852200941</v>
      </c>
      <c r="DB152" s="171">
        <f t="shared" ca="1" si="141"/>
        <v>0.16811827562633713</v>
      </c>
      <c r="DC152" s="171">
        <f t="shared" ca="1" si="142"/>
        <v>0.15960597151671196</v>
      </c>
      <c r="DD152" s="171">
        <f t="shared" ca="1" si="143"/>
        <v>0.15152466945600021</v>
      </c>
      <c r="DE152" s="171">
        <f t="shared" ca="1" si="144"/>
        <v>0.14385254659062718</v>
      </c>
      <c r="DF152" s="171">
        <f t="shared" ca="1" si="145"/>
        <v>0.13656888501985853</v>
      </c>
      <c r="DG152" s="171">
        <f t="shared" ca="1" si="146"/>
        <v>0.12965401584891073</v>
      </c>
      <c r="DH152" s="171">
        <f t="shared" ca="1" si="147"/>
        <v>0.12308926607481065</v>
      </c>
      <c r="DI152" s="171">
        <f t="shared" ca="1" si="148"/>
        <v>0.11685690816157487</v>
      </c>
      <c r="DJ152" s="171">
        <f t="shared" ca="1" si="149"/>
        <v>0</v>
      </c>
      <c r="DK152" s="171">
        <f t="shared" ca="1" si="150"/>
        <v>0</v>
      </c>
      <c r="DL152" s="171">
        <f t="shared" ca="1" si="151"/>
        <v>0</v>
      </c>
      <c r="DM152" s="171">
        <f t="shared" ca="1" si="152"/>
        <v>0</v>
      </c>
      <c r="DN152" s="171">
        <f t="shared" ca="1" si="153"/>
        <v>0</v>
      </c>
      <c r="DO152" s="171">
        <f t="shared" ca="1" si="154"/>
        <v>0</v>
      </c>
      <c r="DP152" s="171">
        <f t="shared" ca="1" si="155"/>
        <v>0</v>
      </c>
      <c r="DQ152" s="171">
        <f t="shared" ca="1" si="156"/>
        <v>0</v>
      </c>
      <c r="DR152" s="171">
        <f t="shared" ca="1" si="157"/>
        <v>0</v>
      </c>
      <c r="DS152" s="171">
        <f t="shared" ca="1" si="158"/>
        <v>0</v>
      </c>
      <c r="DT152" s="171">
        <f t="shared" ca="1" si="159"/>
        <v>0</v>
      </c>
      <c r="DU152" s="171">
        <f t="shared" ca="1" si="160"/>
        <v>0</v>
      </c>
      <c r="DV152" s="171">
        <f t="shared" ca="1" si="161"/>
        <v>0</v>
      </c>
      <c r="DW152" s="171">
        <f t="shared" ca="1" si="162"/>
        <v>0</v>
      </c>
      <c r="DX152" s="171">
        <f t="shared" ca="1" si="163"/>
        <v>0</v>
      </c>
      <c r="DY152" s="171">
        <f t="shared" ca="1" si="164"/>
        <v>0</v>
      </c>
      <c r="DZ152" s="171">
        <f t="shared" ca="1" si="165"/>
        <v>0</v>
      </c>
      <c r="EA152" s="171">
        <f t="shared" ca="1" si="166"/>
        <v>0</v>
      </c>
      <c r="EB152" s="171">
        <f t="shared" ca="1" si="167"/>
        <v>0</v>
      </c>
      <c r="EC152" s="171">
        <f t="shared" ca="1" si="168"/>
        <v>0</v>
      </c>
      <c r="ED152" s="171">
        <f t="shared" ca="1" si="169"/>
        <v>0</v>
      </c>
      <c r="EE152" s="171">
        <f t="shared" ca="1" si="170"/>
        <v>0</v>
      </c>
      <c r="EF152" s="171">
        <f t="shared" ca="1" si="171"/>
        <v>0</v>
      </c>
      <c r="EG152" s="171">
        <f t="shared" ca="1" si="172"/>
        <v>0</v>
      </c>
      <c r="EH152" s="171">
        <f t="shared" ca="1" si="173"/>
        <v>0</v>
      </c>
      <c r="EI152" s="171">
        <f t="shared" ca="1" si="174"/>
        <v>0</v>
      </c>
      <c r="EJ152" s="171">
        <f t="shared" ca="1" si="175"/>
        <v>0</v>
      </c>
      <c r="EK152" s="171">
        <f t="shared" ca="1" si="176"/>
        <v>0</v>
      </c>
      <c r="EL152" s="171">
        <f t="shared" ca="1" si="177"/>
        <v>0</v>
      </c>
      <c r="EM152" s="171">
        <f t="shared" ca="1" si="178"/>
        <v>0</v>
      </c>
      <c r="EN152" s="171">
        <f t="shared" ca="1" si="179"/>
        <v>0</v>
      </c>
      <c r="EO152" s="171">
        <f t="shared" ca="1" si="180"/>
        <v>0</v>
      </c>
      <c r="EP152" s="171">
        <f t="shared" ca="1" si="181"/>
        <v>0</v>
      </c>
      <c r="EQ152" s="171">
        <f t="shared" ca="1" si="182"/>
        <v>0</v>
      </c>
      <c r="ER152" s="171">
        <f t="shared" ca="1" si="183"/>
        <v>0</v>
      </c>
      <c r="ES152" s="171">
        <f t="shared" ca="1" si="184"/>
        <v>0</v>
      </c>
    </row>
    <row r="153" spans="1:149">
      <c r="A153" s="139" t="s">
        <v>503</v>
      </c>
      <c r="B153" s="161" t="s">
        <v>506</v>
      </c>
      <c r="C153" s="161" t="s">
        <v>29</v>
      </c>
      <c r="D153" s="161" t="s">
        <v>394</v>
      </c>
      <c r="E153" s="161">
        <v>2011</v>
      </c>
      <c r="F153" s="189" t="s">
        <v>395</v>
      </c>
      <c r="G153" s="161" t="s">
        <v>402</v>
      </c>
      <c r="H153" s="189" t="s">
        <v>396</v>
      </c>
      <c r="I153" s="202" t="s">
        <v>176</v>
      </c>
      <c r="J153" s="189" t="s">
        <v>397</v>
      </c>
      <c r="K153" s="184">
        <v>0.6</v>
      </c>
      <c r="L153" s="163" t="s">
        <v>110</v>
      </c>
      <c r="M153" s="164">
        <f t="shared" si="115"/>
        <v>0.6</v>
      </c>
      <c r="N153" s="164">
        <f t="shared" si="116"/>
        <v>0.6</v>
      </c>
      <c r="O153" s="165">
        <f t="shared" si="117"/>
        <v>1</v>
      </c>
      <c r="P153" s="180">
        <v>2.4058710569794983E-2</v>
      </c>
      <c r="Q153" s="183">
        <v>23.583342661777632</v>
      </c>
      <c r="R153" s="168">
        <f t="shared" si="204"/>
        <v>10.583342661777632</v>
      </c>
      <c r="S153" s="186">
        <v>6.5440636898279223</v>
      </c>
      <c r="T153" s="170" t="s">
        <v>403</v>
      </c>
      <c r="U153" s="171">
        <f t="shared" si="119"/>
        <v>3.4121418081285791E-2</v>
      </c>
      <c r="V153" s="171">
        <f t="shared" ca="1" si="120"/>
        <v>2.9142014331405668E-2</v>
      </c>
      <c r="W153" s="171">
        <f t="shared" ca="1" si="185"/>
        <v>0.68726610983197445</v>
      </c>
      <c r="X153" s="172">
        <f t="shared" si="121"/>
        <v>0.20135495345148102</v>
      </c>
      <c r="Y153" s="172">
        <f t="shared" si="122"/>
        <v>0.79864504654851898</v>
      </c>
      <c r="Z153" s="173">
        <f t="shared" si="123"/>
        <v>0.80469709471673789</v>
      </c>
      <c r="AA153" s="171">
        <f t="shared" si="205"/>
        <v>0</v>
      </c>
      <c r="AB153" s="171">
        <f t="shared" si="205"/>
        <v>1.4435226341876989E-2</v>
      </c>
      <c r="AC153" s="171">
        <f t="shared" si="205"/>
        <v>1.4435226341876989E-2</v>
      </c>
      <c r="AD153" s="171">
        <f t="shared" si="205"/>
        <v>1.4435226341876989E-2</v>
      </c>
      <c r="AE153" s="171">
        <f t="shared" si="205"/>
        <v>1.4435226341876989E-2</v>
      </c>
      <c r="AF153" s="171">
        <f t="shared" si="205"/>
        <v>1.4435226341876989E-2</v>
      </c>
      <c r="AG153" s="171">
        <f t="shared" si="205"/>
        <v>1.4435226341876989E-2</v>
      </c>
      <c r="AH153" s="171">
        <f t="shared" si="205"/>
        <v>1.4435226341876989E-2</v>
      </c>
      <c r="AI153" s="171">
        <f t="shared" si="205"/>
        <v>4.139120648962348E-2</v>
      </c>
      <c r="AJ153" s="171">
        <f t="shared" si="205"/>
        <v>4.139120648962348E-2</v>
      </c>
      <c r="AK153" s="171">
        <f t="shared" si="206"/>
        <v>4.139120648962348E-2</v>
      </c>
      <c r="AL153" s="171">
        <f t="shared" si="206"/>
        <v>4.139120648962348E-2</v>
      </c>
      <c r="AM153" s="171">
        <f t="shared" si="206"/>
        <v>4.139120648962348E-2</v>
      </c>
      <c r="AN153" s="171">
        <f t="shared" si="206"/>
        <v>4.139120648962348E-2</v>
      </c>
      <c r="AO153" s="171">
        <f t="shared" si="206"/>
        <v>4.139120648962348E-2</v>
      </c>
      <c r="AP153" s="171">
        <f t="shared" si="206"/>
        <v>4.139120648962348E-2</v>
      </c>
      <c r="AQ153" s="171">
        <f t="shared" si="206"/>
        <v>4.139120648962348E-2</v>
      </c>
      <c r="AR153" s="171">
        <f t="shared" si="206"/>
        <v>4.139120648962348E-2</v>
      </c>
      <c r="AS153" s="171">
        <f t="shared" si="206"/>
        <v>4.139120648962348E-2</v>
      </c>
      <c r="AT153" s="171">
        <f t="shared" si="206"/>
        <v>4.139120648962348E-2</v>
      </c>
      <c r="AU153" s="171">
        <f t="shared" si="207"/>
        <v>4.139120648962348E-2</v>
      </c>
      <c r="AV153" s="171">
        <f t="shared" si="207"/>
        <v>4.139120648962348E-2</v>
      </c>
      <c r="AW153" s="171">
        <f t="shared" si="207"/>
        <v>4.139120648962348E-2</v>
      </c>
      <c r="AX153" s="171">
        <f t="shared" si="207"/>
        <v>4.139120648962348E-2</v>
      </c>
      <c r="AY153" s="171">
        <f t="shared" si="207"/>
        <v>4.139120648962348E-2</v>
      </c>
      <c r="AZ153" s="171">
        <f t="shared" si="207"/>
        <v>0</v>
      </c>
      <c r="BA153" s="171">
        <f t="shared" si="207"/>
        <v>0</v>
      </c>
      <c r="BB153" s="171">
        <f t="shared" si="207"/>
        <v>0</v>
      </c>
      <c r="BC153" s="171">
        <f t="shared" si="207"/>
        <v>0</v>
      </c>
      <c r="BD153" s="171">
        <f t="shared" si="207"/>
        <v>0</v>
      </c>
      <c r="BE153" s="171">
        <f t="shared" si="208"/>
        <v>0</v>
      </c>
      <c r="BF153" s="171">
        <f t="shared" si="208"/>
        <v>0</v>
      </c>
      <c r="BG153" s="171">
        <f t="shared" si="208"/>
        <v>0</v>
      </c>
      <c r="BH153" s="171">
        <f t="shared" si="208"/>
        <v>0</v>
      </c>
      <c r="BI153" s="171">
        <f t="shared" si="208"/>
        <v>0</v>
      </c>
      <c r="BJ153" s="171">
        <f t="shared" si="208"/>
        <v>0</v>
      </c>
      <c r="BK153" s="171">
        <f t="shared" si="208"/>
        <v>0</v>
      </c>
      <c r="BL153" s="171">
        <f t="shared" si="208"/>
        <v>0</v>
      </c>
      <c r="BM153" s="171">
        <f t="shared" si="208"/>
        <v>0</v>
      </c>
      <c r="BN153" s="171">
        <f t="shared" si="208"/>
        <v>0</v>
      </c>
      <c r="BO153" s="171">
        <f t="shared" si="209"/>
        <v>0</v>
      </c>
      <c r="BP153" s="171">
        <f t="shared" si="209"/>
        <v>0</v>
      </c>
      <c r="BQ153" s="171">
        <f t="shared" si="209"/>
        <v>0</v>
      </c>
      <c r="BR153" s="171">
        <f t="shared" si="209"/>
        <v>0</v>
      </c>
      <c r="BS153" s="171">
        <f t="shared" si="209"/>
        <v>0</v>
      </c>
      <c r="BT153" s="171">
        <f t="shared" si="209"/>
        <v>0</v>
      </c>
      <c r="BU153" s="171">
        <f t="shared" si="209"/>
        <v>0</v>
      </c>
      <c r="BV153" s="171">
        <f t="shared" si="209"/>
        <v>0</v>
      </c>
      <c r="BW153" s="171">
        <f t="shared" si="209"/>
        <v>0</v>
      </c>
      <c r="BX153" s="171">
        <f t="shared" si="209"/>
        <v>0</v>
      </c>
      <c r="BY153" s="171">
        <f t="shared" si="210"/>
        <v>0</v>
      </c>
      <c r="BZ153" s="171">
        <f t="shared" si="210"/>
        <v>0</v>
      </c>
      <c r="CA153" s="171">
        <f t="shared" si="210"/>
        <v>0</v>
      </c>
      <c r="CB153" s="171">
        <f t="shared" si="210"/>
        <v>0</v>
      </c>
      <c r="CC153" s="171">
        <f t="shared" si="210"/>
        <v>0</v>
      </c>
      <c r="CD153" s="171">
        <f t="shared" si="210"/>
        <v>0</v>
      </c>
      <c r="CE153" s="171">
        <f t="shared" si="210"/>
        <v>0</v>
      </c>
      <c r="CF153" s="171">
        <f t="shared" si="210"/>
        <v>0</v>
      </c>
      <c r="CG153" s="171">
        <f t="shared" si="210"/>
        <v>0</v>
      </c>
      <c r="CH153" s="171">
        <f t="shared" si="210"/>
        <v>0</v>
      </c>
      <c r="CI153" s="171">
        <f t="shared" si="210"/>
        <v>0</v>
      </c>
      <c r="CJ153" s="243"/>
      <c r="CK153" s="171">
        <f t="shared" si="124"/>
        <v>0</v>
      </c>
      <c r="CL153" s="171">
        <f t="shared" si="125"/>
        <v>1.4435226341876989E-2</v>
      </c>
      <c r="CM153" s="171">
        <f t="shared" si="126"/>
        <v>1.4435226341876989E-2</v>
      </c>
      <c r="CN153" s="171">
        <f t="shared" si="127"/>
        <v>1.4435226341876989E-2</v>
      </c>
      <c r="CO153" s="171">
        <f t="shared" si="128"/>
        <v>1.4435226341876989E-2</v>
      </c>
      <c r="CP153" s="171">
        <f t="shared" si="129"/>
        <v>1.4435226341876989E-2</v>
      </c>
      <c r="CQ153" s="171">
        <f t="shared" si="130"/>
        <v>1.4435226341876989E-2</v>
      </c>
      <c r="CR153" s="171">
        <f t="shared" si="131"/>
        <v>1.4435226341876989E-2</v>
      </c>
      <c r="CS153" s="171">
        <f t="shared" si="132"/>
        <v>4.139120648962348E-2</v>
      </c>
      <c r="CT153" s="171">
        <f t="shared" si="133"/>
        <v>4.139120648962348E-2</v>
      </c>
      <c r="CU153" s="171">
        <f t="shared" si="134"/>
        <v>4.139120648962348E-2</v>
      </c>
      <c r="CV153" s="171">
        <f t="shared" si="135"/>
        <v>4.139120648962348E-2</v>
      </c>
      <c r="CW153" s="171">
        <f t="shared" si="136"/>
        <v>4.139120648962348E-2</v>
      </c>
      <c r="CX153" s="171">
        <f t="shared" si="137"/>
        <v>4.139120648962348E-2</v>
      </c>
      <c r="CY153" s="171">
        <f t="shared" ca="1" si="138"/>
        <v>3.9295452558105223E-2</v>
      </c>
      <c r="CZ153" s="171">
        <f t="shared" ca="1" si="139"/>
        <v>3.7305812579621303E-2</v>
      </c>
      <c r="DA153" s="171">
        <f t="shared" ca="1" si="140"/>
        <v>3.5416913704401878E-2</v>
      </c>
      <c r="DB153" s="171">
        <f t="shared" ca="1" si="141"/>
        <v>3.3623655125267424E-2</v>
      </c>
      <c r="DC153" s="171">
        <f t="shared" ca="1" si="142"/>
        <v>3.1921194303342393E-2</v>
      </c>
      <c r="DD153" s="171">
        <f t="shared" ca="1" si="143"/>
        <v>3.0304933891200037E-2</v>
      </c>
      <c r="DE153" s="171">
        <f t="shared" ca="1" si="144"/>
        <v>2.8770509318125435E-2</v>
      </c>
      <c r="DF153" s="171">
        <f t="shared" ca="1" si="145"/>
        <v>2.7313777003971706E-2</v>
      </c>
      <c r="DG153" s="171">
        <f t="shared" ca="1" si="146"/>
        <v>2.5930803169782142E-2</v>
      </c>
      <c r="DH153" s="171">
        <f t="shared" ca="1" si="147"/>
        <v>2.461785321496213E-2</v>
      </c>
      <c r="DI153" s="171">
        <f t="shared" ca="1" si="148"/>
        <v>2.3371381632314971E-2</v>
      </c>
      <c r="DJ153" s="171">
        <f t="shared" ca="1" si="149"/>
        <v>0</v>
      </c>
      <c r="DK153" s="171">
        <f t="shared" ca="1" si="150"/>
        <v>0</v>
      </c>
      <c r="DL153" s="171">
        <f t="shared" ca="1" si="151"/>
        <v>0</v>
      </c>
      <c r="DM153" s="171">
        <f t="shared" ca="1" si="152"/>
        <v>0</v>
      </c>
      <c r="DN153" s="171">
        <f t="shared" ca="1" si="153"/>
        <v>0</v>
      </c>
      <c r="DO153" s="171">
        <f t="shared" ca="1" si="154"/>
        <v>0</v>
      </c>
      <c r="DP153" s="171">
        <f t="shared" ca="1" si="155"/>
        <v>0</v>
      </c>
      <c r="DQ153" s="171">
        <f t="shared" ca="1" si="156"/>
        <v>0</v>
      </c>
      <c r="DR153" s="171">
        <f t="shared" ca="1" si="157"/>
        <v>0</v>
      </c>
      <c r="DS153" s="171">
        <f t="shared" ca="1" si="158"/>
        <v>0</v>
      </c>
      <c r="DT153" s="171">
        <f t="shared" ca="1" si="159"/>
        <v>0</v>
      </c>
      <c r="DU153" s="171">
        <f t="shared" ca="1" si="160"/>
        <v>0</v>
      </c>
      <c r="DV153" s="171">
        <f t="shared" ca="1" si="161"/>
        <v>0</v>
      </c>
      <c r="DW153" s="171">
        <f t="shared" ca="1" si="162"/>
        <v>0</v>
      </c>
      <c r="DX153" s="171">
        <f t="shared" ca="1" si="163"/>
        <v>0</v>
      </c>
      <c r="DY153" s="171">
        <f t="shared" ca="1" si="164"/>
        <v>0</v>
      </c>
      <c r="DZ153" s="171">
        <f t="shared" ca="1" si="165"/>
        <v>0</v>
      </c>
      <c r="EA153" s="171">
        <f t="shared" ca="1" si="166"/>
        <v>0</v>
      </c>
      <c r="EB153" s="171">
        <f t="shared" ca="1" si="167"/>
        <v>0</v>
      </c>
      <c r="EC153" s="171">
        <f t="shared" ca="1" si="168"/>
        <v>0</v>
      </c>
      <c r="ED153" s="171">
        <f t="shared" ca="1" si="169"/>
        <v>0</v>
      </c>
      <c r="EE153" s="171">
        <f t="shared" ca="1" si="170"/>
        <v>0</v>
      </c>
      <c r="EF153" s="171">
        <f t="shared" ca="1" si="171"/>
        <v>0</v>
      </c>
      <c r="EG153" s="171">
        <f t="shared" ca="1" si="172"/>
        <v>0</v>
      </c>
      <c r="EH153" s="171">
        <f t="shared" ca="1" si="173"/>
        <v>0</v>
      </c>
      <c r="EI153" s="171">
        <f t="shared" ca="1" si="174"/>
        <v>0</v>
      </c>
      <c r="EJ153" s="171">
        <f t="shared" ca="1" si="175"/>
        <v>0</v>
      </c>
      <c r="EK153" s="171">
        <f t="shared" ca="1" si="176"/>
        <v>0</v>
      </c>
      <c r="EL153" s="171">
        <f t="shared" ca="1" si="177"/>
        <v>0</v>
      </c>
      <c r="EM153" s="171">
        <f t="shared" ca="1" si="178"/>
        <v>0</v>
      </c>
      <c r="EN153" s="171">
        <f t="shared" ca="1" si="179"/>
        <v>0</v>
      </c>
      <c r="EO153" s="171">
        <f t="shared" ca="1" si="180"/>
        <v>0</v>
      </c>
      <c r="EP153" s="171">
        <f t="shared" ca="1" si="181"/>
        <v>0</v>
      </c>
      <c r="EQ153" s="171">
        <f t="shared" ca="1" si="182"/>
        <v>0</v>
      </c>
      <c r="ER153" s="171">
        <f t="shared" ca="1" si="183"/>
        <v>0</v>
      </c>
      <c r="ES153" s="171">
        <f t="shared" ca="1" si="184"/>
        <v>0</v>
      </c>
    </row>
    <row r="154" spans="1:149">
      <c r="A154" s="139" t="s">
        <v>503</v>
      </c>
      <c r="B154" s="160" t="s">
        <v>507</v>
      </c>
      <c r="C154" s="160" t="s">
        <v>29</v>
      </c>
      <c r="D154" s="161" t="s">
        <v>394</v>
      </c>
      <c r="E154" s="160">
        <v>2011</v>
      </c>
      <c r="F154" s="160" t="s">
        <v>400</v>
      </c>
      <c r="G154" s="160" t="s">
        <v>289</v>
      </c>
      <c r="H154" s="160" t="s">
        <v>396</v>
      </c>
      <c r="I154" s="160" t="s">
        <v>183</v>
      </c>
      <c r="J154" s="160" t="s">
        <v>401</v>
      </c>
      <c r="K154" s="187">
        <v>195</v>
      </c>
      <c r="L154" s="163" t="s">
        <v>110</v>
      </c>
      <c r="M154" s="164">
        <f t="shared" si="115"/>
        <v>195</v>
      </c>
      <c r="N154" s="164">
        <f t="shared" si="116"/>
        <v>195</v>
      </c>
      <c r="O154" s="165">
        <f t="shared" si="117"/>
        <v>1</v>
      </c>
      <c r="P154" s="176">
        <v>0.29699999999999999</v>
      </c>
      <c r="Q154" s="167">
        <v>25</v>
      </c>
      <c r="R154" s="168">
        <f t="shared" si="204"/>
        <v>12</v>
      </c>
      <c r="S154" s="178">
        <v>0</v>
      </c>
      <c r="T154" s="160" t="s">
        <v>289</v>
      </c>
      <c r="U154" s="171">
        <f t="shared" si="119"/>
        <v>60.231599999999979</v>
      </c>
      <c r="V154" s="171">
        <f t="shared" ca="1" si="120"/>
        <v>51.446753908480339</v>
      </c>
      <c r="W154" s="171">
        <f t="shared" ca="1" si="185"/>
        <v>1286.1688477120085</v>
      </c>
      <c r="X154" s="172" t="str">
        <f t="shared" si="121"/>
        <v>Equity</v>
      </c>
      <c r="Y154" s="172" t="str">
        <f t="shared" si="122"/>
        <v>Equity</v>
      </c>
      <c r="Z154" s="173">
        <f t="shared" si="123"/>
        <v>1505.7899999999995</v>
      </c>
      <c r="AA154" s="171">
        <f t="shared" si="205"/>
        <v>0</v>
      </c>
      <c r="AB154" s="171">
        <f t="shared" si="205"/>
        <v>57.914999999999999</v>
      </c>
      <c r="AC154" s="171">
        <f t="shared" si="205"/>
        <v>57.914999999999999</v>
      </c>
      <c r="AD154" s="171">
        <f t="shared" si="205"/>
        <v>57.914999999999999</v>
      </c>
      <c r="AE154" s="171">
        <f t="shared" si="205"/>
        <v>57.914999999999999</v>
      </c>
      <c r="AF154" s="171">
        <f t="shared" si="205"/>
        <v>57.914999999999999</v>
      </c>
      <c r="AG154" s="171">
        <f t="shared" si="205"/>
        <v>57.914999999999999</v>
      </c>
      <c r="AH154" s="171">
        <f t="shared" si="205"/>
        <v>57.914999999999999</v>
      </c>
      <c r="AI154" s="171">
        <f t="shared" si="205"/>
        <v>57.914999999999999</v>
      </c>
      <c r="AJ154" s="171">
        <f t="shared" si="205"/>
        <v>57.914999999999999</v>
      </c>
      <c r="AK154" s="171">
        <f t="shared" si="206"/>
        <v>57.914999999999999</v>
      </c>
      <c r="AL154" s="171">
        <f t="shared" si="206"/>
        <v>57.914999999999999</v>
      </c>
      <c r="AM154" s="171">
        <f t="shared" si="206"/>
        <v>57.914999999999999</v>
      </c>
      <c r="AN154" s="171">
        <f t="shared" si="206"/>
        <v>57.914999999999999</v>
      </c>
      <c r="AO154" s="171">
        <f t="shared" si="206"/>
        <v>57.914999999999999</v>
      </c>
      <c r="AP154" s="171">
        <f t="shared" si="206"/>
        <v>57.914999999999999</v>
      </c>
      <c r="AQ154" s="171">
        <f t="shared" si="206"/>
        <v>57.914999999999999</v>
      </c>
      <c r="AR154" s="171">
        <f t="shared" si="206"/>
        <v>57.914999999999999</v>
      </c>
      <c r="AS154" s="171">
        <f t="shared" si="206"/>
        <v>57.914999999999999</v>
      </c>
      <c r="AT154" s="171">
        <f t="shared" si="206"/>
        <v>57.914999999999999</v>
      </c>
      <c r="AU154" s="171">
        <f t="shared" si="207"/>
        <v>57.914999999999999</v>
      </c>
      <c r="AV154" s="171">
        <f t="shared" si="207"/>
        <v>57.914999999999999</v>
      </c>
      <c r="AW154" s="171">
        <f t="shared" si="207"/>
        <v>57.914999999999999</v>
      </c>
      <c r="AX154" s="171">
        <f t="shared" si="207"/>
        <v>57.914999999999999</v>
      </c>
      <c r="AY154" s="171">
        <f t="shared" si="207"/>
        <v>57.914999999999999</v>
      </c>
      <c r="AZ154" s="171">
        <f t="shared" si="207"/>
        <v>57.914999999999999</v>
      </c>
      <c r="BA154" s="171">
        <f t="shared" si="207"/>
        <v>57.914999999999999</v>
      </c>
      <c r="BB154" s="171">
        <f t="shared" si="207"/>
        <v>0</v>
      </c>
      <c r="BC154" s="171">
        <f t="shared" si="207"/>
        <v>0</v>
      </c>
      <c r="BD154" s="171">
        <f t="shared" si="207"/>
        <v>0</v>
      </c>
      <c r="BE154" s="171">
        <f t="shared" si="208"/>
        <v>0</v>
      </c>
      <c r="BF154" s="171">
        <f t="shared" si="208"/>
        <v>0</v>
      </c>
      <c r="BG154" s="171">
        <f t="shared" si="208"/>
        <v>0</v>
      </c>
      <c r="BH154" s="171">
        <f t="shared" si="208"/>
        <v>0</v>
      </c>
      <c r="BI154" s="171">
        <f t="shared" si="208"/>
        <v>0</v>
      </c>
      <c r="BJ154" s="171">
        <f t="shared" si="208"/>
        <v>0</v>
      </c>
      <c r="BK154" s="171">
        <f t="shared" si="208"/>
        <v>0</v>
      </c>
      <c r="BL154" s="171">
        <f t="shared" si="208"/>
        <v>0</v>
      </c>
      <c r="BM154" s="171">
        <f t="shared" si="208"/>
        <v>0</v>
      </c>
      <c r="BN154" s="171">
        <f t="shared" si="208"/>
        <v>0</v>
      </c>
      <c r="BO154" s="171">
        <f t="shared" si="209"/>
        <v>0</v>
      </c>
      <c r="BP154" s="171">
        <f t="shared" si="209"/>
        <v>0</v>
      </c>
      <c r="BQ154" s="171">
        <f t="shared" si="209"/>
        <v>0</v>
      </c>
      <c r="BR154" s="171">
        <f t="shared" si="209"/>
        <v>0</v>
      </c>
      <c r="BS154" s="171">
        <f t="shared" si="209"/>
        <v>0</v>
      </c>
      <c r="BT154" s="171">
        <f t="shared" si="209"/>
        <v>0</v>
      </c>
      <c r="BU154" s="171">
        <f t="shared" si="209"/>
        <v>0</v>
      </c>
      <c r="BV154" s="171">
        <f t="shared" si="209"/>
        <v>0</v>
      </c>
      <c r="BW154" s="171">
        <f t="shared" si="209"/>
        <v>0</v>
      </c>
      <c r="BX154" s="171">
        <f t="shared" si="209"/>
        <v>0</v>
      </c>
      <c r="BY154" s="171">
        <f t="shared" si="210"/>
        <v>0</v>
      </c>
      <c r="BZ154" s="171">
        <f t="shared" si="210"/>
        <v>0</v>
      </c>
      <c r="CA154" s="171">
        <f t="shared" si="210"/>
        <v>0</v>
      </c>
      <c r="CB154" s="171">
        <f t="shared" si="210"/>
        <v>0</v>
      </c>
      <c r="CC154" s="171">
        <f t="shared" si="210"/>
        <v>0</v>
      </c>
      <c r="CD154" s="171">
        <f t="shared" si="210"/>
        <v>0</v>
      </c>
      <c r="CE154" s="171">
        <f t="shared" si="210"/>
        <v>0</v>
      </c>
      <c r="CF154" s="171">
        <f t="shared" si="210"/>
        <v>0</v>
      </c>
      <c r="CG154" s="171">
        <f t="shared" si="210"/>
        <v>0</v>
      </c>
      <c r="CH154" s="171">
        <f t="shared" si="210"/>
        <v>0</v>
      </c>
      <c r="CI154" s="171">
        <f t="shared" si="210"/>
        <v>0</v>
      </c>
      <c r="CJ154" s="243"/>
      <c r="CK154" s="171">
        <f t="shared" si="124"/>
        <v>0</v>
      </c>
      <c r="CL154" s="171">
        <f t="shared" si="125"/>
        <v>57.914999999999999</v>
      </c>
      <c r="CM154" s="171">
        <f t="shared" si="126"/>
        <v>57.914999999999999</v>
      </c>
      <c r="CN154" s="171">
        <f t="shared" si="127"/>
        <v>57.914999999999999</v>
      </c>
      <c r="CO154" s="171">
        <f t="shared" si="128"/>
        <v>57.914999999999999</v>
      </c>
      <c r="CP154" s="171">
        <f t="shared" si="129"/>
        <v>57.914999999999999</v>
      </c>
      <c r="CQ154" s="171">
        <f t="shared" si="130"/>
        <v>57.914999999999999</v>
      </c>
      <c r="CR154" s="171">
        <f t="shared" si="131"/>
        <v>57.914999999999999</v>
      </c>
      <c r="CS154" s="171">
        <f t="shared" si="132"/>
        <v>57.914999999999999</v>
      </c>
      <c r="CT154" s="171">
        <f t="shared" si="133"/>
        <v>57.914999999999999</v>
      </c>
      <c r="CU154" s="171">
        <f t="shared" si="134"/>
        <v>57.914999999999999</v>
      </c>
      <c r="CV154" s="171">
        <f t="shared" si="135"/>
        <v>57.914999999999999</v>
      </c>
      <c r="CW154" s="171">
        <f t="shared" si="136"/>
        <v>57.914999999999999</v>
      </c>
      <c r="CX154" s="171">
        <f t="shared" si="137"/>
        <v>57.914999999999999</v>
      </c>
      <c r="CY154" s="171">
        <f t="shared" ca="1" si="138"/>
        <v>54.982599636789814</v>
      </c>
      <c r="CZ154" s="171">
        <f t="shared" ca="1" si="139"/>
        <v>52.198675003358701</v>
      </c>
      <c r="DA154" s="171">
        <f t="shared" ca="1" si="140"/>
        <v>49.555708353286356</v>
      </c>
      <c r="DB154" s="171">
        <f t="shared" ca="1" si="141"/>
        <v>47.046562584930747</v>
      </c>
      <c r="DC154" s="171">
        <f t="shared" ca="1" si="142"/>
        <v>44.664461968305659</v>
      </c>
      <c r="DD154" s="171">
        <f t="shared" ca="1" si="143"/>
        <v>42.402973847811019</v>
      </c>
      <c r="DE154" s="171">
        <f t="shared" ca="1" si="144"/>
        <v>40.255991271405719</v>
      </c>
      <c r="DF154" s="171">
        <f t="shared" ca="1" si="145"/>
        <v>38.217716499314612</v>
      </c>
      <c r="DG154" s="171">
        <f t="shared" ca="1" si="146"/>
        <v>36.28264534773637</v>
      </c>
      <c r="DH154" s="171">
        <f t="shared" ca="1" si="147"/>
        <v>34.445552325273646</v>
      </c>
      <c r="DI154" s="171">
        <f t="shared" ca="1" si="148"/>
        <v>32.701476521947946</v>
      </c>
      <c r="DJ154" s="171">
        <f t="shared" ca="1" si="149"/>
        <v>31.045708212693526</v>
      </c>
      <c r="DK154" s="171">
        <f t="shared" ca="1" si="150"/>
        <v>29.473776139154371</v>
      </c>
      <c r="DL154" s="171">
        <f t="shared" ca="1" si="151"/>
        <v>0</v>
      </c>
      <c r="DM154" s="171">
        <f t="shared" ca="1" si="152"/>
        <v>0</v>
      </c>
      <c r="DN154" s="171">
        <f t="shared" ca="1" si="153"/>
        <v>0</v>
      </c>
      <c r="DO154" s="171">
        <f t="shared" ca="1" si="154"/>
        <v>0</v>
      </c>
      <c r="DP154" s="171">
        <f t="shared" ca="1" si="155"/>
        <v>0</v>
      </c>
      <c r="DQ154" s="171">
        <f t="shared" ca="1" si="156"/>
        <v>0</v>
      </c>
      <c r="DR154" s="171">
        <f t="shared" ca="1" si="157"/>
        <v>0</v>
      </c>
      <c r="DS154" s="171">
        <f t="shared" ca="1" si="158"/>
        <v>0</v>
      </c>
      <c r="DT154" s="171">
        <f t="shared" ca="1" si="159"/>
        <v>0</v>
      </c>
      <c r="DU154" s="171">
        <f t="shared" ca="1" si="160"/>
        <v>0</v>
      </c>
      <c r="DV154" s="171">
        <f t="shared" ca="1" si="161"/>
        <v>0</v>
      </c>
      <c r="DW154" s="171">
        <f t="shared" ca="1" si="162"/>
        <v>0</v>
      </c>
      <c r="DX154" s="171">
        <f t="shared" ca="1" si="163"/>
        <v>0</v>
      </c>
      <c r="DY154" s="171">
        <f t="shared" ca="1" si="164"/>
        <v>0</v>
      </c>
      <c r="DZ154" s="171">
        <f t="shared" ca="1" si="165"/>
        <v>0</v>
      </c>
      <c r="EA154" s="171">
        <f t="shared" ca="1" si="166"/>
        <v>0</v>
      </c>
      <c r="EB154" s="171">
        <f t="shared" ca="1" si="167"/>
        <v>0</v>
      </c>
      <c r="EC154" s="171">
        <f t="shared" ca="1" si="168"/>
        <v>0</v>
      </c>
      <c r="ED154" s="171">
        <f t="shared" ca="1" si="169"/>
        <v>0</v>
      </c>
      <c r="EE154" s="171">
        <f t="shared" ca="1" si="170"/>
        <v>0</v>
      </c>
      <c r="EF154" s="171">
        <f t="shared" ca="1" si="171"/>
        <v>0</v>
      </c>
      <c r="EG154" s="171">
        <f t="shared" ca="1" si="172"/>
        <v>0</v>
      </c>
      <c r="EH154" s="171">
        <f t="shared" ca="1" si="173"/>
        <v>0</v>
      </c>
      <c r="EI154" s="171">
        <f t="shared" ca="1" si="174"/>
        <v>0</v>
      </c>
      <c r="EJ154" s="171">
        <f t="shared" ca="1" si="175"/>
        <v>0</v>
      </c>
      <c r="EK154" s="171">
        <f t="shared" ca="1" si="176"/>
        <v>0</v>
      </c>
      <c r="EL154" s="171">
        <f t="shared" ca="1" si="177"/>
        <v>0</v>
      </c>
      <c r="EM154" s="171">
        <f t="shared" ca="1" si="178"/>
        <v>0</v>
      </c>
      <c r="EN154" s="171">
        <f t="shared" ca="1" si="179"/>
        <v>0</v>
      </c>
      <c r="EO154" s="171">
        <f t="shared" ca="1" si="180"/>
        <v>0</v>
      </c>
      <c r="EP154" s="171">
        <f t="shared" ca="1" si="181"/>
        <v>0</v>
      </c>
      <c r="EQ154" s="171">
        <f t="shared" ca="1" si="182"/>
        <v>0</v>
      </c>
      <c r="ER154" s="171">
        <f t="shared" ca="1" si="183"/>
        <v>0</v>
      </c>
      <c r="ES154" s="171">
        <f t="shared" ca="1" si="184"/>
        <v>0</v>
      </c>
    </row>
    <row r="155" spans="1:149">
      <c r="A155" s="139" t="s">
        <v>503</v>
      </c>
      <c r="B155" s="161" t="s">
        <v>507</v>
      </c>
      <c r="C155" s="161" t="s">
        <v>29</v>
      </c>
      <c r="D155" s="161" t="s">
        <v>394</v>
      </c>
      <c r="E155" s="161">
        <v>2012</v>
      </c>
      <c r="F155" s="161" t="s">
        <v>400</v>
      </c>
      <c r="G155" s="161" t="s">
        <v>289</v>
      </c>
      <c r="H155" s="161" t="s">
        <v>396</v>
      </c>
      <c r="I155" s="161" t="s">
        <v>183</v>
      </c>
      <c r="J155" s="161" t="s">
        <v>401</v>
      </c>
      <c r="K155" s="184">
        <v>89</v>
      </c>
      <c r="L155" s="163" t="s">
        <v>110</v>
      </c>
      <c r="M155" s="164">
        <f t="shared" si="115"/>
        <v>89</v>
      </c>
      <c r="N155" s="164">
        <f t="shared" si="116"/>
        <v>89</v>
      </c>
      <c r="O155" s="165">
        <f t="shared" si="117"/>
        <v>1</v>
      </c>
      <c r="P155" s="176">
        <v>0.29699999999999999</v>
      </c>
      <c r="Q155" s="167">
        <v>25</v>
      </c>
      <c r="R155" s="168">
        <f t="shared" si="204"/>
        <v>13</v>
      </c>
      <c r="S155" s="169">
        <v>0</v>
      </c>
      <c r="T155" s="161" t="s">
        <v>289</v>
      </c>
      <c r="U155" s="171">
        <f t="shared" si="119"/>
        <v>27.490319999999997</v>
      </c>
      <c r="V155" s="171">
        <f t="shared" ca="1" si="120"/>
        <v>22.934346707717513</v>
      </c>
      <c r="W155" s="171">
        <f t="shared" ca="1" si="185"/>
        <v>573.35866769293784</v>
      </c>
      <c r="X155" s="172" t="str">
        <f t="shared" si="121"/>
        <v>Equity</v>
      </c>
      <c r="Y155" s="172" t="str">
        <f t="shared" si="122"/>
        <v>Equity</v>
      </c>
      <c r="Z155" s="173">
        <f t="shared" si="123"/>
        <v>687.25799999999992</v>
      </c>
      <c r="AA155" s="171">
        <f t="shared" si="205"/>
        <v>0</v>
      </c>
      <c r="AB155" s="171">
        <f t="shared" si="205"/>
        <v>0</v>
      </c>
      <c r="AC155" s="171">
        <f t="shared" si="205"/>
        <v>26.433</v>
      </c>
      <c r="AD155" s="171">
        <f t="shared" si="205"/>
        <v>26.433</v>
      </c>
      <c r="AE155" s="171">
        <f t="shared" si="205"/>
        <v>26.433</v>
      </c>
      <c r="AF155" s="171">
        <f t="shared" si="205"/>
        <v>26.433</v>
      </c>
      <c r="AG155" s="171">
        <f t="shared" si="205"/>
        <v>26.433</v>
      </c>
      <c r="AH155" s="171">
        <f t="shared" si="205"/>
        <v>26.433</v>
      </c>
      <c r="AI155" s="171">
        <f t="shared" si="205"/>
        <v>26.433</v>
      </c>
      <c r="AJ155" s="171">
        <f t="shared" si="205"/>
        <v>26.433</v>
      </c>
      <c r="AK155" s="171">
        <f t="shared" si="206"/>
        <v>26.433</v>
      </c>
      <c r="AL155" s="171">
        <f t="shared" si="206"/>
        <v>26.433</v>
      </c>
      <c r="AM155" s="171">
        <f t="shared" si="206"/>
        <v>26.433</v>
      </c>
      <c r="AN155" s="171">
        <f t="shared" si="206"/>
        <v>26.433</v>
      </c>
      <c r="AO155" s="171">
        <f t="shared" si="206"/>
        <v>26.433</v>
      </c>
      <c r="AP155" s="171">
        <f t="shared" si="206"/>
        <v>26.433</v>
      </c>
      <c r="AQ155" s="171">
        <f t="shared" si="206"/>
        <v>26.433</v>
      </c>
      <c r="AR155" s="171">
        <f t="shared" si="206"/>
        <v>26.433</v>
      </c>
      <c r="AS155" s="171">
        <f t="shared" si="206"/>
        <v>26.433</v>
      </c>
      <c r="AT155" s="171">
        <f t="shared" si="206"/>
        <v>26.433</v>
      </c>
      <c r="AU155" s="171">
        <f t="shared" si="207"/>
        <v>26.433</v>
      </c>
      <c r="AV155" s="171">
        <f t="shared" si="207"/>
        <v>26.433</v>
      </c>
      <c r="AW155" s="171">
        <f t="shared" si="207"/>
        <v>26.433</v>
      </c>
      <c r="AX155" s="171">
        <f t="shared" si="207"/>
        <v>26.433</v>
      </c>
      <c r="AY155" s="171">
        <f t="shared" si="207"/>
        <v>26.433</v>
      </c>
      <c r="AZ155" s="171">
        <f t="shared" si="207"/>
        <v>26.433</v>
      </c>
      <c r="BA155" s="171">
        <f t="shared" si="207"/>
        <v>26.433</v>
      </c>
      <c r="BB155" s="171">
        <f t="shared" si="207"/>
        <v>26.433</v>
      </c>
      <c r="BC155" s="171">
        <f t="shared" si="207"/>
        <v>0</v>
      </c>
      <c r="BD155" s="171">
        <f t="shared" si="207"/>
        <v>0</v>
      </c>
      <c r="BE155" s="171">
        <f t="shared" si="208"/>
        <v>0</v>
      </c>
      <c r="BF155" s="171">
        <f t="shared" si="208"/>
        <v>0</v>
      </c>
      <c r="BG155" s="171">
        <f t="shared" si="208"/>
        <v>0</v>
      </c>
      <c r="BH155" s="171">
        <f t="shared" si="208"/>
        <v>0</v>
      </c>
      <c r="BI155" s="171">
        <f t="shared" si="208"/>
        <v>0</v>
      </c>
      <c r="BJ155" s="171">
        <f t="shared" si="208"/>
        <v>0</v>
      </c>
      <c r="BK155" s="171">
        <f t="shared" si="208"/>
        <v>0</v>
      </c>
      <c r="BL155" s="171">
        <f t="shared" si="208"/>
        <v>0</v>
      </c>
      <c r="BM155" s="171">
        <f t="shared" si="208"/>
        <v>0</v>
      </c>
      <c r="BN155" s="171">
        <f t="shared" si="208"/>
        <v>0</v>
      </c>
      <c r="BO155" s="171">
        <f t="shared" si="209"/>
        <v>0</v>
      </c>
      <c r="BP155" s="171">
        <f t="shared" si="209"/>
        <v>0</v>
      </c>
      <c r="BQ155" s="171">
        <f t="shared" si="209"/>
        <v>0</v>
      </c>
      <c r="BR155" s="171">
        <f t="shared" si="209"/>
        <v>0</v>
      </c>
      <c r="BS155" s="171">
        <f t="shared" si="209"/>
        <v>0</v>
      </c>
      <c r="BT155" s="171">
        <f t="shared" si="209"/>
        <v>0</v>
      </c>
      <c r="BU155" s="171">
        <f t="shared" si="209"/>
        <v>0</v>
      </c>
      <c r="BV155" s="171">
        <f t="shared" si="209"/>
        <v>0</v>
      </c>
      <c r="BW155" s="171">
        <f t="shared" si="209"/>
        <v>0</v>
      </c>
      <c r="BX155" s="171">
        <f t="shared" si="209"/>
        <v>0</v>
      </c>
      <c r="BY155" s="171">
        <f t="shared" si="210"/>
        <v>0</v>
      </c>
      <c r="BZ155" s="171">
        <f t="shared" si="210"/>
        <v>0</v>
      </c>
      <c r="CA155" s="171">
        <f t="shared" si="210"/>
        <v>0</v>
      </c>
      <c r="CB155" s="171">
        <f t="shared" si="210"/>
        <v>0</v>
      </c>
      <c r="CC155" s="171">
        <f t="shared" si="210"/>
        <v>0</v>
      </c>
      <c r="CD155" s="171">
        <f t="shared" si="210"/>
        <v>0</v>
      </c>
      <c r="CE155" s="171">
        <f t="shared" si="210"/>
        <v>0</v>
      </c>
      <c r="CF155" s="171">
        <f t="shared" si="210"/>
        <v>0</v>
      </c>
      <c r="CG155" s="171">
        <f t="shared" si="210"/>
        <v>0</v>
      </c>
      <c r="CH155" s="171">
        <f t="shared" si="210"/>
        <v>0</v>
      </c>
      <c r="CI155" s="171">
        <f t="shared" si="210"/>
        <v>0</v>
      </c>
      <c r="CJ155" s="243"/>
      <c r="CK155" s="171">
        <f t="shared" si="124"/>
        <v>0</v>
      </c>
      <c r="CL155" s="171">
        <f t="shared" si="125"/>
        <v>0</v>
      </c>
      <c r="CM155" s="171">
        <f t="shared" si="126"/>
        <v>26.433</v>
      </c>
      <c r="CN155" s="171">
        <f t="shared" si="127"/>
        <v>26.433</v>
      </c>
      <c r="CO155" s="171">
        <f t="shared" si="128"/>
        <v>26.433</v>
      </c>
      <c r="CP155" s="171">
        <f t="shared" si="129"/>
        <v>26.433</v>
      </c>
      <c r="CQ155" s="171">
        <f t="shared" si="130"/>
        <v>26.433</v>
      </c>
      <c r="CR155" s="171">
        <f t="shared" si="131"/>
        <v>26.433</v>
      </c>
      <c r="CS155" s="171">
        <f t="shared" si="132"/>
        <v>26.433</v>
      </c>
      <c r="CT155" s="171">
        <f t="shared" si="133"/>
        <v>26.433</v>
      </c>
      <c r="CU155" s="171">
        <f t="shared" si="134"/>
        <v>26.433</v>
      </c>
      <c r="CV155" s="171">
        <f t="shared" si="135"/>
        <v>26.433</v>
      </c>
      <c r="CW155" s="171">
        <f t="shared" si="136"/>
        <v>26.433</v>
      </c>
      <c r="CX155" s="171">
        <f t="shared" si="137"/>
        <v>26.433</v>
      </c>
      <c r="CY155" s="171">
        <f t="shared" ca="1" si="138"/>
        <v>25.094622398329708</v>
      </c>
      <c r="CZ155" s="171">
        <f t="shared" ca="1" si="139"/>
        <v>23.824010642558587</v>
      </c>
      <c r="DA155" s="171">
        <f t="shared" ca="1" si="140"/>
        <v>22.617733556115311</v>
      </c>
      <c r="DB155" s="171">
        <f t="shared" ca="1" si="141"/>
        <v>21.472533692609417</v>
      </c>
      <c r="DC155" s="171">
        <f t="shared" ca="1" si="142"/>
        <v>20.385318539380535</v>
      </c>
      <c r="DD155" s="171">
        <f t="shared" ca="1" si="143"/>
        <v>19.353152166436825</v>
      </c>
      <c r="DE155" s="171">
        <f t="shared" ca="1" si="144"/>
        <v>18.373247298231327</v>
      </c>
      <c r="DF155" s="171">
        <f t="shared" ca="1" si="145"/>
        <v>17.442957786866671</v>
      </c>
      <c r="DG155" s="171">
        <f t="shared" ca="1" si="146"/>
        <v>16.559771466402754</v>
      </c>
      <c r="DH155" s="171">
        <f t="shared" ca="1" si="147"/>
        <v>15.721303368971048</v>
      </c>
      <c r="DI155" s="171">
        <f t="shared" ca="1" si="148"/>
        <v>14.925289284376241</v>
      </c>
      <c r="DJ155" s="171">
        <f t="shared" ca="1" si="149"/>
        <v>14.169579645793455</v>
      </c>
      <c r="DK155" s="171">
        <f t="shared" ca="1" si="150"/>
        <v>13.452133725049944</v>
      </c>
      <c r="DL155" s="171">
        <f t="shared" ca="1" si="151"/>
        <v>12.771014121816092</v>
      </c>
      <c r="DM155" s="171">
        <f t="shared" ca="1" si="152"/>
        <v>0</v>
      </c>
      <c r="DN155" s="171">
        <f t="shared" ca="1" si="153"/>
        <v>0</v>
      </c>
      <c r="DO155" s="171">
        <f t="shared" ca="1" si="154"/>
        <v>0</v>
      </c>
      <c r="DP155" s="171">
        <f t="shared" ca="1" si="155"/>
        <v>0</v>
      </c>
      <c r="DQ155" s="171">
        <f t="shared" ca="1" si="156"/>
        <v>0</v>
      </c>
      <c r="DR155" s="171">
        <f t="shared" ca="1" si="157"/>
        <v>0</v>
      </c>
      <c r="DS155" s="171">
        <f t="shared" ca="1" si="158"/>
        <v>0</v>
      </c>
      <c r="DT155" s="171">
        <f t="shared" ca="1" si="159"/>
        <v>0</v>
      </c>
      <c r="DU155" s="171">
        <f t="shared" ca="1" si="160"/>
        <v>0</v>
      </c>
      <c r="DV155" s="171">
        <f t="shared" ca="1" si="161"/>
        <v>0</v>
      </c>
      <c r="DW155" s="171">
        <f t="shared" ca="1" si="162"/>
        <v>0</v>
      </c>
      <c r="DX155" s="171">
        <f t="shared" ca="1" si="163"/>
        <v>0</v>
      </c>
      <c r="DY155" s="171">
        <f t="shared" ca="1" si="164"/>
        <v>0</v>
      </c>
      <c r="DZ155" s="171">
        <f t="shared" ca="1" si="165"/>
        <v>0</v>
      </c>
      <c r="EA155" s="171">
        <f t="shared" ca="1" si="166"/>
        <v>0</v>
      </c>
      <c r="EB155" s="171">
        <f t="shared" ca="1" si="167"/>
        <v>0</v>
      </c>
      <c r="EC155" s="171">
        <f t="shared" ca="1" si="168"/>
        <v>0</v>
      </c>
      <c r="ED155" s="171">
        <f t="shared" ca="1" si="169"/>
        <v>0</v>
      </c>
      <c r="EE155" s="171">
        <f t="shared" ca="1" si="170"/>
        <v>0</v>
      </c>
      <c r="EF155" s="171">
        <f t="shared" ca="1" si="171"/>
        <v>0</v>
      </c>
      <c r="EG155" s="171">
        <f t="shared" ca="1" si="172"/>
        <v>0</v>
      </c>
      <c r="EH155" s="171">
        <f t="shared" ca="1" si="173"/>
        <v>0</v>
      </c>
      <c r="EI155" s="171">
        <f t="shared" ca="1" si="174"/>
        <v>0</v>
      </c>
      <c r="EJ155" s="171">
        <f t="shared" ca="1" si="175"/>
        <v>0</v>
      </c>
      <c r="EK155" s="171">
        <f t="shared" ca="1" si="176"/>
        <v>0</v>
      </c>
      <c r="EL155" s="171">
        <f t="shared" ca="1" si="177"/>
        <v>0</v>
      </c>
      <c r="EM155" s="171">
        <f t="shared" ca="1" si="178"/>
        <v>0</v>
      </c>
      <c r="EN155" s="171">
        <f t="shared" ca="1" si="179"/>
        <v>0</v>
      </c>
      <c r="EO155" s="171">
        <f t="shared" ca="1" si="180"/>
        <v>0</v>
      </c>
      <c r="EP155" s="171">
        <f t="shared" ca="1" si="181"/>
        <v>0</v>
      </c>
      <c r="EQ155" s="171">
        <f t="shared" ca="1" si="182"/>
        <v>0</v>
      </c>
      <c r="ER155" s="171">
        <f t="shared" ca="1" si="183"/>
        <v>0</v>
      </c>
      <c r="ES155" s="171">
        <f t="shared" ca="1" si="184"/>
        <v>0</v>
      </c>
    </row>
    <row r="156" spans="1:149">
      <c r="A156" s="139" t="s">
        <v>503</v>
      </c>
      <c r="B156" s="160" t="s">
        <v>430</v>
      </c>
      <c r="C156" s="160" t="s">
        <v>29</v>
      </c>
      <c r="D156" s="161" t="s">
        <v>394</v>
      </c>
      <c r="E156" s="160">
        <v>2011</v>
      </c>
      <c r="F156" s="160" t="s">
        <v>395</v>
      </c>
      <c r="G156" s="160" t="s">
        <v>402</v>
      </c>
      <c r="H156" s="160" t="s">
        <v>396</v>
      </c>
      <c r="I156" s="160" t="s">
        <v>178</v>
      </c>
      <c r="J156" s="160" t="s">
        <v>407</v>
      </c>
      <c r="K156" s="187">
        <v>15</v>
      </c>
      <c r="L156" s="163" t="s">
        <v>110</v>
      </c>
      <c r="M156" s="164">
        <f t="shared" si="115"/>
        <v>15</v>
      </c>
      <c r="N156" s="164">
        <f t="shared" si="116"/>
        <v>15</v>
      </c>
      <c r="O156" s="165">
        <f t="shared" si="117"/>
        <v>1</v>
      </c>
      <c r="P156" s="190">
        <v>1E-3</v>
      </c>
      <c r="Q156" s="191">
        <v>40</v>
      </c>
      <c r="R156" s="168">
        <f t="shared" si="204"/>
        <v>27</v>
      </c>
      <c r="S156" s="178">
        <v>10</v>
      </c>
      <c r="T156" s="170" t="s">
        <v>403</v>
      </c>
      <c r="U156" s="171">
        <f t="shared" si="119"/>
        <v>0.38477998452972406</v>
      </c>
      <c r="V156" s="171">
        <f t="shared" ca="1" si="120"/>
        <v>0.21728903378728401</v>
      </c>
      <c r="W156" s="171">
        <f t="shared" ca="1" si="185"/>
        <v>8.6915613514913606</v>
      </c>
      <c r="X156" s="172">
        <f t="shared" si="121"/>
        <v>3.190969278567013E-2</v>
      </c>
      <c r="Y156" s="172">
        <f t="shared" si="122"/>
        <v>0.96809030721432987</v>
      </c>
      <c r="Z156" s="173">
        <f t="shared" si="123"/>
        <v>15.391199381188963</v>
      </c>
      <c r="AA156" s="171">
        <f t="shared" si="205"/>
        <v>0</v>
      </c>
      <c r="AB156" s="171">
        <f t="shared" si="205"/>
        <v>1.4999999999999999E-2</v>
      </c>
      <c r="AC156" s="171">
        <f t="shared" si="205"/>
        <v>1.4999999999999999E-2</v>
      </c>
      <c r="AD156" s="171">
        <f t="shared" si="205"/>
        <v>1.4999999999999999E-2</v>
      </c>
      <c r="AE156" s="171">
        <f t="shared" si="205"/>
        <v>1.4999999999999999E-2</v>
      </c>
      <c r="AF156" s="171">
        <f t="shared" si="205"/>
        <v>1.4999999999999999E-2</v>
      </c>
      <c r="AG156" s="171">
        <f t="shared" si="205"/>
        <v>1.4999999999999999E-2</v>
      </c>
      <c r="AH156" s="171">
        <f t="shared" si="205"/>
        <v>1.4999999999999999E-2</v>
      </c>
      <c r="AI156" s="171">
        <f t="shared" si="205"/>
        <v>1.4999999999999999E-2</v>
      </c>
      <c r="AJ156" s="171">
        <f t="shared" si="205"/>
        <v>1.4999999999999999E-2</v>
      </c>
      <c r="AK156" s="171">
        <f t="shared" si="206"/>
        <v>1.4999999999999999E-2</v>
      </c>
      <c r="AL156" s="171">
        <f t="shared" si="206"/>
        <v>0.49165159294157945</v>
      </c>
      <c r="AM156" s="171">
        <f t="shared" si="206"/>
        <v>0.49165159294157945</v>
      </c>
      <c r="AN156" s="171">
        <f t="shared" si="206"/>
        <v>0.49165159294157945</v>
      </c>
      <c r="AO156" s="171">
        <f t="shared" si="206"/>
        <v>0.49165159294157945</v>
      </c>
      <c r="AP156" s="171">
        <f t="shared" si="206"/>
        <v>0.49165159294157945</v>
      </c>
      <c r="AQ156" s="171">
        <f t="shared" si="206"/>
        <v>0.49165159294157945</v>
      </c>
      <c r="AR156" s="171">
        <f t="shared" si="206"/>
        <v>0.49165159294157945</v>
      </c>
      <c r="AS156" s="171">
        <f t="shared" si="206"/>
        <v>0.49165159294157945</v>
      </c>
      <c r="AT156" s="171">
        <f t="shared" si="206"/>
        <v>0.49165159294157945</v>
      </c>
      <c r="AU156" s="171">
        <f t="shared" si="207"/>
        <v>0.49165159294157945</v>
      </c>
      <c r="AV156" s="171">
        <f t="shared" si="207"/>
        <v>0.49165159294157945</v>
      </c>
      <c r="AW156" s="171">
        <f t="shared" si="207"/>
        <v>0.49165159294157945</v>
      </c>
      <c r="AX156" s="171">
        <f t="shared" si="207"/>
        <v>0.49165159294157945</v>
      </c>
      <c r="AY156" s="171">
        <f t="shared" si="207"/>
        <v>0.49165159294157945</v>
      </c>
      <c r="AZ156" s="171">
        <f t="shared" si="207"/>
        <v>0.49165159294157945</v>
      </c>
      <c r="BA156" s="171">
        <f t="shared" si="207"/>
        <v>0.49165159294157945</v>
      </c>
      <c r="BB156" s="171">
        <f t="shared" si="207"/>
        <v>0.49165159294157945</v>
      </c>
      <c r="BC156" s="171">
        <f t="shared" si="207"/>
        <v>0.49165159294157945</v>
      </c>
      <c r="BD156" s="171">
        <f t="shared" si="207"/>
        <v>0.49165159294157945</v>
      </c>
      <c r="BE156" s="171">
        <f t="shared" si="208"/>
        <v>0.49165159294157945</v>
      </c>
      <c r="BF156" s="171">
        <f t="shared" si="208"/>
        <v>0.49165159294157945</v>
      </c>
      <c r="BG156" s="171">
        <f t="shared" si="208"/>
        <v>0.49165159294157945</v>
      </c>
      <c r="BH156" s="171">
        <f t="shared" si="208"/>
        <v>0.49165159294157945</v>
      </c>
      <c r="BI156" s="171">
        <f t="shared" si="208"/>
        <v>0.49165159294157945</v>
      </c>
      <c r="BJ156" s="171">
        <f t="shared" si="208"/>
        <v>0.49165159294157945</v>
      </c>
      <c r="BK156" s="171">
        <f t="shared" si="208"/>
        <v>0.49165159294157945</v>
      </c>
      <c r="BL156" s="171">
        <f t="shared" si="208"/>
        <v>0.49165159294157945</v>
      </c>
      <c r="BM156" s="171">
        <f t="shared" si="208"/>
        <v>0.49165159294157945</v>
      </c>
      <c r="BN156" s="171">
        <f t="shared" si="208"/>
        <v>0.49165159294157945</v>
      </c>
      <c r="BO156" s="171">
        <f t="shared" si="209"/>
        <v>0.49165159294157945</v>
      </c>
      <c r="BP156" s="171">
        <f t="shared" si="209"/>
        <v>0.49165159294157945</v>
      </c>
      <c r="BQ156" s="171">
        <f t="shared" si="209"/>
        <v>0</v>
      </c>
      <c r="BR156" s="171">
        <f t="shared" si="209"/>
        <v>0</v>
      </c>
      <c r="BS156" s="171">
        <f t="shared" si="209"/>
        <v>0</v>
      </c>
      <c r="BT156" s="171">
        <f t="shared" si="209"/>
        <v>0</v>
      </c>
      <c r="BU156" s="171">
        <f t="shared" si="209"/>
        <v>0</v>
      </c>
      <c r="BV156" s="171">
        <f t="shared" si="209"/>
        <v>0</v>
      </c>
      <c r="BW156" s="171">
        <f t="shared" si="209"/>
        <v>0</v>
      </c>
      <c r="BX156" s="171">
        <f t="shared" si="209"/>
        <v>0</v>
      </c>
      <c r="BY156" s="171">
        <f t="shared" si="210"/>
        <v>0</v>
      </c>
      <c r="BZ156" s="171">
        <f t="shared" si="210"/>
        <v>0</v>
      </c>
      <c r="CA156" s="171">
        <f t="shared" si="210"/>
        <v>0</v>
      </c>
      <c r="CB156" s="171">
        <f t="shared" si="210"/>
        <v>0</v>
      </c>
      <c r="CC156" s="171">
        <f t="shared" si="210"/>
        <v>0</v>
      </c>
      <c r="CD156" s="171">
        <f t="shared" si="210"/>
        <v>0</v>
      </c>
      <c r="CE156" s="171">
        <f t="shared" si="210"/>
        <v>0</v>
      </c>
      <c r="CF156" s="171">
        <f t="shared" si="210"/>
        <v>0</v>
      </c>
      <c r="CG156" s="171">
        <f t="shared" si="210"/>
        <v>0</v>
      </c>
      <c r="CH156" s="171">
        <f t="shared" si="210"/>
        <v>0</v>
      </c>
      <c r="CI156" s="171">
        <f t="shared" si="210"/>
        <v>0</v>
      </c>
      <c r="CJ156" s="243"/>
      <c r="CK156" s="171">
        <f t="shared" si="124"/>
        <v>0</v>
      </c>
      <c r="CL156" s="171">
        <f t="shared" si="125"/>
        <v>1.4999999999999999E-2</v>
      </c>
      <c r="CM156" s="171">
        <f t="shared" si="126"/>
        <v>1.4999999999999999E-2</v>
      </c>
      <c r="CN156" s="171">
        <f t="shared" si="127"/>
        <v>1.4999999999999999E-2</v>
      </c>
      <c r="CO156" s="171">
        <f t="shared" si="128"/>
        <v>1.4999999999999999E-2</v>
      </c>
      <c r="CP156" s="171">
        <f t="shared" si="129"/>
        <v>1.4999999999999999E-2</v>
      </c>
      <c r="CQ156" s="171">
        <f t="shared" si="130"/>
        <v>1.4999999999999999E-2</v>
      </c>
      <c r="CR156" s="171">
        <f t="shared" si="131"/>
        <v>1.4999999999999999E-2</v>
      </c>
      <c r="CS156" s="171">
        <f t="shared" si="132"/>
        <v>1.4999999999999999E-2</v>
      </c>
      <c r="CT156" s="171">
        <f t="shared" si="133"/>
        <v>1.4999999999999999E-2</v>
      </c>
      <c r="CU156" s="171">
        <f t="shared" si="134"/>
        <v>1.4999999999999999E-2</v>
      </c>
      <c r="CV156" s="171">
        <f t="shared" si="135"/>
        <v>0.49165159294157945</v>
      </c>
      <c r="CW156" s="171">
        <f t="shared" si="136"/>
        <v>0.49165159294157945</v>
      </c>
      <c r="CX156" s="171">
        <f t="shared" si="137"/>
        <v>0.49165159294157945</v>
      </c>
      <c r="CY156" s="171">
        <f t="shared" ca="1" si="138"/>
        <v>0.46675788130012641</v>
      </c>
      <c r="CZ156" s="171">
        <f t="shared" ca="1" si="139"/>
        <v>0.44312460873419857</v>
      </c>
      <c r="DA156" s="171">
        <f t="shared" ca="1" si="140"/>
        <v>0.42068795564606015</v>
      </c>
      <c r="DB156" s="171">
        <f t="shared" ca="1" si="141"/>
        <v>0.39938733380483321</v>
      </c>
      <c r="DC156" s="171">
        <f t="shared" ca="1" si="142"/>
        <v>0.37916522273324826</v>
      </c>
      <c r="DD156" s="171">
        <f t="shared" ca="1" si="143"/>
        <v>0.35996701437859663</v>
      </c>
      <c r="DE156" s="171">
        <f t="shared" ca="1" si="144"/>
        <v>0.34174086564843204</v>
      </c>
      <c r="DF156" s="171">
        <f t="shared" ca="1" si="145"/>
        <v>0.32443755841280691</v>
      </c>
      <c r="DG156" s="171">
        <f t="shared" ca="1" si="146"/>
        <v>0.3080103665949922</v>
      </c>
      <c r="DH156" s="171">
        <f t="shared" ca="1" si="147"/>
        <v>0.29241492999176921</v>
      </c>
      <c r="DI156" s="171">
        <f t="shared" ca="1" si="148"/>
        <v>0.27760913448255836</v>
      </c>
      <c r="DJ156" s="171">
        <f t="shared" ca="1" si="149"/>
        <v>0.26355299830389789</v>
      </c>
      <c r="DK156" s="171">
        <f t="shared" ca="1" si="150"/>
        <v>0.25020856408216802</v>
      </c>
      <c r="DL156" s="171">
        <f t="shared" ca="1" si="151"/>
        <v>0.23753979633300376</v>
      </c>
      <c r="DM156" s="171">
        <f t="shared" ca="1" si="152"/>
        <v>0.22551248415060243</v>
      </c>
      <c r="DN156" s="171">
        <f t="shared" ca="1" si="153"/>
        <v>0.2140941488241471</v>
      </c>
      <c r="DO156" s="171">
        <f t="shared" ca="1" si="154"/>
        <v>0.20325395613187217</v>
      </c>
      <c r="DP156" s="171">
        <f t="shared" ca="1" si="155"/>
        <v>0.1929626330759279</v>
      </c>
      <c r="DQ156" s="171">
        <f t="shared" ca="1" si="156"/>
        <v>0.18319238883319555</v>
      </c>
      <c r="DR156" s="171">
        <f t="shared" ca="1" si="157"/>
        <v>0.17391683970858524</v>
      </c>
      <c r="DS156" s="171">
        <f t="shared" ca="1" si="158"/>
        <v>0.16511093788816181</v>
      </c>
      <c r="DT156" s="171">
        <f t="shared" ca="1" si="159"/>
        <v>0.15675090379970077</v>
      </c>
      <c r="DU156" s="171">
        <f t="shared" ca="1" si="160"/>
        <v>0.14881416189802127</v>
      </c>
      <c r="DV156" s="171">
        <f t="shared" ca="1" si="161"/>
        <v>0.14127927970168913</v>
      </c>
      <c r="DW156" s="171">
        <f t="shared" ca="1" si="162"/>
        <v>0.13412590991646411</v>
      </c>
      <c r="DX156" s="171">
        <f t="shared" ca="1" si="163"/>
        <v>0.12733473548920113</v>
      </c>
      <c r="DY156" s="171">
        <f t="shared" ca="1" si="164"/>
        <v>0.12088741744382761</v>
      </c>
      <c r="DZ156" s="171">
        <f t="shared" ca="1" si="165"/>
        <v>0.11476654535853327</v>
      </c>
      <c r="EA156" s="171">
        <f t="shared" ca="1" si="166"/>
        <v>0</v>
      </c>
      <c r="EB156" s="171">
        <f t="shared" ca="1" si="167"/>
        <v>0</v>
      </c>
      <c r="EC156" s="171">
        <f t="shared" ca="1" si="168"/>
        <v>0</v>
      </c>
      <c r="ED156" s="171">
        <f t="shared" ca="1" si="169"/>
        <v>0</v>
      </c>
      <c r="EE156" s="171">
        <f t="shared" ca="1" si="170"/>
        <v>0</v>
      </c>
      <c r="EF156" s="171">
        <f t="shared" ca="1" si="171"/>
        <v>0</v>
      </c>
      <c r="EG156" s="171">
        <f t="shared" ca="1" si="172"/>
        <v>0</v>
      </c>
      <c r="EH156" s="171">
        <f t="shared" ca="1" si="173"/>
        <v>0</v>
      </c>
      <c r="EI156" s="171">
        <f t="shared" ca="1" si="174"/>
        <v>0</v>
      </c>
      <c r="EJ156" s="171">
        <f t="shared" ca="1" si="175"/>
        <v>0</v>
      </c>
      <c r="EK156" s="171">
        <f t="shared" ca="1" si="176"/>
        <v>0</v>
      </c>
      <c r="EL156" s="171">
        <f t="shared" ca="1" si="177"/>
        <v>0</v>
      </c>
      <c r="EM156" s="171">
        <f t="shared" ca="1" si="178"/>
        <v>0</v>
      </c>
      <c r="EN156" s="171">
        <f t="shared" ca="1" si="179"/>
        <v>0</v>
      </c>
      <c r="EO156" s="171">
        <f t="shared" ca="1" si="180"/>
        <v>0</v>
      </c>
      <c r="EP156" s="171">
        <f t="shared" ca="1" si="181"/>
        <v>0</v>
      </c>
      <c r="EQ156" s="171">
        <f t="shared" ca="1" si="182"/>
        <v>0</v>
      </c>
      <c r="ER156" s="171">
        <f t="shared" ca="1" si="183"/>
        <v>0</v>
      </c>
      <c r="ES156" s="171">
        <f t="shared" ca="1" si="184"/>
        <v>0</v>
      </c>
    </row>
    <row r="157" spans="1:149">
      <c r="A157" s="139" t="s">
        <v>508</v>
      </c>
      <c r="B157" s="203" t="s">
        <v>509</v>
      </c>
      <c r="C157" s="203" t="s">
        <v>29</v>
      </c>
      <c r="D157" s="203" t="s">
        <v>394</v>
      </c>
      <c r="E157" s="203">
        <v>2023</v>
      </c>
      <c r="F157" s="204" t="s">
        <v>405</v>
      </c>
      <c r="G157" s="203" t="s">
        <v>289</v>
      </c>
      <c r="H157" s="204" t="s">
        <v>396</v>
      </c>
      <c r="I157" s="204" t="s">
        <v>176</v>
      </c>
      <c r="J157" s="204" t="s">
        <v>438</v>
      </c>
      <c r="K157" s="205">
        <v>11.3</v>
      </c>
      <c r="L157" s="163" t="s">
        <v>110</v>
      </c>
      <c r="M157" s="164">
        <f t="shared" si="115"/>
        <v>11.3</v>
      </c>
      <c r="N157" s="164">
        <f t="shared" si="116"/>
        <v>11.3</v>
      </c>
      <c r="O157" s="165">
        <f t="shared" si="117"/>
        <v>1</v>
      </c>
      <c r="P157" s="206">
        <v>0</v>
      </c>
      <c r="Q157" s="207">
        <v>0</v>
      </c>
      <c r="R157" s="168">
        <f t="shared" si="204"/>
        <v>0</v>
      </c>
      <c r="S157" s="208">
        <v>0</v>
      </c>
      <c r="T157" s="170" t="s">
        <v>425</v>
      </c>
      <c r="U157" s="171">
        <f t="shared" si="119"/>
        <v>0</v>
      </c>
      <c r="V157" s="171">
        <f t="shared" ca="1" si="120"/>
        <v>0</v>
      </c>
      <c r="W157" s="171">
        <f t="shared" ca="1" si="185"/>
        <v>11.3</v>
      </c>
      <c r="X157" s="172">
        <f t="shared" si="121"/>
        <v>1</v>
      </c>
      <c r="Y157" s="172">
        <f t="shared" si="122"/>
        <v>0</v>
      </c>
      <c r="Z157" s="173">
        <f t="shared" si="123"/>
        <v>11.3</v>
      </c>
      <c r="AA157" s="171">
        <f t="shared" si="205"/>
        <v>0</v>
      </c>
      <c r="AB157" s="171">
        <f t="shared" si="205"/>
        <v>0</v>
      </c>
      <c r="AC157" s="171">
        <f t="shared" si="205"/>
        <v>0</v>
      </c>
      <c r="AD157" s="171">
        <f t="shared" si="205"/>
        <v>0</v>
      </c>
      <c r="AE157" s="171">
        <f t="shared" si="205"/>
        <v>0</v>
      </c>
      <c r="AF157" s="171">
        <f t="shared" si="205"/>
        <v>0</v>
      </c>
      <c r="AG157" s="171">
        <f t="shared" si="205"/>
        <v>0</v>
      </c>
      <c r="AH157" s="171">
        <f t="shared" si="205"/>
        <v>0</v>
      </c>
      <c r="AI157" s="171">
        <f t="shared" si="205"/>
        <v>0</v>
      </c>
      <c r="AJ157" s="171">
        <f t="shared" si="205"/>
        <v>0</v>
      </c>
      <c r="AK157" s="171">
        <f t="shared" si="206"/>
        <v>0</v>
      </c>
      <c r="AL157" s="171">
        <f t="shared" si="206"/>
        <v>0</v>
      </c>
      <c r="AM157" s="171">
        <f t="shared" si="206"/>
        <v>0</v>
      </c>
      <c r="AN157" s="171">
        <f t="shared" si="206"/>
        <v>11.3</v>
      </c>
      <c r="AO157" s="171">
        <f t="shared" si="206"/>
        <v>0</v>
      </c>
      <c r="AP157" s="171">
        <f t="shared" si="206"/>
        <v>0</v>
      </c>
      <c r="AQ157" s="171">
        <f t="shared" si="206"/>
        <v>0</v>
      </c>
      <c r="AR157" s="171">
        <f t="shared" si="206"/>
        <v>0</v>
      </c>
      <c r="AS157" s="171">
        <f t="shared" si="206"/>
        <v>0</v>
      </c>
      <c r="AT157" s="171">
        <f t="shared" si="206"/>
        <v>0</v>
      </c>
      <c r="AU157" s="171">
        <f t="shared" si="207"/>
        <v>0</v>
      </c>
      <c r="AV157" s="171">
        <f t="shared" si="207"/>
        <v>0</v>
      </c>
      <c r="AW157" s="171">
        <f t="shared" si="207"/>
        <v>0</v>
      </c>
      <c r="AX157" s="171">
        <f t="shared" si="207"/>
        <v>0</v>
      </c>
      <c r="AY157" s="171">
        <f t="shared" si="207"/>
        <v>0</v>
      </c>
      <c r="AZ157" s="171">
        <f t="shared" si="207"/>
        <v>0</v>
      </c>
      <c r="BA157" s="171">
        <f t="shared" si="207"/>
        <v>0</v>
      </c>
      <c r="BB157" s="171">
        <f t="shared" si="207"/>
        <v>0</v>
      </c>
      <c r="BC157" s="171">
        <f t="shared" si="207"/>
        <v>0</v>
      </c>
      <c r="BD157" s="171">
        <f t="shared" si="207"/>
        <v>0</v>
      </c>
      <c r="BE157" s="171">
        <f t="shared" si="208"/>
        <v>0</v>
      </c>
      <c r="BF157" s="171">
        <f t="shared" si="208"/>
        <v>0</v>
      </c>
      <c r="BG157" s="171">
        <f t="shared" si="208"/>
        <v>0</v>
      </c>
      <c r="BH157" s="171">
        <f t="shared" si="208"/>
        <v>0</v>
      </c>
      <c r="BI157" s="171">
        <f t="shared" si="208"/>
        <v>0</v>
      </c>
      <c r="BJ157" s="171">
        <f t="shared" si="208"/>
        <v>0</v>
      </c>
      <c r="BK157" s="171">
        <f t="shared" si="208"/>
        <v>0</v>
      </c>
      <c r="BL157" s="171">
        <f t="shared" si="208"/>
        <v>0</v>
      </c>
      <c r="BM157" s="171">
        <f t="shared" si="208"/>
        <v>0</v>
      </c>
      <c r="BN157" s="171">
        <f t="shared" si="208"/>
        <v>0</v>
      </c>
      <c r="BO157" s="171">
        <f t="shared" si="209"/>
        <v>0</v>
      </c>
      <c r="BP157" s="171">
        <f t="shared" si="209"/>
        <v>0</v>
      </c>
      <c r="BQ157" s="171">
        <f t="shared" si="209"/>
        <v>0</v>
      </c>
      <c r="BR157" s="171">
        <f t="shared" si="209"/>
        <v>0</v>
      </c>
      <c r="BS157" s="171">
        <f t="shared" si="209"/>
        <v>0</v>
      </c>
      <c r="BT157" s="171">
        <f t="shared" si="209"/>
        <v>0</v>
      </c>
      <c r="BU157" s="171">
        <f t="shared" si="209"/>
        <v>0</v>
      </c>
      <c r="BV157" s="171">
        <f t="shared" si="209"/>
        <v>0</v>
      </c>
      <c r="BW157" s="171">
        <f t="shared" si="209"/>
        <v>0</v>
      </c>
      <c r="BX157" s="171">
        <f t="shared" si="209"/>
        <v>0</v>
      </c>
      <c r="BY157" s="171">
        <f t="shared" si="210"/>
        <v>0</v>
      </c>
      <c r="BZ157" s="171">
        <f t="shared" si="210"/>
        <v>0</v>
      </c>
      <c r="CA157" s="171">
        <f t="shared" si="210"/>
        <v>0</v>
      </c>
      <c r="CB157" s="171">
        <f t="shared" si="210"/>
        <v>0</v>
      </c>
      <c r="CC157" s="171">
        <f t="shared" si="210"/>
        <v>0</v>
      </c>
      <c r="CD157" s="171">
        <f t="shared" si="210"/>
        <v>0</v>
      </c>
      <c r="CE157" s="171">
        <f t="shared" si="210"/>
        <v>0</v>
      </c>
      <c r="CF157" s="171">
        <f t="shared" si="210"/>
        <v>0</v>
      </c>
      <c r="CG157" s="171">
        <f t="shared" si="210"/>
        <v>0</v>
      </c>
      <c r="CH157" s="171">
        <f t="shared" si="210"/>
        <v>0</v>
      </c>
      <c r="CI157" s="171">
        <f t="shared" si="210"/>
        <v>0</v>
      </c>
      <c r="CJ157" s="243"/>
      <c r="CK157" s="171">
        <f t="shared" si="124"/>
        <v>0</v>
      </c>
      <c r="CL157" s="171">
        <f t="shared" si="125"/>
        <v>0</v>
      </c>
      <c r="CM157" s="171">
        <f t="shared" si="126"/>
        <v>0</v>
      </c>
      <c r="CN157" s="171">
        <f t="shared" si="127"/>
        <v>0</v>
      </c>
      <c r="CO157" s="171">
        <f t="shared" si="128"/>
        <v>0</v>
      </c>
      <c r="CP157" s="171">
        <f t="shared" si="129"/>
        <v>0</v>
      </c>
      <c r="CQ157" s="171">
        <f t="shared" si="130"/>
        <v>0</v>
      </c>
      <c r="CR157" s="171">
        <f t="shared" si="131"/>
        <v>0</v>
      </c>
      <c r="CS157" s="171">
        <f t="shared" si="132"/>
        <v>0</v>
      </c>
      <c r="CT157" s="171">
        <f t="shared" si="133"/>
        <v>0</v>
      </c>
      <c r="CU157" s="171">
        <f t="shared" si="134"/>
        <v>0</v>
      </c>
      <c r="CV157" s="171">
        <f t="shared" si="135"/>
        <v>0</v>
      </c>
      <c r="CW157" s="171">
        <f t="shared" si="136"/>
        <v>0</v>
      </c>
      <c r="CX157" s="171">
        <f t="shared" si="137"/>
        <v>11.3</v>
      </c>
      <c r="CY157" s="171">
        <f t="shared" ca="1" si="138"/>
        <v>0</v>
      </c>
      <c r="CZ157" s="171">
        <f t="shared" ca="1" si="139"/>
        <v>0</v>
      </c>
      <c r="DA157" s="171">
        <f t="shared" ca="1" si="140"/>
        <v>0</v>
      </c>
      <c r="DB157" s="171">
        <f t="shared" ca="1" si="141"/>
        <v>0</v>
      </c>
      <c r="DC157" s="171">
        <f t="shared" ca="1" si="142"/>
        <v>0</v>
      </c>
      <c r="DD157" s="171">
        <f t="shared" ca="1" si="143"/>
        <v>0</v>
      </c>
      <c r="DE157" s="171">
        <f t="shared" ca="1" si="144"/>
        <v>0</v>
      </c>
      <c r="DF157" s="171">
        <f t="shared" ca="1" si="145"/>
        <v>0</v>
      </c>
      <c r="DG157" s="171">
        <f t="shared" ca="1" si="146"/>
        <v>0</v>
      </c>
      <c r="DH157" s="171">
        <f t="shared" ca="1" si="147"/>
        <v>0</v>
      </c>
      <c r="DI157" s="171">
        <f t="shared" ca="1" si="148"/>
        <v>0</v>
      </c>
      <c r="DJ157" s="171">
        <f t="shared" ca="1" si="149"/>
        <v>0</v>
      </c>
      <c r="DK157" s="171">
        <f t="shared" ca="1" si="150"/>
        <v>0</v>
      </c>
      <c r="DL157" s="171">
        <f t="shared" ca="1" si="151"/>
        <v>0</v>
      </c>
      <c r="DM157" s="171">
        <f t="shared" ca="1" si="152"/>
        <v>0</v>
      </c>
      <c r="DN157" s="171">
        <f t="shared" ca="1" si="153"/>
        <v>0</v>
      </c>
      <c r="DO157" s="171">
        <f t="shared" ca="1" si="154"/>
        <v>0</v>
      </c>
      <c r="DP157" s="171">
        <f t="shared" ca="1" si="155"/>
        <v>0</v>
      </c>
      <c r="DQ157" s="171">
        <f t="shared" ca="1" si="156"/>
        <v>0</v>
      </c>
      <c r="DR157" s="171">
        <f t="shared" ca="1" si="157"/>
        <v>0</v>
      </c>
      <c r="DS157" s="171">
        <f t="shared" ca="1" si="158"/>
        <v>0</v>
      </c>
      <c r="DT157" s="171">
        <f t="shared" ca="1" si="159"/>
        <v>0</v>
      </c>
      <c r="DU157" s="171">
        <f t="shared" ca="1" si="160"/>
        <v>0</v>
      </c>
      <c r="DV157" s="171">
        <f t="shared" ca="1" si="161"/>
        <v>0</v>
      </c>
      <c r="DW157" s="171">
        <f t="shared" ca="1" si="162"/>
        <v>0</v>
      </c>
      <c r="DX157" s="171">
        <f t="shared" ca="1" si="163"/>
        <v>0</v>
      </c>
      <c r="DY157" s="171">
        <f t="shared" ca="1" si="164"/>
        <v>0</v>
      </c>
      <c r="DZ157" s="171">
        <f t="shared" ca="1" si="165"/>
        <v>0</v>
      </c>
      <c r="EA157" s="171">
        <f t="shared" ca="1" si="166"/>
        <v>0</v>
      </c>
      <c r="EB157" s="171">
        <f t="shared" ca="1" si="167"/>
        <v>0</v>
      </c>
      <c r="EC157" s="171">
        <f t="shared" ca="1" si="168"/>
        <v>0</v>
      </c>
      <c r="ED157" s="171">
        <f t="shared" ca="1" si="169"/>
        <v>0</v>
      </c>
      <c r="EE157" s="171">
        <f t="shared" ca="1" si="170"/>
        <v>0</v>
      </c>
      <c r="EF157" s="171">
        <f t="shared" ca="1" si="171"/>
        <v>0</v>
      </c>
      <c r="EG157" s="171">
        <f t="shared" ca="1" si="172"/>
        <v>0</v>
      </c>
      <c r="EH157" s="171">
        <f t="shared" ca="1" si="173"/>
        <v>0</v>
      </c>
      <c r="EI157" s="171">
        <f t="shared" ca="1" si="174"/>
        <v>0</v>
      </c>
      <c r="EJ157" s="171">
        <f t="shared" ca="1" si="175"/>
        <v>0</v>
      </c>
      <c r="EK157" s="171">
        <f t="shared" ca="1" si="176"/>
        <v>0</v>
      </c>
      <c r="EL157" s="171">
        <f t="shared" ca="1" si="177"/>
        <v>0</v>
      </c>
      <c r="EM157" s="171">
        <f t="shared" ca="1" si="178"/>
        <v>0</v>
      </c>
      <c r="EN157" s="171">
        <f t="shared" ca="1" si="179"/>
        <v>0</v>
      </c>
      <c r="EO157" s="171">
        <f t="shared" ca="1" si="180"/>
        <v>0</v>
      </c>
      <c r="EP157" s="171">
        <f t="shared" ca="1" si="181"/>
        <v>0</v>
      </c>
      <c r="EQ157" s="171">
        <f t="shared" ca="1" si="182"/>
        <v>0</v>
      </c>
      <c r="ER157" s="171">
        <f t="shared" ca="1" si="183"/>
        <v>0</v>
      </c>
      <c r="ES157" s="171">
        <f t="shared" ca="1" si="184"/>
        <v>0</v>
      </c>
    </row>
    <row r="158" spans="1:149">
      <c r="A158" s="139" t="s">
        <v>510</v>
      </c>
      <c r="B158" s="160" t="s">
        <v>432</v>
      </c>
      <c r="C158" s="160" t="s">
        <v>29</v>
      </c>
      <c r="D158" s="160" t="s">
        <v>394</v>
      </c>
      <c r="E158" s="160">
        <v>2018</v>
      </c>
      <c r="F158" s="160" t="s">
        <v>395</v>
      </c>
      <c r="G158" s="160" t="s">
        <v>402</v>
      </c>
      <c r="H158" s="160" t="s">
        <v>396</v>
      </c>
      <c r="I158" s="160" t="s">
        <v>178</v>
      </c>
      <c r="J158" s="160" t="s">
        <v>407</v>
      </c>
      <c r="K158" s="187">
        <v>29.5</v>
      </c>
      <c r="L158" s="163" t="s">
        <v>110</v>
      </c>
      <c r="M158" s="164">
        <f t="shared" si="115"/>
        <v>29.5</v>
      </c>
      <c r="N158" s="164">
        <f t="shared" si="116"/>
        <v>29.5</v>
      </c>
      <c r="O158" s="165">
        <f t="shared" si="117"/>
        <v>1</v>
      </c>
      <c r="P158" s="180">
        <v>8.2482067447802281E-3</v>
      </c>
      <c r="Q158" s="191">
        <v>16</v>
      </c>
      <c r="R158" s="168">
        <f t="shared" si="204"/>
        <v>10</v>
      </c>
      <c r="S158" s="178">
        <v>2</v>
      </c>
      <c r="T158" s="170" t="s">
        <v>403</v>
      </c>
      <c r="U158" s="171">
        <f t="shared" si="119"/>
        <v>1.9981575818710793</v>
      </c>
      <c r="V158" s="171">
        <f t="shared" ca="1" si="120"/>
        <v>1.625978821895079</v>
      </c>
      <c r="W158" s="171">
        <f t="shared" ca="1" si="185"/>
        <v>26.015661150321264</v>
      </c>
      <c r="X158" s="172">
        <f t="shared" si="121"/>
        <v>0.26692530847655693</v>
      </c>
      <c r="Y158" s="172">
        <f t="shared" si="122"/>
        <v>0.73307469152344307</v>
      </c>
      <c r="Z158" s="173">
        <f t="shared" si="123"/>
        <v>31.970521309937268</v>
      </c>
      <c r="AA158" s="171">
        <f t="shared" si="205"/>
        <v>0</v>
      </c>
      <c r="AB158" s="171">
        <f t="shared" si="205"/>
        <v>0</v>
      </c>
      <c r="AC158" s="171">
        <f t="shared" si="205"/>
        <v>0</v>
      </c>
      <c r="AD158" s="171">
        <f t="shared" si="205"/>
        <v>0</v>
      </c>
      <c r="AE158" s="171">
        <f t="shared" si="205"/>
        <v>0</v>
      </c>
      <c r="AF158" s="171">
        <f t="shared" si="205"/>
        <v>0</v>
      </c>
      <c r="AG158" s="171">
        <f t="shared" si="205"/>
        <v>0</v>
      </c>
      <c r="AH158" s="171">
        <f t="shared" si="205"/>
        <v>0</v>
      </c>
      <c r="AI158" s="171">
        <f t="shared" si="205"/>
        <v>0.24332209897101673</v>
      </c>
      <c r="AJ158" s="171">
        <f t="shared" si="205"/>
        <v>0.24332209897101673</v>
      </c>
      <c r="AK158" s="171">
        <f t="shared" si="206"/>
        <v>2.0989251407996821</v>
      </c>
      <c r="AL158" s="171">
        <f t="shared" si="206"/>
        <v>2.0989251407996821</v>
      </c>
      <c r="AM158" s="171">
        <f t="shared" si="206"/>
        <v>2.0989251407996821</v>
      </c>
      <c r="AN158" s="171">
        <f t="shared" si="206"/>
        <v>2.0989251407996821</v>
      </c>
      <c r="AO158" s="171">
        <f t="shared" si="206"/>
        <v>2.0989251407996821</v>
      </c>
      <c r="AP158" s="171">
        <f t="shared" si="206"/>
        <v>2.0989251407996821</v>
      </c>
      <c r="AQ158" s="171">
        <f t="shared" si="206"/>
        <v>2.0989251407996821</v>
      </c>
      <c r="AR158" s="171">
        <f t="shared" si="206"/>
        <v>2.0989251407996821</v>
      </c>
      <c r="AS158" s="171">
        <f t="shared" si="206"/>
        <v>2.0989251407996821</v>
      </c>
      <c r="AT158" s="171">
        <f t="shared" si="206"/>
        <v>2.0989251407996821</v>
      </c>
      <c r="AU158" s="171">
        <f t="shared" si="207"/>
        <v>2.0989251407996821</v>
      </c>
      <c r="AV158" s="171">
        <f t="shared" si="207"/>
        <v>2.0989251407996821</v>
      </c>
      <c r="AW158" s="171">
        <f t="shared" si="207"/>
        <v>2.0989251407996821</v>
      </c>
      <c r="AX158" s="171">
        <f t="shared" si="207"/>
        <v>2.0989251407996821</v>
      </c>
      <c r="AY158" s="171">
        <f t="shared" si="207"/>
        <v>2.0989251407996821</v>
      </c>
      <c r="AZ158" s="171">
        <f t="shared" si="207"/>
        <v>0</v>
      </c>
      <c r="BA158" s="171">
        <f t="shared" si="207"/>
        <v>0</v>
      </c>
      <c r="BB158" s="171">
        <f t="shared" si="207"/>
        <v>0</v>
      </c>
      <c r="BC158" s="171">
        <f t="shared" si="207"/>
        <v>0</v>
      </c>
      <c r="BD158" s="171">
        <f t="shared" si="207"/>
        <v>0</v>
      </c>
      <c r="BE158" s="171">
        <f t="shared" si="208"/>
        <v>0</v>
      </c>
      <c r="BF158" s="171">
        <f t="shared" si="208"/>
        <v>0</v>
      </c>
      <c r="BG158" s="171">
        <f t="shared" si="208"/>
        <v>0</v>
      </c>
      <c r="BH158" s="171">
        <f t="shared" si="208"/>
        <v>0</v>
      </c>
      <c r="BI158" s="171">
        <f t="shared" si="208"/>
        <v>0</v>
      </c>
      <c r="BJ158" s="171">
        <f t="shared" si="208"/>
        <v>0</v>
      </c>
      <c r="BK158" s="171">
        <f t="shared" si="208"/>
        <v>0</v>
      </c>
      <c r="BL158" s="171">
        <f t="shared" si="208"/>
        <v>0</v>
      </c>
      <c r="BM158" s="171">
        <f t="shared" si="208"/>
        <v>0</v>
      </c>
      <c r="BN158" s="171">
        <f t="shared" si="208"/>
        <v>0</v>
      </c>
      <c r="BO158" s="171">
        <f t="shared" si="209"/>
        <v>0</v>
      </c>
      <c r="BP158" s="171">
        <f t="shared" si="209"/>
        <v>0</v>
      </c>
      <c r="BQ158" s="171">
        <f t="shared" si="209"/>
        <v>0</v>
      </c>
      <c r="BR158" s="171">
        <f t="shared" si="209"/>
        <v>0</v>
      </c>
      <c r="BS158" s="171">
        <f t="shared" si="209"/>
        <v>0</v>
      </c>
      <c r="BT158" s="171">
        <f t="shared" si="209"/>
        <v>0</v>
      </c>
      <c r="BU158" s="171">
        <f t="shared" si="209"/>
        <v>0</v>
      </c>
      <c r="BV158" s="171">
        <f t="shared" si="209"/>
        <v>0</v>
      </c>
      <c r="BW158" s="171">
        <f t="shared" si="209"/>
        <v>0</v>
      </c>
      <c r="BX158" s="171">
        <f t="shared" si="209"/>
        <v>0</v>
      </c>
      <c r="BY158" s="171">
        <f t="shared" si="210"/>
        <v>0</v>
      </c>
      <c r="BZ158" s="171">
        <f t="shared" si="210"/>
        <v>0</v>
      </c>
      <c r="CA158" s="171">
        <f t="shared" si="210"/>
        <v>0</v>
      </c>
      <c r="CB158" s="171">
        <f t="shared" si="210"/>
        <v>0</v>
      </c>
      <c r="CC158" s="171">
        <f t="shared" si="210"/>
        <v>0</v>
      </c>
      <c r="CD158" s="171">
        <f t="shared" si="210"/>
        <v>0</v>
      </c>
      <c r="CE158" s="171">
        <f t="shared" si="210"/>
        <v>0</v>
      </c>
      <c r="CF158" s="171">
        <f t="shared" si="210"/>
        <v>0</v>
      </c>
      <c r="CG158" s="171">
        <f t="shared" si="210"/>
        <v>0</v>
      </c>
      <c r="CH158" s="171">
        <f t="shared" si="210"/>
        <v>0</v>
      </c>
      <c r="CI158" s="171">
        <f t="shared" si="210"/>
        <v>0</v>
      </c>
      <c r="CJ158" s="243"/>
      <c r="CK158" s="171">
        <f t="shared" si="124"/>
        <v>0</v>
      </c>
      <c r="CL158" s="171">
        <f t="shared" si="125"/>
        <v>0</v>
      </c>
      <c r="CM158" s="171">
        <f t="shared" si="126"/>
        <v>0</v>
      </c>
      <c r="CN158" s="171">
        <f t="shared" si="127"/>
        <v>0</v>
      </c>
      <c r="CO158" s="171">
        <f t="shared" si="128"/>
        <v>0</v>
      </c>
      <c r="CP158" s="171">
        <f t="shared" si="129"/>
        <v>0</v>
      </c>
      <c r="CQ158" s="171">
        <f t="shared" si="130"/>
        <v>0</v>
      </c>
      <c r="CR158" s="171">
        <f t="shared" si="131"/>
        <v>0</v>
      </c>
      <c r="CS158" s="171">
        <f t="shared" si="132"/>
        <v>0.24332209897101673</v>
      </c>
      <c r="CT158" s="171">
        <f t="shared" si="133"/>
        <v>0.24332209897101673</v>
      </c>
      <c r="CU158" s="171">
        <f t="shared" si="134"/>
        <v>2.0989251407996821</v>
      </c>
      <c r="CV158" s="171">
        <f t="shared" si="135"/>
        <v>2.0989251407996821</v>
      </c>
      <c r="CW158" s="171">
        <f t="shared" si="136"/>
        <v>2.0989251407996821</v>
      </c>
      <c r="CX158" s="171">
        <f t="shared" si="137"/>
        <v>2.0989251407996821</v>
      </c>
      <c r="CY158" s="171">
        <f t="shared" ca="1" si="138"/>
        <v>1.9926506204641563</v>
      </c>
      <c r="CZ158" s="171">
        <f t="shared" ca="1" si="139"/>
        <v>1.8917570798753605</v>
      </c>
      <c r="DA158" s="171">
        <f t="shared" ca="1" si="140"/>
        <v>1.795972064799267</v>
      </c>
      <c r="DB158" s="171">
        <f t="shared" ca="1" si="141"/>
        <v>1.7050369161308268</v>
      </c>
      <c r="DC158" s="171">
        <f t="shared" ca="1" si="142"/>
        <v>1.6187060714075456</v>
      </c>
      <c r="DD158" s="171">
        <f t="shared" ca="1" si="143"/>
        <v>1.5367464016894066</v>
      </c>
      <c r="DE158" s="171">
        <f t="shared" ca="1" si="144"/>
        <v>1.4589365820144353</v>
      </c>
      <c r="DF158" s="171">
        <f t="shared" ca="1" si="145"/>
        <v>1.3850664937298844</v>
      </c>
      <c r="DG158" s="171">
        <f t="shared" ca="1" si="146"/>
        <v>1.3149366570850813</v>
      </c>
      <c r="DH158" s="171">
        <f t="shared" ca="1" si="147"/>
        <v>1.2483576925537045</v>
      </c>
      <c r="DI158" s="171">
        <f t="shared" ca="1" si="148"/>
        <v>1.1851498094308397</v>
      </c>
      <c r="DJ158" s="171">
        <f t="shared" ca="1" si="149"/>
        <v>0</v>
      </c>
      <c r="DK158" s="171">
        <f t="shared" ca="1" si="150"/>
        <v>0</v>
      </c>
      <c r="DL158" s="171">
        <f t="shared" ca="1" si="151"/>
        <v>0</v>
      </c>
      <c r="DM158" s="171">
        <f t="shared" ca="1" si="152"/>
        <v>0</v>
      </c>
      <c r="DN158" s="171">
        <f t="shared" ca="1" si="153"/>
        <v>0</v>
      </c>
      <c r="DO158" s="171">
        <f t="shared" ca="1" si="154"/>
        <v>0</v>
      </c>
      <c r="DP158" s="171">
        <f t="shared" ca="1" si="155"/>
        <v>0</v>
      </c>
      <c r="DQ158" s="171">
        <f t="shared" ca="1" si="156"/>
        <v>0</v>
      </c>
      <c r="DR158" s="171">
        <f t="shared" ca="1" si="157"/>
        <v>0</v>
      </c>
      <c r="DS158" s="171">
        <f t="shared" ca="1" si="158"/>
        <v>0</v>
      </c>
      <c r="DT158" s="171">
        <f t="shared" ca="1" si="159"/>
        <v>0</v>
      </c>
      <c r="DU158" s="171">
        <f t="shared" ca="1" si="160"/>
        <v>0</v>
      </c>
      <c r="DV158" s="171">
        <f t="shared" ca="1" si="161"/>
        <v>0</v>
      </c>
      <c r="DW158" s="171">
        <f t="shared" ca="1" si="162"/>
        <v>0</v>
      </c>
      <c r="DX158" s="171">
        <f t="shared" ca="1" si="163"/>
        <v>0</v>
      </c>
      <c r="DY158" s="171">
        <f t="shared" ca="1" si="164"/>
        <v>0</v>
      </c>
      <c r="DZ158" s="171">
        <f t="shared" ca="1" si="165"/>
        <v>0</v>
      </c>
      <c r="EA158" s="171">
        <f t="shared" ca="1" si="166"/>
        <v>0</v>
      </c>
      <c r="EB158" s="171">
        <f t="shared" ca="1" si="167"/>
        <v>0</v>
      </c>
      <c r="EC158" s="171">
        <f t="shared" ca="1" si="168"/>
        <v>0</v>
      </c>
      <c r="ED158" s="171">
        <f t="shared" ca="1" si="169"/>
        <v>0</v>
      </c>
      <c r="EE158" s="171">
        <f t="shared" ca="1" si="170"/>
        <v>0</v>
      </c>
      <c r="EF158" s="171">
        <f t="shared" ca="1" si="171"/>
        <v>0</v>
      </c>
      <c r="EG158" s="171">
        <f t="shared" ca="1" si="172"/>
        <v>0</v>
      </c>
      <c r="EH158" s="171">
        <f t="shared" ca="1" si="173"/>
        <v>0</v>
      </c>
      <c r="EI158" s="171">
        <f t="shared" ca="1" si="174"/>
        <v>0</v>
      </c>
      <c r="EJ158" s="171">
        <f t="shared" ca="1" si="175"/>
        <v>0</v>
      </c>
      <c r="EK158" s="171">
        <f t="shared" ca="1" si="176"/>
        <v>0</v>
      </c>
      <c r="EL158" s="171">
        <f t="shared" ca="1" si="177"/>
        <v>0</v>
      </c>
      <c r="EM158" s="171">
        <f t="shared" ca="1" si="178"/>
        <v>0</v>
      </c>
      <c r="EN158" s="171">
        <f t="shared" ca="1" si="179"/>
        <v>0</v>
      </c>
      <c r="EO158" s="171">
        <f t="shared" ca="1" si="180"/>
        <v>0</v>
      </c>
      <c r="EP158" s="171">
        <f t="shared" ca="1" si="181"/>
        <v>0</v>
      </c>
      <c r="EQ158" s="171">
        <f t="shared" ca="1" si="182"/>
        <v>0</v>
      </c>
      <c r="ER158" s="171">
        <f t="shared" ca="1" si="183"/>
        <v>0</v>
      </c>
      <c r="ES158" s="171">
        <f t="shared" ca="1" si="184"/>
        <v>0</v>
      </c>
    </row>
    <row r="159" spans="1:149">
      <c r="A159" s="139" t="s">
        <v>510</v>
      </c>
      <c r="B159" s="160" t="s">
        <v>511</v>
      </c>
      <c r="C159" s="160" t="s">
        <v>29</v>
      </c>
      <c r="D159" s="160" t="s">
        <v>394</v>
      </c>
      <c r="E159" s="160">
        <v>2018</v>
      </c>
      <c r="F159" s="194" t="s">
        <v>395</v>
      </c>
      <c r="G159" s="194" t="s">
        <v>402</v>
      </c>
      <c r="H159" s="194" t="s">
        <v>396</v>
      </c>
      <c r="I159" s="194" t="s">
        <v>180</v>
      </c>
      <c r="J159" s="194" t="s">
        <v>407</v>
      </c>
      <c r="K159" s="187">
        <v>20</v>
      </c>
      <c r="L159" s="163" t="s">
        <v>110</v>
      </c>
      <c r="M159" s="164">
        <f t="shared" si="115"/>
        <v>20</v>
      </c>
      <c r="N159" s="164">
        <f t="shared" si="116"/>
        <v>20</v>
      </c>
      <c r="O159" s="165">
        <f t="shared" si="117"/>
        <v>1</v>
      </c>
      <c r="P159" s="180">
        <v>4.9550000000000004E-2</v>
      </c>
      <c r="Q159" s="183">
        <v>14.1082910321489</v>
      </c>
      <c r="R159" s="168">
        <f t="shared" si="204"/>
        <v>8.1082910321488999</v>
      </c>
      <c r="S159" s="186">
        <v>1</v>
      </c>
      <c r="T159" s="170" t="s">
        <v>403</v>
      </c>
      <c r="U159" s="171">
        <f t="shared" si="119"/>
        <v>2.0587196843060052</v>
      </c>
      <c r="V159" s="171">
        <f t="shared" ca="1" si="120"/>
        <v>1.7751477154381106</v>
      </c>
      <c r="W159" s="171">
        <f t="shared" ca="1" si="185"/>
        <v>25.044300594455102</v>
      </c>
      <c r="X159" s="172">
        <f t="shared" si="121"/>
        <v>0.49371538134980619</v>
      </c>
      <c r="Y159" s="172">
        <f t="shared" si="122"/>
        <v>0.50628461865019381</v>
      </c>
      <c r="Z159" s="173">
        <f t="shared" si="123"/>
        <v>29.045016459802827</v>
      </c>
      <c r="AA159" s="171">
        <f t="shared" ref="AA159:AJ168" si="211">IFERROR(
    IF($T159="Equity",
        IF(AND(AA$48&gt;=$E159, AA$48&lt;=($E159+$Q159)),
$K159*$P159*(VLOOKUP($C$39,$C$37:$BL$44,MATCH($E159,$C$37:$BL$37,0),FALSE)/VLOOKUP($L159,$C$37:$BL$44,MATCH($E159,$C$37:$BL$37,0),FALSE))*
IF($B$5="Foreign Currency",VLOOKUP($C$38,$C$37:$BL$44,MATCH(AA$48,$C$37:$BL$37,0),FALSE)/VLOOKUP($C$39,$C$37:$BL$44,MATCH(AA$48,$C$37:$BL$37,0),FALSE),1),
0),
    IF($T159="Lump Sum Principal",
        IF(AND(AA$48&gt;=$E159, AA$48&lt;($E159+$Q159)),
$K159*$P159*(VLOOKUP($C$39,$C$37:$BL$44,MATCH($E159,$C$37:$BL$37,0),FALSE)/VLOOKUP($L159,$C$37:$BL$44,MATCH($E159,$C$37:$BL$37,0),FALSE))*
IF($B$5="Foreign Currency",VLOOKUP($C$38,$C$37:$BL$44,MATCH(AA$48,$C$37:$BL$37,0),FALSE)/VLOOKUP($C$39,$C$37:$BL$44,MATCH(AA$48,$C$37:$BL$37,0),FALSE),1),
        IF(AA$48=($E159+$Q159),
$K159*(1+$P159)*(VLOOKUP($C$39,$C$37:$BL$44,MATCH($E159,$C$37:$BL$37,0),FALSE)/VLOOKUP($L159,$C$37:$BL$44,MATCH($E159,$C$37:$BL$37,0),FALSE))*
IF($B$5="Foreign Currency",VLOOKUP($C$38,$C$37:$BL$44,MATCH(AA$48,$C$37:$BL$37,0),FALSE)/VLOOKUP($C$39,$C$37:$BL$44,MATCH(AA$48,$C$37:$BL$37,0),FALSE),1),
0)),
    IF($T159="Lump Sum Principal and Interest",
        IF(AA$48=($E159+$Q159),
$K159*((1+$P159)^$Q159)*(VLOOKUP($C$39,$C$37:$BL$44,MATCH($E159,$C$37:$BL$37,0),FALSE)/VLOOKUP($L159,$C$37:$BL$44,MATCH($E159,$C$37:$BL$37,0),FALSE))*
IF($B$5="Foreign Currency",VLOOKUP($C$38,$C$37:$BL$44,MATCH(AA$48,$C$37:$BL$37,0),FALSE)/VLOOKUP($C$39,$C$37:$BL$44,MATCH(AA$48,$C$37:$BL$37,0),FALSE),1),
0),
    IF($T159="EPP with Grace Years for Principal",
        IF(AND(AA$48&gt;=$E159, AA$48&lt;($E159+$S159)),
$K159*$P159*(VLOOKUP($C$39,$C$37:$BL$44,MATCH($E159,$C$37:$BL$37,0),FALSE)/VLOOKUP($L159,$C$37:$BL$44,MATCH($E159,$C$37:$BL$37,0),FALSE))*
IF($B$5="Foreign Currency",VLOOKUP($C$38,$C$37:$BL$44,MATCH(AA$48,$C$37:$BL$37,0),FALSE)/VLOOKUP($C$39,$C$37:$BL$44,MATCH(AA$48,$C$37:$BL$37,0),FALSE),1),
        IF(AND(AA$48&gt;=($E159+$S159), AA$48&lt;=($E159+$Q159)),
-PMT($P159,($Q159-$S159+1),($K159*(VLOOKUP($C$39,$C$37:$BL$44,MATCH($E159,$C$37:$BL$37,0),FALSE)/VLOOKUP($L159,$C$37:$BL$44,MATCH($E159,$C$37:$BL$37,0),FALSE))*
IF($B$5="Foreign Currency",VLOOKUP($C$38,$C$37:$BL$44,MATCH(AA$48,$C$37:$BL$37,0),FALSE)/VLOOKUP($C$39,$C$37:$BL$44,MATCH(AA$48,$C$37:$BL$37,0),FALSE),1)),0),
0)),
    IF($T159="Equal Principal Payments (EPP)",
        IF(AND(AA$48&gt;=$E159, AA$48&lt;=($E159+$Q159)),
-PMT($P159,($Q159-$S159+1),($K159*(VLOOKUP($C$39,$C$37:$BL$44,MATCH($E159,$C$37:$BL$37,0),FALSE)/VLOOKUP($L159,$C$37:$BL$44,MATCH($E159,$C$37:$BL$37,0),FALSE))*
IF($B$5="Foreign Currency",VLOOKUP($C$38,$C$37:$BL$44,MATCH(AA$48,$C$37:$BL$37,0),FALSE)/VLOOKUP($C$39,$C$37:$BL$44,MATCH(AA$48,$C$37:$BL$37,0),FALSE),1)),0), 0),
    IF($T159="EPP with Grace Years for Principal and on Interest",
        IF(AND(AA$48&gt;=($E159+$S159), AA$48&lt;=($E159+$Q159)),
-PMT($P159,($Q159-$S159+1),($K159*(VLOOKUP($C$39,$C$37:$BL$44,MATCH($E159,$C$37:$BL$37,0),FALSE)/VLOOKUP($L159,$C$37:$BL$44,MATCH($E159,$C$37:$BL$37,0),FALSE))*
IF($B$5="Foreign Currency",VLOOKUP($C$38,$C$37:$BL$44,MATCH(AA$48,$C$37:$BL$37,0),FALSE)/VLOOKUP($C$39,$C$37:$BL$44,MATCH(AA$48,$C$37:$BL$37,0),FALSE),1))*((1+$P159)^$S159),0), 0),
    0)))))),"")</f>
        <v>0</v>
      </c>
      <c r="AB159" s="171">
        <f t="shared" si="211"/>
        <v>0</v>
      </c>
      <c r="AC159" s="171">
        <f t="shared" si="211"/>
        <v>0</v>
      </c>
      <c r="AD159" s="171">
        <f t="shared" si="211"/>
        <v>0</v>
      </c>
      <c r="AE159" s="171">
        <f t="shared" si="211"/>
        <v>0</v>
      </c>
      <c r="AF159" s="171">
        <f t="shared" si="211"/>
        <v>0</v>
      </c>
      <c r="AG159" s="171">
        <f t="shared" si="211"/>
        <v>0</v>
      </c>
      <c r="AH159" s="171">
        <f t="shared" si="211"/>
        <v>0</v>
      </c>
      <c r="AI159" s="171">
        <f t="shared" si="211"/>
        <v>0.9910000000000001</v>
      </c>
      <c r="AJ159" s="171">
        <f t="shared" si="211"/>
        <v>2.0038583185573442</v>
      </c>
      <c r="AK159" s="171">
        <f t="shared" ref="AK159:AT168" si="212">IFERROR(
    IF($T159="Equity",
        IF(AND(AK$48&gt;=$E159, AK$48&lt;=($E159+$Q159)),
$K159*$P159*(VLOOKUP($C$39,$C$37:$BL$44,MATCH($E159,$C$37:$BL$37,0),FALSE)/VLOOKUP($L159,$C$37:$BL$44,MATCH($E159,$C$37:$BL$37,0),FALSE))*
IF($B$5="Foreign Currency",VLOOKUP($C$38,$C$37:$BL$44,MATCH(AK$48,$C$37:$BL$37,0),FALSE)/VLOOKUP($C$39,$C$37:$BL$44,MATCH(AK$48,$C$37:$BL$37,0),FALSE),1),
0),
    IF($T159="Lump Sum Principal",
        IF(AND(AK$48&gt;=$E159, AK$48&lt;($E159+$Q159)),
$K159*$P159*(VLOOKUP($C$39,$C$37:$BL$44,MATCH($E159,$C$37:$BL$37,0),FALSE)/VLOOKUP($L159,$C$37:$BL$44,MATCH($E159,$C$37:$BL$37,0),FALSE))*
IF($B$5="Foreign Currency",VLOOKUP($C$38,$C$37:$BL$44,MATCH(AK$48,$C$37:$BL$37,0),FALSE)/VLOOKUP($C$39,$C$37:$BL$44,MATCH(AK$48,$C$37:$BL$37,0),FALSE),1),
        IF(AK$48=($E159+$Q159),
$K159*(1+$P159)*(VLOOKUP($C$39,$C$37:$BL$44,MATCH($E159,$C$37:$BL$37,0),FALSE)/VLOOKUP($L159,$C$37:$BL$44,MATCH($E159,$C$37:$BL$37,0),FALSE))*
IF($B$5="Foreign Currency",VLOOKUP($C$38,$C$37:$BL$44,MATCH(AK$48,$C$37:$BL$37,0),FALSE)/VLOOKUP($C$39,$C$37:$BL$44,MATCH(AK$48,$C$37:$BL$37,0),FALSE),1),
0)),
    IF($T159="Lump Sum Principal and Interest",
        IF(AK$48=($E159+$Q159),
$K159*((1+$P159)^$Q159)*(VLOOKUP($C$39,$C$37:$BL$44,MATCH($E159,$C$37:$BL$37,0),FALSE)/VLOOKUP($L159,$C$37:$BL$44,MATCH($E159,$C$37:$BL$37,0),FALSE))*
IF($B$5="Foreign Currency",VLOOKUP($C$38,$C$37:$BL$44,MATCH(AK$48,$C$37:$BL$37,0),FALSE)/VLOOKUP($C$39,$C$37:$BL$44,MATCH(AK$48,$C$37:$BL$37,0),FALSE),1),
0),
    IF($T159="EPP with Grace Years for Principal",
        IF(AND(AK$48&gt;=$E159, AK$48&lt;($E159+$S159)),
$K159*$P159*(VLOOKUP($C$39,$C$37:$BL$44,MATCH($E159,$C$37:$BL$37,0),FALSE)/VLOOKUP($L159,$C$37:$BL$44,MATCH($E159,$C$37:$BL$37,0),FALSE))*
IF($B$5="Foreign Currency",VLOOKUP($C$38,$C$37:$BL$44,MATCH(AK$48,$C$37:$BL$37,0),FALSE)/VLOOKUP($C$39,$C$37:$BL$44,MATCH(AK$48,$C$37:$BL$37,0),FALSE),1),
        IF(AND(AK$48&gt;=($E159+$S159), AK$48&lt;=($E159+$Q159)),
-PMT($P159,($Q159-$S159+1),($K159*(VLOOKUP($C$39,$C$37:$BL$44,MATCH($E159,$C$37:$BL$37,0),FALSE)/VLOOKUP($L159,$C$37:$BL$44,MATCH($E159,$C$37:$BL$37,0),FALSE))*
IF($B$5="Foreign Currency",VLOOKUP($C$38,$C$37:$BL$44,MATCH(AK$48,$C$37:$BL$37,0),FALSE)/VLOOKUP($C$39,$C$37:$BL$44,MATCH(AK$48,$C$37:$BL$37,0),FALSE),1)),0),
0)),
    IF($T159="Equal Principal Payments (EPP)",
        IF(AND(AK$48&gt;=$E159, AK$48&lt;=($E159+$Q159)),
-PMT($P159,($Q159-$S159+1),($K159*(VLOOKUP($C$39,$C$37:$BL$44,MATCH($E159,$C$37:$BL$37,0),FALSE)/VLOOKUP($L159,$C$37:$BL$44,MATCH($E159,$C$37:$BL$37,0),FALSE))*
IF($B$5="Foreign Currency",VLOOKUP($C$38,$C$37:$BL$44,MATCH(AK$48,$C$37:$BL$37,0),FALSE)/VLOOKUP($C$39,$C$37:$BL$44,MATCH(AK$48,$C$37:$BL$37,0),FALSE),1)),0), 0),
    IF($T159="EPP with Grace Years for Principal and on Interest",
        IF(AND(AK$48&gt;=($E159+$S159), AK$48&lt;=($E159+$Q159)),
-PMT($P159,($Q159-$S159+1),($K159*(VLOOKUP($C$39,$C$37:$BL$44,MATCH($E159,$C$37:$BL$37,0),FALSE)/VLOOKUP($L159,$C$37:$BL$44,MATCH($E159,$C$37:$BL$37,0),FALSE))*
IF($B$5="Foreign Currency",VLOOKUP($C$38,$C$37:$BL$44,MATCH(AK$48,$C$37:$BL$37,0),FALSE)/VLOOKUP($C$39,$C$37:$BL$44,MATCH(AK$48,$C$37:$BL$37,0),FALSE),1))*((1+$P159)^$S159),0), 0),
    0)))))),"")</f>
        <v>2.0038583185573442</v>
      </c>
      <c r="AL159" s="171">
        <f t="shared" si="212"/>
        <v>2.0038583185573442</v>
      </c>
      <c r="AM159" s="171">
        <f t="shared" si="212"/>
        <v>2.0038583185573442</v>
      </c>
      <c r="AN159" s="171">
        <f t="shared" si="212"/>
        <v>2.0038583185573442</v>
      </c>
      <c r="AO159" s="171">
        <f t="shared" si="212"/>
        <v>2.0038583185573442</v>
      </c>
      <c r="AP159" s="171">
        <f t="shared" si="212"/>
        <v>2.0038583185573442</v>
      </c>
      <c r="AQ159" s="171">
        <f t="shared" si="212"/>
        <v>2.0038583185573442</v>
      </c>
      <c r="AR159" s="171">
        <f t="shared" si="212"/>
        <v>2.0038583185573442</v>
      </c>
      <c r="AS159" s="171">
        <f t="shared" si="212"/>
        <v>2.0038583185573442</v>
      </c>
      <c r="AT159" s="171">
        <f t="shared" si="212"/>
        <v>2.0038583185573442</v>
      </c>
      <c r="AU159" s="171">
        <f t="shared" ref="AU159:BD168" si="213">IFERROR(
    IF($T159="Equity",
        IF(AND(AU$48&gt;=$E159, AU$48&lt;=($E159+$Q159)),
$K159*$P159*(VLOOKUP($C$39,$C$37:$BL$44,MATCH($E159,$C$37:$BL$37,0),FALSE)/VLOOKUP($L159,$C$37:$BL$44,MATCH($E159,$C$37:$BL$37,0),FALSE))*
IF($B$5="Foreign Currency",VLOOKUP($C$38,$C$37:$BL$44,MATCH(AU$48,$C$37:$BL$37,0),FALSE)/VLOOKUP($C$39,$C$37:$BL$44,MATCH(AU$48,$C$37:$BL$37,0),FALSE),1),
0),
    IF($T159="Lump Sum Principal",
        IF(AND(AU$48&gt;=$E159, AU$48&lt;($E159+$Q159)),
$K159*$P159*(VLOOKUP($C$39,$C$37:$BL$44,MATCH($E159,$C$37:$BL$37,0),FALSE)/VLOOKUP($L159,$C$37:$BL$44,MATCH($E159,$C$37:$BL$37,0),FALSE))*
IF($B$5="Foreign Currency",VLOOKUP($C$38,$C$37:$BL$44,MATCH(AU$48,$C$37:$BL$37,0),FALSE)/VLOOKUP($C$39,$C$37:$BL$44,MATCH(AU$48,$C$37:$BL$37,0),FALSE),1),
        IF(AU$48=($E159+$Q159),
$K159*(1+$P159)*(VLOOKUP($C$39,$C$37:$BL$44,MATCH($E159,$C$37:$BL$37,0),FALSE)/VLOOKUP($L159,$C$37:$BL$44,MATCH($E159,$C$37:$BL$37,0),FALSE))*
IF($B$5="Foreign Currency",VLOOKUP($C$38,$C$37:$BL$44,MATCH(AU$48,$C$37:$BL$37,0),FALSE)/VLOOKUP($C$39,$C$37:$BL$44,MATCH(AU$48,$C$37:$BL$37,0),FALSE),1),
0)),
    IF($T159="Lump Sum Principal and Interest",
        IF(AU$48=($E159+$Q159),
$K159*((1+$P159)^$Q159)*(VLOOKUP($C$39,$C$37:$BL$44,MATCH($E159,$C$37:$BL$37,0),FALSE)/VLOOKUP($L159,$C$37:$BL$44,MATCH($E159,$C$37:$BL$37,0),FALSE))*
IF($B$5="Foreign Currency",VLOOKUP($C$38,$C$37:$BL$44,MATCH(AU$48,$C$37:$BL$37,0),FALSE)/VLOOKUP($C$39,$C$37:$BL$44,MATCH(AU$48,$C$37:$BL$37,0),FALSE),1),
0),
    IF($T159="EPP with Grace Years for Principal",
        IF(AND(AU$48&gt;=$E159, AU$48&lt;($E159+$S159)),
$K159*$P159*(VLOOKUP($C$39,$C$37:$BL$44,MATCH($E159,$C$37:$BL$37,0),FALSE)/VLOOKUP($L159,$C$37:$BL$44,MATCH($E159,$C$37:$BL$37,0),FALSE))*
IF($B$5="Foreign Currency",VLOOKUP($C$38,$C$37:$BL$44,MATCH(AU$48,$C$37:$BL$37,0),FALSE)/VLOOKUP($C$39,$C$37:$BL$44,MATCH(AU$48,$C$37:$BL$37,0),FALSE),1),
        IF(AND(AU$48&gt;=($E159+$S159), AU$48&lt;=($E159+$Q159)),
-PMT($P159,($Q159-$S159+1),($K159*(VLOOKUP($C$39,$C$37:$BL$44,MATCH($E159,$C$37:$BL$37,0),FALSE)/VLOOKUP($L159,$C$37:$BL$44,MATCH($E159,$C$37:$BL$37,0),FALSE))*
IF($B$5="Foreign Currency",VLOOKUP($C$38,$C$37:$BL$44,MATCH(AU$48,$C$37:$BL$37,0),FALSE)/VLOOKUP($C$39,$C$37:$BL$44,MATCH(AU$48,$C$37:$BL$37,0),FALSE),1)),0),
0)),
    IF($T159="Equal Principal Payments (EPP)",
        IF(AND(AU$48&gt;=$E159, AU$48&lt;=($E159+$Q159)),
-PMT($P159,($Q159-$S159+1),($K159*(VLOOKUP($C$39,$C$37:$BL$44,MATCH($E159,$C$37:$BL$37,0),FALSE)/VLOOKUP($L159,$C$37:$BL$44,MATCH($E159,$C$37:$BL$37,0),FALSE))*
IF($B$5="Foreign Currency",VLOOKUP($C$38,$C$37:$BL$44,MATCH(AU$48,$C$37:$BL$37,0),FALSE)/VLOOKUP($C$39,$C$37:$BL$44,MATCH(AU$48,$C$37:$BL$37,0),FALSE),1)),0), 0),
    IF($T159="EPP with Grace Years for Principal and on Interest",
        IF(AND(AU$48&gt;=($E159+$S159), AU$48&lt;=($E159+$Q159)),
-PMT($P159,($Q159-$S159+1),($K159*(VLOOKUP($C$39,$C$37:$BL$44,MATCH($E159,$C$37:$BL$37,0),FALSE)/VLOOKUP($L159,$C$37:$BL$44,MATCH($E159,$C$37:$BL$37,0),FALSE))*
IF($B$5="Foreign Currency",VLOOKUP($C$38,$C$37:$BL$44,MATCH(AU$48,$C$37:$BL$37,0),FALSE)/VLOOKUP($C$39,$C$37:$BL$44,MATCH(AU$48,$C$37:$BL$37,0),FALSE),1))*((1+$P159)^$S159),0), 0),
    0)))))),"")</f>
        <v>2.0038583185573442</v>
      </c>
      <c r="AV159" s="171">
        <f t="shared" si="213"/>
        <v>2.0038583185573442</v>
      </c>
      <c r="AW159" s="171">
        <f t="shared" si="213"/>
        <v>2.0038583185573442</v>
      </c>
      <c r="AX159" s="171">
        <f t="shared" si="213"/>
        <v>0</v>
      </c>
      <c r="AY159" s="171">
        <f t="shared" si="213"/>
        <v>0</v>
      </c>
      <c r="AZ159" s="171">
        <f t="shared" si="213"/>
        <v>0</v>
      </c>
      <c r="BA159" s="171">
        <f t="shared" si="213"/>
        <v>0</v>
      </c>
      <c r="BB159" s="171">
        <f t="shared" si="213"/>
        <v>0</v>
      </c>
      <c r="BC159" s="171">
        <f t="shared" si="213"/>
        <v>0</v>
      </c>
      <c r="BD159" s="171">
        <f t="shared" si="213"/>
        <v>0</v>
      </c>
      <c r="BE159" s="171">
        <f t="shared" ref="BE159:BN168" si="214">IFERROR(
    IF($T159="Equity",
        IF(AND(BE$48&gt;=$E159, BE$48&lt;=($E159+$Q159)),
$K159*$P159*(VLOOKUP($C$39,$C$37:$BL$44,MATCH($E159,$C$37:$BL$37,0),FALSE)/VLOOKUP($L159,$C$37:$BL$44,MATCH($E159,$C$37:$BL$37,0),FALSE))*
IF($B$5="Foreign Currency",VLOOKUP($C$38,$C$37:$BL$44,MATCH(BE$48,$C$37:$BL$37,0),FALSE)/VLOOKUP($C$39,$C$37:$BL$44,MATCH(BE$48,$C$37:$BL$37,0),FALSE),1),
0),
    IF($T159="Lump Sum Principal",
        IF(AND(BE$48&gt;=$E159, BE$48&lt;($E159+$Q159)),
$K159*$P159*(VLOOKUP($C$39,$C$37:$BL$44,MATCH($E159,$C$37:$BL$37,0),FALSE)/VLOOKUP($L159,$C$37:$BL$44,MATCH($E159,$C$37:$BL$37,0),FALSE))*
IF($B$5="Foreign Currency",VLOOKUP($C$38,$C$37:$BL$44,MATCH(BE$48,$C$37:$BL$37,0),FALSE)/VLOOKUP($C$39,$C$37:$BL$44,MATCH(BE$48,$C$37:$BL$37,0),FALSE),1),
        IF(BE$48=($E159+$Q159),
$K159*(1+$P159)*(VLOOKUP($C$39,$C$37:$BL$44,MATCH($E159,$C$37:$BL$37,0),FALSE)/VLOOKUP($L159,$C$37:$BL$44,MATCH($E159,$C$37:$BL$37,0),FALSE))*
IF($B$5="Foreign Currency",VLOOKUP($C$38,$C$37:$BL$44,MATCH(BE$48,$C$37:$BL$37,0),FALSE)/VLOOKUP($C$39,$C$37:$BL$44,MATCH(BE$48,$C$37:$BL$37,0),FALSE),1),
0)),
    IF($T159="Lump Sum Principal and Interest",
        IF(BE$48=($E159+$Q159),
$K159*((1+$P159)^$Q159)*(VLOOKUP($C$39,$C$37:$BL$44,MATCH($E159,$C$37:$BL$37,0),FALSE)/VLOOKUP($L159,$C$37:$BL$44,MATCH($E159,$C$37:$BL$37,0),FALSE))*
IF($B$5="Foreign Currency",VLOOKUP($C$38,$C$37:$BL$44,MATCH(BE$48,$C$37:$BL$37,0),FALSE)/VLOOKUP($C$39,$C$37:$BL$44,MATCH(BE$48,$C$37:$BL$37,0),FALSE),1),
0),
    IF($T159="EPP with Grace Years for Principal",
        IF(AND(BE$48&gt;=$E159, BE$48&lt;($E159+$S159)),
$K159*$P159*(VLOOKUP($C$39,$C$37:$BL$44,MATCH($E159,$C$37:$BL$37,0),FALSE)/VLOOKUP($L159,$C$37:$BL$44,MATCH($E159,$C$37:$BL$37,0),FALSE))*
IF($B$5="Foreign Currency",VLOOKUP($C$38,$C$37:$BL$44,MATCH(BE$48,$C$37:$BL$37,0),FALSE)/VLOOKUP($C$39,$C$37:$BL$44,MATCH(BE$48,$C$37:$BL$37,0),FALSE),1),
        IF(AND(BE$48&gt;=($E159+$S159), BE$48&lt;=($E159+$Q159)),
-PMT($P159,($Q159-$S159+1),($K159*(VLOOKUP($C$39,$C$37:$BL$44,MATCH($E159,$C$37:$BL$37,0),FALSE)/VLOOKUP($L159,$C$37:$BL$44,MATCH($E159,$C$37:$BL$37,0),FALSE))*
IF($B$5="Foreign Currency",VLOOKUP($C$38,$C$37:$BL$44,MATCH(BE$48,$C$37:$BL$37,0),FALSE)/VLOOKUP($C$39,$C$37:$BL$44,MATCH(BE$48,$C$37:$BL$37,0),FALSE),1)),0),
0)),
    IF($T159="Equal Principal Payments (EPP)",
        IF(AND(BE$48&gt;=$E159, BE$48&lt;=($E159+$Q159)),
-PMT($P159,($Q159-$S159+1),($K159*(VLOOKUP($C$39,$C$37:$BL$44,MATCH($E159,$C$37:$BL$37,0),FALSE)/VLOOKUP($L159,$C$37:$BL$44,MATCH($E159,$C$37:$BL$37,0),FALSE))*
IF($B$5="Foreign Currency",VLOOKUP($C$38,$C$37:$BL$44,MATCH(BE$48,$C$37:$BL$37,0),FALSE)/VLOOKUP($C$39,$C$37:$BL$44,MATCH(BE$48,$C$37:$BL$37,0),FALSE),1)),0), 0),
    IF($T159="EPP with Grace Years for Principal and on Interest",
        IF(AND(BE$48&gt;=($E159+$S159), BE$48&lt;=($E159+$Q159)),
-PMT($P159,($Q159-$S159+1),($K159*(VLOOKUP($C$39,$C$37:$BL$44,MATCH($E159,$C$37:$BL$37,0),FALSE)/VLOOKUP($L159,$C$37:$BL$44,MATCH($E159,$C$37:$BL$37,0),FALSE))*
IF($B$5="Foreign Currency",VLOOKUP($C$38,$C$37:$BL$44,MATCH(BE$48,$C$37:$BL$37,0),FALSE)/VLOOKUP($C$39,$C$37:$BL$44,MATCH(BE$48,$C$37:$BL$37,0),FALSE),1))*((1+$P159)^$S159),0), 0),
    0)))))),"")</f>
        <v>0</v>
      </c>
      <c r="BF159" s="171">
        <f t="shared" si="214"/>
        <v>0</v>
      </c>
      <c r="BG159" s="171">
        <f t="shared" si="214"/>
        <v>0</v>
      </c>
      <c r="BH159" s="171">
        <f t="shared" si="214"/>
        <v>0</v>
      </c>
      <c r="BI159" s="171">
        <f t="shared" si="214"/>
        <v>0</v>
      </c>
      <c r="BJ159" s="171">
        <f t="shared" si="214"/>
        <v>0</v>
      </c>
      <c r="BK159" s="171">
        <f t="shared" si="214"/>
        <v>0</v>
      </c>
      <c r="BL159" s="171">
        <f t="shared" si="214"/>
        <v>0</v>
      </c>
      <c r="BM159" s="171">
        <f t="shared" si="214"/>
        <v>0</v>
      </c>
      <c r="BN159" s="171">
        <f t="shared" si="214"/>
        <v>0</v>
      </c>
      <c r="BO159" s="171">
        <f t="shared" ref="BO159:BX168" si="215">IFERROR(
    IF($T159="Equity",
        IF(AND(BO$48&gt;=$E159, BO$48&lt;=($E159+$Q159)),
$K159*$P159*(VLOOKUP($C$39,$C$37:$BL$44,MATCH($E159,$C$37:$BL$37,0),FALSE)/VLOOKUP($L159,$C$37:$BL$44,MATCH($E159,$C$37:$BL$37,0),FALSE))*
IF($B$5="Foreign Currency",VLOOKUP($C$38,$C$37:$BL$44,MATCH(BO$48,$C$37:$BL$37,0),FALSE)/VLOOKUP($C$39,$C$37:$BL$44,MATCH(BO$48,$C$37:$BL$37,0),FALSE),1),
0),
    IF($T159="Lump Sum Principal",
        IF(AND(BO$48&gt;=$E159, BO$48&lt;($E159+$Q159)),
$K159*$P159*(VLOOKUP($C$39,$C$37:$BL$44,MATCH($E159,$C$37:$BL$37,0),FALSE)/VLOOKUP($L159,$C$37:$BL$44,MATCH($E159,$C$37:$BL$37,0),FALSE))*
IF($B$5="Foreign Currency",VLOOKUP($C$38,$C$37:$BL$44,MATCH(BO$48,$C$37:$BL$37,0),FALSE)/VLOOKUP($C$39,$C$37:$BL$44,MATCH(BO$48,$C$37:$BL$37,0),FALSE),1),
        IF(BO$48=($E159+$Q159),
$K159*(1+$P159)*(VLOOKUP($C$39,$C$37:$BL$44,MATCH($E159,$C$37:$BL$37,0),FALSE)/VLOOKUP($L159,$C$37:$BL$44,MATCH($E159,$C$37:$BL$37,0),FALSE))*
IF($B$5="Foreign Currency",VLOOKUP($C$38,$C$37:$BL$44,MATCH(BO$48,$C$37:$BL$37,0),FALSE)/VLOOKUP($C$39,$C$37:$BL$44,MATCH(BO$48,$C$37:$BL$37,0),FALSE),1),
0)),
    IF($T159="Lump Sum Principal and Interest",
        IF(BO$48=($E159+$Q159),
$K159*((1+$P159)^$Q159)*(VLOOKUP($C$39,$C$37:$BL$44,MATCH($E159,$C$37:$BL$37,0),FALSE)/VLOOKUP($L159,$C$37:$BL$44,MATCH($E159,$C$37:$BL$37,0),FALSE))*
IF($B$5="Foreign Currency",VLOOKUP($C$38,$C$37:$BL$44,MATCH(BO$48,$C$37:$BL$37,0),FALSE)/VLOOKUP($C$39,$C$37:$BL$44,MATCH(BO$48,$C$37:$BL$37,0),FALSE),1),
0),
    IF($T159="EPP with Grace Years for Principal",
        IF(AND(BO$48&gt;=$E159, BO$48&lt;($E159+$S159)),
$K159*$P159*(VLOOKUP($C$39,$C$37:$BL$44,MATCH($E159,$C$37:$BL$37,0),FALSE)/VLOOKUP($L159,$C$37:$BL$44,MATCH($E159,$C$37:$BL$37,0),FALSE))*
IF($B$5="Foreign Currency",VLOOKUP($C$38,$C$37:$BL$44,MATCH(BO$48,$C$37:$BL$37,0),FALSE)/VLOOKUP($C$39,$C$37:$BL$44,MATCH(BO$48,$C$37:$BL$37,0),FALSE),1),
        IF(AND(BO$48&gt;=($E159+$S159), BO$48&lt;=($E159+$Q159)),
-PMT($P159,($Q159-$S159+1),($K159*(VLOOKUP($C$39,$C$37:$BL$44,MATCH($E159,$C$37:$BL$37,0),FALSE)/VLOOKUP($L159,$C$37:$BL$44,MATCH($E159,$C$37:$BL$37,0),FALSE))*
IF($B$5="Foreign Currency",VLOOKUP($C$38,$C$37:$BL$44,MATCH(BO$48,$C$37:$BL$37,0),FALSE)/VLOOKUP($C$39,$C$37:$BL$44,MATCH(BO$48,$C$37:$BL$37,0),FALSE),1)),0),
0)),
    IF($T159="Equal Principal Payments (EPP)",
        IF(AND(BO$48&gt;=$E159, BO$48&lt;=($E159+$Q159)),
-PMT($P159,($Q159-$S159+1),($K159*(VLOOKUP($C$39,$C$37:$BL$44,MATCH($E159,$C$37:$BL$37,0),FALSE)/VLOOKUP($L159,$C$37:$BL$44,MATCH($E159,$C$37:$BL$37,0),FALSE))*
IF($B$5="Foreign Currency",VLOOKUP($C$38,$C$37:$BL$44,MATCH(BO$48,$C$37:$BL$37,0),FALSE)/VLOOKUP($C$39,$C$37:$BL$44,MATCH(BO$48,$C$37:$BL$37,0),FALSE),1)),0), 0),
    IF($T159="EPP with Grace Years for Principal and on Interest",
        IF(AND(BO$48&gt;=($E159+$S159), BO$48&lt;=($E159+$Q159)),
-PMT($P159,($Q159-$S159+1),($K159*(VLOOKUP($C$39,$C$37:$BL$44,MATCH($E159,$C$37:$BL$37,0),FALSE)/VLOOKUP($L159,$C$37:$BL$44,MATCH($E159,$C$37:$BL$37,0),FALSE))*
IF($B$5="Foreign Currency",VLOOKUP($C$38,$C$37:$BL$44,MATCH(BO$48,$C$37:$BL$37,0),FALSE)/VLOOKUP($C$39,$C$37:$BL$44,MATCH(BO$48,$C$37:$BL$37,0),FALSE),1))*((1+$P159)^$S159),0), 0),
    0)))))),"")</f>
        <v>0</v>
      </c>
      <c r="BP159" s="171">
        <f t="shared" si="215"/>
        <v>0</v>
      </c>
      <c r="BQ159" s="171">
        <f t="shared" si="215"/>
        <v>0</v>
      </c>
      <c r="BR159" s="171">
        <f t="shared" si="215"/>
        <v>0</v>
      </c>
      <c r="BS159" s="171">
        <f t="shared" si="215"/>
        <v>0</v>
      </c>
      <c r="BT159" s="171">
        <f t="shared" si="215"/>
        <v>0</v>
      </c>
      <c r="BU159" s="171">
        <f t="shared" si="215"/>
        <v>0</v>
      </c>
      <c r="BV159" s="171">
        <f t="shared" si="215"/>
        <v>0</v>
      </c>
      <c r="BW159" s="171">
        <f t="shared" si="215"/>
        <v>0</v>
      </c>
      <c r="BX159" s="171">
        <f t="shared" si="215"/>
        <v>0</v>
      </c>
      <c r="BY159" s="171">
        <f t="shared" ref="BY159:CI168" si="216">IFERROR(
    IF($T159="Equity",
        IF(AND(BY$48&gt;=$E159, BY$48&lt;=($E159+$Q159)),
$K159*$P159*(VLOOKUP($C$39,$C$37:$BL$44,MATCH($E159,$C$37:$BL$37,0),FALSE)/VLOOKUP($L159,$C$37:$BL$44,MATCH($E159,$C$37:$BL$37,0),FALSE))*
IF($B$5="Foreign Currency",VLOOKUP($C$38,$C$37:$BL$44,MATCH(BY$48,$C$37:$BL$37,0),FALSE)/VLOOKUP($C$39,$C$37:$BL$44,MATCH(BY$48,$C$37:$BL$37,0),FALSE),1),
0),
    IF($T159="Lump Sum Principal",
        IF(AND(BY$48&gt;=$E159, BY$48&lt;($E159+$Q159)),
$K159*$P159*(VLOOKUP($C$39,$C$37:$BL$44,MATCH($E159,$C$37:$BL$37,0),FALSE)/VLOOKUP($L159,$C$37:$BL$44,MATCH($E159,$C$37:$BL$37,0),FALSE))*
IF($B$5="Foreign Currency",VLOOKUP($C$38,$C$37:$BL$44,MATCH(BY$48,$C$37:$BL$37,0),FALSE)/VLOOKUP($C$39,$C$37:$BL$44,MATCH(BY$48,$C$37:$BL$37,0),FALSE),1),
        IF(BY$48=($E159+$Q159),
$K159*(1+$P159)*(VLOOKUP($C$39,$C$37:$BL$44,MATCH($E159,$C$37:$BL$37,0),FALSE)/VLOOKUP($L159,$C$37:$BL$44,MATCH($E159,$C$37:$BL$37,0),FALSE))*
IF($B$5="Foreign Currency",VLOOKUP($C$38,$C$37:$BL$44,MATCH(BY$48,$C$37:$BL$37,0),FALSE)/VLOOKUP($C$39,$C$37:$BL$44,MATCH(BY$48,$C$37:$BL$37,0),FALSE),1),
0)),
    IF($T159="Lump Sum Principal and Interest",
        IF(BY$48=($E159+$Q159),
$K159*((1+$P159)^$Q159)*(VLOOKUP($C$39,$C$37:$BL$44,MATCH($E159,$C$37:$BL$37,0),FALSE)/VLOOKUP($L159,$C$37:$BL$44,MATCH($E159,$C$37:$BL$37,0),FALSE))*
IF($B$5="Foreign Currency",VLOOKUP($C$38,$C$37:$BL$44,MATCH(BY$48,$C$37:$BL$37,0),FALSE)/VLOOKUP($C$39,$C$37:$BL$44,MATCH(BY$48,$C$37:$BL$37,0),FALSE),1),
0),
    IF($T159="EPP with Grace Years for Principal",
        IF(AND(BY$48&gt;=$E159, BY$48&lt;($E159+$S159)),
$K159*$P159*(VLOOKUP($C$39,$C$37:$BL$44,MATCH($E159,$C$37:$BL$37,0),FALSE)/VLOOKUP($L159,$C$37:$BL$44,MATCH($E159,$C$37:$BL$37,0),FALSE))*
IF($B$5="Foreign Currency",VLOOKUP($C$38,$C$37:$BL$44,MATCH(BY$48,$C$37:$BL$37,0),FALSE)/VLOOKUP($C$39,$C$37:$BL$44,MATCH(BY$48,$C$37:$BL$37,0),FALSE),1),
        IF(AND(BY$48&gt;=($E159+$S159), BY$48&lt;=($E159+$Q159)),
-PMT($P159,($Q159-$S159+1),($K159*(VLOOKUP($C$39,$C$37:$BL$44,MATCH($E159,$C$37:$BL$37,0),FALSE)/VLOOKUP($L159,$C$37:$BL$44,MATCH($E159,$C$37:$BL$37,0),FALSE))*
IF($B$5="Foreign Currency",VLOOKUP($C$38,$C$37:$BL$44,MATCH(BY$48,$C$37:$BL$37,0),FALSE)/VLOOKUP($C$39,$C$37:$BL$44,MATCH(BY$48,$C$37:$BL$37,0),FALSE),1)),0),
0)),
    IF($T159="Equal Principal Payments (EPP)",
        IF(AND(BY$48&gt;=$E159, BY$48&lt;=($E159+$Q159)),
-PMT($P159,($Q159-$S159+1),($K159*(VLOOKUP($C$39,$C$37:$BL$44,MATCH($E159,$C$37:$BL$37,0),FALSE)/VLOOKUP($L159,$C$37:$BL$44,MATCH($E159,$C$37:$BL$37,0),FALSE))*
IF($B$5="Foreign Currency",VLOOKUP($C$38,$C$37:$BL$44,MATCH(BY$48,$C$37:$BL$37,0),FALSE)/VLOOKUP($C$39,$C$37:$BL$44,MATCH(BY$48,$C$37:$BL$37,0),FALSE),1)),0), 0),
    IF($T159="EPP with Grace Years for Principal and on Interest",
        IF(AND(BY$48&gt;=($E159+$S159), BY$48&lt;=($E159+$Q159)),
-PMT($P159,($Q159-$S159+1),($K159*(VLOOKUP($C$39,$C$37:$BL$44,MATCH($E159,$C$37:$BL$37,0),FALSE)/VLOOKUP($L159,$C$37:$BL$44,MATCH($E159,$C$37:$BL$37,0),FALSE))*
IF($B$5="Foreign Currency",VLOOKUP($C$38,$C$37:$BL$44,MATCH(BY$48,$C$37:$BL$37,0),FALSE)/VLOOKUP($C$39,$C$37:$BL$44,MATCH(BY$48,$C$37:$BL$37,0),FALSE),1))*((1+$P159)^$S159),0), 0),
    0)))))),"")</f>
        <v>0</v>
      </c>
      <c r="BZ159" s="171">
        <f t="shared" si="216"/>
        <v>0</v>
      </c>
      <c r="CA159" s="171">
        <f t="shared" si="216"/>
        <v>0</v>
      </c>
      <c r="CB159" s="171">
        <f t="shared" si="216"/>
        <v>0</v>
      </c>
      <c r="CC159" s="171">
        <f t="shared" si="216"/>
        <v>0</v>
      </c>
      <c r="CD159" s="171">
        <f t="shared" si="216"/>
        <v>0</v>
      </c>
      <c r="CE159" s="171">
        <f t="shared" si="216"/>
        <v>0</v>
      </c>
      <c r="CF159" s="171">
        <f t="shared" si="216"/>
        <v>0</v>
      </c>
      <c r="CG159" s="171">
        <f t="shared" si="216"/>
        <v>0</v>
      </c>
      <c r="CH159" s="171">
        <f t="shared" si="216"/>
        <v>0</v>
      </c>
      <c r="CI159" s="171">
        <f t="shared" si="216"/>
        <v>0</v>
      </c>
      <c r="CJ159" s="243"/>
      <c r="CK159" s="171">
        <f t="shared" si="124"/>
        <v>0</v>
      </c>
      <c r="CL159" s="171">
        <f t="shared" si="125"/>
        <v>0</v>
      </c>
      <c r="CM159" s="171">
        <f t="shared" si="126"/>
        <v>0</v>
      </c>
      <c r="CN159" s="171">
        <f t="shared" si="127"/>
        <v>0</v>
      </c>
      <c r="CO159" s="171">
        <f t="shared" si="128"/>
        <v>0</v>
      </c>
      <c r="CP159" s="171">
        <f t="shared" si="129"/>
        <v>0</v>
      </c>
      <c r="CQ159" s="171">
        <f t="shared" si="130"/>
        <v>0</v>
      </c>
      <c r="CR159" s="171">
        <f t="shared" si="131"/>
        <v>0</v>
      </c>
      <c r="CS159" s="171">
        <f t="shared" si="132"/>
        <v>0.9910000000000001</v>
      </c>
      <c r="CT159" s="171">
        <f t="shared" si="133"/>
        <v>2.0038583185573442</v>
      </c>
      <c r="CU159" s="171">
        <f t="shared" si="134"/>
        <v>2.0038583185573442</v>
      </c>
      <c r="CV159" s="171">
        <f t="shared" si="135"/>
        <v>2.0038583185573442</v>
      </c>
      <c r="CW159" s="171">
        <f t="shared" si="136"/>
        <v>2.0038583185573442</v>
      </c>
      <c r="CX159" s="171">
        <f t="shared" si="137"/>
        <v>2.0038583185573442</v>
      </c>
      <c r="CY159" s="171">
        <f t="shared" ca="1" si="138"/>
        <v>1.9023973004936421</v>
      </c>
      <c r="CZ159" s="171">
        <f t="shared" ca="1" si="139"/>
        <v>1.8060735409332926</v>
      </c>
      <c r="DA159" s="171">
        <f t="shared" ca="1" si="140"/>
        <v>1.7146269259386091</v>
      </c>
      <c r="DB159" s="171">
        <f t="shared" ca="1" si="141"/>
        <v>1.6278105118767536</v>
      </c>
      <c r="DC159" s="171">
        <f t="shared" ca="1" si="142"/>
        <v>1.5453898585699288</v>
      </c>
      <c r="DD159" s="171">
        <f t="shared" ca="1" si="143"/>
        <v>1.46714239621006</v>
      </c>
      <c r="DE159" s="171">
        <f t="shared" ca="1" si="144"/>
        <v>1.392856824328381</v>
      </c>
      <c r="DF159" s="171">
        <f t="shared" ca="1" si="145"/>
        <v>1.3223325411968894</v>
      </c>
      <c r="DG159" s="171">
        <f t="shared" ca="1" si="146"/>
        <v>1.2553791021208227</v>
      </c>
      <c r="DH159" s="171">
        <f t="shared" ca="1" si="147"/>
        <v>0</v>
      </c>
      <c r="DI159" s="171">
        <f t="shared" ca="1" si="148"/>
        <v>0</v>
      </c>
      <c r="DJ159" s="171">
        <f t="shared" ca="1" si="149"/>
        <v>0</v>
      </c>
      <c r="DK159" s="171">
        <f t="shared" ca="1" si="150"/>
        <v>0</v>
      </c>
      <c r="DL159" s="171">
        <f t="shared" ca="1" si="151"/>
        <v>0</v>
      </c>
      <c r="DM159" s="171">
        <f t="shared" ca="1" si="152"/>
        <v>0</v>
      </c>
      <c r="DN159" s="171">
        <f t="shared" ca="1" si="153"/>
        <v>0</v>
      </c>
      <c r="DO159" s="171">
        <f t="shared" ca="1" si="154"/>
        <v>0</v>
      </c>
      <c r="DP159" s="171">
        <f t="shared" ca="1" si="155"/>
        <v>0</v>
      </c>
      <c r="DQ159" s="171">
        <f t="shared" ca="1" si="156"/>
        <v>0</v>
      </c>
      <c r="DR159" s="171">
        <f t="shared" ca="1" si="157"/>
        <v>0</v>
      </c>
      <c r="DS159" s="171">
        <f t="shared" ca="1" si="158"/>
        <v>0</v>
      </c>
      <c r="DT159" s="171">
        <f t="shared" ca="1" si="159"/>
        <v>0</v>
      </c>
      <c r="DU159" s="171">
        <f t="shared" ca="1" si="160"/>
        <v>0</v>
      </c>
      <c r="DV159" s="171">
        <f t="shared" ca="1" si="161"/>
        <v>0</v>
      </c>
      <c r="DW159" s="171">
        <f t="shared" ca="1" si="162"/>
        <v>0</v>
      </c>
      <c r="DX159" s="171">
        <f t="shared" ca="1" si="163"/>
        <v>0</v>
      </c>
      <c r="DY159" s="171">
        <f t="shared" ca="1" si="164"/>
        <v>0</v>
      </c>
      <c r="DZ159" s="171">
        <f t="shared" ca="1" si="165"/>
        <v>0</v>
      </c>
      <c r="EA159" s="171">
        <f t="shared" ca="1" si="166"/>
        <v>0</v>
      </c>
      <c r="EB159" s="171">
        <f t="shared" ca="1" si="167"/>
        <v>0</v>
      </c>
      <c r="EC159" s="171">
        <f t="shared" ca="1" si="168"/>
        <v>0</v>
      </c>
      <c r="ED159" s="171">
        <f t="shared" ca="1" si="169"/>
        <v>0</v>
      </c>
      <c r="EE159" s="171">
        <f t="shared" ca="1" si="170"/>
        <v>0</v>
      </c>
      <c r="EF159" s="171">
        <f t="shared" ca="1" si="171"/>
        <v>0</v>
      </c>
      <c r="EG159" s="171">
        <f t="shared" ca="1" si="172"/>
        <v>0</v>
      </c>
      <c r="EH159" s="171">
        <f t="shared" ca="1" si="173"/>
        <v>0</v>
      </c>
      <c r="EI159" s="171">
        <f t="shared" ca="1" si="174"/>
        <v>0</v>
      </c>
      <c r="EJ159" s="171">
        <f t="shared" ca="1" si="175"/>
        <v>0</v>
      </c>
      <c r="EK159" s="171">
        <f t="shared" ca="1" si="176"/>
        <v>0</v>
      </c>
      <c r="EL159" s="171">
        <f t="shared" ca="1" si="177"/>
        <v>0</v>
      </c>
      <c r="EM159" s="171">
        <f t="shared" ca="1" si="178"/>
        <v>0</v>
      </c>
      <c r="EN159" s="171">
        <f t="shared" ca="1" si="179"/>
        <v>0</v>
      </c>
      <c r="EO159" s="171">
        <f t="shared" ca="1" si="180"/>
        <v>0</v>
      </c>
      <c r="EP159" s="171">
        <f t="shared" ca="1" si="181"/>
        <v>0</v>
      </c>
      <c r="EQ159" s="171">
        <f t="shared" ca="1" si="182"/>
        <v>0</v>
      </c>
      <c r="ER159" s="171">
        <f t="shared" ca="1" si="183"/>
        <v>0</v>
      </c>
      <c r="ES159" s="171">
        <f t="shared" ca="1" si="184"/>
        <v>0</v>
      </c>
    </row>
    <row r="160" spans="1:149">
      <c r="A160" s="139" t="s">
        <v>510</v>
      </c>
      <c r="B160" s="194" t="s">
        <v>488</v>
      </c>
      <c r="C160" s="194" t="s">
        <v>29</v>
      </c>
      <c r="D160" s="194" t="s">
        <v>394</v>
      </c>
      <c r="E160" s="194">
        <v>2022</v>
      </c>
      <c r="F160" s="194" t="s">
        <v>395</v>
      </c>
      <c r="G160" s="194" t="s">
        <v>402</v>
      </c>
      <c r="H160" s="194" t="s">
        <v>396</v>
      </c>
      <c r="I160" s="194" t="s">
        <v>176</v>
      </c>
      <c r="J160" s="194" t="s">
        <v>397</v>
      </c>
      <c r="K160" s="187">
        <v>5.8</v>
      </c>
      <c r="L160" s="163" t="s">
        <v>110</v>
      </c>
      <c r="M160" s="164">
        <f t="shared" si="115"/>
        <v>5.8</v>
      </c>
      <c r="N160" s="164">
        <f t="shared" si="116"/>
        <v>5.8</v>
      </c>
      <c r="O160" s="165">
        <f t="shared" si="117"/>
        <v>1</v>
      </c>
      <c r="P160" s="180">
        <v>2.4058710569794983E-2</v>
      </c>
      <c r="Q160" s="183">
        <v>23.583342661777632</v>
      </c>
      <c r="R160" s="168">
        <f t="shared" si="204"/>
        <v>21.583342661777632</v>
      </c>
      <c r="S160" s="186">
        <v>6.5440636898279223</v>
      </c>
      <c r="T160" s="170" t="s">
        <v>403</v>
      </c>
      <c r="U160" s="171">
        <f t="shared" si="119"/>
        <v>0.32984037478576278</v>
      </c>
      <c r="V160" s="171">
        <f t="shared" ca="1" si="120"/>
        <v>0.18112522094902894</v>
      </c>
      <c r="W160" s="171">
        <f t="shared" ca="1" si="185"/>
        <v>4.2715381503311338</v>
      </c>
      <c r="X160" s="172">
        <f t="shared" si="121"/>
        <v>0.20135495345148102</v>
      </c>
      <c r="Y160" s="172">
        <f t="shared" si="122"/>
        <v>0.79864504654851898</v>
      </c>
      <c r="Z160" s="173">
        <f t="shared" si="123"/>
        <v>7.778738582261802</v>
      </c>
      <c r="AA160" s="171">
        <f t="shared" si="211"/>
        <v>0</v>
      </c>
      <c r="AB160" s="171">
        <f t="shared" si="211"/>
        <v>0</v>
      </c>
      <c r="AC160" s="171">
        <f t="shared" si="211"/>
        <v>0</v>
      </c>
      <c r="AD160" s="171">
        <f t="shared" si="211"/>
        <v>0</v>
      </c>
      <c r="AE160" s="171">
        <f t="shared" si="211"/>
        <v>0</v>
      </c>
      <c r="AF160" s="171">
        <f t="shared" si="211"/>
        <v>0</v>
      </c>
      <c r="AG160" s="171">
        <f t="shared" si="211"/>
        <v>0</v>
      </c>
      <c r="AH160" s="171">
        <f t="shared" si="211"/>
        <v>0</v>
      </c>
      <c r="AI160" s="171">
        <f t="shared" si="211"/>
        <v>0</v>
      </c>
      <c r="AJ160" s="171">
        <f t="shared" si="211"/>
        <v>0</v>
      </c>
      <c r="AK160" s="171">
        <f t="shared" si="212"/>
        <v>0</v>
      </c>
      <c r="AL160" s="171">
        <f t="shared" si="212"/>
        <v>0</v>
      </c>
      <c r="AM160" s="171">
        <f t="shared" si="212"/>
        <v>0.1395405213048109</v>
      </c>
      <c r="AN160" s="171">
        <f t="shared" si="212"/>
        <v>0.1395405213048109</v>
      </c>
      <c r="AO160" s="171">
        <f t="shared" si="212"/>
        <v>0.1395405213048109</v>
      </c>
      <c r="AP160" s="171">
        <f t="shared" si="212"/>
        <v>0.1395405213048109</v>
      </c>
      <c r="AQ160" s="171">
        <f t="shared" si="212"/>
        <v>0.1395405213048109</v>
      </c>
      <c r="AR160" s="171">
        <f t="shared" si="212"/>
        <v>0.1395405213048109</v>
      </c>
      <c r="AS160" s="171">
        <f t="shared" si="212"/>
        <v>0.1395405213048109</v>
      </c>
      <c r="AT160" s="171">
        <f t="shared" si="212"/>
        <v>0.40011499606636036</v>
      </c>
      <c r="AU160" s="171">
        <f t="shared" si="213"/>
        <v>0.40011499606636036</v>
      </c>
      <c r="AV160" s="171">
        <f t="shared" si="213"/>
        <v>0.40011499606636036</v>
      </c>
      <c r="AW160" s="171">
        <f t="shared" si="213"/>
        <v>0.40011499606636036</v>
      </c>
      <c r="AX160" s="171">
        <f t="shared" si="213"/>
        <v>0.40011499606636036</v>
      </c>
      <c r="AY160" s="171">
        <f t="shared" si="213"/>
        <v>0.40011499606636036</v>
      </c>
      <c r="AZ160" s="171">
        <f t="shared" si="213"/>
        <v>0.40011499606636036</v>
      </c>
      <c r="BA160" s="171">
        <f t="shared" si="213"/>
        <v>0.40011499606636036</v>
      </c>
      <c r="BB160" s="171">
        <f t="shared" si="213"/>
        <v>0.40011499606636036</v>
      </c>
      <c r="BC160" s="171">
        <f t="shared" si="213"/>
        <v>0.40011499606636036</v>
      </c>
      <c r="BD160" s="171">
        <f t="shared" si="213"/>
        <v>0.40011499606636036</v>
      </c>
      <c r="BE160" s="171">
        <f t="shared" si="214"/>
        <v>0.40011499606636036</v>
      </c>
      <c r="BF160" s="171">
        <f t="shared" si="214"/>
        <v>0.40011499606636036</v>
      </c>
      <c r="BG160" s="171">
        <f t="shared" si="214"/>
        <v>0.40011499606636036</v>
      </c>
      <c r="BH160" s="171">
        <f t="shared" si="214"/>
        <v>0.40011499606636036</v>
      </c>
      <c r="BI160" s="171">
        <f t="shared" si="214"/>
        <v>0.40011499606636036</v>
      </c>
      <c r="BJ160" s="171">
        <f t="shared" si="214"/>
        <v>0.40011499606636036</v>
      </c>
      <c r="BK160" s="171">
        <f t="shared" si="214"/>
        <v>0</v>
      </c>
      <c r="BL160" s="171">
        <f t="shared" si="214"/>
        <v>0</v>
      </c>
      <c r="BM160" s="171">
        <f t="shared" si="214"/>
        <v>0</v>
      </c>
      <c r="BN160" s="171">
        <f t="shared" si="214"/>
        <v>0</v>
      </c>
      <c r="BO160" s="171">
        <f t="shared" si="215"/>
        <v>0</v>
      </c>
      <c r="BP160" s="171">
        <f t="shared" si="215"/>
        <v>0</v>
      </c>
      <c r="BQ160" s="171">
        <f t="shared" si="215"/>
        <v>0</v>
      </c>
      <c r="BR160" s="171">
        <f t="shared" si="215"/>
        <v>0</v>
      </c>
      <c r="BS160" s="171">
        <f t="shared" si="215"/>
        <v>0</v>
      </c>
      <c r="BT160" s="171">
        <f t="shared" si="215"/>
        <v>0</v>
      </c>
      <c r="BU160" s="171">
        <f t="shared" si="215"/>
        <v>0</v>
      </c>
      <c r="BV160" s="171">
        <f t="shared" si="215"/>
        <v>0</v>
      </c>
      <c r="BW160" s="171">
        <f t="shared" si="215"/>
        <v>0</v>
      </c>
      <c r="BX160" s="171">
        <f t="shared" si="215"/>
        <v>0</v>
      </c>
      <c r="BY160" s="171">
        <f t="shared" si="216"/>
        <v>0</v>
      </c>
      <c r="BZ160" s="171">
        <f t="shared" si="216"/>
        <v>0</v>
      </c>
      <c r="CA160" s="171">
        <f t="shared" si="216"/>
        <v>0</v>
      </c>
      <c r="CB160" s="171">
        <f t="shared" si="216"/>
        <v>0</v>
      </c>
      <c r="CC160" s="171">
        <f t="shared" si="216"/>
        <v>0</v>
      </c>
      <c r="CD160" s="171">
        <f t="shared" si="216"/>
        <v>0</v>
      </c>
      <c r="CE160" s="171">
        <f t="shared" si="216"/>
        <v>0</v>
      </c>
      <c r="CF160" s="171">
        <f t="shared" si="216"/>
        <v>0</v>
      </c>
      <c r="CG160" s="171">
        <f t="shared" si="216"/>
        <v>0</v>
      </c>
      <c r="CH160" s="171">
        <f t="shared" si="216"/>
        <v>0</v>
      </c>
      <c r="CI160" s="171">
        <f t="shared" si="216"/>
        <v>0</v>
      </c>
      <c r="CJ160" s="243"/>
      <c r="CK160" s="171">
        <f t="shared" si="124"/>
        <v>0</v>
      </c>
      <c r="CL160" s="171">
        <f t="shared" si="125"/>
        <v>0</v>
      </c>
      <c r="CM160" s="171">
        <f t="shared" si="126"/>
        <v>0</v>
      </c>
      <c r="CN160" s="171">
        <f t="shared" si="127"/>
        <v>0</v>
      </c>
      <c r="CO160" s="171">
        <f t="shared" si="128"/>
        <v>0</v>
      </c>
      <c r="CP160" s="171">
        <f t="shared" si="129"/>
        <v>0</v>
      </c>
      <c r="CQ160" s="171">
        <f t="shared" si="130"/>
        <v>0</v>
      </c>
      <c r="CR160" s="171">
        <f t="shared" si="131"/>
        <v>0</v>
      </c>
      <c r="CS160" s="171">
        <f t="shared" si="132"/>
        <v>0</v>
      </c>
      <c r="CT160" s="171">
        <f t="shared" si="133"/>
        <v>0</v>
      </c>
      <c r="CU160" s="171">
        <f t="shared" si="134"/>
        <v>0</v>
      </c>
      <c r="CV160" s="171">
        <f t="shared" si="135"/>
        <v>0</v>
      </c>
      <c r="CW160" s="171">
        <f t="shared" si="136"/>
        <v>0.1395405213048109</v>
      </c>
      <c r="CX160" s="171">
        <f t="shared" si="137"/>
        <v>0.1395405213048109</v>
      </c>
      <c r="CY160" s="171">
        <f t="shared" ca="1" si="138"/>
        <v>0.13247518977831921</v>
      </c>
      <c r="CZ160" s="171">
        <f t="shared" ca="1" si="139"/>
        <v>0.12576759598358067</v>
      </c>
      <c r="DA160" s="171">
        <f t="shared" ca="1" si="140"/>
        <v>0.11939962664675388</v>
      </c>
      <c r="DB160" s="171">
        <f t="shared" ca="1" si="141"/>
        <v>0.11335408562031682</v>
      </c>
      <c r="DC160" s="171">
        <f t="shared" ca="1" si="142"/>
        <v>0.10761464744636576</v>
      </c>
      <c r="DD160" s="171">
        <f t="shared" ca="1" si="143"/>
        <v>0.29294769428160039</v>
      </c>
      <c r="DE160" s="171">
        <f t="shared" ca="1" si="144"/>
        <v>0.27811492340854593</v>
      </c>
      <c r="DF160" s="171">
        <f t="shared" ca="1" si="145"/>
        <v>0.26403317770505985</v>
      </c>
      <c r="DG160" s="171">
        <f t="shared" ca="1" si="146"/>
        <v>0.2506644306412274</v>
      </c>
      <c r="DH160" s="171">
        <f t="shared" ca="1" si="147"/>
        <v>0.23797258107796729</v>
      </c>
      <c r="DI160" s="171">
        <f t="shared" ca="1" si="148"/>
        <v>0.22592335577904477</v>
      </c>
      <c r="DJ160" s="171">
        <f t="shared" ca="1" si="149"/>
        <v>0.2144842168591771</v>
      </c>
      <c r="DK160" s="171">
        <f t="shared" ca="1" si="150"/>
        <v>0.20362427391830332</v>
      </c>
      <c r="DL160" s="171">
        <f t="shared" ca="1" si="151"/>
        <v>0.19331420062474478</v>
      </c>
      <c r="DM160" s="171">
        <f t="shared" ca="1" si="152"/>
        <v>0.18352615552199614</v>
      </c>
      <c r="DN160" s="171">
        <f t="shared" ca="1" si="153"/>
        <v>0.17423370684529282</v>
      </c>
      <c r="DO160" s="171">
        <f t="shared" ca="1" si="154"/>
        <v>0.16541176114492862</v>
      </c>
      <c r="DP160" s="171">
        <f t="shared" ca="1" si="155"/>
        <v>0.15703649552357615</v>
      </c>
      <c r="DQ160" s="171">
        <f t="shared" ca="1" si="156"/>
        <v>0.14908529330462444</v>
      </c>
      <c r="DR160" s="171">
        <f t="shared" ca="1" si="157"/>
        <v>0.14153668295780963</v>
      </c>
      <c r="DS160" s="171">
        <f t="shared" ca="1" si="158"/>
        <v>0.13437028011721486</v>
      </c>
      <c r="DT160" s="171">
        <f t="shared" ca="1" si="159"/>
        <v>0.12756673253506212</v>
      </c>
      <c r="DU160" s="171">
        <f t="shared" ca="1" si="160"/>
        <v>0</v>
      </c>
      <c r="DV160" s="171">
        <f t="shared" ca="1" si="161"/>
        <v>0</v>
      </c>
      <c r="DW160" s="171">
        <f t="shared" ca="1" si="162"/>
        <v>0</v>
      </c>
      <c r="DX160" s="171">
        <f t="shared" ca="1" si="163"/>
        <v>0</v>
      </c>
      <c r="DY160" s="171">
        <f t="shared" ca="1" si="164"/>
        <v>0</v>
      </c>
      <c r="DZ160" s="171">
        <f t="shared" ca="1" si="165"/>
        <v>0</v>
      </c>
      <c r="EA160" s="171">
        <f t="shared" ca="1" si="166"/>
        <v>0</v>
      </c>
      <c r="EB160" s="171">
        <f t="shared" ca="1" si="167"/>
        <v>0</v>
      </c>
      <c r="EC160" s="171">
        <f t="shared" ca="1" si="168"/>
        <v>0</v>
      </c>
      <c r="ED160" s="171">
        <f t="shared" ca="1" si="169"/>
        <v>0</v>
      </c>
      <c r="EE160" s="171">
        <f t="shared" ca="1" si="170"/>
        <v>0</v>
      </c>
      <c r="EF160" s="171">
        <f t="shared" ca="1" si="171"/>
        <v>0</v>
      </c>
      <c r="EG160" s="171">
        <f t="shared" ca="1" si="172"/>
        <v>0</v>
      </c>
      <c r="EH160" s="171">
        <f t="shared" ca="1" si="173"/>
        <v>0</v>
      </c>
      <c r="EI160" s="171">
        <f t="shared" ca="1" si="174"/>
        <v>0</v>
      </c>
      <c r="EJ160" s="171">
        <f t="shared" ca="1" si="175"/>
        <v>0</v>
      </c>
      <c r="EK160" s="171">
        <f t="shared" ca="1" si="176"/>
        <v>0</v>
      </c>
      <c r="EL160" s="171">
        <f t="shared" ca="1" si="177"/>
        <v>0</v>
      </c>
      <c r="EM160" s="171">
        <f t="shared" ca="1" si="178"/>
        <v>0</v>
      </c>
      <c r="EN160" s="171">
        <f t="shared" ca="1" si="179"/>
        <v>0</v>
      </c>
      <c r="EO160" s="171">
        <f t="shared" ca="1" si="180"/>
        <v>0</v>
      </c>
      <c r="EP160" s="171">
        <f t="shared" ca="1" si="181"/>
        <v>0</v>
      </c>
      <c r="EQ160" s="171">
        <f t="shared" ca="1" si="182"/>
        <v>0</v>
      </c>
      <c r="ER160" s="171">
        <f t="shared" ca="1" si="183"/>
        <v>0</v>
      </c>
      <c r="ES160" s="171">
        <f t="shared" ca="1" si="184"/>
        <v>0</v>
      </c>
    </row>
    <row r="161" spans="1:149">
      <c r="A161" s="139" t="s">
        <v>510</v>
      </c>
      <c r="B161" s="160" t="s">
        <v>512</v>
      </c>
      <c r="C161" s="160" t="s">
        <v>29</v>
      </c>
      <c r="D161" s="160" t="s">
        <v>394</v>
      </c>
      <c r="E161" s="160">
        <v>2018</v>
      </c>
      <c r="F161" s="174" t="s">
        <v>395</v>
      </c>
      <c r="G161" s="160" t="s">
        <v>402</v>
      </c>
      <c r="H161" s="160" t="s">
        <v>396</v>
      </c>
      <c r="I161" s="160" t="s">
        <v>178</v>
      </c>
      <c r="J161" s="160" t="s">
        <v>407</v>
      </c>
      <c r="K161" s="187">
        <v>18</v>
      </c>
      <c r="L161" s="163" t="s">
        <v>110</v>
      </c>
      <c r="M161" s="164">
        <f t="shared" si="115"/>
        <v>18</v>
      </c>
      <c r="N161" s="164">
        <f t="shared" si="116"/>
        <v>18</v>
      </c>
      <c r="O161" s="165">
        <f t="shared" si="117"/>
        <v>1</v>
      </c>
      <c r="P161" s="180">
        <v>2.3903633306096857E-2</v>
      </c>
      <c r="Q161" s="183">
        <v>32.668289591298226</v>
      </c>
      <c r="R161" s="168">
        <f t="shared" si="204"/>
        <v>26.668289591298226</v>
      </c>
      <c r="S161" s="183">
        <v>6.9579862261231415</v>
      </c>
      <c r="T161" s="170" t="s">
        <v>403</v>
      </c>
      <c r="U161" s="171">
        <f t="shared" si="119"/>
        <v>0.8240274213714992</v>
      </c>
      <c r="V161" s="171">
        <f t="shared" ca="1" si="120"/>
        <v>0.46280373293802474</v>
      </c>
      <c r="W161" s="171">
        <f t="shared" ca="1" si="185"/>
        <v>15.119006371553237</v>
      </c>
      <c r="X161" s="172">
        <f t="shared" si="121"/>
        <v>0.17920836052863021</v>
      </c>
      <c r="Y161" s="172">
        <f t="shared" si="122"/>
        <v>0.82079163947136979</v>
      </c>
      <c r="Z161" s="173">
        <f t="shared" si="123"/>
        <v>26.919566432534864</v>
      </c>
      <c r="AA161" s="171">
        <f t="shared" si="211"/>
        <v>0</v>
      </c>
      <c r="AB161" s="171">
        <f t="shared" si="211"/>
        <v>0</v>
      </c>
      <c r="AC161" s="171">
        <f t="shared" si="211"/>
        <v>0</v>
      </c>
      <c r="AD161" s="171">
        <f t="shared" si="211"/>
        <v>0</v>
      </c>
      <c r="AE161" s="171">
        <f t="shared" si="211"/>
        <v>0</v>
      </c>
      <c r="AF161" s="171">
        <f t="shared" si="211"/>
        <v>0</v>
      </c>
      <c r="AG161" s="171">
        <f t="shared" si="211"/>
        <v>0</v>
      </c>
      <c r="AH161" s="171">
        <f t="shared" si="211"/>
        <v>0</v>
      </c>
      <c r="AI161" s="171">
        <f t="shared" si="211"/>
        <v>0.43026539950974341</v>
      </c>
      <c r="AJ161" s="171">
        <f t="shared" si="211"/>
        <v>0.43026539950974341</v>
      </c>
      <c r="AK161" s="171">
        <f t="shared" si="212"/>
        <v>0.43026539950974341</v>
      </c>
      <c r="AL161" s="171">
        <f t="shared" si="212"/>
        <v>0.43026539950974341</v>
      </c>
      <c r="AM161" s="171">
        <f t="shared" si="212"/>
        <v>0.43026539950974341</v>
      </c>
      <c r="AN161" s="171">
        <f t="shared" si="212"/>
        <v>0.43026539950974341</v>
      </c>
      <c r="AO161" s="171">
        <f t="shared" si="212"/>
        <v>0.43026539950974341</v>
      </c>
      <c r="AP161" s="171">
        <f t="shared" si="212"/>
        <v>0.91952725522948731</v>
      </c>
      <c r="AQ161" s="171">
        <f t="shared" si="212"/>
        <v>0.91952725522948731</v>
      </c>
      <c r="AR161" s="171">
        <f t="shared" si="212"/>
        <v>0.91952725522948731</v>
      </c>
      <c r="AS161" s="171">
        <f t="shared" si="212"/>
        <v>0.91952725522948731</v>
      </c>
      <c r="AT161" s="171">
        <f t="shared" si="212"/>
        <v>0.91952725522948731</v>
      </c>
      <c r="AU161" s="171">
        <f t="shared" si="213"/>
        <v>0.91952725522948731</v>
      </c>
      <c r="AV161" s="171">
        <f t="shared" si="213"/>
        <v>0.91952725522948731</v>
      </c>
      <c r="AW161" s="171">
        <f t="shared" si="213"/>
        <v>0.91952725522948731</v>
      </c>
      <c r="AX161" s="171">
        <f t="shared" si="213"/>
        <v>0.91952725522948731</v>
      </c>
      <c r="AY161" s="171">
        <f t="shared" si="213"/>
        <v>0.91952725522948731</v>
      </c>
      <c r="AZ161" s="171">
        <f t="shared" si="213"/>
        <v>0.91952725522948731</v>
      </c>
      <c r="BA161" s="171">
        <f t="shared" si="213"/>
        <v>0.91952725522948731</v>
      </c>
      <c r="BB161" s="171">
        <f t="shared" si="213"/>
        <v>0.91952725522948731</v>
      </c>
      <c r="BC161" s="171">
        <f t="shared" si="213"/>
        <v>0.91952725522948731</v>
      </c>
      <c r="BD161" s="171">
        <f t="shared" si="213"/>
        <v>0.91952725522948731</v>
      </c>
      <c r="BE161" s="171">
        <f t="shared" si="214"/>
        <v>0.91952725522948731</v>
      </c>
      <c r="BF161" s="171">
        <f t="shared" si="214"/>
        <v>0.91952725522948731</v>
      </c>
      <c r="BG161" s="171">
        <f t="shared" si="214"/>
        <v>0.91952725522948731</v>
      </c>
      <c r="BH161" s="171">
        <f t="shared" si="214"/>
        <v>0.91952725522948731</v>
      </c>
      <c r="BI161" s="171">
        <f t="shared" si="214"/>
        <v>0.91952725522948731</v>
      </c>
      <c r="BJ161" s="171">
        <f t="shared" si="214"/>
        <v>0.91952725522948731</v>
      </c>
      <c r="BK161" s="171">
        <f t="shared" si="214"/>
        <v>0.91952725522948731</v>
      </c>
      <c r="BL161" s="171">
        <f t="shared" si="214"/>
        <v>0.91952725522948731</v>
      </c>
      <c r="BM161" s="171">
        <f t="shared" si="214"/>
        <v>0.91952725522948731</v>
      </c>
      <c r="BN161" s="171">
        <f t="shared" si="214"/>
        <v>0.91952725522948731</v>
      </c>
      <c r="BO161" s="171">
        <f t="shared" si="215"/>
        <v>0.91952725522948731</v>
      </c>
      <c r="BP161" s="171">
        <f t="shared" si="215"/>
        <v>0</v>
      </c>
      <c r="BQ161" s="171">
        <f t="shared" si="215"/>
        <v>0</v>
      </c>
      <c r="BR161" s="171">
        <f t="shared" si="215"/>
        <v>0</v>
      </c>
      <c r="BS161" s="171">
        <f t="shared" si="215"/>
        <v>0</v>
      </c>
      <c r="BT161" s="171">
        <f t="shared" si="215"/>
        <v>0</v>
      </c>
      <c r="BU161" s="171">
        <f t="shared" si="215"/>
        <v>0</v>
      </c>
      <c r="BV161" s="171">
        <f t="shared" si="215"/>
        <v>0</v>
      </c>
      <c r="BW161" s="171">
        <f t="shared" si="215"/>
        <v>0</v>
      </c>
      <c r="BX161" s="171">
        <f t="shared" si="215"/>
        <v>0</v>
      </c>
      <c r="BY161" s="171">
        <f t="shared" si="216"/>
        <v>0</v>
      </c>
      <c r="BZ161" s="171">
        <f t="shared" si="216"/>
        <v>0</v>
      </c>
      <c r="CA161" s="171">
        <f t="shared" si="216"/>
        <v>0</v>
      </c>
      <c r="CB161" s="171">
        <f t="shared" si="216"/>
        <v>0</v>
      </c>
      <c r="CC161" s="171">
        <f t="shared" si="216"/>
        <v>0</v>
      </c>
      <c r="CD161" s="171">
        <f t="shared" si="216"/>
        <v>0</v>
      </c>
      <c r="CE161" s="171">
        <f t="shared" si="216"/>
        <v>0</v>
      </c>
      <c r="CF161" s="171">
        <f t="shared" si="216"/>
        <v>0</v>
      </c>
      <c r="CG161" s="171">
        <f t="shared" si="216"/>
        <v>0</v>
      </c>
      <c r="CH161" s="171">
        <f t="shared" si="216"/>
        <v>0</v>
      </c>
      <c r="CI161" s="171">
        <f t="shared" si="216"/>
        <v>0</v>
      </c>
      <c r="CJ161" s="243"/>
      <c r="CK161" s="171">
        <f t="shared" si="124"/>
        <v>0</v>
      </c>
      <c r="CL161" s="171">
        <f t="shared" si="125"/>
        <v>0</v>
      </c>
      <c r="CM161" s="171">
        <f t="shared" si="126"/>
        <v>0</v>
      </c>
      <c r="CN161" s="171">
        <f t="shared" si="127"/>
        <v>0</v>
      </c>
      <c r="CO161" s="171">
        <f t="shared" si="128"/>
        <v>0</v>
      </c>
      <c r="CP161" s="171">
        <f t="shared" si="129"/>
        <v>0</v>
      </c>
      <c r="CQ161" s="171">
        <f t="shared" si="130"/>
        <v>0</v>
      </c>
      <c r="CR161" s="171">
        <f t="shared" si="131"/>
        <v>0</v>
      </c>
      <c r="CS161" s="171">
        <f t="shared" si="132"/>
        <v>0.43026539950974341</v>
      </c>
      <c r="CT161" s="171">
        <f t="shared" si="133"/>
        <v>0.43026539950974341</v>
      </c>
      <c r="CU161" s="171">
        <f t="shared" si="134"/>
        <v>0.43026539950974341</v>
      </c>
      <c r="CV161" s="171">
        <f t="shared" si="135"/>
        <v>0.43026539950974341</v>
      </c>
      <c r="CW161" s="171">
        <f t="shared" si="136"/>
        <v>0.43026539950974341</v>
      </c>
      <c r="CX161" s="171">
        <f t="shared" si="137"/>
        <v>0.43026539950974341</v>
      </c>
      <c r="CY161" s="171">
        <f t="shared" ca="1" si="138"/>
        <v>0.40847984457925651</v>
      </c>
      <c r="CZ161" s="171">
        <f t="shared" ca="1" si="139"/>
        <v>0.82876809725381118</v>
      </c>
      <c r="DA161" s="171">
        <f t="shared" ca="1" si="140"/>
        <v>0.78680522287922616</v>
      </c>
      <c r="DB161" s="171">
        <f t="shared" ca="1" si="141"/>
        <v>0.74696704759913091</v>
      </c>
      <c r="DC161" s="171">
        <f t="shared" ca="1" si="142"/>
        <v>0.70914599188496819</v>
      </c>
      <c r="DD161" s="171">
        <f t="shared" ca="1" si="143"/>
        <v>0.67323992326418713</v>
      </c>
      <c r="DE161" s="171">
        <f t="shared" ca="1" si="144"/>
        <v>0.63915188052038163</v>
      </c>
      <c r="DF161" s="171">
        <f t="shared" ca="1" si="145"/>
        <v>0.60678981185795489</v>
      </c>
      <c r="DG161" s="171">
        <f t="shared" ca="1" si="146"/>
        <v>0.57606632632425026</v>
      </c>
      <c r="DH161" s="171">
        <f t="shared" ca="1" si="147"/>
        <v>0.54689845781788071</v>
      </c>
      <c r="DI161" s="171">
        <f t="shared" ca="1" si="148"/>
        <v>0.5192074410459866</v>
      </c>
      <c r="DJ161" s="171">
        <f t="shared" ca="1" si="149"/>
        <v>0.49291849882541017</v>
      </c>
      <c r="DK161" s="171">
        <f t="shared" ca="1" si="150"/>
        <v>0.46796064015341404</v>
      </c>
      <c r="DL161" s="171">
        <f t="shared" ca="1" si="151"/>
        <v>0.44426646850265095</v>
      </c>
      <c r="DM161" s="171">
        <f t="shared" ca="1" si="152"/>
        <v>0.42177199982270142</v>
      </c>
      <c r="DN161" s="171">
        <f t="shared" ca="1" si="153"/>
        <v>0.40041648975670846</v>
      </c>
      <c r="DO161" s="171">
        <f t="shared" ca="1" si="154"/>
        <v>0.38014226960652425</v>
      </c>
      <c r="DP161" s="171">
        <f t="shared" ca="1" si="155"/>
        <v>0.36089459060340384</v>
      </c>
      <c r="DQ161" s="171">
        <f t="shared" ca="1" si="156"/>
        <v>0.34262147606371618</v>
      </c>
      <c r="DR161" s="171">
        <f t="shared" ca="1" si="157"/>
        <v>0.32527358103042853</v>
      </c>
      <c r="DS161" s="171">
        <f t="shared" ca="1" si="158"/>
        <v>0.30880405902134089</v>
      </c>
      <c r="DT161" s="171">
        <f t="shared" ca="1" si="159"/>
        <v>0.29316843552423377</v>
      </c>
      <c r="DU161" s="171">
        <f t="shared" ca="1" si="160"/>
        <v>0.27832448789731457</v>
      </c>
      <c r="DV161" s="171">
        <f t="shared" ca="1" si="161"/>
        <v>0.26423213135064488</v>
      </c>
      <c r="DW161" s="171">
        <f t="shared" ca="1" si="162"/>
        <v>0.25085331070065042</v>
      </c>
      <c r="DX161" s="171">
        <f t="shared" ca="1" si="163"/>
        <v>0.23815189760540623</v>
      </c>
      <c r="DY161" s="171">
        <f t="shared" ca="1" si="164"/>
        <v>0.2260935930031911</v>
      </c>
      <c r="DZ161" s="171">
        <f t="shared" ca="1" si="165"/>
        <v>0</v>
      </c>
      <c r="EA161" s="171">
        <f t="shared" ca="1" si="166"/>
        <v>0</v>
      </c>
      <c r="EB161" s="171">
        <f t="shared" ca="1" si="167"/>
        <v>0</v>
      </c>
      <c r="EC161" s="171">
        <f t="shared" ca="1" si="168"/>
        <v>0</v>
      </c>
      <c r="ED161" s="171">
        <f t="shared" ca="1" si="169"/>
        <v>0</v>
      </c>
      <c r="EE161" s="171">
        <f t="shared" ca="1" si="170"/>
        <v>0</v>
      </c>
      <c r="EF161" s="171">
        <f t="shared" ca="1" si="171"/>
        <v>0</v>
      </c>
      <c r="EG161" s="171">
        <f t="shared" ca="1" si="172"/>
        <v>0</v>
      </c>
      <c r="EH161" s="171">
        <f t="shared" ca="1" si="173"/>
        <v>0</v>
      </c>
      <c r="EI161" s="171">
        <f t="shared" ca="1" si="174"/>
        <v>0</v>
      </c>
      <c r="EJ161" s="171">
        <f t="shared" ca="1" si="175"/>
        <v>0</v>
      </c>
      <c r="EK161" s="171">
        <f t="shared" ca="1" si="176"/>
        <v>0</v>
      </c>
      <c r="EL161" s="171">
        <f t="shared" ca="1" si="177"/>
        <v>0</v>
      </c>
      <c r="EM161" s="171">
        <f t="shared" ca="1" si="178"/>
        <v>0</v>
      </c>
      <c r="EN161" s="171">
        <f t="shared" ca="1" si="179"/>
        <v>0</v>
      </c>
      <c r="EO161" s="171">
        <f t="shared" ca="1" si="180"/>
        <v>0</v>
      </c>
      <c r="EP161" s="171">
        <f t="shared" ca="1" si="181"/>
        <v>0</v>
      </c>
      <c r="EQ161" s="171">
        <f t="shared" ca="1" si="182"/>
        <v>0</v>
      </c>
      <c r="ER161" s="171">
        <f t="shared" ca="1" si="183"/>
        <v>0</v>
      </c>
      <c r="ES161" s="171">
        <f t="shared" ca="1" si="184"/>
        <v>0</v>
      </c>
    </row>
    <row r="162" spans="1:149">
      <c r="A162" s="139" t="s">
        <v>510</v>
      </c>
      <c r="B162" s="160" t="s">
        <v>513</v>
      </c>
      <c r="C162" s="160" t="s">
        <v>29</v>
      </c>
      <c r="D162" s="160" t="s">
        <v>394</v>
      </c>
      <c r="E162" s="160">
        <v>2018</v>
      </c>
      <c r="F162" s="194" t="s">
        <v>395</v>
      </c>
      <c r="G162" s="194" t="s">
        <v>289</v>
      </c>
      <c r="H162" s="194" t="s">
        <v>396</v>
      </c>
      <c r="I162" s="194" t="s">
        <v>178</v>
      </c>
      <c r="J162" s="194" t="s">
        <v>397</v>
      </c>
      <c r="K162" s="187">
        <v>24.433333333333337</v>
      </c>
      <c r="L162" s="163" t="s">
        <v>110</v>
      </c>
      <c r="M162" s="164">
        <f t="shared" si="115"/>
        <v>24.433333333333337</v>
      </c>
      <c r="N162" s="164">
        <f t="shared" si="116"/>
        <v>24.433333333333337</v>
      </c>
      <c r="O162" s="165">
        <f t="shared" si="117"/>
        <v>1</v>
      </c>
      <c r="P162" s="190">
        <v>0.16500000000000001</v>
      </c>
      <c r="Q162" s="177">
        <v>25</v>
      </c>
      <c r="R162" s="168">
        <f t="shared" si="204"/>
        <v>19</v>
      </c>
      <c r="S162" s="178">
        <v>0</v>
      </c>
      <c r="T162" s="160" t="s">
        <v>289</v>
      </c>
      <c r="U162" s="171">
        <f t="shared" si="119"/>
        <v>4.192759999999998</v>
      </c>
      <c r="V162" s="171">
        <f t="shared" ca="1" si="120"/>
        <v>2.921611159394486</v>
      </c>
      <c r="W162" s="171">
        <f t="shared" ca="1" si="185"/>
        <v>73.040278984862155</v>
      </c>
      <c r="X162" s="172" t="str">
        <f t="shared" si="121"/>
        <v>Equity</v>
      </c>
      <c r="Y162" s="172" t="str">
        <f t="shared" si="122"/>
        <v>Equity</v>
      </c>
      <c r="Z162" s="173">
        <f t="shared" si="123"/>
        <v>104.81899999999996</v>
      </c>
      <c r="AA162" s="171">
        <f t="shared" si="211"/>
        <v>0</v>
      </c>
      <c r="AB162" s="171">
        <f t="shared" si="211"/>
        <v>0</v>
      </c>
      <c r="AC162" s="171">
        <f t="shared" si="211"/>
        <v>0</v>
      </c>
      <c r="AD162" s="171">
        <f t="shared" si="211"/>
        <v>0</v>
      </c>
      <c r="AE162" s="171">
        <f t="shared" si="211"/>
        <v>0</v>
      </c>
      <c r="AF162" s="171">
        <f t="shared" si="211"/>
        <v>0</v>
      </c>
      <c r="AG162" s="171">
        <f t="shared" si="211"/>
        <v>0</v>
      </c>
      <c r="AH162" s="171">
        <f t="shared" si="211"/>
        <v>0</v>
      </c>
      <c r="AI162" s="171">
        <f t="shared" si="211"/>
        <v>4.0315000000000012</v>
      </c>
      <c r="AJ162" s="171">
        <f t="shared" si="211"/>
        <v>4.0315000000000012</v>
      </c>
      <c r="AK162" s="171">
        <f t="shared" si="212"/>
        <v>4.0315000000000012</v>
      </c>
      <c r="AL162" s="171">
        <f t="shared" si="212"/>
        <v>4.0315000000000012</v>
      </c>
      <c r="AM162" s="171">
        <f t="shared" si="212"/>
        <v>4.0315000000000012</v>
      </c>
      <c r="AN162" s="171">
        <f t="shared" si="212"/>
        <v>4.0315000000000012</v>
      </c>
      <c r="AO162" s="171">
        <f t="shared" si="212"/>
        <v>4.0315000000000012</v>
      </c>
      <c r="AP162" s="171">
        <f t="shared" si="212"/>
        <v>4.0315000000000012</v>
      </c>
      <c r="AQ162" s="171">
        <f t="shared" si="212"/>
        <v>4.0315000000000012</v>
      </c>
      <c r="AR162" s="171">
        <f t="shared" si="212"/>
        <v>4.0315000000000012</v>
      </c>
      <c r="AS162" s="171">
        <f t="shared" si="212"/>
        <v>4.0315000000000012</v>
      </c>
      <c r="AT162" s="171">
        <f t="shared" si="212"/>
        <v>4.0315000000000012</v>
      </c>
      <c r="AU162" s="171">
        <f t="shared" si="213"/>
        <v>4.0315000000000012</v>
      </c>
      <c r="AV162" s="171">
        <f t="shared" si="213"/>
        <v>4.0315000000000012</v>
      </c>
      <c r="AW162" s="171">
        <f t="shared" si="213"/>
        <v>4.0315000000000012</v>
      </c>
      <c r="AX162" s="171">
        <f t="shared" si="213"/>
        <v>4.0315000000000012</v>
      </c>
      <c r="AY162" s="171">
        <f t="shared" si="213"/>
        <v>4.0315000000000012</v>
      </c>
      <c r="AZ162" s="171">
        <f t="shared" si="213"/>
        <v>4.0315000000000012</v>
      </c>
      <c r="BA162" s="171">
        <f t="shared" si="213"/>
        <v>4.0315000000000012</v>
      </c>
      <c r="BB162" s="171">
        <f t="shared" si="213"/>
        <v>4.0315000000000012</v>
      </c>
      <c r="BC162" s="171">
        <f t="shared" si="213"/>
        <v>4.0315000000000012</v>
      </c>
      <c r="BD162" s="171">
        <f t="shared" si="213"/>
        <v>4.0315000000000012</v>
      </c>
      <c r="BE162" s="171">
        <f t="shared" si="214"/>
        <v>4.0315000000000012</v>
      </c>
      <c r="BF162" s="171">
        <f t="shared" si="214"/>
        <v>4.0315000000000012</v>
      </c>
      <c r="BG162" s="171">
        <f t="shared" si="214"/>
        <v>4.0315000000000012</v>
      </c>
      <c r="BH162" s="171">
        <f t="shared" si="214"/>
        <v>4.0315000000000012</v>
      </c>
      <c r="BI162" s="171">
        <f t="shared" si="214"/>
        <v>0</v>
      </c>
      <c r="BJ162" s="171">
        <f t="shared" si="214"/>
        <v>0</v>
      </c>
      <c r="BK162" s="171">
        <f t="shared" si="214"/>
        <v>0</v>
      </c>
      <c r="BL162" s="171">
        <f t="shared" si="214"/>
        <v>0</v>
      </c>
      <c r="BM162" s="171">
        <f t="shared" si="214"/>
        <v>0</v>
      </c>
      <c r="BN162" s="171">
        <f t="shared" si="214"/>
        <v>0</v>
      </c>
      <c r="BO162" s="171">
        <f t="shared" si="215"/>
        <v>0</v>
      </c>
      <c r="BP162" s="171">
        <f t="shared" si="215"/>
        <v>0</v>
      </c>
      <c r="BQ162" s="171">
        <f t="shared" si="215"/>
        <v>0</v>
      </c>
      <c r="BR162" s="171">
        <f t="shared" si="215"/>
        <v>0</v>
      </c>
      <c r="BS162" s="171">
        <f t="shared" si="215"/>
        <v>0</v>
      </c>
      <c r="BT162" s="171">
        <f t="shared" si="215"/>
        <v>0</v>
      </c>
      <c r="BU162" s="171">
        <f t="shared" si="215"/>
        <v>0</v>
      </c>
      <c r="BV162" s="171">
        <f t="shared" si="215"/>
        <v>0</v>
      </c>
      <c r="BW162" s="171">
        <f t="shared" si="215"/>
        <v>0</v>
      </c>
      <c r="BX162" s="171">
        <f t="shared" si="215"/>
        <v>0</v>
      </c>
      <c r="BY162" s="171">
        <f t="shared" si="216"/>
        <v>0</v>
      </c>
      <c r="BZ162" s="171">
        <f t="shared" si="216"/>
        <v>0</v>
      </c>
      <c r="CA162" s="171">
        <f t="shared" si="216"/>
        <v>0</v>
      </c>
      <c r="CB162" s="171">
        <f t="shared" si="216"/>
        <v>0</v>
      </c>
      <c r="CC162" s="171">
        <f t="shared" si="216"/>
        <v>0</v>
      </c>
      <c r="CD162" s="171">
        <f t="shared" si="216"/>
        <v>0</v>
      </c>
      <c r="CE162" s="171">
        <f t="shared" si="216"/>
        <v>0</v>
      </c>
      <c r="CF162" s="171">
        <f t="shared" si="216"/>
        <v>0</v>
      </c>
      <c r="CG162" s="171">
        <f t="shared" si="216"/>
        <v>0</v>
      </c>
      <c r="CH162" s="171">
        <f t="shared" si="216"/>
        <v>0</v>
      </c>
      <c r="CI162" s="171">
        <f t="shared" si="216"/>
        <v>0</v>
      </c>
      <c r="CJ162" s="243"/>
      <c r="CK162" s="171">
        <f t="shared" si="124"/>
        <v>0</v>
      </c>
      <c r="CL162" s="171">
        <f t="shared" si="125"/>
        <v>0</v>
      </c>
      <c r="CM162" s="171">
        <f t="shared" si="126"/>
        <v>0</v>
      </c>
      <c r="CN162" s="171">
        <f t="shared" si="127"/>
        <v>0</v>
      </c>
      <c r="CO162" s="171">
        <f t="shared" si="128"/>
        <v>0</v>
      </c>
      <c r="CP162" s="171">
        <f t="shared" si="129"/>
        <v>0</v>
      </c>
      <c r="CQ162" s="171">
        <f t="shared" si="130"/>
        <v>0</v>
      </c>
      <c r="CR162" s="171">
        <f t="shared" si="131"/>
        <v>0</v>
      </c>
      <c r="CS162" s="171">
        <f t="shared" si="132"/>
        <v>4.0315000000000012</v>
      </c>
      <c r="CT162" s="171">
        <f t="shared" si="133"/>
        <v>4.0315000000000012</v>
      </c>
      <c r="CU162" s="171">
        <f t="shared" si="134"/>
        <v>4.0315000000000012</v>
      </c>
      <c r="CV162" s="171">
        <f t="shared" si="135"/>
        <v>4.0315000000000012</v>
      </c>
      <c r="CW162" s="171">
        <f t="shared" si="136"/>
        <v>4.0315000000000012</v>
      </c>
      <c r="CX162" s="171">
        <f t="shared" si="137"/>
        <v>4.0315000000000012</v>
      </c>
      <c r="CY162" s="171">
        <f t="shared" ca="1" si="138"/>
        <v>3.8273737448971459</v>
      </c>
      <c r="CZ162" s="171">
        <f t="shared" ca="1" si="139"/>
        <v>3.6335829798159485</v>
      </c>
      <c r="DA162" s="171">
        <f t="shared" ca="1" si="140"/>
        <v>3.4496043896447208</v>
      </c>
      <c r="DB162" s="171">
        <f t="shared" ca="1" si="141"/>
        <v>3.2749411561969848</v>
      </c>
      <c r="DC162" s="171">
        <f t="shared" ca="1" si="142"/>
        <v>3.1091216165971569</v>
      </c>
      <c r="DD162" s="171">
        <f t="shared" ca="1" si="143"/>
        <v>2.9516979895959627</v>
      </c>
      <c r="DE162" s="171">
        <f t="shared" ca="1" si="144"/>
        <v>2.8022451663761063</v>
      </c>
      <c r="DF162" s="171">
        <f t="shared" ca="1" si="145"/>
        <v>2.6603595625828698</v>
      </c>
      <c r="DG162" s="171">
        <f t="shared" ca="1" si="146"/>
        <v>2.525658028479655</v>
      </c>
      <c r="DH162" s="171">
        <f t="shared" ca="1" si="147"/>
        <v>2.397776814285431</v>
      </c>
      <c r="DI162" s="171">
        <f t="shared" ca="1" si="148"/>
        <v>2.2763705879000806</v>
      </c>
      <c r="DJ162" s="171">
        <f t="shared" ca="1" si="149"/>
        <v>2.1611115023650864</v>
      </c>
      <c r="DK162" s="171">
        <f t="shared" ca="1" si="150"/>
        <v>2.0516883105413259</v>
      </c>
      <c r="DL162" s="171">
        <f t="shared" ca="1" si="151"/>
        <v>1.9478055246132331</v>
      </c>
      <c r="DM162" s="171">
        <f t="shared" ca="1" si="152"/>
        <v>1.849182618149646</v>
      </c>
      <c r="DN162" s="171">
        <f t="shared" ca="1" si="153"/>
        <v>1.7555532685665673</v>
      </c>
      <c r="DO162" s="171">
        <f t="shared" ca="1" si="154"/>
        <v>1.6666646379461854</v>
      </c>
      <c r="DP162" s="171">
        <f t="shared" ca="1" si="155"/>
        <v>1.5822766902700569</v>
      </c>
      <c r="DQ162" s="171">
        <f t="shared" ca="1" si="156"/>
        <v>1.5021615432227129</v>
      </c>
      <c r="DR162" s="171">
        <f t="shared" ca="1" si="157"/>
        <v>1.4261028528152768</v>
      </c>
      <c r="DS162" s="171">
        <f t="shared" ca="1" si="158"/>
        <v>0</v>
      </c>
      <c r="DT162" s="171">
        <f t="shared" ca="1" si="159"/>
        <v>0</v>
      </c>
      <c r="DU162" s="171">
        <f t="shared" ca="1" si="160"/>
        <v>0</v>
      </c>
      <c r="DV162" s="171">
        <f t="shared" ca="1" si="161"/>
        <v>0</v>
      </c>
      <c r="DW162" s="171">
        <f t="shared" ca="1" si="162"/>
        <v>0</v>
      </c>
      <c r="DX162" s="171">
        <f t="shared" ca="1" si="163"/>
        <v>0</v>
      </c>
      <c r="DY162" s="171">
        <f t="shared" ca="1" si="164"/>
        <v>0</v>
      </c>
      <c r="DZ162" s="171">
        <f t="shared" ca="1" si="165"/>
        <v>0</v>
      </c>
      <c r="EA162" s="171">
        <f t="shared" ca="1" si="166"/>
        <v>0</v>
      </c>
      <c r="EB162" s="171">
        <f t="shared" ca="1" si="167"/>
        <v>0</v>
      </c>
      <c r="EC162" s="171">
        <f t="shared" ca="1" si="168"/>
        <v>0</v>
      </c>
      <c r="ED162" s="171">
        <f t="shared" ca="1" si="169"/>
        <v>0</v>
      </c>
      <c r="EE162" s="171">
        <f t="shared" ca="1" si="170"/>
        <v>0</v>
      </c>
      <c r="EF162" s="171">
        <f t="shared" ca="1" si="171"/>
        <v>0</v>
      </c>
      <c r="EG162" s="171">
        <f t="shared" ca="1" si="172"/>
        <v>0</v>
      </c>
      <c r="EH162" s="171">
        <f t="shared" ca="1" si="173"/>
        <v>0</v>
      </c>
      <c r="EI162" s="171">
        <f t="shared" ca="1" si="174"/>
        <v>0</v>
      </c>
      <c r="EJ162" s="171">
        <f t="shared" ca="1" si="175"/>
        <v>0</v>
      </c>
      <c r="EK162" s="171">
        <f t="shared" ca="1" si="176"/>
        <v>0</v>
      </c>
      <c r="EL162" s="171">
        <f t="shared" ca="1" si="177"/>
        <v>0</v>
      </c>
      <c r="EM162" s="171">
        <f t="shared" ca="1" si="178"/>
        <v>0</v>
      </c>
      <c r="EN162" s="171">
        <f t="shared" ca="1" si="179"/>
        <v>0</v>
      </c>
      <c r="EO162" s="171">
        <f t="shared" ca="1" si="180"/>
        <v>0</v>
      </c>
      <c r="EP162" s="171">
        <f t="shared" ca="1" si="181"/>
        <v>0</v>
      </c>
      <c r="EQ162" s="171">
        <f t="shared" ca="1" si="182"/>
        <v>0</v>
      </c>
      <c r="ER162" s="171">
        <f t="shared" ca="1" si="183"/>
        <v>0</v>
      </c>
      <c r="ES162" s="171">
        <f t="shared" ca="1" si="184"/>
        <v>0</v>
      </c>
    </row>
    <row r="163" spans="1:149">
      <c r="A163" s="139" t="s">
        <v>514</v>
      </c>
      <c r="B163" s="170" t="s">
        <v>515</v>
      </c>
      <c r="C163" s="170" t="s">
        <v>29</v>
      </c>
      <c r="D163" s="170" t="s">
        <v>394</v>
      </c>
      <c r="E163" s="170">
        <v>2022</v>
      </c>
      <c r="F163" s="201" t="s">
        <v>424</v>
      </c>
      <c r="G163" s="201" t="s">
        <v>289</v>
      </c>
      <c r="H163" s="201" t="s">
        <v>406</v>
      </c>
      <c r="I163" s="201" t="s">
        <v>365</v>
      </c>
      <c r="J163" s="170" t="s">
        <v>401</v>
      </c>
      <c r="K163" s="195">
        <v>79.150000000000006</v>
      </c>
      <c r="L163" s="163" t="s">
        <v>110</v>
      </c>
      <c r="M163" s="164">
        <f t="shared" si="115"/>
        <v>79.150000000000006</v>
      </c>
      <c r="N163" s="164">
        <f t="shared" si="116"/>
        <v>79.150000000000006</v>
      </c>
      <c r="O163" s="165">
        <f t="shared" si="117"/>
        <v>1</v>
      </c>
      <c r="P163" s="166">
        <v>0.17100000000000001</v>
      </c>
      <c r="Q163" s="167">
        <v>25</v>
      </c>
      <c r="R163" s="168">
        <f t="shared" si="204"/>
        <v>23</v>
      </c>
      <c r="S163" s="209">
        <v>0</v>
      </c>
      <c r="T163" s="170" t="s">
        <v>289</v>
      </c>
      <c r="U163" s="171">
        <f t="shared" si="119"/>
        <v>14.076036000000002</v>
      </c>
      <c r="V163" s="171">
        <f t="shared" ca="1" si="120"/>
        <v>8.3168194997565994</v>
      </c>
      <c r="W163" s="171">
        <f t="shared" ca="1" si="185"/>
        <v>207.92048749391498</v>
      </c>
      <c r="X163" s="172" t="str">
        <f t="shared" si="121"/>
        <v>Equity</v>
      </c>
      <c r="Y163" s="172" t="str">
        <f t="shared" si="122"/>
        <v>Equity</v>
      </c>
      <c r="Z163" s="173">
        <f t="shared" si="123"/>
        <v>351.90090000000004</v>
      </c>
      <c r="AA163" s="171">
        <f t="shared" si="211"/>
        <v>0</v>
      </c>
      <c r="AB163" s="171">
        <f t="shared" si="211"/>
        <v>0</v>
      </c>
      <c r="AC163" s="171">
        <f t="shared" si="211"/>
        <v>0</v>
      </c>
      <c r="AD163" s="171">
        <f t="shared" si="211"/>
        <v>0</v>
      </c>
      <c r="AE163" s="171">
        <f t="shared" si="211"/>
        <v>0</v>
      </c>
      <c r="AF163" s="171">
        <f t="shared" si="211"/>
        <v>0</v>
      </c>
      <c r="AG163" s="171">
        <f t="shared" si="211"/>
        <v>0</v>
      </c>
      <c r="AH163" s="171">
        <f t="shared" si="211"/>
        <v>0</v>
      </c>
      <c r="AI163" s="171">
        <f t="shared" si="211"/>
        <v>0</v>
      </c>
      <c r="AJ163" s="171">
        <f t="shared" si="211"/>
        <v>0</v>
      </c>
      <c r="AK163" s="171">
        <f t="shared" si="212"/>
        <v>0</v>
      </c>
      <c r="AL163" s="171">
        <f t="shared" si="212"/>
        <v>0</v>
      </c>
      <c r="AM163" s="171">
        <f t="shared" si="212"/>
        <v>13.534650000000003</v>
      </c>
      <c r="AN163" s="171">
        <f t="shared" si="212"/>
        <v>13.534650000000003</v>
      </c>
      <c r="AO163" s="171">
        <f t="shared" si="212"/>
        <v>13.534650000000003</v>
      </c>
      <c r="AP163" s="171">
        <f t="shared" si="212"/>
        <v>13.534650000000003</v>
      </c>
      <c r="AQ163" s="171">
        <f t="shared" si="212"/>
        <v>13.534650000000003</v>
      </c>
      <c r="AR163" s="171">
        <f t="shared" si="212"/>
        <v>13.534650000000003</v>
      </c>
      <c r="AS163" s="171">
        <f t="shared" si="212"/>
        <v>13.534650000000003</v>
      </c>
      <c r="AT163" s="171">
        <f t="shared" si="212"/>
        <v>13.534650000000003</v>
      </c>
      <c r="AU163" s="171">
        <f t="shared" si="213"/>
        <v>13.534650000000003</v>
      </c>
      <c r="AV163" s="171">
        <f t="shared" si="213"/>
        <v>13.534650000000003</v>
      </c>
      <c r="AW163" s="171">
        <f t="shared" si="213"/>
        <v>13.534650000000003</v>
      </c>
      <c r="AX163" s="171">
        <f t="shared" si="213"/>
        <v>13.534650000000003</v>
      </c>
      <c r="AY163" s="171">
        <f t="shared" si="213"/>
        <v>13.534650000000003</v>
      </c>
      <c r="AZ163" s="171">
        <f t="shared" si="213"/>
        <v>13.534650000000003</v>
      </c>
      <c r="BA163" s="171">
        <f t="shared" si="213"/>
        <v>13.534650000000003</v>
      </c>
      <c r="BB163" s="171">
        <f t="shared" si="213"/>
        <v>13.534650000000003</v>
      </c>
      <c r="BC163" s="171">
        <f t="shared" si="213"/>
        <v>13.534650000000003</v>
      </c>
      <c r="BD163" s="171">
        <f t="shared" si="213"/>
        <v>13.534650000000003</v>
      </c>
      <c r="BE163" s="171">
        <f t="shared" si="214"/>
        <v>13.534650000000003</v>
      </c>
      <c r="BF163" s="171">
        <f t="shared" si="214"/>
        <v>13.534650000000003</v>
      </c>
      <c r="BG163" s="171">
        <f t="shared" si="214"/>
        <v>13.534650000000003</v>
      </c>
      <c r="BH163" s="171">
        <f t="shared" si="214"/>
        <v>13.534650000000003</v>
      </c>
      <c r="BI163" s="171">
        <f t="shared" si="214"/>
        <v>13.534650000000003</v>
      </c>
      <c r="BJ163" s="171">
        <f t="shared" si="214"/>
        <v>13.534650000000003</v>
      </c>
      <c r="BK163" s="171">
        <f t="shared" si="214"/>
        <v>13.534650000000003</v>
      </c>
      <c r="BL163" s="171">
        <f t="shared" si="214"/>
        <v>13.534650000000003</v>
      </c>
      <c r="BM163" s="171">
        <f t="shared" si="214"/>
        <v>0</v>
      </c>
      <c r="BN163" s="171">
        <f t="shared" si="214"/>
        <v>0</v>
      </c>
      <c r="BO163" s="171">
        <f t="shared" si="215"/>
        <v>0</v>
      </c>
      <c r="BP163" s="171">
        <f t="shared" si="215"/>
        <v>0</v>
      </c>
      <c r="BQ163" s="171">
        <f t="shared" si="215"/>
        <v>0</v>
      </c>
      <c r="BR163" s="171">
        <f t="shared" si="215"/>
        <v>0</v>
      </c>
      <c r="BS163" s="171">
        <f t="shared" si="215"/>
        <v>0</v>
      </c>
      <c r="BT163" s="171">
        <f t="shared" si="215"/>
        <v>0</v>
      </c>
      <c r="BU163" s="171">
        <f t="shared" si="215"/>
        <v>0</v>
      </c>
      <c r="BV163" s="171">
        <f t="shared" si="215"/>
        <v>0</v>
      </c>
      <c r="BW163" s="171">
        <f t="shared" si="215"/>
        <v>0</v>
      </c>
      <c r="BX163" s="171">
        <f t="shared" si="215"/>
        <v>0</v>
      </c>
      <c r="BY163" s="171">
        <f t="shared" si="216"/>
        <v>0</v>
      </c>
      <c r="BZ163" s="171">
        <f t="shared" si="216"/>
        <v>0</v>
      </c>
      <c r="CA163" s="171">
        <f t="shared" si="216"/>
        <v>0</v>
      </c>
      <c r="CB163" s="171">
        <f t="shared" si="216"/>
        <v>0</v>
      </c>
      <c r="CC163" s="171">
        <f t="shared" si="216"/>
        <v>0</v>
      </c>
      <c r="CD163" s="171">
        <f t="shared" si="216"/>
        <v>0</v>
      </c>
      <c r="CE163" s="171">
        <f t="shared" si="216"/>
        <v>0</v>
      </c>
      <c r="CF163" s="171">
        <f t="shared" si="216"/>
        <v>0</v>
      </c>
      <c r="CG163" s="171">
        <f t="shared" si="216"/>
        <v>0</v>
      </c>
      <c r="CH163" s="171">
        <f t="shared" si="216"/>
        <v>0</v>
      </c>
      <c r="CI163" s="171">
        <f t="shared" si="216"/>
        <v>0</v>
      </c>
      <c r="CJ163" s="243"/>
      <c r="CK163" s="171">
        <f t="shared" si="124"/>
        <v>0</v>
      </c>
      <c r="CL163" s="171">
        <f t="shared" si="125"/>
        <v>0</v>
      </c>
      <c r="CM163" s="171">
        <f t="shared" si="126"/>
        <v>0</v>
      </c>
      <c r="CN163" s="171">
        <f t="shared" si="127"/>
        <v>0</v>
      </c>
      <c r="CO163" s="171">
        <f t="shared" si="128"/>
        <v>0</v>
      </c>
      <c r="CP163" s="171">
        <f t="shared" si="129"/>
        <v>0</v>
      </c>
      <c r="CQ163" s="171">
        <f t="shared" si="130"/>
        <v>0</v>
      </c>
      <c r="CR163" s="171">
        <f t="shared" si="131"/>
        <v>0</v>
      </c>
      <c r="CS163" s="171">
        <f t="shared" si="132"/>
        <v>0</v>
      </c>
      <c r="CT163" s="171">
        <f t="shared" si="133"/>
        <v>0</v>
      </c>
      <c r="CU163" s="171">
        <f t="shared" si="134"/>
        <v>0</v>
      </c>
      <c r="CV163" s="171">
        <f t="shared" si="135"/>
        <v>0</v>
      </c>
      <c r="CW163" s="171">
        <f t="shared" si="136"/>
        <v>13.534650000000003</v>
      </c>
      <c r="CX163" s="171">
        <f t="shared" si="137"/>
        <v>13.534650000000003</v>
      </c>
      <c r="CY163" s="171">
        <f t="shared" ca="1" si="138"/>
        <v>12.849352364224767</v>
      </c>
      <c r="CZ163" s="171">
        <f t="shared" ca="1" si="139"/>
        <v>12.198753287303962</v>
      </c>
      <c r="DA163" s="171">
        <f t="shared" ca="1" si="140"/>
        <v>11.581095882997623</v>
      </c>
      <c r="DB163" s="171">
        <f t="shared" ca="1" si="141"/>
        <v>10.99471222118852</v>
      </c>
      <c r="DC163" s="171">
        <f t="shared" ca="1" si="142"/>
        <v>10.438018823781894</v>
      </c>
      <c r="DD163" s="171">
        <f t="shared" ca="1" si="143"/>
        <v>9.9095123886605467</v>
      </c>
      <c r="DE163" s="171">
        <f t="shared" ca="1" si="144"/>
        <v>9.4077657301481743</v>
      </c>
      <c r="DF163" s="171">
        <f t="shared" ca="1" si="145"/>
        <v>8.9314239250185388</v>
      </c>
      <c r="DG163" s="171">
        <f t="shared" ca="1" si="146"/>
        <v>8.479200653643101</v>
      </c>
      <c r="DH163" s="171">
        <f t="shared" ca="1" si="147"/>
        <v>8.0498747263967037</v>
      </c>
      <c r="DI163" s="171">
        <f t="shared" ca="1" si="148"/>
        <v>7.6422867859411694</v>
      </c>
      <c r="DJ163" s="171">
        <f t="shared" ca="1" si="149"/>
        <v>7.2553361764816113</v>
      </c>
      <c r="DK163" s="171">
        <f t="shared" ca="1" si="150"/>
        <v>6.8879779715411518</v>
      </c>
      <c r="DL163" s="171">
        <f t="shared" ca="1" si="151"/>
        <v>6.5392201522278297</v>
      </c>
      <c r="DM163" s="171">
        <f t="shared" ca="1" si="152"/>
        <v>6.2081209283738321</v>
      </c>
      <c r="DN163" s="171">
        <f t="shared" ca="1" si="153"/>
        <v>5.8937861953130319</v>
      </c>
      <c r="DO163" s="171">
        <f t="shared" ca="1" si="154"/>
        <v>5.5953671194290804</v>
      </c>
      <c r="DP163" s="171">
        <f t="shared" ca="1" si="155"/>
        <v>5.3120578459540182</v>
      </c>
      <c r="DQ163" s="171">
        <f t="shared" ca="1" si="156"/>
        <v>5.0430933228275556</v>
      </c>
      <c r="DR163" s="171">
        <f t="shared" ca="1" si="157"/>
        <v>4.7877472347404897</v>
      </c>
      <c r="DS163" s="171">
        <f t="shared" ca="1" si="158"/>
        <v>4.5453300417833695</v>
      </c>
      <c r="DT163" s="171">
        <f t="shared" ca="1" si="159"/>
        <v>4.315187117403922</v>
      </c>
      <c r="DU163" s="171">
        <f t="shared" ca="1" si="160"/>
        <v>4.0966969806449614</v>
      </c>
      <c r="DV163" s="171">
        <f t="shared" ca="1" si="161"/>
        <v>3.8892696178891062</v>
      </c>
      <c r="DW163" s="171">
        <f t="shared" ca="1" si="162"/>
        <v>0</v>
      </c>
      <c r="DX163" s="171">
        <f t="shared" ca="1" si="163"/>
        <v>0</v>
      </c>
      <c r="DY163" s="171">
        <f t="shared" ca="1" si="164"/>
        <v>0</v>
      </c>
      <c r="DZ163" s="171">
        <f t="shared" ca="1" si="165"/>
        <v>0</v>
      </c>
      <c r="EA163" s="171">
        <f t="shared" ca="1" si="166"/>
        <v>0</v>
      </c>
      <c r="EB163" s="171">
        <f t="shared" ca="1" si="167"/>
        <v>0</v>
      </c>
      <c r="EC163" s="171">
        <f t="shared" ca="1" si="168"/>
        <v>0</v>
      </c>
      <c r="ED163" s="171">
        <f t="shared" ca="1" si="169"/>
        <v>0</v>
      </c>
      <c r="EE163" s="171">
        <f t="shared" ca="1" si="170"/>
        <v>0</v>
      </c>
      <c r="EF163" s="171">
        <f t="shared" ca="1" si="171"/>
        <v>0</v>
      </c>
      <c r="EG163" s="171">
        <f t="shared" ca="1" si="172"/>
        <v>0</v>
      </c>
      <c r="EH163" s="171">
        <f t="shared" ca="1" si="173"/>
        <v>0</v>
      </c>
      <c r="EI163" s="171">
        <f t="shared" ca="1" si="174"/>
        <v>0</v>
      </c>
      <c r="EJ163" s="171">
        <f t="shared" ca="1" si="175"/>
        <v>0</v>
      </c>
      <c r="EK163" s="171">
        <f t="shared" ca="1" si="176"/>
        <v>0</v>
      </c>
      <c r="EL163" s="171">
        <f t="shared" ca="1" si="177"/>
        <v>0</v>
      </c>
      <c r="EM163" s="171">
        <f t="shared" ca="1" si="178"/>
        <v>0</v>
      </c>
      <c r="EN163" s="171">
        <f t="shared" ca="1" si="179"/>
        <v>0</v>
      </c>
      <c r="EO163" s="171">
        <f t="shared" ca="1" si="180"/>
        <v>0</v>
      </c>
      <c r="EP163" s="171">
        <f t="shared" ca="1" si="181"/>
        <v>0</v>
      </c>
      <c r="EQ163" s="171">
        <f t="shared" ca="1" si="182"/>
        <v>0</v>
      </c>
      <c r="ER163" s="171">
        <f t="shared" ca="1" si="183"/>
        <v>0</v>
      </c>
      <c r="ES163" s="171">
        <f t="shared" ca="1" si="184"/>
        <v>0</v>
      </c>
    </row>
    <row r="164" spans="1:149">
      <c r="A164" s="146" t="s">
        <v>516</v>
      </c>
      <c r="B164" s="174" t="s">
        <v>517</v>
      </c>
      <c r="C164" s="174" t="s">
        <v>138</v>
      </c>
      <c r="D164" s="174" t="s">
        <v>428</v>
      </c>
      <c r="E164" s="174">
        <v>2019</v>
      </c>
      <c r="F164" s="174" t="s">
        <v>400</v>
      </c>
      <c r="G164" s="174" t="s">
        <v>289</v>
      </c>
      <c r="H164" s="174" t="s">
        <v>396</v>
      </c>
      <c r="I164" s="174" t="s">
        <v>183</v>
      </c>
      <c r="J164" s="174" t="s">
        <v>401</v>
      </c>
      <c r="K164" s="182">
        <v>7.5</v>
      </c>
      <c r="L164" s="163" t="s">
        <v>110</v>
      </c>
      <c r="M164" s="164">
        <f t="shared" si="115"/>
        <v>7.5</v>
      </c>
      <c r="N164" s="164">
        <f t="shared" si="116"/>
        <v>7.5</v>
      </c>
      <c r="O164" s="165">
        <f t="shared" si="117"/>
        <v>1</v>
      </c>
      <c r="P164" s="192">
        <v>9.6000000000000002E-2</v>
      </c>
      <c r="Q164" s="177">
        <v>24</v>
      </c>
      <c r="R164" s="168">
        <f t="shared" si="204"/>
        <v>19</v>
      </c>
      <c r="S164" s="181">
        <v>0</v>
      </c>
      <c r="T164" s="174" t="s">
        <v>289</v>
      </c>
      <c r="U164" s="171">
        <f t="shared" si="119"/>
        <v>0.75000000000000011</v>
      </c>
      <c r="V164" s="171">
        <f t="shared" ca="1" si="120"/>
        <v>0.5135218577566325</v>
      </c>
      <c r="W164" s="171">
        <f t="shared" ca="1" si="185"/>
        <v>12.32452458615918</v>
      </c>
      <c r="X164" s="172" t="str">
        <f t="shared" si="121"/>
        <v>Equity</v>
      </c>
      <c r="Y164" s="172" t="str">
        <f t="shared" si="122"/>
        <v>Equity</v>
      </c>
      <c r="Z164" s="173">
        <f t="shared" si="123"/>
        <v>18.000000000000004</v>
      </c>
      <c r="AA164" s="171">
        <f t="shared" si="211"/>
        <v>0</v>
      </c>
      <c r="AB164" s="171">
        <f t="shared" si="211"/>
        <v>0</v>
      </c>
      <c r="AC164" s="171">
        <f t="shared" si="211"/>
        <v>0</v>
      </c>
      <c r="AD164" s="171">
        <f t="shared" si="211"/>
        <v>0</v>
      </c>
      <c r="AE164" s="171">
        <f t="shared" si="211"/>
        <v>0</v>
      </c>
      <c r="AF164" s="171">
        <f t="shared" si="211"/>
        <v>0</v>
      </c>
      <c r="AG164" s="171">
        <f t="shared" si="211"/>
        <v>0</v>
      </c>
      <c r="AH164" s="171">
        <f t="shared" si="211"/>
        <v>0</v>
      </c>
      <c r="AI164" s="171">
        <f t="shared" si="211"/>
        <v>0</v>
      </c>
      <c r="AJ164" s="171">
        <f t="shared" si="211"/>
        <v>0.72</v>
      </c>
      <c r="AK164" s="171">
        <f t="shared" si="212"/>
        <v>0.72</v>
      </c>
      <c r="AL164" s="171">
        <f t="shared" si="212"/>
        <v>0.72</v>
      </c>
      <c r="AM164" s="171">
        <f t="shared" si="212"/>
        <v>0.72</v>
      </c>
      <c r="AN164" s="171">
        <f t="shared" si="212"/>
        <v>0.72</v>
      </c>
      <c r="AO164" s="171">
        <f t="shared" si="212"/>
        <v>0.72</v>
      </c>
      <c r="AP164" s="171">
        <f t="shared" si="212"/>
        <v>0.72</v>
      </c>
      <c r="AQ164" s="171">
        <f t="shared" si="212"/>
        <v>0.72</v>
      </c>
      <c r="AR164" s="171">
        <f t="shared" si="212"/>
        <v>0.72</v>
      </c>
      <c r="AS164" s="171">
        <f t="shared" si="212"/>
        <v>0.72</v>
      </c>
      <c r="AT164" s="171">
        <f t="shared" si="212"/>
        <v>0.72</v>
      </c>
      <c r="AU164" s="171">
        <f t="shared" si="213"/>
        <v>0.72</v>
      </c>
      <c r="AV164" s="171">
        <f t="shared" si="213"/>
        <v>0.72</v>
      </c>
      <c r="AW164" s="171">
        <f t="shared" si="213"/>
        <v>0.72</v>
      </c>
      <c r="AX164" s="171">
        <f t="shared" si="213"/>
        <v>0.72</v>
      </c>
      <c r="AY164" s="171">
        <f t="shared" si="213"/>
        <v>0.72</v>
      </c>
      <c r="AZ164" s="171">
        <f t="shared" si="213"/>
        <v>0.72</v>
      </c>
      <c r="BA164" s="171">
        <f t="shared" si="213"/>
        <v>0.72</v>
      </c>
      <c r="BB164" s="171">
        <f t="shared" si="213"/>
        <v>0.72</v>
      </c>
      <c r="BC164" s="171">
        <f t="shared" si="213"/>
        <v>0.72</v>
      </c>
      <c r="BD164" s="171">
        <f t="shared" si="213"/>
        <v>0.72</v>
      </c>
      <c r="BE164" s="171">
        <f t="shared" si="214"/>
        <v>0.72</v>
      </c>
      <c r="BF164" s="171">
        <f t="shared" si="214"/>
        <v>0.72</v>
      </c>
      <c r="BG164" s="171">
        <f t="shared" si="214"/>
        <v>0.72</v>
      </c>
      <c r="BH164" s="171">
        <f t="shared" si="214"/>
        <v>0.72</v>
      </c>
      <c r="BI164" s="171">
        <f t="shared" si="214"/>
        <v>0</v>
      </c>
      <c r="BJ164" s="171">
        <f t="shared" si="214"/>
        <v>0</v>
      </c>
      <c r="BK164" s="171">
        <f t="shared" si="214"/>
        <v>0</v>
      </c>
      <c r="BL164" s="171">
        <f t="shared" si="214"/>
        <v>0</v>
      </c>
      <c r="BM164" s="171">
        <f t="shared" si="214"/>
        <v>0</v>
      </c>
      <c r="BN164" s="171">
        <f t="shared" si="214"/>
        <v>0</v>
      </c>
      <c r="BO164" s="171">
        <f t="shared" si="215"/>
        <v>0</v>
      </c>
      <c r="BP164" s="171">
        <f t="shared" si="215"/>
        <v>0</v>
      </c>
      <c r="BQ164" s="171">
        <f t="shared" si="215"/>
        <v>0</v>
      </c>
      <c r="BR164" s="171">
        <f t="shared" si="215"/>
        <v>0</v>
      </c>
      <c r="BS164" s="171">
        <f t="shared" si="215"/>
        <v>0</v>
      </c>
      <c r="BT164" s="171">
        <f t="shared" si="215"/>
        <v>0</v>
      </c>
      <c r="BU164" s="171">
        <f t="shared" si="215"/>
        <v>0</v>
      </c>
      <c r="BV164" s="171">
        <f t="shared" si="215"/>
        <v>0</v>
      </c>
      <c r="BW164" s="171">
        <f t="shared" si="215"/>
        <v>0</v>
      </c>
      <c r="BX164" s="171">
        <f t="shared" si="215"/>
        <v>0</v>
      </c>
      <c r="BY164" s="171">
        <f t="shared" si="216"/>
        <v>0</v>
      </c>
      <c r="BZ164" s="171">
        <f t="shared" si="216"/>
        <v>0</v>
      </c>
      <c r="CA164" s="171">
        <f t="shared" si="216"/>
        <v>0</v>
      </c>
      <c r="CB164" s="171">
        <f t="shared" si="216"/>
        <v>0</v>
      </c>
      <c r="CC164" s="171">
        <f t="shared" si="216"/>
        <v>0</v>
      </c>
      <c r="CD164" s="171">
        <f t="shared" si="216"/>
        <v>0</v>
      </c>
      <c r="CE164" s="171">
        <f t="shared" si="216"/>
        <v>0</v>
      </c>
      <c r="CF164" s="171">
        <f t="shared" si="216"/>
        <v>0</v>
      </c>
      <c r="CG164" s="171">
        <f t="shared" si="216"/>
        <v>0</v>
      </c>
      <c r="CH164" s="171">
        <f t="shared" si="216"/>
        <v>0</v>
      </c>
      <c r="CI164" s="171">
        <f t="shared" si="216"/>
        <v>0</v>
      </c>
      <c r="CJ164" s="243"/>
      <c r="CK164" s="171">
        <f t="shared" si="124"/>
        <v>0</v>
      </c>
      <c r="CL164" s="171">
        <f t="shared" si="125"/>
        <v>0</v>
      </c>
      <c r="CM164" s="171">
        <f t="shared" si="126"/>
        <v>0</v>
      </c>
      <c r="CN164" s="171">
        <f t="shared" si="127"/>
        <v>0</v>
      </c>
      <c r="CO164" s="171">
        <f t="shared" si="128"/>
        <v>0</v>
      </c>
      <c r="CP164" s="171">
        <f t="shared" si="129"/>
        <v>0</v>
      </c>
      <c r="CQ164" s="171">
        <f t="shared" si="130"/>
        <v>0</v>
      </c>
      <c r="CR164" s="171">
        <f t="shared" si="131"/>
        <v>0</v>
      </c>
      <c r="CS164" s="171">
        <f t="shared" si="132"/>
        <v>0</v>
      </c>
      <c r="CT164" s="171">
        <f t="shared" si="133"/>
        <v>0.72</v>
      </c>
      <c r="CU164" s="171">
        <f t="shared" si="134"/>
        <v>0.72</v>
      </c>
      <c r="CV164" s="171">
        <f t="shared" si="135"/>
        <v>0.72</v>
      </c>
      <c r="CW164" s="171">
        <f t="shared" si="136"/>
        <v>0.72</v>
      </c>
      <c r="CX164" s="171">
        <f t="shared" si="137"/>
        <v>0.72</v>
      </c>
      <c r="CY164" s="171">
        <f t="shared" ca="1" si="138"/>
        <v>0.68354436222893311</v>
      </c>
      <c r="CZ164" s="171">
        <f t="shared" ca="1" si="139"/>
        <v>0.64893457657633191</v>
      </c>
      <c r="DA164" s="171">
        <f t="shared" ca="1" si="140"/>
        <v>0.61607718232523834</v>
      </c>
      <c r="DB164" s="171">
        <f t="shared" ca="1" si="141"/>
        <v>0.58488345093930993</v>
      </c>
      <c r="DC164" s="171">
        <f t="shared" ca="1" si="142"/>
        <v>0.5552691464591224</v>
      </c>
      <c r="DD164" s="171">
        <f t="shared" ca="1" si="143"/>
        <v>0.52715429803028457</v>
      </c>
      <c r="DE164" s="171">
        <f t="shared" ca="1" si="144"/>
        <v>0.50046298394909983</v>
      </c>
      <c r="DF164" s="171">
        <f t="shared" ca="1" si="145"/>
        <v>0.47512312664260592</v>
      </c>
      <c r="DG164" s="171">
        <f t="shared" ca="1" si="146"/>
        <v>0.45106629802935655</v>
      </c>
      <c r="DH164" s="171">
        <f t="shared" ca="1" si="147"/>
        <v>0.4282275347353367</v>
      </c>
      <c r="DI164" s="171">
        <f t="shared" ca="1" si="148"/>
        <v>0.40654516266601948</v>
      </c>
      <c r="DJ164" s="171">
        <f t="shared" ca="1" si="149"/>
        <v>0.3859606304608364</v>
      </c>
      <c r="DK164" s="171">
        <f t="shared" ca="1" si="150"/>
        <v>0.36641835138031853</v>
      </c>
      <c r="DL164" s="171">
        <f t="shared" ca="1" si="151"/>
        <v>0.34786555319894019</v>
      </c>
      <c r="DM164" s="171">
        <f t="shared" ca="1" si="152"/>
        <v>0.33025213569831197</v>
      </c>
      <c r="DN164" s="171">
        <f t="shared" ca="1" si="153"/>
        <v>0.31353053537589687</v>
      </c>
      <c r="DO164" s="171">
        <f t="shared" ca="1" si="154"/>
        <v>0.29765559700390748</v>
      </c>
      <c r="DP164" s="171">
        <f t="shared" ca="1" si="155"/>
        <v>0.28258445169153928</v>
      </c>
      <c r="DQ164" s="171">
        <f t="shared" ca="1" si="156"/>
        <v>0.26827640112125833</v>
      </c>
      <c r="DR164" s="171">
        <f t="shared" ca="1" si="157"/>
        <v>0.25469280764653329</v>
      </c>
      <c r="DS164" s="171">
        <f t="shared" ca="1" si="158"/>
        <v>0</v>
      </c>
      <c r="DT164" s="171">
        <f t="shared" ca="1" si="159"/>
        <v>0</v>
      </c>
      <c r="DU164" s="171">
        <f t="shared" ca="1" si="160"/>
        <v>0</v>
      </c>
      <c r="DV164" s="171">
        <f t="shared" ca="1" si="161"/>
        <v>0</v>
      </c>
      <c r="DW164" s="171">
        <f t="shared" ca="1" si="162"/>
        <v>0</v>
      </c>
      <c r="DX164" s="171">
        <f t="shared" ca="1" si="163"/>
        <v>0</v>
      </c>
      <c r="DY164" s="171">
        <f t="shared" ca="1" si="164"/>
        <v>0</v>
      </c>
      <c r="DZ164" s="171">
        <f t="shared" ca="1" si="165"/>
        <v>0</v>
      </c>
      <c r="EA164" s="171">
        <f t="shared" ca="1" si="166"/>
        <v>0</v>
      </c>
      <c r="EB164" s="171">
        <f t="shared" ca="1" si="167"/>
        <v>0</v>
      </c>
      <c r="EC164" s="171">
        <f t="shared" ca="1" si="168"/>
        <v>0</v>
      </c>
      <c r="ED164" s="171">
        <f t="shared" ca="1" si="169"/>
        <v>0</v>
      </c>
      <c r="EE164" s="171">
        <f t="shared" ca="1" si="170"/>
        <v>0</v>
      </c>
      <c r="EF164" s="171">
        <f t="shared" ca="1" si="171"/>
        <v>0</v>
      </c>
      <c r="EG164" s="171">
        <f t="shared" ca="1" si="172"/>
        <v>0</v>
      </c>
      <c r="EH164" s="171">
        <f t="shared" ca="1" si="173"/>
        <v>0</v>
      </c>
      <c r="EI164" s="171">
        <f t="shared" ca="1" si="174"/>
        <v>0</v>
      </c>
      <c r="EJ164" s="171">
        <f t="shared" ca="1" si="175"/>
        <v>0</v>
      </c>
      <c r="EK164" s="171">
        <f t="shared" ca="1" si="176"/>
        <v>0</v>
      </c>
      <c r="EL164" s="171">
        <f t="shared" ca="1" si="177"/>
        <v>0</v>
      </c>
      <c r="EM164" s="171">
        <f t="shared" ca="1" si="178"/>
        <v>0</v>
      </c>
      <c r="EN164" s="171">
        <f t="shared" ca="1" si="179"/>
        <v>0</v>
      </c>
      <c r="EO164" s="171">
        <f t="shared" ca="1" si="180"/>
        <v>0</v>
      </c>
      <c r="EP164" s="171">
        <f t="shared" ca="1" si="181"/>
        <v>0</v>
      </c>
      <c r="EQ164" s="171">
        <f t="shared" ca="1" si="182"/>
        <v>0</v>
      </c>
      <c r="ER164" s="171">
        <f t="shared" ca="1" si="183"/>
        <v>0</v>
      </c>
      <c r="ES164" s="171">
        <f t="shared" ca="1" si="184"/>
        <v>0</v>
      </c>
    </row>
    <row r="165" spans="1:149">
      <c r="A165" s="146" t="s">
        <v>516</v>
      </c>
      <c r="B165" s="174" t="s">
        <v>518</v>
      </c>
      <c r="C165" s="174" t="s">
        <v>138</v>
      </c>
      <c r="D165" s="174" t="s">
        <v>428</v>
      </c>
      <c r="E165" s="174">
        <v>2019</v>
      </c>
      <c r="F165" s="199" t="s">
        <v>405</v>
      </c>
      <c r="G165" s="199" t="s">
        <v>289</v>
      </c>
      <c r="H165" s="199" t="s">
        <v>406</v>
      </c>
      <c r="I165" s="199" t="s">
        <v>365</v>
      </c>
      <c r="J165" s="199" t="s">
        <v>397</v>
      </c>
      <c r="K165" s="182">
        <v>106.875</v>
      </c>
      <c r="L165" s="163" t="s">
        <v>110</v>
      </c>
      <c r="M165" s="164">
        <f t="shared" si="115"/>
        <v>106.875</v>
      </c>
      <c r="N165" s="164">
        <f t="shared" si="116"/>
        <v>106.875</v>
      </c>
      <c r="O165" s="165">
        <f t="shared" si="117"/>
        <v>1</v>
      </c>
      <c r="P165" s="192">
        <v>5.2999999999999999E-2</v>
      </c>
      <c r="Q165" s="177">
        <v>24</v>
      </c>
      <c r="R165" s="168">
        <f t="shared" si="204"/>
        <v>19</v>
      </c>
      <c r="S165" s="181">
        <v>0</v>
      </c>
      <c r="T165" s="174" t="s">
        <v>289</v>
      </c>
      <c r="U165" s="171">
        <f t="shared" si="119"/>
        <v>5.9003906250000036</v>
      </c>
      <c r="V165" s="171">
        <f t="shared" ca="1" si="120"/>
        <v>4.0399727403197581</v>
      </c>
      <c r="W165" s="171">
        <f t="shared" ca="1" si="185"/>
        <v>96.959345767674193</v>
      </c>
      <c r="X165" s="172" t="str">
        <f t="shared" si="121"/>
        <v>Equity</v>
      </c>
      <c r="Y165" s="172" t="str">
        <f t="shared" si="122"/>
        <v>Equity</v>
      </c>
      <c r="Z165" s="173">
        <f t="shared" si="123"/>
        <v>141.60937500000009</v>
      </c>
      <c r="AA165" s="171">
        <f t="shared" si="211"/>
        <v>0</v>
      </c>
      <c r="AB165" s="171">
        <f t="shared" si="211"/>
        <v>0</v>
      </c>
      <c r="AC165" s="171">
        <f t="shared" si="211"/>
        <v>0</v>
      </c>
      <c r="AD165" s="171">
        <f t="shared" si="211"/>
        <v>0</v>
      </c>
      <c r="AE165" s="171">
        <f t="shared" si="211"/>
        <v>0</v>
      </c>
      <c r="AF165" s="171">
        <f t="shared" si="211"/>
        <v>0</v>
      </c>
      <c r="AG165" s="171">
        <f t="shared" si="211"/>
        <v>0</v>
      </c>
      <c r="AH165" s="171">
        <f t="shared" si="211"/>
        <v>0</v>
      </c>
      <c r="AI165" s="171">
        <f t="shared" si="211"/>
        <v>0</v>
      </c>
      <c r="AJ165" s="171">
        <f t="shared" si="211"/>
        <v>5.6643749999999997</v>
      </c>
      <c r="AK165" s="171">
        <f t="shared" si="212"/>
        <v>5.6643749999999997</v>
      </c>
      <c r="AL165" s="171">
        <f t="shared" si="212"/>
        <v>5.6643749999999997</v>
      </c>
      <c r="AM165" s="171">
        <f t="shared" si="212"/>
        <v>5.6643749999999997</v>
      </c>
      <c r="AN165" s="171">
        <f t="shared" si="212"/>
        <v>5.6643749999999997</v>
      </c>
      <c r="AO165" s="171">
        <f t="shared" si="212"/>
        <v>5.6643749999999997</v>
      </c>
      <c r="AP165" s="171">
        <f t="shared" si="212"/>
        <v>5.6643749999999997</v>
      </c>
      <c r="AQ165" s="171">
        <f t="shared" si="212"/>
        <v>5.6643749999999997</v>
      </c>
      <c r="AR165" s="171">
        <f t="shared" si="212"/>
        <v>5.6643749999999997</v>
      </c>
      <c r="AS165" s="171">
        <f t="shared" si="212"/>
        <v>5.6643749999999997</v>
      </c>
      <c r="AT165" s="171">
        <f t="shared" si="212"/>
        <v>5.6643749999999997</v>
      </c>
      <c r="AU165" s="171">
        <f t="shared" si="213"/>
        <v>5.6643749999999997</v>
      </c>
      <c r="AV165" s="171">
        <f t="shared" si="213"/>
        <v>5.6643749999999997</v>
      </c>
      <c r="AW165" s="171">
        <f t="shared" si="213"/>
        <v>5.6643749999999997</v>
      </c>
      <c r="AX165" s="171">
        <f t="shared" si="213"/>
        <v>5.6643749999999997</v>
      </c>
      <c r="AY165" s="171">
        <f t="shared" si="213"/>
        <v>5.6643749999999997</v>
      </c>
      <c r="AZ165" s="171">
        <f t="shared" si="213"/>
        <v>5.6643749999999997</v>
      </c>
      <c r="BA165" s="171">
        <f t="shared" si="213"/>
        <v>5.6643749999999997</v>
      </c>
      <c r="BB165" s="171">
        <f t="shared" si="213"/>
        <v>5.6643749999999997</v>
      </c>
      <c r="BC165" s="171">
        <f t="shared" si="213"/>
        <v>5.6643749999999997</v>
      </c>
      <c r="BD165" s="171">
        <f t="shared" si="213"/>
        <v>5.6643749999999997</v>
      </c>
      <c r="BE165" s="171">
        <f t="shared" si="214"/>
        <v>5.6643749999999997</v>
      </c>
      <c r="BF165" s="171">
        <f t="shared" si="214"/>
        <v>5.6643749999999997</v>
      </c>
      <c r="BG165" s="171">
        <f t="shared" si="214"/>
        <v>5.6643749999999997</v>
      </c>
      <c r="BH165" s="171">
        <f t="shared" si="214"/>
        <v>5.6643749999999997</v>
      </c>
      <c r="BI165" s="171">
        <f t="shared" si="214"/>
        <v>0</v>
      </c>
      <c r="BJ165" s="171">
        <f t="shared" si="214"/>
        <v>0</v>
      </c>
      <c r="BK165" s="171">
        <f t="shared" si="214"/>
        <v>0</v>
      </c>
      <c r="BL165" s="171">
        <f t="shared" si="214"/>
        <v>0</v>
      </c>
      <c r="BM165" s="171">
        <f t="shared" si="214"/>
        <v>0</v>
      </c>
      <c r="BN165" s="171">
        <f t="shared" si="214"/>
        <v>0</v>
      </c>
      <c r="BO165" s="171">
        <f t="shared" si="215"/>
        <v>0</v>
      </c>
      <c r="BP165" s="171">
        <f t="shared" si="215"/>
        <v>0</v>
      </c>
      <c r="BQ165" s="171">
        <f t="shared" si="215"/>
        <v>0</v>
      </c>
      <c r="BR165" s="171">
        <f t="shared" si="215"/>
        <v>0</v>
      </c>
      <c r="BS165" s="171">
        <f t="shared" si="215"/>
        <v>0</v>
      </c>
      <c r="BT165" s="171">
        <f t="shared" si="215"/>
        <v>0</v>
      </c>
      <c r="BU165" s="171">
        <f t="shared" si="215"/>
        <v>0</v>
      </c>
      <c r="BV165" s="171">
        <f t="shared" si="215"/>
        <v>0</v>
      </c>
      <c r="BW165" s="171">
        <f t="shared" si="215"/>
        <v>0</v>
      </c>
      <c r="BX165" s="171">
        <f t="shared" si="215"/>
        <v>0</v>
      </c>
      <c r="BY165" s="171">
        <f t="shared" si="216"/>
        <v>0</v>
      </c>
      <c r="BZ165" s="171">
        <f t="shared" si="216"/>
        <v>0</v>
      </c>
      <c r="CA165" s="171">
        <f t="shared" si="216"/>
        <v>0</v>
      </c>
      <c r="CB165" s="171">
        <f t="shared" si="216"/>
        <v>0</v>
      </c>
      <c r="CC165" s="171">
        <f t="shared" si="216"/>
        <v>0</v>
      </c>
      <c r="CD165" s="171">
        <f t="shared" si="216"/>
        <v>0</v>
      </c>
      <c r="CE165" s="171">
        <f t="shared" si="216"/>
        <v>0</v>
      </c>
      <c r="CF165" s="171">
        <f t="shared" si="216"/>
        <v>0</v>
      </c>
      <c r="CG165" s="171">
        <f t="shared" si="216"/>
        <v>0</v>
      </c>
      <c r="CH165" s="171">
        <f t="shared" si="216"/>
        <v>0</v>
      </c>
      <c r="CI165" s="171">
        <f t="shared" si="216"/>
        <v>0</v>
      </c>
      <c r="CJ165" s="243"/>
      <c r="CK165" s="171">
        <f t="shared" si="124"/>
        <v>0</v>
      </c>
      <c r="CL165" s="171">
        <f t="shared" si="125"/>
        <v>0</v>
      </c>
      <c r="CM165" s="171">
        <f t="shared" si="126"/>
        <v>0</v>
      </c>
      <c r="CN165" s="171">
        <f t="shared" si="127"/>
        <v>0</v>
      </c>
      <c r="CO165" s="171">
        <f t="shared" si="128"/>
        <v>0</v>
      </c>
      <c r="CP165" s="171">
        <f t="shared" si="129"/>
        <v>0</v>
      </c>
      <c r="CQ165" s="171">
        <f t="shared" si="130"/>
        <v>0</v>
      </c>
      <c r="CR165" s="171">
        <f t="shared" si="131"/>
        <v>0</v>
      </c>
      <c r="CS165" s="171">
        <f t="shared" si="132"/>
        <v>0</v>
      </c>
      <c r="CT165" s="171">
        <f t="shared" si="133"/>
        <v>5.6643749999999997</v>
      </c>
      <c r="CU165" s="171">
        <f t="shared" si="134"/>
        <v>5.6643749999999997</v>
      </c>
      <c r="CV165" s="171">
        <f t="shared" si="135"/>
        <v>5.6643749999999997</v>
      </c>
      <c r="CW165" s="171">
        <f t="shared" si="136"/>
        <v>5.6643749999999997</v>
      </c>
      <c r="CX165" s="171">
        <f t="shared" si="137"/>
        <v>5.6643749999999997</v>
      </c>
      <c r="CY165" s="171">
        <f t="shared" ca="1" si="138"/>
        <v>5.3775716622229348</v>
      </c>
      <c r="CZ165" s="171">
        <f t="shared" ca="1" si="139"/>
        <v>5.105289989159111</v>
      </c>
      <c r="DA165" s="171">
        <f t="shared" ca="1" si="140"/>
        <v>4.8467947078243361</v>
      </c>
      <c r="DB165" s="171">
        <f t="shared" ca="1" si="141"/>
        <v>4.6013877741866027</v>
      </c>
      <c r="DC165" s="171">
        <f t="shared" ca="1" si="142"/>
        <v>4.3684064881588771</v>
      </c>
      <c r="DD165" s="171">
        <f t="shared" ca="1" si="143"/>
        <v>4.1472217040351298</v>
      </c>
      <c r="DE165" s="171">
        <f t="shared" ca="1" si="144"/>
        <v>3.937236131537059</v>
      </c>
      <c r="DF165" s="171">
        <f t="shared" ca="1" si="145"/>
        <v>3.7378827228836262</v>
      </c>
      <c r="DG165" s="171">
        <f t="shared" ca="1" si="146"/>
        <v>3.5486231415278287</v>
      </c>
      <c r="DH165" s="171">
        <f t="shared" ca="1" si="147"/>
        <v>3.3689463084256563</v>
      </c>
      <c r="DI165" s="171">
        <f t="shared" ca="1" si="148"/>
        <v>3.198367021911575</v>
      </c>
      <c r="DJ165" s="171">
        <f t="shared" ca="1" si="149"/>
        <v>3.036424647453611</v>
      </c>
      <c r="DK165" s="171">
        <f t="shared" ca="1" si="150"/>
        <v>2.8826818737498496</v>
      </c>
      <c r="DL165" s="171">
        <f t="shared" ca="1" si="151"/>
        <v>2.7367235318072871</v>
      </c>
      <c r="DM165" s="171">
        <f t="shared" ca="1" si="152"/>
        <v>2.5981554738140638</v>
      </c>
      <c r="DN165" s="171">
        <f t="shared" ca="1" si="153"/>
        <v>2.4666035087775633</v>
      </c>
      <c r="DO165" s="171">
        <f t="shared" ca="1" si="154"/>
        <v>2.3417123920541787</v>
      </c>
      <c r="DP165" s="171">
        <f t="shared" ca="1" si="155"/>
        <v>2.2231448660420314</v>
      </c>
      <c r="DQ165" s="171">
        <f t="shared" ca="1" si="156"/>
        <v>2.1105807494461497</v>
      </c>
      <c r="DR165" s="171">
        <f t="shared" ca="1" si="157"/>
        <v>2.0037160726567111</v>
      </c>
      <c r="DS165" s="171">
        <f t="shared" ca="1" si="158"/>
        <v>0</v>
      </c>
      <c r="DT165" s="171">
        <f t="shared" ca="1" si="159"/>
        <v>0</v>
      </c>
      <c r="DU165" s="171">
        <f t="shared" ca="1" si="160"/>
        <v>0</v>
      </c>
      <c r="DV165" s="171">
        <f t="shared" ca="1" si="161"/>
        <v>0</v>
      </c>
      <c r="DW165" s="171">
        <f t="shared" ca="1" si="162"/>
        <v>0</v>
      </c>
      <c r="DX165" s="171">
        <f t="shared" ca="1" si="163"/>
        <v>0</v>
      </c>
      <c r="DY165" s="171">
        <f t="shared" ca="1" si="164"/>
        <v>0</v>
      </c>
      <c r="DZ165" s="171">
        <f t="shared" ca="1" si="165"/>
        <v>0</v>
      </c>
      <c r="EA165" s="171">
        <f t="shared" ca="1" si="166"/>
        <v>0</v>
      </c>
      <c r="EB165" s="171">
        <f t="shared" ca="1" si="167"/>
        <v>0</v>
      </c>
      <c r="EC165" s="171">
        <f t="shared" ca="1" si="168"/>
        <v>0</v>
      </c>
      <c r="ED165" s="171">
        <f t="shared" ca="1" si="169"/>
        <v>0</v>
      </c>
      <c r="EE165" s="171">
        <f t="shared" ca="1" si="170"/>
        <v>0</v>
      </c>
      <c r="EF165" s="171">
        <f t="shared" ca="1" si="171"/>
        <v>0</v>
      </c>
      <c r="EG165" s="171">
        <f t="shared" ca="1" si="172"/>
        <v>0</v>
      </c>
      <c r="EH165" s="171">
        <f t="shared" ca="1" si="173"/>
        <v>0</v>
      </c>
      <c r="EI165" s="171">
        <f t="shared" ca="1" si="174"/>
        <v>0</v>
      </c>
      <c r="EJ165" s="171">
        <f t="shared" ca="1" si="175"/>
        <v>0</v>
      </c>
      <c r="EK165" s="171">
        <f t="shared" ca="1" si="176"/>
        <v>0</v>
      </c>
      <c r="EL165" s="171">
        <f t="shared" ca="1" si="177"/>
        <v>0</v>
      </c>
      <c r="EM165" s="171">
        <f t="shared" ca="1" si="178"/>
        <v>0</v>
      </c>
      <c r="EN165" s="171">
        <f t="shared" ca="1" si="179"/>
        <v>0</v>
      </c>
      <c r="EO165" s="171">
        <f t="shared" ca="1" si="180"/>
        <v>0</v>
      </c>
      <c r="EP165" s="171">
        <f t="shared" ca="1" si="181"/>
        <v>0</v>
      </c>
      <c r="EQ165" s="171">
        <f t="shared" ca="1" si="182"/>
        <v>0</v>
      </c>
      <c r="ER165" s="171">
        <f t="shared" ca="1" si="183"/>
        <v>0</v>
      </c>
      <c r="ES165" s="171">
        <f t="shared" ca="1" si="184"/>
        <v>0</v>
      </c>
    </row>
    <row r="166" spans="1:149">
      <c r="A166" s="146" t="s">
        <v>516</v>
      </c>
      <c r="B166" s="174" t="s">
        <v>519</v>
      </c>
      <c r="C166" s="174" t="s">
        <v>138</v>
      </c>
      <c r="D166" s="174" t="s">
        <v>428</v>
      </c>
      <c r="E166" s="174">
        <v>2019</v>
      </c>
      <c r="F166" s="199" t="s">
        <v>405</v>
      </c>
      <c r="G166" s="199" t="s">
        <v>289</v>
      </c>
      <c r="H166" s="199" t="s">
        <v>406</v>
      </c>
      <c r="I166" s="199" t="s">
        <v>365</v>
      </c>
      <c r="J166" s="199" t="s">
        <v>397</v>
      </c>
      <c r="K166" s="182">
        <v>35.625</v>
      </c>
      <c r="L166" s="163" t="s">
        <v>110</v>
      </c>
      <c r="M166" s="164">
        <f t="shared" si="115"/>
        <v>35.625</v>
      </c>
      <c r="N166" s="164">
        <f t="shared" si="116"/>
        <v>35.625</v>
      </c>
      <c r="O166" s="165">
        <f t="shared" si="117"/>
        <v>1</v>
      </c>
      <c r="P166" s="192">
        <v>5.2999999999999999E-2</v>
      </c>
      <c r="Q166" s="177">
        <v>24</v>
      </c>
      <c r="R166" s="168">
        <f t="shared" si="204"/>
        <v>19</v>
      </c>
      <c r="S166" s="181">
        <v>0</v>
      </c>
      <c r="T166" s="174" t="s">
        <v>289</v>
      </c>
      <c r="U166" s="171">
        <f t="shared" si="119"/>
        <v>1.9667968750000007</v>
      </c>
      <c r="V166" s="171">
        <f t="shared" ca="1" si="120"/>
        <v>1.3466575801065861</v>
      </c>
      <c r="W166" s="171">
        <f t="shared" ca="1" si="185"/>
        <v>32.319781922558064</v>
      </c>
      <c r="X166" s="172" t="str">
        <f t="shared" si="121"/>
        <v>Equity</v>
      </c>
      <c r="Y166" s="172" t="str">
        <f t="shared" si="122"/>
        <v>Equity</v>
      </c>
      <c r="Z166" s="173">
        <f t="shared" si="123"/>
        <v>47.203125000000014</v>
      </c>
      <c r="AA166" s="171">
        <f t="shared" si="211"/>
        <v>0</v>
      </c>
      <c r="AB166" s="171">
        <f t="shared" si="211"/>
        <v>0</v>
      </c>
      <c r="AC166" s="171">
        <f t="shared" si="211"/>
        <v>0</v>
      </c>
      <c r="AD166" s="171">
        <f t="shared" si="211"/>
        <v>0</v>
      </c>
      <c r="AE166" s="171">
        <f t="shared" si="211"/>
        <v>0</v>
      </c>
      <c r="AF166" s="171">
        <f t="shared" si="211"/>
        <v>0</v>
      </c>
      <c r="AG166" s="171">
        <f t="shared" si="211"/>
        <v>0</v>
      </c>
      <c r="AH166" s="171">
        <f t="shared" si="211"/>
        <v>0</v>
      </c>
      <c r="AI166" s="171">
        <f t="shared" si="211"/>
        <v>0</v>
      </c>
      <c r="AJ166" s="171">
        <f t="shared" si="211"/>
        <v>1.8881250000000001</v>
      </c>
      <c r="AK166" s="171">
        <f t="shared" si="212"/>
        <v>1.8881250000000001</v>
      </c>
      <c r="AL166" s="171">
        <f t="shared" si="212"/>
        <v>1.8881250000000001</v>
      </c>
      <c r="AM166" s="171">
        <f t="shared" si="212"/>
        <v>1.8881250000000001</v>
      </c>
      <c r="AN166" s="171">
        <f t="shared" si="212"/>
        <v>1.8881250000000001</v>
      </c>
      <c r="AO166" s="171">
        <f t="shared" si="212"/>
        <v>1.8881250000000001</v>
      </c>
      <c r="AP166" s="171">
        <f t="shared" si="212"/>
        <v>1.8881250000000001</v>
      </c>
      <c r="AQ166" s="171">
        <f t="shared" si="212"/>
        <v>1.8881250000000001</v>
      </c>
      <c r="AR166" s="171">
        <f t="shared" si="212"/>
        <v>1.8881250000000001</v>
      </c>
      <c r="AS166" s="171">
        <f t="shared" si="212"/>
        <v>1.8881250000000001</v>
      </c>
      <c r="AT166" s="171">
        <f t="shared" si="212"/>
        <v>1.8881250000000001</v>
      </c>
      <c r="AU166" s="171">
        <f t="shared" si="213"/>
        <v>1.8881250000000001</v>
      </c>
      <c r="AV166" s="171">
        <f t="shared" si="213"/>
        <v>1.8881250000000001</v>
      </c>
      <c r="AW166" s="171">
        <f t="shared" si="213"/>
        <v>1.8881250000000001</v>
      </c>
      <c r="AX166" s="171">
        <f t="shared" si="213"/>
        <v>1.8881250000000001</v>
      </c>
      <c r="AY166" s="171">
        <f t="shared" si="213"/>
        <v>1.8881250000000001</v>
      </c>
      <c r="AZ166" s="171">
        <f t="shared" si="213"/>
        <v>1.8881250000000001</v>
      </c>
      <c r="BA166" s="171">
        <f t="shared" si="213"/>
        <v>1.8881250000000001</v>
      </c>
      <c r="BB166" s="171">
        <f t="shared" si="213"/>
        <v>1.8881250000000001</v>
      </c>
      <c r="BC166" s="171">
        <f t="shared" si="213"/>
        <v>1.8881250000000001</v>
      </c>
      <c r="BD166" s="171">
        <f t="shared" si="213"/>
        <v>1.8881250000000001</v>
      </c>
      <c r="BE166" s="171">
        <f t="shared" si="214"/>
        <v>1.8881250000000001</v>
      </c>
      <c r="BF166" s="171">
        <f t="shared" si="214"/>
        <v>1.8881250000000001</v>
      </c>
      <c r="BG166" s="171">
        <f t="shared" si="214"/>
        <v>1.8881250000000001</v>
      </c>
      <c r="BH166" s="171">
        <f t="shared" si="214"/>
        <v>1.8881250000000001</v>
      </c>
      <c r="BI166" s="171">
        <f t="shared" si="214"/>
        <v>0</v>
      </c>
      <c r="BJ166" s="171">
        <f t="shared" si="214"/>
        <v>0</v>
      </c>
      <c r="BK166" s="171">
        <f t="shared" si="214"/>
        <v>0</v>
      </c>
      <c r="BL166" s="171">
        <f t="shared" si="214"/>
        <v>0</v>
      </c>
      <c r="BM166" s="171">
        <f t="shared" si="214"/>
        <v>0</v>
      </c>
      <c r="BN166" s="171">
        <f t="shared" si="214"/>
        <v>0</v>
      </c>
      <c r="BO166" s="171">
        <f t="shared" si="215"/>
        <v>0</v>
      </c>
      <c r="BP166" s="171">
        <f t="shared" si="215"/>
        <v>0</v>
      </c>
      <c r="BQ166" s="171">
        <f t="shared" si="215"/>
        <v>0</v>
      </c>
      <c r="BR166" s="171">
        <f t="shared" si="215"/>
        <v>0</v>
      </c>
      <c r="BS166" s="171">
        <f t="shared" si="215"/>
        <v>0</v>
      </c>
      <c r="BT166" s="171">
        <f t="shared" si="215"/>
        <v>0</v>
      </c>
      <c r="BU166" s="171">
        <f t="shared" si="215"/>
        <v>0</v>
      </c>
      <c r="BV166" s="171">
        <f t="shared" si="215"/>
        <v>0</v>
      </c>
      <c r="BW166" s="171">
        <f t="shared" si="215"/>
        <v>0</v>
      </c>
      <c r="BX166" s="171">
        <f t="shared" si="215"/>
        <v>0</v>
      </c>
      <c r="BY166" s="171">
        <f t="shared" si="216"/>
        <v>0</v>
      </c>
      <c r="BZ166" s="171">
        <f t="shared" si="216"/>
        <v>0</v>
      </c>
      <c r="CA166" s="171">
        <f t="shared" si="216"/>
        <v>0</v>
      </c>
      <c r="CB166" s="171">
        <f t="shared" si="216"/>
        <v>0</v>
      </c>
      <c r="CC166" s="171">
        <f t="shared" si="216"/>
        <v>0</v>
      </c>
      <c r="CD166" s="171">
        <f t="shared" si="216"/>
        <v>0</v>
      </c>
      <c r="CE166" s="171">
        <f t="shared" si="216"/>
        <v>0</v>
      </c>
      <c r="CF166" s="171">
        <f t="shared" si="216"/>
        <v>0</v>
      </c>
      <c r="CG166" s="171">
        <f t="shared" si="216"/>
        <v>0</v>
      </c>
      <c r="CH166" s="171">
        <f t="shared" si="216"/>
        <v>0</v>
      </c>
      <c r="CI166" s="171">
        <f t="shared" si="216"/>
        <v>0</v>
      </c>
      <c r="CJ166" s="243"/>
      <c r="CK166" s="171">
        <f t="shared" si="124"/>
        <v>0</v>
      </c>
      <c r="CL166" s="171">
        <f t="shared" si="125"/>
        <v>0</v>
      </c>
      <c r="CM166" s="171">
        <f t="shared" si="126"/>
        <v>0</v>
      </c>
      <c r="CN166" s="171">
        <f t="shared" si="127"/>
        <v>0</v>
      </c>
      <c r="CO166" s="171">
        <f t="shared" si="128"/>
        <v>0</v>
      </c>
      <c r="CP166" s="171">
        <f t="shared" si="129"/>
        <v>0</v>
      </c>
      <c r="CQ166" s="171">
        <f t="shared" si="130"/>
        <v>0</v>
      </c>
      <c r="CR166" s="171">
        <f t="shared" si="131"/>
        <v>0</v>
      </c>
      <c r="CS166" s="171">
        <f t="shared" si="132"/>
        <v>0</v>
      </c>
      <c r="CT166" s="171">
        <f t="shared" si="133"/>
        <v>1.8881250000000001</v>
      </c>
      <c r="CU166" s="171">
        <f t="shared" si="134"/>
        <v>1.8881250000000001</v>
      </c>
      <c r="CV166" s="171">
        <f t="shared" si="135"/>
        <v>1.8881250000000001</v>
      </c>
      <c r="CW166" s="171">
        <f t="shared" si="136"/>
        <v>1.8881250000000001</v>
      </c>
      <c r="CX166" s="171">
        <f t="shared" si="137"/>
        <v>1.8881250000000001</v>
      </c>
      <c r="CY166" s="171">
        <f t="shared" ca="1" si="138"/>
        <v>1.7925238874076452</v>
      </c>
      <c r="CZ166" s="171">
        <f t="shared" ca="1" si="139"/>
        <v>1.7017633297197039</v>
      </c>
      <c r="DA166" s="171">
        <f t="shared" ca="1" si="140"/>
        <v>1.6155982359414454</v>
      </c>
      <c r="DB166" s="171">
        <f t="shared" ca="1" si="141"/>
        <v>1.5337959247288677</v>
      </c>
      <c r="DC166" s="171">
        <f t="shared" ca="1" si="142"/>
        <v>1.4561354960529591</v>
      </c>
      <c r="DD166" s="171">
        <f t="shared" ca="1" si="143"/>
        <v>1.3824072346783767</v>
      </c>
      <c r="DE166" s="171">
        <f t="shared" ca="1" si="144"/>
        <v>1.3124120438456863</v>
      </c>
      <c r="DF166" s="171">
        <f t="shared" ca="1" si="145"/>
        <v>1.2459609076278755</v>
      </c>
      <c r="DG166" s="171">
        <f t="shared" ca="1" si="146"/>
        <v>1.1828743805092763</v>
      </c>
      <c r="DH166" s="171">
        <f t="shared" ca="1" si="147"/>
        <v>1.1229821028085523</v>
      </c>
      <c r="DI166" s="171">
        <f t="shared" ca="1" si="148"/>
        <v>1.0661223406371918</v>
      </c>
      <c r="DJ166" s="171">
        <f t="shared" ca="1" si="149"/>
        <v>1.0121415491512038</v>
      </c>
      <c r="DK166" s="171">
        <f t="shared" ca="1" si="150"/>
        <v>0.96089395791661658</v>
      </c>
      <c r="DL166" s="171">
        <f t="shared" ca="1" si="151"/>
        <v>0.91224117726909582</v>
      </c>
      <c r="DM166" s="171">
        <f t="shared" ca="1" si="152"/>
        <v>0.86605182460468799</v>
      </c>
      <c r="DN166" s="171">
        <f t="shared" ca="1" si="153"/>
        <v>0.82220116959252121</v>
      </c>
      <c r="DO166" s="171">
        <f t="shared" ca="1" si="154"/>
        <v>0.7805707973513929</v>
      </c>
      <c r="DP166" s="171">
        <f t="shared" ca="1" si="155"/>
        <v>0.74104828868067729</v>
      </c>
      <c r="DQ166" s="171">
        <f t="shared" ca="1" si="156"/>
        <v>0.7035269164820499</v>
      </c>
      <c r="DR166" s="171">
        <f t="shared" ca="1" si="157"/>
        <v>0.66790535755223701</v>
      </c>
      <c r="DS166" s="171">
        <f t="shared" ca="1" si="158"/>
        <v>0</v>
      </c>
      <c r="DT166" s="171">
        <f t="shared" ca="1" si="159"/>
        <v>0</v>
      </c>
      <c r="DU166" s="171">
        <f t="shared" ca="1" si="160"/>
        <v>0</v>
      </c>
      <c r="DV166" s="171">
        <f t="shared" ca="1" si="161"/>
        <v>0</v>
      </c>
      <c r="DW166" s="171">
        <f t="shared" ca="1" si="162"/>
        <v>0</v>
      </c>
      <c r="DX166" s="171">
        <f t="shared" ca="1" si="163"/>
        <v>0</v>
      </c>
      <c r="DY166" s="171">
        <f t="shared" ca="1" si="164"/>
        <v>0</v>
      </c>
      <c r="DZ166" s="171">
        <f t="shared" ca="1" si="165"/>
        <v>0</v>
      </c>
      <c r="EA166" s="171">
        <f t="shared" ca="1" si="166"/>
        <v>0</v>
      </c>
      <c r="EB166" s="171">
        <f t="shared" ca="1" si="167"/>
        <v>0</v>
      </c>
      <c r="EC166" s="171">
        <f t="shared" ca="1" si="168"/>
        <v>0</v>
      </c>
      <c r="ED166" s="171">
        <f t="shared" ca="1" si="169"/>
        <v>0</v>
      </c>
      <c r="EE166" s="171">
        <f t="shared" ca="1" si="170"/>
        <v>0</v>
      </c>
      <c r="EF166" s="171">
        <f t="shared" ca="1" si="171"/>
        <v>0</v>
      </c>
      <c r="EG166" s="171">
        <f t="shared" ca="1" si="172"/>
        <v>0</v>
      </c>
      <c r="EH166" s="171">
        <f t="shared" ca="1" si="173"/>
        <v>0</v>
      </c>
      <c r="EI166" s="171">
        <f t="shared" ca="1" si="174"/>
        <v>0</v>
      </c>
      <c r="EJ166" s="171">
        <f t="shared" ca="1" si="175"/>
        <v>0</v>
      </c>
      <c r="EK166" s="171">
        <f t="shared" ca="1" si="176"/>
        <v>0</v>
      </c>
      <c r="EL166" s="171">
        <f t="shared" ca="1" si="177"/>
        <v>0</v>
      </c>
      <c r="EM166" s="171">
        <f t="shared" ca="1" si="178"/>
        <v>0</v>
      </c>
      <c r="EN166" s="171">
        <f t="shared" ca="1" si="179"/>
        <v>0</v>
      </c>
      <c r="EO166" s="171">
        <f t="shared" ca="1" si="180"/>
        <v>0</v>
      </c>
      <c r="EP166" s="171">
        <f t="shared" ca="1" si="181"/>
        <v>0</v>
      </c>
      <c r="EQ166" s="171">
        <f t="shared" ca="1" si="182"/>
        <v>0</v>
      </c>
      <c r="ER166" s="171">
        <f t="shared" ca="1" si="183"/>
        <v>0</v>
      </c>
      <c r="ES166" s="171">
        <f t="shared" ca="1" si="184"/>
        <v>0</v>
      </c>
    </row>
    <row r="167" spans="1:149">
      <c r="A167" s="139" t="s">
        <v>520</v>
      </c>
      <c r="B167" s="160" t="s">
        <v>427</v>
      </c>
      <c r="C167" s="174" t="s">
        <v>109</v>
      </c>
      <c r="D167" s="160" t="s">
        <v>428</v>
      </c>
      <c r="E167" s="160">
        <v>2012</v>
      </c>
      <c r="F167" s="160" t="s">
        <v>395</v>
      </c>
      <c r="G167" s="160" t="s">
        <v>402</v>
      </c>
      <c r="H167" s="160" t="s">
        <v>396</v>
      </c>
      <c r="I167" s="160" t="s">
        <v>176</v>
      </c>
      <c r="J167" s="160" t="s">
        <v>397</v>
      </c>
      <c r="K167" s="187">
        <v>45.55</v>
      </c>
      <c r="L167" s="163" t="s">
        <v>110</v>
      </c>
      <c r="M167" s="164">
        <f t="shared" si="115"/>
        <v>45.55</v>
      </c>
      <c r="N167" s="164">
        <f t="shared" si="116"/>
        <v>45.55</v>
      </c>
      <c r="O167" s="165">
        <f t="shared" si="117"/>
        <v>1</v>
      </c>
      <c r="P167" s="190">
        <v>1.6E-2</v>
      </c>
      <c r="Q167" s="191">
        <v>21</v>
      </c>
      <c r="R167" s="168">
        <f t="shared" si="204"/>
        <v>9</v>
      </c>
      <c r="S167" s="160">
        <v>9</v>
      </c>
      <c r="T167" s="170" t="s">
        <v>403</v>
      </c>
      <c r="U167" s="171">
        <f t="shared" si="119"/>
        <v>2.7320306405428756</v>
      </c>
      <c r="V167" s="171">
        <f t="shared" ca="1" si="120"/>
        <v>2.2849940877383181</v>
      </c>
      <c r="W167" s="171">
        <f t="shared" ca="1" si="185"/>
        <v>47.984875842504678</v>
      </c>
      <c r="X167" s="172">
        <f t="shared" si="121"/>
        <v>0.14155042226386416</v>
      </c>
      <c r="Y167" s="172">
        <f t="shared" si="122"/>
        <v>0.85844957773613584</v>
      </c>
      <c r="Z167" s="173">
        <f t="shared" si="123"/>
        <v>57.372643451400386</v>
      </c>
      <c r="AA167" s="171">
        <f t="shared" si="211"/>
        <v>0</v>
      </c>
      <c r="AB167" s="171">
        <f t="shared" si="211"/>
        <v>0</v>
      </c>
      <c r="AC167" s="171">
        <f t="shared" si="211"/>
        <v>0.7288</v>
      </c>
      <c r="AD167" s="171">
        <f t="shared" si="211"/>
        <v>0.7288</v>
      </c>
      <c r="AE167" s="171">
        <f t="shared" si="211"/>
        <v>0.7288</v>
      </c>
      <c r="AF167" s="171">
        <f t="shared" si="211"/>
        <v>0.7288</v>
      </c>
      <c r="AG167" s="171">
        <f t="shared" si="211"/>
        <v>0.7288</v>
      </c>
      <c r="AH167" s="171">
        <f t="shared" si="211"/>
        <v>0.7288</v>
      </c>
      <c r="AI167" s="171">
        <f t="shared" si="211"/>
        <v>0.7288</v>
      </c>
      <c r="AJ167" s="171">
        <f t="shared" si="211"/>
        <v>0.7288</v>
      </c>
      <c r="AK167" s="171">
        <f t="shared" si="212"/>
        <v>0.7288</v>
      </c>
      <c r="AL167" s="171">
        <f t="shared" si="212"/>
        <v>3.9087264193384903</v>
      </c>
      <c r="AM167" s="171">
        <f t="shared" si="212"/>
        <v>3.9087264193384903</v>
      </c>
      <c r="AN167" s="171">
        <f t="shared" si="212"/>
        <v>3.9087264193384903</v>
      </c>
      <c r="AO167" s="171">
        <f t="shared" si="212"/>
        <v>3.9087264193384903</v>
      </c>
      <c r="AP167" s="171">
        <f t="shared" si="212"/>
        <v>3.9087264193384903</v>
      </c>
      <c r="AQ167" s="171">
        <f t="shared" si="212"/>
        <v>3.9087264193384903</v>
      </c>
      <c r="AR167" s="171">
        <f t="shared" si="212"/>
        <v>3.9087264193384903</v>
      </c>
      <c r="AS167" s="171">
        <f t="shared" si="212"/>
        <v>3.9087264193384903</v>
      </c>
      <c r="AT167" s="171">
        <f t="shared" si="212"/>
        <v>3.9087264193384903</v>
      </c>
      <c r="AU167" s="171">
        <f t="shared" si="213"/>
        <v>3.9087264193384903</v>
      </c>
      <c r="AV167" s="171">
        <f t="shared" si="213"/>
        <v>3.9087264193384903</v>
      </c>
      <c r="AW167" s="171">
        <f t="shared" si="213"/>
        <v>3.9087264193384903</v>
      </c>
      <c r="AX167" s="171">
        <f t="shared" si="213"/>
        <v>3.9087264193384903</v>
      </c>
      <c r="AY167" s="171">
        <f t="shared" si="213"/>
        <v>0</v>
      </c>
      <c r="AZ167" s="171">
        <f t="shared" si="213"/>
        <v>0</v>
      </c>
      <c r="BA167" s="171">
        <f t="shared" si="213"/>
        <v>0</v>
      </c>
      <c r="BB167" s="171">
        <f t="shared" si="213"/>
        <v>0</v>
      </c>
      <c r="BC167" s="171">
        <f t="shared" si="213"/>
        <v>0</v>
      </c>
      <c r="BD167" s="171">
        <f t="shared" si="213"/>
        <v>0</v>
      </c>
      <c r="BE167" s="171">
        <f t="shared" si="214"/>
        <v>0</v>
      </c>
      <c r="BF167" s="171">
        <f t="shared" si="214"/>
        <v>0</v>
      </c>
      <c r="BG167" s="171">
        <f t="shared" si="214"/>
        <v>0</v>
      </c>
      <c r="BH167" s="171">
        <f t="shared" si="214"/>
        <v>0</v>
      </c>
      <c r="BI167" s="171">
        <f t="shared" si="214"/>
        <v>0</v>
      </c>
      <c r="BJ167" s="171">
        <f t="shared" si="214"/>
        <v>0</v>
      </c>
      <c r="BK167" s="171">
        <f t="shared" si="214"/>
        <v>0</v>
      </c>
      <c r="BL167" s="171">
        <f t="shared" si="214"/>
        <v>0</v>
      </c>
      <c r="BM167" s="171">
        <f t="shared" si="214"/>
        <v>0</v>
      </c>
      <c r="BN167" s="171">
        <f t="shared" si="214"/>
        <v>0</v>
      </c>
      <c r="BO167" s="171">
        <f t="shared" si="215"/>
        <v>0</v>
      </c>
      <c r="BP167" s="171">
        <f t="shared" si="215"/>
        <v>0</v>
      </c>
      <c r="BQ167" s="171">
        <f t="shared" si="215"/>
        <v>0</v>
      </c>
      <c r="BR167" s="171">
        <f t="shared" si="215"/>
        <v>0</v>
      </c>
      <c r="BS167" s="171">
        <f t="shared" si="215"/>
        <v>0</v>
      </c>
      <c r="BT167" s="171">
        <f t="shared" si="215"/>
        <v>0</v>
      </c>
      <c r="BU167" s="171">
        <f t="shared" si="215"/>
        <v>0</v>
      </c>
      <c r="BV167" s="171">
        <f t="shared" si="215"/>
        <v>0</v>
      </c>
      <c r="BW167" s="171">
        <f t="shared" si="215"/>
        <v>0</v>
      </c>
      <c r="BX167" s="171">
        <f t="shared" si="215"/>
        <v>0</v>
      </c>
      <c r="BY167" s="171">
        <f t="shared" si="216"/>
        <v>0</v>
      </c>
      <c r="BZ167" s="171">
        <f t="shared" si="216"/>
        <v>0</v>
      </c>
      <c r="CA167" s="171">
        <f t="shared" si="216"/>
        <v>0</v>
      </c>
      <c r="CB167" s="171">
        <f t="shared" si="216"/>
        <v>0</v>
      </c>
      <c r="CC167" s="171">
        <f t="shared" si="216"/>
        <v>0</v>
      </c>
      <c r="CD167" s="171">
        <f t="shared" si="216"/>
        <v>0</v>
      </c>
      <c r="CE167" s="171">
        <f t="shared" si="216"/>
        <v>0</v>
      </c>
      <c r="CF167" s="171">
        <f t="shared" si="216"/>
        <v>0</v>
      </c>
      <c r="CG167" s="171">
        <f t="shared" si="216"/>
        <v>0</v>
      </c>
      <c r="CH167" s="171">
        <f t="shared" si="216"/>
        <v>0</v>
      </c>
      <c r="CI167" s="171">
        <f t="shared" si="216"/>
        <v>0</v>
      </c>
      <c r="CJ167" s="243"/>
      <c r="CK167" s="171">
        <f t="shared" si="124"/>
        <v>0</v>
      </c>
      <c r="CL167" s="171">
        <f t="shared" si="125"/>
        <v>0</v>
      </c>
      <c r="CM167" s="171">
        <f t="shared" si="126"/>
        <v>0.7288</v>
      </c>
      <c r="CN167" s="171">
        <f t="shared" si="127"/>
        <v>0.7288</v>
      </c>
      <c r="CO167" s="171">
        <f t="shared" si="128"/>
        <v>0.7288</v>
      </c>
      <c r="CP167" s="171">
        <f t="shared" si="129"/>
        <v>0.7288</v>
      </c>
      <c r="CQ167" s="171">
        <f t="shared" si="130"/>
        <v>0.7288</v>
      </c>
      <c r="CR167" s="171">
        <f t="shared" si="131"/>
        <v>0.7288</v>
      </c>
      <c r="CS167" s="171">
        <f t="shared" si="132"/>
        <v>0.7288</v>
      </c>
      <c r="CT167" s="171">
        <f t="shared" si="133"/>
        <v>0.7288</v>
      </c>
      <c r="CU167" s="171">
        <f t="shared" si="134"/>
        <v>0.7288</v>
      </c>
      <c r="CV167" s="171">
        <f t="shared" si="135"/>
        <v>3.9087264193384903</v>
      </c>
      <c r="CW167" s="171">
        <f t="shared" si="136"/>
        <v>3.9087264193384903</v>
      </c>
      <c r="CX167" s="171">
        <f t="shared" si="137"/>
        <v>3.9087264193384903</v>
      </c>
      <c r="CY167" s="171">
        <f t="shared" ca="1" si="138"/>
        <v>3.7108165381029306</v>
      </c>
      <c r="CZ167" s="171">
        <f t="shared" ca="1" si="139"/>
        <v>3.5229273942863131</v>
      </c>
      <c r="DA167" s="171">
        <f t="shared" ca="1" si="140"/>
        <v>3.3445516095920489</v>
      </c>
      <c r="DB167" s="171">
        <f t="shared" ca="1" si="141"/>
        <v>3.1752074957227068</v>
      </c>
      <c r="DC167" s="171">
        <f t="shared" ca="1" si="142"/>
        <v>3.0144377536226465</v>
      </c>
      <c r="DD167" s="171">
        <f t="shared" ca="1" si="143"/>
        <v>2.8618082385816801</v>
      </c>
      <c r="DE167" s="171">
        <f t="shared" ca="1" si="144"/>
        <v>2.7169067878650299</v>
      </c>
      <c r="DF167" s="171">
        <f t="shared" ca="1" si="145"/>
        <v>2.5793421077036958</v>
      </c>
      <c r="DG167" s="171">
        <f t="shared" ca="1" si="146"/>
        <v>2.4487427166396603</v>
      </c>
      <c r="DH167" s="171">
        <f t="shared" ca="1" si="147"/>
        <v>2.3247559423725024</v>
      </c>
      <c r="DI167" s="171">
        <f t="shared" ca="1" si="148"/>
        <v>0</v>
      </c>
      <c r="DJ167" s="171">
        <f t="shared" ca="1" si="149"/>
        <v>0</v>
      </c>
      <c r="DK167" s="171">
        <f t="shared" ca="1" si="150"/>
        <v>0</v>
      </c>
      <c r="DL167" s="171">
        <f t="shared" ca="1" si="151"/>
        <v>0</v>
      </c>
      <c r="DM167" s="171">
        <f t="shared" ca="1" si="152"/>
        <v>0</v>
      </c>
      <c r="DN167" s="171">
        <f t="shared" ca="1" si="153"/>
        <v>0</v>
      </c>
      <c r="DO167" s="171">
        <f t="shared" ca="1" si="154"/>
        <v>0</v>
      </c>
      <c r="DP167" s="171">
        <f t="shared" ca="1" si="155"/>
        <v>0</v>
      </c>
      <c r="DQ167" s="171">
        <f t="shared" ca="1" si="156"/>
        <v>0</v>
      </c>
      <c r="DR167" s="171">
        <f t="shared" ca="1" si="157"/>
        <v>0</v>
      </c>
      <c r="DS167" s="171">
        <f t="shared" ca="1" si="158"/>
        <v>0</v>
      </c>
      <c r="DT167" s="171">
        <f t="shared" ca="1" si="159"/>
        <v>0</v>
      </c>
      <c r="DU167" s="171">
        <f t="shared" ca="1" si="160"/>
        <v>0</v>
      </c>
      <c r="DV167" s="171">
        <f t="shared" ca="1" si="161"/>
        <v>0</v>
      </c>
      <c r="DW167" s="171">
        <f t="shared" ca="1" si="162"/>
        <v>0</v>
      </c>
      <c r="DX167" s="171">
        <f t="shared" ca="1" si="163"/>
        <v>0</v>
      </c>
      <c r="DY167" s="171">
        <f t="shared" ca="1" si="164"/>
        <v>0</v>
      </c>
      <c r="DZ167" s="171">
        <f t="shared" ca="1" si="165"/>
        <v>0</v>
      </c>
      <c r="EA167" s="171">
        <f t="shared" ca="1" si="166"/>
        <v>0</v>
      </c>
      <c r="EB167" s="171">
        <f t="shared" ca="1" si="167"/>
        <v>0</v>
      </c>
      <c r="EC167" s="171">
        <f t="shared" ca="1" si="168"/>
        <v>0</v>
      </c>
      <c r="ED167" s="171">
        <f t="shared" ca="1" si="169"/>
        <v>0</v>
      </c>
      <c r="EE167" s="171">
        <f t="shared" ca="1" si="170"/>
        <v>0</v>
      </c>
      <c r="EF167" s="171">
        <f t="shared" ca="1" si="171"/>
        <v>0</v>
      </c>
      <c r="EG167" s="171">
        <f t="shared" ca="1" si="172"/>
        <v>0</v>
      </c>
      <c r="EH167" s="171">
        <f t="shared" ca="1" si="173"/>
        <v>0</v>
      </c>
      <c r="EI167" s="171">
        <f t="shared" ca="1" si="174"/>
        <v>0</v>
      </c>
      <c r="EJ167" s="171">
        <f t="shared" ca="1" si="175"/>
        <v>0</v>
      </c>
      <c r="EK167" s="171">
        <f t="shared" ca="1" si="176"/>
        <v>0</v>
      </c>
      <c r="EL167" s="171">
        <f t="shared" ca="1" si="177"/>
        <v>0</v>
      </c>
      <c r="EM167" s="171">
        <f t="shared" ca="1" si="178"/>
        <v>0</v>
      </c>
      <c r="EN167" s="171">
        <f t="shared" ca="1" si="179"/>
        <v>0</v>
      </c>
      <c r="EO167" s="171">
        <f t="shared" ca="1" si="180"/>
        <v>0</v>
      </c>
      <c r="EP167" s="171">
        <f t="shared" ca="1" si="181"/>
        <v>0</v>
      </c>
      <c r="EQ167" s="171">
        <f t="shared" ca="1" si="182"/>
        <v>0</v>
      </c>
      <c r="ER167" s="171">
        <f t="shared" ca="1" si="183"/>
        <v>0</v>
      </c>
      <c r="ES167" s="171">
        <f t="shared" ca="1" si="184"/>
        <v>0</v>
      </c>
    </row>
    <row r="168" spans="1:149">
      <c r="A168" s="139" t="s">
        <v>521</v>
      </c>
      <c r="B168" s="160" t="s">
        <v>437</v>
      </c>
      <c r="C168" s="160" t="s">
        <v>109</v>
      </c>
      <c r="D168" s="160" t="s">
        <v>428</v>
      </c>
      <c r="E168" s="160">
        <v>2013</v>
      </c>
      <c r="F168" s="160" t="s">
        <v>395</v>
      </c>
      <c r="G168" s="160" t="s">
        <v>402</v>
      </c>
      <c r="H168" s="160" t="s">
        <v>396</v>
      </c>
      <c r="I168" s="160" t="s">
        <v>176</v>
      </c>
      <c r="J168" s="160" t="s">
        <v>438</v>
      </c>
      <c r="K168" s="187">
        <v>120</v>
      </c>
      <c r="L168" s="163" t="s">
        <v>110</v>
      </c>
      <c r="M168" s="164">
        <f t="shared" si="115"/>
        <v>120</v>
      </c>
      <c r="N168" s="164">
        <f t="shared" si="116"/>
        <v>120</v>
      </c>
      <c r="O168" s="165">
        <f t="shared" si="117"/>
        <v>1</v>
      </c>
      <c r="P168" s="190">
        <v>0.02</v>
      </c>
      <c r="Q168" s="191">
        <v>19</v>
      </c>
      <c r="R168" s="168">
        <f t="shared" si="204"/>
        <v>8</v>
      </c>
      <c r="S168" s="178">
        <v>7</v>
      </c>
      <c r="T168" s="170" t="s">
        <v>403</v>
      </c>
      <c r="U168" s="171">
        <f t="shared" si="119"/>
        <v>8.119191061465564</v>
      </c>
      <c r="V168" s="171">
        <f t="shared" ca="1" si="120"/>
        <v>7.0080614761665574</v>
      </c>
      <c r="W168" s="171">
        <f t="shared" ca="1" si="185"/>
        <v>133.1531680471646</v>
      </c>
      <c r="X168" s="172">
        <f t="shared" si="121"/>
        <v>0.18918835511394783</v>
      </c>
      <c r="Y168" s="172">
        <f t="shared" si="122"/>
        <v>0.81081164488605217</v>
      </c>
      <c r="Z168" s="173">
        <f t="shared" si="123"/>
        <v>154.26463016784572</v>
      </c>
      <c r="AA168" s="171">
        <f t="shared" si="211"/>
        <v>0</v>
      </c>
      <c r="AB168" s="171">
        <f t="shared" si="211"/>
        <v>0</v>
      </c>
      <c r="AC168" s="171">
        <f t="shared" si="211"/>
        <v>0</v>
      </c>
      <c r="AD168" s="171">
        <f t="shared" si="211"/>
        <v>2.4</v>
      </c>
      <c r="AE168" s="171">
        <f t="shared" si="211"/>
        <v>2.4</v>
      </c>
      <c r="AF168" s="171">
        <f t="shared" si="211"/>
        <v>2.4</v>
      </c>
      <c r="AG168" s="171">
        <f t="shared" si="211"/>
        <v>2.4</v>
      </c>
      <c r="AH168" s="171">
        <f t="shared" si="211"/>
        <v>2.4</v>
      </c>
      <c r="AI168" s="171">
        <f t="shared" si="211"/>
        <v>2.4</v>
      </c>
      <c r="AJ168" s="171">
        <f t="shared" si="211"/>
        <v>2.4</v>
      </c>
      <c r="AK168" s="171">
        <f t="shared" si="212"/>
        <v>10.574202320603517</v>
      </c>
      <c r="AL168" s="171">
        <f t="shared" si="212"/>
        <v>10.574202320603517</v>
      </c>
      <c r="AM168" s="171">
        <f t="shared" si="212"/>
        <v>10.574202320603517</v>
      </c>
      <c r="AN168" s="171">
        <f t="shared" si="212"/>
        <v>10.574202320603517</v>
      </c>
      <c r="AO168" s="171">
        <f t="shared" si="212"/>
        <v>10.574202320603517</v>
      </c>
      <c r="AP168" s="171">
        <f t="shared" si="212"/>
        <v>10.574202320603517</v>
      </c>
      <c r="AQ168" s="171">
        <f t="shared" si="212"/>
        <v>10.574202320603517</v>
      </c>
      <c r="AR168" s="171">
        <f t="shared" si="212"/>
        <v>10.574202320603517</v>
      </c>
      <c r="AS168" s="171">
        <f t="shared" si="212"/>
        <v>10.574202320603517</v>
      </c>
      <c r="AT168" s="171">
        <f t="shared" si="212"/>
        <v>10.574202320603517</v>
      </c>
      <c r="AU168" s="171">
        <f t="shared" si="213"/>
        <v>10.574202320603517</v>
      </c>
      <c r="AV168" s="171">
        <f t="shared" si="213"/>
        <v>10.574202320603517</v>
      </c>
      <c r="AW168" s="171">
        <f t="shared" si="213"/>
        <v>10.574202320603517</v>
      </c>
      <c r="AX168" s="171">
        <f t="shared" si="213"/>
        <v>0</v>
      </c>
      <c r="AY168" s="171">
        <f t="shared" si="213"/>
        <v>0</v>
      </c>
      <c r="AZ168" s="171">
        <f t="shared" si="213"/>
        <v>0</v>
      </c>
      <c r="BA168" s="171">
        <f t="shared" si="213"/>
        <v>0</v>
      </c>
      <c r="BB168" s="171">
        <f t="shared" si="213"/>
        <v>0</v>
      </c>
      <c r="BC168" s="171">
        <f t="shared" si="213"/>
        <v>0</v>
      </c>
      <c r="BD168" s="171">
        <f t="shared" si="213"/>
        <v>0</v>
      </c>
      <c r="BE168" s="171">
        <f t="shared" si="214"/>
        <v>0</v>
      </c>
      <c r="BF168" s="171">
        <f t="shared" si="214"/>
        <v>0</v>
      </c>
      <c r="BG168" s="171">
        <f t="shared" si="214"/>
        <v>0</v>
      </c>
      <c r="BH168" s="171">
        <f t="shared" si="214"/>
        <v>0</v>
      </c>
      <c r="BI168" s="171">
        <f t="shared" si="214"/>
        <v>0</v>
      </c>
      <c r="BJ168" s="171">
        <f t="shared" si="214"/>
        <v>0</v>
      </c>
      <c r="BK168" s="171">
        <f t="shared" si="214"/>
        <v>0</v>
      </c>
      <c r="BL168" s="171">
        <f t="shared" si="214"/>
        <v>0</v>
      </c>
      <c r="BM168" s="171">
        <f t="shared" si="214"/>
        <v>0</v>
      </c>
      <c r="BN168" s="171">
        <f t="shared" si="214"/>
        <v>0</v>
      </c>
      <c r="BO168" s="171">
        <f t="shared" si="215"/>
        <v>0</v>
      </c>
      <c r="BP168" s="171">
        <f t="shared" si="215"/>
        <v>0</v>
      </c>
      <c r="BQ168" s="171">
        <f t="shared" si="215"/>
        <v>0</v>
      </c>
      <c r="BR168" s="171">
        <f t="shared" si="215"/>
        <v>0</v>
      </c>
      <c r="BS168" s="171">
        <f t="shared" si="215"/>
        <v>0</v>
      </c>
      <c r="BT168" s="171">
        <f t="shared" si="215"/>
        <v>0</v>
      </c>
      <c r="BU168" s="171">
        <f t="shared" si="215"/>
        <v>0</v>
      </c>
      <c r="BV168" s="171">
        <f t="shared" si="215"/>
        <v>0</v>
      </c>
      <c r="BW168" s="171">
        <f t="shared" si="215"/>
        <v>0</v>
      </c>
      <c r="BX168" s="171">
        <f t="shared" si="215"/>
        <v>0</v>
      </c>
      <c r="BY168" s="171">
        <f t="shared" si="216"/>
        <v>0</v>
      </c>
      <c r="BZ168" s="171">
        <f t="shared" si="216"/>
        <v>0</v>
      </c>
      <c r="CA168" s="171">
        <f t="shared" si="216"/>
        <v>0</v>
      </c>
      <c r="CB168" s="171">
        <f t="shared" si="216"/>
        <v>0</v>
      </c>
      <c r="CC168" s="171">
        <f t="shared" si="216"/>
        <v>0</v>
      </c>
      <c r="CD168" s="171">
        <f t="shared" si="216"/>
        <v>0</v>
      </c>
      <c r="CE168" s="171">
        <f t="shared" si="216"/>
        <v>0</v>
      </c>
      <c r="CF168" s="171">
        <f t="shared" si="216"/>
        <v>0</v>
      </c>
      <c r="CG168" s="171">
        <f t="shared" si="216"/>
        <v>0</v>
      </c>
      <c r="CH168" s="171">
        <f t="shared" si="216"/>
        <v>0</v>
      </c>
      <c r="CI168" s="171">
        <f t="shared" si="216"/>
        <v>0</v>
      </c>
      <c r="CJ168" s="243"/>
      <c r="CK168" s="171">
        <f t="shared" si="124"/>
        <v>0</v>
      </c>
      <c r="CL168" s="171">
        <f t="shared" si="125"/>
        <v>0</v>
      </c>
      <c r="CM168" s="171">
        <f t="shared" si="126"/>
        <v>0</v>
      </c>
      <c r="CN168" s="171">
        <f t="shared" si="127"/>
        <v>2.4</v>
      </c>
      <c r="CO168" s="171">
        <f t="shared" si="128"/>
        <v>2.4</v>
      </c>
      <c r="CP168" s="171">
        <f t="shared" si="129"/>
        <v>2.4</v>
      </c>
      <c r="CQ168" s="171">
        <f t="shared" si="130"/>
        <v>2.4</v>
      </c>
      <c r="CR168" s="171">
        <f t="shared" si="131"/>
        <v>2.4</v>
      </c>
      <c r="CS168" s="171">
        <f t="shared" si="132"/>
        <v>2.4</v>
      </c>
      <c r="CT168" s="171">
        <f t="shared" si="133"/>
        <v>2.4</v>
      </c>
      <c r="CU168" s="171">
        <f t="shared" si="134"/>
        <v>10.574202320603517</v>
      </c>
      <c r="CV168" s="171">
        <f t="shared" si="135"/>
        <v>10.574202320603517</v>
      </c>
      <c r="CW168" s="171">
        <f t="shared" si="136"/>
        <v>10.574202320603517</v>
      </c>
      <c r="CX168" s="171">
        <f t="shared" si="137"/>
        <v>10.574202320603517</v>
      </c>
      <c r="CY168" s="171">
        <f t="shared" ca="1" si="138"/>
        <v>10.038800529606439</v>
      </c>
      <c r="CZ168" s="171">
        <f t="shared" ca="1" si="139"/>
        <v>9.5305076466018193</v>
      </c>
      <c r="DA168" s="171">
        <f t="shared" ca="1" si="140"/>
        <v>9.0479510708533493</v>
      </c>
      <c r="DB168" s="171">
        <f t="shared" ca="1" si="141"/>
        <v>8.5898277002847845</v>
      </c>
      <c r="DC168" s="171">
        <f t="shared" ca="1" si="142"/>
        <v>8.1549004125660929</v>
      </c>
      <c r="DD168" s="171">
        <f t="shared" ca="1" si="143"/>
        <v>7.7419947243721579</v>
      </c>
      <c r="DE168" s="171">
        <f t="shared" ca="1" si="144"/>
        <v>7.3499956197926837</v>
      </c>
      <c r="DF168" s="171">
        <f t="shared" ca="1" si="145"/>
        <v>6.9778445393286699</v>
      </c>
      <c r="DG168" s="171">
        <f t="shared" ca="1" si="146"/>
        <v>6.6245365213445275</v>
      </c>
      <c r="DH168" s="171">
        <f t="shared" ca="1" si="147"/>
        <v>0</v>
      </c>
      <c r="DI168" s="171">
        <f t="shared" ca="1" si="148"/>
        <v>0</v>
      </c>
      <c r="DJ168" s="171">
        <f t="shared" ca="1" si="149"/>
        <v>0</v>
      </c>
      <c r="DK168" s="171">
        <f t="shared" ca="1" si="150"/>
        <v>0</v>
      </c>
      <c r="DL168" s="171">
        <f t="shared" ca="1" si="151"/>
        <v>0</v>
      </c>
      <c r="DM168" s="171">
        <f t="shared" ca="1" si="152"/>
        <v>0</v>
      </c>
      <c r="DN168" s="171">
        <f t="shared" ca="1" si="153"/>
        <v>0</v>
      </c>
      <c r="DO168" s="171">
        <f t="shared" ca="1" si="154"/>
        <v>0</v>
      </c>
      <c r="DP168" s="171">
        <f t="shared" ca="1" si="155"/>
        <v>0</v>
      </c>
      <c r="DQ168" s="171">
        <f t="shared" ca="1" si="156"/>
        <v>0</v>
      </c>
      <c r="DR168" s="171">
        <f t="shared" ca="1" si="157"/>
        <v>0</v>
      </c>
      <c r="DS168" s="171">
        <f t="shared" ca="1" si="158"/>
        <v>0</v>
      </c>
      <c r="DT168" s="171">
        <f t="shared" ca="1" si="159"/>
        <v>0</v>
      </c>
      <c r="DU168" s="171">
        <f t="shared" ca="1" si="160"/>
        <v>0</v>
      </c>
      <c r="DV168" s="171">
        <f t="shared" ca="1" si="161"/>
        <v>0</v>
      </c>
      <c r="DW168" s="171">
        <f t="shared" ca="1" si="162"/>
        <v>0</v>
      </c>
      <c r="DX168" s="171">
        <f t="shared" ca="1" si="163"/>
        <v>0</v>
      </c>
      <c r="DY168" s="171">
        <f t="shared" ca="1" si="164"/>
        <v>0</v>
      </c>
      <c r="DZ168" s="171">
        <f t="shared" ca="1" si="165"/>
        <v>0</v>
      </c>
      <c r="EA168" s="171">
        <f t="shared" ca="1" si="166"/>
        <v>0</v>
      </c>
      <c r="EB168" s="171">
        <f t="shared" ca="1" si="167"/>
        <v>0</v>
      </c>
      <c r="EC168" s="171">
        <f t="shared" ca="1" si="168"/>
        <v>0</v>
      </c>
      <c r="ED168" s="171">
        <f t="shared" ca="1" si="169"/>
        <v>0</v>
      </c>
      <c r="EE168" s="171">
        <f t="shared" ca="1" si="170"/>
        <v>0</v>
      </c>
      <c r="EF168" s="171">
        <f t="shared" ca="1" si="171"/>
        <v>0</v>
      </c>
      <c r="EG168" s="171">
        <f t="shared" ca="1" si="172"/>
        <v>0</v>
      </c>
      <c r="EH168" s="171">
        <f t="shared" ca="1" si="173"/>
        <v>0</v>
      </c>
      <c r="EI168" s="171">
        <f t="shared" ca="1" si="174"/>
        <v>0</v>
      </c>
      <c r="EJ168" s="171">
        <f t="shared" ca="1" si="175"/>
        <v>0</v>
      </c>
      <c r="EK168" s="171">
        <f t="shared" ca="1" si="176"/>
        <v>0</v>
      </c>
      <c r="EL168" s="171">
        <f t="shared" ca="1" si="177"/>
        <v>0</v>
      </c>
      <c r="EM168" s="171">
        <f t="shared" ca="1" si="178"/>
        <v>0</v>
      </c>
      <c r="EN168" s="171">
        <f t="shared" ca="1" si="179"/>
        <v>0</v>
      </c>
      <c r="EO168" s="171">
        <f t="shared" ca="1" si="180"/>
        <v>0</v>
      </c>
      <c r="EP168" s="171">
        <f t="shared" ca="1" si="181"/>
        <v>0</v>
      </c>
      <c r="EQ168" s="171">
        <f t="shared" ca="1" si="182"/>
        <v>0</v>
      </c>
      <c r="ER168" s="171">
        <f t="shared" ca="1" si="183"/>
        <v>0</v>
      </c>
      <c r="ES168" s="171">
        <f t="shared" ca="1" si="184"/>
        <v>0</v>
      </c>
    </row>
    <row r="169" spans="1:149">
      <c r="A169" s="139" t="s">
        <v>522</v>
      </c>
      <c r="B169" s="160" t="s">
        <v>437</v>
      </c>
      <c r="C169" s="160" t="s">
        <v>109</v>
      </c>
      <c r="D169" s="160" t="s">
        <v>428</v>
      </c>
      <c r="E169" s="160">
        <v>2014</v>
      </c>
      <c r="F169" s="160" t="s">
        <v>395</v>
      </c>
      <c r="G169" s="160" t="s">
        <v>402</v>
      </c>
      <c r="H169" s="160" t="s">
        <v>396</v>
      </c>
      <c r="I169" s="160" t="s">
        <v>176</v>
      </c>
      <c r="J169" s="160" t="s">
        <v>438</v>
      </c>
      <c r="K169" s="187">
        <v>105.798</v>
      </c>
      <c r="L169" s="163" t="s">
        <v>110</v>
      </c>
      <c r="M169" s="164">
        <f t="shared" si="115"/>
        <v>105.798</v>
      </c>
      <c r="N169" s="164">
        <f t="shared" si="116"/>
        <v>105.798</v>
      </c>
      <c r="O169" s="165">
        <f t="shared" si="117"/>
        <v>1</v>
      </c>
      <c r="P169" s="190">
        <v>0.02</v>
      </c>
      <c r="Q169" s="191">
        <v>20</v>
      </c>
      <c r="R169" s="168">
        <f t="shared" si="204"/>
        <v>10</v>
      </c>
      <c r="S169" s="178">
        <v>7</v>
      </c>
      <c r="T169" s="170" t="s">
        <v>403</v>
      </c>
      <c r="U169" s="171">
        <f t="shared" si="119"/>
        <v>6.8579722691422402</v>
      </c>
      <c r="V169" s="171">
        <f t="shared" ca="1" si="120"/>
        <v>5.6182840160933463</v>
      </c>
      <c r="W169" s="171">
        <f t="shared" ca="1" si="185"/>
        <v>112.36568032186692</v>
      </c>
      <c r="X169" s="172">
        <f t="shared" si="121"/>
        <v>0.18579382763701069</v>
      </c>
      <c r="Y169" s="172">
        <f t="shared" si="122"/>
        <v>0.81420617236298931</v>
      </c>
      <c r="Z169" s="173">
        <f t="shared" si="123"/>
        <v>137.15944538284481</v>
      </c>
      <c r="AA169" s="171">
        <f t="shared" ref="AA169:AJ178" si="217">IFERROR(
    IF($T169="Equity",
        IF(AND(AA$48&gt;=$E169, AA$48&lt;=($E169+$Q169)),
$K169*$P169*(VLOOKUP($C$39,$C$37:$BL$44,MATCH($E169,$C$37:$BL$37,0),FALSE)/VLOOKUP($L169,$C$37:$BL$44,MATCH($E169,$C$37:$BL$37,0),FALSE))*
IF($B$5="Foreign Currency",VLOOKUP($C$38,$C$37:$BL$44,MATCH(AA$48,$C$37:$BL$37,0),FALSE)/VLOOKUP($C$39,$C$37:$BL$44,MATCH(AA$48,$C$37:$BL$37,0),FALSE),1),
0),
    IF($T169="Lump Sum Principal",
        IF(AND(AA$48&gt;=$E169, AA$48&lt;($E169+$Q169)),
$K169*$P169*(VLOOKUP($C$39,$C$37:$BL$44,MATCH($E169,$C$37:$BL$37,0),FALSE)/VLOOKUP($L169,$C$37:$BL$44,MATCH($E169,$C$37:$BL$37,0),FALSE))*
IF($B$5="Foreign Currency",VLOOKUP($C$38,$C$37:$BL$44,MATCH(AA$48,$C$37:$BL$37,0),FALSE)/VLOOKUP($C$39,$C$37:$BL$44,MATCH(AA$48,$C$37:$BL$37,0),FALSE),1),
        IF(AA$48=($E169+$Q169),
$K169*(1+$P169)*(VLOOKUP($C$39,$C$37:$BL$44,MATCH($E169,$C$37:$BL$37,0),FALSE)/VLOOKUP($L169,$C$37:$BL$44,MATCH($E169,$C$37:$BL$37,0),FALSE))*
IF($B$5="Foreign Currency",VLOOKUP($C$38,$C$37:$BL$44,MATCH(AA$48,$C$37:$BL$37,0),FALSE)/VLOOKUP($C$39,$C$37:$BL$44,MATCH(AA$48,$C$37:$BL$37,0),FALSE),1),
0)),
    IF($T169="Lump Sum Principal and Interest",
        IF(AA$48=($E169+$Q169),
$K169*((1+$P169)^$Q169)*(VLOOKUP($C$39,$C$37:$BL$44,MATCH($E169,$C$37:$BL$37,0),FALSE)/VLOOKUP($L169,$C$37:$BL$44,MATCH($E169,$C$37:$BL$37,0),FALSE))*
IF($B$5="Foreign Currency",VLOOKUP($C$38,$C$37:$BL$44,MATCH(AA$48,$C$37:$BL$37,0),FALSE)/VLOOKUP($C$39,$C$37:$BL$44,MATCH(AA$48,$C$37:$BL$37,0),FALSE),1),
0),
    IF($T169="EPP with Grace Years for Principal",
        IF(AND(AA$48&gt;=$E169, AA$48&lt;($E169+$S169)),
$K169*$P169*(VLOOKUP($C$39,$C$37:$BL$44,MATCH($E169,$C$37:$BL$37,0),FALSE)/VLOOKUP($L169,$C$37:$BL$44,MATCH($E169,$C$37:$BL$37,0),FALSE))*
IF($B$5="Foreign Currency",VLOOKUP($C$38,$C$37:$BL$44,MATCH(AA$48,$C$37:$BL$37,0),FALSE)/VLOOKUP($C$39,$C$37:$BL$44,MATCH(AA$48,$C$37:$BL$37,0),FALSE),1),
        IF(AND(AA$48&gt;=($E169+$S169), AA$48&lt;=($E169+$Q169)),
-PMT($P169,($Q169-$S169+1),($K169*(VLOOKUP($C$39,$C$37:$BL$44,MATCH($E169,$C$37:$BL$37,0),FALSE)/VLOOKUP($L169,$C$37:$BL$44,MATCH($E169,$C$37:$BL$37,0),FALSE))*
IF($B$5="Foreign Currency",VLOOKUP($C$38,$C$37:$BL$44,MATCH(AA$48,$C$37:$BL$37,0),FALSE)/VLOOKUP($C$39,$C$37:$BL$44,MATCH(AA$48,$C$37:$BL$37,0),FALSE),1)),0),
0)),
    IF($T169="Equal Principal Payments (EPP)",
        IF(AND(AA$48&gt;=$E169, AA$48&lt;=($E169+$Q169)),
-PMT($P169,($Q169-$S169+1),($K169*(VLOOKUP($C$39,$C$37:$BL$44,MATCH($E169,$C$37:$BL$37,0),FALSE)/VLOOKUP($L169,$C$37:$BL$44,MATCH($E169,$C$37:$BL$37,0),FALSE))*
IF($B$5="Foreign Currency",VLOOKUP($C$38,$C$37:$BL$44,MATCH(AA$48,$C$37:$BL$37,0),FALSE)/VLOOKUP($C$39,$C$37:$BL$44,MATCH(AA$48,$C$37:$BL$37,0),FALSE),1)),0), 0),
    IF($T169="EPP with Grace Years for Principal and on Interest",
        IF(AND(AA$48&gt;=($E169+$S169), AA$48&lt;=($E169+$Q169)),
-PMT($P169,($Q169-$S169+1),($K169*(VLOOKUP($C$39,$C$37:$BL$44,MATCH($E169,$C$37:$BL$37,0),FALSE)/VLOOKUP($L169,$C$37:$BL$44,MATCH($E169,$C$37:$BL$37,0),FALSE))*
IF($B$5="Foreign Currency",VLOOKUP($C$38,$C$37:$BL$44,MATCH(AA$48,$C$37:$BL$37,0),FALSE)/VLOOKUP($C$39,$C$37:$BL$44,MATCH(AA$48,$C$37:$BL$37,0),FALSE),1))*((1+$P169)^$S169),0), 0),
    0)))))),"")</f>
        <v>0</v>
      </c>
      <c r="AB169" s="171">
        <f t="shared" si="217"/>
        <v>0</v>
      </c>
      <c r="AC169" s="171">
        <f t="shared" si="217"/>
        <v>0</v>
      </c>
      <c r="AD169" s="171">
        <f t="shared" si="217"/>
        <v>0</v>
      </c>
      <c r="AE169" s="171">
        <f t="shared" si="217"/>
        <v>2.1159600000000003</v>
      </c>
      <c r="AF169" s="171">
        <f t="shared" si="217"/>
        <v>2.1159600000000003</v>
      </c>
      <c r="AG169" s="171">
        <f t="shared" si="217"/>
        <v>2.1159600000000003</v>
      </c>
      <c r="AH169" s="171">
        <f t="shared" si="217"/>
        <v>2.1159600000000003</v>
      </c>
      <c r="AI169" s="171">
        <f t="shared" si="217"/>
        <v>2.1159600000000003</v>
      </c>
      <c r="AJ169" s="171">
        <f t="shared" si="217"/>
        <v>2.1159600000000003</v>
      </c>
      <c r="AK169" s="171">
        <f t="shared" ref="AK169:AT178" si="218">IFERROR(
    IF($T169="Equity",
        IF(AND(AK$48&gt;=$E169, AK$48&lt;=($E169+$Q169)),
$K169*$P169*(VLOOKUP($C$39,$C$37:$BL$44,MATCH($E169,$C$37:$BL$37,0),FALSE)/VLOOKUP($L169,$C$37:$BL$44,MATCH($E169,$C$37:$BL$37,0),FALSE))*
IF($B$5="Foreign Currency",VLOOKUP($C$38,$C$37:$BL$44,MATCH(AK$48,$C$37:$BL$37,0),FALSE)/VLOOKUP($C$39,$C$37:$BL$44,MATCH(AK$48,$C$37:$BL$37,0),FALSE),1),
0),
    IF($T169="Lump Sum Principal",
        IF(AND(AK$48&gt;=$E169, AK$48&lt;($E169+$Q169)),
$K169*$P169*(VLOOKUP($C$39,$C$37:$BL$44,MATCH($E169,$C$37:$BL$37,0),FALSE)/VLOOKUP($L169,$C$37:$BL$44,MATCH($E169,$C$37:$BL$37,0),FALSE))*
IF($B$5="Foreign Currency",VLOOKUP($C$38,$C$37:$BL$44,MATCH(AK$48,$C$37:$BL$37,0),FALSE)/VLOOKUP($C$39,$C$37:$BL$44,MATCH(AK$48,$C$37:$BL$37,0),FALSE),1),
        IF(AK$48=($E169+$Q169),
$K169*(1+$P169)*(VLOOKUP($C$39,$C$37:$BL$44,MATCH($E169,$C$37:$BL$37,0),FALSE)/VLOOKUP($L169,$C$37:$BL$44,MATCH($E169,$C$37:$BL$37,0),FALSE))*
IF($B$5="Foreign Currency",VLOOKUP($C$38,$C$37:$BL$44,MATCH(AK$48,$C$37:$BL$37,0),FALSE)/VLOOKUP($C$39,$C$37:$BL$44,MATCH(AK$48,$C$37:$BL$37,0),FALSE),1),
0)),
    IF($T169="Lump Sum Principal and Interest",
        IF(AK$48=($E169+$Q169),
$K169*((1+$P169)^$Q169)*(VLOOKUP($C$39,$C$37:$BL$44,MATCH($E169,$C$37:$BL$37,0),FALSE)/VLOOKUP($L169,$C$37:$BL$44,MATCH($E169,$C$37:$BL$37,0),FALSE))*
IF($B$5="Foreign Currency",VLOOKUP($C$38,$C$37:$BL$44,MATCH(AK$48,$C$37:$BL$37,0),FALSE)/VLOOKUP($C$39,$C$37:$BL$44,MATCH(AK$48,$C$37:$BL$37,0),FALSE),1),
0),
    IF($T169="EPP with Grace Years for Principal",
        IF(AND(AK$48&gt;=$E169, AK$48&lt;($E169+$S169)),
$K169*$P169*(VLOOKUP($C$39,$C$37:$BL$44,MATCH($E169,$C$37:$BL$37,0),FALSE)/VLOOKUP($L169,$C$37:$BL$44,MATCH($E169,$C$37:$BL$37,0),FALSE))*
IF($B$5="Foreign Currency",VLOOKUP($C$38,$C$37:$BL$44,MATCH(AK$48,$C$37:$BL$37,0),FALSE)/VLOOKUP($C$39,$C$37:$BL$44,MATCH(AK$48,$C$37:$BL$37,0),FALSE),1),
        IF(AND(AK$48&gt;=($E169+$S169), AK$48&lt;=($E169+$Q169)),
-PMT($P169,($Q169-$S169+1),($K169*(VLOOKUP($C$39,$C$37:$BL$44,MATCH($E169,$C$37:$BL$37,0),FALSE)/VLOOKUP($L169,$C$37:$BL$44,MATCH($E169,$C$37:$BL$37,0),FALSE))*
IF($B$5="Foreign Currency",VLOOKUP($C$38,$C$37:$BL$44,MATCH(AK$48,$C$37:$BL$37,0),FALSE)/VLOOKUP($C$39,$C$37:$BL$44,MATCH(AK$48,$C$37:$BL$37,0),FALSE),1)),0),
0)),
    IF($T169="Equal Principal Payments (EPP)",
        IF(AND(AK$48&gt;=$E169, AK$48&lt;=($E169+$Q169)),
-PMT($P169,($Q169-$S169+1),($K169*(VLOOKUP($C$39,$C$37:$BL$44,MATCH($E169,$C$37:$BL$37,0),FALSE)/VLOOKUP($L169,$C$37:$BL$44,MATCH($E169,$C$37:$BL$37,0),FALSE))*
IF($B$5="Foreign Currency",VLOOKUP($C$38,$C$37:$BL$44,MATCH(AK$48,$C$37:$BL$37,0),FALSE)/VLOOKUP($C$39,$C$37:$BL$44,MATCH(AK$48,$C$37:$BL$37,0),FALSE),1)),0), 0),
    IF($T169="EPP with Grace Years for Principal and on Interest",
        IF(AND(AK$48&gt;=($E169+$S169), AK$48&lt;=($E169+$Q169)),
-PMT($P169,($Q169-$S169+1),($K169*(VLOOKUP($C$39,$C$37:$BL$44,MATCH($E169,$C$37:$BL$37,0),FALSE)/VLOOKUP($L169,$C$37:$BL$44,MATCH($E169,$C$37:$BL$37,0),FALSE))*
IF($B$5="Foreign Currency",VLOOKUP($C$38,$C$37:$BL$44,MATCH(AK$48,$C$37:$BL$37,0),FALSE)/VLOOKUP($C$39,$C$37:$BL$44,MATCH(AK$48,$C$37:$BL$37,0),FALSE),1))*((1+$P169)^$S169),0), 0),
    0)))))),"")</f>
        <v>2.1159600000000003</v>
      </c>
      <c r="AL169" s="171">
        <f t="shared" si="218"/>
        <v>8.7391232416317699</v>
      </c>
      <c r="AM169" s="171">
        <f t="shared" si="218"/>
        <v>8.7391232416317699</v>
      </c>
      <c r="AN169" s="171">
        <f t="shared" si="218"/>
        <v>8.7391232416317699</v>
      </c>
      <c r="AO169" s="171">
        <f t="shared" si="218"/>
        <v>8.7391232416317699</v>
      </c>
      <c r="AP169" s="171">
        <f t="shared" si="218"/>
        <v>8.7391232416317699</v>
      </c>
      <c r="AQ169" s="171">
        <f t="shared" si="218"/>
        <v>8.7391232416317699</v>
      </c>
      <c r="AR169" s="171">
        <f t="shared" si="218"/>
        <v>8.7391232416317699</v>
      </c>
      <c r="AS169" s="171">
        <f t="shared" si="218"/>
        <v>8.7391232416317699</v>
      </c>
      <c r="AT169" s="171">
        <f t="shared" si="218"/>
        <v>8.7391232416317699</v>
      </c>
      <c r="AU169" s="171">
        <f t="shared" ref="AU169:BD178" si="219">IFERROR(
    IF($T169="Equity",
        IF(AND(AU$48&gt;=$E169, AU$48&lt;=($E169+$Q169)),
$K169*$P169*(VLOOKUP($C$39,$C$37:$BL$44,MATCH($E169,$C$37:$BL$37,0),FALSE)/VLOOKUP($L169,$C$37:$BL$44,MATCH($E169,$C$37:$BL$37,0),FALSE))*
IF($B$5="Foreign Currency",VLOOKUP($C$38,$C$37:$BL$44,MATCH(AU$48,$C$37:$BL$37,0),FALSE)/VLOOKUP($C$39,$C$37:$BL$44,MATCH(AU$48,$C$37:$BL$37,0),FALSE),1),
0),
    IF($T169="Lump Sum Principal",
        IF(AND(AU$48&gt;=$E169, AU$48&lt;($E169+$Q169)),
$K169*$P169*(VLOOKUP($C$39,$C$37:$BL$44,MATCH($E169,$C$37:$BL$37,0),FALSE)/VLOOKUP($L169,$C$37:$BL$44,MATCH($E169,$C$37:$BL$37,0),FALSE))*
IF($B$5="Foreign Currency",VLOOKUP($C$38,$C$37:$BL$44,MATCH(AU$48,$C$37:$BL$37,0),FALSE)/VLOOKUP($C$39,$C$37:$BL$44,MATCH(AU$48,$C$37:$BL$37,0),FALSE),1),
        IF(AU$48=($E169+$Q169),
$K169*(1+$P169)*(VLOOKUP($C$39,$C$37:$BL$44,MATCH($E169,$C$37:$BL$37,0),FALSE)/VLOOKUP($L169,$C$37:$BL$44,MATCH($E169,$C$37:$BL$37,0),FALSE))*
IF($B$5="Foreign Currency",VLOOKUP($C$38,$C$37:$BL$44,MATCH(AU$48,$C$37:$BL$37,0),FALSE)/VLOOKUP($C$39,$C$37:$BL$44,MATCH(AU$48,$C$37:$BL$37,0),FALSE),1),
0)),
    IF($T169="Lump Sum Principal and Interest",
        IF(AU$48=($E169+$Q169),
$K169*((1+$P169)^$Q169)*(VLOOKUP($C$39,$C$37:$BL$44,MATCH($E169,$C$37:$BL$37,0),FALSE)/VLOOKUP($L169,$C$37:$BL$44,MATCH($E169,$C$37:$BL$37,0),FALSE))*
IF($B$5="Foreign Currency",VLOOKUP($C$38,$C$37:$BL$44,MATCH(AU$48,$C$37:$BL$37,0),FALSE)/VLOOKUP($C$39,$C$37:$BL$44,MATCH(AU$48,$C$37:$BL$37,0),FALSE),1),
0),
    IF($T169="EPP with Grace Years for Principal",
        IF(AND(AU$48&gt;=$E169, AU$48&lt;($E169+$S169)),
$K169*$P169*(VLOOKUP($C$39,$C$37:$BL$44,MATCH($E169,$C$37:$BL$37,0),FALSE)/VLOOKUP($L169,$C$37:$BL$44,MATCH($E169,$C$37:$BL$37,0),FALSE))*
IF($B$5="Foreign Currency",VLOOKUP($C$38,$C$37:$BL$44,MATCH(AU$48,$C$37:$BL$37,0),FALSE)/VLOOKUP($C$39,$C$37:$BL$44,MATCH(AU$48,$C$37:$BL$37,0),FALSE),1),
        IF(AND(AU$48&gt;=($E169+$S169), AU$48&lt;=($E169+$Q169)),
-PMT($P169,($Q169-$S169+1),($K169*(VLOOKUP($C$39,$C$37:$BL$44,MATCH($E169,$C$37:$BL$37,0),FALSE)/VLOOKUP($L169,$C$37:$BL$44,MATCH($E169,$C$37:$BL$37,0),FALSE))*
IF($B$5="Foreign Currency",VLOOKUP($C$38,$C$37:$BL$44,MATCH(AU$48,$C$37:$BL$37,0),FALSE)/VLOOKUP($C$39,$C$37:$BL$44,MATCH(AU$48,$C$37:$BL$37,0),FALSE),1)),0),
0)),
    IF($T169="Equal Principal Payments (EPP)",
        IF(AND(AU$48&gt;=$E169, AU$48&lt;=($E169+$Q169)),
-PMT($P169,($Q169-$S169+1),($K169*(VLOOKUP($C$39,$C$37:$BL$44,MATCH($E169,$C$37:$BL$37,0),FALSE)/VLOOKUP($L169,$C$37:$BL$44,MATCH($E169,$C$37:$BL$37,0),FALSE))*
IF($B$5="Foreign Currency",VLOOKUP($C$38,$C$37:$BL$44,MATCH(AU$48,$C$37:$BL$37,0),FALSE)/VLOOKUP($C$39,$C$37:$BL$44,MATCH(AU$48,$C$37:$BL$37,0),FALSE),1)),0), 0),
    IF($T169="EPP with Grace Years for Principal and on Interest",
        IF(AND(AU$48&gt;=($E169+$S169), AU$48&lt;=($E169+$Q169)),
-PMT($P169,($Q169-$S169+1),($K169*(VLOOKUP($C$39,$C$37:$BL$44,MATCH($E169,$C$37:$BL$37,0),FALSE)/VLOOKUP($L169,$C$37:$BL$44,MATCH($E169,$C$37:$BL$37,0),FALSE))*
IF($B$5="Foreign Currency",VLOOKUP($C$38,$C$37:$BL$44,MATCH(AU$48,$C$37:$BL$37,0),FALSE)/VLOOKUP($C$39,$C$37:$BL$44,MATCH(AU$48,$C$37:$BL$37,0),FALSE),1))*((1+$P169)^$S169),0), 0),
    0)))))),"")</f>
        <v>8.7391232416317699</v>
      </c>
      <c r="AV169" s="171">
        <f t="shared" si="219"/>
        <v>8.7391232416317699</v>
      </c>
      <c r="AW169" s="171">
        <f t="shared" si="219"/>
        <v>8.7391232416317699</v>
      </c>
      <c r="AX169" s="171">
        <f t="shared" si="219"/>
        <v>8.7391232416317699</v>
      </c>
      <c r="AY169" s="171">
        <f t="shared" si="219"/>
        <v>8.7391232416317699</v>
      </c>
      <c r="AZ169" s="171">
        <f t="shared" si="219"/>
        <v>0</v>
      </c>
      <c r="BA169" s="171">
        <f t="shared" si="219"/>
        <v>0</v>
      </c>
      <c r="BB169" s="171">
        <f t="shared" si="219"/>
        <v>0</v>
      </c>
      <c r="BC169" s="171">
        <f t="shared" si="219"/>
        <v>0</v>
      </c>
      <c r="BD169" s="171">
        <f t="shared" si="219"/>
        <v>0</v>
      </c>
      <c r="BE169" s="171">
        <f t="shared" ref="BE169:BN178" si="220">IFERROR(
    IF($T169="Equity",
        IF(AND(BE$48&gt;=$E169, BE$48&lt;=($E169+$Q169)),
$K169*$P169*(VLOOKUP($C$39,$C$37:$BL$44,MATCH($E169,$C$37:$BL$37,0),FALSE)/VLOOKUP($L169,$C$37:$BL$44,MATCH($E169,$C$37:$BL$37,0),FALSE))*
IF($B$5="Foreign Currency",VLOOKUP($C$38,$C$37:$BL$44,MATCH(BE$48,$C$37:$BL$37,0),FALSE)/VLOOKUP($C$39,$C$37:$BL$44,MATCH(BE$48,$C$37:$BL$37,0),FALSE),1),
0),
    IF($T169="Lump Sum Principal",
        IF(AND(BE$48&gt;=$E169, BE$48&lt;($E169+$Q169)),
$K169*$P169*(VLOOKUP($C$39,$C$37:$BL$44,MATCH($E169,$C$37:$BL$37,0),FALSE)/VLOOKUP($L169,$C$37:$BL$44,MATCH($E169,$C$37:$BL$37,0),FALSE))*
IF($B$5="Foreign Currency",VLOOKUP($C$38,$C$37:$BL$44,MATCH(BE$48,$C$37:$BL$37,0),FALSE)/VLOOKUP($C$39,$C$37:$BL$44,MATCH(BE$48,$C$37:$BL$37,0),FALSE),1),
        IF(BE$48=($E169+$Q169),
$K169*(1+$P169)*(VLOOKUP($C$39,$C$37:$BL$44,MATCH($E169,$C$37:$BL$37,0),FALSE)/VLOOKUP($L169,$C$37:$BL$44,MATCH($E169,$C$37:$BL$37,0),FALSE))*
IF($B$5="Foreign Currency",VLOOKUP($C$38,$C$37:$BL$44,MATCH(BE$48,$C$37:$BL$37,0),FALSE)/VLOOKUP($C$39,$C$37:$BL$44,MATCH(BE$48,$C$37:$BL$37,0),FALSE),1),
0)),
    IF($T169="Lump Sum Principal and Interest",
        IF(BE$48=($E169+$Q169),
$K169*((1+$P169)^$Q169)*(VLOOKUP($C$39,$C$37:$BL$44,MATCH($E169,$C$37:$BL$37,0),FALSE)/VLOOKUP($L169,$C$37:$BL$44,MATCH($E169,$C$37:$BL$37,0),FALSE))*
IF($B$5="Foreign Currency",VLOOKUP($C$38,$C$37:$BL$44,MATCH(BE$48,$C$37:$BL$37,0),FALSE)/VLOOKUP($C$39,$C$37:$BL$44,MATCH(BE$48,$C$37:$BL$37,0),FALSE),1),
0),
    IF($T169="EPP with Grace Years for Principal",
        IF(AND(BE$48&gt;=$E169, BE$48&lt;($E169+$S169)),
$K169*$P169*(VLOOKUP($C$39,$C$37:$BL$44,MATCH($E169,$C$37:$BL$37,0),FALSE)/VLOOKUP($L169,$C$37:$BL$44,MATCH($E169,$C$37:$BL$37,0),FALSE))*
IF($B$5="Foreign Currency",VLOOKUP($C$38,$C$37:$BL$44,MATCH(BE$48,$C$37:$BL$37,0),FALSE)/VLOOKUP($C$39,$C$37:$BL$44,MATCH(BE$48,$C$37:$BL$37,0),FALSE),1),
        IF(AND(BE$48&gt;=($E169+$S169), BE$48&lt;=($E169+$Q169)),
-PMT($P169,($Q169-$S169+1),($K169*(VLOOKUP($C$39,$C$37:$BL$44,MATCH($E169,$C$37:$BL$37,0),FALSE)/VLOOKUP($L169,$C$37:$BL$44,MATCH($E169,$C$37:$BL$37,0),FALSE))*
IF($B$5="Foreign Currency",VLOOKUP($C$38,$C$37:$BL$44,MATCH(BE$48,$C$37:$BL$37,0),FALSE)/VLOOKUP($C$39,$C$37:$BL$44,MATCH(BE$48,$C$37:$BL$37,0),FALSE),1)),0),
0)),
    IF($T169="Equal Principal Payments (EPP)",
        IF(AND(BE$48&gt;=$E169, BE$48&lt;=($E169+$Q169)),
-PMT($P169,($Q169-$S169+1),($K169*(VLOOKUP($C$39,$C$37:$BL$44,MATCH($E169,$C$37:$BL$37,0),FALSE)/VLOOKUP($L169,$C$37:$BL$44,MATCH($E169,$C$37:$BL$37,0),FALSE))*
IF($B$5="Foreign Currency",VLOOKUP($C$38,$C$37:$BL$44,MATCH(BE$48,$C$37:$BL$37,0),FALSE)/VLOOKUP($C$39,$C$37:$BL$44,MATCH(BE$48,$C$37:$BL$37,0),FALSE),1)),0), 0),
    IF($T169="EPP with Grace Years for Principal and on Interest",
        IF(AND(BE$48&gt;=($E169+$S169), BE$48&lt;=($E169+$Q169)),
-PMT($P169,($Q169-$S169+1),($K169*(VLOOKUP($C$39,$C$37:$BL$44,MATCH($E169,$C$37:$BL$37,0),FALSE)/VLOOKUP($L169,$C$37:$BL$44,MATCH($E169,$C$37:$BL$37,0),FALSE))*
IF($B$5="Foreign Currency",VLOOKUP($C$38,$C$37:$BL$44,MATCH(BE$48,$C$37:$BL$37,0),FALSE)/VLOOKUP($C$39,$C$37:$BL$44,MATCH(BE$48,$C$37:$BL$37,0),FALSE),1))*((1+$P169)^$S169),0), 0),
    0)))))),"")</f>
        <v>0</v>
      </c>
      <c r="BF169" s="171">
        <f t="shared" si="220"/>
        <v>0</v>
      </c>
      <c r="BG169" s="171">
        <f t="shared" si="220"/>
        <v>0</v>
      </c>
      <c r="BH169" s="171">
        <f t="shared" si="220"/>
        <v>0</v>
      </c>
      <c r="BI169" s="171">
        <f t="shared" si="220"/>
        <v>0</v>
      </c>
      <c r="BJ169" s="171">
        <f t="shared" si="220"/>
        <v>0</v>
      </c>
      <c r="BK169" s="171">
        <f t="shared" si="220"/>
        <v>0</v>
      </c>
      <c r="BL169" s="171">
        <f t="shared" si="220"/>
        <v>0</v>
      </c>
      <c r="BM169" s="171">
        <f t="shared" si="220"/>
        <v>0</v>
      </c>
      <c r="BN169" s="171">
        <f t="shared" si="220"/>
        <v>0</v>
      </c>
      <c r="BO169" s="171">
        <f t="shared" ref="BO169:BX178" si="221">IFERROR(
    IF($T169="Equity",
        IF(AND(BO$48&gt;=$E169, BO$48&lt;=($E169+$Q169)),
$K169*$P169*(VLOOKUP($C$39,$C$37:$BL$44,MATCH($E169,$C$37:$BL$37,0),FALSE)/VLOOKUP($L169,$C$37:$BL$44,MATCH($E169,$C$37:$BL$37,0),FALSE))*
IF($B$5="Foreign Currency",VLOOKUP($C$38,$C$37:$BL$44,MATCH(BO$48,$C$37:$BL$37,0),FALSE)/VLOOKUP($C$39,$C$37:$BL$44,MATCH(BO$48,$C$37:$BL$37,0),FALSE),1),
0),
    IF($T169="Lump Sum Principal",
        IF(AND(BO$48&gt;=$E169, BO$48&lt;($E169+$Q169)),
$K169*$P169*(VLOOKUP($C$39,$C$37:$BL$44,MATCH($E169,$C$37:$BL$37,0),FALSE)/VLOOKUP($L169,$C$37:$BL$44,MATCH($E169,$C$37:$BL$37,0),FALSE))*
IF($B$5="Foreign Currency",VLOOKUP($C$38,$C$37:$BL$44,MATCH(BO$48,$C$37:$BL$37,0),FALSE)/VLOOKUP($C$39,$C$37:$BL$44,MATCH(BO$48,$C$37:$BL$37,0),FALSE),1),
        IF(BO$48=($E169+$Q169),
$K169*(1+$P169)*(VLOOKUP($C$39,$C$37:$BL$44,MATCH($E169,$C$37:$BL$37,0),FALSE)/VLOOKUP($L169,$C$37:$BL$44,MATCH($E169,$C$37:$BL$37,0),FALSE))*
IF($B$5="Foreign Currency",VLOOKUP($C$38,$C$37:$BL$44,MATCH(BO$48,$C$37:$BL$37,0),FALSE)/VLOOKUP($C$39,$C$37:$BL$44,MATCH(BO$48,$C$37:$BL$37,0),FALSE),1),
0)),
    IF($T169="Lump Sum Principal and Interest",
        IF(BO$48=($E169+$Q169),
$K169*((1+$P169)^$Q169)*(VLOOKUP($C$39,$C$37:$BL$44,MATCH($E169,$C$37:$BL$37,0),FALSE)/VLOOKUP($L169,$C$37:$BL$44,MATCH($E169,$C$37:$BL$37,0),FALSE))*
IF($B$5="Foreign Currency",VLOOKUP($C$38,$C$37:$BL$44,MATCH(BO$48,$C$37:$BL$37,0),FALSE)/VLOOKUP($C$39,$C$37:$BL$44,MATCH(BO$48,$C$37:$BL$37,0),FALSE),1),
0),
    IF($T169="EPP with Grace Years for Principal",
        IF(AND(BO$48&gt;=$E169, BO$48&lt;($E169+$S169)),
$K169*$P169*(VLOOKUP($C$39,$C$37:$BL$44,MATCH($E169,$C$37:$BL$37,0),FALSE)/VLOOKUP($L169,$C$37:$BL$44,MATCH($E169,$C$37:$BL$37,0),FALSE))*
IF($B$5="Foreign Currency",VLOOKUP($C$38,$C$37:$BL$44,MATCH(BO$48,$C$37:$BL$37,0),FALSE)/VLOOKUP($C$39,$C$37:$BL$44,MATCH(BO$48,$C$37:$BL$37,0),FALSE),1),
        IF(AND(BO$48&gt;=($E169+$S169), BO$48&lt;=($E169+$Q169)),
-PMT($P169,($Q169-$S169+1),($K169*(VLOOKUP($C$39,$C$37:$BL$44,MATCH($E169,$C$37:$BL$37,0),FALSE)/VLOOKUP($L169,$C$37:$BL$44,MATCH($E169,$C$37:$BL$37,0),FALSE))*
IF($B$5="Foreign Currency",VLOOKUP($C$38,$C$37:$BL$44,MATCH(BO$48,$C$37:$BL$37,0),FALSE)/VLOOKUP($C$39,$C$37:$BL$44,MATCH(BO$48,$C$37:$BL$37,0),FALSE),1)),0),
0)),
    IF($T169="Equal Principal Payments (EPP)",
        IF(AND(BO$48&gt;=$E169, BO$48&lt;=($E169+$Q169)),
-PMT($P169,($Q169-$S169+1),($K169*(VLOOKUP($C$39,$C$37:$BL$44,MATCH($E169,$C$37:$BL$37,0),FALSE)/VLOOKUP($L169,$C$37:$BL$44,MATCH($E169,$C$37:$BL$37,0),FALSE))*
IF($B$5="Foreign Currency",VLOOKUP($C$38,$C$37:$BL$44,MATCH(BO$48,$C$37:$BL$37,0),FALSE)/VLOOKUP($C$39,$C$37:$BL$44,MATCH(BO$48,$C$37:$BL$37,0),FALSE),1)),0), 0),
    IF($T169="EPP with Grace Years for Principal and on Interest",
        IF(AND(BO$48&gt;=($E169+$S169), BO$48&lt;=($E169+$Q169)),
-PMT($P169,($Q169-$S169+1),($K169*(VLOOKUP($C$39,$C$37:$BL$44,MATCH($E169,$C$37:$BL$37,0),FALSE)/VLOOKUP($L169,$C$37:$BL$44,MATCH($E169,$C$37:$BL$37,0),FALSE))*
IF($B$5="Foreign Currency",VLOOKUP($C$38,$C$37:$BL$44,MATCH(BO$48,$C$37:$BL$37,0),FALSE)/VLOOKUP($C$39,$C$37:$BL$44,MATCH(BO$48,$C$37:$BL$37,0),FALSE),1))*((1+$P169)^$S169),0), 0),
    0)))))),"")</f>
        <v>0</v>
      </c>
      <c r="BP169" s="171">
        <f t="shared" si="221"/>
        <v>0</v>
      </c>
      <c r="BQ169" s="171">
        <f t="shared" si="221"/>
        <v>0</v>
      </c>
      <c r="BR169" s="171">
        <f t="shared" si="221"/>
        <v>0</v>
      </c>
      <c r="BS169" s="171">
        <f t="shared" si="221"/>
        <v>0</v>
      </c>
      <c r="BT169" s="171">
        <f t="shared" si="221"/>
        <v>0</v>
      </c>
      <c r="BU169" s="171">
        <f t="shared" si="221"/>
        <v>0</v>
      </c>
      <c r="BV169" s="171">
        <f t="shared" si="221"/>
        <v>0</v>
      </c>
      <c r="BW169" s="171">
        <f t="shared" si="221"/>
        <v>0</v>
      </c>
      <c r="BX169" s="171">
        <f t="shared" si="221"/>
        <v>0</v>
      </c>
      <c r="BY169" s="171">
        <f t="shared" ref="BY169:CI178" si="222">IFERROR(
    IF($T169="Equity",
        IF(AND(BY$48&gt;=$E169, BY$48&lt;=($E169+$Q169)),
$K169*$P169*(VLOOKUP($C$39,$C$37:$BL$44,MATCH($E169,$C$37:$BL$37,0),FALSE)/VLOOKUP($L169,$C$37:$BL$44,MATCH($E169,$C$37:$BL$37,0),FALSE))*
IF($B$5="Foreign Currency",VLOOKUP($C$38,$C$37:$BL$44,MATCH(BY$48,$C$37:$BL$37,0),FALSE)/VLOOKUP($C$39,$C$37:$BL$44,MATCH(BY$48,$C$37:$BL$37,0),FALSE),1),
0),
    IF($T169="Lump Sum Principal",
        IF(AND(BY$48&gt;=$E169, BY$48&lt;($E169+$Q169)),
$K169*$P169*(VLOOKUP($C$39,$C$37:$BL$44,MATCH($E169,$C$37:$BL$37,0),FALSE)/VLOOKUP($L169,$C$37:$BL$44,MATCH($E169,$C$37:$BL$37,0),FALSE))*
IF($B$5="Foreign Currency",VLOOKUP($C$38,$C$37:$BL$44,MATCH(BY$48,$C$37:$BL$37,0),FALSE)/VLOOKUP($C$39,$C$37:$BL$44,MATCH(BY$48,$C$37:$BL$37,0),FALSE),1),
        IF(BY$48=($E169+$Q169),
$K169*(1+$P169)*(VLOOKUP($C$39,$C$37:$BL$44,MATCH($E169,$C$37:$BL$37,0),FALSE)/VLOOKUP($L169,$C$37:$BL$44,MATCH($E169,$C$37:$BL$37,0),FALSE))*
IF($B$5="Foreign Currency",VLOOKUP($C$38,$C$37:$BL$44,MATCH(BY$48,$C$37:$BL$37,0),FALSE)/VLOOKUP($C$39,$C$37:$BL$44,MATCH(BY$48,$C$37:$BL$37,0),FALSE),1),
0)),
    IF($T169="Lump Sum Principal and Interest",
        IF(BY$48=($E169+$Q169),
$K169*((1+$P169)^$Q169)*(VLOOKUP($C$39,$C$37:$BL$44,MATCH($E169,$C$37:$BL$37,0),FALSE)/VLOOKUP($L169,$C$37:$BL$44,MATCH($E169,$C$37:$BL$37,0),FALSE))*
IF($B$5="Foreign Currency",VLOOKUP($C$38,$C$37:$BL$44,MATCH(BY$48,$C$37:$BL$37,0),FALSE)/VLOOKUP($C$39,$C$37:$BL$44,MATCH(BY$48,$C$37:$BL$37,0),FALSE),1),
0),
    IF($T169="EPP with Grace Years for Principal",
        IF(AND(BY$48&gt;=$E169, BY$48&lt;($E169+$S169)),
$K169*$P169*(VLOOKUP($C$39,$C$37:$BL$44,MATCH($E169,$C$37:$BL$37,0),FALSE)/VLOOKUP($L169,$C$37:$BL$44,MATCH($E169,$C$37:$BL$37,0),FALSE))*
IF($B$5="Foreign Currency",VLOOKUP($C$38,$C$37:$BL$44,MATCH(BY$48,$C$37:$BL$37,0),FALSE)/VLOOKUP($C$39,$C$37:$BL$44,MATCH(BY$48,$C$37:$BL$37,0),FALSE),1),
        IF(AND(BY$48&gt;=($E169+$S169), BY$48&lt;=($E169+$Q169)),
-PMT($P169,($Q169-$S169+1),($K169*(VLOOKUP($C$39,$C$37:$BL$44,MATCH($E169,$C$37:$BL$37,0),FALSE)/VLOOKUP($L169,$C$37:$BL$44,MATCH($E169,$C$37:$BL$37,0),FALSE))*
IF($B$5="Foreign Currency",VLOOKUP($C$38,$C$37:$BL$44,MATCH(BY$48,$C$37:$BL$37,0),FALSE)/VLOOKUP($C$39,$C$37:$BL$44,MATCH(BY$48,$C$37:$BL$37,0),FALSE),1)),0),
0)),
    IF($T169="Equal Principal Payments (EPP)",
        IF(AND(BY$48&gt;=$E169, BY$48&lt;=($E169+$Q169)),
-PMT($P169,($Q169-$S169+1),($K169*(VLOOKUP($C$39,$C$37:$BL$44,MATCH($E169,$C$37:$BL$37,0),FALSE)/VLOOKUP($L169,$C$37:$BL$44,MATCH($E169,$C$37:$BL$37,0),FALSE))*
IF($B$5="Foreign Currency",VLOOKUP($C$38,$C$37:$BL$44,MATCH(BY$48,$C$37:$BL$37,0),FALSE)/VLOOKUP($C$39,$C$37:$BL$44,MATCH(BY$48,$C$37:$BL$37,0),FALSE),1)),0), 0),
    IF($T169="EPP with Grace Years for Principal and on Interest",
        IF(AND(BY$48&gt;=($E169+$S169), BY$48&lt;=($E169+$Q169)),
-PMT($P169,($Q169-$S169+1),($K169*(VLOOKUP($C$39,$C$37:$BL$44,MATCH($E169,$C$37:$BL$37,0),FALSE)/VLOOKUP($L169,$C$37:$BL$44,MATCH($E169,$C$37:$BL$37,0),FALSE))*
IF($B$5="Foreign Currency",VLOOKUP($C$38,$C$37:$BL$44,MATCH(BY$48,$C$37:$BL$37,0),FALSE)/VLOOKUP($C$39,$C$37:$BL$44,MATCH(BY$48,$C$37:$BL$37,0),FALSE),1))*((1+$P169)^$S169),0), 0),
    0)))))),"")</f>
        <v>0</v>
      </c>
      <c r="BZ169" s="171">
        <f t="shared" si="222"/>
        <v>0</v>
      </c>
      <c r="CA169" s="171">
        <f t="shared" si="222"/>
        <v>0</v>
      </c>
      <c r="CB169" s="171">
        <f t="shared" si="222"/>
        <v>0</v>
      </c>
      <c r="CC169" s="171">
        <f t="shared" si="222"/>
        <v>0</v>
      </c>
      <c r="CD169" s="171">
        <f t="shared" si="222"/>
        <v>0</v>
      </c>
      <c r="CE169" s="171">
        <f t="shared" si="222"/>
        <v>0</v>
      </c>
      <c r="CF169" s="171">
        <f t="shared" si="222"/>
        <v>0</v>
      </c>
      <c r="CG169" s="171">
        <f t="shared" si="222"/>
        <v>0</v>
      </c>
      <c r="CH169" s="171">
        <f t="shared" si="222"/>
        <v>0</v>
      </c>
      <c r="CI169" s="171">
        <f t="shared" si="222"/>
        <v>0</v>
      </c>
      <c r="CJ169" s="243"/>
      <c r="CK169" s="171">
        <f t="shared" si="124"/>
        <v>0</v>
      </c>
      <c r="CL169" s="171">
        <f t="shared" si="125"/>
        <v>0</v>
      </c>
      <c r="CM169" s="171">
        <f t="shared" si="126"/>
        <v>0</v>
      </c>
      <c r="CN169" s="171">
        <f t="shared" si="127"/>
        <v>0</v>
      </c>
      <c r="CO169" s="171">
        <f t="shared" si="128"/>
        <v>2.1159600000000003</v>
      </c>
      <c r="CP169" s="171">
        <f t="shared" si="129"/>
        <v>2.1159600000000003</v>
      </c>
      <c r="CQ169" s="171">
        <f t="shared" si="130"/>
        <v>2.1159600000000003</v>
      </c>
      <c r="CR169" s="171">
        <f t="shared" si="131"/>
        <v>2.1159600000000003</v>
      </c>
      <c r="CS169" s="171">
        <f t="shared" si="132"/>
        <v>2.1159600000000003</v>
      </c>
      <c r="CT169" s="171">
        <f t="shared" si="133"/>
        <v>2.1159600000000003</v>
      </c>
      <c r="CU169" s="171">
        <f t="shared" si="134"/>
        <v>2.1159600000000003</v>
      </c>
      <c r="CV169" s="171">
        <f t="shared" si="135"/>
        <v>8.7391232416317699</v>
      </c>
      <c r="CW169" s="171">
        <f t="shared" si="136"/>
        <v>8.7391232416317699</v>
      </c>
      <c r="CX169" s="171">
        <f t="shared" si="137"/>
        <v>8.7391232416317699</v>
      </c>
      <c r="CY169" s="171">
        <f t="shared" ca="1" si="138"/>
        <v>8.2966366981128274</v>
      </c>
      <c r="CZ169" s="171">
        <f t="shared" ca="1" si="139"/>
        <v>7.8765545006342972</v>
      </c>
      <c r="DA169" s="171">
        <f t="shared" ca="1" si="140"/>
        <v>7.4777422537465332</v>
      </c>
      <c r="DB169" s="171">
        <f t="shared" ca="1" si="141"/>
        <v>7.0991229996521099</v>
      </c>
      <c r="DC169" s="171">
        <f t="shared" ca="1" si="142"/>
        <v>6.7396743099749337</v>
      </c>
      <c r="DD169" s="171">
        <f t="shared" ca="1" si="143"/>
        <v>6.3984255247813069</v>
      </c>
      <c r="DE169" s="171">
        <f t="shared" ca="1" si="144"/>
        <v>6.0744551313971753</v>
      </c>
      <c r="DF169" s="171">
        <f t="shared" ca="1" si="145"/>
        <v>5.7668882759432671</v>
      </c>
      <c r="DG169" s="171">
        <f t="shared" ca="1" si="146"/>
        <v>5.4748944008682674</v>
      </c>
      <c r="DH169" s="171">
        <f t="shared" ca="1" si="147"/>
        <v>5.1976850021003571</v>
      </c>
      <c r="DI169" s="171">
        <f t="shared" ca="1" si="148"/>
        <v>4.9345114997605268</v>
      </c>
      <c r="DJ169" s="171">
        <f t="shared" ca="1" si="149"/>
        <v>0</v>
      </c>
      <c r="DK169" s="171">
        <f t="shared" ca="1" si="150"/>
        <v>0</v>
      </c>
      <c r="DL169" s="171">
        <f t="shared" ca="1" si="151"/>
        <v>0</v>
      </c>
      <c r="DM169" s="171">
        <f t="shared" ca="1" si="152"/>
        <v>0</v>
      </c>
      <c r="DN169" s="171">
        <f t="shared" ca="1" si="153"/>
        <v>0</v>
      </c>
      <c r="DO169" s="171">
        <f t="shared" ca="1" si="154"/>
        <v>0</v>
      </c>
      <c r="DP169" s="171">
        <f t="shared" ca="1" si="155"/>
        <v>0</v>
      </c>
      <c r="DQ169" s="171">
        <f t="shared" ca="1" si="156"/>
        <v>0</v>
      </c>
      <c r="DR169" s="171">
        <f t="shared" ca="1" si="157"/>
        <v>0</v>
      </c>
      <c r="DS169" s="171">
        <f t="shared" ca="1" si="158"/>
        <v>0</v>
      </c>
      <c r="DT169" s="171">
        <f t="shared" ca="1" si="159"/>
        <v>0</v>
      </c>
      <c r="DU169" s="171">
        <f t="shared" ca="1" si="160"/>
        <v>0</v>
      </c>
      <c r="DV169" s="171">
        <f t="shared" ca="1" si="161"/>
        <v>0</v>
      </c>
      <c r="DW169" s="171">
        <f t="shared" ca="1" si="162"/>
        <v>0</v>
      </c>
      <c r="DX169" s="171">
        <f t="shared" ca="1" si="163"/>
        <v>0</v>
      </c>
      <c r="DY169" s="171">
        <f t="shared" ca="1" si="164"/>
        <v>0</v>
      </c>
      <c r="DZ169" s="171">
        <f t="shared" ca="1" si="165"/>
        <v>0</v>
      </c>
      <c r="EA169" s="171">
        <f t="shared" ca="1" si="166"/>
        <v>0</v>
      </c>
      <c r="EB169" s="171">
        <f t="shared" ca="1" si="167"/>
        <v>0</v>
      </c>
      <c r="EC169" s="171">
        <f t="shared" ca="1" si="168"/>
        <v>0</v>
      </c>
      <c r="ED169" s="171">
        <f t="shared" ca="1" si="169"/>
        <v>0</v>
      </c>
      <c r="EE169" s="171">
        <f t="shared" ca="1" si="170"/>
        <v>0</v>
      </c>
      <c r="EF169" s="171">
        <f t="shared" ca="1" si="171"/>
        <v>0</v>
      </c>
      <c r="EG169" s="171">
        <f t="shared" ca="1" si="172"/>
        <v>0</v>
      </c>
      <c r="EH169" s="171">
        <f t="shared" ca="1" si="173"/>
        <v>0</v>
      </c>
      <c r="EI169" s="171">
        <f t="shared" ca="1" si="174"/>
        <v>0</v>
      </c>
      <c r="EJ169" s="171">
        <f t="shared" ca="1" si="175"/>
        <v>0</v>
      </c>
      <c r="EK169" s="171">
        <f t="shared" ca="1" si="176"/>
        <v>0</v>
      </c>
      <c r="EL169" s="171">
        <f t="shared" ca="1" si="177"/>
        <v>0</v>
      </c>
      <c r="EM169" s="171">
        <f t="shared" ca="1" si="178"/>
        <v>0</v>
      </c>
      <c r="EN169" s="171">
        <f t="shared" ca="1" si="179"/>
        <v>0</v>
      </c>
      <c r="EO169" s="171">
        <f t="shared" ca="1" si="180"/>
        <v>0</v>
      </c>
      <c r="EP169" s="171">
        <f t="shared" ca="1" si="181"/>
        <v>0</v>
      </c>
      <c r="EQ169" s="171">
        <f t="shared" ca="1" si="182"/>
        <v>0</v>
      </c>
      <c r="ER169" s="171">
        <f t="shared" ca="1" si="183"/>
        <v>0</v>
      </c>
      <c r="ES169" s="171">
        <f t="shared" ca="1" si="184"/>
        <v>0</v>
      </c>
    </row>
    <row r="170" spans="1:149">
      <c r="A170" s="139" t="s">
        <v>523</v>
      </c>
      <c r="B170" s="160" t="s">
        <v>437</v>
      </c>
      <c r="C170" s="160" t="s">
        <v>109</v>
      </c>
      <c r="D170" s="161" t="s">
        <v>428</v>
      </c>
      <c r="E170" s="160">
        <v>2017</v>
      </c>
      <c r="F170" s="160" t="s">
        <v>395</v>
      </c>
      <c r="G170" s="160" t="s">
        <v>402</v>
      </c>
      <c r="H170" s="161" t="s">
        <v>396</v>
      </c>
      <c r="I170" s="160" t="s">
        <v>176</v>
      </c>
      <c r="J170" s="161" t="s">
        <v>438</v>
      </c>
      <c r="K170" s="187">
        <v>174.24</v>
      </c>
      <c r="L170" s="163" t="s">
        <v>110</v>
      </c>
      <c r="M170" s="164">
        <f t="shared" si="115"/>
        <v>174.24</v>
      </c>
      <c r="N170" s="164">
        <f t="shared" si="116"/>
        <v>174.24</v>
      </c>
      <c r="O170" s="165">
        <f t="shared" si="117"/>
        <v>1</v>
      </c>
      <c r="P170" s="180">
        <v>2.6897446266474841E-2</v>
      </c>
      <c r="Q170" s="191">
        <v>19</v>
      </c>
      <c r="R170" s="168">
        <f t="shared" si="204"/>
        <v>12</v>
      </c>
      <c r="S170" s="183">
        <v>6.1170318199528131</v>
      </c>
      <c r="T170" s="170" t="s">
        <v>403</v>
      </c>
      <c r="U170" s="171">
        <f t="shared" si="119"/>
        <v>12.130454255125544</v>
      </c>
      <c r="V170" s="171">
        <f t="shared" ca="1" si="120"/>
        <v>9.0956402113809194</v>
      </c>
      <c r="W170" s="171">
        <f t="shared" ca="1" si="185"/>
        <v>172.81716401623748</v>
      </c>
      <c r="X170" s="172">
        <f t="shared" si="121"/>
        <v>0.2358984637866326</v>
      </c>
      <c r="Y170" s="172">
        <f t="shared" si="122"/>
        <v>0.7641015362133674</v>
      </c>
      <c r="Z170" s="173">
        <f t="shared" si="123"/>
        <v>230.47863084738535</v>
      </c>
      <c r="AA170" s="171">
        <f t="shared" si="217"/>
        <v>0</v>
      </c>
      <c r="AB170" s="171">
        <f t="shared" si="217"/>
        <v>0</v>
      </c>
      <c r="AC170" s="171">
        <f t="shared" si="217"/>
        <v>0</v>
      </c>
      <c r="AD170" s="171">
        <f t="shared" si="217"/>
        <v>0</v>
      </c>
      <c r="AE170" s="171">
        <f t="shared" si="217"/>
        <v>0</v>
      </c>
      <c r="AF170" s="171">
        <f t="shared" si="217"/>
        <v>0</v>
      </c>
      <c r="AG170" s="171">
        <f t="shared" si="217"/>
        <v>0</v>
      </c>
      <c r="AH170" s="171">
        <f t="shared" si="217"/>
        <v>4.6866110374705761</v>
      </c>
      <c r="AI170" s="171">
        <f t="shared" si="217"/>
        <v>4.6866110374705761</v>
      </c>
      <c r="AJ170" s="171">
        <f t="shared" si="217"/>
        <v>4.6866110374705761</v>
      </c>
      <c r="AK170" s="171">
        <f t="shared" si="218"/>
        <v>4.6866110374705761</v>
      </c>
      <c r="AL170" s="171">
        <f t="shared" si="218"/>
        <v>4.6866110374705761</v>
      </c>
      <c r="AM170" s="171">
        <f t="shared" si="218"/>
        <v>4.6866110374705761</v>
      </c>
      <c r="AN170" s="171">
        <f t="shared" si="218"/>
        <v>4.6866110374705761</v>
      </c>
      <c r="AO170" s="171">
        <f t="shared" si="218"/>
        <v>15.205565660391636</v>
      </c>
      <c r="AP170" s="171">
        <f t="shared" si="218"/>
        <v>15.205565660391636</v>
      </c>
      <c r="AQ170" s="171">
        <f t="shared" si="218"/>
        <v>15.205565660391636</v>
      </c>
      <c r="AR170" s="171">
        <f t="shared" si="218"/>
        <v>15.205565660391636</v>
      </c>
      <c r="AS170" s="171">
        <f t="shared" si="218"/>
        <v>15.205565660391636</v>
      </c>
      <c r="AT170" s="171">
        <f t="shared" si="218"/>
        <v>15.205565660391636</v>
      </c>
      <c r="AU170" s="171">
        <f t="shared" si="219"/>
        <v>15.205565660391636</v>
      </c>
      <c r="AV170" s="171">
        <f t="shared" si="219"/>
        <v>15.205565660391636</v>
      </c>
      <c r="AW170" s="171">
        <f t="shared" si="219"/>
        <v>15.205565660391636</v>
      </c>
      <c r="AX170" s="171">
        <f t="shared" si="219"/>
        <v>15.205565660391636</v>
      </c>
      <c r="AY170" s="171">
        <f t="shared" si="219"/>
        <v>15.205565660391636</v>
      </c>
      <c r="AZ170" s="171">
        <f t="shared" si="219"/>
        <v>15.205565660391636</v>
      </c>
      <c r="BA170" s="171">
        <f t="shared" si="219"/>
        <v>15.205565660391636</v>
      </c>
      <c r="BB170" s="171">
        <f t="shared" si="219"/>
        <v>0</v>
      </c>
      <c r="BC170" s="171">
        <f t="shared" si="219"/>
        <v>0</v>
      </c>
      <c r="BD170" s="171">
        <f t="shared" si="219"/>
        <v>0</v>
      </c>
      <c r="BE170" s="171">
        <f t="shared" si="220"/>
        <v>0</v>
      </c>
      <c r="BF170" s="171">
        <f t="shared" si="220"/>
        <v>0</v>
      </c>
      <c r="BG170" s="171">
        <f t="shared" si="220"/>
        <v>0</v>
      </c>
      <c r="BH170" s="171">
        <f t="shared" si="220"/>
        <v>0</v>
      </c>
      <c r="BI170" s="171">
        <f t="shared" si="220"/>
        <v>0</v>
      </c>
      <c r="BJ170" s="171">
        <f t="shared" si="220"/>
        <v>0</v>
      </c>
      <c r="BK170" s="171">
        <f t="shared" si="220"/>
        <v>0</v>
      </c>
      <c r="BL170" s="171">
        <f t="shared" si="220"/>
        <v>0</v>
      </c>
      <c r="BM170" s="171">
        <f t="shared" si="220"/>
        <v>0</v>
      </c>
      <c r="BN170" s="171">
        <f t="shared" si="220"/>
        <v>0</v>
      </c>
      <c r="BO170" s="171">
        <f t="shared" si="221"/>
        <v>0</v>
      </c>
      <c r="BP170" s="171">
        <f t="shared" si="221"/>
        <v>0</v>
      </c>
      <c r="BQ170" s="171">
        <f t="shared" si="221"/>
        <v>0</v>
      </c>
      <c r="BR170" s="171">
        <f t="shared" si="221"/>
        <v>0</v>
      </c>
      <c r="BS170" s="171">
        <f t="shared" si="221"/>
        <v>0</v>
      </c>
      <c r="BT170" s="171">
        <f t="shared" si="221"/>
        <v>0</v>
      </c>
      <c r="BU170" s="171">
        <f t="shared" si="221"/>
        <v>0</v>
      </c>
      <c r="BV170" s="171">
        <f t="shared" si="221"/>
        <v>0</v>
      </c>
      <c r="BW170" s="171">
        <f t="shared" si="221"/>
        <v>0</v>
      </c>
      <c r="BX170" s="171">
        <f t="shared" si="221"/>
        <v>0</v>
      </c>
      <c r="BY170" s="171">
        <f t="shared" si="222"/>
        <v>0</v>
      </c>
      <c r="BZ170" s="171">
        <f t="shared" si="222"/>
        <v>0</v>
      </c>
      <c r="CA170" s="171">
        <f t="shared" si="222"/>
        <v>0</v>
      </c>
      <c r="CB170" s="171">
        <f t="shared" si="222"/>
        <v>0</v>
      </c>
      <c r="CC170" s="171">
        <f t="shared" si="222"/>
        <v>0</v>
      </c>
      <c r="CD170" s="171">
        <f t="shared" si="222"/>
        <v>0</v>
      </c>
      <c r="CE170" s="171">
        <f t="shared" si="222"/>
        <v>0</v>
      </c>
      <c r="CF170" s="171">
        <f t="shared" si="222"/>
        <v>0</v>
      </c>
      <c r="CG170" s="171">
        <f t="shared" si="222"/>
        <v>0</v>
      </c>
      <c r="CH170" s="171">
        <f t="shared" si="222"/>
        <v>0</v>
      </c>
      <c r="CI170" s="171">
        <f t="shared" si="222"/>
        <v>0</v>
      </c>
      <c r="CJ170" s="243"/>
      <c r="CK170" s="171">
        <f t="shared" si="124"/>
        <v>0</v>
      </c>
      <c r="CL170" s="171">
        <f t="shared" si="125"/>
        <v>0</v>
      </c>
      <c r="CM170" s="171">
        <f t="shared" si="126"/>
        <v>0</v>
      </c>
      <c r="CN170" s="171">
        <f t="shared" si="127"/>
        <v>0</v>
      </c>
      <c r="CO170" s="171">
        <f t="shared" si="128"/>
        <v>0</v>
      </c>
      <c r="CP170" s="171">
        <f t="shared" si="129"/>
        <v>0</v>
      </c>
      <c r="CQ170" s="171">
        <f t="shared" si="130"/>
        <v>0</v>
      </c>
      <c r="CR170" s="171">
        <f t="shared" si="131"/>
        <v>4.6866110374705761</v>
      </c>
      <c r="CS170" s="171">
        <f t="shared" si="132"/>
        <v>4.6866110374705761</v>
      </c>
      <c r="CT170" s="171">
        <f t="shared" si="133"/>
        <v>4.6866110374705761</v>
      </c>
      <c r="CU170" s="171">
        <f t="shared" si="134"/>
        <v>4.6866110374705761</v>
      </c>
      <c r="CV170" s="171">
        <f t="shared" si="135"/>
        <v>4.6866110374705761</v>
      </c>
      <c r="CW170" s="171">
        <f t="shared" si="136"/>
        <v>4.6866110374705761</v>
      </c>
      <c r="CX170" s="171">
        <f t="shared" si="137"/>
        <v>4.6866110374705761</v>
      </c>
      <c r="CY170" s="171">
        <f t="shared" ca="1" si="138"/>
        <v>14.435664835642456</v>
      </c>
      <c r="CZ170" s="171">
        <f t="shared" ca="1" si="139"/>
        <v>13.704746268652583</v>
      </c>
      <c r="DA170" s="171">
        <f t="shared" ca="1" si="140"/>
        <v>13.010836177382613</v>
      </c>
      <c r="DB170" s="171">
        <f t="shared" ca="1" si="141"/>
        <v>12.352060717964068</v>
      </c>
      <c r="DC170" s="171">
        <f t="shared" ca="1" si="142"/>
        <v>11.726640924546954</v>
      </c>
      <c r="DD170" s="171">
        <f t="shared" ca="1" si="143"/>
        <v>11.132887905357158</v>
      </c>
      <c r="DE170" s="171">
        <f t="shared" ca="1" si="144"/>
        <v>10.56919828199106</v>
      </c>
      <c r="DF170" s="171">
        <f t="shared" ca="1" si="145"/>
        <v>10.034049859631549</v>
      </c>
      <c r="DG170" s="171">
        <f t="shared" ca="1" si="146"/>
        <v>9.525997516493284</v>
      </c>
      <c r="DH170" s="171">
        <f t="shared" ca="1" si="147"/>
        <v>9.0436693013969478</v>
      </c>
      <c r="DI170" s="171">
        <f t="shared" ca="1" si="148"/>
        <v>8.5857627289343856</v>
      </c>
      <c r="DJ170" s="171">
        <f t="shared" ca="1" si="149"/>
        <v>8.1510412622199997</v>
      </c>
      <c r="DK170" s="171">
        <f t="shared" ca="1" si="150"/>
        <v>7.7383309737303998</v>
      </c>
      <c r="DL170" s="171">
        <f t="shared" ca="1" si="151"/>
        <v>0</v>
      </c>
      <c r="DM170" s="171">
        <f t="shared" ca="1" si="152"/>
        <v>0</v>
      </c>
      <c r="DN170" s="171">
        <f t="shared" ca="1" si="153"/>
        <v>0</v>
      </c>
      <c r="DO170" s="171">
        <f t="shared" ca="1" si="154"/>
        <v>0</v>
      </c>
      <c r="DP170" s="171">
        <f t="shared" ca="1" si="155"/>
        <v>0</v>
      </c>
      <c r="DQ170" s="171">
        <f t="shared" ca="1" si="156"/>
        <v>0</v>
      </c>
      <c r="DR170" s="171">
        <f t="shared" ca="1" si="157"/>
        <v>0</v>
      </c>
      <c r="DS170" s="171">
        <f t="shared" ca="1" si="158"/>
        <v>0</v>
      </c>
      <c r="DT170" s="171">
        <f t="shared" ca="1" si="159"/>
        <v>0</v>
      </c>
      <c r="DU170" s="171">
        <f t="shared" ca="1" si="160"/>
        <v>0</v>
      </c>
      <c r="DV170" s="171">
        <f t="shared" ca="1" si="161"/>
        <v>0</v>
      </c>
      <c r="DW170" s="171">
        <f t="shared" ca="1" si="162"/>
        <v>0</v>
      </c>
      <c r="DX170" s="171">
        <f t="shared" ca="1" si="163"/>
        <v>0</v>
      </c>
      <c r="DY170" s="171">
        <f t="shared" ca="1" si="164"/>
        <v>0</v>
      </c>
      <c r="DZ170" s="171">
        <f t="shared" ca="1" si="165"/>
        <v>0</v>
      </c>
      <c r="EA170" s="171">
        <f t="shared" ca="1" si="166"/>
        <v>0</v>
      </c>
      <c r="EB170" s="171">
        <f t="shared" ca="1" si="167"/>
        <v>0</v>
      </c>
      <c r="EC170" s="171">
        <f t="shared" ca="1" si="168"/>
        <v>0</v>
      </c>
      <c r="ED170" s="171">
        <f t="shared" ca="1" si="169"/>
        <v>0</v>
      </c>
      <c r="EE170" s="171">
        <f t="shared" ca="1" si="170"/>
        <v>0</v>
      </c>
      <c r="EF170" s="171">
        <f t="shared" ca="1" si="171"/>
        <v>0</v>
      </c>
      <c r="EG170" s="171">
        <f t="shared" ca="1" si="172"/>
        <v>0</v>
      </c>
      <c r="EH170" s="171">
        <f t="shared" ca="1" si="173"/>
        <v>0</v>
      </c>
      <c r="EI170" s="171">
        <f t="shared" ca="1" si="174"/>
        <v>0</v>
      </c>
      <c r="EJ170" s="171">
        <f t="shared" ca="1" si="175"/>
        <v>0</v>
      </c>
      <c r="EK170" s="171">
        <f t="shared" ca="1" si="176"/>
        <v>0</v>
      </c>
      <c r="EL170" s="171">
        <f t="shared" ca="1" si="177"/>
        <v>0</v>
      </c>
      <c r="EM170" s="171">
        <f t="shared" ca="1" si="178"/>
        <v>0</v>
      </c>
      <c r="EN170" s="171">
        <f t="shared" ca="1" si="179"/>
        <v>0</v>
      </c>
      <c r="EO170" s="171">
        <f t="shared" ca="1" si="180"/>
        <v>0</v>
      </c>
      <c r="EP170" s="171">
        <f t="shared" ca="1" si="181"/>
        <v>0</v>
      </c>
      <c r="EQ170" s="171">
        <f t="shared" ca="1" si="182"/>
        <v>0</v>
      </c>
      <c r="ER170" s="171">
        <f t="shared" ca="1" si="183"/>
        <v>0</v>
      </c>
      <c r="ES170" s="171">
        <f t="shared" ca="1" si="184"/>
        <v>0</v>
      </c>
    </row>
    <row r="171" spans="1:149">
      <c r="A171" s="139" t="s">
        <v>524</v>
      </c>
      <c r="B171" s="160" t="s">
        <v>437</v>
      </c>
      <c r="C171" s="160" t="s">
        <v>109</v>
      </c>
      <c r="D171" s="161" t="s">
        <v>428</v>
      </c>
      <c r="E171" s="160">
        <v>2017</v>
      </c>
      <c r="F171" s="160" t="s">
        <v>395</v>
      </c>
      <c r="G171" s="160" t="s">
        <v>402</v>
      </c>
      <c r="H171" s="160" t="s">
        <v>396</v>
      </c>
      <c r="I171" s="160" t="s">
        <v>176</v>
      </c>
      <c r="J171" s="160" t="s">
        <v>438</v>
      </c>
      <c r="K171" s="187">
        <v>99.462000000000003</v>
      </c>
      <c r="L171" s="163" t="s">
        <v>110</v>
      </c>
      <c r="M171" s="164">
        <f t="shared" si="115"/>
        <v>99.462000000000003</v>
      </c>
      <c r="N171" s="164">
        <f t="shared" si="116"/>
        <v>99.462000000000003</v>
      </c>
      <c r="O171" s="165">
        <f t="shared" si="117"/>
        <v>1</v>
      </c>
      <c r="P171" s="180">
        <v>2.6897446266474841E-2</v>
      </c>
      <c r="Q171" s="191">
        <v>19</v>
      </c>
      <c r="R171" s="168">
        <f t="shared" si="204"/>
        <v>12</v>
      </c>
      <c r="S171" s="183">
        <v>6.1170318199528131</v>
      </c>
      <c r="T171" s="170" t="s">
        <v>403</v>
      </c>
      <c r="U171" s="171">
        <f t="shared" si="119"/>
        <v>6.9244676373008298</v>
      </c>
      <c r="V171" s="171">
        <f t="shared" ca="1" si="120"/>
        <v>5.1920946206632763</v>
      </c>
      <c r="W171" s="171">
        <f t="shared" ca="1" si="185"/>
        <v>98.649797792602243</v>
      </c>
      <c r="X171" s="172">
        <f t="shared" si="121"/>
        <v>0.2358984637866326</v>
      </c>
      <c r="Y171" s="172">
        <f t="shared" si="122"/>
        <v>0.7641015362133674</v>
      </c>
      <c r="Z171" s="173">
        <f t="shared" si="123"/>
        <v>131.56488510871577</v>
      </c>
      <c r="AA171" s="171">
        <f t="shared" si="217"/>
        <v>0</v>
      </c>
      <c r="AB171" s="171">
        <f t="shared" si="217"/>
        <v>0</v>
      </c>
      <c r="AC171" s="171">
        <f t="shared" si="217"/>
        <v>0</v>
      </c>
      <c r="AD171" s="171">
        <f t="shared" si="217"/>
        <v>0</v>
      </c>
      <c r="AE171" s="171">
        <f t="shared" si="217"/>
        <v>0</v>
      </c>
      <c r="AF171" s="171">
        <f t="shared" si="217"/>
        <v>0</v>
      </c>
      <c r="AG171" s="171">
        <f t="shared" si="217"/>
        <v>0</v>
      </c>
      <c r="AH171" s="171">
        <f t="shared" si="217"/>
        <v>2.6752738005561207</v>
      </c>
      <c r="AI171" s="171">
        <f t="shared" si="217"/>
        <v>2.6752738005561207</v>
      </c>
      <c r="AJ171" s="171">
        <f t="shared" si="217"/>
        <v>2.6752738005561207</v>
      </c>
      <c r="AK171" s="171">
        <f t="shared" si="218"/>
        <v>2.6752738005561207</v>
      </c>
      <c r="AL171" s="171">
        <f t="shared" si="218"/>
        <v>2.6752738005561207</v>
      </c>
      <c r="AM171" s="171">
        <f t="shared" si="218"/>
        <v>2.6752738005561207</v>
      </c>
      <c r="AN171" s="171">
        <f t="shared" si="218"/>
        <v>2.6752738005561207</v>
      </c>
      <c r="AO171" s="171">
        <f t="shared" si="218"/>
        <v>8.6798437311402274</v>
      </c>
      <c r="AP171" s="171">
        <f t="shared" si="218"/>
        <v>8.6798437311402274</v>
      </c>
      <c r="AQ171" s="171">
        <f t="shared" si="218"/>
        <v>8.6798437311402274</v>
      </c>
      <c r="AR171" s="171">
        <f t="shared" si="218"/>
        <v>8.6798437311402274</v>
      </c>
      <c r="AS171" s="171">
        <f t="shared" si="218"/>
        <v>8.6798437311402274</v>
      </c>
      <c r="AT171" s="171">
        <f t="shared" si="218"/>
        <v>8.6798437311402274</v>
      </c>
      <c r="AU171" s="171">
        <f t="shared" si="219"/>
        <v>8.6798437311402274</v>
      </c>
      <c r="AV171" s="171">
        <f t="shared" si="219"/>
        <v>8.6798437311402274</v>
      </c>
      <c r="AW171" s="171">
        <f t="shared" si="219"/>
        <v>8.6798437311402274</v>
      </c>
      <c r="AX171" s="171">
        <f t="shared" si="219"/>
        <v>8.6798437311402274</v>
      </c>
      <c r="AY171" s="171">
        <f t="shared" si="219"/>
        <v>8.6798437311402274</v>
      </c>
      <c r="AZ171" s="171">
        <f t="shared" si="219"/>
        <v>8.6798437311402274</v>
      </c>
      <c r="BA171" s="171">
        <f t="shared" si="219"/>
        <v>8.6798437311402274</v>
      </c>
      <c r="BB171" s="171">
        <f t="shared" si="219"/>
        <v>0</v>
      </c>
      <c r="BC171" s="171">
        <f t="shared" si="219"/>
        <v>0</v>
      </c>
      <c r="BD171" s="171">
        <f t="shared" si="219"/>
        <v>0</v>
      </c>
      <c r="BE171" s="171">
        <f t="shared" si="220"/>
        <v>0</v>
      </c>
      <c r="BF171" s="171">
        <f t="shared" si="220"/>
        <v>0</v>
      </c>
      <c r="BG171" s="171">
        <f t="shared" si="220"/>
        <v>0</v>
      </c>
      <c r="BH171" s="171">
        <f t="shared" si="220"/>
        <v>0</v>
      </c>
      <c r="BI171" s="171">
        <f t="shared" si="220"/>
        <v>0</v>
      </c>
      <c r="BJ171" s="171">
        <f t="shared" si="220"/>
        <v>0</v>
      </c>
      <c r="BK171" s="171">
        <f t="shared" si="220"/>
        <v>0</v>
      </c>
      <c r="BL171" s="171">
        <f t="shared" si="220"/>
        <v>0</v>
      </c>
      <c r="BM171" s="171">
        <f t="shared" si="220"/>
        <v>0</v>
      </c>
      <c r="BN171" s="171">
        <f t="shared" si="220"/>
        <v>0</v>
      </c>
      <c r="BO171" s="171">
        <f t="shared" si="221"/>
        <v>0</v>
      </c>
      <c r="BP171" s="171">
        <f t="shared" si="221"/>
        <v>0</v>
      </c>
      <c r="BQ171" s="171">
        <f t="shared" si="221"/>
        <v>0</v>
      </c>
      <c r="BR171" s="171">
        <f t="shared" si="221"/>
        <v>0</v>
      </c>
      <c r="BS171" s="171">
        <f t="shared" si="221"/>
        <v>0</v>
      </c>
      <c r="BT171" s="171">
        <f t="shared" si="221"/>
        <v>0</v>
      </c>
      <c r="BU171" s="171">
        <f t="shared" si="221"/>
        <v>0</v>
      </c>
      <c r="BV171" s="171">
        <f t="shared" si="221"/>
        <v>0</v>
      </c>
      <c r="BW171" s="171">
        <f t="shared" si="221"/>
        <v>0</v>
      </c>
      <c r="BX171" s="171">
        <f t="shared" si="221"/>
        <v>0</v>
      </c>
      <c r="BY171" s="171">
        <f t="shared" si="222"/>
        <v>0</v>
      </c>
      <c r="BZ171" s="171">
        <f t="shared" si="222"/>
        <v>0</v>
      </c>
      <c r="CA171" s="171">
        <f t="shared" si="222"/>
        <v>0</v>
      </c>
      <c r="CB171" s="171">
        <f t="shared" si="222"/>
        <v>0</v>
      </c>
      <c r="CC171" s="171">
        <f t="shared" si="222"/>
        <v>0</v>
      </c>
      <c r="CD171" s="171">
        <f t="shared" si="222"/>
        <v>0</v>
      </c>
      <c r="CE171" s="171">
        <f t="shared" si="222"/>
        <v>0</v>
      </c>
      <c r="CF171" s="171">
        <f t="shared" si="222"/>
        <v>0</v>
      </c>
      <c r="CG171" s="171">
        <f t="shared" si="222"/>
        <v>0</v>
      </c>
      <c r="CH171" s="171">
        <f t="shared" si="222"/>
        <v>0</v>
      </c>
      <c r="CI171" s="171">
        <f t="shared" si="222"/>
        <v>0</v>
      </c>
      <c r="CJ171" s="243"/>
      <c r="CK171" s="171">
        <f t="shared" si="124"/>
        <v>0</v>
      </c>
      <c r="CL171" s="171">
        <f t="shared" si="125"/>
        <v>0</v>
      </c>
      <c r="CM171" s="171">
        <f t="shared" si="126"/>
        <v>0</v>
      </c>
      <c r="CN171" s="171">
        <f t="shared" si="127"/>
        <v>0</v>
      </c>
      <c r="CO171" s="171">
        <f t="shared" si="128"/>
        <v>0</v>
      </c>
      <c r="CP171" s="171">
        <f t="shared" si="129"/>
        <v>0</v>
      </c>
      <c r="CQ171" s="171">
        <f t="shared" si="130"/>
        <v>0</v>
      </c>
      <c r="CR171" s="171">
        <f t="shared" si="131"/>
        <v>2.6752738005561207</v>
      </c>
      <c r="CS171" s="171">
        <f t="shared" si="132"/>
        <v>2.6752738005561207</v>
      </c>
      <c r="CT171" s="171">
        <f t="shared" si="133"/>
        <v>2.6752738005561207</v>
      </c>
      <c r="CU171" s="171">
        <f t="shared" si="134"/>
        <v>2.6752738005561207</v>
      </c>
      <c r="CV171" s="171">
        <f t="shared" si="135"/>
        <v>2.6752738005561207</v>
      </c>
      <c r="CW171" s="171">
        <f t="shared" si="136"/>
        <v>2.6752738005561207</v>
      </c>
      <c r="CX171" s="171">
        <f t="shared" si="137"/>
        <v>2.6752738005561207</v>
      </c>
      <c r="CY171" s="171">
        <f t="shared" ca="1" si="138"/>
        <v>8.240358677012571</v>
      </c>
      <c r="CZ171" s="171">
        <f t="shared" ca="1" si="139"/>
        <v>7.8231259950225178</v>
      </c>
      <c r="DA171" s="171">
        <f t="shared" ca="1" si="140"/>
        <v>7.4270189845892434</v>
      </c>
      <c r="DB171" s="171">
        <f t="shared" ca="1" si="141"/>
        <v>7.0509679931711569</v>
      </c>
      <c r="DC171" s="171">
        <f t="shared" ca="1" si="142"/>
        <v>6.6939575277622207</v>
      </c>
      <c r="DD171" s="171">
        <f t="shared" ca="1" si="143"/>
        <v>6.3550235126413792</v>
      </c>
      <c r="DE171" s="171">
        <f t="shared" ca="1" si="144"/>
        <v>6.0332506859698984</v>
      </c>
      <c r="DF171" s="171">
        <f t="shared" ca="1" si="145"/>
        <v>5.7277701282063438</v>
      </c>
      <c r="DG171" s="171">
        <f t="shared" ca="1" si="146"/>
        <v>5.4377569156649166</v>
      </c>
      <c r="DH171" s="171">
        <f t="shared" ca="1" si="147"/>
        <v>5.1624278928807588</v>
      </c>
      <c r="DI171" s="171">
        <f t="shared" ca="1" si="148"/>
        <v>4.9010395577667127</v>
      </c>
      <c r="DJ171" s="171">
        <f t="shared" ca="1" si="149"/>
        <v>4.6528860538505841</v>
      </c>
      <c r="DK171" s="171">
        <f t="shared" ca="1" si="150"/>
        <v>4.4172972641711041</v>
      </c>
      <c r="DL171" s="171">
        <f t="shared" ca="1" si="151"/>
        <v>0</v>
      </c>
      <c r="DM171" s="171">
        <f t="shared" ca="1" si="152"/>
        <v>0</v>
      </c>
      <c r="DN171" s="171">
        <f t="shared" ca="1" si="153"/>
        <v>0</v>
      </c>
      <c r="DO171" s="171">
        <f t="shared" ca="1" si="154"/>
        <v>0</v>
      </c>
      <c r="DP171" s="171">
        <f t="shared" ca="1" si="155"/>
        <v>0</v>
      </c>
      <c r="DQ171" s="171">
        <f t="shared" ca="1" si="156"/>
        <v>0</v>
      </c>
      <c r="DR171" s="171">
        <f t="shared" ca="1" si="157"/>
        <v>0</v>
      </c>
      <c r="DS171" s="171">
        <f t="shared" ca="1" si="158"/>
        <v>0</v>
      </c>
      <c r="DT171" s="171">
        <f t="shared" ca="1" si="159"/>
        <v>0</v>
      </c>
      <c r="DU171" s="171">
        <f t="shared" ca="1" si="160"/>
        <v>0</v>
      </c>
      <c r="DV171" s="171">
        <f t="shared" ca="1" si="161"/>
        <v>0</v>
      </c>
      <c r="DW171" s="171">
        <f t="shared" ca="1" si="162"/>
        <v>0</v>
      </c>
      <c r="DX171" s="171">
        <f t="shared" ca="1" si="163"/>
        <v>0</v>
      </c>
      <c r="DY171" s="171">
        <f t="shared" ca="1" si="164"/>
        <v>0</v>
      </c>
      <c r="DZ171" s="171">
        <f t="shared" ca="1" si="165"/>
        <v>0</v>
      </c>
      <c r="EA171" s="171">
        <f t="shared" ca="1" si="166"/>
        <v>0</v>
      </c>
      <c r="EB171" s="171">
        <f t="shared" ca="1" si="167"/>
        <v>0</v>
      </c>
      <c r="EC171" s="171">
        <f t="shared" ca="1" si="168"/>
        <v>0</v>
      </c>
      <c r="ED171" s="171">
        <f t="shared" ca="1" si="169"/>
        <v>0</v>
      </c>
      <c r="EE171" s="171">
        <f t="shared" ca="1" si="170"/>
        <v>0</v>
      </c>
      <c r="EF171" s="171">
        <f t="shared" ca="1" si="171"/>
        <v>0</v>
      </c>
      <c r="EG171" s="171">
        <f t="shared" ca="1" si="172"/>
        <v>0</v>
      </c>
      <c r="EH171" s="171">
        <f t="shared" ca="1" si="173"/>
        <v>0</v>
      </c>
      <c r="EI171" s="171">
        <f t="shared" ca="1" si="174"/>
        <v>0</v>
      </c>
      <c r="EJ171" s="171">
        <f t="shared" ca="1" si="175"/>
        <v>0</v>
      </c>
      <c r="EK171" s="171">
        <f t="shared" ca="1" si="176"/>
        <v>0</v>
      </c>
      <c r="EL171" s="171">
        <f t="shared" ca="1" si="177"/>
        <v>0</v>
      </c>
      <c r="EM171" s="171">
        <f t="shared" ca="1" si="178"/>
        <v>0</v>
      </c>
      <c r="EN171" s="171">
        <f t="shared" ca="1" si="179"/>
        <v>0</v>
      </c>
      <c r="EO171" s="171">
        <f t="shared" ca="1" si="180"/>
        <v>0</v>
      </c>
      <c r="EP171" s="171">
        <f t="shared" ca="1" si="181"/>
        <v>0</v>
      </c>
      <c r="EQ171" s="171">
        <f t="shared" ca="1" si="182"/>
        <v>0</v>
      </c>
      <c r="ER171" s="171">
        <f t="shared" ca="1" si="183"/>
        <v>0</v>
      </c>
      <c r="ES171" s="171">
        <f t="shared" ca="1" si="184"/>
        <v>0</v>
      </c>
    </row>
    <row r="172" spans="1:149">
      <c r="A172" s="139" t="s">
        <v>525</v>
      </c>
      <c r="B172" s="161" t="s">
        <v>526</v>
      </c>
      <c r="C172" s="161" t="s">
        <v>460</v>
      </c>
      <c r="D172" s="161" t="s">
        <v>394</v>
      </c>
      <c r="E172" s="161">
        <v>2012</v>
      </c>
      <c r="F172" s="189" t="s">
        <v>395</v>
      </c>
      <c r="G172" s="161" t="s">
        <v>402</v>
      </c>
      <c r="H172" s="189" t="s">
        <v>396</v>
      </c>
      <c r="I172" s="202" t="s">
        <v>182</v>
      </c>
      <c r="J172" s="189" t="s">
        <v>397</v>
      </c>
      <c r="K172" s="187">
        <v>8.19</v>
      </c>
      <c r="L172" s="163" t="s">
        <v>110</v>
      </c>
      <c r="M172" s="164">
        <f t="shared" si="115"/>
        <v>8.19</v>
      </c>
      <c r="N172" s="164">
        <f t="shared" si="116"/>
        <v>8.19</v>
      </c>
      <c r="O172" s="165">
        <f t="shared" si="117"/>
        <v>1</v>
      </c>
      <c r="P172" s="190">
        <v>5.0000000000000001E-3</v>
      </c>
      <c r="Q172" s="191">
        <v>31</v>
      </c>
      <c r="R172" s="168">
        <f t="shared" si="204"/>
        <v>19</v>
      </c>
      <c r="S172" s="178">
        <v>3</v>
      </c>
      <c r="T172" s="170" t="s">
        <v>403</v>
      </c>
      <c r="U172" s="171">
        <f t="shared" si="119"/>
        <v>0.28843199352906024</v>
      </c>
      <c r="V172" s="171">
        <f t="shared" ca="1" si="120"/>
        <v>0.21110932456288298</v>
      </c>
      <c r="W172" s="171">
        <f t="shared" ca="1" si="185"/>
        <v>6.5443890614493725</v>
      </c>
      <c r="X172" s="172">
        <f t="shared" si="121"/>
        <v>0.13319476737036784</v>
      </c>
      <c r="Y172" s="172">
        <f t="shared" si="122"/>
        <v>0.86680523262963216</v>
      </c>
      <c r="Z172" s="173">
        <f t="shared" si="123"/>
        <v>8.9413917994008667</v>
      </c>
      <c r="AA172" s="171">
        <f t="shared" si="217"/>
        <v>0</v>
      </c>
      <c r="AB172" s="171">
        <f t="shared" si="217"/>
        <v>0</v>
      </c>
      <c r="AC172" s="171">
        <f t="shared" si="217"/>
        <v>4.095E-2</v>
      </c>
      <c r="AD172" s="171">
        <f t="shared" si="217"/>
        <v>4.095E-2</v>
      </c>
      <c r="AE172" s="171">
        <f t="shared" si="217"/>
        <v>4.095E-2</v>
      </c>
      <c r="AF172" s="171">
        <f t="shared" si="217"/>
        <v>0.30408764825520229</v>
      </c>
      <c r="AG172" s="171">
        <f t="shared" si="217"/>
        <v>0.30408764825520229</v>
      </c>
      <c r="AH172" s="171">
        <f t="shared" si="217"/>
        <v>0.30408764825520229</v>
      </c>
      <c r="AI172" s="171">
        <f t="shared" si="217"/>
        <v>0.30408764825520229</v>
      </c>
      <c r="AJ172" s="171">
        <f t="shared" si="217"/>
        <v>0.30408764825520229</v>
      </c>
      <c r="AK172" s="171">
        <f t="shared" si="218"/>
        <v>0.30408764825520229</v>
      </c>
      <c r="AL172" s="171">
        <f t="shared" si="218"/>
        <v>0.30408764825520229</v>
      </c>
      <c r="AM172" s="171">
        <f t="shared" si="218"/>
        <v>0.30408764825520229</v>
      </c>
      <c r="AN172" s="171">
        <f t="shared" si="218"/>
        <v>0.30408764825520229</v>
      </c>
      <c r="AO172" s="171">
        <f t="shared" si="218"/>
        <v>0.30408764825520229</v>
      </c>
      <c r="AP172" s="171">
        <f t="shared" si="218"/>
        <v>0.30408764825520229</v>
      </c>
      <c r="AQ172" s="171">
        <f t="shared" si="218"/>
        <v>0.30408764825520229</v>
      </c>
      <c r="AR172" s="171">
        <f t="shared" si="218"/>
        <v>0.30408764825520229</v>
      </c>
      <c r="AS172" s="171">
        <f t="shared" si="218"/>
        <v>0.30408764825520229</v>
      </c>
      <c r="AT172" s="171">
        <f t="shared" si="218"/>
        <v>0.30408764825520229</v>
      </c>
      <c r="AU172" s="171">
        <f t="shared" si="219"/>
        <v>0.30408764825520229</v>
      </c>
      <c r="AV172" s="171">
        <f t="shared" si="219"/>
        <v>0.30408764825520229</v>
      </c>
      <c r="AW172" s="171">
        <f t="shared" si="219"/>
        <v>0.30408764825520229</v>
      </c>
      <c r="AX172" s="171">
        <f t="shared" si="219"/>
        <v>0.30408764825520229</v>
      </c>
      <c r="AY172" s="171">
        <f t="shared" si="219"/>
        <v>0.30408764825520229</v>
      </c>
      <c r="AZ172" s="171">
        <f t="shared" si="219"/>
        <v>0.30408764825520229</v>
      </c>
      <c r="BA172" s="171">
        <f t="shared" si="219"/>
        <v>0.30408764825520229</v>
      </c>
      <c r="BB172" s="171">
        <f t="shared" si="219"/>
        <v>0.30408764825520229</v>
      </c>
      <c r="BC172" s="171">
        <f t="shared" si="219"/>
        <v>0.30408764825520229</v>
      </c>
      <c r="BD172" s="171">
        <f t="shared" si="219"/>
        <v>0.30408764825520229</v>
      </c>
      <c r="BE172" s="171">
        <f t="shared" si="220"/>
        <v>0.30408764825520229</v>
      </c>
      <c r="BF172" s="171">
        <f t="shared" si="220"/>
        <v>0.30408764825520229</v>
      </c>
      <c r="BG172" s="171">
        <f t="shared" si="220"/>
        <v>0.30408764825520229</v>
      </c>
      <c r="BH172" s="171">
        <f t="shared" si="220"/>
        <v>0.30408764825520229</v>
      </c>
      <c r="BI172" s="171">
        <f t="shared" si="220"/>
        <v>0</v>
      </c>
      <c r="BJ172" s="171">
        <f t="shared" si="220"/>
        <v>0</v>
      </c>
      <c r="BK172" s="171">
        <f t="shared" si="220"/>
        <v>0</v>
      </c>
      <c r="BL172" s="171">
        <f t="shared" si="220"/>
        <v>0</v>
      </c>
      <c r="BM172" s="171">
        <f t="shared" si="220"/>
        <v>0</v>
      </c>
      <c r="BN172" s="171">
        <f t="shared" si="220"/>
        <v>0</v>
      </c>
      <c r="BO172" s="171">
        <f t="shared" si="221"/>
        <v>0</v>
      </c>
      <c r="BP172" s="171">
        <f t="shared" si="221"/>
        <v>0</v>
      </c>
      <c r="BQ172" s="171">
        <f t="shared" si="221"/>
        <v>0</v>
      </c>
      <c r="BR172" s="171">
        <f t="shared" si="221"/>
        <v>0</v>
      </c>
      <c r="BS172" s="171">
        <f t="shared" si="221"/>
        <v>0</v>
      </c>
      <c r="BT172" s="171">
        <f t="shared" si="221"/>
        <v>0</v>
      </c>
      <c r="BU172" s="171">
        <f t="shared" si="221"/>
        <v>0</v>
      </c>
      <c r="BV172" s="171">
        <f t="shared" si="221"/>
        <v>0</v>
      </c>
      <c r="BW172" s="171">
        <f t="shared" si="221"/>
        <v>0</v>
      </c>
      <c r="BX172" s="171">
        <f t="shared" si="221"/>
        <v>0</v>
      </c>
      <c r="BY172" s="171">
        <f t="shared" si="222"/>
        <v>0</v>
      </c>
      <c r="BZ172" s="171">
        <f t="shared" si="222"/>
        <v>0</v>
      </c>
      <c r="CA172" s="171">
        <f t="shared" si="222"/>
        <v>0</v>
      </c>
      <c r="CB172" s="171">
        <f t="shared" si="222"/>
        <v>0</v>
      </c>
      <c r="CC172" s="171">
        <f t="shared" si="222"/>
        <v>0</v>
      </c>
      <c r="CD172" s="171">
        <f t="shared" si="222"/>
        <v>0</v>
      </c>
      <c r="CE172" s="171">
        <f t="shared" si="222"/>
        <v>0</v>
      </c>
      <c r="CF172" s="171">
        <f t="shared" si="222"/>
        <v>0</v>
      </c>
      <c r="CG172" s="171">
        <f t="shared" si="222"/>
        <v>0</v>
      </c>
      <c r="CH172" s="171">
        <f t="shared" si="222"/>
        <v>0</v>
      </c>
      <c r="CI172" s="171">
        <f t="shared" si="222"/>
        <v>0</v>
      </c>
      <c r="CJ172" s="243"/>
      <c r="CK172" s="171">
        <f t="shared" si="124"/>
        <v>0</v>
      </c>
      <c r="CL172" s="171">
        <f t="shared" si="125"/>
        <v>0</v>
      </c>
      <c r="CM172" s="171">
        <f t="shared" si="126"/>
        <v>4.095E-2</v>
      </c>
      <c r="CN172" s="171">
        <f t="shared" si="127"/>
        <v>4.095E-2</v>
      </c>
      <c r="CO172" s="171">
        <f t="shared" si="128"/>
        <v>4.095E-2</v>
      </c>
      <c r="CP172" s="171">
        <f t="shared" si="129"/>
        <v>0.30408764825520229</v>
      </c>
      <c r="CQ172" s="171">
        <f t="shared" si="130"/>
        <v>0.30408764825520229</v>
      </c>
      <c r="CR172" s="171">
        <f t="shared" si="131"/>
        <v>0.30408764825520229</v>
      </c>
      <c r="CS172" s="171">
        <f t="shared" si="132"/>
        <v>0.30408764825520229</v>
      </c>
      <c r="CT172" s="171">
        <f t="shared" si="133"/>
        <v>0.30408764825520229</v>
      </c>
      <c r="CU172" s="171">
        <f t="shared" si="134"/>
        <v>0.30408764825520229</v>
      </c>
      <c r="CV172" s="171">
        <f t="shared" si="135"/>
        <v>0.30408764825520229</v>
      </c>
      <c r="CW172" s="171">
        <f t="shared" si="136"/>
        <v>0.30408764825520229</v>
      </c>
      <c r="CX172" s="171">
        <f t="shared" si="137"/>
        <v>0.30408764825520229</v>
      </c>
      <c r="CY172" s="171">
        <f t="shared" ca="1" si="138"/>
        <v>0.28869082998374779</v>
      </c>
      <c r="CZ172" s="171">
        <f t="shared" ca="1" si="139"/>
        <v>0.2740735961980309</v>
      </c>
      <c r="DA172" s="171">
        <f t="shared" ca="1" si="140"/>
        <v>0.26019647432912946</v>
      </c>
      <c r="DB172" s="171">
        <f t="shared" ca="1" si="141"/>
        <v>0.24702199041600245</v>
      </c>
      <c r="DC172" s="171">
        <f t="shared" ca="1" si="142"/>
        <v>0.23451456791031672</v>
      </c>
      <c r="DD172" s="171">
        <f t="shared" ca="1" si="143"/>
        <v>0.22264043160507122</v>
      </c>
      <c r="DE172" s="171">
        <f t="shared" ca="1" si="144"/>
        <v>0.21136751642758725</v>
      </c>
      <c r="DF172" s="171">
        <f t="shared" ca="1" si="145"/>
        <v>0.20066538085056762</v>
      </c>
      <c r="DG172" s="171">
        <f t="shared" ca="1" si="146"/>
        <v>0.19050512468739894</v>
      </c>
      <c r="DH172" s="171">
        <f t="shared" ca="1" si="147"/>
        <v>0.1808593110497104</v>
      </c>
      <c r="DI172" s="171">
        <f t="shared" ca="1" si="148"/>
        <v>0.17170189225644242</v>
      </c>
      <c r="DJ172" s="171">
        <f t="shared" ca="1" si="149"/>
        <v>0.1630081394943485</v>
      </c>
      <c r="DK172" s="171">
        <f t="shared" ca="1" si="150"/>
        <v>0.1547545760399853</v>
      </c>
      <c r="DL172" s="171">
        <f t="shared" ca="1" si="151"/>
        <v>0.14691891386286207</v>
      </c>
      <c r="DM172" s="171">
        <f t="shared" ca="1" si="152"/>
        <v>0.13947999343855227</v>
      </c>
      <c r="DN172" s="171">
        <f t="shared" ca="1" si="153"/>
        <v>0.13241772660923748</v>
      </c>
      <c r="DO172" s="171">
        <f t="shared" ca="1" si="154"/>
        <v>0.12571304233738398</v>
      </c>
      <c r="DP172" s="171">
        <f t="shared" ca="1" si="155"/>
        <v>0.11934783520606389</v>
      </c>
      <c r="DQ172" s="171">
        <f t="shared" ca="1" si="156"/>
        <v>0.11330491652685107</v>
      </c>
      <c r="DR172" s="171">
        <f t="shared" ca="1" si="157"/>
        <v>0.10756796792326237</v>
      </c>
      <c r="DS172" s="171">
        <f t="shared" ca="1" si="158"/>
        <v>0</v>
      </c>
      <c r="DT172" s="171">
        <f t="shared" ca="1" si="159"/>
        <v>0</v>
      </c>
      <c r="DU172" s="171">
        <f t="shared" ca="1" si="160"/>
        <v>0</v>
      </c>
      <c r="DV172" s="171">
        <f t="shared" ca="1" si="161"/>
        <v>0</v>
      </c>
      <c r="DW172" s="171">
        <f t="shared" ca="1" si="162"/>
        <v>0</v>
      </c>
      <c r="DX172" s="171">
        <f t="shared" ca="1" si="163"/>
        <v>0</v>
      </c>
      <c r="DY172" s="171">
        <f t="shared" ca="1" si="164"/>
        <v>0</v>
      </c>
      <c r="DZ172" s="171">
        <f t="shared" ca="1" si="165"/>
        <v>0</v>
      </c>
      <c r="EA172" s="171">
        <f t="shared" ca="1" si="166"/>
        <v>0</v>
      </c>
      <c r="EB172" s="171">
        <f t="shared" ca="1" si="167"/>
        <v>0</v>
      </c>
      <c r="EC172" s="171">
        <f t="shared" ca="1" si="168"/>
        <v>0</v>
      </c>
      <c r="ED172" s="171">
        <f t="shared" ca="1" si="169"/>
        <v>0</v>
      </c>
      <c r="EE172" s="171">
        <f t="shared" ca="1" si="170"/>
        <v>0</v>
      </c>
      <c r="EF172" s="171">
        <f t="shared" ca="1" si="171"/>
        <v>0</v>
      </c>
      <c r="EG172" s="171">
        <f t="shared" ca="1" si="172"/>
        <v>0</v>
      </c>
      <c r="EH172" s="171">
        <f t="shared" ca="1" si="173"/>
        <v>0</v>
      </c>
      <c r="EI172" s="171">
        <f t="shared" ca="1" si="174"/>
        <v>0</v>
      </c>
      <c r="EJ172" s="171">
        <f t="shared" ca="1" si="175"/>
        <v>0</v>
      </c>
      <c r="EK172" s="171">
        <f t="shared" ca="1" si="176"/>
        <v>0</v>
      </c>
      <c r="EL172" s="171">
        <f t="shared" ca="1" si="177"/>
        <v>0</v>
      </c>
      <c r="EM172" s="171">
        <f t="shared" ca="1" si="178"/>
        <v>0</v>
      </c>
      <c r="EN172" s="171">
        <f t="shared" ca="1" si="179"/>
        <v>0</v>
      </c>
      <c r="EO172" s="171">
        <f t="shared" ca="1" si="180"/>
        <v>0</v>
      </c>
      <c r="EP172" s="171">
        <f t="shared" ca="1" si="181"/>
        <v>0</v>
      </c>
      <c r="EQ172" s="171">
        <f t="shared" ca="1" si="182"/>
        <v>0</v>
      </c>
      <c r="ER172" s="171">
        <f t="shared" ca="1" si="183"/>
        <v>0</v>
      </c>
      <c r="ES172" s="171">
        <f t="shared" ca="1" si="184"/>
        <v>0</v>
      </c>
    </row>
    <row r="173" spans="1:149">
      <c r="A173" s="139" t="s">
        <v>527</v>
      </c>
      <c r="B173" s="160" t="s">
        <v>480</v>
      </c>
      <c r="C173" s="160" t="s">
        <v>460</v>
      </c>
      <c r="D173" s="161" t="s">
        <v>394</v>
      </c>
      <c r="E173" s="160">
        <v>2011</v>
      </c>
      <c r="F173" s="194" t="s">
        <v>395</v>
      </c>
      <c r="G173" s="160" t="s">
        <v>402</v>
      </c>
      <c r="H173" s="194" t="s">
        <v>396</v>
      </c>
      <c r="I173" s="198" t="s">
        <v>182</v>
      </c>
      <c r="J173" s="194" t="s">
        <v>397</v>
      </c>
      <c r="K173" s="187">
        <v>25.7</v>
      </c>
      <c r="L173" s="163" t="s">
        <v>110</v>
      </c>
      <c r="M173" s="164">
        <f t="shared" si="115"/>
        <v>25.7</v>
      </c>
      <c r="N173" s="164">
        <f t="shared" si="116"/>
        <v>25.7</v>
      </c>
      <c r="O173" s="165">
        <f t="shared" si="117"/>
        <v>1</v>
      </c>
      <c r="P173" s="190">
        <v>1.4999999999999999E-2</v>
      </c>
      <c r="Q173" s="191">
        <v>19</v>
      </c>
      <c r="R173" s="168">
        <f t="shared" si="204"/>
        <v>6</v>
      </c>
      <c r="S173" s="178">
        <v>7</v>
      </c>
      <c r="T173" s="170" t="s">
        <v>403</v>
      </c>
      <c r="U173" s="171">
        <f t="shared" si="119"/>
        <v>1.64091070626262</v>
      </c>
      <c r="V173" s="171">
        <f t="shared" ca="1" si="120"/>
        <v>1.492996118685272</v>
      </c>
      <c r="W173" s="171">
        <f t="shared" ca="1" si="185"/>
        <v>28.366926255020168</v>
      </c>
      <c r="X173" s="172">
        <f t="shared" si="121"/>
        <v>0.16385049121125872</v>
      </c>
      <c r="Y173" s="172">
        <f t="shared" si="122"/>
        <v>0.83614950878874128</v>
      </c>
      <c r="Z173" s="173">
        <f t="shared" si="123"/>
        <v>31.17730341898978</v>
      </c>
      <c r="AA173" s="171">
        <f t="shared" si="217"/>
        <v>0</v>
      </c>
      <c r="AB173" s="171">
        <f t="shared" si="217"/>
        <v>0.38549999999999995</v>
      </c>
      <c r="AC173" s="171">
        <f t="shared" si="217"/>
        <v>0.38549999999999995</v>
      </c>
      <c r="AD173" s="171">
        <f t="shared" si="217"/>
        <v>0.38549999999999995</v>
      </c>
      <c r="AE173" s="171">
        <f t="shared" si="217"/>
        <v>0.38549999999999995</v>
      </c>
      <c r="AF173" s="171">
        <f t="shared" si="217"/>
        <v>0.38549999999999995</v>
      </c>
      <c r="AG173" s="171">
        <f t="shared" si="217"/>
        <v>0.38549999999999995</v>
      </c>
      <c r="AH173" s="171">
        <f t="shared" si="217"/>
        <v>0.38549999999999995</v>
      </c>
      <c r="AI173" s="171">
        <f t="shared" si="217"/>
        <v>2.1906771860761376</v>
      </c>
      <c r="AJ173" s="171">
        <f t="shared" si="217"/>
        <v>2.1906771860761376</v>
      </c>
      <c r="AK173" s="171">
        <f t="shared" si="218"/>
        <v>2.1906771860761376</v>
      </c>
      <c r="AL173" s="171">
        <f t="shared" si="218"/>
        <v>2.1906771860761376</v>
      </c>
      <c r="AM173" s="171">
        <f t="shared" si="218"/>
        <v>2.1906771860761376</v>
      </c>
      <c r="AN173" s="171">
        <f t="shared" si="218"/>
        <v>2.1906771860761376</v>
      </c>
      <c r="AO173" s="171">
        <f t="shared" si="218"/>
        <v>2.1906771860761376</v>
      </c>
      <c r="AP173" s="171">
        <f t="shared" si="218"/>
        <v>2.1906771860761376</v>
      </c>
      <c r="AQ173" s="171">
        <f t="shared" si="218"/>
        <v>2.1906771860761376</v>
      </c>
      <c r="AR173" s="171">
        <f t="shared" si="218"/>
        <v>2.1906771860761376</v>
      </c>
      <c r="AS173" s="171">
        <f t="shared" si="218"/>
        <v>2.1906771860761376</v>
      </c>
      <c r="AT173" s="171">
        <f t="shared" si="218"/>
        <v>2.1906771860761376</v>
      </c>
      <c r="AU173" s="171">
        <f t="shared" si="219"/>
        <v>2.1906771860761376</v>
      </c>
      <c r="AV173" s="171">
        <f t="shared" si="219"/>
        <v>0</v>
      </c>
      <c r="AW173" s="171">
        <f t="shared" si="219"/>
        <v>0</v>
      </c>
      <c r="AX173" s="171">
        <f t="shared" si="219"/>
        <v>0</v>
      </c>
      <c r="AY173" s="171">
        <f t="shared" si="219"/>
        <v>0</v>
      </c>
      <c r="AZ173" s="171">
        <f t="shared" si="219"/>
        <v>0</v>
      </c>
      <c r="BA173" s="171">
        <f t="shared" si="219"/>
        <v>0</v>
      </c>
      <c r="BB173" s="171">
        <f t="shared" si="219"/>
        <v>0</v>
      </c>
      <c r="BC173" s="171">
        <f t="shared" si="219"/>
        <v>0</v>
      </c>
      <c r="BD173" s="171">
        <f t="shared" si="219"/>
        <v>0</v>
      </c>
      <c r="BE173" s="171">
        <f t="shared" si="220"/>
        <v>0</v>
      </c>
      <c r="BF173" s="171">
        <f t="shared" si="220"/>
        <v>0</v>
      </c>
      <c r="BG173" s="171">
        <f t="shared" si="220"/>
        <v>0</v>
      </c>
      <c r="BH173" s="171">
        <f t="shared" si="220"/>
        <v>0</v>
      </c>
      <c r="BI173" s="171">
        <f t="shared" si="220"/>
        <v>0</v>
      </c>
      <c r="BJ173" s="171">
        <f t="shared" si="220"/>
        <v>0</v>
      </c>
      <c r="BK173" s="171">
        <f t="shared" si="220"/>
        <v>0</v>
      </c>
      <c r="BL173" s="171">
        <f t="shared" si="220"/>
        <v>0</v>
      </c>
      <c r="BM173" s="171">
        <f t="shared" si="220"/>
        <v>0</v>
      </c>
      <c r="BN173" s="171">
        <f t="shared" si="220"/>
        <v>0</v>
      </c>
      <c r="BO173" s="171">
        <f t="shared" si="221"/>
        <v>0</v>
      </c>
      <c r="BP173" s="171">
        <f t="shared" si="221"/>
        <v>0</v>
      </c>
      <c r="BQ173" s="171">
        <f t="shared" si="221"/>
        <v>0</v>
      </c>
      <c r="BR173" s="171">
        <f t="shared" si="221"/>
        <v>0</v>
      </c>
      <c r="BS173" s="171">
        <f t="shared" si="221"/>
        <v>0</v>
      </c>
      <c r="BT173" s="171">
        <f t="shared" si="221"/>
        <v>0</v>
      </c>
      <c r="BU173" s="171">
        <f t="shared" si="221"/>
        <v>0</v>
      </c>
      <c r="BV173" s="171">
        <f t="shared" si="221"/>
        <v>0</v>
      </c>
      <c r="BW173" s="171">
        <f t="shared" si="221"/>
        <v>0</v>
      </c>
      <c r="BX173" s="171">
        <f t="shared" si="221"/>
        <v>0</v>
      </c>
      <c r="BY173" s="171">
        <f t="shared" si="222"/>
        <v>0</v>
      </c>
      <c r="BZ173" s="171">
        <f t="shared" si="222"/>
        <v>0</v>
      </c>
      <c r="CA173" s="171">
        <f t="shared" si="222"/>
        <v>0</v>
      </c>
      <c r="CB173" s="171">
        <f t="shared" si="222"/>
        <v>0</v>
      </c>
      <c r="CC173" s="171">
        <f t="shared" si="222"/>
        <v>0</v>
      </c>
      <c r="CD173" s="171">
        <f t="shared" si="222"/>
        <v>0</v>
      </c>
      <c r="CE173" s="171">
        <f t="shared" si="222"/>
        <v>0</v>
      </c>
      <c r="CF173" s="171">
        <f t="shared" si="222"/>
        <v>0</v>
      </c>
      <c r="CG173" s="171">
        <f t="shared" si="222"/>
        <v>0</v>
      </c>
      <c r="CH173" s="171">
        <f t="shared" si="222"/>
        <v>0</v>
      </c>
      <c r="CI173" s="171">
        <f t="shared" si="222"/>
        <v>0</v>
      </c>
      <c r="CJ173" s="243"/>
      <c r="CK173" s="171">
        <f t="shared" si="124"/>
        <v>0</v>
      </c>
      <c r="CL173" s="171">
        <f t="shared" si="125"/>
        <v>0.38549999999999995</v>
      </c>
      <c r="CM173" s="171">
        <f t="shared" si="126"/>
        <v>0.38549999999999995</v>
      </c>
      <c r="CN173" s="171">
        <f t="shared" si="127"/>
        <v>0.38549999999999995</v>
      </c>
      <c r="CO173" s="171">
        <f t="shared" si="128"/>
        <v>0.38549999999999995</v>
      </c>
      <c r="CP173" s="171">
        <f t="shared" si="129"/>
        <v>0.38549999999999995</v>
      </c>
      <c r="CQ173" s="171">
        <f t="shared" si="130"/>
        <v>0.38549999999999995</v>
      </c>
      <c r="CR173" s="171">
        <f t="shared" si="131"/>
        <v>0.38549999999999995</v>
      </c>
      <c r="CS173" s="171">
        <f t="shared" si="132"/>
        <v>2.1906771860761376</v>
      </c>
      <c r="CT173" s="171">
        <f t="shared" si="133"/>
        <v>2.1906771860761376</v>
      </c>
      <c r="CU173" s="171">
        <f t="shared" si="134"/>
        <v>2.1906771860761376</v>
      </c>
      <c r="CV173" s="171">
        <f t="shared" si="135"/>
        <v>2.1906771860761376</v>
      </c>
      <c r="CW173" s="171">
        <f t="shared" si="136"/>
        <v>2.1906771860761376</v>
      </c>
      <c r="CX173" s="171">
        <f t="shared" si="137"/>
        <v>2.1906771860761376</v>
      </c>
      <c r="CY173" s="171">
        <f t="shared" ca="1" si="138"/>
        <v>2.0797570000081769</v>
      </c>
      <c r="CZ173" s="171">
        <f t="shared" ca="1" si="139"/>
        <v>1.9744530168913177</v>
      </c>
      <c r="DA173" s="171">
        <f t="shared" ca="1" si="140"/>
        <v>1.8744808724749564</v>
      </c>
      <c r="DB173" s="171">
        <f t="shared" ca="1" si="141"/>
        <v>1.7795706006753171</v>
      </c>
      <c r="DC173" s="171">
        <f t="shared" ca="1" si="142"/>
        <v>1.6894659045555127</v>
      </c>
      <c r="DD173" s="171">
        <f t="shared" ca="1" si="143"/>
        <v>1.6039234642179521</v>
      </c>
      <c r="DE173" s="171">
        <f t="shared" ca="1" si="144"/>
        <v>1.5227122797401129</v>
      </c>
      <c r="DF173" s="171">
        <f t="shared" ca="1" si="145"/>
        <v>0</v>
      </c>
      <c r="DG173" s="171">
        <f t="shared" ca="1" si="146"/>
        <v>0</v>
      </c>
      <c r="DH173" s="171">
        <f t="shared" ca="1" si="147"/>
        <v>0</v>
      </c>
      <c r="DI173" s="171">
        <f t="shared" ca="1" si="148"/>
        <v>0</v>
      </c>
      <c r="DJ173" s="171">
        <f t="shared" ca="1" si="149"/>
        <v>0</v>
      </c>
      <c r="DK173" s="171">
        <f t="shared" ca="1" si="150"/>
        <v>0</v>
      </c>
      <c r="DL173" s="171">
        <f t="shared" ca="1" si="151"/>
        <v>0</v>
      </c>
      <c r="DM173" s="171">
        <f t="shared" ca="1" si="152"/>
        <v>0</v>
      </c>
      <c r="DN173" s="171">
        <f t="shared" ca="1" si="153"/>
        <v>0</v>
      </c>
      <c r="DO173" s="171">
        <f t="shared" ca="1" si="154"/>
        <v>0</v>
      </c>
      <c r="DP173" s="171">
        <f t="shared" ca="1" si="155"/>
        <v>0</v>
      </c>
      <c r="DQ173" s="171">
        <f t="shared" ca="1" si="156"/>
        <v>0</v>
      </c>
      <c r="DR173" s="171">
        <f t="shared" ca="1" si="157"/>
        <v>0</v>
      </c>
      <c r="DS173" s="171">
        <f t="shared" ca="1" si="158"/>
        <v>0</v>
      </c>
      <c r="DT173" s="171">
        <f t="shared" ca="1" si="159"/>
        <v>0</v>
      </c>
      <c r="DU173" s="171">
        <f t="shared" ca="1" si="160"/>
        <v>0</v>
      </c>
      <c r="DV173" s="171">
        <f t="shared" ca="1" si="161"/>
        <v>0</v>
      </c>
      <c r="DW173" s="171">
        <f t="shared" ca="1" si="162"/>
        <v>0</v>
      </c>
      <c r="DX173" s="171">
        <f t="shared" ca="1" si="163"/>
        <v>0</v>
      </c>
      <c r="DY173" s="171">
        <f t="shared" ca="1" si="164"/>
        <v>0</v>
      </c>
      <c r="DZ173" s="171">
        <f t="shared" ca="1" si="165"/>
        <v>0</v>
      </c>
      <c r="EA173" s="171">
        <f t="shared" ca="1" si="166"/>
        <v>0</v>
      </c>
      <c r="EB173" s="171">
        <f t="shared" ca="1" si="167"/>
        <v>0</v>
      </c>
      <c r="EC173" s="171">
        <f t="shared" ca="1" si="168"/>
        <v>0</v>
      </c>
      <c r="ED173" s="171">
        <f t="shared" ca="1" si="169"/>
        <v>0</v>
      </c>
      <c r="EE173" s="171">
        <f t="shared" ca="1" si="170"/>
        <v>0</v>
      </c>
      <c r="EF173" s="171">
        <f t="shared" ca="1" si="171"/>
        <v>0</v>
      </c>
      <c r="EG173" s="171">
        <f t="shared" ca="1" si="172"/>
        <v>0</v>
      </c>
      <c r="EH173" s="171">
        <f t="shared" ca="1" si="173"/>
        <v>0</v>
      </c>
      <c r="EI173" s="171">
        <f t="shared" ca="1" si="174"/>
        <v>0</v>
      </c>
      <c r="EJ173" s="171">
        <f t="shared" ca="1" si="175"/>
        <v>0</v>
      </c>
      <c r="EK173" s="171">
        <f t="shared" ca="1" si="176"/>
        <v>0</v>
      </c>
      <c r="EL173" s="171">
        <f t="shared" ca="1" si="177"/>
        <v>0</v>
      </c>
      <c r="EM173" s="171">
        <f t="shared" ca="1" si="178"/>
        <v>0</v>
      </c>
      <c r="EN173" s="171">
        <f t="shared" ca="1" si="179"/>
        <v>0</v>
      </c>
      <c r="EO173" s="171">
        <f t="shared" ca="1" si="180"/>
        <v>0</v>
      </c>
      <c r="EP173" s="171">
        <f t="shared" ca="1" si="181"/>
        <v>0</v>
      </c>
      <c r="EQ173" s="171">
        <f t="shared" ca="1" si="182"/>
        <v>0</v>
      </c>
      <c r="ER173" s="171">
        <f t="shared" ca="1" si="183"/>
        <v>0</v>
      </c>
      <c r="ES173" s="171">
        <f t="shared" ca="1" si="184"/>
        <v>0</v>
      </c>
    </row>
    <row r="174" spans="1:149">
      <c r="A174" s="139" t="s">
        <v>528</v>
      </c>
      <c r="B174" s="160" t="s">
        <v>427</v>
      </c>
      <c r="C174" s="161" t="s">
        <v>412</v>
      </c>
      <c r="D174" s="161" t="s">
        <v>394</v>
      </c>
      <c r="E174" s="161">
        <v>2020</v>
      </c>
      <c r="F174" s="161" t="s">
        <v>395</v>
      </c>
      <c r="G174" s="161" t="s">
        <v>402</v>
      </c>
      <c r="H174" s="161" t="s">
        <v>396</v>
      </c>
      <c r="I174" s="161" t="s">
        <v>176</v>
      </c>
      <c r="J174" s="161" t="s">
        <v>397</v>
      </c>
      <c r="K174" s="184">
        <v>1.8</v>
      </c>
      <c r="L174" s="163" t="s">
        <v>110</v>
      </c>
      <c r="M174" s="164">
        <f t="shared" si="115"/>
        <v>1.8</v>
      </c>
      <c r="N174" s="164">
        <f t="shared" si="116"/>
        <v>1.8</v>
      </c>
      <c r="O174" s="165">
        <f t="shared" si="117"/>
        <v>1</v>
      </c>
      <c r="P174" s="200">
        <v>2.7816858803627033E-2</v>
      </c>
      <c r="Q174" s="185">
        <v>20.735225400093377</v>
      </c>
      <c r="R174" s="168">
        <f t="shared" si="204"/>
        <v>16.735225400093377</v>
      </c>
      <c r="S174" s="169">
        <v>5.9907079039461353</v>
      </c>
      <c r="T174" s="170" t="s">
        <v>403</v>
      </c>
      <c r="U174" s="171">
        <f t="shared" si="119"/>
        <v>0.11774782761067412</v>
      </c>
      <c r="V174" s="171">
        <f t="shared" ca="1" si="120"/>
        <v>7.7101661235161753E-2</v>
      </c>
      <c r="W174" s="171">
        <f t="shared" ca="1" si="185"/>
        <v>1.5987203244327208</v>
      </c>
      <c r="X174" s="172">
        <f t="shared" si="121"/>
        <v>0.23586217822313105</v>
      </c>
      <c r="Y174" s="172">
        <f t="shared" si="122"/>
        <v>0.76413782177686895</v>
      </c>
      <c r="Z174" s="173">
        <f t="shared" si="123"/>
        <v>2.4415277458786662</v>
      </c>
      <c r="AA174" s="171">
        <f t="shared" si="217"/>
        <v>0</v>
      </c>
      <c r="AB174" s="171">
        <f t="shared" si="217"/>
        <v>0</v>
      </c>
      <c r="AC174" s="171">
        <f t="shared" si="217"/>
        <v>0</v>
      </c>
      <c r="AD174" s="171">
        <f t="shared" si="217"/>
        <v>0</v>
      </c>
      <c r="AE174" s="171">
        <f t="shared" si="217"/>
        <v>0</v>
      </c>
      <c r="AF174" s="171">
        <f t="shared" si="217"/>
        <v>0</v>
      </c>
      <c r="AG174" s="171">
        <f t="shared" si="217"/>
        <v>0</v>
      </c>
      <c r="AH174" s="171">
        <f t="shared" si="217"/>
        <v>0</v>
      </c>
      <c r="AI174" s="171">
        <f t="shared" si="217"/>
        <v>0</v>
      </c>
      <c r="AJ174" s="171">
        <f t="shared" si="217"/>
        <v>0</v>
      </c>
      <c r="AK174" s="171">
        <f t="shared" si="218"/>
        <v>5.0070345846528662E-2</v>
      </c>
      <c r="AL174" s="171">
        <f t="shared" si="218"/>
        <v>5.0070345846528662E-2</v>
      </c>
      <c r="AM174" s="171">
        <f t="shared" si="218"/>
        <v>5.0070345846528662E-2</v>
      </c>
      <c r="AN174" s="171">
        <f t="shared" si="218"/>
        <v>5.0070345846528662E-2</v>
      </c>
      <c r="AO174" s="171">
        <f t="shared" si="218"/>
        <v>5.0070345846528662E-2</v>
      </c>
      <c r="AP174" s="171">
        <f t="shared" si="218"/>
        <v>5.0070345846528662E-2</v>
      </c>
      <c r="AQ174" s="171">
        <f t="shared" si="218"/>
        <v>0.14274037805329959</v>
      </c>
      <c r="AR174" s="171">
        <f t="shared" si="218"/>
        <v>0.14274037805329959</v>
      </c>
      <c r="AS174" s="171">
        <f t="shared" si="218"/>
        <v>0.14274037805329959</v>
      </c>
      <c r="AT174" s="171">
        <f t="shared" si="218"/>
        <v>0.14274037805329959</v>
      </c>
      <c r="AU174" s="171">
        <f t="shared" si="219"/>
        <v>0.14274037805329959</v>
      </c>
      <c r="AV174" s="171">
        <f t="shared" si="219"/>
        <v>0.14274037805329959</v>
      </c>
      <c r="AW174" s="171">
        <f t="shared" si="219"/>
        <v>0.14274037805329959</v>
      </c>
      <c r="AX174" s="171">
        <f t="shared" si="219"/>
        <v>0.14274037805329959</v>
      </c>
      <c r="AY174" s="171">
        <f t="shared" si="219"/>
        <v>0.14274037805329959</v>
      </c>
      <c r="AZ174" s="171">
        <f t="shared" si="219"/>
        <v>0.14274037805329959</v>
      </c>
      <c r="BA174" s="171">
        <f t="shared" si="219"/>
        <v>0.14274037805329959</v>
      </c>
      <c r="BB174" s="171">
        <f t="shared" si="219"/>
        <v>0.14274037805329959</v>
      </c>
      <c r="BC174" s="171">
        <f t="shared" si="219"/>
        <v>0.14274037805329959</v>
      </c>
      <c r="BD174" s="171">
        <f t="shared" si="219"/>
        <v>0.14274037805329959</v>
      </c>
      <c r="BE174" s="171">
        <f t="shared" si="220"/>
        <v>0.14274037805329959</v>
      </c>
      <c r="BF174" s="171">
        <f t="shared" si="220"/>
        <v>0</v>
      </c>
      <c r="BG174" s="171">
        <f t="shared" si="220"/>
        <v>0</v>
      </c>
      <c r="BH174" s="171">
        <f t="shared" si="220"/>
        <v>0</v>
      </c>
      <c r="BI174" s="171">
        <f t="shared" si="220"/>
        <v>0</v>
      </c>
      <c r="BJ174" s="171">
        <f t="shared" si="220"/>
        <v>0</v>
      </c>
      <c r="BK174" s="171">
        <f t="shared" si="220"/>
        <v>0</v>
      </c>
      <c r="BL174" s="171">
        <f t="shared" si="220"/>
        <v>0</v>
      </c>
      <c r="BM174" s="171">
        <f t="shared" si="220"/>
        <v>0</v>
      </c>
      <c r="BN174" s="171">
        <f t="shared" si="220"/>
        <v>0</v>
      </c>
      <c r="BO174" s="171">
        <f t="shared" si="221"/>
        <v>0</v>
      </c>
      <c r="BP174" s="171">
        <f t="shared" si="221"/>
        <v>0</v>
      </c>
      <c r="BQ174" s="171">
        <f t="shared" si="221"/>
        <v>0</v>
      </c>
      <c r="BR174" s="171">
        <f t="shared" si="221"/>
        <v>0</v>
      </c>
      <c r="BS174" s="171">
        <f t="shared" si="221"/>
        <v>0</v>
      </c>
      <c r="BT174" s="171">
        <f t="shared" si="221"/>
        <v>0</v>
      </c>
      <c r="BU174" s="171">
        <f t="shared" si="221"/>
        <v>0</v>
      </c>
      <c r="BV174" s="171">
        <f t="shared" si="221"/>
        <v>0</v>
      </c>
      <c r="BW174" s="171">
        <f t="shared" si="221"/>
        <v>0</v>
      </c>
      <c r="BX174" s="171">
        <f t="shared" si="221"/>
        <v>0</v>
      </c>
      <c r="BY174" s="171">
        <f t="shared" si="222"/>
        <v>0</v>
      </c>
      <c r="BZ174" s="171">
        <f t="shared" si="222"/>
        <v>0</v>
      </c>
      <c r="CA174" s="171">
        <f t="shared" si="222"/>
        <v>0</v>
      </c>
      <c r="CB174" s="171">
        <f t="shared" si="222"/>
        <v>0</v>
      </c>
      <c r="CC174" s="171">
        <f t="shared" si="222"/>
        <v>0</v>
      </c>
      <c r="CD174" s="171">
        <f t="shared" si="222"/>
        <v>0</v>
      </c>
      <c r="CE174" s="171">
        <f t="shared" si="222"/>
        <v>0</v>
      </c>
      <c r="CF174" s="171">
        <f t="shared" si="222"/>
        <v>0</v>
      </c>
      <c r="CG174" s="171">
        <f t="shared" si="222"/>
        <v>0</v>
      </c>
      <c r="CH174" s="171">
        <f t="shared" si="222"/>
        <v>0</v>
      </c>
      <c r="CI174" s="171">
        <f t="shared" si="222"/>
        <v>0</v>
      </c>
      <c r="CJ174" s="243"/>
      <c r="CK174" s="171">
        <f t="shared" si="124"/>
        <v>0</v>
      </c>
      <c r="CL174" s="171">
        <f t="shared" si="125"/>
        <v>0</v>
      </c>
      <c r="CM174" s="171">
        <f t="shared" si="126"/>
        <v>0</v>
      </c>
      <c r="CN174" s="171">
        <f t="shared" si="127"/>
        <v>0</v>
      </c>
      <c r="CO174" s="171">
        <f t="shared" si="128"/>
        <v>0</v>
      </c>
      <c r="CP174" s="171">
        <f t="shared" si="129"/>
        <v>0</v>
      </c>
      <c r="CQ174" s="171">
        <f t="shared" si="130"/>
        <v>0</v>
      </c>
      <c r="CR174" s="171">
        <f t="shared" si="131"/>
        <v>0</v>
      </c>
      <c r="CS174" s="171">
        <f t="shared" si="132"/>
        <v>0</v>
      </c>
      <c r="CT174" s="171">
        <f t="shared" si="133"/>
        <v>0</v>
      </c>
      <c r="CU174" s="171">
        <f t="shared" si="134"/>
        <v>5.0070345846528662E-2</v>
      </c>
      <c r="CV174" s="171">
        <f t="shared" si="135"/>
        <v>5.0070345846528662E-2</v>
      </c>
      <c r="CW174" s="171">
        <f t="shared" si="136"/>
        <v>5.0070345846528662E-2</v>
      </c>
      <c r="CX174" s="171">
        <f t="shared" si="137"/>
        <v>5.0070345846528662E-2</v>
      </c>
      <c r="CY174" s="171">
        <f t="shared" ca="1" si="138"/>
        <v>4.753514252534382E-2</v>
      </c>
      <c r="CZ174" s="171">
        <f t="shared" ca="1" si="139"/>
        <v>4.51283037235383E-2</v>
      </c>
      <c r="DA174" s="171">
        <f t="shared" ca="1" si="140"/>
        <v>0.12213762488210569</v>
      </c>
      <c r="DB174" s="171">
        <f t="shared" ca="1" si="141"/>
        <v>0.11595345125582723</v>
      </c>
      <c r="DC174" s="171">
        <f t="shared" ca="1" si="142"/>
        <v>0.11008239984292795</v>
      </c>
      <c r="DD174" s="171">
        <f t="shared" ca="1" si="143"/>
        <v>0.10450861637953415</v>
      </c>
      <c r="DE174" s="171">
        <f t="shared" ca="1" si="144"/>
        <v>9.9217049348023501E-2</v>
      </c>
      <c r="DF174" s="171">
        <f t="shared" ca="1" si="145"/>
        <v>9.4193409331710151E-2</v>
      </c>
      <c r="DG174" s="171">
        <f t="shared" ca="1" si="146"/>
        <v>8.9424130427517581E-2</v>
      </c>
      <c r="DH174" s="171">
        <f t="shared" ca="1" si="147"/>
        <v>8.4896333612436731E-2</v>
      </c>
      <c r="DI174" s="171">
        <f t="shared" ca="1" si="148"/>
        <v>8.0597791964844165E-2</v>
      </c>
      <c r="DJ174" s="171">
        <f t="shared" ca="1" si="149"/>
        <v>7.6516897646763393E-2</v>
      </c>
      <c r="DK174" s="171">
        <f t="shared" ca="1" si="150"/>
        <v>7.2642630557907553E-2</v>
      </c>
      <c r="DL174" s="171">
        <f t="shared" ca="1" si="151"/>
        <v>6.8964528576856837E-2</v>
      </c>
      <c r="DM174" s="171">
        <f t="shared" ca="1" si="152"/>
        <v>6.5472659309009237E-2</v>
      </c>
      <c r="DN174" s="171">
        <f t="shared" ca="1" si="153"/>
        <v>6.2157593265012412E-2</v>
      </c>
      <c r="DO174" s="171">
        <f t="shared" ca="1" si="154"/>
        <v>5.9010378397247702E-2</v>
      </c>
      <c r="DP174" s="171">
        <f t="shared" ca="1" si="155"/>
        <v>0</v>
      </c>
      <c r="DQ174" s="171">
        <f t="shared" ca="1" si="156"/>
        <v>0</v>
      </c>
      <c r="DR174" s="171">
        <f t="shared" ca="1" si="157"/>
        <v>0</v>
      </c>
      <c r="DS174" s="171">
        <f t="shared" ca="1" si="158"/>
        <v>0</v>
      </c>
      <c r="DT174" s="171">
        <f t="shared" ca="1" si="159"/>
        <v>0</v>
      </c>
      <c r="DU174" s="171">
        <f t="shared" ca="1" si="160"/>
        <v>0</v>
      </c>
      <c r="DV174" s="171">
        <f t="shared" ca="1" si="161"/>
        <v>0</v>
      </c>
      <c r="DW174" s="171">
        <f t="shared" ca="1" si="162"/>
        <v>0</v>
      </c>
      <c r="DX174" s="171">
        <f t="shared" ca="1" si="163"/>
        <v>0</v>
      </c>
      <c r="DY174" s="171">
        <f t="shared" ca="1" si="164"/>
        <v>0</v>
      </c>
      <c r="DZ174" s="171">
        <f t="shared" ca="1" si="165"/>
        <v>0</v>
      </c>
      <c r="EA174" s="171">
        <f t="shared" ca="1" si="166"/>
        <v>0</v>
      </c>
      <c r="EB174" s="171">
        <f t="shared" ca="1" si="167"/>
        <v>0</v>
      </c>
      <c r="EC174" s="171">
        <f t="shared" ca="1" si="168"/>
        <v>0</v>
      </c>
      <c r="ED174" s="171">
        <f t="shared" ca="1" si="169"/>
        <v>0</v>
      </c>
      <c r="EE174" s="171">
        <f t="shared" ca="1" si="170"/>
        <v>0</v>
      </c>
      <c r="EF174" s="171">
        <f t="shared" ca="1" si="171"/>
        <v>0</v>
      </c>
      <c r="EG174" s="171">
        <f t="shared" ca="1" si="172"/>
        <v>0</v>
      </c>
      <c r="EH174" s="171">
        <f t="shared" ca="1" si="173"/>
        <v>0</v>
      </c>
      <c r="EI174" s="171">
        <f t="shared" ca="1" si="174"/>
        <v>0</v>
      </c>
      <c r="EJ174" s="171">
        <f t="shared" ca="1" si="175"/>
        <v>0</v>
      </c>
      <c r="EK174" s="171">
        <f t="shared" ca="1" si="176"/>
        <v>0</v>
      </c>
      <c r="EL174" s="171">
        <f t="shared" ca="1" si="177"/>
        <v>0</v>
      </c>
      <c r="EM174" s="171">
        <f t="shared" ca="1" si="178"/>
        <v>0</v>
      </c>
      <c r="EN174" s="171">
        <f t="shared" ca="1" si="179"/>
        <v>0</v>
      </c>
      <c r="EO174" s="171">
        <f t="shared" ca="1" si="180"/>
        <v>0</v>
      </c>
      <c r="EP174" s="171">
        <f t="shared" ca="1" si="181"/>
        <v>0</v>
      </c>
      <c r="EQ174" s="171">
        <f t="shared" ca="1" si="182"/>
        <v>0</v>
      </c>
      <c r="ER174" s="171">
        <f t="shared" ca="1" si="183"/>
        <v>0</v>
      </c>
      <c r="ES174" s="171">
        <f t="shared" ca="1" si="184"/>
        <v>0</v>
      </c>
    </row>
    <row r="175" spans="1:149">
      <c r="A175" s="139" t="s">
        <v>528</v>
      </c>
      <c r="B175" s="160" t="s">
        <v>529</v>
      </c>
      <c r="C175" s="160" t="s">
        <v>412</v>
      </c>
      <c r="D175" s="161" t="s">
        <v>394</v>
      </c>
      <c r="E175" s="160">
        <v>2020</v>
      </c>
      <c r="F175" s="194" t="s">
        <v>395</v>
      </c>
      <c r="G175" s="194" t="s">
        <v>289</v>
      </c>
      <c r="H175" s="194" t="s">
        <v>396</v>
      </c>
      <c r="I175" s="194" t="s">
        <v>180</v>
      </c>
      <c r="J175" s="194" t="s">
        <v>397</v>
      </c>
      <c r="K175" s="187">
        <v>0.52500000000000002</v>
      </c>
      <c r="L175" s="163" t="s">
        <v>110</v>
      </c>
      <c r="M175" s="164">
        <f t="shared" si="115"/>
        <v>0.52500000000000002</v>
      </c>
      <c r="N175" s="164">
        <f t="shared" si="116"/>
        <v>0.52500000000000002</v>
      </c>
      <c r="O175" s="165">
        <f t="shared" si="117"/>
        <v>1</v>
      </c>
      <c r="P175" s="190">
        <v>5.2999999999999999E-2</v>
      </c>
      <c r="Q175" s="191">
        <v>25</v>
      </c>
      <c r="R175" s="168">
        <f t="shared" si="204"/>
        <v>21</v>
      </c>
      <c r="S175" s="178">
        <v>0</v>
      </c>
      <c r="T175" s="174" t="s">
        <v>289</v>
      </c>
      <c r="U175" s="171">
        <f t="shared" si="119"/>
        <v>2.8937999999999992E-2</v>
      </c>
      <c r="V175" s="171">
        <f t="shared" ca="1" si="120"/>
        <v>1.8667291186440647E-2</v>
      </c>
      <c r="W175" s="171">
        <f t="shared" ca="1" si="185"/>
        <v>0.46668227966101616</v>
      </c>
      <c r="X175" s="172" t="str">
        <f t="shared" si="121"/>
        <v>Equity</v>
      </c>
      <c r="Y175" s="172" t="str">
        <f t="shared" si="122"/>
        <v>Equity</v>
      </c>
      <c r="Z175" s="173">
        <f t="shared" si="123"/>
        <v>0.72344999999999982</v>
      </c>
      <c r="AA175" s="171">
        <f t="shared" si="217"/>
        <v>0</v>
      </c>
      <c r="AB175" s="171">
        <f t="shared" si="217"/>
        <v>0</v>
      </c>
      <c r="AC175" s="171">
        <f t="shared" si="217"/>
        <v>0</v>
      </c>
      <c r="AD175" s="171">
        <f t="shared" si="217"/>
        <v>0</v>
      </c>
      <c r="AE175" s="171">
        <f t="shared" si="217"/>
        <v>0</v>
      </c>
      <c r="AF175" s="171">
        <f t="shared" si="217"/>
        <v>0</v>
      </c>
      <c r="AG175" s="171">
        <f t="shared" si="217"/>
        <v>0</v>
      </c>
      <c r="AH175" s="171">
        <f t="shared" si="217"/>
        <v>0</v>
      </c>
      <c r="AI175" s="171">
        <f t="shared" si="217"/>
        <v>0</v>
      </c>
      <c r="AJ175" s="171">
        <f t="shared" si="217"/>
        <v>0</v>
      </c>
      <c r="AK175" s="171">
        <f t="shared" si="218"/>
        <v>2.7824999999999999E-2</v>
      </c>
      <c r="AL175" s="171">
        <f t="shared" si="218"/>
        <v>2.7824999999999999E-2</v>
      </c>
      <c r="AM175" s="171">
        <f t="shared" si="218"/>
        <v>2.7824999999999999E-2</v>
      </c>
      <c r="AN175" s="171">
        <f t="shared" si="218"/>
        <v>2.7824999999999999E-2</v>
      </c>
      <c r="AO175" s="171">
        <f t="shared" si="218"/>
        <v>2.7824999999999999E-2</v>
      </c>
      <c r="AP175" s="171">
        <f t="shared" si="218"/>
        <v>2.7824999999999999E-2</v>
      </c>
      <c r="AQ175" s="171">
        <f t="shared" si="218"/>
        <v>2.7824999999999999E-2</v>
      </c>
      <c r="AR175" s="171">
        <f t="shared" si="218"/>
        <v>2.7824999999999999E-2</v>
      </c>
      <c r="AS175" s="171">
        <f t="shared" si="218"/>
        <v>2.7824999999999999E-2</v>
      </c>
      <c r="AT175" s="171">
        <f t="shared" si="218"/>
        <v>2.7824999999999999E-2</v>
      </c>
      <c r="AU175" s="171">
        <f t="shared" si="219"/>
        <v>2.7824999999999999E-2</v>
      </c>
      <c r="AV175" s="171">
        <f t="shared" si="219"/>
        <v>2.7824999999999999E-2</v>
      </c>
      <c r="AW175" s="171">
        <f t="shared" si="219"/>
        <v>2.7824999999999999E-2</v>
      </c>
      <c r="AX175" s="171">
        <f t="shared" si="219"/>
        <v>2.7824999999999999E-2</v>
      </c>
      <c r="AY175" s="171">
        <f t="shared" si="219"/>
        <v>2.7824999999999999E-2</v>
      </c>
      <c r="AZ175" s="171">
        <f t="shared" si="219"/>
        <v>2.7824999999999999E-2</v>
      </c>
      <c r="BA175" s="171">
        <f t="shared" si="219"/>
        <v>2.7824999999999999E-2</v>
      </c>
      <c r="BB175" s="171">
        <f t="shared" si="219"/>
        <v>2.7824999999999999E-2</v>
      </c>
      <c r="BC175" s="171">
        <f t="shared" si="219"/>
        <v>2.7824999999999999E-2</v>
      </c>
      <c r="BD175" s="171">
        <f t="shared" si="219"/>
        <v>2.7824999999999999E-2</v>
      </c>
      <c r="BE175" s="171">
        <f t="shared" si="220"/>
        <v>2.7824999999999999E-2</v>
      </c>
      <c r="BF175" s="171">
        <f t="shared" si="220"/>
        <v>2.7824999999999999E-2</v>
      </c>
      <c r="BG175" s="171">
        <f t="shared" si="220"/>
        <v>2.7824999999999999E-2</v>
      </c>
      <c r="BH175" s="171">
        <f t="shared" si="220"/>
        <v>2.7824999999999999E-2</v>
      </c>
      <c r="BI175" s="171">
        <f t="shared" si="220"/>
        <v>2.7824999999999999E-2</v>
      </c>
      <c r="BJ175" s="171">
        <f t="shared" si="220"/>
        <v>2.7824999999999999E-2</v>
      </c>
      <c r="BK175" s="171">
        <f t="shared" si="220"/>
        <v>0</v>
      </c>
      <c r="BL175" s="171">
        <f t="shared" si="220"/>
        <v>0</v>
      </c>
      <c r="BM175" s="171">
        <f t="shared" si="220"/>
        <v>0</v>
      </c>
      <c r="BN175" s="171">
        <f t="shared" si="220"/>
        <v>0</v>
      </c>
      <c r="BO175" s="171">
        <f t="shared" si="221"/>
        <v>0</v>
      </c>
      <c r="BP175" s="171">
        <f t="shared" si="221"/>
        <v>0</v>
      </c>
      <c r="BQ175" s="171">
        <f t="shared" si="221"/>
        <v>0</v>
      </c>
      <c r="BR175" s="171">
        <f t="shared" si="221"/>
        <v>0</v>
      </c>
      <c r="BS175" s="171">
        <f t="shared" si="221"/>
        <v>0</v>
      </c>
      <c r="BT175" s="171">
        <f t="shared" si="221"/>
        <v>0</v>
      </c>
      <c r="BU175" s="171">
        <f t="shared" si="221"/>
        <v>0</v>
      </c>
      <c r="BV175" s="171">
        <f t="shared" si="221"/>
        <v>0</v>
      </c>
      <c r="BW175" s="171">
        <f t="shared" si="221"/>
        <v>0</v>
      </c>
      <c r="BX175" s="171">
        <f t="shared" si="221"/>
        <v>0</v>
      </c>
      <c r="BY175" s="171">
        <f t="shared" si="222"/>
        <v>0</v>
      </c>
      <c r="BZ175" s="171">
        <f t="shared" si="222"/>
        <v>0</v>
      </c>
      <c r="CA175" s="171">
        <f t="shared" si="222"/>
        <v>0</v>
      </c>
      <c r="CB175" s="171">
        <f t="shared" si="222"/>
        <v>0</v>
      </c>
      <c r="CC175" s="171">
        <f t="shared" si="222"/>
        <v>0</v>
      </c>
      <c r="CD175" s="171">
        <f t="shared" si="222"/>
        <v>0</v>
      </c>
      <c r="CE175" s="171">
        <f t="shared" si="222"/>
        <v>0</v>
      </c>
      <c r="CF175" s="171">
        <f t="shared" si="222"/>
        <v>0</v>
      </c>
      <c r="CG175" s="171">
        <f t="shared" si="222"/>
        <v>0</v>
      </c>
      <c r="CH175" s="171">
        <f t="shared" si="222"/>
        <v>0</v>
      </c>
      <c r="CI175" s="171">
        <f t="shared" si="222"/>
        <v>0</v>
      </c>
      <c r="CJ175" s="243"/>
      <c r="CK175" s="171">
        <f t="shared" si="124"/>
        <v>0</v>
      </c>
      <c r="CL175" s="171">
        <f t="shared" si="125"/>
        <v>0</v>
      </c>
      <c r="CM175" s="171">
        <f t="shared" si="126"/>
        <v>0</v>
      </c>
      <c r="CN175" s="171">
        <f t="shared" si="127"/>
        <v>0</v>
      </c>
      <c r="CO175" s="171">
        <f t="shared" si="128"/>
        <v>0</v>
      </c>
      <c r="CP175" s="171">
        <f t="shared" si="129"/>
        <v>0</v>
      </c>
      <c r="CQ175" s="171">
        <f t="shared" si="130"/>
        <v>0</v>
      </c>
      <c r="CR175" s="171">
        <f t="shared" si="131"/>
        <v>0</v>
      </c>
      <c r="CS175" s="171">
        <f t="shared" si="132"/>
        <v>0</v>
      </c>
      <c r="CT175" s="171">
        <f t="shared" si="133"/>
        <v>0</v>
      </c>
      <c r="CU175" s="171">
        <f t="shared" si="134"/>
        <v>2.7824999999999999E-2</v>
      </c>
      <c r="CV175" s="171">
        <f t="shared" si="135"/>
        <v>2.7824999999999999E-2</v>
      </c>
      <c r="CW175" s="171">
        <f t="shared" si="136"/>
        <v>2.7824999999999999E-2</v>
      </c>
      <c r="CX175" s="171">
        <f t="shared" si="137"/>
        <v>2.7824999999999999E-2</v>
      </c>
      <c r="CY175" s="171">
        <f t="shared" ca="1" si="138"/>
        <v>2.6416141498638978E-2</v>
      </c>
      <c r="CZ175" s="171">
        <f t="shared" ca="1" si="139"/>
        <v>2.5078617490606161E-2</v>
      </c>
      <c r="DA175" s="171">
        <f t="shared" ca="1" si="140"/>
        <v>2.3808816108610773E-2</v>
      </c>
      <c r="DB175" s="171">
        <f t="shared" ca="1" si="141"/>
        <v>2.2603308364425416E-2</v>
      </c>
      <c r="DC175" s="171">
        <f t="shared" ca="1" si="142"/>
        <v>2.1458838889201502E-2</v>
      </c>
      <c r="DD175" s="171">
        <f t="shared" ca="1" si="143"/>
        <v>2.0372317142628708E-2</v>
      </c>
      <c r="DE175" s="171">
        <f t="shared" ca="1" si="144"/>
        <v>1.9340809067199587E-2</v>
      </c>
      <c r="DF175" s="171">
        <f t="shared" ca="1" si="145"/>
        <v>1.8361529165042374E-2</v>
      </c>
      <c r="DG175" s="171">
        <f t="shared" ca="1" si="146"/>
        <v>1.7431832975926174E-2</v>
      </c>
      <c r="DH175" s="171">
        <f t="shared" ca="1" si="147"/>
        <v>1.6549209936126033E-2</v>
      </c>
      <c r="DI175" s="171">
        <f t="shared" ca="1" si="148"/>
        <v>1.5711276598863878E-2</v>
      </c>
      <c r="DJ175" s="171">
        <f t="shared" ca="1" si="149"/>
        <v>1.4915770198017739E-2</v>
      </c>
      <c r="DK175" s="171">
        <f t="shared" ca="1" si="150"/>
        <v>1.4160542537718559E-2</v>
      </c>
      <c r="DL175" s="171">
        <f t="shared" ca="1" si="151"/>
        <v>1.3443554191334044E-2</v>
      </c>
      <c r="DM175" s="171">
        <f t="shared" ca="1" si="152"/>
        <v>1.2762868994174349E-2</v>
      </c>
      <c r="DN175" s="171">
        <f t="shared" ca="1" si="153"/>
        <v>1.2116648815047679E-2</v>
      </c>
      <c r="DO175" s="171">
        <f t="shared" ca="1" si="154"/>
        <v>1.1503148592546843E-2</v>
      </c>
      <c r="DP175" s="171">
        <f t="shared" ca="1" si="155"/>
        <v>1.0920711622662612E-2</v>
      </c>
      <c r="DQ175" s="171">
        <f t="shared" ca="1" si="156"/>
        <v>1.0367765084998629E-2</v>
      </c>
      <c r="DR175" s="171">
        <f t="shared" ca="1" si="157"/>
        <v>9.8428157955066514E-3</v>
      </c>
      <c r="DS175" s="171">
        <f t="shared" ca="1" si="158"/>
        <v>9.3444461742728645E-3</v>
      </c>
      <c r="DT175" s="171">
        <f t="shared" ca="1" si="159"/>
        <v>8.8713104174665842E-3</v>
      </c>
      <c r="DU175" s="171">
        <f t="shared" ca="1" si="160"/>
        <v>0</v>
      </c>
      <c r="DV175" s="171">
        <f t="shared" ca="1" si="161"/>
        <v>0</v>
      </c>
      <c r="DW175" s="171">
        <f t="shared" ca="1" si="162"/>
        <v>0</v>
      </c>
      <c r="DX175" s="171">
        <f t="shared" ca="1" si="163"/>
        <v>0</v>
      </c>
      <c r="DY175" s="171">
        <f t="shared" ca="1" si="164"/>
        <v>0</v>
      </c>
      <c r="DZ175" s="171">
        <f t="shared" ca="1" si="165"/>
        <v>0</v>
      </c>
      <c r="EA175" s="171">
        <f t="shared" ca="1" si="166"/>
        <v>0</v>
      </c>
      <c r="EB175" s="171">
        <f t="shared" ca="1" si="167"/>
        <v>0</v>
      </c>
      <c r="EC175" s="171">
        <f t="shared" ca="1" si="168"/>
        <v>0</v>
      </c>
      <c r="ED175" s="171">
        <f t="shared" ca="1" si="169"/>
        <v>0</v>
      </c>
      <c r="EE175" s="171">
        <f t="shared" ca="1" si="170"/>
        <v>0</v>
      </c>
      <c r="EF175" s="171">
        <f t="shared" ca="1" si="171"/>
        <v>0</v>
      </c>
      <c r="EG175" s="171">
        <f t="shared" ca="1" si="172"/>
        <v>0</v>
      </c>
      <c r="EH175" s="171">
        <f t="shared" ca="1" si="173"/>
        <v>0</v>
      </c>
      <c r="EI175" s="171">
        <f t="shared" ca="1" si="174"/>
        <v>0</v>
      </c>
      <c r="EJ175" s="171">
        <f t="shared" ca="1" si="175"/>
        <v>0</v>
      </c>
      <c r="EK175" s="171">
        <f t="shared" ca="1" si="176"/>
        <v>0</v>
      </c>
      <c r="EL175" s="171">
        <f t="shared" ca="1" si="177"/>
        <v>0</v>
      </c>
      <c r="EM175" s="171">
        <f t="shared" ca="1" si="178"/>
        <v>0</v>
      </c>
      <c r="EN175" s="171">
        <f t="shared" ca="1" si="179"/>
        <v>0</v>
      </c>
      <c r="EO175" s="171">
        <f t="shared" ca="1" si="180"/>
        <v>0</v>
      </c>
      <c r="EP175" s="171">
        <f t="shared" ca="1" si="181"/>
        <v>0</v>
      </c>
      <c r="EQ175" s="171">
        <f t="shared" ca="1" si="182"/>
        <v>0</v>
      </c>
      <c r="ER175" s="171">
        <f t="shared" ca="1" si="183"/>
        <v>0</v>
      </c>
      <c r="ES175" s="171">
        <f t="shared" ca="1" si="184"/>
        <v>0</v>
      </c>
    </row>
    <row r="176" spans="1:149">
      <c r="A176" s="139" t="s">
        <v>530</v>
      </c>
      <c r="B176" s="160" t="s">
        <v>409</v>
      </c>
      <c r="C176" s="160" t="s">
        <v>29</v>
      </c>
      <c r="D176" s="161" t="s">
        <v>394</v>
      </c>
      <c r="E176" s="160">
        <v>2016</v>
      </c>
      <c r="F176" s="160" t="s">
        <v>395</v>
      </c>
      <c r="G176" s="160" t="s">
        <v>402</v>
      </c>
      <c r="H176" s="160" t="s">
        <v>396</v>
      </c>
      <c r="I176" s="160" t="s">
        <v>178</v>
      </c>
      <c r="J176" s="160" t="s">
        <v>397</v>
      </c>
      <c r="K176" s="187">
        <f>72*1.0866</f>
        <v>78.235200000000006</v>
      </c>
      <c r="L176" s="163" t="s">
        <v>110</v>
      </c>
      <c r="M176" s="164">
        <f t="shared" si="115"/>
        <v>78.235200000000006</v>
      </c>
      <c r="N176" s="164">
        <f t="shared" si="116"/>
        <v>78.235200000000006</v>
      </c>
      <c r="O176" s="165">
        <f t="shared" si="117"/>
        <v>1</v>
      </c>
      <c r="P176" s="190">
        <v>3.5000000000000003E-2</v>
      </c>
      <c r="Q176" s="191">
        <v>26</v>
      </c>
      <c r="R176" s="168">
        <f t="shared" si="204"/>
        <v>18</v>
      </c>
      <c r="S176" s="183">
        <v>6.9579862261231415</v>
      </c>
      <c r="T176" s="170" t="s">
        <v>403</v>
      </c>
      <c r="U176" s="171">
        <f t="shared" si="119"/>
        <v>4.9654410749097373</v>
      </c>
      <c r="V176" s="171">
        <f t="shared" ca="1" si="120"/>
        <v>3.4355964696693206</v>
      </c>
      <c r="W176" s="171">
        <f t="shared" ca="1" si="185"/>
        <v>89.325508211402337</v>
      </c>
      <c r="X176" s="172">
        <f t="shared" si="121"/>
        <v>0.24812075576545634</v>
      </c>
      <c r="Y176" s="172">
        <f t="shared" si="122"/>
        <v>0.75187924423454366</v>
      </c>
      <c r="Z176" s="173">
        <f t="shared" si="123"/>
        <v>129.10146794765316</v>
      </c>
      <c r="AA176" s="171">
        <f t="shared" si="217"/>
        <v>0</v>
      </c>
      <c r="AB176" s="171">
        <f t="shared" si="217"/>
        <v>0</v>
      </c>
      <c r="AC176" s="171">
        <f t="shared" si="217"/>
        <v>0</v>
      </c>
      <c r="AD176" s="171">
        <f t="shared" si="217"/>
        <v>0</v>
      </c>
      <c r="AE176" s="171">
        <f t="shared" si="217"/>
        <v>0</v>
      </c>
      <c r="AF176" s="171">
        <f t="shared" si="217"/>
        <v>0</v>
      </c>
      <c r="AG176" s="171">
        <f t="shared" si="217"/>
        <v>2.7382320000000004</v>
      </c>
      <c r="AH176" s="171">
        <f t="shared" si="217"/>
        <v>2.7382320000000004</v>
      </c>
      <c r="AI176" s="171">
        <f t="shared" si="217"/>
        <v>2.7382320000000004</v>
      </c>
      <c r="AJ176" s="171">
        <f t="shared" si="217"/>
        <v>2.7382320000000004</v>
      </c>
      <c r="AK176" s="171">
        <f t="shared" si="218"/>
        <v>2.7382320000000004</v>
      </c>
      <c r="AL176" s="171">
        <f t="shared" si="218"/>
        <v>2.7382320000000004</v>
      </c>
      <c r="AM176" s="171">
        <f t="shared" si="218"/>
        <v>2.7382320000000004</v>
      </c>
      <c r="AN176" s="171">
        <f t="shared" si="218"/>
        <v>5.4966921973826599</v>
      </c>
      <c r="AO176" s="171">
        <f t="shared" si="218"/>
        <v>5.4966921973826599</v>
      </c>
      <c r="AP176" s="171">
        <f t="shared" si="218"/>
        <v>5.4966921973826599</v>
      </c>
      <c r="AQ176" s="171">
        <f t="shared" si="218"/>
        <v>5.4966921973826599</v>
      </c>
      <c r="AR176" s="171">
        <f t="shared" si="218"/>
        <v>5.4966921973826599</v>
      </c>
      <c r="AS176" s="171">
        <f t="shared" si="218"/>
        <v>5.4966921973826599</v>
      </c>
      <c r="AT176" s="171">
        <f t="shared" si="218"/>
        <v>5.4966921973826599</v>
      </c>
      <c r="AU176" s="171">
        <f t="shared" si="219"/>
        <v>5.4966921973826599</v>
      </c>
      <c r="AV176" s="171">
        <f t="shared" si="219"/>
        <v>5.4966921973826599</v>
      </c>
      <c r="AW176" s="171">
        <f t="shared" si="219"/>
        <v>5.4966921973826599</v>
      </c>
      <c r="AX176" s="171">
        <f t="shared" si="219"/>
        <v>5.4966921973826599</v>
      </c>
      <c r="AY176" s="171">
        <f t="shared" si="219"/>
        <v>5.4966921973826599</v>
      </c>
      <c r="AZ176" s="171">
        <f t="shared" si="219"/>
        <v>5.4966921973826599</v>
      </c>
      <c r="BA176" s="171">
        <f t="shared" si="219"/>
        <v>5.4966921973826599</v>
      </c>
      <c r="BB176" s="171">
        <f t="shared" si="219"/>
        <v>5.4966921973826599</v>
      </c>
      <c r="BC176" s="171">
        <f t="shared" si="219"/>
        <v>5.4966921973826599</v>
      </c>
      <c r="BD176" s="171">
        <f t="shared" si="219"/>
        <v>5.4966921973826599</v>
      </c>
      <c r="BE176" s="171">
        <f t="shared" si="220"/>
        <v>5.4966921973826599</v>
      </c>
      <c r="BF176" s="171">
        <f t="shared" si="220"/>
        <v>5.4966921973826599</v>
      </c>
      <c r="BG176" s="171">
        <f t="shared" si="220"/>
        <v>5.4966921973826599</v>
      </c>
      <c r="BH176" s="171">
        <f t="shared" si="220"/>
        <v>0</v>
      </c>
      <c r="BI176" s="171">
        <f t="shared" si="220"/>
        <v>0</v>
      </c>
      <c r="BJ176" s="171">
        <f t="shared" si="220"/>
        <v>0</v>
      </c>
      <c r="BK176" s="171">
        <f t="shared" si="220"/>
        <v>0</v>
      </c>
      <c r="BL176" s="171">
        <f t="shared" si="220"/>
        <v>0</v>
      </c>
      <c r="BM176" s="171">
        <f t="shared" si="220"/>
        <v>0</v>
      </c>
      <c r="BN176" s="171">
        <f t="shared" si="220"/>
        <v>0</v>
      </c>
      <c r="BO176" s="171">
        <f t="shared" si="221"/>
        <v>0</v>
      </c>
      <c r="BP176" s="171">
        <f t="shared" si="221"/>
        <v>0</v>
      </c>
      <c r="BQ176" s="171">
        <f t="shared" si="221"/>
        <v>0</v>
      </c>
      <c r="BR176" s="171">
        <f t="shared" si="221"/>
        <v>0</v>
      </c>
      <c r="BS176" s="171">
        <f t="shared" si="221"/>
        <v>0</v>
      </c>
      <c r="BT176" s="171">
        <f t="shared" si="221"/>
        <v>0</v>
      </c>
      <c r="BU176" s="171">
        <f t="shared" si="221"/>
        <v>0</v>
      </c>
      <c r="BV176" s="171">
        <f t="shared" si="221"/>
        <v>0</v>
      </c>
      <c r="BW176" s="171">
        <f t="shared" si="221"/>
        <v>0</v>
      </c>
      <c r="BX176" s="171">
        <f t="shared" si="221"/>
        <v>0</v>
      </c>
      <c r="BY176" s="171">
        <f t="shared" si="222"/>
        <v>0</v>
      </c>
      <c r="BZ176" s="171">
        <f t="shared" si="222"/>
        <v>0</v>
      </c>
      <c r="CA176" s="171">
        <f t="shared" si="222"/>
        <v>0</v>
      </c>
      <c r="CB176" s="171">
        <f t="shared" si="222"/>
        <v>0</v>
      </c>
      <c r="CC176" s="171">
        <f t="shared" si="222"/>
        <v>0</v>
      </c>
      <c r="CD176" s="171">
        <f t="shared" si="222"/>
        <v>0</v>
      </c>
      <c r="CE176" s="171">
        <f t="shared" si="222"/>
        <v>0</v>
      </c>
      <c r="CF176" s="171">
        <f t="shared" si="222"/>
        <v>0</v>
      </c>
      <c r="CG176" s="171">
        <f t="shared" si="222"/>
        <v>0</v>
      </c>
      <c r="CH176" s="171">
        <f t="shared" si="222"/>
        <v>0</v>
      </c>
      <c r="CI176" s="171">
        <f t="shared" si="222"/>
        <v>0</v>
      </c>
      <c r="CJ176" s="243"/>
      <c r="CK176" s="171">
        <f t="shared" si="124"/>
        <v>0</v>
      </c>
      <c r="CL176" s="171">
        <f t="shared" si="125"/>
        <v>0</v>
      </c>
      <c r="CM176" s="171">
        <f t="shared" si="126"/>
        <v>0</v>
      </c>
      <c r="CN176" s="171">
        <f t="shared" si="127"/>
        <v>0</v>
      </c>
      <c r="CO176" s="171">
        <f t="shared" si="128"/>
        <v>0</v>
      </c>
      <c r="CP176" s="171">
        <f t="shared" si="129"/>
        <v>0</v>
      </c>
      <c r="CQ176" s="171">
        <f t="shared" si="130"/>
        <v>2.7382320000000004</v>
      </c>
      <c r="CR176" s="171">
        <f t="shared" si="131"/>
        <v>2.7382320000000004</v>
      </c>
      <c r="CS176" s="171">
        <f t="shared" si="132"/>
        <v>2.7382320000000004</v>
      </c>
      <c r="CT176" s="171">
        <f t="shared" si="133"/>
        <v>2.7382320000000004</v>
      </c>
      <c r="CU176" s="171">
        <f t="shared" si="134"/>
        <v>2.7382320000000004</v>
      </c>
      <c r="CV176" s="171">
        <f t="shared" si="135"/>
        <v>2.7382320000000004</v>
      </c>
      <c r="CW176" s="171">
        <f t="shared" si="136"/>
        <v>2.7382320000000004</v>
      </c>
      <c r="CX176" s="171">
        <f t="shared" si="137"/>
        <v>5.4966921973826599</v>
      </c>
      <c r="CY176" s="171">
        <f t="shared" ca="1" si="138"/>
        <v>5.218379114484283</v>
      </c>
      <c r="CZ176" s="171">
        <f t="shared" ca="1" si="139"/>
        <v>4.9541578106652002</v>
      </c>
      <c r="DA176" s="171">
        <f t="shared" ca="1" si="140"/>
        <v>4.7033147792675445</v>
      </c>
      <c r="DB176" s="171">
        <f t="shared" ca="1" si="141"/>
        <v>4.465172640494929</v>
      </c>
      <c r="DC176" s="171">
        <f t="shared" ca="1" si="142"/>
        <v>4.2390883122072056</v>
      </c>
      <c r="DD176" s="171">
        <f t="shared" ca="1" si="143"/>
        <v>4.024451273333054</v>
      </c>
      <c r="DE176" s="171">
        <f t="shared" ca="1" si="144"/>
        <v>3.8206819152109173</v>
      </c>
      <c r="DF176" s="171">
        <f t="shared" ca="1" si="145"/>
        <v>3.6272299764062019</v>
      </c>
      <c r="DG176" s="171">
        <f t="shared" ca="1" si="146"/>
        <v>3.4435730567781193</v>
      </c>
      <c r="DH176" s="171">
        <f t="shared" ca="1" si="147"/>
        <v>3.2692152067835241</v>
      </c>
      <c r="DI176" s="171">
        <f t="shared" ca="1" si="148"/>
        <v>3.1036855882082968</v>
      </c>
      <c r="DJ176" s="171">
        <f t="shared" ca="1" si="149"/>
        <v>2.9465372027096826</v>
      </c>
      <c r="DK176" s="171">
        <f t="shared" ca="1" si="150"/>
        <v>2.7973456847361313</v>
      </c>
      <c r="DL176" s="171">
        <f t="shared" ca="1" si="151"/>
        <v>2.6557081555650242</v>
      </c>
      <c r="DM176" s="171">
        <f t="shared" ca="1" si="152"/>
        <v>2.5212421353637096</v>
      </c>
      <c r="DN176" s="171">
        <f t="shared" ca="1" si="153"/>
        <v>2.3935845103359727</v>
      </c>
      <c r="DO176" s="171">
        <f t="shared" ca="1" si="154"/>
        <v>2.2723905521647998</v>
      </c>
      <c r="DP176" s="171">
        <f t="shared" ca="1" si="155"/>
        <v>2.1573329871035294</v>
      </c>
      <c r="DQ176" s="171">
        <f t="shared" ca="1" si="156"/>
        <v>2.0481011122015573</v>
      </c>
      <c r="DR176" s="171">
        <f t="shared" ca="1" si="157"/>
        <v>0</v>
      </c>
      <c r="DS176" s="171">
        <f t="shared" ca="1" si="158"/>
        <v>0</v>
      </c>
      <c r="DT176" s="171">
        <f t="shared" ca="1" si="159"/>
        <v>0</v>
      </c>
      <c r="DU176" s="171">
        <f t="shared" ca="1" si="160"/>
        <v>0</v>
      </c>
      <c r="DV176" s="171">
        <f t="shared" ca="1" si="161"/>
        <v>0</v>
      </c>
      <c r="DW176" s="171">
        <f t="shared" ca="1" si="162"/>
        <v>0</v>
      </c>
      <c r="DX176" s="171">
        <f t="shared" ca="1" si="163"/>
        <v>0</v>
      </c>
      <c r="DY176" s="171">
        <f t="shared" ca="1" si="164"/>
        <v>0</v>
      </c>
      <c r="DZ176" s="171">
        <f t="shared" ca="1" si="165"/>
        <v>0</v>
      </c>
      <c r="EA176" s="171">
        <f t="shared" ca="1" si="166"/>
        <v>0</v>
      </c>
      <c r="EB176" s="171">
        <f t="shared" ca="1" si="167"/>
        <v>0</v>
      </c>
      <c r="EC176" s="171">
        <f t="shared" ca="1" si="168"/>
        <v>0</v>
      </c>
      <c r="ED176" s="171">
        <f t="shared" ca="1" si="169"/>
        <v>0</v>
      </c>
      <c r="EE176" s="171">
        <f t="shared" ca="1" si="170"/>
        <v>0</v>
      </c>
      <c r="EF176" s="171">
        <f t="shared" ca="1" si="171"/>
        <v>0</v>
      </c>
      <c r="EG176" s="171">
        <f t="shared" ca="1" si="172"/>
        <v>0</v>
      </c>
      <c r="EH176" s="171">
        <f t="shared" ca="1" si="173"/>
        <v>0</v>
      </c>
      <c r="EI176" s="171">
        <f t="shared" ca="1" si="174"/>
        <v>0</v>
      </c>
      <c r="EJ176" s="171">
        <f t="shared" ca="1" si="175"/>
        <v>0</v>
      </c>
      <c r="EK176" s="171">
        <f t="shared" ca="1" si="176"/>
        <v>0</v>
      </c>
      <c r="EL176" s="171">
        <f t="shared" ca="1" si="177"/>
        <v>0</v>
      </c>
      <c r="EM176" s="171">
        <f t="shared" ca="1" si="178"/>
        <v>0</v>
      </c>
      <c r="EN176" s="171">
        <f t="shared" ca="1" si="179"/>
        <v>0</v>
      </c>
      <c r="EO176" s="171">
        <f t="shared" ca="1" si="180"/>
        <v>0</v>
      </c>
      <c r="EP176" s="171">
        <f t="shared" ca="1" si="181"/>
        <v>0</v>
      </c>
      <c r="EQ176" s="171">
        <f t="shared" ca="1" si="182"/>
        <v>0</v>
      </c>
      <c r="ER176" s="171">
        <f t="shared" ca="1" si="183"/>
        <v>0</v>
      </c>
      <c r="ES176" s="171">
        <f t="shared" ca="1" si="184"/>
        <v>0</v>
      </c>
    </row>
    <row r="177" spans="1:149">
      <c r="A177" s="139" t="s">
        <v>530</v>
      </c>
      <c r="B177" s="160" t="s">
        <v>531</v>
      </c>
      <c r="C177" s="161" t="s">
        <v>29</v>
      </c>
      <c r="D177" s="161" t="s">
        <v>394</v>
      </c>
      <c r="E177" s="161">
        <v>2016</v>
      </c>
      <c r="F177" s="189" t="s">
        <v>395</v>
      </c>
      <c r="G177" s="161" t="s">
        <v>402</v>
      </c>
      <c r="H177" s="189" t="s">
        <v>396</v>
      </c>
      <c r="I177" s="189" t="s">
        <v>176</v>
      </c>
      <c r="J177" s="189" t="s">
        <v>397</v>
      </c>
      <c r="K177" s="188">
        <f>72*1.0866</f>
        <v>78.235200000000006</v>
      </c>
      <c r="L177" s="163" t="s">
        <v>110</v>
      </c>
      <c r="M177" s="164">
        <f t="shared" ref="M177:M240" si="223">IFERROR(K177*HLOOKUP(E177,$C$37:$BL$39,3,FALSE)/VLOOKUP(L177,$C$37:$BJ$44,MATCH(E177,$C$37:$BL$37,0),FALSE),"")</f>
        <v>78.235200000000006</v>
      </c>
      <c r="N177" s="164">
        <f t="shared" ref="N177:N240" si="224">IFERROR(K177*HLOOKUP(E177,$C$37:$BL$39,2,FALSE)/VLOOKUP(L177,$C$37:$BJ$44,MATCH(E177,$C$37:$BL$37,0),FALSE),"")</f>
        <v>78.235200000000006</v>
      </c>
      <c r="O177" s="165">
        <f t="shared" ref="O177:O240" si="225">IFERROR(IF($B$5="Foreign Currency",HLOOKUP(E177,$D$37:$BL$39,2,FALSE)/VLOOKUP(L177,$C$38:$BJ$44,MATCH(E177,$C$37:$BL$37,0),FALSE),HLOOKUP(E177,$D$37:$BL$39,3,FALSE)/VLOOKUP(L177,$C$38:$BJ$44,MATCH(E177,$C$37:$BL$37,0),FALSE)),"")</f>
        <v>1</v>
      </c>
      <c r="P177" s="180">
        <v>2.8480255890268378E-3</v>
      </c>
      <c r="Q177" s="183">
        <v>32.538891448812343</v>
      </c>
      <c r="R177" s="168">
        <f t="shared" ref="R177:R208" si="226">IFERROR(IF($Q177="","",IF(($Q177-($B$9-$E177))&lt;=0,0,(Q177-($B$9-$E177)))),"NA")</f>
        <v>24.538891448812343</v>
      </c>
      <c r="S177" s="186">
        <v>10</v>
      </c>
      <c r="T177" s="170" t="s">
        <v>403</v>
      </c>
      <c r="U177" s="171">
        <f t="shared" ref="U177:U240" si="227">IFERROR(SUM(AA177:CI177)/(Q177), 0)</f>
        <v>2.5007626235897908</v>
      </c>
      <c r="V177" s="171">
        <f t="shared" ref="V177:V240" ca="1" si="228">IFERROR(SUM(CK177:ES177)/(Q177),0)</f>
        <v>1.3136548562768879</v>
      </c>
      <c r="W177" s="171">
        <f t="shared" ref="W177:W240" ca="1" si="229">SUM(CK177:ES177)</f>
        <v>42.744872769598835</v>
      </c>
      <c r="X177" s="172">
        <f t="shared" ref="X177:X240" si="230">IFERROR(IF(T177="Equity", "Equity", 1-Y177), 0)</f>
        <v>4.7780668390429937E-2</v>
      </c>
      <c r="Y177" s="172">
        <f t="shared" ref="Y177:Y240" si="231">IFERROR(IF(ISNUMBER(SEARCH("EPP",T177)),(1-((P177/$B$12)/(((1+$B$11)^(1/$B$12))-1)))  *  (1-  (((1/((1+((((1+$B$11)^(1/$B$12))-1)))^($B$12*S177)))-(1/((1+((((1+$B$11)^(1/$B$12))-1)))^($B$12*(Q177+S177)))))/(((((1+$B$11)^(1/$B$12))-1))*(($B$12*(Q177+S177))-($B$12*S177))))),IF(ISNUMBER(SEARCH("Lump",T177)),(1-((1+P177*(Q177+S177))/((1+$B$11)^(Q177+S177)))),IF((T177="Equity"),"Equity",""))),"ERROR")</f>
        <v>0.95221933160957006</v>
      </c>
      <c r="Z177" s="173">
        <f t="shared" ref="Z177:Z240" si="232">SUM(AA177:CI177)</f>
        <v>81.372043548235368</v>
      </c>
      <c r="AA177" s="171">
        <f t="shared" si="217"/>
        <v>0</v>
      </c>
      <c r="AB177" s="171">
        <f t="shared" si="217"/>
        <v>0</v>
      </c>
      <c r="AC177" s="171">
        <f t="shared" si="217"/>
        <v>0</v>
      </c>
      <c r="AD177" s="171">
        <f t="shared" si="217"/>
        <v>0</v>
      </c>
      <c r="AE177" s="171">
        <f t="shared" si="217"/>
        <v>0</v>
      </c>
      <c r="AF177" s="171">
        <f t="shared" si="217"/>
        <v>0</v>
      </c>
      <c r="AG177" s="171">
        <f t="shared" si="217"/>
        <v>0.22281585156263248</v>
      </c>
      <c r="AH177" s="171">
        <f t="shared" si="217"/>
        <v>0.22281585156263248</v>
      </c>
      <c r="AI177" s="171">
        <f t="shared" si="217"/>
        <v>0.22281585156263248</v>
      </c>
      <c r="AJ177" s="171">
        <f t="shared" si="217"/>
        <v>0.22281585156263248</v>
      </c>
      <c r="AK177" s="171">
        <f t="shared" si="218"/>
        <v>0.22281585156263248</v>
      </c>
      <c r="AL177" s="171">
        <f t="shared" si="218"/>
        <v>0.22281585156263248</v>
      </c>
      <c r="AM177" s="171">
        <f t="shared" si="218"/>
        <v>0.22281585156263248</v>
      </c>
      <c r="AN177" s="171">
        <f t="shared" si="218"/>
        <v>0.22281585156263248</v>
      </c>
      <c r="AO177" s="171">
        <f t="shared" si="218"/>
        <v>0.22281585156263248</v>
      </c>
      <c r="AP177" s="171">
        <f t="shared" si="218"/>
        <v>0.22281585156263248</v>
      </c>
      <c r="AQ177" s="171">
        <f t="shared" si="218"/>
        <v>3.4410384796786553</v>
      </c>
      <c r="AR177" s="171">
        <f t="shared" si="218"/>
        <v>3.4410384796786553</v>
      </c>
      <c r="AS177" s="171">
        <f t="shared" si="218"/>
        <v>3.4410384796786553</v>
      </c>
      <c r="AT177" s="171">
        <f t="shared" si="218"/>
        <v>3.4410384796786553</v>
      </c>
      <c r="AU177" s="171">
        <f t="shared" si="219"/>
        <v>3.4410384796786553</v>
      </c>
      <c r="AV177" s="171">
        <f t="shared" si="219"/>
        <v>3.4410384796786553</v>
      </c>
      <c r="AW177" s="171">
        <f t="shared" si="219"/>
        <v>3.4410384796786553</v>
      </c>
      <c r="AX177" s="171">
        <f t="shared" si="219"/>
        <v>3.4410384796786553</v>
      </c>
      <c r="AY177" s="171">
        <f t="shared" si="219"/>
        <v>3.4410384796786553</v>
      </c>
      <c r="AZ177" s="171">
        <f t="shared" si="219"/>
        <v>3.4410384796786553</v>
      </c>
      <c r="BA177" s="171">
        <f t="shared" si="219"/>
        <v>3.4410384796786553</v>
      </c>
      <c r="BB177" s="171">
        <f t="shared" si="219"/>
        <v>3.4410384796786553</v>
      </c>
      <c r="BC177" s="171">
        <f t="shared" si="219"/>
        <v>3.4410384796786553</v>
      </c>
      <c r="BD177" s="171">
        <f t="shared" si="219"/>
        <v>3.4410384796786553</v>
      </c>
      <c r="BE177" s="171">
        <f t="shared" si="220"/>
        <v>3.4410384796786553</v>
      </c>
      <c r="BF177" s="171">
        <f t="shared" si="220"/>
        <v>3.4410384796786553</v>
      </c>
      <c r="BG177" s="171">
        <f t="shared" si="220"/>
        <v>3.4410384796786553</v>
      </c>
      <c r="BH177" s="171">
        <f t="shared" si="220"/>
        <v>3.4410384796786553</v>
      </c>
      <c r="BI177" s="171">
        <f t="shared" si="220"/>
        <v>3.4410384796786553</v>
      </c>
      <c r="BJ177" s="171">
        <f t="shared" si="220"/>
        <v>3.4410384796786553</v>
      </c>
      <c r="BK177" s="171">
        <f t="shared" si="220"/>
        <v>3.4410384796786553</v>
      </c>
      <c r="BL177" s="171">
        <f t="shared" si="220"/>
        <v>3.4410384796786553</v>
      </c>
      <c r="BM177" s="171">
        <f t="shared" si="220"/>
        <v>3.4410384796786553</v>
      </c>
      <c r="BN177" s="171">
        <f t="shared" si="220"/>
        <v>0</v>
      </c>
      <c r="BO177" s="171">
        <f t="shared" si="221"/>
        <v>0</v>
      </c>
      <c r="BP177" s="171">
        <f t="shared" si="221"/>
        <v>0</v>
      </c>
      <c r="BQ177" s="171">
        <f t="shared" si="221"/>
        <v>0</v>
      </c>
      <c r="BR177" s="171">
        <f t="shared" si="221"/>
        <v>0</v>
      </c>
      <c r="BS177" s="171">
        <f t="shared" si="221"/>
        <v>0</v>
      </c>
      <c r="BT177" s="171">
        <f t="shared" si="221"/>
        <v>0</v>
      </c>
      <c r="BU177" s="171">
        <f t="shared" si="221"/>
        <v>0</v>
      </c>
      <c r="BV177" s="171">
        <f t="shared" si="221"/>
        <v>0</v>
      </c>
      <c r="BW177" s="171">
        <f t="shared" si="221"/>
        <v>0</v>
      </c>
      <c r="BX177" s="171">
        <f t="shared" si="221"/>
        <v>0</v>
      </c>
      <c r="BY177" s="171">
        <f t="shared" si="222"/>
        <v>0</v>
      </c>
      <c r="BZ177" s="171">
        <f t="shared" si="222"/>
        <v>0</v>
      </c>
      <c r="CA177" s="171">
        <f t="shared" si="222"/>
        <v>0</v>
      </c>
      <c r="CB177" s="171">
        <f t="shared" si="222"/>
        <v>0</v>
      </c>
      <c r="CC177" s="171">
        <f t="shared" si="222"/>
        <v>0</v>
      </c>
      <c r="CD177" s="171">
        <f t="shared" si="222"/>
        <v>0</v>
      </c>
      <c r="CE177" s="171">
        <f t="shared" si="222"/>
        <v>0</v>
      </c>
      <c r="CF177" s="171">
        <f t="shared" si="222"/>
        <v>0</v>
      </c>
      <c r="CG177" s="171">
        <f t="shared" si="222"/>
        <v>0</v>
      </c>
      <c r="CH177" s="171">
        <f t="shared" si="222"/>
        <v>0</v>
      </c>
      <c r="CI177" s="171">
        <f t="shared" si="222"/>
        <v>0</v>
      </c>
      <c r="CJ177" s="243"/>
      <c r="CK177" s="171">
        <f t="shared" ref="CK177:CK240" si="233">IF(CK$48&lt;$B$9,AA177,AA177*((1/(1+$B$10))^(CK$48-$B$9+1)))</f>
        <v>0</v>
      </c>
      <c r="CL177" s="171">
        <f t="shared" ref="CL177:CL240" si="234">IF(CL$48&lt;$B$9,AB177,AB177*((1/(1+$B$10))^(CL$48-$B$9+1)))</f>
        <v>0</v>
      </c>
      <c r="CM177" s="171">
        <f t="shared" ref="CM177:CM240" si="235">IF(CM$48&lt;$B$9,AC177,AC177*((1/(1+$B$10))^(CM$48-$B$9+1)))</f>
        <v>0</v>
      </c>
      <c r="CN177" s="171">
        <f t="shared" ref="CN177:CN240" si="236">IF(CN$48&lt;$B$9,AD177,AD177*((1/(1+$B$10))^(CN$48-$B$9+1)))</f>
        <v>0</v>
      </c>
      <c r="CO177" s="171">
        <f t="shared" ref="CO177:CO240" si="237">IF(CO$48&lt;$B$9,AE177,AE177*((1/(1+$B$10))^(CO$48-$B$9+1)))</f>
        <v>0</v>
      </c>
      <c r="CP177" s="171">
        <f t="shared" ref="CP177:CP240" si="238">IF(CP$48&lt;$B$9,AF177,AF177*((1/(1+$B$10))^(CP$48-$B$9+1)))</f>
        <v>0</v>
      </c>
      <c r="CQ177" s="171">
        <f t="shared" ref="CQ177:CQ240" si="239">IF(CQ$48&lt;$B$9,AG177,AG177*((1/(1+$B$10))^(CQ$48-$B$9+1)))</f>
        <v>0.22281585156263248</v>
      </c>
      <c r="CR177" s="171">
        <f t="shared" ref="CR177:CR240" si="240">IF(CR$48&lt;$B$9,AH177,AH177*((1/(1+$B$10))^(CR$48-$B$9+1)))</f>
        <v>0.22281585156263248</v>
      </c>
      <c r="CS177" s="171">
        <f t="shared" ref="CS177:CS240" si="241">IF(CS$48&lt;$B$9,AI177,AI177*((1/(1+$B$10))^(CS$48-$B$9+1)))</f>
        <v>0.22281585156263248</v>
      </c>
      <c r="CT177" s="171">
        <f t="shared" ref="CT177:CT240" si="242">IF(CT$48&lt;$B$9,AJ177,AJ177*((1/(1+$B$10))^(CT$48-$B$9+1)))</f>
        <v>0.22281585156263248</v>
      </c>
      <c r="CU177" s="171">
        <f t="shared" ref="CU177:CU240" si="243">IF(CU$48&lt;$B$9,AK177,AK177*((1/(1+$B$10))^(CU$48-$B$9+1)))</f>
        <v>0.22281585156263248</v>
      </c>
      <c r="CV177" s="171">
        <f t="shared" ref="CV177:CV240" si="244">IF(CV$48&lt;$B$9,AL177,AL177*((1/(1+$B$10))^(CV$48-$B$9+1)))</f>
        <v>0.22281585156263248</v>
      </c>
      <c r="CW177" s="171">
        <f t="shared" ref="CW177:CW240" si="245">IF(CW$48&lt;$B$9,AM177,AM177*((1/(1+$B$10))^(CW$48-$B$9+1)))</f>
        <v>0.22281585156263248</v>
      </c>
      <c r="CX177" s="171">
        <f t="shared" ref="CX177:CX240" si="246">IF(CX$48&lt;$B$9,AN177,AN177*((1/(1+$B$10))^(CX$48-$B$9+1)))</f>
        <v>0.22281585156263248</v>
      </c>
      <c r="CY177" s="171">
        <f t="shared" ref="CY177:CY240" ca="1" si="247">IF(CY$48&lt;$B$9,AO177,AO177*((1/(1+$B$10))^(CY$48-$B$9+1)))</f>
        <v>0.21153405437621703</v>
      </c>
      <c r="CZ177" s="171">
        <f t="shared" ref="CZ177:CZ240" ca="1" si="248">IF(CZ$48&lt;$B$9,AP177,AP177*((1/(1+$B$10))^(CZ$48-$B$9+1)))</f>
        <v>0.2008234865115163</v>
      </c>
      <c r="DA177" s="171">
        <f t="shared" ref="DA177:DA240" ca="1" si="249">IF(DA$48&lt;$B$9,AQ177,AQ177*((1/(1+$B$10))^(DA$48-$B$9+1)))</f>
        <v>2.9443684594904833</v>
      </c>
      <c r="DB177" s="171">
        <f t="shared" ref="DB177:DB240" ca="1" si="250">IF(DB$48&lt;$B$9,AR177,AR177*((1/(1+$B$10))^(DB$48-$B$9+1)))</f>
        <v>2.7952867511241788</v>
      </c>
      <c r="DC177" s="171">
        <f t="shared" ref="DC177:DC240" ca="1" si="251">IF(DC$48&lt;$B$9,AS177,AS177*((1/(1+$B$10))^(DC$48-$B$9+1)))</f>
        <v>2.6537534715891158</v>
      </c>
      <c r="DD177" s="171">
        <f t="shared" ref="DD177:DD240" ca="1" si="252">IF(DD$48&lt;$B$9,AT177,AT177*((1/(1+$B$10))^(DD$48-$B$9+1)))</f>
        <v>2.5193864225697213</v>
      </c>
      <c r="DE177" s="171">
        <f t="shared" ref="DE177:DE240" ca="1" si="253">IF(DE$48&lt;$B$9,AU177,AU177*((1/(1+$B$10))^(DE$48-$B$9+1)))</f>
        <v>2.3918227575328523</v>
      </c>
      <c r="DF177" s="171">
        <f t="shared" ref="DF177:DF240" ca="1" si="254">IF(DF$48&lt;$B$9,AV177,AV177*((1/(1+$B$10))^(DF$48-$B$9+1)))</f>
        <v>2.2707180018922806</v>
      </c>
      <c r="DG177" s="171">
        <f t="shared" ref="DG177:DG240" ca="1" si="255">IF(DG$48&lt;$B$9,AW177,AW177*((1/(1+$B$10))^(DG$48-$B$9+1)))</f>
        <v>2.1557451227850226</v>
      </c>
      <c r="DH177" s="171">
        <f t="shared" ref="DH177:DH240" ca="1" si="256">IF(DH$48&lt;$B$9,AX177,AX177*((1/(1+$B$10))^(DH$48-$B$9+1)))</f>
        <v>2.0465936459475298</v>
      </c>
      <c r="DI177" s="171">
        <f t="shared" ref="DI177:DI240" ca="1" si="257">IF(DI$48&lt;$B$9,AY177,AY177*((1/(1+$B$10))^(DI$48-$B$9+1)))</f>
        <v>1.9429688173069324</v>
      </c>
      <c r="DJ177" s="171">
        <f t="shared" ref="DJ177:DJ240" ca="1" si="258">IF(DJ$48&lt;$B$9,AZ177,AZ177*((1/(1+$B$10))^(DJ$48-$B$9+1)))</f>
        <v>1.8445908070232941</v>
      </c>
      <c r="DK177" s="171">
        <f t="shared" ref="DK177:DK240" ca="1" si="259">IF(DK$48&lt;$B$9,BA177,BA177*((1/(1+$B$10))^(DK$48-$B$9+1)))</f>
        <v>1.7511939538334591</v>
      </c>
      <c r="DL177" s="171">
        <f t="shared" ref="DL177:DL240" ca="1" si="260">IF(DL$48&lt;$B$9,BB177,BB177*((1/(1+$B$10))^(DL$48-$B$9+1)))</f>
        <v>1.6625260476559105</v>
      </c>
      <c r="DM177" s="171">
        <f t="shared" ref="DM177:DM240" ca="1" si="261">IF(DM$48&lt;$B$9,BC177,BC177*((1/(1+$B$10))^(DM$48-$B$9+1)))</f>
        <v>1.5783476485193728</v>
      </c>
      <c r="DN177" s="171">
        <f t="shared" ref="DN177:DN240" ca="1" si="262">IF(DN$48&lt;$B$9,BD177,BD177*((1/(1+$B$10))^(DN$48-$B$9+1)))</f>
        <v>1.4984314399759875</v>
      </c>
      <c r="DO177" s="171">
        <f t="shared" ref="DO177:DO240" ca="1" si="263">IF(DO$48&lt;$B$9,BE177,BE177*((1/(1+$B$10))^(DO$48-$B$9+1)))</f>
        <v>1.4225616152530116</v>
      </c>
      <c r="DP177" s="171">
        <f t="shared" ref="DP177:DP240" ca="1" si="264">IF(DP$48&lt;$B$9,BF177,BF177*((1/(1+$B$10))^(DP$48-$B$9+1)))</f>
        <v>1.3505332944853898</v>
      </c>
      <c r="DQ177" s="171">
        <f t="shared" ref="DQ177:DQ240" ca="1" si="265">IF(DQ$48&lt;$B$9,BG177,BG177*((1/(1+$B$10))^(DQ$48-$B$9+1)))</f>
        <v>1.2821519714554943</v>
      </c>
      <c r="DR177" s="171">
        <f t="shared" ref="DR177:DR240" ca="1" si="266">IF(DR$48&lt;$B$9,BH177,BH177*((1/(1+$B$10))^(DR$48-$B$9+1)))</f>
        <v>1.2172329883459931</v>
      </c>
      <c r="DS177" s="171">
        <f t="shared" ref="DS177:DS240" ca="1" si="267">IF(DS$48&lt;$B$9,BI177,BI177*((1/(1+$B$10))^(DS$48-$B$9+1)))</f>
        <v>1.1556010370874727</v>
      </c>
      <c r="DT177" s="171">
        <f t="shared" ref="DT177:DT240" ca="1" si="268">IF(DT$48&lt;$B$9,BJ177,BJ177*((1/(1+$B$10))^(DT$48-$B$9+1)))</f>
        <v>1.0970896859542365</v>
      </c>
      <c r="DU177" s="171">
        <f t="shared" ref="DU177:DU240" ca="1" si="269">IF(DU$48&lt;$B$9,BK177,BK177*((1/(1+$B$10))^(DU$48-$B$9+1)))</f>
        <v>1.0415409301299015</v>
      </c>
      <c r="DV177" s="171">
        <f t="shared" ref="DV177:DV240" ca="1" si="270">IF(DV$48&lt;$B$9,BL177,BL177*((1/(1+$B$10))^(DV$48-$B$9+1)))</f>
        <v>0.98880476502912984</v>
      </c>
      <c r="DW177" s="171">
        <f t="shared" ref="DW177:DW240" ca="1" si="271">IF(DW$48&lt;$B$9,BM177,BM177*((1/(1+$B$10))^(DW$48-$B$9+1)))</f>
        <v>0.93873878122328713</v>
      </c>
      <c r="DX177" s="171">
        <f t="shared" ref="DX177:DX240" ca="1" si="272">IF(DX$48&lt;$B$9,BN177,BN177*((1/(1+$B$10))^(DX$48-$B$9+1)))</f>
        <v>0</v>
      </c>
      <c r="DY177" s="171">
        <f t="shared" ref="DY177:DY240" ca="1" si="273">IF(DY$48&lt;$B$9,BO177,BO177*((1/(1+$B$10))^(DY$48-$B$9+1)))</f>
        <v>0</v>
      </c>
      <c r="DZ177" s="171">
        <f t="shared" ref="DZ177:DZ240" ca="1" si="274">IF(DZ$48&lt;$B$9,BP177,BP177*((1/(1+$B$10))^(DZ$48-$B$9+1)))</f>
        <v>0</v>
      </c>
      <c r="EA177" s="171">
        <f t="shared" ref="EA177:EA240" ca="1" si="275">IF(EA$48&lt;$B$9,BQ177,BQ177*((1/(1+$B$10))^(EA$48-$B$9+1)))</f>
        <v>0</v>
      </c>
      <c r="EB177" s="171">
        <f t="shared" ref="EB177:EB240" ca="1" si="276">IF(EB$48&lt;$B$9,BR177,BR177*((1/(1+$B$10))^(EB$48-$B$9+1)))</f>
        <v>0</v>
      </c>
      <c r="EC177" s="171">
        <f t="shared" ref="EC177:EC240" ca="1" si="277">IF(EC$48&lt;$B$9,BS177,BS177*((1/(1+$B$10))^(EC$48-$B$9+1)))</f>
        <v>0</v>
      </c>
      <c r="ED177" s="171">
        <f t="shared" ref="ED177:ED240" ca="1" si="278">IF(ED$48&lt;$B$9,BT177,BT177*((1/(1+$B$10))^(ED$48-$B$9+1)))</f>
        <v>0</v>
      </c>
      <c r="EE177" s="171">
        <f t="shared" ref="EE177:EE240" ca="1" si="279">IF(EE$48&lt;$B$9,BU177,BU177*((1/(1+$B$10))^(EE$48-$B$9+1)))</f>
        <v>0</v>
      </c>
      <c r="EF177" s="171">
        <f t="shared" ref="EF177:EF240" ca="1" si="280">IF(EF$48&lt;$B$9,BV177,BV177*((1/(1+$B$10))^(EF$48-$B$9+1)))</f>
        <v>0</v>
      </c>
      <c r="EG177" s="171">
        <f t="shared" ref="EG177:EG240" ca="1" si="281">IF(EG$48&lt;$B$9,BW177,BW177*((1/(1+$B$10))^(EG$48-$B$9+1)))</f>
        <v>0</v>
      </c>
      <c r="EH177" s="171">
        <f t="shared" ref="EH177:EH240" ca="1" si="282">IF(EH$48&lt;$B$9,BX177,BX177*((1/(1+$B$10))^(EH$48-$B$9+1)))</f>
        <v>0</v>
      </c>
      <c r="EI177" s="171">
        <f t="shared" ref="EI177:EI240" ca="1" si="283">IF(EI$48&lt;$B$9,BY177,BY177*((1/(1+$B$10))^(EI$48-$B$9+1)))</f>
        <v>0</v>
      </c>
      <c r="EJ177" s="171">
        <f t="shared" ref="EJ177:EJ240" ca="1" si="284">IF(EJ$48&lt;$B$9,BZ177,BZ177*((1/(1+$B$10))^(EJ$48-$B$9+1)))</f>
        <v>0</v>
      </c>
      <c r="EK177" s="171">
        <f t="shared" ref="EK177:EK240" ca="1" si="285">IF(EK$48&lt;$B$9,CA177,CA177*((1/(1+$B$10))^(EK$48-$B$9+1)))</f>
        <v>0</v>
      </c>
      <c r="EL177" s="171">
        <f t="shared" ref="EL177:EL240" ca="1" si="286">IF(EL$48&lt;$B$9,CB177,CB177*((1/(1+$B$10))^(EL$48-$B$9+1)))</f>
        <v>0</v>
      </c>
      <c r="EM177" s="171">
        <f t="shared" ref="EM177:EM240" ca="1" si="287">IF(EM$48&lt;$B$9,CC177,CC177*((1/(1+$B$10))^(EM$48-$B$9+1)))</f>
        <v>0</v>
      </c>
      <c r="EN177" s="171">
        <f t="shared" ref="EN177:EN240" ca="1" si="288">IF(EN$48&lt;$B$9,CD177,CD177*((1/(1+$B$10))^(EN$48-$B$9+1)))</f>
        <v>0</v>
      </c>
      <c r="EO177" s="171">
        <f t="shared" ref="EO177:EO240" ca="1" si="289">IF(EO$48&lt;$B$9,CE177,CE177*((1/(1+$B$10))^(EO$48-$B$9+1)))</f>
        <v>0</v>
      </c>
      <c r="EP177" s="171">
        <f t="shared" ref="EP177:EP240" ca="1" si="290">IF(EP$48&lt;$B$9,CF177,CF177*((1/(1+$B$10))^(EP$48-$B$9+1)))</f>
        <v>0</v>
      </c>
      <c r="EQ177" s="171">
        <f t="shared" ref="EQ177:EQ240" ca="1" si="291">IF(EQ$48&lt;$B$9,CG177,CG177*((1/(1+$B$10))^(EQ$48-$B$9+1)))</f>
        <v>0</v>
      </c>
      <c r="ER177" s="171">
        <f t="shared" ref="ER177:ER240" ca="1" si="292">IF(ER$48&lt;$B$9,CH177,CH177*((1/(1+$B$10))^(ER$48-$B$9+1)))</f>
        <v>0</v>
      </c>
      <c r="ES177" s="171">
        <f t="shared" ref="ES177:ES240" ca="1" si="293">IF(ES$48&lt;$B$9,CI177,CI177*((1/(1+$B$10))^(ES$48-$B$9+1)))</f>
        <v>0</v>
      </c>
    </row>
    <row r="178" spans="1:149">
      <c r="A178" s="139" t="s">
        <v>532</v>
      </c>
      <c r="B178" s="160" t="s">
        <v>459</v>
      </c>
      <c r="C178" s="160" t="s">
        <v>29</v>
      </c>
      <c r="D178" s="160" t="s">
        <v>394</v>
      </c>
      <c r="E178" s="160">
        <v>2012</v>
      </c>
      <c r="F178" s="194" t="s">
        <v>395</v>
      </c>
      <c r="G178" s="194" t="s">
        <v>402</v>
      </c>
      <c r="H178" s="194" t="s">
        <v>396</v>
      </c>
      <c r="I178" s="189" t="s">
        <v>176</v>
      </c>
      <c r="J178" s="194" t="s">
        <v>397</v>
      </c>
      <c r="K178" s="187">
        <v>85</v>
      </c>
      <c r="L178" s="163" t="s">
        <v>110</v>
      </c>
      <c r="M178" s="164">
        <f t="shared" si="223"/>
        <v>85</v>
      </c>
      <c r="N178" s="164">
        <f t="shared" si="224"/>
        <v>85</v>
      </c>
      <c r="O178" s="165">
        <f t="shared" si="225"/>
        <v>1</v>
      </c>
      <c r="P178" s="190">
        <v>6.3399999999999998E-2</v>
      </c>
      <c r="Q178" s="191">
        <v>19</v>
      </c>
      <c r="R178" s="168">
        <f t="shared" si="226"/>
        <v>7</v>
      </c>
      <c r="S178" s="178">
        <v>0</v>
      </c>
      <c r="T178" s="160" t="s">
        <v>398</v>
      </c>
      <c r="U178" s="171">
        <f t="shared" si="227"/>
        <v>8.0174036299844698</v>
      </c>
      <c r="V178" s="171">
        <f t="shared" ca="1" si="228"/>
        <v>7.3667964070815737</v>
      </c>
      <c r="W178" s="171">
        <f t="shared" ca="1" si="229"/>
        <v>139.9691317345499</v>
      </c>
      <c r="X178" s="172">
        <f t="shared" si="230"/>
        <v>0.53347183773299189</v>
      </c>
      <c r="Y178" s="172">
        <f t="shared" si="231"/>
        <v>0.46652816226700816</v>
      </c>
      <c r="Z178" s="173">
        <f t="shared" si="232"/>
        <v>152.33066896970493</v>
      </c>
      <c r="AA178" s="171">
        <f t="shared" si="217"/>
        <v>0</v>
      </c>
      <c r="AB178" s="171">
        <f t="shared" si="217"/>
        <v>0</v>
      </c>
      <c r="AC178" s="171">
        <f t="shared" si="217"/>
        <v>7.6165334484852467</v>
      </c>
      <c r="AD178" s="171">
        <f t="shared" si="217"/>
        <v>7.6165334484852467</v>
      </c>
      <c r="AE178" s="171">
        <f t="shared" si="217"/>
        <v>7.6165334484852467</v>
      </c>
      <c r="AF178" s="171">
        <f t="shared" si="217"/>
        <v>7.6165334484852467</v>
      </c>
      <c r="AG178" s="171">
        <f t="shared" si="217"/>
        <v>7.6165334484852467</v>
      </c>
      <c r="AH178" s="171">
        <f t="shared" si="217"/>
        <v>7.6165334484852467</v>
      </c>
      <c r="AI178" s="171">
        <f t="shared" si="217"/>
        <v>7.6165334484852467</v>
      </c>
      <c r="AJ178" s="171">
        <f t="shared" si="217"/>
        <v>7.6165334484852467</v>
      </c>
      <c r="AK178" s="171">
        <f t="shared" si="218"/>
        <v>7.6165334484852467</v>
      </c>
      <c r="AL178" s="171">
        <f t="shared" si="218"/>
        <v>7.6165334484852467</v>
      </c>
      <c r="AM178" s="171">
        <f t="shared" si="218"/>
        <v>7.6165334484852467</v>
      </c>
      <c r="AN178" s="171">
        <f t="shared" si="218"/>
        <v>7.6165334484852467</v>
      </c>
      <c r="AO178" s="171">
        <f t="shared" si="218"/>
        <v>7.6165334484852467</v>
      </c>
      <c r="AP178" s="171">
        <f t="shared" si="218"/>
        <v>7.6165334484852467</v>
      </c>
      <c r="AQ178" s="171">
        <f t="shared" si="218"/>
        <v>7.6165334484852467</v>
      </c>
      <c r="AR178" s="171">
        <f t="shared" si="218"/>
        <v>7.6165334484852467</v>
      </c>
      <c r="AS178" s="171">
        <f t="shared" si="218"/>
        <v>7.6165334484852467</v>
      </c>
      <c r="AT178" s="171">
        <f t="shared" si="218"/>
        <v>7.6165334484852467</v>
      </c>
      <c r="AU178" s="171">
        <f t="shared" si="219"/>
        <v>7.6165334484852467</v>
      </c>
      <c r="AV178" s="171">
        <f t="shared" si="219"/>
        <v>7.6165334484852467</v>
      </c>
      <c r="AW178" s="171">
        <f t="shared" si="219"/>
        <v>0</v>
      </c>
      <c r="AX178" s="171">
        <f t="shared" si="219"/>
        <v>0</v>
      </c>
      <c r="AY178" s="171">
        <f t="shared" si="219"/>
        <v>0</v>
      </c>
      <c r="AZ178" s="171">
        <f t="shared" si="219"/>
        <v>0</v>
      </c>
      <c r="BA178" s="171">
        <f t="shared" si="219"/>
        <v>0</v>
      </c>
      <c r="BB178" s="171">
        <f t="shared" si="219"/>
        <v>0</v>
      </c>
      <c r="BC178" s="171">
        <f t="shared" si="219"/>
        <v>0</v>
      </c>
      <c r="BD178" s="171">
        <f t="shared" si="219"/>
        <v>0</v>
      </c>
      <c r="BE178" s="171">
        <f t="shared" si="220"/>
        <v>0</v>
      </c>
      <c r="BF178" s="171">
        <f t="shared" si="220"/>
        <v>0</v>
      </c>
      <c r="BG178" s="171">
        <f t="shared" si="220"/>
        <v>0</v>
      </c>
      <c r="BH178" s="171">
        <f t="shared" si="220"/>
        <v>0</v>
      </c>
      <c r="BI178" s="171">
        <f t="shared" si="220"/>
        <v>0</v>
      </c>
      <c r="BJ178" s="171">
        <f t="shared" si="220"/>
        <v>0</v>
      </c>
      <c r="BK178" s="171">
        <f t="shared" si="220"/>
        <v>0</v>
      </c>
      <c r="BL178" s="171">
        <f t="shared" si="220"/>
        <v>0</v>
      </c>
      <c r="BM178" s="171">
        <f t="shared" si="220"/>
        <v>0</v>
      </c>
      <c r="BN178" s="171">
        <f t="shared" si="220"/>
        <v>0</v>
      </c>
      <c r="BO178" s="171">
        <f t="shared" si="221"/>
        <v>0</v>
      </c>
      <c r="BP178" s="171">
        <f t="shared" si="221"/>
        <v>0</v>
      </c>
      <c r="BQ178" s="171">
        <f t="shared" si="221"/>
        <v>0</v>
      </c>
      <c r="BR178" s="171">
        <f t="shared" si="221"/>
        <v>0</v>
      </c>
      <c r="BS178" s="171">
        <f t="shared" si="221"/>
        <v>0</v>
      </c>
      <c r="BT178" s="171">
        <f t="shared" si="221"/>
        <v>0</v>
      </c>
      <c r="BU178" s="171">
        <f t="shared" si="221"/>
        <v>0</v>
      </c>
      <c r="BV178" s="171">
        <f t="shared" si="221"/>
        <v>0</v>
      </c>
      <c r="BW178" s="171">
        <f t="shared" si="221"/>
        <v>0</v>
      </c>
      <c r="BX178" s="171">
        <f t="shared" si="221"/>
        <v>0</v>
      </c>
      <c r="BY178" s="171">
        <f t="shared" si="222"/>
        <v>0</v>
      </c>
      <c r="BZ178" s="171">
        <f t="shared" si="222"/>
        <v>0</v>
      </c>
      <c r="CA178" s="171">
        <f t="shared" si="222"/>
        <v>0</v>
      </c>
      <c r="CB178" s="171">
        <f t="shared" si="222"/>
        <v>0</v>
      </c>
      <c r="CC178" s="171">
        <f t="shared" si="222"/>
        <v>0</v>
      </c>
      <c r="CD178" s="171">
        <f t="shared" si="222"/>
        <v>0</v>
      </c>
      <c r="CE178" s="171">
        <f t="shared" si="222"/>
        <v>0</v>
      </c>
      <c r="CF178" s="171">
        <f t="shared" si="222"/>
        <v>0</v>
      </c>
      <c r="CG178" s="171">
        <f t="shared" si="222"/>
        <v>0</v>
      </c>
      <c r="CH178" s="171">
        <f t="shared" si="222"/>
        <v>0</v>
      </c>
      <c r="CI178" s="171">
        <f t="shared" si="222"/>
        <v>0</v>
      </c>
      <c r="CJ178" s="243"/>
      <c r="CK178" s="171">
        <f t="shared" si="233"/>
        <v>0</v>
      </c>
      <c r="CL178" s="171">
        <f t="shared" si="234"/>
        <v>0</v>
      </c>
      <c r="CM178" s="171">
        <f t="shared" si="235"/>
        <v>7.6165334484852467</v>
      </c>
      <c r="CN178" s="171">
        <f t="shared" si="236"/>
        <v>7.6165334484852467</v>
      </c>
      <c r="CO178" s="171">
        <f t="shared" si="237"/>
        <v>7.6165334484852467</v>
      </c>
      <c r="CP178" s="171">
        <f t="shared" si="238"/>
        <v>7.6165334484852467</v>
      </c>
      <c r="CQ178" s="171">
        <f t="shared" si="239"/>
        <v>7.6165334484852467</v>
      </c>
      <c r="CR178" s="171">
        <f t="shared" si="240"/>
        <v>7.6165334484852467</v>
      </c>
      <c r="CS178" s="171">
        <f t="shared" si="241"/>
        <v>7.6165334484852467</v>
      </c>
      <c r="CT178" s="171">
        <f t="shared" si="242"/>
        <v>7.6165334484852467</v>
      </c>
      <c r="CU178" s="171">
        <f t="shared" si="243"/>
        <v>7.6165334484852467</v>
      </c>
      <c r="CV178" s="171">
        <f t="shared" si="244"/>
        <v>7.6165334484852467</v>
      </c>
      <c r="CW178" s="171">
        <f t="shared" si="245"/>
        <v>7.6165334484852467</v>
      </c>
      <c r="CX178" s="171">
        <f t="shared" si="246"/>
        <v>7.6165334484852467</v>
      </c>
      <c r="CY178" s="171">
        <f t="shared" ca="1" si="247"/>
        <v>7.2308868033891462</v>
      </c>
      <c r="CZ178" s="171">
        <f t="shared" ca="1" si="248"/>
        <v>6.8647665394058928</v>
      </c>
      <c r="DA178" s="171">
        <f t="shared" ca="1" si="249"/>
        <v>6.5171839805954468</v>
      </c>
      <c r="DB178" s="171">
        <f t="shared" ca="1" si="250"/>
        <v>6.1872005104787977</v>
      </c>
      <c r="DC178" s="171">
        <f t="shared" ca="1" si="251"/>
        <v>5.873925037385777</v>
      </c>
      <c r="DD178" s="171">
        <f t="shared" ca="1" si="252"/>
        <v>5.5765115881394767</v>
      </c>
      <c r="DE178" s="171">
        <f t="shared" ca="1" si="253"/>
        <v>5.2941570235792419</v>
      </c>
      <c r="DF178" s="171">
        <f t="shared" ca="1" si="254"/>
        <v>5.0260988697531941</v>
      </c>
      <c r="DG178" s="171">
        <f t="shared" ca="1" si="255"/>
        <v>0</v>
      </c>
      <c r="DH178" s="171">
        <f t="shared" ca="1" si="256"/>
        <v>0</v>
      </c>
      <c r="DI178" s="171">
        <f t="shared" ca="1" si="257"/>
        <v>0</v>
      </c>
      <c r="DJ178" s="171">
        <f t="shared" ca="1" si="258"/>
        <v>0</v>
      </c>
      <c r="DK178" s="171">
        <f t="shared" ca="1" si="259"/>
        <v>0</v>
      </c>
      <c r="DL178" s="171">
        <f t="shared" ca="1" si="260"/>
        <v>0</v>
      </c>
      <c r="DM178" s="171">
        <f t="shared" ca="1" si="261"/>
        <v>0</v>
      </c>
      <c r="DN178" s="171">
        <f t="shared" ca="1" si="262"/>
        <v>0</v>
      </c>
      <c r="DO178" s="171">
        <f t="shared" ca="1" si="263"/>
        <v>0</v>
      </c>
      <c r="DP178" s="171">
        <f t="shared" ca="1" si="264"/>
        <v>0</v>
      </c>
      <c r="DQ178" s="171">
        <f t="shared" ca="1" si="265"/>
        <v>0</v>
      </c>
      <c r="DR178" s="171">
        <f t="shared" ca="1" si="266"/>
        <v>0</v>
      </c>
      <c r="DS178" s="171">
        <f t="shared" ca="1" si="267"/>
        <v>0</v>
      </c>
      <c r="DT178" s="171">
        <f t="shared" ca="1" si="268"/>
        <v>0</v>
      </c>
      <c r="DU178" s="171">
        <f t="shared" ca="1" si="269"/>
        <v>0</v>
      </c>
      <c r="DV178" s="171">
        <f t="shared" ca="1" si="270"/>
        <v>0</v>
      </c>
      <c r="DW178" s="171">
        <f t="shared" ca="1" si="271"/>
        <v>0</v>
      </c>
      <c r="DX178" s="171">
        <f t="shared" ca="1" si="272"/>
        <v>0</v>
      </c>
      <c r="DY178" s="171">
        <f t="shared" ca="1" si="273"/>
        <v>0</v>
      </c>
      <c r="DZ178" s="171">
        <f t="shared" ca="1" si="274"/>
        <v>0</v>
      </c>
      <c r="EA178" s="171">
        <f t="shared" ca="1" si="275"/>
        <v>0</v>
      </c>
      <c r="EB178" s="171">
        <f t="shared" ca="1" si="276"/>
        <v>0</v>
      </c>
      <c r="EC178" s="171">
        <f t="shared" ca="1" si="277"/>
        <v>0</v>
      </c>
      <c r="ED178" s="171">
        <f t="shared" ca="1" si="278"/>
        <v>0</v>
      </c>
      <c r="EE178" s="171">
        <f t="shared" ca="1" si="279"/>
        <v>0</v>
      </c>
      <c r="EF178" s="171">
        <f t="shared" ca="1" si="280"/>
        <v>0</v>
      </c>
      <c r="EG178" s="171">
        <f t="shared" ca="1" si="281"/>
        <v>0</v>
      </c>
      <c r="EH178" s="171">
        <f t="shared" ca="1" si="282"/>
        <v>0</v>
      </c>
      <c r="EI178" s="171">
        <f t="shared" ca="1" si="283"/>
        <v>0</v>
      </c>
      <c r="EJ178" s="171">
        <f t="shared" ca="1" si="284"/>
        <v>0</v>
      </c>
      <c r="EK178" s="171">
        <f t="shared" ca="1" si="285"/>
        <v>0</v>
      </c>
      <c r="EL178" s="171">
        <f t="shared" ca="1" si="286"/>
        <v>0</v>
      </c>
      <c r="EM178" s="171">
        <f t="shared" ca="1" si="287"/>
        <v>0</v>
      </c>
      <c r="EN178" s="171">
        <f t="shared" ca="1" si="288"/>
        <v>0</v>
      </c>
      <c r="EO178" s="171">
        <f t="shared" ca="1" si="289"/>
        <v>0</v>
      </c>
      <c r="EP178" s="171">
        <f t="shared" ca="1" si="290"/>
        <v>0</v>
      </c>
      <c r="EQ178" s="171">
        <f t="shared" ca="1" si="291"/>
        <v>0</v>
      </c>
      <c r="ER178" s="171">
        <f t="shared" ca="1" si="292"/>
        <v>0</v>
      </c>
      <c r="ES178" s="171">
        <f t="shared" ca="1" si="293"/>
        <v>0</v>
      </c>
    </row>
    <row r="179" spans="1:149">
      <c r="A179" s="139" t="s">
        <v>533</v>
      </c>
      <c r="B179" s="160" t="s">
        <v>534</v>
      </c>
      <c r="C179" s="160" t="s">
        <v>29</v>
      </c>
      <c r="D179" s="161" t="s">
        <v>394</v>
      </c>
      <c r="E179" s="160">
        <v>2019</v>
      </c>
      <c r="F179" s="194" t="s">
        <v>395</v>
      </c>
      <c r="G179" s="160" t="s">
        <v>402</v>
      </c>
      <c r="H179" s="194" t="s">
        <v>396</v>
      </c>
      <c r="I179" s="189" t="s">
        <v>176</v>
      </c>
      <c r="J179" s="194" t="s">
        <v>397</v>
      </c>
      <c r="K179" s="187">
        <v>41.5</v>
      </c>
      <c r="L179" s="163" t="s">
        <v>110</v>
      </c>
      <c r="M179" s="164">
        <f t="shared" si="223"/>
        <v>41.5</v>
      </c>
      <c r="N179" s="164">
        <f t="shared" si="224"/>
        <v>41.5</v>
      </c>
      <c r="O179" s="165">
        <f t="shared" si="225"/>
        <v>1</v>
      </c>
      <c r="P179" s="190">
        <v>6.0400000000000002E-2</v>
      </c>
      <c r="Q179" s="191">
        <v>9</v>
      </c>
      <c r="R179" s="168">
        <f t="shared" si="226"/>
        <v>4</v>
      </c>
      <c r="S179" s="178">
        <v>0</v>
      </c>
      <c r="T179" s="170" t="s">
        <v>403</v>
      </c>
      <c r="U179" s="171">
        <f t="shared" si="227"/>
        <v>6.2769007334328633</v>
      </c>
      <c r="V179" s="171">
        <f t="shared" ca="1" si="228"/>
        <v>5.8311612029240365</v>
      </c>
      <c r="W179" s="171">
        <f t="shared" ca="1" si="229"/>
        <v>52.480450826316329</v>
      </c>
      <c r="X179" s="172">
        <f t="shared" si="230"/>
        <v>0.653235438660551</v>
      </c>
      <c r="Y179" s="172">
        <f t="shared" si="231"/>
        <v>0.346764561339449</v>
      </c>
      <c r="Z179" s="173">
        <f t="shared" si="232"/>
        <v>56.492106600895767</v>
      </c>
      <c r="AA179" s="171">
        <f t="shared" ref="AA179:AJ188" si="294">IFERROR(
    IF($T179="Equity",
        IF(AND(AA$48&gt;=$E179, AA$48&lt;=($E179+$Q179)),
$K179*$P179*(VLOOKUP($C$39,$C$37:$BL$44,MATCH($E179,$C$37:$BL$37,0),FALSE)/VLOOKUP($L179,$C$37:$BL$44,MATCH($E179,$C$37:$BL$37,0),FALSE))*
IF($B$5="Foreign Currency",VLOOKUP($C$38,$C$37:$BL$44,MATCH(AA$48,$C$37:$BL$37,0),FALSE)/VLOOKUP($C$39,$C$37:$BL$44,MATCH(AA$48,$C$37:$BL$37,0),FALSE),1),
0),
    IF($T179="Lump Sum Principal",
        IF(AND(AA$48&gt;=$E179, AA$48&lt;($E179+$Q179)),
$K179*$P179*(VLOOKUP($C$39,$C$37:$BL$44,MATCH($E179,$C$37:$BL$37,0),FALSE)/VLOOKUP($L179,$C$37:$BL$44,MATCH($E179,$C$37:$BL$37,0),FALSE))*
IF($B$5="Foreign Currency",VLOOKUP($C$38,$C$37:$BL$44,MATCH(AA$48,$C$37:$BL$37,0),FALSE)/VLOOKUP($C$39,$C$37:$BL$44,MATCH(AA$48,$C$37:$BL$37,0),FALSE),1),
        IF(AA$48=($E179+$Q179),
$K179*(1+$P179)*(VLOOKUP($C$39,$C$37:$BL$44,MATCH($E179,$C$37:$BL$37,0),FALSE)/VLOOKUP($L179,$C$37:$BL$44,MATCH($E179,$C$37:$BL$37,0),FALSE))*
IF($B$5="Foreign Currency",VLOOKUP($C$38,$C$37:$BL$44,MATCH(AA$48,$C$37:$BL$37,0),FALSE)/VLOOKUP($C$39,$C$37:$BL$44,MATCH(AA$48,$C$37:$BL$37,0),FALSE),1),
0)),
    IF($T179="Lump Sum Principal and Interest",
        IF(AA$48=($E179+$Q179),
$K179*((1+$P179)^$Q179)*(VLOOKUP($C$39,$C$37:$BL$44,MATCH($E179,$C$37:$BL$37,0),FALSE)/VLOOKUP($L179,$C$37:$BL$44,MATCH($E179,$C$37:$BL$37,0),FALSE))*
IF($B$5="Foreign Currency",VLOOKUP($C$38,$C$37:$BL$44,MATCH(AA$48,$C$37:$BL$37,0),FALSE)/VLOOKUP($C$39,$C$37:$BL$44,MATCH(AA$48,$C$37:$BL$37,0),FALSE),1),
0),
    IF($T179="EPP with Grace Years for Principal",
        IF(AND(AA$48&gt;=$E179, AA$48&lt;($E179+$S179)),
$K179*$P179*(VLOOKUP($C$39,$C$37:$BL$44,MATCH($E179,$C$37:$BL$37,0),FALSE)/VLOOKUP($L179,$C$37:$BL$44,MATCH($E179,$C$37:$BL$37,0),FALSE))*
IF($B$5="Foreign Currency",VLOOKUP($C$38,$C$37:$BL$44,MATCH(AA$48,$C$37:$BL$37,0),FALSE)/VLOOKUP($C$39,$C$37:$BL$44,MATCH(AA$48,$C$37:$BL$37,0),FALSE),1),
        IF(AND(AA$48&gt;=($E179+$S179), AA$48&lt;=($E179+$Q179)),
-PMT($P179,($Q179-$S179+1),($K179*(VLOOKUP($C$39,$C$37:$BL$44,MATCH($E179,$C$37:$BL$37,0),FALSE)/VLOOKUP($L179,$C$37:$BL$44,MATCH($E179,$C$37:$BL$37,0),FALSE))*
IF($B$5="Foreign Currency",VLOOKUP($C$38,$C$37:$BL$44,MATCH(AA$48,$C$37:$BL$37,0),FALSE)/VLOOKUP($C$39,$C$37:$BL$44,MATCH(AA$48,$C$37:$BL$37,0),FALSE),1)),0),
0)),
    IF($T179="Equal Principal Payments (EPP)",
        IF(AND(AA$48&gt;=$E179, AA$48&lt;=($E179+$Q179)),
-PMT($P179,($Q179-$S179+1),($K179*(VLOOKUP($C$39,$C$37:$BL$44,MATCH($E179,$C$37:$BL$37,0),FALSE)/VLOOKUP($L179,$C$37:$BL$44,MATCH($E179,$C$37:$BL$37,0),FALSE))*
IF($B$5="Foreign Currency",VLOOKUP($C$38,$C$37:$BL$44,MATCH(AA$48,$C$37:$BL$37,0),FALSE)/VLOOKUP($C$39,$C$37:$BL$44,MATCH(AA$48,$C$37:$BL$37,0),FALSE),1)),0), 0),
    IF($T179="EPP with Grace Years for Principal and on Interest",
        IF(AND(AA$48&gt;=($E179+$S179), AA$48&lt;=($E179+$Q179)),
-PMT($P179,($Q179-$S179+1),($K179*(VLOOKUP($C$39,$C$37:$BL$44,MATCH($E179,$C$37:$BL$37,0),FALSE)/VLOOKUP($L179,$C$37:$BL$44,MATCH($E179,$C$37:$BL$37,0),FALSE))*
IF($B$5="Foreign Currency",VLOOKUP($C$38,$C$37:$BL$44,MATCH(AA$48,$C$37:$BL$37,0),FALSE)/VLOOKUP($C$39,$C$37:$BL$44,MATCH(AA$48,$C$37:$BL$37,0),FALSE),1))*((1+$P179)^$S179),0), 0),
    0)))))),"")</f>
        <v>0</v>
      </c>
      <c r="AB179" s="171">
        <f t="shared" si="294"/>
        <v>0</v>
      </c>
      <c r="AC179" s="171">
        <f t="shared" si="294"/>
        <v>0</v>
      </c>
      <c r="AD179" s="171">
        <f t="shared" si="294"/>
        <v>0</v>
      </c>
      <c r="AE179" s="171">
        <f t="shared" si="294"/>
        <v>0</v>
      </c>
      <c r="AF179" s="171">
        <f t="shared" si="294"/>
        <v>0</v>
      </c>
      <c r="AG179" s="171">
        <f t="shared" si="294"/>
        <v>0</v>
      </c>
      <c r="AH179" s="171">
        <f t="shared" si="294"/>
        <v>0</v>
      </c>
      <c r="AI179" s="171">
        <f t="shared" si="294"/>
        <v>0</v>
      </c>
      <c r="AJ179" s="171">
        <f t="shared" si="294"/>
        <v>5.649210660089576</v>
      </c>
      <c r="AK179" s="171">
        <f t="shared" ref="AK179:AT188" si="295">IFERROR(
    IF($T179="Equity",
        IF(AND(AK$48&gt;=$E179, AK$48&lt;=($E179+$Q179)),
$K179*$P179*(VLOOKUP($C$39,$C$37:$BL$44,MATCH($E179,$C$37:$BL$37,0),FALSE)/VLOOKUP($L179,$C$37:$BL$44,MATCH($E179,$C$37:$BL$37,0),FALSE))*
IF($B$5="Foreign Currency",VLOOKUP($C$38,$C$37:$BL$44,MATCH(AK$48,$C$37:$BL$37,0),FALSE)/VLOOKUP($C$39,$C$37:$BL$44,MATCH(AK$48,$C$37:$BL$37,0),FALSE),1),
0),
    IF($T179="Lump Sum Principal",
        IF(AND(AK$48&gt;=$E179, AK$48&lt;($E179+$Q179)),
$K179*$P179*(VLOOKUP($C$39,$C$37:$BL$44,MATCH($E179,$C$37:$BL$37,0),FALSE)/VLOOKUP($L179,$C$37:$BL$44,MATCH($E179,$C$37:$BL$37,0),FALSE))*
IF($B$5="Foreign Currency",VLOOKUP($C$38,$C$37:$BL$44,MATCH(AK$48,$C$37:$BL$37,0),FALSE)/VLOOKUP($C$39,$C$37:$BL$44,MATCH(AK$48,$C$37:$BL$37,0),FALSE),1),
        IF(AK$48=($E179+$Q179),
$K179*(1+$P179)*(VLOOKUP($C$39,$C$37:$BL$44,MATCH($E179,$C$37:$BL$37,0),FALSE)/VLOOKUP($L179,$C$37:$BL$44,MATCH($E179,$C$37:$BL$37,0),FALSE))*
IF($B$5="Foreign Currency",VLOOKUP($C$38,$C$37:$BL$44,MATCH(AK$48,$C$37:$BL$37,0),FALSE)/VLOOKUP($C$39,$C$37:$BL$44,MATCH(AK$48,$C$37:$BL$37,0),FALSE),1),
0)),
    IF($T179="Lump Sum Principal and Interest",
        IF(AK$48=($E179+$Q179),
$K179*((1+$P179)^$Q179)*(VLOOKUP($C$39,$C$37:$BL$44,MATCH($E179,$C$37:$BL$37,0),FALSE)/VLOOKUP($L179,$C$37:$BL$44,MATCH($E179,$C$37:$BL$37,0),FALSE))*
IF($B$5="Foreign Currency",VLOOKUP($C$38,$C$37:$BL$44,MATCH(AK$48,$C$37:$BL$37,0),FALSE)/VLOOKUP($C$39,$C$37:$BL$44,MATCH(AK$48,$C$37:$BL$37,0),FALSE),1),
0),
    IF($T179="EPP with Grace Years for Principal",
        IF(AND(AK$48&gt;=$E179, AK$48&lt;($E179+$S179)),
$K179*$P179*(VLOOKUP($C$39,$C$37:$BL$44,MATCH($E179,$C$37:$BL$37,0),FALSE)/VLOOKUP($L179,$C$37:$BL$44,MATCH($E179,$C$37:$BL$37,0),FALSE))*
IF($B$5="Foreign Currency",VLOOKUP($C$38,$C$37:$BL$44,MATCH(AK$48,$C$37:$BL$37,0),FALSE)/VLOOKUP($C$39,$C$37:$BL$44,MATCH(AK$48,$C$37:$BL$37,0),FALSE),1),
        IF(AND(AK$48&gt;=($E179+$S179), AK$48&lt;=($E179+$Q179)),
-PMT($P179,($Q179-$S179+1),($K179*(VLOOKUP($C$39,$C$37:$BL$44,MATCH($E179,$C$37:$BL$37,0),FALSE)/VLOOKUP($L179,$C$37:$BL$44,MATCH($E179,$C$37:$BL$37,0),FALSE))*
IF($B$5="Foreign Currency",VLOOKUP($C$38,$C$37:$BL$44,MATCH(AK$48,$C$37:$BL$37,0),FALSE)/VLOOKUP($C$39,$C$37:$BL$44,MATCH(AK$48,$C$37:$BL$37,0),FALSE),1)),0),
0)),
    IF($T179="Equal Principal Payments (EPP)",
        IF(AND(AK$48&gt;=$E179, AK$48&lt;=($E179+$Q179)),
-PMT($P179,($Q179-$S179+1),($K179*(VLOOKUP($C$39,$C$37:$BL$44,MATCH($E179,$C$37:$BL$37,0),FALSE)/VLOOKUP($L179,$C$37:$BL$44,MATCH($E179,$C$37:$BL$37,0),FALSE))*
IF($B$5="Foreign Currency",VLOOKUP($C$38,$C$37:$BL$44,MATCH(AK$48,$C$37:$BL$37,0),FALSE)/VLOOKUP($C$39,$C$37:$BL$44,MATCH(AK$48,$C$37:$BL$37,0),FALSE),1)),0), 0),
    IF($T179="EPP with Grace Years for Principal and on Interest",
        IF(AND(AK$48&gt;=($E179+$S179), AK$48&lt;=($E179+$Q179)),
-PMT($P179,($Q179-$S179+1),($K179*(VLOOKUP($C$39,$C$37:$BL$44,MATCH($E179,$C$37:$BL$37,0),FALSE)/VLOOKUP($L179,$C$37:$BL$44,MATCH($E179,$C$37:$BL$37,0),FALSE))*
IF($B$5="Foreign Currency",VLOOKUP($C$38,$C$37:$BL$44,MATCH(AK$48,$C$37:$BL$37,0),FALSE)/VLOOKUP($C$39,$C$37:$BL$44,MATCH(AK$48,$C$37:$BL$37,0),FALSE),1))*((1+$P179)^$S179),0), 0),
    0)))))),"")</f>
        <v>5.649210660089576</v>
      </c>
      <c r="AL179" s="171">
        <f t="shared" si="295"/>
        <v>5.649210660089576</v>
      </c>
      <c r="AM179" s="171">
        <f t="shared" si="295"/>
        <v>5.649210660089576</v>
      </c>
      <c r="AN179" s="171">
        <f t="shared" si="295"/>
        <v>5.649210660089576</v>
      </c>
      <c r="AO179" s="171">
        <f t="shared" si="295"/>
        <v>5.649210660089576</v>
      </c>
      <c r="AP179" s="171">
        <f t="shared" si="295"/>
        <v>5.649210660089576</v>
      </c>
      <c r="AQ179" s="171">
        <f t="shared" si="295"/>
        <v>5.649210660089576</v>
      </c>
      <c r="AR179" s="171">
        <f t="shared" si="295"/>
        <v>5.649210660089576</v>
      </c>
      <c r="AS179" s="171">
        <f t="shared" si="295"/>
        <v>5.649210660089576</v>
      </c>
      <c r="AT179" s="171">
        <f t="shared" si="295"/>
        <v>0</v>
      </c>
      <c r="AU179" s="171">
        <f t="shared" ref="AU179:BD188" si="296">IFERROR(
    IF($T179="Equity",
        IF(AND(AU$48&gt;=$E179, AU$48&lt;=($E179+$Q179)),
$K179*$P179*(VLOOKUP($C$39,$C$37:$BL$44,MATCH($E179,$C$37:$BL$37,0),FALSE)/VLOOKUP($L179,$C$37:$BL$44,MATCH($E179,$C$37:$BL$37,0),FALSE))*
IF($B$5="Foreign Currency",VLOOKUP($C$38,$C$37:$BL$44,MATCH(AU$48,$C$37:$BL$37,0),FALSE)/VLOOKUP($C$39,$C$37:$BL$44,MATCH(AU$48,$C$37:$BL$37,0),FALSE),1),
0),
    IF($T179="Lump Sum Principal",
        IF(AND(AU$48&gt;=$E179, AU$48&lt;($E179+$Q179)),
$K179*$P179*(VLOOKUP($C$39,$C$37:$BL$44,MATCH($E179,$C$37:$BL$37,0),FALSE)/VLOOKUP($L179,$C$37:$BL$44,MATCH($E179,$C$37:$BL$37,0),FALSE))*
IF($B$5="Foreign Currency",VLOOKUP($C$38,$C$37:$BL$44,MATCH(AU$48,$C$37:$BL$37,0),FALSE)/VLOOKUP($C$39,$C$37:$BL$44,MATCH(AU$48,$C$37:$BL$37,0),FALSE),1),
        IF(AU$48=($E179+$Q179),
$K179*(1+$P179)*(VLOOKUP($C$39,$C$37:$BL$44,MATCH($E179,$C$37:$BL$37,0),FALSE)/VLOOKUP($L179,$C$37:$BL$44,MATCH($E179,$C$37:$BL$37,0),FALSE))*
IF($B$5="Foreign Currency",VLOOKUP($C$38,$C$37:$BL$44,MATCH(AU$48,$C$37:$BL$37,0),FALSE)/VLOOKUP($C$39,$C$37:$BL$44,MATCH(AU$48,$C$37:$BL$37,0),FALSE),1),
0)),
    IF($T179="Lump Sum Principal and Interest",
        IF(AU$48=($E179+$Q179),
$K179*((1+$P179)^$Q179)*(VLOOKUP($C$39,$C$37:$BL$44,MATCH($E179,$C$37:$BL$37,0),FALSE)/VLOOKUP($L179,$C$37:$BL$44,MATCH($E179,$C$37:$BL$37,0),FALSE))*
IF($B$5="Foreign Currency",VLOOKUP($C$38,$C$37:$BL$44,MATCH(AU$48,$C$37:$BL$37,0),FALSE)/VLOOKUP($C$39,$C$37:$BL$44,MATCH(AU$48,$C$37:$BL$37,0),FALSE),1),
0),
    IF($T179="EPP with Grace Years for Principal",
        IF(AND(AU$48&gt;=$E179, AU$48&lt;($E179+$S179)),
$K179*$P179*(VLOOKUP($C$39,$C$37:$BL$44,MATCH($E179,$C$37:$BL$37,0),FALSE)/VLOOKUP($L179,$C$37:$BL$44,MATCH($E179,$C$37:$BL$37,0),FALSE))*
IF($B$5="Foreign Currency",VLOOKUP($C$38,$C$37:$BL$44,MATCH(AU$48,$C$37:$BL$37,0),FALSE)/VLOOKUP($C$39,$C$37:$BL$44,MATCH(AU$48,$C$37:$BL$37,0),FALSE),1),
        IF(AND(AU$48&gt;=($E179+$S179), AU$48&lt;=($E179+$Q179)),
-PMT($P179,($Q179-$S179+1),($K179*(VLOOKUP($C$39,$C$37:$BL$44,MATCH($E179,$C$37:$BL$37,0),FALSE)/VLOOKUP($L179,$C$37:$BL$44,MATCH($E179,$C$37:$BL$37,0),FALSE))*
IF($B$5="Foreign Currency",VLOOKUP($C$38,$C$37:$BL$44,MATCH(AU$48,$C$37:$BL$37,0),FALSE)/VLOOKUP($C$39,$C$37:$BL$44,MATCH(AU$48,$C$37:$BL$37,0),FALSE),1)),0),
0)),
    IF($T179="Equal Principal Payments (EPP)",
        IF(AND(AU$48&gt;=$E179, AU$48&lt;=($E179+$Q179)),
-PMT($P179,($Q179-$S179+1),($K179*(VLOOKUP($C$39,$C$37:$BL$44,MATCH($E179,$C$37:$BL$37,0),FALSE)/VLOOKUP($L179,$C$37:$BL$44,MATCH($E179,$C$37:$BL$37,0),FALSE))*
IF($B$5="Foreign Currency",VLOOKUP($C$38,$C$37:$BL$44,MATCH(AU$48,$C$37:$BL$37,0),FALSE)/VLOOKUP($C$39,$C$37:$BL$44,MATCH(AU$48,$C$37:$BL$37,0),FALSE),1)),0), 0),
    IF($T179="EPP with Grace Years for Principal and on Interest",
        IF(AND(AU$48&gt;=($E179+$S179), AU$48&lt;=($E179+$Q179)),
-PMT($P179,($Q179-$S179+1),($K179*(VLOOKUP($C$39,$C$37:$BL$44,MATCH($E179,$C$37:$BL$37,0),FALSE)/VLOOKUP($L179,$C$37:$BL$44,MATCH($E179,$C$37:$BL$37,0),FALSE))*
IF($B$5="Foreign Currency",VLOOKUP($C$38,$C$37:$BL$44,MATCH(AU$48,$C$37:$BL$37,0),FALSE)/VLOOKUP($C$39,$C$37:$BL$44,MATCH(AU$48,$C$37:$BL$37,0),FALSE),1))*((1+$P179)^$S179),0), 0),
    0)))))),"")</f>
        <v>0</v>
      </c>
      <c r="AV179" s="171">
        <f t="shared" si="296"/>
        <v>0</v>
      </c>
      <c r="AW179" s="171">
        <f t="shared" si="296"/>
        <v>0</v>
      </c>
      <c r="AX179" s="171">
        <f t="shared" si="296"/>
        <v>0</v>
      </c>
      <c r="AY179" s="171">
        <f t="shared" si="296"/>
        <v>0</v>
      </c>
      <c r="AZ179" s="171">
        <f t="shared" si="296"/>
        <v>0</v>
      </c>
      <c r="BA179" s="171">
        <f t="shared" si="296"/>
        <v>0</v>
      </c>
      <c r="BB179" s="171">
        <f t="shared" si="296"/>
        <v>0</v>
      </c>
      <c r="BC179" s="171">
        <f t="shared" si="296"/>
        <v>0</v>
      </c>
      <c r="BD179" s="171">
        <f t="shared" si="296"/>
        <v>0</v>
      </c>
      <c r="BE179" s="171">
        <f t="shared" ref="BE179:BN188" si="297">IFERROR(
    IF($T179="Equity",
        IF(AND(BE$48&gt;=$E179, BE$48&lt;=($E179+$Q179)),
$K179*$P179*(VLOOKUP($C$39,$C$37:$BL$44,MATCH($E179,$C$37:$BL$37,0),FALSE)/VLOOKUP($L179,$C$37:$BL$44,MATCH($E179,$C$37:$BL$37,0),FALSE))*
IF($B$5="Foreign Currency",VLOOKUP($C$38,$C$37:$BL$44,MATCH(BE$48,$C$37:$BL$37,0),FALSE)/VLOOKUP($C$39,$C$37:$BL$44,MATCH(BE$48,$C$37:$BL$37,0),FALSE),1),
0),
    IF($T179="Lump Sum Principal",
        IF(AND(BE$48&gt;=$E179, BE$48&lt;($E179+$Q179)),
$K179*$P179*(VLOOKUP($C$39,$C$37:$BL$44,MATCH($E179,$C$37:$BL$37,0),FALSE)/VLOOKUP($L179,$C$37:$BL$44,MATCH($E179,$C$37:$BL$37,0),FALSE))*
IF($B$5="Foreign Currency",VLOOKUP($C$38,$C$37:$BL$44,MATCH(BE$48,$C$37:$BL$37,0),FALSE)/VLOOKUP($C$39,$C$37:$BL$44,MATCH(BE$48,$C$37:$BL$37,0),FALSE),1),
        IF(BE$48=($E179+$Q179),
$K179*(1+$P179)*(VLOOKUP($C$39,$C$37:$BL$44,MATCH($E179,$C$37:$BL$37,0),FALSE)/VLOOKUP($L179,$C$37:$BL$44,MATCH($E179,$C$37:$BL$37,0),FALSE))*
IF($B$5="Foreign Currency",VLOOKUP($C$38,$C$37:$BL$44,MATCH(BE$48,$C$37:$BL$37,0),FALSE)/VLOOKUP($C$39,$C$37:$BL$44,MATCH(BE$48,$C$37:$BL$37,0),FALSE),1),
0)),
    IF($T179="Lump Sum Principal and Interest",
        IF(BE$48=($E179+$Q179),
$K179*((1+$P179)^$Q179)*(VLOOKUP($C$39,$C$37:$BL$44,MATCH($E179,$C$37:$BL$37,0),FALSE)/VLOOKUP($L179,$C$37:$BL$44,MATCH($E179,$C$37:$BL$37,0),FALSE))*
IF($B$5="Foreign Currency",VLOOKUP($C$38,$C$37:$BL$44,MATCH(BE$48,$C$37:$BL$37,0),FALSE)/VLOOKUP($C$39,$C$37:$BL$44,MATCH(BE$48,$C$37:$BL$37,0),FALSE),1),
0),
    IF($T179="EPP with Grace Years for Principal",
        IF(AND(BE$48&gt;=$E179, BE$48&lt;($E179+$S179)),
$K179*$P179*(VLOOKUP($C$39,$C$37:$BL$44,MATCH($E179,$C$37:$BL$37,0),FALSE)/VLOOKUP($L179,$C$37:$BL$44,MATCH($E179,$C$37:$BL$37,0),FALSE))*
IF($B$5="Foreign Currency",VLOOKUP($C$38,$C$37:$BL$44,MATCH(BE$48,$C$37:$BL$37,0),FALSE)/VLOOKUP($C$39,$C$37:$BL$44,MATCH(BE$48,$C$37:$BL$37,0),FALSE),1),
        IF(AND(BE$48&gt;=($E179+$S179), BE$48&lt;=($E179+$Q179)),
-PMT($P179,($Q179-$S179+1),($K179*(VLOOKUP($C$39,$C$37:$BL$44,MATCH($E179,$C$37:$BL$37,0),FALSE)/VLOOKUP($L179,$C$37:$BL$44,MATCH($E179,$C$37:$BL$37,0),FALSE))*
IF($B$5="Foreign Currency",VLOOKUP($C$38,$C$37:$BL$44,MATCH(BE$48,$C$37:$BL$37,0),FALSE)/VLOOKUP($C$39,$C$37:$BL$44,MATCH(BE$48,$C$37:$BL$37,0),FALSE),1)),0),
0)),
    IF($T179="Equal Principal Payments (EPP)",
        IF(AND(BE$48&gt;=$E179, BE$48&lt;=($E179+$Q179)),
-PMT($P179,($Q179-$S179+1),($K179*(VLOOKUP($C$39,$C$37:$BL$44,MATCH($E179,$C$37:$BL$37,0),FALSE)/VLOOKUP($L179,$C$37:$BL$44,MATCH($E179,$C$37:$BL$37,0),FALSE))*
IF($B$5="Foreign Currency",VLOOKUP($C$38,$C$37:$BL$44,MATCH(BE$48,$C$37:$BL$37,0),FALSE)/VLOOKUP($C$39,$C$37:$BL$44,MATCH(BE$48,$C$37:$BL$37,0),FALSE),1)),0), 0),
    IF($T179="EPP with Grace Years for Principal and on Interest",
        IF(AND(BE$48&gt;=($E179+$S179), BE$48&lt;=($E179+$Q179)),
-PMT($P179,($Q179-$S179+1),($K179*(VLOOKUP($C$39,$C$37:$BL$44,MATCH($E179,$C$37:$BL$37,0),FALSE)/VLOOKUP($L179,$C$37:$BL$44,MATCH($E179,$C$37:$BL$37,0),FALSE))*
IF($B$5="Foreign Currency",VLOOKUP($C$38,$C$37:$BL$44,MATCH(BE$48,$C$37:$BL$37,0),FALSE)/VLOOKUP($C$39,$C$37:$BL$44,MATCH(BE$48,$C$37:$BL$37,0),FALSE),1))*((1+$P179)^$S179),0), 0),
    0)))))),"")</f>
        <v>0</v>
      </c>
      <c r="BF179" s="171">
        <f t="shared" si="297"/>
        <v>0</v>
      </c>
      <c r="BG179" s="171">
        <f t="shared" si="297"/>
        <v>0</v>
      </c>
      <c r="BH179" s="171">
        <f t="shared" si="297"/>
        <v>0</v>
      </c>
      <c r="BI179" s="171">
        <f t="shared" si="297"/>
        <v>0</v>
      </c>
      <c r="BJ179" s="171">
        <f t="shared" si="297"/>
        <v>0</v>
      </c>
      <c r="BK179" s="171">
        <f t="shared" si="297"/>
        <v>0</v>
      </c>
      <c r="BL179" s="171">
        <f t="shared" si="297"/>
        <v>0</v>
      </c>
      <c r="BM179" s="171">
        <f t="shared" si="297"/>
        <v>0</v>
      </c>
      <c r="BN179" s="171">
        <f t="shared" si="297"/>
        <v>0</v>
      </c>
      <c r="BO179" s="171">
        <f t="shared" ref="BO179:BX188" si="298">IFERROR(
    IF($T179="Equity",
        IF(AND(BO$48&gt;=$E179, BO$48&lt;=($E179+$Q179)),
$K179*$P179*(VLOOKUP($C$39,$C$37:$BL$44,MATCH($E179,$C$37:$BL$37,0),FALSE)/VLOOKUP($L179,$C$37:$BL$44,MATCH($E179,$C$37:$BL$37,0),FALSE))*
IF($B$5="Foreign Currency",VLOOKUP($C$38,$C$37:$BL$44,MATCH(BO$48,$C$37:$BL$37,0),FALSE)/VLOOKUP($C$39,$C$37:$BL$44,MATCH(BO$48,$C$37:$BL$37,0),FALSE),1),
0),
    IF($T179="Lump Sum Principal",
        IF(AND(BO$48&gt;=$E179, BO$48&lt;($E179+$Q179)),
$K179*$P179*(VLOOKUP($C$39,$C$37:$BL$44,MATCH($E179,$C$37:$BL$37,0),FALSE)/VLOOKUP($L179,$C$37:$BL$44,MATCH($E179,$C$37:$BL$37,0),FALSE))*
IF($B$5="Foreign Currency",VLOOKUP($C$38,$C$37:$BL$44,MATCH(BO$48,$C$37:$BL$37,0),FALSE)/VLOOKUP($C$39,$C$37:$BL$44,MATCH(BO$48,$C$37:$BL$37,0),FALSE),1),
        IF(BO$48=($E179+$Q179),
$K179*(1+$P179)*(VLOOKUP($C$39,$C$37:$BL$44,MATCH($E179,$C$37:$BL$37,0),FALSE)/VLOOKUP($L179,$C$37:$BL$44,MATCH($E179,$C$37:$BL$37,0),FALSE))*
IF($B$5="Foreign Currency",VLOOKUP($C$38,$C$37:$BL$44,MATCH(BO$48,$C$37:$BL$37,0),FALSE)/VLOOKUP($C$39,$C$37:$BL$44,MATCH(BO$48,$C$37:$BL$37,0),FALSE),1),
0)),
    IF($T179="Lump Sum Principal and Interest",
        IF(BO$48=($E179+$Q179),
$K179*((1+$P179)^$Q179)*(VLOOKUP($C$39,$C$37:$BL$44,MATCH($E179,$C$37:$BL$37,0),FALSE)/VLOOKUP($L179,$C$37:$BL$44,MATCH($E179,$C$37:$BL$37,0),FALSE))*
IF($B$5="Foreign Currency",VLOOKUP($C$38,$C$37:$BL$44,MATCH(BO$48,$C$37:$BL$37,0),FALSE)/VLOOKUP($C$39,$C$37:$BL$44,MATCH(BO$48,$C$37:$BL$37,0),FALSE),1),
0),
    IF($T179="EPP with Grace Years for Principal",
        IF(AND(BO$48&gt;=$E179, BO$48&lt;($E179+$S179)),
$K179*$P179*(VLOOKUP($C$39,$C$37:$BL$44,MATCH($E179,$C$37:$BL$37,0),FALSE)/VLOOKUP($L179,$C$37:$BL$44,MATCH($E179,$C$37:$BL$37,0),FALSE))*
IF($B$5="Foreign Currency",VLOOKUP($C$38,$C$37:$BL$44,MATCH(BO$48,$C$37:$BL$37,0),FALSE)/VLOOKUP($C$39,$C$37:$BL$44,MATCH(BO$48,$C$37:$BL$37,0),FALSE),1),
        IF(AND(BO$48&gt;=($E179+$S179), BO$48&lt;=($E179+$Q179)),
-PMT($P179,($Q179-$S179+1),($K179*(VLOOKUP($C$39,$C$37:$BL$44,MATCH($E179,$C$37:$BL$37,0),FALSE)/VLOOKUP($L179,$C$37:$BL$44,MATCH($E179,$C$37:$BL$37,0),FALSE))*
IF($B$5="Foreign Currency",VLOOKUP($C$38,$C$37:$BL$44,MATCH(BO$48,$C$37:$BL$37,0),FALSE)/VLOOKUP($C$39,$C$37:$BL$44,MATCH(BO$48,$C$37:$BL$37,0),FALSE),1)),0),
0)),
    IF($T179="Equal Principal Payments (EPP)",
        IF(AND(BO$48&gt;=$E179, BO$48&lt;=($E179+$Q179)),
-PMT($P179,($Q179-$S179+1),($K179*(VLOOKUP($C$39,$C$37:$BL$44,MATCH($E179,$C$37:$BL$37,0),FALSE)/VLOOKUP($L179,$C$37:$BL$44,MATCH($E179,$C$37:$BL$37,0),FALSE))*
IF($B$5="Foreign Currency",VLOOKUP($C$38,$C$37:$BL$44,MATCH(BO$48,$C$37:$BL$37,0),FALSE)/VLOOKUP($C$39,$C$37:$BL$44,MATCH(BO$48,$C$37:$BL$37,0),FALSE),1)),0), 0),
    IF($T179="EPP with Grace Years for Principal and on Interest",
        IF(AND(BO$48&gt;=($E179+$S179), BO$48&lt;=($E179+$Q179)),
-PMT($P179,($Q179-$S179+1),($K179*(VLOOKUP($C$39,$C$37:$BL$44,MATCH($E179,$C$37:$BL$37,0),FALSE)/VLOOKUP($L179,$C$37:$BL$44,MATCH($E179,$C$37:$BL$37,0),FALSE))*
IF($B$5="Foreign Currency",VLOOKUP($C$38,$C$37:$BL$44,MATCH(BO$48,$C$37:$BL$37,0),FALSE)/VLOOKUP($C$39,$C$37:$BL$44,MATCH(BO$48,$C$37:$BL$37,0),FALSE),1))*((1+$P179)^$S179),0), 0),
    0)))))),"")</f>
        <v>0</v>
      </c>
      <c r="BP179" s="171">
        <f t="shared" si="298"/>
        <v>0</v>
      </c>
      <c r="BQ179" s="171">
        <f t="shared" si="298"/>
        <v>0</v>
      </c>
      <c r="BR179" s="171">
        <f t="shared" si="298"/>
        <v>0</v>
      </c>
      <c r="BS179" s="171">
        <f t="shared" si="298"/>
        <v>0</v>
      </c>
      <c r="BT179" s="171">
        <f t="shared" si="298"/>
        <v>0</v>
      </c>
      <c r="BU179" s="171">
        <f t="shared" si="298"/>
        <v>0</v>
      </c>
      <c r="BV179" s="171">
        <f t="shared" si="298"/>
        <v>0</v>
      </c>
      <c r="BW179" s="171">
        <f t="shared" si="298"/>
        <v>0</v>
      </c>
      <c r="BX179" s="171">
        <f t="shared" si="298"/>
        <v>0</v>
      </c>
      <c r="BY179" s="171">
        <f t="shared" ref="BY179:CI188" si="299">IFERROR(
    IF($T179="Equity",
        IF(AND(BY$48&gt;=$E179, BY$48&lt;=($E179+$Q179)),
$K179*$P179*(VLOOKUP($C$39,$C$37:$BL$44,MATCH($E179,$C$37:$BL$37,0),FALSE)/VLOOKUP($L179,$C$37:$BL$44,MATCH($E179,$C$37:$BL$37,0),FALSE))*
IF($B$5="Foreign Currency",VLOOKUP($C$38,$C$37:$BL$44,MATCH(BY$48,$C$37:$BL$37,0),FALSE)/VLOOKUP($C$39,$C$37:$BL$44,MATCH(BY$48,$C$37:$BL$37,0),FALSE),1),
0),
    IF($T179="Lump Sum Principal",
        IF(AND(BY$48&gt;=$E179, BY$48&lt;($E179+$Q179)),
$K179*$P179*(VLOOKUP($C$39,$C$37:$BL$44,MATCH($E179,$C$37:$BL$37,0),FALSE)/VLOOKUP($L179,$C$37:$BL$44,MATCH($E179,$C$37:$BL$37,0),FALSE))*
IF($B$5="Foreign Currency",VLOOKUP($C$38,$C$37:$BL$44,MATCH(BY$48,$C$37:$BL$37,0),FALSE)/VLOOKUP($C$39,$C$37:$BL$44,MATCH(BY$48,$C$37:$BL$37,0),FALSE),1),
        IF(BY$48=($E179+$Q179),
$K179*(1+$P179)*(VLOOKUP($C$39,$C$37:$BL$44,MATCH($E179,$C$37:$BL$37,0),FALSE)/VLOOKUP($L179,$C$37:$BL$44,MATCH($E179,$C$37:$BL$37,0),FALSE))*
IF($B$5="Foreign Currency",VLOOKUP($C$38,$C$37:$BL$44,MATCH(BY$48,$C$37:$BL$37,0),FALSE)/VLOOKUP($C$39,$C$37:$BL$44,MATCH(BY$48,$C$37:$BL$37,0),FALSE),1),
0)),
    IF($T179="Lump Sum Principal and Interest",
        IF(BY$48=($E179+$Q179),
$K179*((1+$P179)^$Q179)*(VLOOKUP($C$39,$C$37:$BL$44,MATCH($E179,$C$37:$BL$37,0),FALSE)/VLOOKUP($L179,$C$37:$BL$44,MATCH($E179,$C$37:$BL$37,0),FALSE))*
IF($B$5="Foreign Currency",VLOOKUP($C$38,$C$37:$BL$44,MATCH(BY$48,$C$37:$BL$37,0),FALSE)/VLOOKUP($C$39,$C$37:$BL$44,MATCH(BY$48,$C$37:$BL$37,0),FALSE),1),
0),
    IF($T179="EPP with Grace Years for Principal",
        IF(AND(BY$48&gt;=$E179, BY$48&lt;($E179+$S179)),
$K179*$P179*(VLOOKUP($C$39,$C$37:$BL$44,MATCH($E179,$C$37:$BL$37,0),FALSE)/VLOOKUP($L179,$C$37:$BL$44,MATCH($E179,$C$37:$BL$37,0),FALSE))*
IF($B$5="Foreign Currency",VLOOKUP($C$38,$C$37:$BL$44,MATCH(BY$48,$C$37:$BL$37,0),FALSE)/VLOOKUP($C$39,$C$37:$BL$44,MATCH(BY$48,$C$37:$BL$37,0),FALSE),1),
        IF(AND(BY$48&gt;=($E179+$S179), BY$48&lt;=($E179+$Q179)),
-PMT($P179,($Q179-$S179+1),($K179*(VLOOKUP($C$39,$C$37:$BL$44,MATCH($E179,$C$37:$BL$37,0),FALSE)/VLOOKUP($L179,$C$37:$BL$44,MATCH($E179,$C$37:$BL$37,0),FALSE))*
IF($B$5="Foreign Currency",VLOOKUP($C$38,$C$37:$BL$44,MATCH(BY$48,$C$37:$BL$37,0),FALSE)/VLOOKUP($C$39,$C$37:$BL$44,MATCH(BY$48,$C$37:$BL$37,0),FALSE),1)),0),
0)),
    IF($T179="Equal Principal Payments (EPP)",
        IF(AND(BY$48&gt;=$E179, BY$48&lt;=($E179+$Q179)),
-PMT($P179,($Q179-$S179+1),($K179*(VLOOKUP($C$39,$C$37:$BL$44,MATCH($E179,$C$37:$BL$37,0),FALSE)/VLOOKUP($L179,$C$37:$BL$44,MATCH($E179,$C$37:$BL$37,0),FALSE))*
IF($B$5="Foreign Currency",VLOOKUP($C$38,$C$37:$BL$44,MATCH(BY$48,$C$37:$BL$37,0),FALSE)/VLOOKUP($C$39,$C$37:$BL$44,MATCH(BY$48,$C$37:$BL$37,0),FALSE),1)),0), 0),
    IF($T179="EPP with Grace Years for Principal and on Interest",
        IF(AND(BY$48&gt;=($E179+$S179), BY$48&lt;=($E179+$Q179)),
-PMT($P179,($Q179-$S179+1),($K179*(VLOOKUP($C$39,$C$37:$BL$44,MATCH($E179,$C$37:$BL$37,0),FALSE)/VLOOKUP($L179,$C$37:$BL$44,MATCH($E179,$C$37:$BL$37,0),FALSE))*
IF($B$5="Foreign Currency",VLOOKUP($C$38,$C$37:$BL$44,MATCH(BY$48,$C$37:$BL$37,0),FALSE)/VLOOKUP($C$39,$C$37:$BL$44,MATCH(BY$48,$C$37:$BL$37,0),FALSE),1))*((1+$P179)^$S179),0), 0),
    0)))))),"")</f>
        <v>0</v>
      </c>
      <c r="BZ179" s="171">
        <f t="shared" si="299"/>
        <v>0</v>
      </c>
      <c r="CA179" s="171">
        <f t="shared" si="299"/>
        <v>0</v>
      </c>
      <c r="CB179" s="171">
        <f t="shared" si="299"/>
        <v>0</v>
      </c>
      <c r="CC179" s="171">
        <f t="shared" si="299"/>
        <v>0</v>
      </c>
      <c r="CD179" s="171">
        <f t="shared" si="299"/>
        <v>0</v>
      </c>
      <c r="CE179" s="171">
        <f t="shared" si="299"/>
        <v>0</v>
      </c>
      <c r="CF179" s="171">
        <f t="shared" si="299"/>
        <v>0</v>
      </c>
      <c r="CG179" s="171">
        <f t="shared" si="299"/>
        <v>0</v>
      </c>
      <c r="CH179" s="171">
        <f t="shared" si="299"/>
        <v>0</v>
      </c>
      <c r="CI179" s="171">
        <f t="shared" si="299"/>
        <v>0</v>
      </c>
      <c r="CJ179" s="243"/>
      <c r="CK179" s="171">
        <f t="shared" si="233"/>
        <v>0</v>
      </c>
      <c r="CL179" s="171">
        <f t="shared" si="234"/>
        <v>0</v>
      </c>
      <c r="CM179" s="171">
        <f t="shared" si="235"/>
        <v>0</v>
      </c>
      <c r="CN179" s="171">
        <f t="shared" si="236"/>
        <v>0</v>
      </c>
      <c r="CO179" s="171">
        <f t="shared" si="237"/>
        <v>0</v>
      </c>
      <c r="CP179" s="171">
        <f t="shared" si="238"/>
        <v>0</v>
      </c>
      <c r="CQ179" s="171">
        <f t="shared" si="239"/>
        <v>0</v>
      </c>
      <c r="CR179" s="171">
        <f t="shared" si="240"/>
        <v>0</v>
      </c>
      <c r="CS179" s="171">
        <f t="shared" si="241"/>
        <v>0</v>
      </c>
      <c r="CT179" s="171">
        <f t="shared" si="242"/>
        <v>5.649210660089576</v>
      </c>
      <c r="CU179" s="171">
        <f t="shared" si="243"/>
        <v>5.649210660089576</v>
      </c>
      <c r="CV179" s="171">
        <f t="shared" si="244"/>
        <v>5.649210660089576</v>
      </c>
      <c r="CW179" s="171">
        <f t="shared" si="245"/>
        <v>5.649210660089576</v>
      </c>
      <c r="CX179" s="171">
        <f t="shared" si="246"/>
        <v>5.649210660089576</v>
      </c>
      <c r="CY179" s="171">
        <f t="shared" ca="1" si="247"/>
        <v>5.3631751357608612</v>
      </c>
      <c r="CZ179" s="171">
        <f t="shared" ca="1" si="248"/>
        <v>5.0916223995774024</v>
      </c>
      <c r="DA179" s="171">
        <f t="shared" ca="1" si="249"/>
        <v>4.8338191469856744</v>
      </c>
      <c r="DB179" s="171">
        <f t="shared" ca="1" si="250"/>
        <v>4.5890692027171234</v>
      </c>
      <c r="DC179" s="171">
        <f t="shared" ca="1" si="251"/>
        <v>4.3567116408273812</v>
      </c>
      <c r="DD179" s="171">
        <f t="shared" ca="1" si="252"/>
        <v>0</v>
      </c>
      <c r="DE179" s="171">
        <f t="shared" ca="1" si="253"/>
        <v>0</v>
      </c>
      <c r="DF179" s="171">
        <f t="shared" ca="1" si="254"/>
        <v>0</v>
      </c>
      <c r="DG179" s="171">
        <f t="shared" ca="1" si="255"/>
        <v>0</v>
      </c>
      <c r="DH179" s="171">
        <f t="shared" ca="1" si="256"/>
        <v>0</v>
      </c>
      <c r="DI179" s="171">
        <f t="shared" ca="1" si="257"/>
        <v>0</v>
      </c>
      <c r="DJ179" s="171">
        <f t="shared" ca="1" si="258"/>
        <v>0</v>
      </c>
      <c r="DK179" s="171">
        <f t="shared" ca="1" si="259"/>
        <v>0</v>
      </c>
      <c r="DL179" s="171">
        <f t="shared" ca="1" si="260"/>
        <v>0</v>
      </c>
      <c r="DM179" s="171">
        <f t="shared" ca="1" si="261"/>
        <v>0</v>
      </c>
      <c r="DN179" s="171">
        <f t="shared" ca="1" si="262"/>
        <v>0</v>
      </c>
      <c r="DO179" s="171">
        <f t="shared" ca="1" si="263"/>
        <v>0</v>
      </c>
      <c r="DP179" s="171">
        <f t="shared" ca="1" si="264"/>
        <v>0</v>
      </c>
      <c r="DQ179" s="171">
        <f t="shared" ca="1" si="265"/>
        <v>0</v>
      </c>
      <c r="DR179" s="171">
        <f t="shared" ca="1" si="266"/>
        <v>0</v>
      </c>
      <c r="DS179" s="171">
        <f t="shared" ca="1" si="267"/>
        <v>0</v>
      </c>
      <c r="DT179" s="171">
        <f t="shared" ca="1" si="268"/>
        <v>0</v>
      </c>
      <c r="DU179" s="171">
        <f t="shared" ca="1" si="269"/>
        <v>0</v>
      </c>
      <c r="DV179" s="171">
        <f t="shared" ca="1" si="270"/>
        <v>0</v>
      </c>
      <c r="DW179" s="171">
        <f t="shared" ca="1" si="271"/>
        <v>0</v>
      </c>
      <c r="DX179" s="171">
        <f t="shared" ca="1" si="272"/>
        <v>0</v>
      </c>
      <c r="DY179" s="171">
        <f t="shared" ca="1" si="273"/>
        <v>0</v>
      </c>
      <c r="DZ179" s="171">
        <f t="shared" ca="1" si="274"/>
        <v>0</v>
      </c>
      <c r="EA179" s="171">
        <f t="shared" ca="1" si="275"/>
        <v>0</v>
      </c>
      <c r="EB179" s="171">
        <f t="shared" ca="1" si="276"/>
        <v>0</v>
      </c>
      <c r="EC179" s="171">
        <f t="shared" ca="1" si="277"/>
        <v>0</v>
      </c>
      <c r="ED179" s="171">
        <f t="shared" ca="1" si="278"/>
        <v>0</v>
      </c>
      <c r="EE179" s="171">
        <f t="shared" ca="1" si="279"/>
        <v>0</v>
      </c>
      <c r="EF179" s="171">
        <f t="shared" ca="1" si="280"/>
        <v>0</v>
      </c>
      <c r="EG179" s="171">
        <f t="shared" ca="1" si="281"/>
        <v>0</v>
      </c>
      <c r="EH179" s="171">
        <f t="shared" ca="1" si="282"/>
        <v>0</v>
      </c>
      <c r="EI179" s="171">
        <f t="shared" ca="1" si="283"/>
        <v>0</v>
      </c>
      <c r="EJ179" s="171">
        <f t="shared" ca="1" si="284"/>
        <v>0</v>
      </c>
      <c r="EK179" s="171">
        <f t="shared" ca="1" si="285"/>
        <v>0</v>
      </c>
      <c r="EL179" s="171">
        <f t="shared" ca="1" si="286"/>
        <v>0</v>
      </c>
      <c r="EM179" s="171">
        <f t="shared" ca="1" si="287"/>
        <v>0</v>
      </c>
      <c r="EN179" s="171">
        <f t="shared" ca="1" si="288"/>
        <v>0</v>
      </c>
      <c r="EO179" s="171">
        <f t="shared" ca="1" si="289"/>
        <v>0</v>
      </c>
      <c r="EP179" s="171">
        <f t="shared" ca="1" si="290"/>
        <v>0</v>
      </c>
      <c r="EQ179" s="171">
        <f t="shared" ca="1" si="291"/>
        <v>0</v>
      </c>
      <c r="ER179" s="171">
        <f t="shared" ca="1" si="292"/>
        <v>0</v>
      </c>
      <c r="ES179" s="171">
        <f t="shared" ca="1" si="293"/>
        <v>0</v>
      </c>
    </row>
    <row r="180" spans="1:149">
      <c r="A180" s="139" t="s">
        <v>535</v>
      </c>
      <c r="B180" s="160" t="s">
        <v>459</v>
      </c>
      <c r="C180" s="160" t="s">
        <v>29</v>
      </c>
      <c r="D180" s="160" t="s">
        <v>394</v>
      </c>
      <c r="E180" s="160">
        <v>2012</v>
      </c>
      <c r="F180" s="194" t="s">
        <v>395</v>
      </c>
      <c r="G180" s="160" t="s">
        <v>402</v>
      </c>
      <c r="H180" s="194" t="s">
        <v>396</v>
      </c>
      <c r="I180" s="189" t="s">
        <v>176</v>
      </c>
      <c r="J180" s="194" t="s">
        <v>397</v>
      </c>
      <c r="K180" s="187">
        <v>180</v>
      </c>
      <c r="L180" s="163" t="s">
        <v>110</v>
      </c>
      <c r="M180" s="164">
        <f t="shared" si="223"/>
        <v>180</v>
      </c>
      <c r="N180" s="164">
        <f t="shared" si="224"/>
        <v>180</v>
      </c>
      <c r="O180" s="165">
        <f t="shared" si="225"/>
        <v>1</v>
      </c>
      <c r="P180" s="190">
        <v>6.2899999999999998E-2</v>
      </c>
      <c r="Q180" s="191">
        <v>19</v>
      </c>
      <c r="R180" s="168">
        <f t="shared" si="226"/>
        <v>7</v>
      </c>
      <c r="S180" s="178">
        <v>0</v>
      </c>
      <c r="T180" s="160" t="s">
        <v>398</v>
      </c>
      <c r="U180" s="171">
        <f t="shared" si="227"/>
        <v>16.91019135344327</v>
      </c>
      <c r="V180" s="171">
        <f t="shared" ca="1" si="228"/>
        <v>15.537940043296681</v>
      </c>
      <c r="W180" s="171">
        <f t="shared" ca="1" si="229"/>
        <v>295.22086082263695</v>
      </c>
      <c r="X180" s="172">
        <f t="shared" si="230"/>
        <v>0.531471288152087</v>
      </c>
      <c r="Y180" s="172">
        <f t="shared" si="231"/>
        <v>0.468528711847913</v>
      </c>
      <c r="Z180" s="173">
        <f t="shared" si="232"/>
        <v>321.29363571542217</v>
      </c>
      <c r="AA180" s="171">
        <f t="shared" si="294"/>
        <v>0</v>
      </c>
      <c r="AB180" s="171">
        <f t="shared" si="294"/>
        <v>0</v>
      </c>
      <c r="AC180" s="171">
        <f t="shared" si="294"/>
        <v>16.064681785771114</v>
      </c>
      <c r="AD180" s="171">
        <f t="shared" si="294"/>
        <v>16.064681785771114</v>
      </c>
      <c r="AE180" s="171">
        <f t="shared" si="294"/>
        <v>16.064681785771114</v>
      </c>
      <c r="AF180" s="171">
        <f t="shared" si="294"/>
        <v>16.064681785771114</v>
      </c>
      <c r="AG180" s="171">
        <f t="shared" si="294"/>
        <v>16.064681785771114</v>
      </c>
      <c r="AH180" s="171">
        <f t="shared" si="294"/>
        <v>16.064681785771114</v>
      </c>
      <c r="AI180" s="171">
        <f t="shared" si="294"/>
        <v>16.064681785771114</v>
      </c>
      <c r="AJ180" s="171">
        <f t="shared" si="294"/>
        <v>16.064681785771114</v>
      </c>
      <c r="AK180" s="171">
        <f t="shared" si="295"/>
        <v>16.064681785771114</v>
      </c>
      <c r="AL180" s="171">
        <f t="shared" si="295"/>
        <v>16.064681785771114</v>
      </c>
      <c r="AM180" s="171">
        <f t="shared" si="295"/>
        <v>16.064681785771114</v>
      </c>
      <c r="AN180" s="171">
        <f t="shared" si="295"/>
        <v>16.064681785771114</v>
      </c>
      <c r="AO180" s="171">
        <f t="shared" si="295"/>
        <v>16.064681785771114</v>
      </c>
      <c r="AP180" s="171">
        <f t="shared" si="295"/>
        <v>16.064681785771114</v>
      </c>
      <c r="AQ180" s="171">
        <f t="shared" si="295"/>
        <v>16.064681785771114</v>
      </c>
      <c r="AR180" s="171">
        <f t="shared" si="295"/>
        <v>16.064681785771114</v>
      </c>
      <c r="AS180" s="171">
        <f t="shared" si="295"/>
        <v>16.064681785771114</v>
      </c>
      <c r="AT180" s="171">
        <f t="shared" si="295"/>
        <v>16.064681785771114</v>
      </c>
      <c r="AU180" s="171">
        <f t="shared" si="296"/>
        <v>16.064681785771114</v>
      </c>
      <c r="AV180" s="171">
        <f t="shared" si="296"/>
        <v>16.064681785771114</v>
      </c>
      <c r="AW180" s="171">
        <f t="shared" si="296"/>
        <v>0</v>
      </c>
      <c r="AX180" s="171">
        <f t="shared" si="296"/>
        <v>0</v>
      </c>
      <c r="AY180" s="171">
        <f t="shared" si="296"/>
        <v>0</v>
      </c>
      <c r="AZ180" s="171">
        <f t="shared" si="296"/>
        <v>0</v>
      </c>
      <c r="BA180" s="171">
        <f t="shared" si="296"/>
        <v>0</v>
      </c>
      <c r="BB180" s="171">
        <f t="shared" si="296"/>
        <v>0</v>
      </c>
      <c r="BC180" s="171">
        <f t="shared" si="296"/>
        <v>0</v>
      </c>
      <c r="BD180" s="171">
        <f t="shared" si="296"/>
        <v>0</v>
      </c>
      <c r="BE180" s="171">
        <f t="shared" si="297"/>
        <v>0</v>
      </c>
      <c r="BF180" s="171">
        <f t="shared" si="297"/>
        <v>0</v>
      </c>
      <c r="BG180" s="171">
        <f t="shared" si="297"/>
        <v>0</v>
      </c>
      <c r="BH180" s="171">
        <f t="shared" si="297"/>
        <v>0</v>
      </c>
      <c r="BI180" s="171">
        <f t="shared" si="297"/>
        <v>0</v>
      </c>
      <c r="BJ180" s="171">
        <f t="shared" si="297"/>
        <v>0</v>
      </c>
      <c r="BK180" s="171">
        <f t="shared" si="297"/>
        <v>0</v>
      </c>
      <c r="BL180" s="171">
        <f t="shared" si="297"/>
        <v>0</v>
      </c>
      <c r="BM180" s="171">
        <f t="shared" si="297"/>
        <v>0</v>
      </c>
      <c r="BN180" s="171">
        <f t="shared" si="297"/>
        <v>0</v>
      </c>
      <c r="BO180" s="171">
        <f t="shared" si="298"/>
        <v>0</v>
      </c>
      <c r="BP180" s="171">
        <f t="shared" si="298"/>
        <v>0</v>
      </c>
      <c r="BQ180" s="171">
        <f t="shared" si="298"/>
        <v>0</v>
      </c>
      <c r="BR180" s="171">
        <f t="shared" si="298"/>
        <v>0</v>
      </c>
      <c r="BS180" s="171">
        <f t="shared" si="298"/>
        <v>0</v>
      </c>
      <c r="BT180" s="171">
        <f t="shared" si="298"/>
        <v>0</v>
      </c>
      <c r="BU180" s="171">
        <f t="shared" si="298"/>
        <v>0</v>
      </c>
      <c r="BV180" s="171">
        <f t="shared" si="298"/>
        <v>0</v>
      </c>
      <c r="BW180" s="171">
        <f t="shared" si="298"/>
        <v>0</v>
      </c>
      <c r="BX180" s="171">
        <f t="shared" si="298"/>
        <v>0</v>
      </c>
      <c r="BY180" s="171">
        <f t="shared" si="299"/>
        <v>0</v>
      </c>
      <c r="BZ180" s="171">
        <f t="shared" si="299"/>
        <v>0</v>
      </c>
      <c r="CA180" s="171">
        <f t="shared" si="299"/>
        <v>0</v>
      </c>
      <c r="CB180" s="171">
        <f t="shared" si="299"/>
        <v>0</v>
      </c>
      <c r="CC180" s="171">
        <f t="shared" si="299"/>
        <v>0</v>
      </c>
      <c r="CD180" s="171">
        <f t="shared" si="299"/>
        <v>0</v>
      </c>
      <c r="CE180" s="171">
        <f t="shared" si="299"/>
        <v>0</v>
      </c>
      <c r="CF180" s="171">
        <f t="shared" si="299"/>
        <v>0</v>
      </c>
      <c r="CG180" s="171">
        <f t="shared" si="299"/>
        <v>0</v>
      </c>
      <c r="CH180" s="171">
        <f t="shared" si="299"/>
        <v>0</v>
      </c>
      <c r="CI180" s="171">
        <f t="shared" si="299"/>
        <v>0</v>
      </c>
      <c r="CJ180" s="243"/>
      <c r="CK180" s="171">
        <f t="shared" si="233"/>
        <v>0</v>
      </c>
      <c r="CL180" s="171">
        <f t="shared" si="234"/>
        <v>0</v>
      </c>
      <c r="CM180" s="171">
        <f t="shared" si="235"/>
        <v>16.064681785771114</v>
      </c>
      <c r="CN180" s="171">
        <f t="shared" si="236"/>
        <v>16.064681785771114</v>
      </c>
      <c r="CO180" s="171">
        <f t="shared" si="237"/>
        <v>16.064681785771114</v>
      </c>
      <c r="CP180" s="171">
        <f t="shared" si="238"/>
        <v>16.064681785771114</v>
      </c>
      <c r="CQ180" s="171">
        <f t="shared" si="239"/>
        <v>16.064681785771114</v>
      </c>
      <c r="CR180" s="171">
        <f t="shared" si="240"/>
        <v>16.064681785771114</v>
      </c>
      <c r="CS180" s="171">
        <f t="shared" si="241"/>
        <v>16.064681785771114</v>
      </c>
      <c r="CT180" s="171">
        <f t="shared" si="242"/>
        <v>16.064681785771114</v>
      </c>
      <c r="CU180" s="171">
        <f t="shared" si="243"/>
        <v>16.064681785771114</v>
      </c>
      <c r="CV180" s="171">
        <f t="shared" si="244"/>
        <v>16.064681785771114</v>
      </c>
      <c r="CW180" s="171">
        <f t="shared" si="245"/>
        <v>16.064681785771114</v>
      </c>
      <c r="CX180" s="171">
        <f t="shared" si="246"/>
        <v>16.064681785771114</v>
      </c>
      <c r="CY180" s="171">
        <f t="shared" ca="1" si="247"/>
        <v>15.251281480091217</v>
      </c>
      <c r="CZ180" s="171">
        <f t="shared" ca="1" si="248"/>
        <v>14.479065934004014</v>
      </c>
      <c r="DA180" s="171">
        <f t="shared" ca="1" si="249"/>
        <v>13.745949846568676</v>
      </c>
      <c r="DB180" s="171">
        <f t="shared" ca="1" si="250"/>
        <v>13.049953501532897</v>
      </c>
      <c r="DC180" s="171">
        <f t="shared" ca="1" si="251"/>
        <v>12.389197421281303</v>
      </c>
      <c r="DD180" s="171">
        <f t="shared" ca="1" si="252"/>
        <v>11.761897291469543</v>
      </c>
      <c r="DE180" s="171">
        <f t="shared" ca="1" si="253"/>
        <v>11.166359142638564</v>
      </c>
      <c r="DF180" s="171">
        <f t="shared" ca="1" si="254"/>
        <v>10.600974775797352</v>
      </c>
      <c r="DG180" s="171">
        <f t="shared" ca="1" si="255"/>
        <v>0</v>
      </c>
      <c r="DH180" s="171">
        <f t="shared" ca="1" si="256"/>
        <v>0</v>
      </c>
      <c r="DI180" s="171">
        <f t="shared" ca="1" si="257"/>
        <v>0</v>
      </c>
      <c r="DJ180" s="171">
        <f t="shared" ca="1" si="258"/>
        <v>0</v>
      </c>
      <c r="DK180" s="171">
        <f t="shared" ca="1" si="259"/>
        <v>0</v>
      </c>
      <c r="DL180" s="171">
        <f t="shared" ca="1" si="260"/>
        <v>0</v>
      </c>
      <c r="DM180" s="171">
        <f t="shared" ca="1" si="261"/>
        <v>0</v>
      </c>
      <c r="DN180" s="171">
        <f t="shared" ca="1" si="262"/>
        <v>0</v>
      </c>
      <c r="DO180" s="171">
        <f t="shared" ca="1" si="263"/>
        <v>0</v>
      </c>
      <c r="DP180" s="171">
        <f t="shared" ca="1" si="264"/>
        <v>0</v>
      </c>
      <c r="DQ180" s="171">
        <f t="shared" ca="1" si="265"/>
        <v>0</v>
      </c>
      <c r="DR180" s="171">
        <f t="shared" ca="1" si="266"/>
        <v>0</v>
      </c>
      <c r="DS180" s="171">
        <f t="shared" ca="1" si="267"/>
        <v>0</v>
      </c>
      <c r="DT180" s="171">
        <f t="shared" ca="1" si="268"/>
        <v>0</v>
      </c>
      <c r="DU180" s="171">
        <f t="shared" ca="1" si="269"/>
        <v>0</v>
      </c>
      <c r="DV180" s="171">
        <f t="shared" ca="1" si="270"/>
        <v>0</v>
      </c>
      <c r="DW180" s="171">
        <f t="shared" ca="1" si="271"/>
        <v>0</v>
      </c>
      <c r="DX180" s="171">
        <f t="shared" ca="1" si="272"/>
        <v>0</v>
      </c>
      <c r="DY180" s="171">
        <f t="shared" ca="1" si="273"/>
        <v>0</v>
      </c>
      <c r="DZ180" s="171">
        <f t="shared" ca="1" si="274"/>
        <v>0</v>
      </c>
      <c r="EA180" s="171">
        <f t="shared" ca="1" si="275"/>
        <v>0</v>
      </c>
      <c r="EB180" s="171">
        <f t="shared" ca="1" si="276"/>
        <v>0</v>
      </c>
      <c r="EC180" s="171">
        <f t="shared" ca="1" si="277"/>
        <v>0</v>
      </c>
      <c r="ED180" s="171">
        <f t="shared" ca="1" si="278"/>
        <v>0</v>
      </c>
      <c r="EE180" s="171">
        <f t="shared" ca="1" si="279"/>
        <v>0</v>
      </c>
      <c r="EF180" s="171">
        <f t="shared" ca="1" si="280"/>
        <v>0</v>
      </c>
      <c r="EG180" s="171">
        <f t="shared" ca="1" si="281"/>
        <v>0</v>
      </c>
      <c r="EH180" s="171">
        <f t="shared" ca="1" si="282"/>
        <v>0</v>
      </c>
      <c r="EI180" s="171">
        <f t="shared" ca="1" si="283"/>
        <v>0</v>
      </c>
      <c r="EJ180" s="171">
        <f t="shared" ca="1" si="284"/>
        <v>0</v>
      </c>
      <c r="EK180" s="171">
        <f t="shared" ca="1" si="285"/>
        <v>0</v>
      </c>
      <c r="EL180" s="171">
        <f t="shared" ca="1" si="286"/>
        <v>0</v>
      </c>
      <c r="EM180" s="171">
        <f t="shared" ca="1" si="287"/>
        <v>0</v>
      </c>
      <c r="EN180" s="171">
        <f t="shared" ca="1" si="288"/>
        <v>0</v>
      </c>
      <c r="EO180" s="171">
        <f t="shared" ca="1" si="289"/>
        <v>0</v>
      </c>
      <c r="EP180" s="171">
        <f t="shared" ca="1" si="290"/>
        <v>0</v>
      </c>
      <c r="EQ180" s="171">
        <f t="shared" ca="1" si="291"/>
        <v>0</v>
      </c>
      <c r="ER180" s="171">
        <f t="shared" ca="1" si="292"/>
        <v>0</v>
      </c>
      <c r="ES180" s="171">
        <f t="shared" ca="1" si="293"/>
        <v>0</v>
      </c>
    </row>
    <row r="181" spans="1:149">
      <c r="A181" s="139" t="s">
        <v>536</v>
      </c>
      <c r="B181" s="160" t="s">
        <v>459</v>
      </c>
      <c r="C181" s="160" t="s">
        <v>29</v>
      </c>
      <c r="D181" s="160" t="s">
        <v>394</v>
      </c>
      <c r="E181" s="160">
        <v>2012</v>
      </c>
      <c r="F181" s="194" t="s">
        <v>395</v>
      </c>
      <c r="G181" s="160" t="s">
        <v>402</v>
      </c>
      <c r="H181" s="194" t="s">
        <v>396</v>
      </c>
      <c r="I181" s="189" t="s">
        <v>176</v>
      </c>
      <c r="J181" s="194" t="s">
        <v>397</v>
      </c>
      <c r="K181" s="187">
        <v>45</v>
      </c>
      <c r="L181" s="163" t="s">
        <v>110</v>
      </c>
      <c r="M181" s="164">
        <f t="shared" si="223"/>
        <v>45</v>
      </c>
      <c r="N181" s="164">
        <f t="shared" si="224"/>
        <v>45</v>
      </c>
      <c r="O181" s="165">
        <f t="shared" si="225"/>
        <v>1</v>
      </c>
      <c r="P181" s="190">
        <v>6.1199999999999997E-2</v>
      </c>
      <c r="Q181" s="191">
        <v>19</v>
      </c>
      <c r="R181" s="168">
        <f t="shared" si="226"/>
        <v>7</v>
      </c>
      <c r="S181" s="178">
        <v>0</v>
      </c>
      <c r="T181" s="160" t="s">
        <v>398</v>
      </c>
      <c r="U181" s="171">
        <f t="shared" si="227"/>
        <v>4.1701165994644915</v>
      </c>
      <c r="V181" s="171">
        <f t="shared" ca="1" si="228"/>
        <v>3.8317142805626405</v>
      </c>
      <c r="W181" s="171">
        <f t="shared" ca="1" si="229"/>
        <v>72.802571330690171</v>
      </c>
      <c r="X181" s="172">
        <f t="shared" si="230"/>
        <v>0.52466941957701052</v>
      </c>
      <c r="Y181" s="172">
        <f t="shared" si="231"/>
        <v>0.47533058042298948</v>
      </c>
      <c r="Z181" s="173">
        <f t="shared" si="232"/>
        <v>79.232215389825342</v>
      </c>
      <c r="AA181" s="171">
        <f t="shared" si="294"/>
        <v>0</v>
      </c>
      <c r="AB181" s="171">
        <f t="shared" si="294"/>
        <v>0</v>
      </c>
      <c r="AC181" s="171">
        <f t="shared" si="294"/>
        <v>3.961610769491267</v>
      </c>
      <c r="AD181" s="171">
        <f t="shared" si="294"/>
        <v>3.961610769491267</v>
      </c>
      <c r="AE181" s="171">
        <f t="shared" si="294"/>
        <v>3.961610769491267</v>
      </c>
      <c r="AF181" s="171">
        <f t="shared" si="294"/>
        <v>3.961610769491267</v>
      </c>
      <c r="AG181" s="171">
        <f t="shared" si="294"/>
        <v>3.961610769491267</v>
      </c>
      <c r="AH181" s="171">
        <f t="shared" si="294"/>
        <v>3.961610769491267</v>
      </c>
      <c r="AI181" s="171">
        <f t="shared" si="294"/>
        <v>3.961610769491267</v>
      </c>
      <c r="AJ181" s="171">
        <f t="shared" si="294"/>
        <v>3.961610769491267</v>
      </c>
      <c r="AK181" s="171">
        <f t="shared" si="295"/>
        <v>3.961610769491267</v>
      </c>
      <c r="AL181" s="171">
        <f t="shared" si="295"/>
        <v>3.961610769491267</v>
      </c>
      <c r="AM181" s="171">
        <f t="shared" si="295"/>
        <v>3.961610769491267</v>
      </c>
      <c r="AN181" s="171">
        <f t="shared" si="295"/>
        <v>3.961610769491267</v>
      </c>
      <c r="AO181" s="171">
        <f t="shared" si="295"/>
        <v>3.961610769491267</v>
      </c>
      <c r="AP181" s="171">
        <f t="shared" si="295"/>
        <v>3.961610769491267</v>
      </c>
      <c r="AQ181" s="171">
        <f t="shared" si="295"/>
        <v>3.961610769491267</v>
      </c>
      <c r="AR181" s="171">
        <f t="shared" si="295"/>
        <v>3.961610769491267</v>
      </c>
      <c r="AS181" s="171">
        <f t="shared" si="295"/>
        <v>3.961610769491267</v>
      </c>
      <c r="AT181" s="171">
        <f t="shared" si="295"/>
        <v>3.961610769491267</v>
      </c>
      <c r="AU181" s="171">
        <f t="shared" si="296"/>
        <v>3.961610769491267</v>
      </c>
      <c r="AV181" s="171">
        <f t="shared" si="296"/>
        <v>3.961610769491267</v>
      </c>
      <c r="AW181" s="171">
        <f t="shared" si="296"/>
        <v>0</v>
      </c>
      <c r="AX181" s="171">
        <f t="shared" si="296"/>
        <v>0</v>
      </c>
      <c r="AY181" s="171">
        <f t="shared" si="296"/>
        <v>0</v>
      </c>
      <c r="AZ181" s="171">
        <f t="shared" si="296"/>
        <v>0</v>
      </c>
      <c r="BA181" s="171">
        <f t="shared" si="296"/>
        <v>0</v>
      </c>
      <c r="BB181" s="171">
        <f t="shared" si="296"/>
        <v>0</v>
      </c>
      <c r="BC181" s="171">
        <f t="shared" si="296"/>
        <v>0</v>
      </c>
      <c r="BD181" s="171">
        <f t="shared" si="296"/>
        <v>0</v>
      </c>
      <c r="BE181" s="171">
        <f t="shared" si="297"/>
        <v>0</v>
      </c>
      <c r="BF181" s="171">
        <f t="shared" si="297"/>
        <v>0</v>
      </c>
      <c r="BG181" s="171">
        <f t="shared" si="297"/>
        <v>0</v>
      </c>
      <c r="BH181" s="171">
        <f t="shared" si="297"/>
        <v>0</v>
      </c>
      <c r="BI181" s="171">
        <f t="shared" si="297"/>
        <v>0</v>
      </c>
      <c r="BJ181" s="171">
        <f t="shared" si="297"/>
        <v>0</v>
      </c>
      <c r="BK181" s="171">
        <f t="shared" si="297"/>
        <v>0</v>
      </c>
      <c r="BL181" s="171">
        <f t="shared" si="297"/>
        <v>0</v>
      </c>
      <c r="BM181" s="171">
        <f t="shared" si="297"/>
        <v>0</v>
      </c>
      <c r="BN181" s="171">
        <f t="shared" si="297"/>
        <v>0</v>
      </c>
      <c r="BO181" s="171">
        <f t="shared" si="298"/>
        <v>0</v>
      </c>
      <c r="BP181" s="171">
        <f t="shared" si="298"/>
        <v>0</v>
      </c>
      <c r="BQ181" s="171">
        <f t="shared" si="298"/>
        <v>0</v>
      </c>
      <c r="BR181" s="171">
        <f t="shared" si="298"/>
        <v>0</v>
      </c>
      <c r="BS181" s="171">
        <f t="shared" si="298"/>
        <v>0</v>
      </c>
      <c r="BT181" s="171">
        <f t="shared" si="298"/>
        <v>0</v>
      </c>
      <c r="BU181" s="171">
        <f t="shared" si="298"/>
        <v>0</v>
      </c>
      <c r="BV181" s="171">
        <f t="shared" si="298"/>
        <v>0</v>
      </c>
      <c r="BW181" s="171">
        <f t="shared" si="298"/>
        <v>0</v>
      </c>
      <c r="BX181" s="171">
        <f t="shared" si="298"/>
        <v>0</v>
      </c>
      <c r="BY181" s="171">
        <f t="shared" si="299"/>
        <v>0</v>
      </c>
      <c r="BZ181" s="171">
        <f t="shared" si="299"/>
        <v>0</v>
      </c>
      <c r="CA181" s="171">
        <f t="shared" si="299"/>
        <v>0</v>
      </c>
      <c r="CB181" s="171">
        <f t="shared" si="299"/>
        <v>0</v>
      </c>
      <c r="CC181" s="171">
        <f t="shared" si="299"/>
        <v>0</v>
      </c>
      <c r="CD181" s="171">
        <f t="shared" si="299"/>
        <v>0</v>
      </c>
      <c r="CE181" s="171">
        <f t="shared" si="299"/>
        <v>0</v>
      </c>
      <c r="CF181" s="171">
        <f t="shared" si="299"/>
        <v>0</v>
      </c>
      <c r="CG181" s="171">
        <f t="shared" si="299"/>
        <v>0</v>
      </c>
      <c r="CH181" s="171">
        <f t="shared" si="299"/>
        <v>0</v>
      </c>
      <c r="CI181" s="171">
        <f t="shared" si="299"/>
        <v>0</v>
      </c>
      <c r="CJ181" s="243"/>
      <c r="CK181" s="171">
        <f t="shared" si="233"/>
        <v>0</v>
      </c>
      <c r="CL181" s="171">
        <f t="shared" si="234"/>
        <v>0</v>
      </c>
      <c r="CM181" s="171">
        <f t="shared" si="235"/>
        <v>3.961610769491267</v>
      </c>
      <c r="CN181" s="171">
        <f t="shared" si="236"/>
        <v>3.961610769491267</v>
      </c>
      <c r="CO181" s="171">
        <f t="shared" si="237"/>
        <v>3.961610769491267</v>
      </c>
      <c r="CP181" s="171">
        <f t="shared" si="238"/>
        <v>3.961610769491267</v>
      </c>
      <c r="CQ181" s="171">
        <f t="shared" si="239"/>
        <v>3.961610769491267</v>
      </c>
      <c r="CR181" s="171">
        <f t="shared" si="240"/>
        <v>3.961610769491267</v>
      </c>
      <c r="CS181" s="171">
        <f t="shared" si="241"/>
        <v>3.961610769491267</v>
      </c>
      <c r="CT181" s="171">
        <f t="shared" si="242"/>
        <v>3.961610769491267</v>
      </c>
      <c r="CU181" s="171">
        <f t="shared" si="243"/>
        <v>3.961610769491267</v>
      </c>
      <c r="CV181" s="171">
        <f t="shared" si="244"/>
        <v>3.961610769491267</v>
      </c>
      <c r="CW181" s="171">
        <f t="shared" si="245"/>
        <v>3.961610769491267</v>
      </c>
      <c r="CX181" s="171">
        <f t="shared" si="246"/>
        <v>3.961610769491267</v>
      </c>
      <c r="CY181" s="171">
        <f t="shared" ca="1" si="247"/>
        <v>3.7610232039321962</v>
      </c>
      <c r="CZ181" s="171">
        <f t="shared" ca="1" si="248"/>
        <v>3.5705919545278499</v>
      </c>
      <c r="DA181" s="171">
        <f t="shared" ca="1" si="249"/>
        <v>3.3898027782465263</v>
      </c>
      <c r="DB181" s="171">
        <f t="shared" ca="1" si="250"/>
        <v>3.2181674696366493</v>
      </c>
      <c r="DC181" s="171">
        <f t="shared" ca="1" si="251"/>
        <v>3.0552225424703932</v>
      </c>
      <c r="DD181" s="171">
        <f t="shared" ca="1" si="252"/>
        <v>2.9005279781394231</v>
      </c>
      <c r="DE181" s="171">
        <f t="shared" ca="1" si="253"/>
        <v>2.7536660374229016</v>
      </c>
      <c r="DF181" s="171">
        <f t="shared" ca="1" si="254"/>
        <v>2.6142401324190425</v>
      </c>
      <c r="DG181" s="171">
        <f t="shared" ca="1" si="255"/>
        <v>0</v>
      </c>
      <c r="DH181" s="171">
        <f t="shared" ca="1" si="256"/>
        <v>0</v>
      </c>
      <c r="DI181" s="171">
        <f t="shared" ca="1" si="257"/>
        <v>0</v>
      </c>
      <c r="DJ181" s="171">
        <f t="shared" ca="1" si="258"/>
        <v>0</v>
      </c>
      <c r="DK181" s="171">
        <f t="shared" ca="1" si="259"/>
        <v>0</v>
      </c>
      <c r="DL181" s="171">
        <f t="shared" ca="1" si="260"/>
        <v>0</v>
      </c>
      <c r="DM181" s="171">
        <f t="shared" ca="1" si="261"/>
        <v>0</v>
      </c>
      <c r="DN181" s="171">
        <f t="shared" ca="1" si="262"/>
        <v>0</v>
      </c>
      <c r="DO181" s="171">
        <f t="shared" ca="1" si="263"/>
        <v>0</v>
      </c>
      <c r="DP181" s="171">
        <f t="shared" ca="1" si="264"/>
        <v>0</v>
      </c>
      <c r="DQ181" s="171">
        <f t="shared" ca="1" si="265"/>
        <v>0</v>
      </c>
      <c r="DR181" s="171">
        <f t="shared" ca="1" si="266"/>
        <v>0</v>
      </c>
      <c r="DS181" s="171">
        <f t="shared" ca="1" si="267"/>
        <v>0</v>
      </c>
      <c r="DT181" s="171">
        <f t="shared" ca="1" si="268"/>
        <v>0</v>
      </c>
      <c r="DU181" s="171">
        <f t="shared" ca="1" si="269"/>
        <v>0</v>
      </c>
      <c r="DV181" s="171">
        <f t="shared" ca="1" si="270"/>
        <v>0</v>
      </c>
      <c r="DW181" s="171">
        <f t="shared" ca="1" si="271"/>
        <v>0</v>
      </c>
      <c r="DX181" s="171">
        <f t="shared" ca="1" si="272"/>
        <v>0</v>
      </c>
      <c r="DY181" s="171">
        <f t="shared" ca="1" si="273"/>
        <v>0</v>
      </c>
      <c r="DZ181" s="171">
        <f t="shared" ca="1" si="274"/>
        <v>0</v>
      </c>
      <c r="EA181" s="171">
        <f t="shared" ca="1" si="275"/>
        <v>0</v>
      </c>
      <c r="EB181" s="171">
        <f t="shared" ca="1" si="276"/>
        <v>0</v>
      </c>
      <c r="EC181" s="171">
        <f t="shared" ca="1" si="277"/>
        <v>0</v>
      </c>
      <c r="ED181" s="171">
        <f t="shared" ca="1" si="278"/>
        <v>0</v>
      </c>
      <c r="EE181" s="171">
        <f t="shared" ca="1" si="279"/>
        <v>0</v>
      </c>
      <c r="EF181" s="171">
        <f t="shared" ca="1" si="280"/>
        <v>0</v>
      </c>
      <c r="EG181" s="171">
        <f t="shared" ca="1" si="281"/>
        <v>0</v>
      </c>
      <c r="EH181" s="171">
        <f t="shared" ca="1" si="282"/>
        <v>0</v>
      </c>
      <c r="EI181" s="171">
        <f t="shared" ca="1" si="283"/>
        <v>0</v>
      </c>
      <c r="EJ181" s="171">
        <f t="shared" ca="1" si="284"/>
        <v>0</v>
      </c>
      <c r="EK181" s="171">
        <f t="shared" ca="1" si="285"/>
        <v>0</v>
      </c>
      <c r="EL181" s="171">
        <f t="shared" ca="1" si="286"/>
        <v>0</v>
      </c>
      <c r="EM181" s="171">
        <f t="shared" ca="1" si="287"/>
        <v>0</v>
      </c>
      <c r="EN181" s="171">
        <f t="shared" ca="1" si="288"/>
        <v>0</v>
      </c>
      <c r="EO181" s="171">
        <f t="shared" ca="1" si="289"/>
        <v>0</v>
      </c>
      <c r="EP181" s="171">
        <f t="shared" ca="1" si="290"/>
        <v>0</v>
      </c>
      <c r="EQ181" s="171">
        <f t="shared" ca="1" si="291"/>
        <v>0</v>
      </c>
      <c r="ER181" s="171">
        <f t="shared" ca="1" si="292"/>
        <v>0</v>
      </c>
      <c r="ES181" s="171">
        <f t="shared" ca="1" si="293"/>
        <v>0</v>
      </c>
    </row>
    <row r="182" spans="1:149">
      <c r="A182" s="139" t="s">
        <v>537</v>
      </c>
      <c r="B182" s="161" t="s">
        <v>538</v>
      </c>
      <c r="C182" s="161" t="s">
        <v>29</v>
      </c>
      <c r="D182" s="161" t="s">
        <v>394</v>
      </c>
      <c r="E182" s="161">
        <v>2012</v>
      </c>
      <c r="F182" s="189" t="s">
        <v>405</v>
      </c>
      <c r="G182" s="161" t="s">
        <v>289</v>
      </c>
      <c r="H182" s="189" t="s">
        <v>406</v>
      </c>
      <c r="I182" s="189" t="s">
        <v>365</v>
      </c>
      <c r="J182" s="189" t="s">
        <v>397</v>
      </c>
      <c r="K182" s="184">
        <v>23.3</v>
      </c>
      <c r="L182" s="163" t="s">
        <v>110</v>
      </c>
      <c r="M182" s="164">
        <f t="shared" si="223"/>
        <v>23.3</v>
      </c>
      <c r="N182" s="164">
        <f t="shared" si="224"/>
        <v>23.3</v>
      </c>
      <c r="O182" s="165">
        <f t="shared" si="225"/>
        <v>1</v>
      </c>
      <c r="P182" s="200">
        <v>0.17100000000000001</v>
      </c>
      <c r="Q182" s="177">
        <v>25</v>
      </c>
      <c r="R182" s="168">
        <f t="shared" si="226"/>
        <v>13</v>
      </c>
      <c r="S182" s="169">
        <v>0</v>
      </c>
      <c r="T182" s="161" t="s">
        <v>289</v>
      </c>
      <c r="U182" s="171">
        <f t="shared" si="227"/>
        <v>4.1436720000000014</v>
      </c>
      <c r="V182" s="171">
        <f t="shared" ca="1" si="228"/>
        <v>3.4569408537645709</v>
      </c>
      <c r="W182" s="171">
        <f t="shared" ca="1" si="229"/>
        <v>86.423521344114278</v>
      </c>
      <c r="X182" s="172" t="str">
        <f t="shared" si="230"/>
        <v>Equity</v>
      </c>
      <c r="Y182" s="172" t="str">
        <f t="shared" si="231"/>
        <v>Equity</v>
      </c>
      <c r="Z182" s="173">
        <f t="shared" si="232"/>
        <v>103.59180000000003</v>
      </c>
      <c r="AA182" s="171">
        <f t="shared" si="294"/>
        <v>0</v>
      </c>
      <c r="AB182" s="171">
        <f t="shared" si="294"/>
        <v>0</v>
      </c>
      <c r="AC182" s="171">
        <f t="shared" si="294"/>
        <v>3.9843000000000006</v>
      </c>
      <c r="AD182" s="171">
        <f t="shared" si="294"/>
        <v>3.9843000000000006</v>
      </c>
      <c r="AE182" s="171">
        <f t="shared" si="294"/>
        <v>3.9843000000000006</v>
      </c>
      <c r="AF182" s="171">
        <f t="shared" si="294"/>
        <v>3.9843000000000006</v>
      </c>
      <c r="AG182" s="171">
        <f t="shared" si="294"/>
        <v>3.9843000000000006</v>
      </c>
      <c r="AH182" s="171">
        <f t="shared" si="294"/>
        <v>3.9843000000000006</v>
      </c>
      <c r="AI182" s="171">
        <f t="shared" si="294"/>
        <v>3.9843000000000006</v>
      </c>
      <c r="AJ182" s="171">
        <f t="shared" si="294"/>
        <v>3.9843000000000006</v>
      </c>
      <c r="AK182" s="171">
        <f t="shared" si="295"/>
        <v>3.9843000000000006</v>
      </c>
      <c r="AL182" s="171">
        <f t="shared" si="295"/>
        <v>3.9843000000000006</v>
      </c>
      <c r="AM182" s="171">
        <f t="shared" si="295"/>
        <v>3.9843000000000006</v>
      </c>
      <c r="AN182" s="171">
        <f t="shared" si="295"/>
        <v>3.9843000000000006</v>
      </c>
      <c r="AO182" s="171">
        <f t="shared" si="295"/>
        <v>3.9843000000000006</v>
      </c>
      <c r="AP182" s="171">
        <f t="shared" si="295"/>
        <v>3.9843000000000006</v>
      </c>
      <c r="AQ182" s="171">
        <f t="shared" si="295"/>
        <v>3.9843000000000006</v>
      </c>
      <c r="AR182" s="171">
        <f t="shared" si="295"/>
        <v>3.9843000000000006</v>
      </c>
      <c r="AS182" s="171">
        <f t="shared" si="295"/>
        <v>3.9843000000000006</v>
      </c>
      <c r="AT182" s="171">
        <f t="shared" si="295"/>
        <v>3.9843000000000006</v>
      </c>
      <c r="AU182" s="171">
        <f t="shared" si="296"/>
        <v>3.9843000000000006</v>
      </c>
      <c r="AV182" s="171">
        <f t="shared" si="296"/>
        <v>3.9843000000000006</v>
      </c>
      <c r="AW182" s="171">
        <f t="shared" si="296"/>
        <v>3.9843000000000006</v>
      </c>
      <c r="AX182" s="171">
        <f t="shared" si="296"/>
        <v>3.9843000000000006</v>
      </c>
      <c r="AY182" s="171">
        <f t="shared" si="296"/>
        <v>3.9843000000000006</v>
      </c>
      <c r="AZ182" s="171">
        <f t="shared" si="296"/>
        <v>3.9843000000000006</v>
      </c>
      <c r="BA182" s="171">
        <f t="shared" si="296"/>
        <v>3.9843000000000006</v>
      </c>
      <c r="BB182" s="171">
        <f t="shared" si="296"/>
        <v>3.9843000000000006</v>
      </c>
      <c r="BC182" s="171">
        <f t="shared" si="296"/>
        <v>0</v>
      </c>
      <c r="BD182" s="171">
        <f t="shared" si="296"/>
        <v>0</v>
      </c>
      <c r="BE182" s="171">
        <f t="shared" si="297"/>
        <v>0</v>
      </c>
      <c r="BF182" s="171">
        <f t="shared" si="297"/>
        <v>0</v>
      </c>
      <c r="BG182" s="171">
        <f t="shared" si="297"/>
        <v>0</v>
      </c>
      <c r="BH182" s="171">
        <f t="shared" si="297"/>
        <v>0</v>
      </c>
      <c r="BI182" s="171">
        <f t="shared" si="297"/>
        <v>0</v>
      </c>
      <c r="BJ182" s="171">
        <f t="shared" si="297"/>
        <v>0</v>
      </c>
      <c r="BK182" s="171">
        <f t="shared" si="297"/>
        <v>0</v>
      </c>
      <c r="BL182" s="171">
        <f t="shared" si="297"/>
        <v>0</v>
      </c>
      <c r="BM182" s="171">
        <f t="shared" si="297"/>
        <v>0</v>
      </c>
      <c r="BN182" s="171">
        <f t="shared" si="297"/>
        <v>0</v>
      </c>
      <c r="BO182" s="171">
        <f t="shared" si="298"/>
        <v>0</v>
      </c>
      <c r="BP182" s="171">
        <f t="shared" si="298"/>
        <v>0</v>
      </c>
      <c r="BQ182" s="171">
        <f t="shared" si="298"/>
        <v>0</v>
      </c>
      <c r="BR182" s="171">
        <f t="shared" si="298"/>
        <v>0</v>
      </c>
      <c r="BS182" s="171">
        <f t="shared" si="298"/>
        <v>0</v>
      </c>
      <c r="BT182" s="171">
        <f t="shared" si="298"/>
        <v>0</v>
      </c>
      <c r="BU182" s="171">
        <f t="shared" si="298"/>
        <v>0</v>
      </c>
      <c r="BV182" s="171">
        <f t="shared" si="298"/>
        <v>0</v>
      </c>
      <c r="BW182" s="171">
        <f t="shared" si="298"/>
        <v>0</v>
      </c>
      <c r="BX182" s="171">
        <f t="shared" si="298"/>
        <v>0</v>
      </c>
      <c r="BY182" s="171">
        <f t="shared" si="299"/>
        <v>0</v>
      </c>
      <c r="BZ182" s="171">
        <f t="shared" si="299"/>
        <v>0</v>
      </c>
      <c r="CA182" s="171">
        <f t="shared" si="299"/>
        <v>0</v>
      </c>
      <c r="CB182" s="171">
        <f t="shared" si="299"/>
        <v>0</v>
      </c>
      <c r="CC182" s="171">
        <f t="shared" si="299"/>
        <v>0</v>
      </c>
      <c r="CD182" s="171">
        <f t="shared" si="299"/>
        <v>0</v>
      </c>
      <c r="CE182" s="171">
        <f t="shared" si="299"/>
        <v>0</v>
      </c>
      <c r="CF182" s="171">
        <f t="shared" si="299"/>
        <v>0</v>
      </c>
      <c r="CG182" s="171">
        <f t="shared" si="299"/>
        <v>0</v>
      </c>
      <c r="CH182" s="171">
        <f t="shared" si="299"/>
        <v>0</v>
      </c>
      <c r="CI182" s="171">
        <f t="shared" si="299"/>
        <v>0</v>
      </c>
      <c r="CJ182" s="243"/>
      <c r="CK182" s="171">
        <f t="shared" si="233"/>
        <v>0</v>
      </c>
      <c r="CL182" s="171">
        <f t="shared" si="234"/>
        <v>0</v>
      </c>
      <c r="CM182" s="171">
        <f t="shared" si="235"/>
        <v>3.9843000000000006</v>
      </c>
      <c r="CN182" s="171">
        <f t="shared" si="236"/>
        <v>3.9843000000000006</v>
      </c>
      <c r="CO182" s="171">
        <f t="shared" si="237"/>
        <v>3.9843000000000006</v>
      </c>
      <c r="CP182" s="171">
        <f t="shared" si="238"/>
        <v>3.9843000000000006</v>
      </c>
      <c r="CQ182" s="171">
        <f t="shared" si="239"/>
        <v>3.9843000000000006</v>
      </c>
      <c r="CR182" s="171">
        <f t="shared" si="240"/>
        <v>3.9843000000000006</v>
      </c>
      <c r="CS182" s="171">
        <f t="shared" si="241"/>
        <v>3.9843000000000006</v>
      </c>
      <c r="CT182" s="171">
        <f t="shared" si="242"/>
        <v>3.9843000000000006</v>
      </c>
      <c r="CU182" s="171">
        <f t="shared" si="243"/>
        <v>3.9843000000000006</v>
      </c>
      <c r="CV182" s="171">
        <f t="shared" si="244"/>
        <v>3.9843000000000006</v>
      </c>
      <c r="CW182" s="171">
        <f t="shared" si="245"/>
        <v>3.9843000000000006</v>
      </c>
      <c r="CX182" s="171">
        <f t="shared" si="246"/>
        <v>3.9843000000000006</v>
      </c>
      <c r="CY182" s="171">
        <f t="shared" ca="1" si="247"/>
        <v>3.7825636144843595</v>
      </c>
      <c r="CZ182" s="171">
        <f t="shared" ca="1" si="248"/>
        <v>3.5910417131292776</v>
      </c>
      <c r="DA182" s="171">
        <f t="shared" ca="1" si="249"/>
        <v>3.4092171076922884</v>
      </c>
      <c r="DB182" s="171">
        <f t="shared" ca="1" si="250"/>
        <v>3.2365987966354073</v>
      </c>
      <c r="DC182" s="171">
        <f t="shared" ca="1" si="251"/>
        <v>3.0727206392181694</v>
      </c>
      <c r="DD182" s="171">
        <f t="shared" ca="1" si="252"/>
        <v>2.9171400967250882</v>
      </c>
      <c r="DE182" s="171">
        <f t="shared" ca="1" si="253"/>
        <v>2.7694370374283319</v>
      </c>
      <c r="DF182" s="171">
        <f t="shared" ca="1" si="254"/>
        <v>2.6292126020585207</v>
      </c>
      <c r="DG182" s="171">
        <f t="shared" ca="1" si="255"/>
        <v>2.4960881267199522</v>
      </c>
      <c r="DH182" s="171">
        <f t="shared" ca="1" si="256"/>
        <v>2.36970412034167</v>
      </c>
      <c r="DI182" s="171">
        <f t="shared" ca="1" si="257"/>
        <v>2.2497192939030857</v>
      </c>
      <c r="DJ182" s="171">
        <f t="shared" ca="1" si="258"/>
        <v>2.1358096388126535</v>
      </c>
      <c r="DK182" s="171">
        <f t="shared" ca="1" si="259"/>
        <v>2.027667551950838</v>
      </c>
      <c r="DL182" s="171">
        <f t="shared" ca="1" si="260"/>
        <v>1.9250010050146358</v>
      </c>
      <c r="DM182" s="171">
        <f t="shared" ca="1" si="261"/>
        <v>0</v>
      </c>
      <c r="DN182" s="171">
        <f t="shared" ca="1" si="262"/>
        <v>0</v>
      </c>
      <c r="DO182" s="171">
        <f t="shared" ca="1" si="263"/>
        <v>0</v>
      </c>
      <c r="DP182" s="171">
        <f t="shared" ca="1" si="264"/>
        <v>0</v>
      </c>
      <c r="DQ182" s="171">
        <f t="shared" ca="1" si="265"/>
        <v>0</v>
      </c>
      <c r="DR182" s="171">
        <f t="shared" ca="1" si="266"/>
        <v>0</v>
      </c>
      <c r="DS182" s="171">
        <f t="shared" ca="1" si="267"/>
        <v>0</v>
      </c>
      <c r="DT182" s="171">
        <f t="shared" ca="1" si="268"/>
        <v>0</v>
      </c>
      <c r="DU182" s="171">
        <f t="shared" ca="1" si="269"/>
        <v>0</v>
      </c>
      <c r="DV182" s="171">
        <f t="shared" ca="1" si="270"/>
        <v>0</v>
      </c>
      <c r="DW182" s="171">
        <f t="shared" ca="1" si="271"/>
        <v>0</v>
      </c>
      <c r="DX182" s="171">
        <f t="shared" ca="1" si="272"/>
        <v>0</v>
      </c>
      <c r="DY182" s="171">
        <f t="shared" ca="1" si="273"/>
        <v>0</v>
      </c>
      <c r="DZ182" s="171">
        <f t="shared" ca="1" si="274"/>
        <v>0</v>
      </c>
      <c r="EA182" s="171">
        <f t="shared" ca="1" si="275"/>
        <v>0</v>
      </c>
      <c r="EB182" s="171">
        <f t="shared" ca="1" si="276"/>
        <v>0</v>
      </c>
      <c r="EC182" s="171">
        <f t="shared" ca="1" si="277"/>
        <v>0</v>
      </c>
      <c r="ED182" s="171">
        <f t="shared" ca="1" si="278"/>
        <v>0</v>
      </c>
      <c r="EE182" s="171">
        <f t="shared" ca="1" si="279"/>
        <v>0</v>
      </c>
      <c r="EF182" s="171">
        <f t="shared" ca="1" si="280"/>
        <v>0</v>
      </c>
      <c r="EG182" s="171">
        <f t="shared" ca="1" si="281"/>
        <v>0</v>
      </c>
      <c r="EH182" s="171">
        <f t="shared" ca="1" si="282"/>
        <v>0</v>
      </c>
      <c r="EI182" s="171">
        <f t="shared" ca="1" si="283"/>
        <v>0</v>
      </c>
      <c r="EJ182" s="171">
        <f t="shared" ca="1" si="284"/>
        <v>0</v>
      </c>
      <c r="EK182" s="171">
        <f t="shared" ca="1" si="285"/>
        <v>0</v>
      </c>
      <c r="EL182" s="171">
        <f t="shared" ca="1" si="286"/>
        <v>0</v>
      </c>
      <c r="EM182" s="171">
        <f t="shared" ca="1" si="287"/>
        <v>0</v>
      </c>
      <c r="EN182" s="171">
        <f t="shared" ca="1" si="288"/>
        <v>0</v>
      </c>
      <c r="EO182" s="171">
        <f t="shared" ca="1" si="289"/>
        <v>0</v>
      </c>
      <c r="EP182" s="171">
        <f t="shared" ca="1" si="290"/>
        <v>0</v>
      </c>
      <c r="EQ182" s="171">
        <f t="shared" ca="1" si="291"/>
        <v>0</v>
      </c>
      <c r="ER182" s="171">
        <f t="shared" ca="1" si="292"/>
        <v>0</v>
      </c>
      <c r="ES182" s="171">
        <f t="shared" ca="1" si="293"/>
        <v>0</v>
      </c>
    </row>
    <row r="183" spans="1:149">
      <c r="A183" s="139" t="s">
        <v>539</v>
      </c>
      <c r="B183" s="161" t="s">
        <v>534</v>
      </c>
      <c r="C183" s="161" t="s">
        <v>29</v>
      </c>
      <c r="D183" s="161" t="s">
        <v>394</v>
      </c>
      <c r="E183" s="161">
        <v>2016</v>
      </c>
      <c r="F183" s="189" t="s">
        <v>395</v>
      </c>
      <c r="G183" s="161" t="s">
        <v>402</v>
      </c>
      <c r="H183" s="189" t="s">
        <v>396</v>
      </c>
      <c r="I183" s="189" t="s">
        <v>176</v>
      </c>
      <c r="J183" s="189" t="s">
        <v>397</v>
      </c>
      <c r="K183" s="187">
        <v>50</v>
      </c>
      <c r="L183" s="163" t="s">
        <v>110</v>
      </c>
      <c r="M183" s="164">
        <f t="shared" si="223"/>
        <v>50</v>
      </c>
      <c r="N183" s="164">
        <f t="shared" si="224"/>
        <v>50</v>
      </c>
      <c r="O183" s="165">
        <f t="shared" si="225"/>
        <v>1</v>
      </c>
      <c r="P183" s="190">
        <v>6.2799999999999995E-2</v>
      </c>
      <c r="Q183" s="191">
        <v>12</v>
      </c>
      <c r="R183" s="168">
        <f t="shared" si="226"/>
        <v>4</v>
      </c>
      <c r="S183" s="178">
        <v>2</v>
      </c>
      <c r="T183" s="170" t="s">
        <v>403</v>
      </c>
      <c r="U183" s="171">
        <f t="shared" si="227"/>
        <v>6.4181837063747773</v>
      </c>
      <c r="V183" s="171">
        <f t="shared" ca="1" si="228"/>
        <v>6.0376299688353159</v>
      </c>
      <c r="W183" s="171">
        <f t="shared" ca="1" si="229"/>
        <v>72.451559626023794</v>
      </c>
      <c r="X183" s="172">
        <f t="shared" si="230"/>
        <v>0.53567201899606165</v>
      </c>
      <c r="Y183" s="172">
        <f t="shared" si="231"/>
        <v>0.46432798100393835</v>
      </c>
      <c r="Z183" s="173">
        <f t="shared" si="232"/>
        <v>77.018204476497331</v>
      </c>
      <c r="AA183" s="171">
        <f t="shared" si="294"/>
        <v>0</v>
      </c>
      <c r="AB183" s="171">
        <f t="shared" si="294"/>
        <v>0</v>
      </c>
      <c r="AC183" s="171">
        <f t="shared" si="294"/>
        <v>0</v>
      </c>
      <c r="AD183" s="171">
        <f t="shared" si="294"/>
        <v>0</v>
      </c>
      <c r="AE183" s="171">
        <f t="shared" si="294"/>
        <v>0</v>
      </c>
      <c r="AF183" s="171">
        <f t="shared" si="294"/>
        <v>0</v>
      </c>
      <c r="AG183" s="171">
        <f t="shared" si="294"/>
        <v>3.1399999999999997</v>
      </c>
      <c r="AH183" s="171">
        <f t="shared" si="294"/>
        <v>3.1399999999999997</v>
      </c>
      <c r="AI183" s="171">
        <f t="shared" si="294"/>
        <v>6.4307458614997577</v>
      </c>
      <c r="AJ183" s="171">
        <f t="shared" si="294"/>
        <v>6.4307458614997577</v>
      </c>
      <c r="AK183" s="171">
        <f t="shared" si="295"/>
        <v>6.4307458614997577</v>
      </c>
      <c r="AL183" s="171">
        <f t="shared" si="295"/>
        <v>6.4307458614997577</v>
      </c>
      <c r="AM183" s="171">
        <f t="shared" si="295"/>
        <v>6.4307458614997577</v>
      </c>
      <c r="AN183" s="171">
        <f t="shared" si="295"/>
        <v>6.4307458614997577</v>
      </c>
      <c r="AO183" s="171">
        <f t="shared" si="295"/>
        <v>6.4307458614997577</v>
      </c>
      <c r="AP183" s="171">
        <f t="shared" si="295"/>
        <v>6.4307458614997577</v>
      </c>
      <c r="AQ183" s="171">
        <f t="shared" si="295"/>
        <v>6.4307458614997577</v>
      </c>
      <c r="AR183" s="171">
        <f t="shared" si="295"/>
        <v>6.4307458614997577</v>
      </c>
      <c r="AS183" s="171">
        <f t="shared" si="295"/>
        <v>6.4307458614997577</v>
      </c>
      <c r="AT183" s="171">
        <f t="shared" si="295"/>
        <v>0</v>
      </c>
      <c r="AU183" s="171">
        <f t="shared" si="296"/>
        <v>0</v>
      </c>
      <c r="AV183" s="171">
        <f t="shared" si="296"/>
        <v>0</v>
      </c>
      <c r="AW183" s="171">
        <f t="shared" si="296"/>
        <v>0</v>
      </c>
      <c r="AX183" s="171">
        <f t="shared" si="296"/>
        <v>0</v>
      </c>
      <c r="AY183" s="171">
        <f t="shared" si="296"/>
        <v>0</v>
      </c>
      <c r="AZ183" s="171">
        <f t="shared" si="296"/>
        <v>0</v>
      </c>
      <c r="BA183" s="171">
        <f t="shared" si="296"/>
        <v>0</v>
      </c>
      <c r="BB183" s="171">
        <f t="shared" si="296"/>
        <v>0</v>
      </c>
      <c r="BC183" s="171">
        <f t="shared" si="296"/>
        <v>0</v>
      </c>
      <c r="BD183" s="171">
        <f t="shared" si="296"/>
        <v>0</v>
      </c>
      <c r="BE183" s="171">
        <f t="shared" si="297"/>
        <v>0</v>
      </c>
      <c r="BF183" s="171">
        <f t="shared" si="297"/>
        <v>0</v>
      </c>
      <c r="BG183" s="171">
        <f t="shared" si="297"/>
        <v>0</v>
      </c>
      <c r="BH183" s="171">
        <f t="shared" si="297"/>
        <v>0</v>
      </c>
      <c r="BI183" s="171">
        <f t="shared" si="297"/>
        <v>0</v>
      </c>
      <c r="BJ183" s="171">
        <f t="shared" si="297"/>
        <v>0</v>
      </c>
      <c r="BK183" s="171">
        <f t="shared" si="297"/>
        <v>0</v>
      </c>
      <c r="BL183" s="171">
        <f t="shared" si="297"/>
        <v>0</v>
      </c>
      <c r="BM183" s="171">
        <f t="shared" si="297"/>
        <v>0</v>
      </c>
      <c r="BN183" s="171">
        <f t="shared" si="297"/>
        <v>0</v>
      </c>
      <c r="BO183" s="171">
        <f t="shared" si="298"/>
        <v>0</v>
      </c>
      <c r="BP183" s="171">
        <f t="shared" si="298"/>
        <v>0</v>
      </c>
      <c r="BQ183" s="171">
        <f t="shared" si="298"/>
        <v>0</v>
      </c>
      <c r="BR183" s="171">
        <f t="shared" si="298"/>
        <v>0</v>
      </c>
      <c r="BS183" s="171">
        <f t="shared" si="298"/>
        <v>0</v>
      </c>
      <c r="BT183" s="171">
        <f t="shared" si="298"/>
        <v>0</v>
      </c>
      <c r="BU183" s="171">
        <f t="shared" si="298"/>
        <v>0</v>
      </c>
      <c r="BV183" s="171">
        <f t="shared" si="298"/>
        <v>0</v>
      </c>
      <c r="BW183" s="171">
        <f t="shared" si="298"/>
        <v>0</v>
      </c>
      <c r="BX183" s="171">
        <f t="shared" si="298"/>
        <v>0</v>
      </c>
      <c r="BY183" s="171">
        <f t="shared" si="299"/>
        <v>0</v>
      </c>
      <c r="BZ183" s="171">
        <f t="shared" si="299"/>
        <v>0</v>
      </c>
      <c r="CA183" s="171">
        <f t="shared" si="299"/>
        <v>0</v>
      </c>
      <c r="CB183" s="171">
        <f t="shared" si="299"/>
        <v>0</v>
      </c>
      <c r="CC183" s="171">
        <f t="shared" si="299"/>
        <v>0</v>
      </c>
      <c r="CD183" s="171">
        <f t="shared" si="299"/>
        <v>0</v>
      </c>
      <c r="CE183" s="171">
        <f t="shared" si="299"/>
        <v>0</v>
      </c>
      <c r="CF183" s="171">
        <f t="shared" si="299"/>
        <v>0</v>
      </c>
      <c r="CG183" s="171">
        <f t="shared" si="299"/>
        <v>0</v>
      </c>
      <c r="CH183" s="171">
        <f t="shared" si="299"/>
        <v>0</v>
      </c>
      <c r="CI183" s="171">
        <f t="shared" si="299"/>
        <v>0</v>
      </c>
      <c r="CJ183" s="243"/>
      <c r="CK183" s="171">
        <f t="shared" si="233"/>
        <v>0</v>
      </c>
      <c r="CL183" s="171">
        <f t="shared" si="234"/>
        <v>0</v>
      </c>
      <c r="CM183" s="171">
        <f t="shared" si="235"/>
        <v>0</v>
      </c>
      <c r="CN183" s="171">
        <f t="shared" si="236"/>
        <v>0</v>
      </c>
      <c r="CO183" s="171">
        <f t="shared" si="237"/>
        <v>0</v>
      </c>
      <c r="CP183" s="171">
        <f t="shared" si="238"/>
        <v>0</v>
      </c>
      <c r="CQ183" s="171">
        <f t="shared" si="239"/>
        <v>3.1399999999999997</v>
      </c>
      <c r="CR183" s="171">
        <f t="shared" si="240"/>
        <v>3.1399999999999997</v>
      </c>
      <c r="CS183" s="171">
        <f t="shared" si="241"/>
        <v>6.4307458614997577</v>
      </c>
      <c r="CT183" s="171">
        <f t="shared" si="242"/>
        <v>6.4307458614997577</v>
      </c>
      <c r="CU183" s="171">
        <f t="shared" si="243"/>
        <v>6.4307458614997577</v>
      </c>
      <c r="CV183" s="171">
        <f t="shared" si="244"/>
        <v>6.4307458614997577</v>
      </c>
      <c r="CW183" s="171">
        <f t="shared" si="245"/>
        <v>6.4307458614997577</v>
      </c>
      <c r="CX183" s="171">
        <f t="shared" si="246"/>
        <v>6.4307458614997577</v>
      </c>
      <c r="CY183" s="171">
        <f t="shared" ca="1" si="247"/>
        <v>6.1051389979933379</v>
      </c>
      <c r="CZ183" s="171">
        <f t="shared" ca="1" si="248"/>
        <v>5.7960185315310335</v>
      </c>
      <c r="DA183" s="171">
        <f t="shared" ca="1" si="249"/>
        <v>5.502549709170081</v>
      </c>
      <c r="DB183" s="171">
        <f t="shared" ca="1" si="250"/>
        <v>5.2239400438717558</v>
      </c>
      <c r="DC183" s="171">
        <f t="shared" ca="1" si="251"/>
        <v>4.9594371744590342</v>
      </c>
      <c r="DD183" s="171">
        <f t="shared" ca="1" si="252"/>
        <v>0</v>
      </c>
      <c r="DE183" s="171">
        <f t="shared" ca="1" si="253"/>
        <v>0</v>
      </c>
      <c r="DF183" s="171">
        <f t="shared" ca="1" si="254"/>
        <v>0</v>
      </c>
      <c r="DG183" s="171">
        <f t="shared" ca="1" si="255"/>
        <v>0</v>
      </c>
      <c r="DH183" s="171">
        <f t="shared" ca="1" si="256"/>
        <v>0</v>
      </c>
      <c r="DI183" s="171">
        <f t="shared" ca="1" si="257"/>
        <v>0</v>
      </c>
      <c r="DJ183" s="171">
        <f t="shared" ca="1" si="258"/>
        <v>0</v>
      </c>
      <c r="DK183" s="171">
        <f t="shared" ca="1" si="259"/>
        <v>0</v>
      </c>
      <c r="DL183" s="171">
        <f t="shared" ca="1" si="260"/>
        <v>0</v>
      </c>
      <c r="DM183" s="171">
        <f t="shared" ca="1" si="261"/>
        <v>0</v>
      </c>
      <c r="DN183" s="171">
        <f t="shared" ca="1" si="262"/>
        <v>0</v>
      </c>
      <c r="DO183" s="171">
        <f t="shared" ca="1" si="263"/>
        <v>0</v>
      </c>
      <c r="DP183" s="171">
        <f t="shared" ca="1" si="264"/>
        <v>0</v>
      </c>
      <c r="DQ183" s="171">
        <f t="shared" ca="1" si="265"/>
        <v>0</v>
      </c>
      <c r="DR183" s="171">
        <f t="shared" ca="1" si="266"/>
        <v>0</v>
      </c>
      <c r="DS183" s="171">
        <f t="shared" ca="1" si="267"/>
        <v>0</v>
      </c>
      <c r="DT183" s="171">
        <f t="shared" ca="1" si="268"/>
        <v>0</v>
      </c>
      <c r="DU183" s="171">
        <f t="shared" ca="1" si="269"/>
        <v>0</v>
      </c>
      <c r="DV183" s="171">
        <f t="shared" ca="1" si="270"/>
        <v>0</v>
      </c>
      <c r="DW183" s="171">
        <f t="shared" ca="1" si="271"/>
        <v>0</v>
      </c>
      <c r="DX183" s="171">
        <f t="shared" ca="1" si="272"/>
        <v>0</v>
      </c>
      <c r="DY183" s="171">
        <f t="shared" ca="1" si="273"/>
        <v>0</v>
      </c>
      <c r="DZ183" s="171">
        <f t="shared" ca="1" si="274"/>
        <v>0</v>
      </c>
      <c r="EA183" s="171">
        <f t="shared" ca="1" si="275"/>
        <v>0</v>
      </c>
      <c r="EB183" s="171">
        <f t="shared" ca="1" si="276"/>
        <v>0</v>
      </c>
      <c r="EC183" s="171">
        <f t="shared" ca="1" si="277"/>
        <v>0</v>
      </c>
      <c r="ED183" s="171">
        <f t="shared" ca="1" si="278"/>
        <v>0</v>
      </c>
      <c r="EE183" s="171">
        <f t="shared" ca="1" si="279"/>
        <v>0</v>
      </c>
      <c r="EF183" s="171">
        <f t="shared" ca="1" si="280"/>
        <v>0</v>
      </c>
      <c r="EG183" s="171">
        <f t="shared" ca="1" si="281"/>
        <v>0</v>
      </c>
      <c r="EH183" s="171">
        <f t="shared" ca="1" si="282"/>
        <v>0</v>
      </c>
      <c r="EI183" s="171">
        <f t="shared" ca="1" si="283"/>
        <v>0</v>
      </c>
      <c r="EJ183" s="171">
        <f t="shared" ca="1" si="284"/>
        <v>0</v>
      </c>
      <c r="EK183" s="171">
        <f t="shared" ca="1" si="285"/>
        <v>0</v>
      </c>
      <c r="EL183" s="171">
        <f t="shared" ca="1" si="286"/>
        <v>0</v>
      </c>
      <c r="EM183" s="171">
        <f t="shared" ca="1" si="287"/>
        <v>0</v>
      </c>
      <c r="EN183" s="171">
        <f t="shared" ca="1" si="288"/>
        <v>0</v>
      </c>
      <c r="EO183" s="171">
        <f t="shared" ca="1" si="289"/>
        <v>0</v>
      </c>
      <c r="EP183" s="171">
        <f t="shared" ca="1" si="290"/>
        <v>0</v>
      </c>
      <c r="EQ183" s="171">
        <f t="shared" ca="1" si="291"/>
        <v>0</v>
      </c>
      <c r="ER183" s="171">
        <f t="shared" ca="1" si="292"/>
        <v>0</v>
      </c>
      <c r="ES183" s="171">
        <f t="shared" ca="1" si="293"/>
        <v>0</v>
      </c>
    </row>
    <row r="184" spans="1:149">
      <c r="A184" s="139" t="s">
        <v>540</v>
      </c>
      <c r="B184" s="160" t="s">
        <v>538</v>
      </c>
      <c r="C184" s="160" t="s">
        <v>29</v>
      </c>
      <c r="D184" s="160" t="s">
        <v>394</v>
      </c>
      <c r="E184" s="160">
        <v>2010</v>
      </c>
      <c r="F184" s="194" t="s">
        <v>405</v>
      </c>
      <c r="G184" s="194" t="s">
        <v>289</v>
      </c>
      <c r="H184" s="194" t="s">
        <v>406</v>
      </c>
      <c r="I184" s="194" t="s">
        <v>365</v>
      </c>
      <c r="J184" s="194" t="s">
        <v>397</v>
      </c>
      <c r="K184" s="187">
        <v>70</v>
      </c>
      <c r="L184" s="163" t="s">
        <v>110</v>
      </c>
      <c r="M184" s="164">
        <f t="shared" si="223"/>
        <v>70</v>
      </c>
      <c r="N184" s="164">
        <f t="shared" si="224"/>
        <v>70</v>
      </c>
      <c r="O184" s="165">
        <f t="shared" si="225"/>
        <v>1</v>
      </c>
      <c r="P184" s="190">
        <v>0.16</v>
      </c>
      <c r="Q184" s="177">
        <v>25</v>
      </c>
      <c r="R184" s="168">
        <f t="shared" si="226"/>
        <v>11</v>
      </c>
      <c r="S184" s="178">
        <v>0</v>
      </c>
      <c r="T184" s="160" t="s">
        <v>289</v>
      </c>
      <c r="U184" s="171">
        <f t="shared" si="227"/>
        <v>11.647999999999994</v>
      </c>
      <c r="V184" s="171">
        <f t="shared" ca="1" si="228"/>
        <v>10.16913255744865</v>
      </c>
      <c r="W184" s="171">
        <f t="shared" ca="1" si="229"/>
        <v>254.22831393621624</v>
      </c>
      <c r="X184" s="172" t="str">
        <f t="shared" si="230"/>
        <v>Equity</v>
      </c>
      <c r="Y184" s="172" t="str">
        <f t="shared" si="231"/>
        <v>Equity</v>
      </c>
      <c r="Z184" s="173">
        <f t="shared" si="232"/>
        <v>291.19999999999987</v>
      </c>
      <c r="AA184" s="171">
        <f t="shared" si="294"/>
        <v>11.200000000000001</v>
      </c>
      <c r="AB184" s="171">
        <f t="shared" si="294"/>
        <v>11.200000000000001</v>
      </c>
      <c r="AC184" s="171">
        <f t="shared" si="294"/>
        <v>11.200000000000001</v>
      </c>
      <c r="AD184" s="171">
        <f t="shared" si="294"/>
        <v>11.200000000000001</v>
      </c>
      <c r="AE184" s="171">
        <f t="shared" si="294"/>
        <v>11.200000000000001</v>
      </c>
      <c r="AF184" s="171">
        <f t="shared" si="294"/>
        <v>11.200000000000001</v>
      </c>
      <c r="AG184" s="171">
        <f t="shared" si="294"/>
        <v>11.200000000000001</v>
      </c>
      <c r="AH184" s="171">
        <f t="shared" si="294"/>
        <v>11.200000000000001</v>
      </c>
      <c r="AI184" s="171">
        <f t="shared" si="294"/>
        <v>11.200000000000001</v>
      </c>
      <c r="AJ184" s="171">
        <f t="shared" si="294"/>
        <v>11.200000000000001</v>
      </c>
      <c r="AK184" s="171">
        <f t="shared" si="295"/>
        <v>11.200000000000001</v>
      </c>
      <c r="AL184" s="171">
        <f t="shared" si="295"/>
        <v>11.200000000000001</v>
      </c>
      <c r="AM184" s="171">
        <f t="shared" si="295"/>
        <v>11.200000000000001</v>
      </c>
      <c r="AN184" s="171">
        <f t="shared" si="295"/>
        <v>11.200000000000001</v>
      </c>
      <c r="AO184" s="171">
        <f t="shared" si="295"/>
        <v>11.200000000000001</v>
      </c>
      <c r="AP184" s="171">
        <f t="shared" si="295"/>
        <v>11.200000000000001</v>
      </c>
      <c r="AQ184" s="171">
        <f t="shared" si="295"/>
        <v>11.200000000000001</v>
      </c>
      <c r="AR184" s="171">
        <f t="shared" si="295"/>
        <v>11.200000000000001</v>
      </c>
      <c r="AS184" s="171">
        <f t="shared" si="295"/>
        <v>11.200000000000001</v>
      </c>
      <c r="AT184" s="171">
        <f t="shared" si="295"/>
        <v>11.200000000000001</v>
      </c>
      <c r="AU184" s="171">
        <f t="shared" si="296"/>
        <v>11.200000000000001</v>
      </c>
      <c r="AV184" s="171">
        <f t="shared" si="296"/>
        <v>11.200000000000001</v>
      </c>
      <c r="AW184" s="171">
        <f t="shared" si="296"/>
        <v>11.200000000000001</v>
      </c>
      <c r="AX184" s="171">
        <f t="shared" si="296"/>
        <v>11.200000000000001</v>
      </c>
      <c r="AY184" s="171">
        <f t="shared" si="296"/>
        <v>11.200000000000001</v>
      </c>
      <c r="AZ184" s="171">
        <f t="shared" si="296"/>
        <v>11.200000000000001</v>
      </c>
      <c r="BA184" s="171">
        <f t="shared" si="296"/>
        <v>0</v>
      </c>
      <c r="BB184" s="171">
        <f t="shared" si="296"/>
        <v>0</v>
      </c>
      <c r="BC184" s="171">
        <f t="shared" si="296"/>
        <v>0</v>
      </c>
      <c r="BD184" s="171">
        <f t="shared" si="296"/>
        <v>0</v>
      </c>
      <c r="BE184" s="171">
        <f t="shared" si="297"/>
        <v>0</v>
      </c>
      <c r="BF184" s="171">
        <f t="shared" si="297"/>
        <v>0</v>
      </c>
      <c r="BG184" s="171">
        <f t="shared" si="297"/>
        <v>0</v>
      </c>
      <c r="BH184" s="171">
        <f t="shared" si="297"/>
        <v>0</v>
      </c>
      <c r="BI184" s="171">
        <f t="shared" si="297"/>
        <v>0</v>
      </c>
      <c r="BJ184" s="171">
        <f t="shared" si="297"/>
        <v>0</v>
      </c>
      <c r="BK184" s="171">
        <f t="shared" si="297"/>
        <v>0</v>
      </c>
      <c r="BL184" s="171">
        <f t="shared" si="297"/>
        <v>0</v>
      </c>
      <c r="BM184" s="171">
        <f t="shared" si="297"/>
        <v>0</v>
      </c>
      <c r="BN184" s="171">
        <f t="shared" si="297"/>
        <v>0</v>
      </c>
      <c r="BO184" s="171">
        <f t="shared" si="298"/>
        <v>0</v>
      </c>
      <c r="BP184" s="171">
        <f t="shared" si="298"/>
        <v>0</v>
      </c>
      <c r="BQ184" s="171">
        <f t="shared" si="298"/>
        <v>0</v>
      </c>
      <c r="BR184" s="171">
        <f t="shared" si="298"/>
        <v>0</v>
      </c>
      <c r="BS184" s="171">
        <f t="shared" si="298"/>
        <v>0</v>
      </c>
      <c r="BT184" s="171">
        <f t="shared" si="298"/>
        <v>0</v>
      </c>
      <c r="BU184" s="171">
        <f t="shared" si="298"/>
        <v>0</v>
      </c>
      <c r="BV184" s="171">
        <f t="shared" si="298"/>
        <v>0</v>
      </c>
      <c r="BW184" s="171">
        <f t="shared" si="298"/>
        <v>0</v>
      </c>
      <c r="BX184" s="171">
        <f t="shared" si="298"/>
        <v>0</v>
      </c>
      <c r="BY184" s="171">
        <f t="shared" si="299"/>
        <v>0</v>
      </c>
      <c r="BZ184" s="171">
        <f t="shared" si="299"/>
        <v>0</v>
      </c>
      <c r="CA184" s="171">
        <f t="shared" si="299"/>
        <v>0</v>
      </c>
      <c r="CB184" s="171">
        <f t="shared" si="299"/>
        <v>0</v>
      </c>
      <c r="CC184" s="171">
        <f t="shared" si="299"/>
        <v>0</v>
      </c>
      <c r="CD184" s="171">
        <f t="shared" si="299"/>
        <v>0</v>
      </c>
      <c r="CE184" s="171">
        <f t="shared" si="299"/>
        <v>0</v>
      </c>
      <c r="CF184" s="171">
        <f t="shared" si="299"/>
        <v>0</v>
      </c>
      <c r="CG184" s="171">
        <f t="shared" si="299"/>
        <v>0</v>
      </c>
      <c r="CH184" s="171">
        <f t="shared" si="299"/>
        <v>0</v>
      </c>
      <c r="CI184" s="171">
        <f t="shared" si="299"/>
        <v>0</v>
      </c>
      <c r="CJ184" s="243"/>
      <c r="CK184" s="171">
        <f t="shared" si="233"/>
        <v>11.200000000000001</v>
      </c>
      <c r="CL184" s="171">
        <f t="shared" si="234"/>
        <v>11.200000000000001</v>
      </c>
      <c r="CM184" s="171">
        <f t="shared" si="235"/>
        <v>11.200000000000001</v>
      </c>
      <c r="CN184" s="171">
        <f t="shared" si="236"/>
        <v>11.200000000000001</v>
      </c>
      <c r="CO184" s="171">
        <f t="shared" si="237"/>
        <v>11.200000000000001</v>
      </c>
      <c r="CP184" s="171">
        <f t="shared" si="238"/>
        <v>11.200000000000001</v>
      </c>
      <c r="CQ184" s="171">
        <f t="shared" si="239"/>
        <v>11.200000000000001</v>
      </c>
      <c r="CR184" s="171">
        <f t="shared" si="240"/>
        <v>11.200000000000001</v>
      </c>
      <c r="CS184" s="171">
        <f t="shared" si="241"/>
        <v>11.200000000000001</v>
      </c>
      <c r="CT184" s="171">
        <f t="shared" si="242"/>
        <v>11.200000000000001</v>
      </c>
      <c r="CU184" s="171">
        <f t="shared" si="243"/>
        <v>11.200000000000001</v>
      </c>
      <c r="CV184" s="171">
        <f t="shared" si="244"/>
        <v>11.200000000000001</v>
      </c>
      <c r="CW184" s="171">
        <f t="shared" si="245"/>
        <v>11.200000000000001</v>
      </c>
      <c r="CX184" s="171">
        <f t="shared" si="246"/>
        <v>11.200000000000001</v>
      </c>
      <c r="CY184" s="171">
        <f t="shared" ca="1" si="247"/>
        <v>10.632912301338962</v>
      </c>
      <c r="CZ184" s="171">
        <f t="shared" ca="1" si="248"/>
        <v>10.094537857854053</v>
      </c>
      <c r="DA184" s="171">
        <f t="shared" ca="1" si="249"/>
        <v>9.5834228361703744</v>
      </c>
      <c r="DB184" s="171">
        <f t="shared" ca="1" si="250"/>
        <v>9.09818701461149</v>
      </c>
      <c r="DC184" s="171">
        <f t="shared" ca="1" si="251"/>
        <v>8.6375200560307945</v>
      </c>
      <c r="DD184" s="171">
        <f t="shared" ca="1" si="252"/>
        <v>8.2001779693599843</v>
      </c>
      <c r="DE184" s="171">
        <f t="shared" ca="1" si="253"/>
        <v>7.7849797503193319</v>
      </c>
      <c r="DF184" s="171">
        <f t="shared" ca="1" si="254"/>
        <v>7.3908041922183152</v>
      </c>
      <c r="DG184" s="171">
        <f t="shared" ca="1" si="255"/>
        <v>7.0165868582344366</v>
      </c>
      <c r="DH184" s="171">
        <f t="shared" ca="1" si="256"/>
        <v>6.6613172069941271</v>
      </c>
      <c r="DI184" s="171">
        <f t="shared" ca="1" si="257"/>
        <v>6.3240358636936369</v>
      </c>
      <c r="DJ184" s="171">
        <f t="shared" ca="1" si="258"/>
        <v>6.0038320293907885</v>
      </c>
      <c r="DK184" s="171">
        <f t="shared" ca="1" si="259"/>
        <v>0</v>
      </c>
      <c r="DL184" s="171">
        <f t="shared" ca="1" si="260"/>
        <v>0</v>
      </c>
      <c r="DM184" s="171">
        <f t="shared" ca="1" si="261"/>
        <v>0</v>
      </c>
      <c r="DN184" s="171">
        <f t="shared" ca="1" si="262"/>
        <v>0</v>
      </c>
      <c r="DO184" s="171">
        <f t="shared" ca="1" si="263"/>
        <v>0</v>
      </c>
      <c r="DP184" s="171">
        <f t="shared" ca="1" si="264"/>
        <v>0</v>
      </c>
      <c r="DQ184" s="171">
        <f t="shared" ca="1" si="265"/>
        <v>0</v>
      </c>
      <c r="DR184" s="171">
        <f t="shared" ca="1" si="266"/>
        <v>0</v>
      </c>
      <c r="DS184" s="171">
        <f t="shared" ca="1" si="267"/>
        <v>0</v>
      </c>
      <c r="DT184" s="171">
        <f t="shared" ca="1" si="268"/>
        <v>0</v>
      </c>
      <c r="DU184" s="171">
        <f t="shared" ca="1" si="269"/>
        <v>0</v>
      </c>
      <c r="DV184" s="171">
        <f t="shared" ca="1" si="270"/>
        <v>0</v>
      </c>
      <c r="DW184" s="171">
        <f t="shared" ca="1" si="271"/>
        <v>0</v>
      </c>
      <c r="DX184" s="171">
        <f t="shared" ca="1" si="272"/>
        <v>0</v>
      </c>
      <c r="DY184" s="171">
        <f t="shared" ca="1" si="273"/>
        <v>0</v>
      </c>
      <c r="DZ184" s="171">
        <f t="shared" ca="1" si="274"/>
        <v>0</v>
      </c>
      <c r="EA184" s="171">
        <f t="shared" ca="1" si="275"/>
        <v>0</v>
      </c>
      <c r="EB184" s="171">
        <f t="shared" ca="1" si="276"/>
        <v>0</v>
      </c>
      <c r="EC184" s="171">
        <f t="shared" ca="1" si="277"/>
        <v>0</v>
      </c>
      <c r="ED184" s="171">
        <f t="shared" ca="1" si="278"/>
        <v>0</v>
      </c>
      <c r="EE184" s="171">
        <f t="shared" ca="1" si="279"/>
        <v>0</v>
      </c>
      <c r="EF184" s="171">
        <f t="shared" ca="1" si="280"/>
        <v>0</v>
      </c>
      <c r="EG184" s="171">
        <f t="shared" ca="1" si="281"/>
        <v>0</v>
      </c>
      <c r="EH184" s="171">
        <f t="shared" ca="1" si="282"/>
        <v>0</v>
      </c>
      <c r="EI184" s="171">
        <f t="shared" ca="1" si="283"/>
        <v>0</v>
      </c>
      <c r="EJ184" s="171">
        <f t="shared" ca="1" si="284"/>
        <v>0</v>
      </c>
      <c r="EK184" s="171">
        <f t="shared" ca="1" si="285"/>
        <v>0</v>
      </c>
      <c r="EL184" s="171">
        <f t="shared" ca="1" si="286"/>
        <v>0</v>
      </c>
      <c r="EM184" s="171">
        <f t="shared" ca="1" si="287"/>
        <v>0</v>
      </c>
      <c r="EN184" s="171">
        <f t="shared" ca="1" si="288"/>
        <v>0</v>
      </c>
      <c r="EO184" s="171">
        <f t="shared" ca="1" si="289"/>
        <v>0</v>
      </c>
      <c r="EP184" s="171">
        <f t="shared" ca="1" si="290"/>
        <v>0</v>
      </c>
      <c r="EQ184" s="171">
        <f t="shared" ca="1" si="291"/>
        <v>0</v>
      </c>
      <c r="ER184" s="171">
        <f t="shared" ca="1" si="292"/>
        <v>0</v>
      </c>
      <c r="ES184" s="171">
        <f t="shared" ca="1" si="293"/>
        <v>0</v>
      </c>
    </row>
    <row r="185" spans="1:149">
      <c r="A185" s="139" t="s">
        <v>540</v>
      </c>
      <c r="B185" s="160" t="s">
        <v>538</v>
      </c>
      <c r="C185" s="160" t="s">
        <v>29</v>
      </c>
      <c r="D185" s="160" t="s">
        <v>394</v>
      </c>
      <c r="E185" s="160">
        <v>2010</v>
      </c>
      <c r="F185" s="194" t="s">
        <v>405</v>
      </c>
      <c r="G185" s="194" t="s">
        <v>289</v>
      </c>
      <c r="H185" s="194" t="s">
        <v>406</v>
      </c>
      <c r="I185" s="194" t="s">
        <v>365</v>
      </c>
      <c r="J185" s="194" t="s">
        <v>397</v>
      </c>
      <c r="K185" s="187">
        <v>70</v>
      </c>
      <c r="L185" s="163" t="s">
        <v>110</v>
      </c>
      <c r="M185" s="164">
        <f t="shared" si="223"/>
        <v>70</v>
      </c>
      <c r="N185" s="164">
        <f t="shared" si="224"/>
        <v>70</v>
      </c>
      <c r="O185" s="165">
        <f t="shared" si="225"/>
        <v>1</v>
      </c>
      <c r="P185" s="190">
        <v>0.16</v>
      </c>
      <c r="Q185" s="177">
        <v>25</v>
      </c>
      <c r="R185" s="168">
        <f t="shared" si="226"/>
        <v>11</v>
      </c>
      <c r="S185" s="178">
        <v>0</v>
      </c>
      <c r="T185" s="160" t="s">
        <v>289</v>
      </c>
      <c r="U185" s="171">
        <f t="shared" si="227"/>
        <v>11.647999999999994</v>
      </c>
      <c r="V185" s="171">
        <f t="shared" ca="1" si="228"/>
        <v>10.16913255744865</v>
      </c>
      <c r="W185" s="171">
        <f t="shared" ca="1" si="229"/>
        <v>254.22831393621624</v>
      </c>
      <c r="X185" s="172" t="str">
        <f t="shared" si="230"/>
        <v>Equity</v>
      </c>
      <c r="Y185" s="172" t="str">
        <f t="shared" si="231"/>
        <v>Equity</v>
      </c>
      <c r="Z185" s="173">
        <f t="shared" si="232"/>
        <v>291.19999999999987</v>
      </c>
      <c r="AA185" s="171">
        <f t="shared" si="294"/>
        <v>11.200000000000001</v>
      </c>
      <c r="AB185" s="171">
        <f t="shared" si="294"/>
        <v>11.200000000000001</v>
      </c>
      <c r="AC185" s="171">
        <f t="shared" si="294"/>
        <v>11.200000000000001</v>
      </c>
      <c r="AD185" s="171">
        <f t="shared" si="294"/>
        <v>11.200000000000001</v>
      </c>
      <c r="AE185" s="171">
        <f t="shared" si="294"/>
        <v>11.200000000000001</v>
      </c>
      <c r="AF185" s="171">
        <f t="shared" si="294"/>
        <v>11.200000000000001</v>
      </c>
      <c r="AG185" s="171">
        <f t="shared" si="294"/>
        <v>11.200000000000001</v>
      </c>
      <c r="AH185" s="171">
        <f t="shared" si="294"/>
        <v>11.200000000000001</v>
      </c>
      <c r="AI185" s="171">
        <f t="shared" si="294"/>
        <v>11.200000000000001</v>
      </c>
      <c r="AJ185" s="171">
        <f t="shared" si="294"/>
        <v>11.200000000000001</v>
      </c>
      <c r="AK185" s="171">
        <f t="shared" si="295"/>
        <v>11.200000000000001</v>
      </c>
      <c r="AL185" s="171">
        <f t="shared" si="295"/>
        <v>11.200000000000001</v>
      </c>
      <c r="AM185" s="171">
        <f t="shared" si="295"/>
        <v>11.200000000000001</v>
      </c>
      <c r="AN185" s="171">
        <f t="shared" si="295"/>
        <v>11.200000000000001</v>
      </c>
      <c r="AO185" s="171">
        <f t="shared" si="295"/>
        <v>11.200000000000001</v>
      </c>
      <c r="AP185" s="171">
        <f t="shared" si="295"/>
        <v>11.200000000000001</v>
      </c>
      <c r="AQ185" s="171">
        <f t="shared" si="295"/>
        <v>11.200000000000001</v>
      </c>
      <c r="AR185" s="171">
        <f t="shared" si="295"/>
        <v>11.200000000000001</v>
      </c>
      <c r="AS185" s="171">
        <f t="shared" si="295"/>
        <v>11.200000000000001</v>
      </c>
      <c r="AT185" s="171">
        <f t="shared" si="295"/>
        <v>11.200000000000001</v>
      </c>
      <c r="AU185" s="171">
        <f t="shared" si="296"/>
        <v>11.200000000000001</v>
      </c>
      <c r="AV185" s="171">
        <f t="shared" si="296"/>
        <v>11.200000000000001</v>
      </c>
      <c r="AW185" s="171">
        <f t="shared" si="296"/>
        <v>11.200000000000001</v>
      </c>
      <c r="AX185" s="171">
        <f t="shared" si="296"/>
        <v>11.200000000000001</v>
      </c>
      <c r="AY185" s="171">
        <f t="shared" si="296"/>
        <v>11.200000000000001</v>
      </c>
      <c r="AZ185" s="171">
        <f t="shared" si="296"/>
        <v>11.200000000000001</v>
      </c>
      <c r="BA185" s="171">
        <f t="shared" si="296"/>
        <v>0</v>
      </c>
      <c r="BB185" s="171">
        <f t="shared" si="296"/>
        <v>0</v>
      </c>
      <c r="BC185" s="171">
        <f t="shared" si="296"/>
        <v>0</v>
      </c>
      <c r="BD185" s="171">
        <f t="shared" si="296"/>
        <v>0</v>
      </c>
      <c r="BE185" s="171">
        <f t="shared" si="297"/>
        <v>0</v>
      </c>
      <c r="BF185" s="171">
        <f t="shared" si="297"/>
        <v>0</v>
      </c>
      <c r="BG185" s="171">
        <f t="shared" si="297"/>
        <v>0</v>
      </c>
      <c r="BH185" s="171">
        <f t="shared" si="297"/>
        <v>0</v>
      </c>
      <c r="BI185" s="171">
        <f t="shared" si="297"/>
        <v>0</v>
      </c>
      <c r="BJ185" s="171">
        <f t="shared" si="297"/>
        <v>0</v>
      </c>
      <c r="BK185" s="171">
        <f t="shared" si="297"/>
        <v>0</v>
      </c>
      <c r="BL185" s="171">
        <f t="shared" si="297"/>
        <v>0</v>
      </c>
      <c r="BM185" s="171">
        <f t="shared" si="297"/>
        <v>0</v>
      </c>
      <c r="BN185" s="171">
        <f t="shared" si="297"/>
        <v>0</v>
      </c>
      <c r="BO185" s="171">
        <f t="shared" si="298"/>
        <v>0</v>
      </c>
      <c r="BP185" s="171">
        <f t="shared" si="298"/>
        <v>0</v>
      </c>
      <c r="BQ185" s="171">
        <f t="shared" si="298"/>
        <v>0</v>
      </c>
      <c r="BR185" s="171">
        <f t="shared" si="298"/>
        <v>0</v>
      </c>
      <c r="BS185" s="171">
        <f t="shared" si="298"/>
        <v>0</v>
      </c>
      <c r="BT185" s="171">
        <f t="shared" si="298"/>
        <v>0</v>
      </c>
      <c r="BU185" s="171">
        <f t="shared" si="298"/>
        <v>0</v>
      </c>
      <c r="BV185" s="171">
        <f t="shared" si="298"/>
        <v>0</v>
      </c>
      <c r="BW185" s="171">
        <f t="shared" si="298"/>
        <v>0</v>
      </c>
      <c r="BX185" s="171">
        <f t="shared" si="298"/>
        <v>0</v>
      </c>
      <c r="BY185" s="171">
        <f t="shared" si="299"/>
        <v>0</v>
      </c>
      <c r="BZ185" s="171">
        <f t="shared" si="299"/>
        <v>0</v>
      </c>
      <c r="CA185" s="171">
        <f t="shared" si="299"/>
        <v>0</v>
      </c>
      <c r="CB185" s="171">
        <f t="shared" si="299"/>
        <v>0</v>
      </c>
      <c r="CC185" s="171">
        <f t="shared" si="299"/>
        <v>0</v>
      </c>
      <c r="CD185" s="171">
        <f t="shared" si="299"/>
        <v>0</v>
      </c>
      <c r="CE185" s="171">
        <f t="shared" si="299"/>
        <v>0</v>
      </c>
      <c r="CF185" s="171">
        <f t="shared" si="299"/>
        <v>0</v>
      </c>
      <c r="CG185" s="171">
        <f t="shared" si="299"/>
        <v>0</v>
      </c>
      <c r="CH185" s="171">
        <f t="shared" si="299"/>
        <v>0</v>
      </c>
      <c r="CI185" s="171">
        <f t="shared" si="299"/>
        <v>0</v>
      </c>
      <c r="CJ185" s="243"/>
      <c r="CK185" s="171">
        <f t="shared" si="233"/>
        <v>11.200000000000001</v>
      </c>
      <c r="CL185" s="171">
        <f t="shared" si="234"/>
        <v>11.200000000000001</v>
      </c>
      <c r="CM185" s="171">
        <f t="shared" si="235"/>
        <v>11.200000000000001</v>
      </c>
      <c r="CN185" s="171">
        <f t="shared" si="236"/>
        <v>11.200000000000001</v>
      </c>
      <c r="CO185" s="171">
        <f t="shared" si="237"/>
        <v>11.200000000000001</v>
      </c>
      <c r="CP185" s="171">
        <f t="shared" si="238"/>
        <v>11.200000000000001</v>
      </c>
      <c r="CQ185" s="171">
        <f t="shared" si="239"/>
        <v>11.200000000000001</v>
      </c>
      <c r="CR185" s="171">
        <f t="shared" si="240"/>
        <v>11.200000000000001</v>
      </c>
      <c r="CS185" s="171">
        <f t="shared" si="241"/>
        <v>11.200000000000001</v>
      </c>
      <c r="CT185" s="171">
        <f t="shared" si="242"/>
        <v>11.200000000000001</v>
      </c>
      <c r="CU185" s="171">
        <f t="shared" si="243"/>
        <v>11.200000000000001</v>
      </c>
      <c r="CV185" s="171">
        <f t="shared" si="244"/>
        <v>11.200000000000001</v>
      </c>
      <c r="CW185" s="171">
        <f t="shared" si="245"/>
        <v>11.200000000000001</v>
      </c>
      <c r="CX185" s="171">
        <f t="shared" si="246"/>
        <v>11.200000000000001</v>
      </c>
      <c r="CY185" s="171">
        <f t="shared" ca="1" si="247"/>
        <v>10.632912301338962</v>
      </c>
      <c r="CZ185" s="171">
        <f t="shared" ca="1" si="248"/>
        <v>10.094537857854053</v>
      </c>
      <c r="DA185" s="171">
        <f t="shared" ca="1" si="249"/>
        <v>9.5834228361703744</v>
      </c>
      <c r="DB185" s="171">
        <f t="shared" ca="1" si="250"/>
        <v>9.09818701461149</v>
      </c>
      <c r="DC185" s="171">
        <f t="shared" ca="1" si="251"/>
        <v>8.6375200560307945</v>
      </c>
      <c r="DD185" s="171">
        <f t="shared" ca="1" si="252"/>
        <v>8.2001779693599843</v>
      </c>
      <c r="DE185" s="171">
        <f t="shared" ca="1" si="253"/>
        <v>7.7849797503193319</v>
      </c>
      <c r="DF185" s="171">
        <f t="shared" ca="1" si="254"/>
        <v>7.3908041922183152</v>
      </c>
      <c r="DG185" s="171">
        <f t="shared" ca="1" si="255"/>
        <v>7.0165868582344366</v>
      </c>
      <c r="DH185" s="171">
        <f t="shared" ca="1" si="256"/>
        <v>6.6613172069941271</v>
      </c>
      <c r="DI185" s="171">
        <f t="shared" ca="1" si="257"/>
        <v>6.3240358636936369</v>
      </c>
      <c r="DJ185" s="171">
        <f t="shared" ca="1" si="258"/>
        <v>6.0038320293907885</v>
      </c>
      <c r="DK185" s="171">
        <f t="shared" ca="1" si="259"/>
        <v>0</v>
      </c>
      <c r="DL185" s="171">
        <f t="shared" ca="1" si="260"/>
        <v>0</v>
      </c>
      <c r="DM185" s="171">
        <f t="shared" ca="1" si="261"/>
        <v>0</v>
      </c>
      <c r="DN185" s="171">
        <f t="shared" ca="1" si="262"/>
        <v>0</v>
      </c>
      <c r="DO185" s="171">
        <f t="shared" ca="1" si="263"/>
        <v>0</v>
      </c>
      <c r="DP185" s="171">
        <f t="shared" ca="1" si="264"/>
        <v>0</v>
      </c>
      <c r="DQ185" s="171">
        <f t="shared" ca="1" si="265"/>
        <v>0</v>
      </c>
      <c r="DR185" s="171">
        <f t="shared" ca="1" si="266"/>
        <v>0</v>
      </c>
      <c r="DS185" s="171">
        <f t="shared" ca="1" si="267"/>
        <v>0</v>
      </c>
      <c r="DT185" s="171">
        <f t="shared" ca="1" si="268"/>
        <v>0</v>
      </c>
      <c r="DU185" s="171">
        <f t="shared" ca="1" si="269"/>
        <v>0</v>
      </c>
      <c r="DV185" s="171">
        <f t="shared" ca="1" si="270"/>
        <v>0</v>
      </c>
      <c r="DW185" s="171">
        <f t="shared" ca="1" si="271"/>
        <v>0</v>
      </c>
      <c r="DX185" s="171">
        <f t="shared" ca="1" si="272"/>
        <v>0</v>
      </c>
      <c r="DY185" s="171">
        <f t="shared" ca="1" si="273"/>
        <v>0</v>
      </c>
      <c r="DZ185" s="171">
        <f t="shared" ca="1" si="274"/>
        <v>0</v>
      </c>
      <c r="EA185" s="171">
        <f t="shared" ca="1" si="275"/>
        <v>0</v>
      </c>
      <c r="EB185" s="171">
        <f t="shared" ca="1" si="276"/>
        <v>0</v>
      </c>
      <c r="EC185" s="171">
        <f t="shared" ca="1" si="277"/>
        <v>0</v>
      </c>
      <c r="ED185" s="171">
        <f t="shared" ca="1" si="278"/>
        <v>0</v>
      </c>
      <c r="EE185" s="171">
        <f t="shared" ca="1" si="279"/>
        <v>0</v>
      </c>
      <c r="EF185" s="171">
        <f t="shared" ca="1" si="280"/>
        <v>0</v>
      </c>
      <c r="EG185" s="171">
        <f t="shared" ca="1" si="281"/>
        <v>0</v>
      </c>
      <c r="EH185" s="171">
        <f t="shared" ca="1" si="282"/>
        <v>0</v>
      </c>
      <c r="EI185" s="171">
        <f t="shared" ca="1" si="283"/>
        <v>0</v>
      </c>
      <c r="EJ185" s="171">
        <f t="shared" ca="1" si="284"/>
        <v>0</v>
      </c>
      <c r="EK185" s="171">
        <f t="shared" ca="1" si="285"/>
        <v>0</v>
      </c>
      <c r="EL185" s="171">
        <f t="shared" ca="1" si="286"/>
        <v>0</v>
      </c>
      <c r="EM185" s="171">
        <f t="shared" ca="1" si="287"/>
        <v>0</v>
      </c>
      <c r="EN185" s="171">
        <f t="shared" ca="1" si="288"/>
        <v>0</v>
      </c>
      <c r="EO185" s="171">
        <f t="shared" ca="1" si="289"/>
        <v>0</v>
      </c>
      <c r="EP185" s="171">
        <f t="shared" ca="1" si="290"/>
        <v>0</v>
      </c>
      <c r="EQ185" s="171">
        <f t="shared" ca="1" si="291"/>
        <v>0</v>
      </c>
      <c r="ER185" s="171">
        <f t="shared" ca="1" si="292"/>
        <v>0</v>
      </c>
      <c r="ES185" s="171">
        <f t="shared" ca="1" si="293"/>
        <v>0</v>
      </c>
    </row>
    <row r="186" spans="1:149">
      <c r="A186" s="139" t="s">
        <v>541</v>
      </c>
      <c r="B186" s="160" t="s">
        <v>437</v>
      </c>
      <c r="C186" s="160" t="s">
        <v>29</v>
      </c>
      <c r="D186" s="160" t="s">
        <v>394</v>
      </c>
      <c r="E186" s="160">
        <v>2010</v>
      </c>
      <c r="F186" s="160" t="s">
        <v>395</v>
      </c>
      <c r="G186" s="160" t="s">
        <v>402</v>
      </c>
      <c r="H186" s="160" t="s">
        <v>396</v>
      </c>
      <c r="I186" s="160" t="s">
        <v>176</v>
      </c>
      <c r="J186" s="160" t="s">
        <v>438</v>
      </c>
      <c r="K186" s="187">
        <v>98.08</v>
      </c>
      <c r="L186" s="163" t="s">
        <v>110</v>
      </c>
      <c r="M186" s="164">
        <f t="shared" si="223"/>
        <v>98.08</v>
      </c>
      <c r="N186" s="164">
        <f t="shared" si="224"/>
        <v>98.08</v>
      </c>
      <c r="O186" s="165">
        <f t="shared" si="225"/>
        <v>1</v>
      </c>
      <c r="P186" s="190">
        <v>0.02</v>
      </c>
      <c r="Q186" s="191">
        <v>19</v>
      </c>
      <c r="R186" s="168">
        <f t="shared" si="226"/>
        <v>5</v>
      </c>
      <c r="S186" s="178">
        <v>0.5</v>
      </c>
      <c r="T186" s="170" t="s">
        <v>403</v>
      </c>
      <c r="U186" s="171">
        <f t="shared" si="227"/>
        <v>6.2268836643434842</v>
      </c>
      <c r="V186" s="171">
        <f t="shared" ca="1" si="228"/>
        <v>5.9116875755215981</v>
      </c>
      <c r="W186" s="171">
        <f t="shared" ca="1" si="229"/>
        <v>112.32206393491036</v>
      </c>
      <c r="X186" s="172">
        <f t="shared" si="230"/>
        <v>0.3400700072250662</v>
      </c>
      <c r="Y186" s="172">
        <f t="shared" si="231"/>
        <v>0.6599299927749338</v>
      </c>
      <c r="Z186" s="173">
        <f t="shared" si="232"/>
        <v>118.3107896225262</v>
      </c>
      <c r="AA186" s="171">
        <f t="shared" si="294"/>
        <v>1.9616</v>
      </c>
      <c r="AB186" s="171">
        <f t="shared" si="294"/>
        <v>6.123641559080327</v>
      </c>
      <c r="AC186" s="171">
        <f t="shared" si="294"/>
        <v>6.123641559080327</v>
      </c>
      <c r="AD186" s="171">
        <f t="shared" si="294"/>
        <v>6.123641559080327</v>
      </c>
      <c r="AE186" s="171">
        <f t="shared" si="294"/>
        <v>6.123641559080327</v>
      </c>
      <c r="AF186" s="171">
        <f t="shared" si="294"/>
        <v>6.123641559080327</v>
      </c>
      <c r="AG186" s="171">
        <f t="shared" si="294"/>
        <v>6.123641559080327</v>
      </c>
      <c r="AH186" s="171">
        <f t="shared" si="294"/>
        <v>6.123641559080327</v>
      </c>
      <c r="AI186" s="171">
        <f t="shared" si="294"/>
        <v>6.123641559080327</v>
      </c>
      <c r="AJ186" s="171">
        <f t="shared" si="294"/>
        <v>6.123641559080327</v>
      </c>
      <c r="AK186" s="171">
        <f t="shared" si="295"/>
        <v>6.123641559080327</v>
      </c>
      <c r="AL186" s="171">
        <f t="shared" si="295"/>
        <v>6.123641559080327</v>
      </c>
      <c r="AM186" s="171">
        <f t="shared" si="295"/>
        <v>6.123641559080327</v>
      </c>
      <c r="AN186" s="171">
        <f t="shared" si="295"/>
        <v>6.123641559080327</v>
      </c>
      <c r="AO186" s="171">
        <f t="shared" si="295"/>
        <v>6.123641559080327</v>
      </c>
      <c r="AP186" s="171">
        <f t="shared" si="295"/>
        <v>6.123641559080327</v>
      </c>
      <c r="AQ186" s="171">
        <f t="shared" si="295"/>
        <v>6.123641559080327</v>
      </c>
      <c r="AR186" s="171">
        <f t="shared" si="295"/>
        <v>6.123641559080327</v>
      </c>
      <c r="AS186" s="171">
        <f t="shared" si="295"/>
        <v>6.123641559080327</v>
      </c>
      <c r="AT186" s="171">
        <f t="shared" si="295"/>
        <v>6.123641559080327</v>
      </c>
      <c r="AU186" s="171">
        <f t="shared" si="296"/>
        <v>0</v>
      </c>
      <c r="AV186" s="171">
        <f t="shared" si="296"/>
        <v>0</v>
      </c>
      <c r="AW186" s="171">
        <f t="shared" si="296"/>
        <v>0</v>
      </c>
      <c r="AX186" s="171">
        <f t="shared" si="296"/>
        <v>0</v>
      </c>
      <c r="AY186" s="171">
        <f t="shared" si="296"/>
        <v>0</v>
      </c>
      <c r="AZ186" s="171">
        <f t="shared" si="296"/>
        <v>0</v>
      </c>
      <c r="BA186" s="171">
        <f t="shared" si="296"/>
        <v>0</v>
      </c>
      <c r="BB186" s="171">
        <f t="shared" si="296"/>
        <v>0</v>
      </c>
      <c r="BC186" s="171">
        <f t="shared" si="296"/>
        <v>0</v>
      </c>
      <c r="BD186" s="171">
        <f t="shared" si="296"/>
        <v>0</v>
      </c>
      <c r="BE186" s="171">
        <f t="shared" si="297"/>
        <v>0</v>
      </c>
      <c r="BF186" s="171">
        <f t="shared" si="297"/>
        <v>0</v>
      </c>
      <c r="BG186" s="171">
        <f t="shared" si="297"/>
        <v>0</v>
      </c>
      <c r="BH186" s="171">
        <f t="shared" si="297"/>
        <v>0</v>
      </c>
      <c r="BI186" s="171">
        <f t="shared" si="297"/>
        <v>0</v>
      </c>
      <c r="BJ186" s="171">
        <f t="shared" si="297"/>
        <v>0</v>
      </c>
      <c r="BK186" s="171">
        <f t="shared" si="297"/>
        <v>0</v>
      </c>
      <c r="BL186" s="171">
        <f t="shared" si="297"/>
        <v>0</v>
      </c>
      <c r="BM186" s="171">
        <f t="shared" si="297"/>
        <v>0</v>
      </c>
      <c r="BN186" s="171">
        <f t="shared" si="297"/>
        <v>0</v>
      </c>
      <c r="BO186" s="171">
        <f t="shared" si="298"/>
        <v>0</v>
      </c>
      <c r="BP186" s="171">
        <f t="shared" si="298"/>
        <v>0</v>
      </c>
      <c r="BQ186" s="171">
        <f t="shared" si="298"/>
        <v>0</v>
      </c>
      <c r="BR186" s="171">
        <f t="shared" si="298"/>
        <v>0</v>
      </c>
      <c r="BS186" s="171">
        <f t="shared" si="298"/>
        <v>0</v>
      </c>
      <c r="BT186" s="171">
        <f t="shared" si="298"/>
        <v>0</v>
      </c>
      <c r="BU186" s="171">
        <f t="shared" si="298"/>
        <v>0</v>
      </c>
      <c r="BV186" s="171">
        <f t="shared" si="298"/>
        <v>0</v>
      </c>
      <c r="BW186" s="171">
        <f t="shared" si="298"/>
        <v>0</v>
      </c>
      <c r="BX186" s="171">
        <f t="shared" si="298"/>
        <v>0</v>
      </c>
      <c r="BY186" s="171">
        <f t="shared" si="299"/>
        <v>0</v>
      </c>
      <c r="BZ186" s="171">
        <f t="shared" si="299"/>
        <v>0</v>
      </c>
      <c r="CA186" s="171">
        <f t="shared" si="299"/>
        <v>0</v>
      </c>
      <c r="CB186" s="171">
        <f t="shared" si="299"/>
        <v>0</v>
      </c>
      <c r="CC186" s="171">
        <f t="shared" si="299"/>
        <v>0</v>
      </c>
      <c r="CD186" s="171">
        <f t="shared" si="299"/>
        <v>0</v>
      </c>
      <c r="CE186" s="171">
        <f t="shared" si="299"/>
        <v>0</v>
      </c>
      <c r="CF186" s="171">
        <f t="shared" si="299"/>
        <v>0</v>
      </c>
      <c r="CG186" s="171">
        <f t="shared" si="299"/>
        <v>0</v>
      </c>
      <c r="CH186" s="171">
        <f t="shared" si="299"/>
        <v>0</v>
      </c>
      <c r="CI186" s="171">
        <f t="shared" si="299"/>
        <v>0</v>
      </c>
      <c r="CJ186" s="243"/>
      <c r="CK186" s="171">
        <f t="shared" si="233"/>
        <v>1.9616</v>
      </c>
      <c r="CL186" s="171">
        <f t="shared" si="234"/>
        <v>6.123641559080327</v>
      </c>
      <c r="CM186" s="171">
        <f t="shared" si="235"/>
        <v>6.123641559080327</v>
      </c>
      <c r="CN186" s="171">
        <f t="shared" si="236"/>
        <v>6.123641559080327</v>
      </c>
      <c r="CO186" s="171">
        <f t="shared" si="237"/>
        <v>6.123641559080327</v>
      </c>
      <c r="CP186" s="171">
        <f t="shared" si="238"/>
        <v>6.123641559080327</v>
      </c>
      <c r="CQ186" s="171">
        <f t="shared" si="239"/>
        <v>6.123641559080327</v>
      </c>
      <c r="CR186" s="171">
        <f t="shared" si="240"/>
        <v>6.123641559080327</v>
      </c>
      <c r="CS186" s="171">
        <f t="shared" si="241"/>
        <v>6.123641559080327</v>
      </c>
      <c r="CT186" s="171">
        <f t="shared" si="242"/>
        <v>6.123641559080327</v>
      </c>
      <c r="CU186" s="171">
        <f t="shared" si="243"/>
        <v>6.123641559080327</v>
      </c>
      <c r="CV186" s="171">
        <f t="shared" si="244"/>
        <v>6.123641559080327</v>
      </c>
      <c r="CW186" s="171">
        <f t="shared" si="245"/>
        <v>6.123641559080327</v>
      </c>
      <c r="CX186" s="171">
        <f t="shared" si="246"/>
        <v>6.123641559080327</v>
      </c>
      <c r="CY186" s="171">
        <f t="shared" ca="1" si="247"/>
        <v>5.8135842555835451</v>
      </c>
      <c r="CZ186" s="171">
        <f t="shared" ca="1" si="248"/>
        <v>5.5192260308986407</v>
      </c>
      <c r="DA186" s="171">
        <f t="shared" ca="1" si="249"/>
        <v>5.2397719962332463</v>
      </c>
      <c r="DB186" s="171">
        <f t="shared" ca="1" si="250"/>
        <v>4.974467510264275</v>
      </c>
      <c r="DC186" s="171">
        <f t="shared" ca="1" si="251"/>
        <v>4.7225961412946429</v>
      </c>
      <c r="DD186" s="171">
        <f t="shared" ca="1" si="252"/>
        <v>4.4834777325917603</v>
      </c>
      <c r="DE186" s="171">
        <f t="shared" ca="1" si="253"/>
        <v>0</v>
      </c>
      <c r="DF186" s="171">
        <f t="shared" ca="1" si="254"/>
        <v>0</v>
      </c>
      <c r="DG186" s="171">
        <f t="shared" ca="1" si="255"/>
        <v>0</v>
      </c>
      <c r="DH186" s="171">
        <f t="shared" ca="1" si="256"/>
        <v>0</v>
      </c>
      <c r="DI186" s="171">
        <f t="shared" ca="1" si="257"/>
        <v>0</v>
      </c>
      <c r="DJ186" s="171">
        <f t="shared" ca="1" si="258"/>
        <v>0</v>
      </c>
      <c r="DK186" s="171">
        <f t="shared" ca="1" si="259"/>
        <v>0</v>
      </c>
      <c r="DL186" s="171">
        <f t="shared" ca="1" si="260"/>
        <v>0</v>
      </c>
      <c r="DM186" s="171">
        <f t="shared" ca="1" si="261"/>
        <v>0</v>
      </c>
      <c r="DN186" s="171">
        <f t="shared" ca="1" si="262"/>
        <v>0</v>
      </c>
      <c r="DO186" s="171">
        <f t="shared" ca="1" si="263"/>
        <v>0</v>
      </c>
      <c r="DP186" s="171">
        <f t="shared" ca="1" si="264"/>
        <v>0</v>
      </c>
      <c r="DQ186" s="171">
        <f t="shared" ca="1" si="265"/>
        <v>0</v>
      </c>
      <c r="DR186" s="171">
        <f t="shared" ca="1" si="266"/>
        <v>0</v>
      </c>
      <c r="DS186" s="171">
        <f t="shared" ca="1" si="267"/>
        <v>0</v>
      </c>
      <c r="DT186" s="171">
        <f t="shared" ca="1" si="268"/>
        <v>0</v>
      </c>
      <c r="DU186" s="171">
        <f t="shared" ca="1" si="269"/>
        <v>0</v>
      </c>
      <c r="DV186" s="171">
        <f t="shared" ca="1" si="270"/>
        <v>0</v>
      </c>
      <c r="DW186" s="171">
        <f t="shared" ca="1" si="271"/>
        <v>0</v>
      </c>
      <c r="DX186" s="171">
        <f t="shared" ca="1" si="272"/>
        <v>0</v>
      </c>
      <c r="DY186" s="171">
        <f t="shared" ca="1" si="273"/>
        <v>0</v>
      </c>
      <c r="DZ186" s="171">
        <f t="shared" ca="1" si="274"/>
        <v>0</v>
      </c>
      <c r="EA186" s="171">
        <f t="shared" ca="1" si="275"/>
        <v>0</v>
      </c>
      <c r="EB186" s="171">
        <f t="shared" ca="1" si="276"/>
        <v>0</v>
      </c>
      <c r="EC186" s="171">
        <f t="shared" ca="1" si="277"/>
        <v>0</v>
      </c>
      <c r="ED186" s="171">
        <f t="shared" ca="1" si="278"/>
        <v>0</v>
      </c>
      <c r="EE186" s="171">
        <f t="shared" ca="1" si="279"/>
        <v>0</v>
      </c>
      <c r="EF186" s="171">
        <f t="shared" ca="1" si="280"/>
        <v>0</v>
      </c>
      <c r="EG186" s="171">
        <f t="shared" ca="1" si="281"/>
        <v>0</v>
      </c>
      <c r="EH186" s="171">
        <f t="shared" ca="1" si="282"/>
        <v>0</v>
      </c>
      <c r="EI186" s="171">
        <f t="shared" ca="1" si="283"/>
        <v>0</v>
      </c>
      <c r="EJ186" s="171">
        <f t="shared" ca="1" si="284"/>
        <v>0</v>
      </c>
      <c r="EK186" s="171">
        <f t="shared" ca="1" si="285"/>
        <v>0</v>
      </c>
      <c r="EL186" s="171">
        <f t="shared" ca="1" si="286"/>
        <v>0</v>
      </c>
      <c r="EM186" s="171">
        <f t="shared" ca="1" si="287"/>
        <v>0</v>
      </c>
      <c r="EN186" s="171">
        <f t="shared" ca="1" si="288"/>
        <v>0</v>
      </c>
      <c r="EO186" s="171">
        <f t="shared" ca="1" si="289"/>
        <v>0</v>
      </c>
      <c r="EP186" s="171">
        <f t="shared" ca="1" si="290"/>
        <v>0</v>
      </c>
      <c r="EQ186" s="171">
        <f t="shared" ca="1" si="291"/>
        <v>0</v>
      </c>
      <c r="ER186" s="171">
        <f t="shared" ca="1" si="292"/>
        <v>0</v>
      </c>
      <c r="ES186" s="171">
        <f t="shared" ca="1" si="293"/>
        <v>0</v>
      </c>
    </row>
    <row r="187" spans="1:149">
      <c r="A187" s="139" t="s">
        <v>542</v>
      </c>
      <c r="B187" s="160" t="s">
        <v>437</v>
      </c>
      <c r="C187" s="160" t="s">
        <v>29</v>
      </c>
      <c r="D187" s="160" t="s">
        <v>394</v>
      </c>
      <c r="E187" s="160">
        <v>2012</v>
      </c>
      <c r="F187" s="160" t="s">
        <v>395</v>
      </c>
      <c r="G187" s="160" t="s">
        <v>402</v>
      </c>
      <c r="H187" s="160" t="s">
        <v>396</v>
      </c>
      <c r="I187" s="160" t="s">
        <v>176</v>
      </c>
      <c r="J187" s="160" t="s">
        <v>438</v>
      </c>
      <c r="K187" s="187">
        <v>382.49999997999998</v>
      </c>
      <c r="L187" s="163" t="s">
        <v>110</v>
      </c>
      <c r="M187" s="164">
        <f t="shared" si="223"/>
        <v>382.49999997999998</v>
      </c>
      <c r="N187" s="164">
        <f t="shared" si="224"/>
        <v>382.49999997999998</v>
      </c>
      <c r="O187" s="165">
        <f t="shared" si="225"/>
        <v>1</v>
      </c>
      <c r="P187" s="190">
        <v>0.02</v>
      </c>
      <c r="Q187" s="191">
        <v>20</v>
      </c>
      <c r="R187" s="168">
        <f t="shared" si="226"/>
        <v>8</v>
      </c>
      <c r="S187" s="178">
        <v>8</v>
      </c>
      <c r="T187" s="170" t="s">
        <v>403</v>
      </c>
      <c r="U187" s="171">
        <f t="shared" si="227"/>
        <v>24.968425431694872</v>
      </c>
      <c r="V187" s="171">
        <f t="shared" ca="1" si="228"/>
        <v>21.603786156387251</v>
      </c>
      <c r="W187" s="171">
        <f t="shared" ca="1" si="229"/>
        <v>432.07572312774499</v>
      </c>
      <c r="X187" s="172">
        <f t="shared" si="230"/>
        <v>0.17440154884492431</v>
      </c>
      <c r="Y187" s="172">
        <f t="shared" si="231"/>
        <v>0.82559845115507569</v>
      </c>
      <c r="Z187" s="173">
        <f t="shared" si="232"/>
        <v>499.36850863389742</v>
      </c>
      <c r="AA187" s="171">
        <f t="shared" si="294"/>
        <v>0</v>
      </c>
      <c r="AB187" s="171">
        <f t="shared" si="294"/>
        <v>0</v>
      </c>
      <c r="AC187" s="171">
        <f t="shared" si="294"/>
        <v>7.6499999995999994</v>
      </c>
      <c r="AD187" s="171">
        <f t="shared" si="294"/>
        <v>7.6499999995999994</v>
      </c>
      <c r="AE187" s="171">
        <f t="shared" si="294"/>
        <v>7.6499999995999994</v>
      </c>
      <c r="AF187" s="171">
        <f t="shared" si="294"/>
        <v>7.6499999995999994</v>
      </c>
      <c r="AG187" s="171">
        <f t="shared" si="294"/>
        <v>7.6499999995999994</v>
      </c>
      <c r="AH187" s="171">
        <f t="shared" si="294"/>
        <v>7.6499999995999994</v>
      </c>
      <c r="AI187" s="171">
        <f t="shared" si="294"/>
        <v>7.6499999995999994</v>
      </c>
      <c r="AJ187" s="171">
        <f t="shared" si="294"/>
        <v>7.6499999995999994</v>
      </c>
      <c r="AK187" s="171">
        <f t="shared" si="295"/>
        <v>33.705269895161344</v>
      </c>
      <c r="AL187" s="171">
        <f t="shared" si="295"/>
        <v>33.705269895161344</v>
      </c>
      <c r="AM187" s="171">
        <f t="shared" si="295"/>
        <v>33.705269895161344</v>
      </c>
      <c r="AN187" s="171">
        <f t="shared" si="295"/>
        <v>33.705269895161344</v>
      </c>
      <c r="AO187" s="171">
        <f t="shared" si="295"/>
        <v>33.705269895161344</v>
      </c>
      <c r="AP187" s="171">
        <f t="shared" si="295"/>
        <v>33.705269895161344</v>
      </c>
      <c r="AQ187" s="171">
        <f t="shared" si="295"/>
        <v>33.705269895161344</v>
      </c>
      <c r="AR187" s="171">
        <f t="shared" si="295"/>
        <v>33.705269895161344</v>
      </c>
      <c r="AS187" s="171">
        <f t="shared" si="295"/>
        <v>33.705269895161344</v>
      </c>
      <c r="AT187" s="171">
        <f t="shared" si="295"/>
        <v>33.705269895161344</v>
      </c>
      <c r="AU187" s="171">
        <f t="shared" si="296"/>
        <v>33.705269895161344</v>
      </c>
      <c r="AV187" s="171">
        <f t="shared" si="296"/>
        <v>33.705269895161344</v>
      </c>
      <c r="AW187" s="171">
        <f t="shared" si="296"/>
        <v>33.705269895161344</v>
      </c>
      <c r="AX187" s="171">
        <f t="shared" si="296"/>
        <v>0</v>
      </c>
      <c r="AY187" s="171">
        <f t="shared" si="296"/>
        <v>0</v>
      </c>
      <c r="AZ187" s="171">
        <f t="shared" si="296"/>
        <v>0</v>
      </c>
      <c r="BA187" s="171">
        <f t="shared" si="296"/>
        <v>0</v>
      </c>
      <c r="BB187" s="171">
        <f t="shared" si="296"/>
        <v>0</v>
      </c>
      <c r="BC187" s="171">
        <f t="shared" si="296"/>
        <v>0</v>
      </c>
      <c r="BD187" s="171">
        <f t="shared" si="296"/>
        <v>0</v>
      </c>
      <c r="BE187" s="171">
        <f t="shared" si="297"/>
        <v>0</v>
      </c>
      <c r="BF187" s="171">
        <f t="shared" si="297"/>
        <v>0</v>
      </c>
      <c r="BG187" s="171">
        <f t="shared" si="297"/>
        <v>0</v>
      </c>
      <c r="BH187" s="171">
        <f t="shared" si="297"/>
        <v>0</v>
      </c>
      <c r="BI187" s="171">
        <f t="shared" si="297"/>
        <v>0</v>
      </c>
      <c r="BJ187" s="171">
        <f t="shared" si="297"/>
        <v>0</v>
      </c>
      <c r="BK187" s="171">
        <f t="shared" si="297"/>
        <v>0</v>
      </c>
      <c r="BL187" s="171">
        <f t="shared" si="297"/>
        <v>0</v>
      </c>
      <c r="BM187" s="171">
        <f t="shared" si="297"/>
        <v>0</v>
      </c>
      <c r="BN187" s="171">
        <f t="shared" si="297"/>
        <v>0</v>
      </c>
      <c r="BO187" s="171">
        <f t="shared" si="298"/>
        <v>0</v>
      </c>
      <c r="BP187" s="171">
        <f t="shared" si="298"/>
        <v>0</v>
      </c>
      <c r="BQ187" s="171">
        <f t="shared" si="298"/>
        <v>0</v>
      </c>
      <c r="BR187" s="171">
        <f t="shared" si="298"/>
        <v>0</v>
      </c>
      <c r="BS187" s="171">
        <f t="shared" si="298"/>
        <v>0</v>
      </c>
      <c r="BT187" s="171">
        <f t="shared" si="298"/>
        <v>0</v>
      </c>
      <c r="BU187" s="171">
        <f t="shared" si="298"/>
        <v>0</v>
      </c>
      <c r="BV187" s="171">
        <f t="shared" si="298"/>
        <v>0</v>
      </c>
      <c r="BW187" s="171">
        <f t="shared" si="298"/>
        <v>0</v>
      </c>
      <c r="BX187" s="171">
        <f t="shared" si="298"/>
        <v>0</v>
      </c>
      <c r="BY187" s="171">
        <f t="shared" si="299"/>
        <v>0</v>
      </c>
      <c r="BZ187" s="171">
        <f t="shared" si="299"/>
        <v>0</v>
      </c>
      <c r="CA187" s="171">
        <f t="shared" si="299"/>
        <v>0</v>
      </c>
      <c r="CB187" s="171">
        <f t="shared" si="299"/>
        <v>0</v>
      </c>
      <c r="CC187" s="171">
        <f t="shared" si="299"/>
        <v>0</v>
      </c>
      <c r="CD187" s="171">
        <f t="shared" si="299"/>
        <v>0</v>
      </c>
      <c r="CE187" s="171">
        <f t="shared" si="299"/>
        <v>0</v>
      </c>
      <c r="CF187" s="171">
        <f t="shared" si="299"/>
        <v>0</v>
      </c>
      <c r="CG187" s="171">
        <f t="shared" si="299"/>
        <v>0</v>
      </c>
      <c r="CH187" s="171">
        <f t="shared" si="299"/>
        <v>0</v>
      </c>
      <c r="CI187" s="171">
        <f t="shared" si="299"/>
        <v>0</v>
      </c>
      <c r="CJ187" s="243"/>
      <c r="CK187" s="171">
        <f t="shared" si="233"/>
        <v>0</v>
      </c>
      <c r="CL187" s="171">
        <f t="shared" si="234"/>
        <v>0</v>
      </c>
      <c r="CM187" s="171">
        <f t="shared" si="235"/>
        <v>7.6499999995999994</v>
      </c>
      <c r="CN187" s="171">
        <f t="shared" si="236"/>
        <v>7.6499999995999994</v>
      </c>
      <c r="CO187" s="171">
        <f t="shared" si="237"/>
        <v>7.6499999995999994</v>
      </c>
      <c r="CP187" s="171">
        <f t="shared" si="238"/>
        <v>7.6499999995999994</v>
      </c>
      <c r="CQ187" s="171">
        <f t="shared" si="239"/>
        <v>7.6499999995999994</v>
      </c>
      <c r="CR187" s="171">
        <f t="shared" si="240"/>
        <v>7.6499999995999994</v>
      </c>
      <c r="CS187" s="171">
        <f t="shared" si="241"/>
        <v>7.6499999995999994</v>
      </c>
      <c r="CT187" s="171">
        <f t="shared" si="242"/>
        <v>7.6499999995999994</v>
      </c>
      <c r="CU187" s="171">
        <f t="shared" si="243"/>
        <v>33.705269895161344</v>
      </c>
      <c r="CV187" s="171">
        <f t="shared" si="244"/>
        <v>33.705269895161344</v>
      </c>
      <c r="CW187" s="171">
        <f t="shared" si="245"/>
        <v>33.705269895161344</v>
      </c>
      <c r="CX187" s="171">
        <f t="shared" si="246"/>
        <v>33.705269895161344</v>
      </c>
      <c r="CY187" s="171">
        <f t="shared" ca="1" si="247"/>
        <v>31.998676686447393</v>
      </c>
      <c r="CZ187" s="171">
        <f t="shared" ca="1" si="248"/>
        <v>30.378493121954882</v>
      </c>
      <c r="DA187" s="171">
        <f t="shared" ca="1" si="249"/>
        <v>28.84034403683706</v>
      </c>
      <c r="DB187" s="171">
        <f t="shared" ca="1" si="250"/>
        <v>27.380075793226116</v>
      </c>
      <c r="DC187" s="171">
        <f t="shared" ca="1" si="251"/>
        <v>25.993745063695272</v>
      </c>
      <c r="DD187" s="171">
        <f t="shared" ca="1" si="252"/>
        <v>24.677608182645923</v>
      </c>
      <c r="DE187" s="171">
        <f t="shared" ca="1" si="253"/>
        <v>23.428111036864181</v>
      </c>
      <c r="DF187" s="171">
        <f t="shared" ca="1" si="254"/>
        <v>22.241879467947161</v>
      </c>
      <c r="DG187" s="171">
        <f t="shared" ca="1" si="255"/>
        <v>21.115710160681594</v>
      </c>
      <c r="DH187" s="171">
        <f t="shared" ca="1" si="256"/>
        <v>0</v>
      </c>
      <c r="DI187" s="171">
        <f t="shared" ca="1" si="257"/>
        <v>0</v>
      </c>
      <c r="DJ187" s="171">
        <f t="shared" ca="1" si="258"/>
        <v>0</v>
      </c>
      <c r="DK187" s="171">
        <f t="shared" ca="1" si="259"/>
        <v>0</v>
      </c>
      <c r="DL187" s="171">
        <f t="shared" ca="1" si="260"/>
        <v>0</v>
      </c>
      <c r="DM187" s="171">
        <f t="shared" ca="1" si="261"/>
        <v>0</v>
      </c>
      <c r="DN187" s="171">
        <f t="shared" ca="1" si="262"/>
        <v>0</v>
      </c>
      <c r="DO187" s="171">
        <f t="shared" ca="1" si="263"/>
        <v>0</v>
      </c>
      <c r="DP187" s="171">
        <f t="shared" ca="1" si="264"/>
        <v>0</v>
      </c>
      <c r="DQ187" s="171">
        <f t="shared" ca="1" si="265"/>
        <v>0</v>
      </c>
      <c r="DR187" s="171">
        <f t="shared" ca="1" si="266"/>
        <v>0</v>
      </c>
      <c r="DS187" s="171">
        <f t="shared" ca="1" si="267"/>
        <v>0</v>
      </c>
      <c r="DT187" s="171">
        <f t="shared" ca="1" si="268"/>
        <v>0</v>
      </c>
      <c r="DU187" s="171">
        <f t="shared" ca="1" si="269"/>
        <v>0</v>
      </c>
      <c r="DV187" s="171">
        <f t="shared" ca="1" si="270"/>
        <v>0</v>
      </c>
      <c r="DW187" s="171">
        <f t="shared" ca="1" si="271"/>
        <v>0</v>
      </c>
      <c r="DX187" s="171">
        <f t="shared" ca="1" si="272"/>
        <v>0</v>
      </c>
      <c r="DY187" s="171">
        <f t="shared" ca="1" si="273"/>
        <v>0</v>
      </c>
      <c r="DZ187" s="171">
        <f t="shared" ca="1" si="274"/>
        <v>0</v>
      </c>
      <c r="EA187" s="171">
        <f t="shared" ca="1" si="275"/>
        <v>0</v>
      </c>
      <c r="EB187" s="171">
        <f t="shared" ca="1" si="276"/>
        <v>0</v>
      </c>
      <c r="EC187" s="171">
        <f t="shared" ca="1" si="277"/>
        <v>0</v>
      </c>
      <c r="ED187" s="171">
        <f t="shared" ca="1" si="278"/>
        <v>0</v>
      </c>
      <c r="EE187" s="171">
        <f t="shared" ca="1" si="279"/>
        <v>0</v>
      </c>
      <c r="EF187" s="171">
        <f t="shared" ca="1" si="280"/>
        <v>0</v>
      </c>
      <c r="EG187" s="171">
        <f t="shared" ca="1" si="281"/>
        <v>0</v>
      </c>
      <c r="EH187" s="171">
        <f t="shared" ca="1" si="282"/>
        <v>0</v>
      </c>
      <c r="EI187" s="171">
        <f t="shared" ca="1" si="283"/>
        <v>0</v>
      </c>
      <c r="EJ187" s="171">
        <f t="shared" ca="1" si="284"/>
        <v>0</v>
      </c>
      <c r="EK187" s="171">
        <f t="shared" ca="1" si="285"/>
        <v>0</v>
      </c>
      <c r="EL187" s="171">
        <f t="shared" ca="1" si="286"/>
        <v>0</v>
      </c>
      <c r="EM187" s="171">
        <f t="shared" ca="1" si="287"/>
        <v>0</v>
      </c>
      <c r="EN187" s="171">
        <f t="shared" ca="1" si="288"/>
        <v>0</v>
      </c>
      <c r="EO187" s="171">
        <f t="shared" ca="1" si="289"/>
        <v>0</v>
      </c>
      <c r="EP187" s="171">
        <f t="shared" ca="1" si="290"/>
        <v>0</v>
      </c>
      <c r="EQ187" s="171">
        <f t="shared" ca="1" si="291"/>
        <v>0</v>
      </c>
      <c r="ER187" s="171">
        <f t="shared" ca="1" si="292"/>
        <v>0</v>
      </c>
      <c r="ES187" s="171">
        <f t="shared" ca="1" si="293"/>
        <v>0</v>
      </c>
    </row>
    <row r="188" spans="1:149">
      <c r="A188" s="139" t="s">
        <v>542</v>
      </c>
      <c r="B188" s="160" t="s">
        <v>420</v>
      </c>
      <c r="C188" s="160" t="s">
        <v>29</v>
      </c>
      <c r="D188" s="160" t="s">
        <v>394</v>
      </c>
      <c r="E188" s="160">
        <v>2012</v>
      </c>
      <c r="F188" s="160" t="s">
        <v>400</v>
      </c>
      <c r="G188" s="160" t="s">
        <v>289</v>
      </c>
      <c r="H188" s="160" t="s">
        <v>396</v>
      </c>
      <c r="I188" s="160" t="s">
        <v>183</v>
      </c>
      <c r="J188" s="160" t="s">
        <v>401</v>
      </c>
      <c r="K188" s="187">
        <v>67.499999996470578</v>
      </c>
      <c r="L188" s="163" t="s">
        <v>110</v>
      </c>
      <c r="M188" s="164">
        <f t="shared" si="223"/>
        <v>67.499999996470578</v>
      </c>
      <c r="N188" s="164">
        <f t="shared" si="224"/>
        <v>67.499999996470578</v>
      </c>
      <c r="O188" s="165">
        <f t="shared" si="225"/>
        <v>1</v>
      </c>
      <c r="P188" s="190">
        <v>0.23</v>
      </c>
      <c r="Q188" s="177">
        <v>25</v>
      </c>
      <c r="R188" s="168">
        <f t="shared" si="226"/>
        <v>13</v>
      </c>
      <c r="S188" s="178">
        <v>0</v>
      </c>
      <c r="T188" s="161" t="s">
        <v>289</v>
      </c>
      <c r="U188" s="171">
        <f t="shared" si="227"/>
        <v>16.145999999155766</v>
      </c>
      <c r="V188" s="171">
        <f t="shared" ca="1" si="228"/>
        <v>13.470121916494421</v>
      </c>
      <c r="W188" s="171">
        <f t="shared" ca="1" si="229"/>
        <v>336.7530479123605</v>
      </c>
      <c r="X188" s="172" t="str">
        <f t="shared" si="230"/>
        <v>Equity</v>
      </c>
      <c r="Y188" s="172" t="str">
        <f t="shared" si="231"/>
        <v>Equity</v>
      </c>
      <c r="Z188" s="173">
        <f t="shared" si="232"/>
        <v>403.64999997889419</v>
      </c>
      <c r="AA188" s="171">
        <f t="shared" si="294"/>
        <v>0</v>
      </c>
      <c r="AB188" s="171">
        <f t="shared" si="294"/>
        <v>0</v>
      </c>
      <c r="AC188" s="171">
        <f t="shared" si="294"/>
        <v>15.524999999188234</v>
      </c>
      <c r="AD188" s="171">
        <f t="shared" si="294"/>
        <v>15.524999999188234</v>
      </c>
      <c r="AE188" s="171">
        <f t="shared" si="294"/>
        <v>15.524999999188234</v>
      </c>
      <c r="AF188" s="171">
        <f t="shared" si="294"/>
        <v>15.524999999188234</v>
      </c>
      <c r="AG188" s="171">
        <f t="shared" si="294"/>
        <v>15.524999999188234</v>
      </c>
      <c r="AH188" s="171">
        <f t="shared" si="294"/>
        <v>15.524999999188234</v>
      </c>
      <c r="AI188" s="171">
        <f t="shared" si="294"/>
        <v>15.524999999188234</v>
      </c>
      <c r="AJ188" s="171">
        <f t="shared" si="294"/>
        <v>15.524999999188234</v>
      </c>
      <c r="AK188" s="171">
        <f t="shared" si="295"/>
        <v>15.524999999188234</v>
      </c>
      <c r="AL188" s="171">
        <f t="shared" si="295"/>
        <v>15.524999999188234</v>
      </c>
      <c r="AM188" s="171">
        <f t="shared" si="295"/>
        <v>15.524999999188234</v>
      </c>
      <c r="AN188" s="171">
        <f t="shared" si="295"/>
        <v>15.524999999188234</v>
      </c>
      <c r="AO188" s="171">
        <f t="shared" si="295"/>
        <v>15.524999999188234</v>
      </c>
      <c r="AP188" s="171">
        <f t="shared" si="295"/>
        <v>15.524999999188234</v>
      </c>
      <c r="AQ188" s="171">
        <f t="shared" si="295"/>
        <v>15.524999999188234</v>
      </c>
      <c r="AR188" s="171">
        <f t="shared" si="295"/>
        <v>15.524999999188234</v>
      </c>
      <c r="AS188" s="171">
        <f t="shared" si="295"/>
        <v>15.524999999188234</v>
      </c>
      <c r="AT188" s="171">
        <f t="shared" si="295"/>
        <v>15.524999999188234</v>
      </c>
      <c r="AU188" s="171">
        <f t="shared" si="296"/>
        <v>15.524999999188234</v>
      </c>
      <c r="AV188" s="171">
        <f t="shared" si="296"/>
        <v>15.524999999188234</v>
      </c>
      <c r="AW188" s="171">
        <f t="shared" si="296"/>
        <v>15.524999999188234</v>
      </c>
      <c r="AX188" s="171">
        <f t="shared" si="296"/>
        <v>15.524999999188234</v>
      </c>
      <c r="AY188" s="171">
        <f t="shared" si="296"/>
        <v>15.524999999188234</v>
      </c>
      <c r="AZ188" s="171">
        <f t="shared" si="296"/>
        <v>15.524999999188234</v>
      </c>
      <c r="BA188" s="171">
        <f t="shared" si="296"/>
        <v>15.524999999188234</v>
      </c>
      <c r="BB188" s="171">
        <f t="shared" si="296"/>
        <v>15.524999999188234</v>
      </c>
      <c r="BC188" s="171">
        <f t="shared" si="296"/>
        <v>0</v>
      </c>
      <c r="BD188" s="171">
        <f t="shared" si="296"/>
        <v>0</v>
      </c>
      <c r="BE188" s="171">
        <f t="shared" si="297"/>
        <v>0</v>
      </c>
      <c r="BF188" s="171">
        <f t="shared" si="297"/>
        <v>0</v>
      </c>
      <c r="BG188" s="171">
        <f t="shared" si="297"/>
        <v>0</v>
      </c>
      <c r="BH188" s="171">
        <f t="shared" si="297"/>
        <v>0</v>
      </c>
      <c r="BI188" s="171">
        <f t="shared" si="297"/>
        <v>0</v>
      </c>
      <c r="BJ188" s="171">
        <f t="shared" si="297"/>
        <v>0</v>
      </c>
      <c r="BK188" s="171">
        <f t="shared" si="297"/>
        <v>0</v>
      </c>
      <c r="BL188" s="171">
        <f t="shared" si="297"/>
        <v>0</v>
      </c>
      <c r="BM188" s="171">
        <f t="shared" si="297"/>
        <v>0</v>
      </c>
      <c r="BN188" s="171">
        <f t="shared" si="297"/>
        <v>0</v>
      </c>
      <c r="BO188" s="171">
        <f t="shared" si="298"/>
        <v>0</v>
      </c>
      <c r="BP188" s="171">
        <f t="shared" si="298"/>
        <v>0</v>
      </c>
      <c r="BQ188" s="171">
        <f t="shared" si="298"/>
        <v>0</v>
      </c>
      <c r="BR188" s="171">
        <f t="shared" si="298"/>
        <v>0</v>
      </c>
      <c r="BS188" s="171">
        <f t="shared" si="298"/>
        <v>0</v>
      </c>
      <c r="BT188" s="171">
        <f t="shared" si="298"/>
        <v>0</v>
      </c>
      <c r="BU188" s="171">
        <f t="shared" si="298"/>
        <v>0</v>
      </c>
      <c r="BV188" s="171">
        <f t="shared" si="298"/>
        <v>0</v>
      </c>
      <c r="BW188" s="171">
        <f t="shared" si="298"/>
        <v>0</v>
      </c>
      <c r="BX188" s="171">
        <f t="shared" si="298"/>
        <v>0</v>
      </c>
      <c r="BY188" s="171">
        <f t="shared" si="299"/>
        <v>0</v>
      </c>
      <c r="BZ188" s="171">
        <f t="shared" si="299"/>
        <v>0</v>
      </c>
      <c r="CA188" s="171">
        <f t="shared" si="299"/>
        <v>0</v>
      </c>
      <c r="CB188" s="171">
        <f t="shared" si="299"/>
        <v>0</v>
      </c>
      <c r="CC188" s="171">
        <f t="shared" si="299"/>
        <v>0</v>
      </c>
      <c r="CD188" s="171">
        <f t="shared" si="299"/>
        <v>0</v>
      </c>
      <c r="CE188" s="171">
        <f t="shared" si="299"/>
        <v>0</v>
      </c>
      <c r="CF188" s="171">
        <f t="shared" si="299"/>
        <v>0</v>
      </c>
      <c r="CG188" s="171">
        <f t="shared" si="299"/>
        <v>0</v>
      </c>
      <c r="CH188" s="171">
        <f t="shared" si="299"/>
        <v>0</v>
      </c>
      <c r="CI188" s="171">
        <f t="shared" si="299"/>
        <v>0</v>
      </c>
      <c r="CJ188" s="243"/>
      <c r="CK188" s="171">
        <f t="shared" si="233"/>
        <v>0</v>
      </c>
      <c r="CL188" s="171">
        <f t="shared" si="234"/>
        <v>0</v>
      </c>
      <c r="CM188" s="171">
        <f t="shared" si="235"/>
        <v>15.524999999188234</v>
      </c>
      <c r="CN188" s="171">
        <f t="shared" si="236"/>
        <v>15.524999999188234</v>
      </c>
      <c r="CO188" s="171">
        <f t="shared" si="237"/>
        <v>15.524999999188234</v>
      </c>
      <c r="CP188" s="171">
        <f t="shared" si="238"/>
        <v>15.524999999188234</v>
      </c>
      <c r="CQ188" s="171">
        <f t="shared" si="239"/>
        <v>15.524999999188234</v>
      </c>
      <c r="CR188" s="171">
        <f t="shared" si="240"/>
        <v>15.524999999188234</v>
      </c>
      <c r="CS188" s="171">
        <f t="shared" si="241"/>
        <v>15.524999999188234</v>
      </c>
      <c r="CT188" s="171">
        <f t="shared" si="242"/>
        <v>15.524999999188234</v>
      </c>
      <c r="CU188" s="171">
        <f t="shared" si="243"/>
        <v>15.524999999188234</v>
      </c>
      <c r="CV188" s="171">
        <f t="shared" si="244"/>
        <v>15.524999999188234</v>
      </c>
      <c r="CW188" s="171">
        <f t="shared" si="245"/>
        <v>15.524999999188234</v>
      </c>
      <c r="CX188" s="171">
        <f t="shared" si="246"/>
        <v>15.524999999188234</v>
      </c>
      <c r="CY188" s="171">
        <f t="shared" ca="1" si="247"/>
        <v>14.738925309790707</v>
      </c>
      <c r="CZ188" s="171">
        <f t="shared" ca="1" si="248"/>
        <v>13.992651806695514</v>
      </c>
      <c r="DA188" s="171">
        <f t="shared" ca="1" si="249"/>
        <v>13.284164243193354</v>
      </c>
      <c r="DB188" s="171">
        <f t="shared" ca="1" si="250"/>
        <v>12.611549410219443</v>
      </c>
      <c r="DC188" s="171">
        <f t="shared" ca="1" si="251"/>
        <v>11.972990969898788</v>
      </c>
      <c r="DD188" s="171">
        <f t="shared" ca="1" si="252"/>
        <v>11.366764550683671</v>
      </c>
      <c r="DE188" s="171">
        <f t="shared" ca="1" si="253"/>
        <v>10.791233090838217</v>
      </c>
      <c r="DF188" s="171">
        <f t="shared" ca="1" si="254"/>
        <v>10.24484241769551</v>
      </c>
      <c r="DG188" s="171">
        <f t="shared" ca="1" si="255"/>
        <v>9.7261170507494459</v>
      </c>
      <c r="DH188" s="171">
        <f t="shared" ca="1" si="256"/>
        <v>9.2336562172478907</v>
      </c>
      <c r="DI188" s="171">
        <f t="shared" ca="1" si="257"/>
        <v>8.7661300695276854</v>
      </c>
      <c r="DJ188" s="171">
        <f t="shared" ca="1" si="258"/>
        <v>8.3222760938766314</v>
      </c>
      <c r="DK188" s="171">
        <f t="shared" ca="1" si="259"/>
        <v>7.9008957012249983</v>
      </c>
      <c r="DL188" s="171">
        <f t="shared" ca="1" si="260"/>
        <v>7.5008509904599459</v>
      </c>
      <c r="DM188" s="171">
        <f t="shared" ca="1" si="261"/>
        <v>0</v>
      </c>
      <c r="DN188" s="171">
        <f t="shared" ca="1" si="262"/>
        <v>0</v>
      </c>
      <c r="DO188" s="171">
        <f t="shared" ca="1" si="263"/>
        <v>0</v>
      </c>
      <c r="DP188" s="171">
        <f t="shared" ca="1" si="264"/>
        <v>0</v>
      </c>
      <c r="DQ188" s="171">
        <f t="shared" ca="1" si="265"/>
        <v>0</v>
      </c>
      <c r="DR188" s="171">
        <f t="shared" ca="1" si="266"/>
        <v>0</v>
      </c>
      <c r="DS188" s="171">
        <f t="shared" ca="1" si="267"/>
        <v>0</v>
      </c>
      <c r="DT188" s="171">
        <f t="shared" ca="1" si="268"/>
        <v>0</v>
      </c>
      <c r="DU188" s="171">
        <f t="shared" ca="1" si="269"/>
        <v>0</v>
      </c>
      <c r="DV188" s="171">
        <f t="shared" ca="1" si="270"/>
        <v>0</v>
      </c>
      <c r="DW188" s="171">
        <f t="shared" ca="1" si="271"/>
        <v>0</v>
      </c>
      <c r="DX188" s="171">
        <f t="shared" ca="1" si="272"/>
        <v>0</v>
      </c>
      <c r="DY188" s="171">
        <f t="shared" ca="1" si="273"/>
        <v>0</v>
      </c>
      <c r="DZ188" s="171">
        <f t="shared" ca="1" si="274"/>
        <v>0</v>
      </c>
      <c r="EA188" s="171">
        <f t="shared" ca="1" si="275"/>
        <v>0</v>
      </c>
      <c r="EB188" s="171">
        <f t="shared" ca="1" si="276"/>
        <v>0</v>
      </c>
      <c r="EC188" s="171">
        <f t="shared" ca="1" si="277"/>
        <v>0</v>
      </c>
      <c r="ED188" s="171">
        <f t="shared" ca="1" si="278"/>
        <v>0</v>
      </c>
      <c r="EE188" s="171">
        <f t="shared" ca="1" si="279"/>
        <v>0</v>
      </c>
      <c r="EF188" s="171">
        <f t="shared" ca="1" si="280"/>
        <v>0</v>
      </c>
      <c r="EG188" s="171">
        <f t="shared" ca="1" si="281"/>
        <v>0</v>
      </c>
      <c r="EH188" s="171">
        <f t="shared" ca="1" si="282"/>
        <v>0</v>
      </c>
      <c r="EI188" s="171">
        <f t="shared" ca="1" si="283"/>
        <v>0</v>
      </c>
      <c r="EJ188" s="171">
        <f t="shared" ca="1" si="284"/>
        <v>0</v>
      </c>
      <c r="EK188" s="171">
        <f t="shared" ca="1" si="285"/>
        <v>0</v>
      </c>
      <c r="EL188" s="171">
        <f t="shared" ca="1" si="286"/>
        <v>0</v>
      </c>
      <c r="EM188" s="171">
        <f t="shared" ca="1" si="287"/>
        <v>0</v>
      </c>
      <c r="EN188" s="171">
        <f t="shared" ca="1" si="288"/>
        <v>0</v>
      </c>
      <c r="EO188" s="171">
        <f t="shared" ca="1" si="289"/>
        <v>0</v>
      </c>
      <c r="EP188" s="171">
        <f t="shared" ca="1" si="290"/>
        <v>0</v>
      </c>
      <c r="EQ188" s="171">
        <f t="shared" ca="1" si="291"/>
        <v>0</v>
      </c>
      <c r="ER188" s="171">
        <f t="shared" ca="1" si="292"/>
        <v>0</v>
      </c>
      <c r="ES188" s="171">
        <f t="shared" ca="1" si="293"/>
        <v>0</v>
      </c>
    </row>
    <row r="189" spans="1:149">
      <c r="A189" s="139" t="s">
        <v>543</v>
      </c>
      <c r="B189" s="160" t="s">
        <v>531</v>
      </c>
      <c r="C189" s="160" t="s">
        <v>29</v>
      </c>
      <c r="D189" s="160" t="s">
        <v>394</v>
      </c>
      <c r="E189" s="160">
        <v>2016</v>
      </c>
      <c r="F189" s="194" t="s">
        <v>395</v>
      </c>
      <c r="G189" s="160" t="s">
        <v>402</v>
      </c>
      <c r="H189" s="194" t="s">
        <v>396</v>
      </c>
      <c r="I189" s="194" t="s">
        <v>176</v>
      </c>
      <c r="J189" s="194" t="s">
        <v>397</v>
      </c>
      <c r="K189" s="187">
        <v>403.513187701194</v>
      </c>
      <c r="L189" s="163" t="s">
        <v>110</v>
      </c>
      <c r="M189" s="164">
        <f t="shared" si="223"/>
        <v>403.513187701194</v>
      </c>
      <c r="N189" s="164">
        <f t="shared" si="224"/>
        <v>403.513187701194</v>
      </c>
      <c r="O189" s="165">
        <f t="shared" si="225"/>
        <v>1</v>
      </c>
      <c r="P189" s="190">
        <v>2E-3</v>
      </c>
      <c r="Q189" s="191">
        <v>30</v>
      </c>
      <c r="R189" s="168">
        <f t="shared" si="226"/>
        <v>22</v>
      </c>
      <c r="S189" s="178">
        <v>10</v>
      </c>
      <c r="T189" s="170" t="s">
        <v>403</v>
      </c>
      <c r="U189" s="171">
        <f t="shared" si="227"/>
        <v>14.017328755903177</v>
      </c>
      <c r="V189" s="171">
        <f t="shared" ca="1" si="228"/>
        <v>7.6131847979867944</v>
      </c>
      <c r="W189" s="171">
        <f t="shared" ca="1" si="229"/>
        <v>228.39554393960384</v>
      </c>
      <c r="X189" s="172">
        <f t="shared" si="230"/>
        <v>4.5856236051482591E-2</v>
      </c>
      <c r="Y189" s="172">
        <f t="shared" si="231"/>
        <v>0.95414376394851741</v>
      </c>
      <c r="Z189" s="173">
        <f t="shared" si="232"/>
        <v>420.51986267709532</v>
      </c>
      <c r="AA189" s="171">
        <f t="shared" ref="AA189:AJ198" si="300">IFERROR(
    IF($T189="Equity",
        IF(AND(AA$48&gt;=$E189, AA$48&lt;=($E189+$Q189)),
$K189*$P189*(VLOOKUP($C$39,$C$37:$BL$44,MATCH($E189,$C$37:$BL$37,0),FALSE)/VLOOKUP($L189,$C$37:$BL$44,MATCH($E189,$C$37:$BL$37,0),FALSE))*
IF($B$5="Foreign Currency",VLOOKUP($C$38,$C$37:$BL$44,MATCH(AA$48,$C$37:$BL$37,0),FALSE)/VLOOKUP($C$39,$C$37:$BL$44,MATCH(AA$48,$C$37:$BL$37,0),FALSE),1),
0),
    IF($T189="Lump Sum Principal",
        IF(AND(AA$48&gt;=$E189, AA$48&lt;($E189+$Q189)),
$K189*$P189*(VLOOKUP($C$39,$C$37:$BL$44,MATCH($E189,$C$37:$BL$37,0),FALSE)/VLOOKUP($L189,$C$37:$BL$44,MATCH($E189,$C$37:$BL$37,0),FALSE))*
IF($B$5="Foreign Currency",VLOOKUP($C$38,$C$37:$BL$44,MATCH(AA$48,$C$37:$BL$37,0),FALSE)/VLOOKUP($C$39,$C$37:$BL$44,MATCH(AA$48,$C$37:$BL$37,0),FALSE),1),
        IF(AA$48=($E189+$Q189),
$K189*(1+$P189)*(VLOOKUP($C$39,$C$37:$BL$44,MATCH($E189,$C$37:$BL$37,0),FALSE)/VLOOKUP($L189,$C$37:$BL$44,MATCH($E189,$C$37:$BL$37,0),FALSE))*
IF($B$5="Foreign Currency",VLOOKUP($C$38,$C$37:$BL$44,MATCH(AA$48,$C$37:$BL$37,0),FALSE)/VLOOKUP($C$39,$C$37:$BL$44,MATCH(AA$48,$C$37:$BL$37,0),FALSE),1),
0)),
    IF($T189="Lump Sum Principal and Interest",
        IF(AA$48=($E189+$Q189),
$K189*((1+$P189)^$Q189)*(VLOOKUP($C$39,$C$37:$BL$44,MATCH($E189,$C$37:$BL$37,0),FALSE)/VLOOKUP($L189,$C$37:$BL$44,MATCH($E189,$C$37:$BL$37,0),FALSE))*
IF($B$5="Foreign Currency",VLOOKUP($C$38,$C$37:$BL$44,MATCH(AA$48,$C$37:$BL$37,0),FALSE)/VLOOKUP($C$39,$C$37:$BL$44,MATCH(AA$48,$C$37:$BL$37,0),FALSE),1),
0),
    IF($T189="EPP with Grace Years for Principal",
        IF(AND(AA$48&gt;=$E189, AA$48&lt;($E189+$S189)),
$K189*$P189*(VLOOKUP($C$39,$C$37:$BL$44,MATCH($E189,$C$37:$BL$37,0),FALSE)/VLOOKUP($L189,$C$37:$BL$44,MATCH($E189,$C$37:$BL$37,0),FALSE))*
IF($B$5="Foreign Currency",VLOOKUP($C$38,$C$37:$BL$44,MATCH(AA$48,$C$37:$BL$37,0),FALSE)/VLOOKUP($C$39,$C$37:$BL$44,MATCH(AA$48,$C$37:$BL$37,0),FALSE),1),
        IF(AND(AA$48&gt;=($E189+$S189), AA$48&lt;=($E189+$Q189)),
-PMT($P189,($Q189-$S189+1),($K189*(VLOOKUP($C$39,$C$37:$BL$44,MATCH($E189,$C$37:$BL$37,0),FALSE)/VLOOKUP($L189,$C$37:$BL$44,MATCH($E189,$C$37:$BL$37,0),FALSE))*
IF($B$5="Foreign Currency",VLOOKUP($C$38,$C$37:$BL$44,MATCH(AA$48,$C$37:$BL$37,0),FALSE)/VLOOKUP($C$39,$C$37:$BL$44,MATCH(AA$48,$C$37:$BL$37,0),FALSE),1)),0),
0)),
    IF($T189="Equal Principal Payments (EPP)",
        IF(AND(AA$48&gt;=$E189, AA$48&lt;=($E189+$Q189)),
-PMT($P189,($Q189-$S189+1),($K189*(VLOOKUP($C$39,$C$37:$BL$44,MATCH($E189,$C$37:$BL$37,0),FALSE)/VLOOKUP($L189,$C$37:$BL$44,MATCH($E189,$C$37:$BL$37,0),FALSE))*
IF($B$5="Foreign Currency",VLOOKUP($C$38,$C$37:$BL$44,MATCH(AA$48,$C$37:$BL$37,0),FALSE)/VLOOKUP($C$39,$C$37:$BL$44,MATCH(AA$48,$C$37:$BL$37,0),FALSE),1)),0), 0),
    IF($T189="EPP with Grace Years for Principal and on Interest",
        IF(AND(AA$48&gt;=($E189+$S189), AA$48&lt;=($E189+$Q189)),
-PMT($P189,($Q189-$S189+1),($K189*(VLOOKUP($C$39,$C$37:$BL$44,MATCH($E189,$C$37:$BL$37,0),FALSE)/VLOOKUP($L189,$C$37:$BL$44,MATCH($E189,$C$37:$BL$37,0),FALSE))*
IF($B$5="Foreign Currency",VLOOKUP($C$38,$C$37:$BL$44,MATCH(AA$48,$C$37:$BL$37,0),FALSE)/VLOOKUP($C$39,$C$37:$BL$44,MATCH(AA$48,$C$37:$BL$37,0),FALSE),1))*((1+$P189)^$S189),0), 0),
    0)))))),"")</f>
        <v>0</v>
      </c>
      <c r="AB189" s="171">
        <f t="shared" si="300"/>
        <v>0</v>
      </c>
      <c r="AC189" s="171">
        <f t="shared" si="300"/>
        <v>0</v>
      </c>
      <c r="AD189" s="171">
        <f t="shared" si="300"/>
        <v>0</v>
      </c>
      <c r="AE189" s="171">
        <f t="shared" si="300"/>
        <v>0</v>
      </c>
      <c r="AF189" s="171">
        <f t="shared" si="300"/>
        <v>0</v>
      </c>
      <c r="AG189" s="171">
        <f t="shared" si="300"/>
        <v>0.80702637540238797</v>
      </c>
      <c r="AH189" s="171">
        <f t="shared" si="300"/>
        <v>0.80702637540238797</v>
      </c>
      <c r="AI189" s="171">
        <f t="shared" si="300"/>
        <v>0.80702637540238797</v>
      </c>
      <c r="AJ189" s="171">
        <f t="shared" si="300"/>
        <v>0.80702637540238797</v>
      </c>
      <c r="AK189" s="171">
        <f t="shared" ref="AK189:AT198" si="301">IFERROR(
    IF($T189="Equity",
        IF(AND(AK$48&gt;=$E189, AK$48&lt;=($E189+$Q189)),
$K189*$P189*(VLOOKUP($C$39,$C$37:$BL$44,MATCH($E189,$C$37:$BL$37,0),FALSE)/VLOOKUP($L189,$C$37:$BL$44,MATCH($E189,$C$37:$BL$37,0),FALSE))*
IF($B$5="Foreign Currency",VLOOKUP($C$38,$C$37:$BL$44,MATCH(AK$48,$C$37:$BL$37,0),FALSE)/VLOOKUP($C$39,$C$37:$BL$44,MATCH(AK$48,$C$37:$BL$37,0),FALSE),1),
0),
    IF($T189="Lump Sum Principal",
        IF(AND(AK$48&gt;=$E189, AK$48&lt;($E189+$Q189)),
$K189*$P189*(VLOOKUP($C$39,$C$37:$BL$44,MATCH($E189,$C$37:$BL$37,0),FALSE)/VLOOKUP($L189,$C$37:$BL$44,MATCH($E189,$C$37:$BL$37,0),FALSE))*
IF($B$5="Foreign Currency",VLOOKUP($C$38,$C$37:$BL$44,MATCH(AK$48,$C$37:$BL$37,0),FALSE)/VLOOKUP($C$39,$C$37:$BL$44,MATCH(AK$48,$C$37:$BL$37,0),FALSE),1),
        IF(AK$48=($E189+$Q189),
$K189*(1+$P189)*(VLOOKUP($C$39,$C$37:$BL$44,MATCH($E189,$C$37:$BL$37,0),FALSE)/VLOOKUP($L189,$C$37:$BL$44,MATCH($E189,$C$37:$BL$37,0),FALSE))*
IF($B$5="Foreign Currency",VLOOKUP($C$38,$C$37:$BL$44,MATCH(AK$48,$C$37:$BL$37,0),FALSE)/VLOOKUP($C$39,$C$37:$BL$44,MATCH(AK$48,$C$37:$BL$37,0),FALSE),1),
0)),
    IF($T189="Lump Sum Principal and Interest",
        IF(AK$48=($E189+$Q189),
$K189*((1+$P189)^$Q189)*(VLOOKUP($C$39,$C$37:$BL$44,MATCH($E189,$C$37:$BL$37,0),FALSE)/VLOOKUP($L189,$C$37:$BL$44,MATCH($E189,$C$37:$BL$37,0),FALSE))*
IF($B$5="Foreign Currency",VLOOKUP($C$38,$C$37:$BL$44,MATCH(AK$48,$C$37:$BL$37,0),FALSE)/VLOOKUP($C$39,$C$37:$BL$44,MATCH(AK$48,$C$37:$BL$37,0),FALSE),1),
0),
    IF($T189="EPP with Grace Years for Principal",
        IF(AND(AK$48&gt;=$E189, AK$48&lt;($E189+$S189)),
$K189*$P189*(VLOOKUP($C$39,$C$37:$BL$44,MATCH($E189,$C$37:$BL$37,0),FALSE)/VLOOKUP($L189,$C$37:$BL$44,MATCH($E189,$C$37:$BL$37,0),FALSE))*
IF($B$5="Foreign Currency",VLOOKUP($C$38,$C$37:$BL$44,MATCH(AK$48,$C$37:$BL$37,0),FALSE)/VLOOKUP($C$39,$C$37:$BL$44,MATCH(AK$48,$C$37:$BL$37,0),FALSE),1),
        IF(AND(AK$48&gt;=($E189+$S189), AK$48&lt;=($E189+$Q189)),
-PMT($P189,($Q189-$S189+1),($K189*(VLOOKUP($C$39,$C$37:$BL$44,MATCH($E189,$C$37:$BL$37,0),FALSE)/VLOOKUP($L189,$C$37:$BL$44,MATCH($E189,$C$37:$BL$37,0),FALSE))*
IF($B$5="Foreign Currency",VLOOKUP($C$38,$C$37:$BL$44,MATCH(AK$48,$C$37:$BL$37,0),FALSE)/VLOOKUP($C$39,$C$37:$BL$44,MATCH(AK$48,$C$37:$BL$37,0),FALSE),1)),0),
0)),
    IF($T189="Equal Principal Payments (EPP)",
        IF(AND(AK$48&gt;=$E189, AK$48&lt;=($E189+$Q189)),
-PMT($P189,($Q189-$S189+1),($K189*(VLOOKUP($C$39,$C$37:$BL$44,MATCH($E189,$C$37:$BL$37,0),FALSE)/VLOOKUP($L189,$C$37:$BL$44,MATCH($E189,$C$37:$BL$37,0),FALSE))*
IF($B$5="Foreign Currency",VLOOKUP($C$38,$C$37:$BL$44,MATCH(AK$48,$C$37:$BL$37,0),FALSE)/VLOOKUP($C$39,$C$37:$BL$44,MATCH(AK$48,$C$37:$BL$37,0),FALSE),1)),0), 0),
    IF($T189="EPP with Grace Years for Principal and on Interest",
        IF(AND(AK$48&gt;=($E189+$S189), AK$48&lt;=($E189+$Q189)),
-PMT($P189,($Q189-$S189+1),($K189*(VLOOKUP($C$39,$C$37:$BL$44,MATCH($E189,$C$37:$BL$37,0),FALSE)/VLOOKUP($L189,$C$37:$BL$44,MATCH($E189,$C$37:$BL$37,0),FALSE))*
IF($B$5="Foreign Currency",VLOOKUP($C$38,$C$37:$BL$44,MATCH(AK$48,$C$37:$BL$37,0),FALSE)/VLOOKUP($C$39,$C$37:$BL$44,MATCH(AK$48,$C$37:$BL$37,0),FALSE),1))*((1+$P189)^$S189),0), 0),
    0)))))),"")</f>
        <v>0.80702637540238797</v>
      </c>
      <c r="AL189" s="171">
        <f t="shared" si="301"/>
        <v>0.80702637540238797</v>
      </c>
      <c r="AM189" s="171">
        <f t="shared" si="301"/>
        <v>0.80702637540238797</v>
      </c>
      <c r="AN189" s="171">
        <f t="shared" si="301"/>
        <v>0.80702637540238797</v>
      </c>
      <c r="AO189" s="171">
        <f t="shared" si="301"/>
        <v>0.80702637540238797</v>
      </c>
      <c r="AP189" s="171">
        <f t="shared" si="301"/>
        <v>0.80702637540238797</v>
      </c>
      <c r="AQ189" s="171">
        <f t="shared" si="301"/>
        <v>19.640457091574824</v>
      </c>
      <c r="AR189" s="171">
        <f t="shared" si="301"/>
        <v>19.640457091574824</v>
      </c>
      <c r="AS189" s="171">
        <f t="shared" si="301"/>
        <v>19.640457091574824</v>
      </c>
      <c r="AT189" s="171">
        <f t="shared" si="301"/>
        <v>19.640457091574824</v>
      </c>
      <c r="AU189" s="171">
        <f t="shared" ref="AU189:BD198" si="302">IFERROR(
    IF($T189="Equity",
        IF(AND(AU$48&gt;=$E189, AU$48&lt;=($E189+$Q189)),
$K189*$P189*(VLOOKUP($C$39,$C$37:$BL$44,MATCH($E189,$C$37:$BL$37,0),FALSE)/VLOOKUP($L189,$C$37:$BL$44,MATCH($E189,$C$37:$BL$37,0),FALSE))*
IF($B$5="Foreign Currency",VLOOKUP($C$38,$C$37:$BL$44,MATCH(AU$48,$C$37:$BL$37,0),FALSE)/VLOOKUP($C$39,$C$37:$BL$44,MATCH(AU$48,$C$37:$BL$37,0),FALSE),1),
0),
    IF($T189="Lump Sum Principal",
        IF(AND(AU$48&gt;=$E189, AU$48&lt;($E189+$Q189)),
$K189*$P189*(VLOOKUP($C$39,$C$37:$BL$44,MATCH($E189,$C$37:$BL$37,0),FALSE)/VLOOKUP($L189,$C$37:$BL$44,MATCH($E189,$C$37:$BL$37,0),FALSE))*
IF($B$5="Foreign Currency",VLOOKUP($C$38,$C$37:$BL$44,MATCH(AU$48,$C$37:$BL$37,0),FALSE)/VLOOKUP($C$39,$C$37:$BL$44,MATCH(AU$48,$C$37:$BL$37,0),FALSE),1),
        IF(AU$48=($E189+$Q189),
$K189*(1+$P189)*(VLOOKUP($C$39,$C$37:$BL$44,MATCH($E189,$C$37:$BL$37,0),FALSE)/VLOOKUP($L189,$C$37:$BL$44,MATCH($E189,$C$37:$BL$37,0),FALSE))*
IF($B$5="Foreign Currency",VLOOKUP($C$38,$C$37:$BL$44,MATCH(AU$48,$C$37:$BL$37,0),FALSE)/VLOOKUP($C$39,$C$37:$BL$44,MATCH(AU$48,$C$37:$BL$37,0),FALSE),1),
0)),
    IF($T189="Lump Sum Principal and Interest",
        IF(AU$48=($E189+$Q189),
$K189*((1+$P189)^$Q189)*(VLOOKUP($C$39,$C$37:$BL$44,MATCH($E189,$C$37:$BL$37,0),FALSE)/VLOOKUP($L189,$C$37:$BL$44,MATCH($E189,$C$37:$BL$37,0),FALSE))*
IF($B$5="Foreign Currency",VLOOKUP($C$38,$C$37:$BL$44,MATCH(AU$48,$C$37:$BL$37,0),FALSE)/VLOOKUP($C$39,$C$37:$BL$44,MATCH(AU$48,$C$37:$BL$37,0),FALSE),1),
0),
    IF($T189="EPP with Grace Years for Principal",
        IF(AND(AU$48&gt;=$E189, AU$48&lt;($E189+$S189)),
$K189*$P189*(VLOOKUP($C$39,$C$37:$BL$44,MATCH($E189,$C$37:$BL$37,0),FALSE)/VLOOKUP($L189,$C$37:$BL$44,MATCH($E189,$C$37:$BL$37,0),FALSE))*
IF($B$5="Foreign Currency",VLOOKUP($C$38,$C$37:$BL$44,MATCH(AU$48,$C$37:$BL$37,0),FALSE)/VLOOKUP($C$39,$C$37:$BL$44,MATCH(AU$48,$C$37:$BL$37,0),FALSE),1),
        IF(AND(AU$48&gt;=($E189+$S189), AU$48&lt;=($E189+$Q189)),
-PMT($P189,($Q189-$S189+1),($K189*(VLOOKUP($C$39,$C$37:$BL$44,MATCH($E189,$C$37:$BL$37,0),FALSE)/VLOOKUP($L189,$C$37:$BL$44,MATCH($E189,$C$37:$BL$37,0),FALSE))*
IF($B$5="Foreign Currency",VLOOKUP($C$38,$C$37:$BL$44,MATCH(AU$48,$C$37:$BL$37,0),FALSE)/VLOOKUP($C$39,$C$37:$BL$44,MATCH(AU$48,$C$37:$BL$37,0),FALSE),1)),0),
0)),
    IF($T189="Equal Principal Payments (EPP)",
        IF(AND(AU$48&gt;=$E189, AU$48&lt;=($E189+$Q189)),
-PMT($P189,($Q189-$S189+1),($K189*(VLOOKUP($C$39,$C$37:$BL$44,MATCH($E189,$C$37:$BL$37,0),FALSE)/VLOOKUP($L189,$C$37:$BL$44,MATCH($E189,$C$37:$BL$37,0),FALSE))*
IF($B$5="Foreign Currency",VLOOKUP($C$38,$C$37:$BL$44,MATCH(AU$48,$C$37:$BL$37,0),FALSE)/VLOOKUP($C$39,$C$37:$BL$44,MATCH(AU$48,$C$37:$BL$37,0),FALSE),1)),0), 0),
    IF($T189="EPP with Grace Years for Principal and on Interest",
        IF(AND(AU$48&gt;=($E189+$S189), AU$48&lt;=($E189+$Q189)),
-PMT($P189,($Q189-$S189+1),($K189*(VLOOKUP($C$39,$C$37:$BL$44,MATCH($E189,$C$37:$BL$37,0),FALSE)/VLOOKUP($L189,$C$37:$BL$44,MATCH($E189,$C$37:$BL$37,0),FALSE))*
IF($B$5="Foreign Currency",VLOOKUP($C$38,$C$37:$BL$44,MATCH(AU$48,$C$37:$BL$37,0),FALSE)/VLOOKUP($C$39,$C$37:$BL$44,MATCH(AU$48,$C$37:$BL$37,0),FALSE),1))*((1+$P189)^$S189),0), 0),
    0)))))),"")</f>
        <v>19.640457091574824</v>
      </c>
      <c r="AV189" s="171">
        <f t="shared" si="302"/>
        <v>19.640457091574824</v>
      </c>
      <c r="AW189" s="171">
        <f t="shared" si="302"/>
        <v>19.640457091574824</v>
      </c>
      <c r="AX189" s="171">
        <f t="shared" si="302"/>
        <v>19.640457091574824</v>
      </c>
      <c r="AY189" s="171">
        <f t="shared" si="302"/>
        <v>19.640457091574824</v>
      </c>
      <c r="AZ189" s="171">
        <f t="shared" si="302"/>
        <v>19.640457091574824</v>
      </c>
      <c r="BA189" s="171">
        <f t="shared" si="302"/>
        <v>19.640457091574824</v>
      </c>
      <c r="BB189" s="171">
        <f t="shared" si="302"/>
        <v>19.640457091574824</v>
      </c>
      <c r="BC189" s="171">
        <f t="shared" si="302"/>
        <v>19.640457091574824</v>
      </c>
      <c r="BD189" s="171">
        <f t="shared" si="302"/>
        <v>19.640457091574824</v>
      </c>
      <c r="BE189" s="171">
        <f t="shared" ref="BE189:BN198" si="303">IFERROR(
    IF($T189="Equity",
        IF(AND(BE$48&gt;=$E189, BE$48&lt;=($E189+$Q189)),
$K189*$P189*(VLOOKUP($C$39,$C$37:$BL$44,MATCH($E189,$C$37:$BL$37,0),FALSE)/VLOOKUP($L189,$C$37:$BL$44,MATCH($E189,$C$37:$BL$37,0),FALSE))*
IF($B$5="Foreign Currency",VLOOKUP($C$38,$C$37:$BL$44,MATCH(BE$48,$C$37:$BL$37,0),FALSE)/VLOOKUP($C$39,$C$37:$BL$44,MATCH(BE$48,$C$37:$BL$37,0),FALSE),1),
0),
    IF($T189="Lump Sum Principal",
        IF(AND(BE$48&gt;=$E189, BE$48&lt;($E189+$Q189)),
$K189*$P189*(VLOOKUP($C$39,$C$37:$BL$44,MATCH($E189,$C$37:$BL$37,0),FALSE)/VLOOKUP($L189,$C$37:$BL$44,MATCH($E189,$C$37:$BL$37,0),FALSE))*
IF($B$5="Foreign Currency",VLOOKUP($C$38,$C$37:$BL$44,MATCH(BE$48,$C$37:$BL$37,0),FALSE)/VLOOKUP($C$39,$C$37:$BL$44,MATCH(BE$48,$C$37:$BL$37,0),FALSE),1),
        IF(BE$48=($E189+$Q189),
$K189*(1+$P189)*(VLOOKUP($C$39,$C$37:$BL$44,MATCH($E189,$C$37:$BL$37,0),FALSE)/VLOOKUP($L189,$C$37:$BL$44,MATCH($E189,$C$37:$BL$37,0),FALSE))*
IF($B$5="Foreign Currency",VLOOKUP($C$38,$C$37:$BL$44,MATCH(BE$48,$C$37:$BL$37,0),FALSE)/VLOOKUP($C$39,$C$37:$BL$44,MATCH(BE$48,$C$37:$BL$37,0),FALSE),1),
0)),
    IF($T189="Lump Sum Principal and Interest",
        IF(BE$48=($E189+$Q189),
$K189*((1+$P189)^$Q189)*(VLOOKUP($C$39,$C$37:$BL$44,MATCH($E189,$C$37:$BL$37,0),FALSE)/VLOOKUP($L189,$C$37:$BL$44,MATCH($E189,$C$37:$BL$37,0),FALSE))*
IF($B$5="Foreign Currency",VLOOKUP($C$38,$C$37:$BL$44,MATCH(BE$48,$C$37:$BL$37,0),FALSE)/VLOOKUP($C$39,$C$37:$BL$44,MATCH(BE$48,$C$37:$BL$37,0),FALSE),1),
0),
    IF($T189="EPP with Grace Years for Principal",
        IF(AND(BE$48&gt;=$E189, BE$48&lt;($E189+$S189)),
$K189*$P189*(VLOOKUP($C$39,$C$37:$BL$44,MATCH($E189,$C$37:$BL$37,0),FALSE)/VLOOKUP($L189,$C$37:$BL$44,MATCH($E189,$C$37:$BL$37,0),FALSE))*
IF($B$5="Foreign Currency",VLOOKUP($C$38,$C$37:$BL$44,MATCH(BE$48,$C$37:$BL$37,0),FALSE)/VLOOKUP($C$39,$C$37:$BL$44,MATCH(BE$48,$C$37:$BL$37,0),FALSE),1),
        IF(AND(BE$48&gt;=($E189+$S189), BE$48&lt;=($E189+$Q189)),
-PMT($P189,($Q189-$S189+1),($K189*(VLOOKUP($C$39,$C$37:$BL$44,MATCH($E189,$C$37:$BL$37,0),FALSE)/VLOOKUP($L189,$C$37:$BL$44,MATCH($E189,$C$37:$BL$37,0),FALSE))*
IF($B$5="Foreign Currency",VLOOKUP($C$38,$C$37:$BL$44,MATCH(BE$48,$C$37:$BL$37,0),FALSE)/VLOOKUP($C$39,$C$37:$BL$44,MATCH(BE$48,$C$37:$BL$37,0),FALSE),1)),0),
0)),
    IF($T189="Equal Principal Payments (EPP)",
        IF(AND(BE$48&gt;=$E189, BE$48&lt;=($E189+$Q189)),
-PMT($P189,($Q189-$S189+1),($K189*(VLOOKUP($C$39,$C$37:$BL$44,MATCH($E189,$C$37:$BL$37,0),FALSE)/VLOOKUP($L189,$C$37:$BL$44,MATCH($E189,$C$37:$BL$37,0),FALSE))*
IF($B$5="Foreign Currency",VLOOKUP($C$38,$C$37:$BL$44,MATCH(BE$48,$C$37:$BL$37,0),FALSE)/VLOOKUP($C$39,$C$37:$BL$44,MATCH(BE$48,$C$37:$BL$37,0),FALSE),1)),0), 0),
    IF($T189="EPP with Grace Years for Principal and on Interest",
        IF(AND(BE$48&gt;=($E189+$S189), BE$48&lt;=($E189+$Q189)),
-PMT($P189,($Q189-$S189+1),($K189*(VLOOKUP($C$39,$C$37:$BL$44,MATCH($E189,$C$37:$BL$37,0),FALSE)/VLOOKUP($L189,$C$37:$BL$44,MATCH($E189,$C$37:$BL$37,0),FALSE))*
IF($B$5="Foreign Currency",VLOOKUP($C$38,$C$37:$BL$44,MATCH(BE$48,$C$37:$BL$37,0),FALSE)/VLOOKUP($C$39,$C$37:$BL$44,MATCH(BE$48,$C$37:$BL$37,0),FALSE),1))*((1+$P189)^$S189),0), 0),
    0)))))),"")</f>
        <v>19.640457091574824</v>
      </c>
      <c r="BF189" s="171">
        <f t="shared" si="303"/>
        <v>19.640457091574824</v>
      </c>
      <c r="BG189" s="171">
        <f t="shared" si="303"/>
        <v>19.640457091574824</v>
      </c>
      <c r="BH189" s="171">
        <f t="shared" si="303"/>
        <v>19.640457091574824</v>
      </c>
      <c r="BI189" s="171">
        <f t="shared" si="303"/>
        <v>19.640457091574824</v>
      </c>
      <c r="BJ189" s="171">
        <f t="shared" si="303"/>
        <v>19.640457091574824</v>
      </c>
      <c r="BK189" s="171">
        <f t="shared" si="303"/>
        <v>19.640457091574824</v>
      </c>
      <c r="BL189" s="171">
        <f t="shared" si="303"/>
        <v>0</v>
      </c>
      <c r="BM189" s="171">
        <f t="shared" si="303"/>
        <v>0</v>
      </c>
      <c r="BN189" s="171">
        <f t="shared" si="303"/>
        <v>0</v>
      </c>
      <c r="BO189" s="171">
        <f t="shared" ref="BO189:BX198" si="304">IFERROR(
    IF($T189="Equity",
        IF(AND(BO$48&gt;=$E189, BO$48&lt;=($E189+$Q189)),
$K189*$P189*(VLOOKUP($C$39,$C$37:$BL$44,MATCH($E189,$C$37:$BL$37,0),FALSE)/VLOOKUP($L189,$C$37:$BL$44,MATCH($E189,$C$37:$BL$37,0),FALSE))*
IF($B$5="Foreign Currency",VLOOKUP($C$38,$C$37:$BL$44,MATCH(BO$48,$C$37:$BL$37,0),FALSE)/VLOOKUP($C$39,$C$37:$BL$44,MATCH(BO$48,$C$37:$BL$37,0),FALSE),1),
0),
    IF($T189="Lump Sum Principal",
        IF(AND(BO$48&gt;=$E189, BO$48&lt;($E189+$Q189)),
$K189*$P189*(VLOOKUP($C$39,$C$37:$BL$44,MATCH($E189,$C$37:$BL$37,0),FALSE)/VLOOKUP($L189,$C$37:$BL$44,MATCH($E189,$C$37:$BL$37,0),FALSE))*
IF($B$5="Foreign Currency",VLOOKUP($C$38,$C$37:$BL$44,MATCH(BO$48,$C$37:$BL$37,0),FALSE)/VLOOKUP($C$39,$C$37:$BL$44,MATCH(BO$48,$C$37:$BL$37,0),FALSE),1),
        IF(BO$48=($E189+$Q189),
$K189*(1+$P189)*(VLOOKUP($C$39,$C$37:$BL$44,MATCH($E189,$C$37:$BL$37,0),FALSE)/VLOOKUP($L189,$C$37:$BL$44,MATCH($E189,$C$37:$BL$37,0),FALSE))*
IF($B$5="Foreign Currency",VLOOKUP($C$38,$C$37:$BL$44,MATCH(BO$48,$C$37:$BL$37,0),FALSE)/VLOOKUP($C$39,$C$37:$BL$44,MATCH(BO$48,$C$37:$BL$37,0),FALSE),1),
0)),
    IF($T189="Lump Sum Principal and Interest",
        IF(BO$48=($E189+$Q189),
$K189*((1+$P189)^$Q189)*(VLOOKUP($C$39,$C$37:$BL$44,MATCH($E189,$C$37:$BL$37,0),FALSE)/VLOOKUP($L189,$C$37:$BL$44,MATCH($E189,$C$37:$BL$37,0),FALSE))*
IF($B$5="Foreign Currency",VLOOKUP($C$38,$C$37:$BL$44,MATCH(BO$48,$C$37:$BL$37,0),FALSE)/VLOOKUP($C$39,$C$37:$BL$44,MATCH(BO$48,$C$37:$BL$37,0),FALSE),1),
0),
    IF($T189="EPP with Grace Years for Principal",
        IF(AND(BO$48&gt;=$E189, BO$48&lt;($E189+$S189)),
$K189*$P189*(VLOOKUP($C$39,$C$37:$BL$44,MATCH($E189,$C$37:$BL$37,0),FALSE)/VLOOKUP($L189,$C$37:$BL$44,MATCH($E189,$C$37:$BL$37,0),FALSE))*
IF($B$5="Foreign Currency",VLOOKUP($C$38,$C$37:$BL$44,MATCH(BO$48,$C$37:$BL$37,0),FALSE)/VLOOKUP($C$39,$C$37:$BL$44,MATCH(BO$48,$C$37:$BL$37,0),FALSE),1),
        IF(AND(BO$48&gt;=($E189+$S189), BO$48&lt;=($E189+$Q189)),
-PMT($P189,($Q189-$S189+1),($K189*(VLOOKUP($C$39,$C$37:$BL$44,MATCH($E189,$C$37:$BL$37,0),FALSE)/VLOOKUP($L189,$C$37:$BL$44,MATCH($E189,$C$37:$BL$37,0),FALSE))*
IF($B$5="Foreign Currency",VLOOKUP($C$38,$C$37:$BL$44,MATCH(BO$48,$C$37:$BL$37,0),FALSE)/VLOOKUP($C$39,$C$37:$BL$44,MATCH(BO$48,$C$37:$BL$37,0),FALSE),1)),0),
0)),
    IF($T189="Equal Principal Payments (EPP)",
        IF(AND(BO$48&gt;=$E189, BO$48&lt;=($E189+$Q189)),
-PMT($P189,($Q189-$S189+1),($K189*(VLOOKUP($C$39,$C$37:$BL$44,MATCH($E189,$C$37:$BL$37,0),FALSE)/VLOOKUP($L189,$C$37:$BL$44,MATCH($E189,$C$37:$BL$37,0),FALSE))*
IF($B$5="Foreign Currency",VLOOKUP($C$38,$C$37:$BL$44,MATCH(BO$48,$C$37:$BL$37,0),FALSE)/VLOOKUP($C$39,$C$37:$BL$44,MATCH(BO$48,$C$37:$BL$37,0),FALSE),1)),0), 0),
    IF($T189="EPP with Grace Years for Principal and on Interest",
        IF(AND(BO$48&gt;=($E189+$S189), BO$48&lt;=($E189+$Q189)),
-PMT($P189,($Q189-$S189+1),($K189*(VLOOKUP($C$39,$C$37:$BL$44,MATCH($E189,$C$37:$BL$37,0),FALSE)/VLOOKUP($L189,$C$37:$BL$44,MATCH($E189,$C$37:$BL$37,0),FALSE))*
IF($B$5="Foreign Currency",VLOOKUP($C$38,$C$37:$BL$44,MATCH(BO$48,$C$37:$BL$37,0),FALSE)/VLOOKUP($C$39,$C$37:$BL$44,MATCH(BO$48,$C$37:$BL$37,0),FALSE),1))*((1+$P189)^$S189),0), 0),
    0)))))),"")</f>
        <v>0</v>
      </c>
      <c r="BP189" s="171">
        <f t="shared" si="304"/>
        <v>0</v>
      </c>
      <c r="BQ189" s="171">
        <f t="shared" si="304"/>
        <v>0</v>
      </c>
      <c r="BR189" s="171">
        <f t="shared" si="304"/>
        <v>0</v>
      </c>
      <c r="BS189" s="171">
        <f t="shared" si="304"/>
        <v>0</v>
      </c>
      <c r="BT189" s="171">
        <f t="shared" si="304"/>
        <v>0</v>
      </c>
      <c r="BU189" s="171">
        <f t="shared" si="304"/>
        <v>0</v>
      </c>
      <c r="BV189" s="171">
        <f t="shared" si="304"/>
        <v>0</v>
      </c>
      <c r="BW189" s="171">
        <f t="shared" si="304"/>
        <v>0</v>
      </c>
      <c r="BX189" s="171">
        <f t="shared" si="304"/>
        <v>0</v>
      </c>
      <c r="BY189" s="171">
        <f t="shared" ref="BY189:CI198" si="305">IFERROR(
    IF($T189="Equity",
        IF(AND(BY$48&gt;=$E189, BY$48&lt;=($E189+$Q189)),
$K189*$P189*(VLOOKUP($C$39,$C$37:$BL$44,MATCH($E189,$C$37:$BL$37,0),FALSE)/VLOOKUP($L189,$C$37:$BL$44,MATCH($E189,$C$37:$BL$37,0),FALSE))*
IF($B$5="Foreign Currency",VLOOKUP($C$38,$C$37:$BL$44,MATCH(BY$48,$C$37:$BL$37,0),FALSE)/VLOOKUP($C$39,$C$37:$BL$44,MATCH(BY$48,$C$37:$BL$37,0),FALSE),1),
0),
    IF($T189="Lump Sum Principal",
        IF(AND(BY$48&gt;=$E189, BY$48&lt;($E189+$Q189)),
$K189*$P189*(VLOOKUP($C$39,$C$37:$BL$44,MATCH($E189,$C$37:$BL$37,0),FALSE)/VLOOKUP($L189,$C$37:$BL$44,MATCH($E189,$C$37:$BL$37,0),FALSE))*
IF($B$5="Foreign Currency",VLOOKUP($C$38,$C$37:$BL$44,MATCH(BY$48,$C$37:$BL$37,0),FALSE)/VLOOKUP($C$39,$C$37:$BL$44,MATCH(BY$48,$C$37:$BL$37,0),FALSE),1),
        IF(BY$48=($E189+$Q189),
$K189*(1+$P189)*(VLOOKUP($C$39,$C$37:$BL$44,MATCH($E189,$C$37:$BL$37,0),FALSE)/VLOOKUP($L189,$C$37:$BL$44,MATCH($E189,$C$37:$BL$37,0),FALSE))*
IF($B$5="Foreign Currency",VLOOKUP($C$38,$C$37:$BL$44,MATCH(BY$48,$C$37:$BL$37,0),FALSE)/VLOOKUP($C$39,$C$37:$BL$44,MATCH(BY$48,$C$37:$BL$37,0),FALSE),1),
0)),
    IF($T189="Lump Sum Principal and Interest",
        IF(BY$48=($E189+$Q189),
$K189*((1+$P189)^$Q189)*(VLOOKUP($C$39,$C$37:$BL$44,MATCH($E189,$C$37:$BL$37,0),FALSE)/VLOOKUP($L189,$C$37:$BL$44,MATCH($E189,$C$37:$BL$37,0),FALSE))*
IF($B$5="Foreign Currency",VLOOKUP($C$38,$C$37:$BL$44,MATCH(BY$48,$C$37:$BL$37,0),FALSE)/VLOOKUP($C$39,$C$37:$BL$44,MATCH(BY$48,$C$37:$BL$37,0),FALSE),1),
0),
    IF($T189="EPP with Grace Years for Principal",
        IF(AND(BY$48&gt;=$E189, BY$48&lt;($E189+$S189)),
$K189*$P189*(VLOOKUP($C$39,$C$37:$BL$44,MATCH($E189,$C$37:$BL$37,0),FALSE)/VLOOKUP($L189,$C$37:$BL$44,MATCH($E189,$C$37:$BL$37,0),FALSE))*
IF($B$5="Foreign Currency",VLOOKUP($C$38,$C$37:$BL$44,MATCH(BY$48,$C$37:$BL$37,0),FALSE)/VLOOKUP($C$39,$C$37:$BL$44,MATCH(BY$48,$C$37:$BL$37,0),FALSE),1),
        IF(AND(BY$48&gt;=($E189+$S189), BY$48&lt;=($E189+$Q189)),
-PMT($P189,($Q189-$S189+1),($K189*(VLOOKUP($C$39,$C$37:$BL$44,MATCH($E189,$C$37:$BL$37,0),FALSE)/VLOOKUP($L189,$C$37:$BL$44,MATCH($E189,$C$37:$BL$37,0),FALSE))*
IF($B$5="Foreign Currency",VLOOKUP($C$38,$C$37:$BL$44,MATCH(BY$48,$C$37:$BL$37,0),FALSE)/VLOOKUP($C$39,$C$37:$BL$44,MATCH(BY$48,$C$37:$BL$37,0),FALSE),1)),0),
0)),
    IF($T189="Equal Principal Payments (EPP)",
        IF(AND(BY$48&gt;=$E189, BY$48&lt;=($E189+$Q189)),
-PMT($P189,($Q189-$S189+1),($K189*(VLOOKUP($C$39,$C$37:$BL$44,MATCH($E189,$C$37:$BL$37,0),FALSE)/VLOOKUP($L189,$C$37:$BL$44,MATCH($E189,$C$37:$BL$37,0),FALSE))*
IF($B$5="Foreign Currency",VLOOKUP($C$38,$C$37:$BL$44,MATCH(BY$48,$C$37:$BL$37,0),FALSE)/VLOOKUP($C$39,$C$37:$BL$44,MATCH(BY$48,$C$37:$BL$37,0),FALSE),1)),0), 0),
    IF($T189="EPP with Grace Years for Principal and on Interest",
        IF(AND(BY$48&gt;=($E189+$S189), BY$48&lt;=($E189+$Q189)),
-PMT($P189,($Q189-$S189+1),($K189*(VLOOKUP($C$39,$C$37:$BL$44,MATCH($E189,$C$37:$BL$37,0),FALSE)/VLOOKUP($L189,$C$37:$BL$44,MATCH($E189,$C$37:$BL$37,0),FALSE))*
IF($B$5="Foreign Currency",VLOOKUP($C$38,$C$37:$BL$44,MATCH(BY$48,$C$37:$BL$37,0),FALSE)/VLOOKUP($C$39,$C$37:$BL$44,MATCH(BY$48,$C$37:$BL$37,0),FALSE),1))*((1+$P189)^$S189),0), 0),
    0)))))),"")</f>
        <v>0</v>
      </c>
      <c r="BZ189" s="171">
        <f t="shared" si="305"/>
        <v>0</v>
      </c>
      <c r="CA189" s="171">
        <f t="shared" si="305"/>
        <v>0</v>
      </c>
      <c r="CB189" s="171">
        <f t="shared" si="305"/>
        <v>0</v>
      </c>
      <c r="CC189" s="171">
        <f t="shared" si="305"/>
        <v>0</v>
      </c>
      <c r="CD189" s="171">
        <f t="shared" si="305"/>
        <v>0</v>
      </c>
      <c r="CE189" s="171">
        <f t="shared" si="305"/>
        <v>0</v>
      </c>
      <c r="CF189" s="171">
        <f t="shared" si="305"/>
        <v>0</v>
      </c>
      <c r="CG189" s="171">
        <f t="shared" si="305"/>
        <v>0</v>
      </c>
      <c r="CH189" s="171">
        <f t="shared" si="305"/>
        <v>0</v>
      </c>
      <c r="CI189" s="171">
        <f t="shared" si="305"/>
        <v>0</v>
      </c>
      <c r="CJ189" s="243"/>
      <c r="CK189" s="171">
        <f t="shared" si="233"/>
        <v>0</v>
      </c>
      <c r="CL189" s="171">
        <f t="shared" si="234"/>
        <v>0</v>
      </c>
      <c r="CM189" s="171">
        <f t="shared" si="235"/>
        <v>0</v>
      </c>
      <c r="CN189" s="171">
        <f t="shared" si="236"/>
        <v>0</v>
      </c>
      <c r="CO189" s="171">
        <f t="shared" si="237"/>
        <v>0</v>
      </c>
      <c r="CP189" s="171">
        <f t="shared" si="238"/>
        <v>0</v>
      </c>
      <c r="CQ189" s="171">
        <f t="shared" si="239"/>
        <v>0.80702637540238797</v>
      </c>
      <c r="CR189" s="171">
        <f t="shared" si="240"/>
        <v>0.80702637540238797</v>
      </c>
      <c r="CS189" s="171">
        <f t="shared" si="241"/>
        <v>0.80702637540238797</v>
      </c>
      <c r="CT189" s="171">
        <f t="shared" si="242"/>
        <v>0.80702637540238797</v>
      </c>
      <c r="CU189" s="171">
        <f t="shared" si="243"/>
        <v>0.80702637540238797</v>
      </c>
      <c r="CV189" s="171">
        <f t="shared" si="244"/>
        <v>0.80702637540238797</v>
      </c>
      <c r="CW189" s="171">
        <f t="shared" si="245"/>
        <v>0.80702637540238797</v>
      </c>
      <c r="CX189" s="171">
        <f t="shared" si="246"/>
        <v>0.80702637540238797</v>
      </c>
      <c r="CY189" s="171">
        <f t="shared" ca="1" si="247"/>
        <v>0.76616434593937899</v>
      </c>
      <c r="CZ189" s="171">
        <f t="shared" ca="1" si="248"/>
        <v>0.72737127667733414</v>
      </c>
      <c r="DA189" s="171">
        <f t="shared" ca="1" si="249"/>
        <v>16.805607589662728</v>
      </c>
      <c r="DB189" s="171">
        <f t="shared" ca="1" si="250"/>
        <v>15.954692113535732</v>
      </c>
      <c r="DC189" s="171">
        <f t="shared" ca="1" si="251"/>
        <v>15.146860896258016</v>
      </c>
      <c r="DD189" s="171">
        <f t="shared" ca="1" si="252"/>
        <v>14.37993245986535</v>
      </c>
      <c r="DE189" s="171">
        <f t="shared" ca="1" si="253"/>
        <v>13.651835780796938</v>
      </c>
      <c r="DF189" s="171">
        <f t="shared" ca="1" si="254"/>
        <v>12.96060469727635</v>
      </c>
      <c r="DG189" s="171">
        <f t="shared" ca="1" si="255"/>
        <v>12.30437259986261</v>
      </c>
      <c r="DH189" s="171">
        <f t="shared" ca="1" si="256"/>
        <v>11.681367390833678</v>
      </c>
      <c r="DI189" s="171">
        <f t="shared" ca="1" si="257"/>
        <v>11.089906698790642</v>
      </c>
      <c r="DJ189" s="171">
        <f t="shared" ca="1" si="258"/>
        <v>10.528393335560033</v>
      </c>
      <c r="DK189" s="171">
        <f t="shared" ca="1" si="259"/>
        <v>9.9953109831260178</v>
      </c>
      <c r="DL189" s="171">
        <f t="shared" ca="1" si="260"/>
        <v>9.4892200989454505</v>
      </c>
      <c r="DM189" s="171">
        <f t="shared" ca="1" si="261"/>
        <v>9.0087540285883918</v>
      </c>
      <c r="DN189" s="171">
        <f t="shared" ca="1" si="262"/>
        <v>8.552615315206646</v>
      </c>
      <c r="DO189" s="171">
        <f t="shared" ca="1" si="263"/>
        <v>8.1195721958643521</v>
      </c>
      <c r="DP189" s="171">
        <f t="shared" ca="1" si="264"/>
        <v>7.7084552752692721</v>
      </c>
      <c r="DQ189" s="171">
        <f t="shared" ca="1" si="265"/>
        <v>7.318154367922487</v>
      </c>
      <c r="DR189" s="171">
        <f t="shared" ca="1" si="266"/>
        <v>6.9476155001589683</v>
      </c>
      <c r="DS189" s="171">
        <f t="shared" ca="1" si="267"/>
        <v>6.5958380639833507</v>
      </c>
      <c r="DT189" s="171">
        <f t="shared" ca="1" si="268"/>
        <v>6.2618721150150289</v>
      </c>
      <c r="DU189" s="171">
        <f t="shared" ca="1" si="269"/>
        <v>5.9448158072459565</v>
      </c>
      <c r="DV189" s="171">
        <f t="shared" ca="1" si="270"/>
        <v>0</v>
      </c>
      <c r="DW189" s="171">
        <f t="shared" ca="1" si="271"/>
        <v>0</v>
      </c>
      <c r="DX189" s="171">
        <f t="shared" ca="1" si="272"/>
        <v>0</v>
      </c>
      <c r="DY189" s="171">
        <f t="shared" ca="1" si="273"/>
        <v>0</v>
      </c>
      <c r="DZ189" s="171">
        <f t="shared" ca="1" si="274"/>
        <v>0</v>
      </c>
      <c r="EA189" s="171">
        <f t="shared" ca="1" si="275"/>
        <v>0</v>
      </c>
      <c r="EB189" s="171">
        <f t="shared" ca="1" si="276"/>
        <v>0</v>
      </c>
      <c r="EC189" s="171">
        <f t="shared" ca="1" si="277"/>
        <v>0</v>
      </c>
      <c r="ED189" s="171">
        <f t="shared" ca="1" si="278"/>
        <v>0</v>
      </c>
      <c r="EE189" s="171">
        <f t="shared" ca="1" si="279"/>
        <v>0</v>
      </c>
      <c r="EF189" s="171">
        <f t="shared" ca="1" si="280"/>
        <v>0</v>
      </c>
      <c r="EG189" s="171">
        <f t="shared" ca="1" si="281"/>
        <v>0</v>
      </c>
      <c r="EH189" s="171">
        <f t="shared" ca="1" si="282"/>
        <v>0</v>
      </c>
      <c r="EI189" s="171">
        <f t="shared" ca="1" si="283"/>
        <v>0</v>
      </c>
      <c r="EJ189" s="171">
        <f t="shared" ca="1" si="284"/>
        <v>0</v>
      </c>
      <c r="EK189" s="171">
        <f t="shared" ca="1" si="285"/>
        <v>0</v>
      </c>
      <c r="EL189" s="171">
        <f t="shared" ca="1" si="286"/>
        <v>0</v>
      </c>
      <c r="EM189" s="171">
        <f t="shared" ca="1" si="287"/>
        <v>0</v>
      </c>
      <c r="EN189" s="171">
        <f t="shared" ca="1" si="288"/>
        <v>0</v>
      </c>
      <c r="EO189" s="171">
        <f t="shared" ca="1" si="289"/>
        <v>0</v>
      </c>
      <c r="EP189" s="171">
        <f t="shared" ca="1" si="290"/>
        <v>0</v>
      </c>
      <c r="EQ189" s="171">
        <f t="shared" ca="1" si="291"/>
        <v>0</v>
      </c>
      <c r="ER189" s="171">
        <f t="shared" ca="1" si="292"/>
        <v>0</v>
      </c>
      <c r="ES189" s="171">
        <f t="shared" ca="1" si="293"/>
        <v>0</v>
      </c>
    </row>
    <row r="190" spans="1:149">
      <c r="A190" s="139" t="s">
        <v>544</v>
      </c>
      <c r="B190" s="160" t="s">
        <v>545</v>
      </c>
      <c r="C190" s="160" t="s">
        <v>29</v>
      </c>
      <c r="D190" s="161" t="s">
        <v>394</v>
      </c>
      <c r="E190" s="160">
        <v>2023</v>
      </c>
      <c r="F190" s="194" t="s">
        <v>395</v>
      </c>
      <c r="G190" s="160" t="s">
        <v>402</v>
      </c>
      <c r="H190" s="194" t="s">
        <v>396</v>
      </c>
      <c r="I190" s="194" t="s">
        <v>178</v>
      </c>
      <c r="J190" s="194" t="s">
        <v>397</v>
      </c>
      <c r="K190" s="182">
        <v>46.6</v>
      </c>
      <c r="L190" s="163" t="s">
        <v>110</v>
      </c>
      <c r="M190" s="164">
        <f t="shared" si="223"/>
        <v>46.6</v>
      </c>
      <c r="N190" s="164">
        <f t="shared" si="224"/>
        <v>46.6</v>
      </c>
      <c r="O190" s="165">
        <f t="shared" si="225"/>
        <v>1</v>
      </c>
      <c r="P190" s="180">
        <v>2.3903633306096857E-2</v>
      </c>
      <c r="Q190" s="183">
        <v>32.668289591298226</v>
      </c>
      <c r="R190" s="168">
        <f t="shared" si="226"/>
        <v>31.668289591298226</v>
      </c>
      <c r="S190" s="183">
        <v>6.9579862261231415</v>
      </c>
      <c r="T190" s="170" t="s">
        <v>403</v>
      </c>
      <c r="U190" s="171">
        <f t="shared" si="227"/>
        <v>2.1333154353284387</v>
      </c>
      <c r="V190" s="171">
        <f t="shared" ca="1" si="228"/>
        <v>0.9466139560029222</v>
      </c>
      <c r="W190" s="171">
        <f t="shared" ca="1" si="229"/>
        <v>30.9242588458679</v>
      </c>
      <c r="X190" s="172">
        <f t="shared" si="230"/>
        <v>0.17920836052863021</v>
      </c>
      <c r="Y190" s="172">
        <f t="shared" si="231"/>
        <v>0.82079163947136979</v>
      </c>
      <c r="Z190" s="173">
        <f t="shared" si="232"/>
        <v>69.691766430895882</v>
      </c>
      <c r="AA190" s="171">
        <f t="shared" si="300"/>
        <v>0</v>
      </c>
      <c r="AB190" s="171">
        <f t="shared" si="300"/>
        <v>0</v>
      </c>
      <c r="AC190" s="171">
        <f t="shared" si="300"/>
        <v>0</v>
      </c>
      <c r="AD190" s="171">
        <f t="shared" si="300"/>
        <v>0</v>
      </c>
      <c r="AE190" s="171">
        <f t="shared" si="300"/>
        <v>0</v>
      </c>
      <c r="AF190" s="171">
        <f t="shared" si="300"/>
        <v>0</v>
      </c>
      <c r="AG190" s="171">
        <f t="shared" si="300"/>
        <v>0</v>
      </c>
      <c r="AH190" s="171">
        <f t="shared" si="300"/>
        <v>0</v>
      </c>
      <c r="AI190" s="171">
        <f t="shared" si="300"/>
        <v>0</v>
      </c>
      <c r="AJ190" s="171">
        <f t="shared" si="300"/>
        <v>0</v>
      </c>
      <c r="AK190" s="171">
        <f t="shared" si="301"/>
        <v>0</v>
      </c>
      <c r="AL190" s="171">
        <f t="shared" si="301"/>
        <v>0</v>
      </c>
      <c r="AM190" s="171">
        <f t="shared" si="301"/>
        <v>0</v>
      </c>
      <c r="AN190" s="171">
        <f t="shared" si="301"/>
        <v>1.1139093120641135</v>
      </c>
      <c r="AO190" s="171">
        <f t="shared" si="301"/>
        <v>1.1139093120641135</v>
      </c>
      <c r="AP190" s="171">
        <f t="shared" si="301"/>
        <v>1.1139093120641135</v>
      </c>
      <c r="AQ190" s="171">
        <f t="shared" si="301"/>
        <v>1.1139093120641135</v>
      </c>
      <c r="AR190" s="171">
        <f t="shared" si="301"/>
        <v>1.1139093120641135</v>
      </c>
      <c r="AS190" s="171">
        <f t="shared" si="301"/>
        <v>1.1139093120641135</v>
      </c>
      <c r="AT190" s="171">
        <f t="shared" si="301"/>
        <v>1.1139093120641135</v>
      </c>
      <c r="AU190" s="171">
        <f t="shared" si="302"/>
        <v>2.3805538940941169</v>
      </c>
      <c r="AV190" s="171">
        <f t="shared" si="302"/>
        <v>2.3805538940941169</v>
      </c>
      <c r="AW190" s="171">
        <f t="shared" si="302"/>
        <v>2.3805538940941169</v>
      </c>
      <c r="AX190" s="171">
        <f t="shared" si="302"/>
        <v>2.3805538940941169</v>
      </c>
      <c r="AY190" s="171">
        <f t="shared" si="302"/>
        <v>2.3805538940941169</v>
      </c>
      <c r="AZ190" s="171">
        <f t="shared" si="302"/>
        <v>2.3805538940941169</v>
      </c>
      <c r="BA190" s="171">
        <f t="shared" si="302"/>
        <v>2.3805538940941169</v>
      </c>
      <c r="BB190" s="171">
        <f t="shared" si="302"/>
        <v>2.3805538940941169</v>
      </c>
      <c r="BC190" s="171">
        <f t="shared" si="302"/>
        <v>2.3805538940941169</v>
      </c>
      <c r="BD190" s="171">
        <f t="shared" si="302"/>
        <v>2.3805538940941169</v>
      </c>
      <c r="BE190" s="171">
        <f t="shared" si="303"/>
        <v>2.3805538940941169</v>
      </c>
      <c r="BF190" s="171">
        <f t="shared" si="303"/>
        <v>2.3805538940941169</v>
      </c>
      <c r="BG190" s="171">
        <f t="shared" si="303"/>
        <v>2.3805538940941169</v>
      </c>
      <c r="BH190" s="171">
        <f t="shared" si="303"/>
        <v>2.3805538940941169</v>
      </c>
      <c r="BI190" s="171">
        <f t="shared" si="303"/>
        <v>2.3805538940941169</v>
      </c>
      <c r="BJ190" s="171">
        <f t="shared" si="303"/>
        <v>2.3805538940941169</v>
      </c>
      <c r="BK190" s="171">
        <f t="shared" si="303"/>
        <v>2.3805538940941169</v>
      </c>
      <c r="BL190" s="171">
        <f t="shared" si="303"/>
        <v>2.3805538940941169</v>
      </c>
      <c r="BM190" s="171">
        <f t="shared" si="303"/>
        <v>2.3805538940941169</v>
      </c>
      <c r="BN190" s="171">
        <f t="shared" si="303"/>
        <v>2.3805538940941169</v>
      </c>
      <c r="BO190" s="171">
        <f t="shared" si="304"/>
        <v>2.3805538940941169</v>
      </c>
      <c r="BP190" s="171">
        <f t="shared" si="304"/>
        <v>2.3805538940941169</v>
      </c>
      <c r="BQ190" s="171">
        <f t="shared" si="304"/>
        <v>2.3805538940941169</v>
      </c>
      <c r="BR190" s="171">
        <f t="shared" si="304"/>
        <v>2.3805538940941169</v>
      </c>
      <c r="BS190" s="171">
        <f t="shared" si="304"/>
        <v>2.3805538940941169</v>
      </c>
      <c r="BT190" s="171">
        <f t="shared" si="304"/>
        <v>2.3805538940941169</v>
      </c>
      <c r="BU190" s="171">
        <f t="shared" si="304"/>
        <v>0</v>
      </c>
      <c r="BV190" s="171">
        <f t="shared" si="304"/>
        <v>0</v>
      </c>
      <c r="BW190" s="171">
        <f t="shared" si="304"/>
        <v>0</v>
      </c>
      <c r="BX190" s="171">
        <f t="shared" si="304"/>
        <v>0</v>
      </c>
      <c r="BY190" s="171">
        <f t="shared" si="305"/>
        <v>0</v>
      </c>
      <c r="BZ190" s="171">
        <f t="shared" si="305"/>
        <v>0</v>
      </c>
      <c r="CA190" s="171">
        <f t="shared" si="305"/>
        <v>0</v>
      </c>
      <c r="CB190" s="171">
        <f t="shared" si="305"/>
        <v>0</v>
      </c>
      <c r="CC190" s="171">
        <f t="shared" si="305"/>
        <v>0</v>
      </c>
      <c r="CD190" s="171">
        <f t="shared" si="305"/>
        <v>0</v>
      </c>
      <c r="CE190" s="171">
        <f t="shared" si="305"/>
        <v>0</v>
      </c>
      <c r="CF190" s="171">
        <f t="shared" si="305"/>
        <v>0</v>
      </c>
      <c r="CG190" s="171">
        <f t="shared" si="305"/>
        <v>0</v>
      </c>
      <c r="CH190" s="171">
        <f t="shared" si="305"/>
        <v>0</v>
      </c>
      <c r="CI190" s="171">
        <f t="shared" si="305"/>
        <v>0</v>
      </c>
      <c r="CJ190" s="243"/>
      <c r="CK190" s="171">
        <f t="shared" si="233"/>
        <v>0</v>
      </c>
      <c r="CL190" s="171">
        <f t="shared" si="234"/>
        <v>0</v>
      </c>
      <c r="CM190" s="171">
        <f t="shared" si="235"/>
        <v>0</v>
      </c>
      <c r="CN190" s="171">
        <f t="shared" si="236"/>
        <v>0</v>
      </c>
      <c r="CO190" s="171">
        <f t="shared" si="237"/>
        <v>0</v>
      </c>
      <c r="CP190" s="171">
        <f t="shared" si="238"/>
        <v>0</v>
      </c>
      <c r="CQ190" s="171">
        <f t="shared" si="239"/>
        <v>0</v>
      </c>
      <c r="CR190" s="171">
        <f t="shared" si="240"/>
        <v>0</v>
      </c>
      <c r="CS190" s="171">
        <f t="shared" si="241"/>
        <v>0</v>
      </c>
      <c r="CT190" s="171">
        <f t="shared" si="242"/>
        <v>0</v>
      </c>
      <c r="CU190" s="171">
        <f t="shared" si="243"/>
        <v>0</v>
      </c>
      <c r="CV190" s="171">
        <f t="shared" si="244"/>
        <v>0</v>
      </c>
      <c r="CW190" s="171">
        <f t="shared" si="245"/>
        <v>0</v>
      </c>
      <c r="CX190" s="171">
        <f t="shared" si="246"/>
        <v>1.1139093120641135</v>
      </c>
      <c r="CY190" s="171">
        <f t="shared" ca="1" si="247"/>
        <v>1.0575089309662975</v>
      </c>
      <c r="CZ190" s="171">
        <f t="shared" ca="1" si="248"/>
        <v>1.0039642607899426</v>
      </c>
      <c r="DA190" s="171">
        <f t="shared" ca="1" si="249"/>
        <v>0.95313070880875506</v>
      </c>
      <c r="DB190" s="171">
        <f t="shared" ca="1" si="250"/>
        <v>0.90487100343540483</v>
      </c>
      <c r="DC190" s="171">
        <f t="shared" ca="1" si="251"/>
        <v>0.85905482353153972</v>
      </c>
      <c r="DD190" s="171">
        <f t="shared" ca="1" si="252"/>
        <v>0.81555844648688192</v>
      </c>
      <c r="DE190" s="171">
        <f t="shared" ca="1" si="253"/>
        <v>1.6546932017916545</v>
      </c>
      <c r="DF190" s="171">
        <f t="shared" ca="1" si="254"/>
        <v>1.5709114018100385</v>
      </c>
      <c r="DG190" s="171">
        <f t="shared" ca="1" si="255"/>
        <v>1.491371711483892</v>
      </c>
      <c r="DH190" s="171">
        <f t="shared" ca="1" si="256"/>
        <v>1.4158593407951798</v>
      </c>
      <c r="DI190" s="171">
        <f t="shared" ca="1" si="257"/>
        <v>1.3441703751523875</v>
      </c>
      <c r="DJ190" s="171">
        <f t="shared" ca="1" si="258"/>
        <v>1.2761112247368951</v>
      </c>
      <c r="DK190" s="171">
        <f t="shared" ca="1" si="259"/>
        <v>1.2114981017305051</v>
      </c>
      <c r="DL190" s="171">
        <f t="shared" ca="1" si="260"/>
        <v>1.1501565240124185</v>
      </c>
      <c r="DM190" s="171">
        <f t="shared" ca="1" si="261"/>
        <v>1.091920843985438</v>
      </c>
      <c r="DN190" s="171">
        <f t="shared" ca="1" si="262"/>
        <v>1.0366338012590341</v>
      </c>
      <c r="DO190" s="171">
        <f t="shared" ca="1" si="263"/>
        <v>0.98414609798133501</v>
      </c>
      <c r="DP190" s="171">
        <f t="shared" ca="1" si="264"/>
        <v>0.93431599567325652</v>
      </c>
      <c r="DQ190" s="171">
        <f t="shared" ca="1" si="265"/>
        <v>0.88700893247606505</v>
      </c>
      <c r="DR190" s="171">
        <f t="shared" ca="1" si="266"/>
        <v>0.84209715977877597</v>
      </c>
      <c r="DS190" s="171">
        <f t="shared" ca="1" si="267"/>
        <v>0.79945939724413806</v>
      </c>
      <c r="DT190" s="171">
        <f t="shared" ca="1" si="268"/>
        <v>0.75898050530162742</v>
      </c>
      <c r="DU190" s="171">
        <f t="shared" ca="1" si="269"/>
        <v>0.7205511742230476</v>
      </c>
      <c r="DV190" s="171">
        <f t="shared" ca="1" si="270"/>
        <v>0.68406762894111395</v>
      </c>
      <c r="DW190" s="171">
        <f t="shared" ca="1" si="271"/>
        <v>0.64943134881390596</v>
      </c>
      <c r="DX190" s="171">
        <f t="shared" ca="1" si="272"/>
        <v>0.6165488015784405</v>
      </c>
      <c r="DY190" s="171">
        <f t="shared" ca="1" si="273"/>
        <v>0.58533119077492801</v>
      </c>
      <c r="DZ190" s="171">
        <f t="shared" ca="1" si="274"/>
        <v>0.55569421595965296</v>
      </c>
      <c r="EA190" s="171">
        <f t="shared" ca="1" si="275"/>
        <v>0.52755784505895564</v>
      </c>
      <c r="EB190" s="171">
        <f t="shared" ca="1" si="276"/>
        <v>0.50084609824957516</v>
      </c>
      <c r="EC190" s="171">
        <f t="shared" ca="1" si="277"/>
        <v>0.47548684278174375</v>
      </c>
      <c r="ED190" s="171">
        <f t="shared" ca="1" si="278"/>
        <v>0.45141159819096666</v>
      </c>
      <c r="EE190" s="171">
        <f t="shared" ca="1" si="279"/>
        <v>0</v>
      </c>
      <c r="EF190" s="171">
        <f t="shared" ca="1" si="280"/>
        <v>0</v>
      </c>
      <c r="EG190" s="171">
        <f t="shared" ca="1" si="281"/>
        <v>0</v>
      </c>
      <c r="EH190" s="171">
        <f t="shared" ca="1" si="282"/>
        <v>0</v>
      </c>
      <c r="EI190" s="171">
        <f t="shared" ca="1" si="283"/>
        <v>0</v>
      </c>
      <c r="EJ190" s="171">
        <f t="shared" ca="1" si="284"/>
        <v>0</v>
      </c>
      <c r="EK190" s="171">
        <f t="shared" ca="1" si="285"/>
        <v>0</v>
      </c>
      <c r="EL190" s="171">
        <f t="shared" ca="1" si="286"/>
        <v>0</v>
      </c>
      <c r="EM190" s="171">
        <f t="shared" ca="1" si="287"/>
        <v>0</v>
      </c>
      <c r="EN190" s="171">
        <f t="shared" ca="1" si="288"/>
        <v>0</v>
      </c>
      <c r="EO190" s="171">
        <f t="shared" ca="1" si="289"/>
        <v>0</v>
      </c>
      <c r="EP190" s="171">
        <f t="shared" ca="1" si="290"/>
        <v>0</v>
      </c>
      <c r="EQ190" s="171">
        <f t="shared" ca="1" si="291"/>
        <v>0</v>
      </c>
      <c r="ER190" s="171">
        <f t="shared" ca="1" si="292"/>
        <v>0</v>
      </c>
      <c r="ES190" s="171">
        <f t="shared" ca="1" si="293"/>
        <v>0</v>
      </c>
    </row>
    <row r="191" spans="1:149">
      <c r="A191" s="139" t="s">
        <v>546</v>
      </c>
      <c r="B191" s="160" t="s">
        <v>531</v>
      </c>
      <c r="C191" s="161" t="s">
        <v>29</v>
      </c>
      <c r="D191" s="161" t="s">
        <v>394</v>
      </c>
      <c r="E191" s="161">
        <v>2018</v>
      </c>
      <c r="F191" s="189" t="s">
        <v>395</v>
      </c>
      <c r="G191" s="189" t="s">
        <v>402</v>
      </c>
      <c r="H191" s="189" t="s">
        <v>396</v>
      </c>
      <c r="I191" s="189" t="s">
        <v>176</v>
      </c>
      <c r="J191" s="189" t="s">
        <v>397</v>
      </c>
      <c r="K191" s="195">
        <v>91.26</v>
      </c>
      <c r="L191" s="163" t="s">
        <v>110</v>
      </c>
      <c r="M191" s="164">
        <f t="shared" si="223"/>
        <v>91.26</v>
      </c>
      <c r="N191" s="164">
        <f t="shared" si="224"/>
        <v>91.26</v>
      </c>
      <c r="O191" s="165">
        <f t="shared" si="225"/>
        <v>1</v>
      </c>
      <c r="P191" s="200">
        <v>0.01</v>
      </c>
      <c r="Q191" s="191">
        <v>30</v>
      </c>
      <c r="R191" s="168">
        <f t="shared" si="226"/>
        <v>24</v>
      </c>
      <c r="S191" s="178">
        <v>10</v>
      </c>
      <c r="T191" s="170" t="s">
        <v>403</v>
      </c>
      <c r="U191" s="171">
        <f t="shared" si="227"/>
        <v>3.6919105124889766</v>
      </c>
      <c r="V191" s="171">
        <f t="shared" ca="1" si="228"/>
        <v>1.9215033113588069</v>
      </c>
      <c r="W191" s="171">
        <f t="shared" ca="1" si="229"/>
        <v>57.645099340764204</v>
      </c>
      <c r="X191" s="172">
        <f t="shared" si="230"/>
        <v>8.8739101846921575E-2</v>
      </c>
      <c r="Y191" s="172">
        <f t="shared" si="231"/>
        <v>0.91126089815307842</v>
      </c>
      <c r="Z191" s="173">
        <f t="shared" si="232"/>
        <v>110.7573153746693</v>
      </c>
      <c r="AA191" s="171">
        <f t="shared" si="300"/>
        <v>0</v>
      </c>
      <c r="AB191" s="171">
        <f t="shared" si="300"/>
        <v>0</v>
      </c>
      <c r="AC191" s="171">
        <f t="shared" si="300"/>
        <v>0</v>
      </c>
      <c r="AD191" s="171">
        <f t="shared" si="300"/>
        <v>0</v>
      </c>
      <c r="AE191" s="171">
        <f t="shared" si="300"/>
        <v>0</v>
      </c>
      <c r="AF191" s="171">
        <f t="shared" si="300"/>
        <v>0</v>
      </c>
      <c r="AG191" s="171">
        <f t="shared" si="300"/>
        <v>0</v>
      </c>
      <c r="AH191" s="171">
        <f t="shared" si="300"/>
        <v>0</v>
      </c>
      <c r="AI191" s="171">
        <f t="shared" si="300"/>
        <v>0.91260000000000008</v>
      </c>
      <c r="AJ191" s="171">
        <f t="shared" si="300"/>
        <v>0.91260000000000008</v>
      </c>
      <c r="AK191" s="171">
        <f t="shared" si="301"/>
        <v>0.91260000000000008</v>
      </c>
      <c r="AL191" s="171">
        <f t="shared" si="301"/>
        <v>0.91260000000000008</v>
      </c>
      <c r="AM191" s="171">
        <f t="shared" si="301"/>
        <v>0.91260000000000008</v>
      </c>
      <c r="AN191" s="171">
        <f t="shared" si="301"/>
        <v>0.91260000000000008</v>
      </c>
      <c r="AO191" s="171">
        <f t="shared" si="301"/>
        <v>0.91260000000000008</v>
      </c>
      <c r="AP191" s="171">
        <f t="shared" si="301"/>
        <v>0.91260000000000008</v>
      </c>
      <c r="AQ191" s="171">
        <f t="shared" si="301"/>
        <v>0.91260000000000008</v>
      </c>
      <c r="AR191" s="171">
        <f t="shared" si="301"/>
        <v>0.91260000000000008</v>
      </c>
      <c r="AS191" s="171">
        <f t="shared" si="301"/>
        <v>4.8395864464128238</v>
      </c>
      <c r="AT191" s="171">
        <f t="shared" si="301"/>
        <v>4.8395864464128238</v>
      </c>
      <c r="AU191" s="171">
        <f t="shared" si="302"/>
        <v>4.8395864464128238</v>
      </c>
      <c r="AV191" s="171">
        <f t="shared" si="302"/>
        <v>4.8395864464128238</v>
      </c>
      <c r="AW191" s="171">
        <f t="shared" si="302"/>
        <v>4.8395864464128238</v>
      </c>
      <c r="AX191" s="171">
        <f t="shared" si="302"/>
        <v>4.8395864464128238</v>
      </c>
      <c r="AY191" s="171">
        <f t="shared" si="302"/>
        <v>4.8395864464128238</v>
      </c>
      <c r="AZ191" s="171">
        <f t="shared" si="302"/>
        <v>4.8395864464128238</v>
      </c>
      <c r="BA191" s="171">
        <f t="shared" si="302"/>
        <v>4.8395864464128238</v>
      </c>
      <c r="BB191" s="171">
        <f t="shared" si="302"/>
        <v>4.8395864464128238</v>
      </c>
      <c r="BC191" s="171">
        <f t="shared" si="302"/>
        <v>4.8395864464128238</v>
      </c>
      <c r="BD191" s="171">
        <f t="shared" si="302"/>
        <v>4.8395864464128238</v>
      </c>
      <c r="BE191" s="171">
        <f t="shared" si="303"/>
        <v>4.8395864464128238</v>
      </c>
      <c r="BF191" s="171">
        <f t="shared" si="303"/>
        <v>4.8395864464128238</v>
      </c>
      <c r="BG191" s="171">
        <f t="shared" si="303"/>
        <v>4.8395864464128238</v>
      </c>
      <c r="BH191" s="171">
        <f t="shared" si="303"/>
        <v>4.8395864464128238</v>
      </c>
      <c r="BI191" s="171">
        <f t="shared" si="303"/>
        <v>4.8395864464128238</v>
      </c>
      <c r="BJ191" s="171">
        <f t="shared" si="303"/>
        <v>4.8395864464128238</v>
      </c>
      <c r="BK191" s="171">
        <f t="shared" si="303"/>
        <v>4.8395864464128238</v>
      </c>
      <c r="BL191" s="171">
        <f t="shared" si="303"/>
        <v>4.8395864464128238</v>
      </c>
      <c r="BM191" s="171">
        <f t="shared" si="303"/>
        <v>4.8395864464128238</v>
      </c>
      <c r="BN191" s="171">
        <f t="shared" si="303"/>
        <v>0</v>
      </c>
      <c r="BO191" s="171">
        <f t="shared" si="304"/>
        <v>0</v>
      </c>
      <c r="BP191" s="171">
        <f t="shared" si="304"/>
        <v>0</v>
      </c>
      <c r="BQ191" s="171">
        <f t="shared" si="304"/>
        <v>0</v>
      </c>
      <c r="BR191" s="171">
        <f t="shared" si="304"/>
        <v>0</v>
      </c>
      <c r="BS191" s="171">
        <f t="shared" si="304"/>
        <v>0</v>
      </c>
      <c r="BT191" s="171">
        <f t="shared" si="304"/>
        <v>0</v>
      </c>
      <c r="BU191" s="171">
        <f t="shared" si="304"/>
        <v>0</v>
      </c>
      <c r="BV191" s="171">
        <f t="shared" si="304"/>
        <v>0</v>
      </c>
      <c r="BW191" s="171">
        <f t="shared" si="304"/>
        <v>0</v>
      </c>
      <c r="BX191" s="171">
        <f t="shared" si="304"/>
        <v>0</v>
      </c>
      <c r="BY191" s="171">
        <f t="shared" si="305"/>
        <v>0</v>
      </c>
      <c r="BZ191" s="171">
        <f t="shared" si="305"/>
        <v>0</v>
      </c>
      <c r="CA191" s="171">
        <f t="shared" si="305"/>
        <v>0</v>
      </c>
      <c r="CB191" s="171">
        <f t="shared" si="305"/>
        <v>0</v>
      </c>
      <c r="CC191" s="171">
        <f t="shared" si="305"/>
        <v>0</v>
      </c>
      <c r="CD191" s="171">
        <f t="shared" si="305"/>
        <v>0</v>
      </c>
      <c r="CE191" s="171">
        <f t="shared" si="305"/>
        <v>0</v>
      </c>
      <c r="CF191" s="171">
        <f t="shared" si="305"/>
        <v>0</v>
      </c>
      <c r="CG191" s="171">
        <f t="shared" si="305"/>
        <v>0</v>
      </c>
      <c r="CH191" s="171">
        <f t="shared" si="305"/>
        <v>0</v>
      </c>
      <c r="CI191" s="171">
        <f t="shared" si="305"/>
        <v>0</v>
      </c>
      <c r="CJ191" s="243"/>
      <c r="CK191" s="171">
        <f t="shared" si="233"/>
        <v>0</v>
      </c>
      <c r="CL191" s="171">
        <f t="shared" si="234"/>
        <v>0</v>
      </c>
      <c r="CM191" s="171">
        <f t="shared" si="235"/>
        <v>0</v>
      </c>
      <c r="CN191" s="171">
        <f t="shared" si="236"/>
        <v>0</v>
      </c>
      <c r="CO191" s="171">
        <f t="shared" si="237"/>
        <v>0</v>
      </c>
      <c r="CP191" s="171">
        <f t="shared" si="238"/>
        <v>0</v>
      </c>
      <c r="CQ191" s="171">
        <f t="shared" si="239"/>
        <v>0</v>
      </c>
      <c r="CR191" s="171">
        <f t="shared" si="240"/>
        <v>0</v>
      </c>
      <c r="CS191" s="171">
        <f t="shared" si="241"/>
        <v>0.91260000000000008</v>
      </c>
      <c r="CT191" s="171">
        <f t="shared" si="242"/>
        <v>0.91260000000000008</v>
      </c>
      <c r="CU191" s="171">
        <f t="shared" si="243"/>
        <v>0.91260000000000008</v>
      </c>
      <c r="CV191" s="171">
        <f t="shared" si="244"/>
        <v>0.91260000000000008</v>
      </c>
      <c r="CW191" s="171">
        <f t="shared" si="245"/>
        <v>0.91260000000000008</v>
      </c>
      <c r="CX191" s="171">
        <f t="shared" si="246"/>
        <v>0.91260000000000008</v>
      </c>
      <c r="CY191" s="171">
        <f t="shared" ca="1" si="247"/>
        <v>0.86639247912517292</v>
      </c>
      <c r="CZ191" s="171">
        <f t="shared" ca="1" si="248"/>
        <v>0.82252457581050076</v>
      </c>
      <c r="DA191" s="171">
        <f t="shared" ca="1" si="249"/>
        <v>0.78087782859723964</v>
      </c>
      <c r="DB191" s="171">
        <f t="shared" ca="1" si="250"/>
        <v>0.7413397740655755</v>
      </c>
      <c r="DC191" s="171">
        <f t="shared" ca="1" si="251"/>
        <v>3.7323236601594254</v>
      </c>
      <c r="DD191" s="171">
        <f t="shared" ca="1" si="252"/>
        <v>3.5433455498828219</v>
      </c>
      <c r="DE191" s="171">
        <f t="shared" ca="1" si="253"/>
        <v>3.3639359361824752</v>
      </c>
      <c r="DF191" s="171">
        <f t="shared" ca="1" si="254"/>
        <v>3.1936103389956099</v>
      </c>
      <c r="DG191" s="171">
        <f t="shared" ca="1" si="255"/>
        <v>3.0319088088562243</v>
      </c>
      <c r="DH191" s="171">
        <f t="shared" ca="1" si="256"/>
        <v>2.8783946848415445</v>
      </c>
      <c r="DI191" s="171">
        <f t="shared" ca="1" si="257"/>
        <v>2.7326534154071731</v>
      </c>
      <c r="DJ191" s="171">
        <f t="shared" ca="1" si="258"/>
        <v>2.5942914389266836</v>
      </c>
      <c r="DK191" s="171">
        <f t="shared" ca="1" si="259"/>
        <v>2.4629351209126682</v>
      </c>
      <c r="DL191" s="171">
        <f t="shared" ca="1" si="260"/>
        <v>2.3382297450492917</v>
      </c>
      <c r="DM191" s="171">
        <f t="shared" ca="1" si="261"/>
        <v>2.2198385553117213</v>
      </c>
      <c r="DN191" s="171">
        <f t="shared" ca="1" si="262"/>
        <v>2.1074418465857594</v>
      </c>
      <c r="DO191" s="171">
        <f t="shared" ca="1" si="263"/>
        <v>2.0007361013319835</v>
      </c>
      <c r="DP191" s="171">
        <f t="shared" ca="1" si="264"/>
        <v>1.8994331699630178</v>
      </c>
      <c r="DQ191" s="171">
        <f t="shared" ca="1" si="265"/>
        <v>1.8032594927206278</v>
      </c>
      <c r="DR191" s="171">
        <f t="shared" ca="1" si="266"/>
        <v>1.7119553609513762</v>
      </c>
      <c r="DS191" s="171">
        <f t="shared" ca="1" si="267"/>
        <v>1.6252742157859883</v>
      </c>
      <c r="DT191" s="171">
        <f t="shared" ca="1" si="268"/>
        <v>1.5429819823285595</v>
      </c>
      <c r="DU191" s="171">
        <f t="shared" ca="1" si="269"/>
        <v>1.4648564375576529</v>
      </c>
      <c r="DV191" s="171">
        <f t="shared" ca="1" si="270"/>
        <v>1.3906866102323516</v>
      </c>
      <c r="DW191" s="171">
        <f t="shared" ca="1" si="271"/>
        <v>1.3202722111827636</v>
      </c>
      <c r="DX191" s="171">
        <f t="shared" ca="1" si="272"/>
        <v>0</v>
      </c>
      <c r="DY191" s="171">
        <f t="shared" ca="1" si="273"/>
        <v>0</v>
      </c>
      <c r="DZ191" s="171">
        <f t="shared" ca="1" si="274"/>
        <v>0</v>
      </c>
      <c r="EA191" s="171">
        <f t="shared" ca="1" si="275"/>
        <v>0</v>
      </c>
      <c r="EB191" s="171">
        <f t="shared" ca="1" si="276"/>
        <v>0</v>
      </c>
      <c r="EC191" s="171">
        <f t="shared" ca="1" si="277"/>
        <v>0</v>
      </c>
      <c r="ED191" s="171">
        <f t="shared" ca="1" si="278"/>
        <v>0</v>
      </c>
      <c r="EE191" s="171">
        <f t="shared" ca="1" si="279"/>
        <v>0</v>
      </c>
      <c r="EF191" s="171">
        <f t="shared" ca="1" si="280"/>
        <v>0</v>
      </c>
      <c r="EG191" s="171">
        <f t="shared" ca="1" si="281"/>
        <v>0</v>
      </c>
      <c r="EH191" s="171">
        <f t="shared" ca="1" si="282"/>
        <v>0</v>
      </c>
      <c r="EI191" s="171">
        <f t="shared" ca="1" si="283"/>
        <v>0</v>
      </c>
      <c r="EJ191" s="171">
        <f t="shared" ca="1" si="284"/>
        <v>0</v>
      </c>
      <c r="EK191" s="171">
        <f t="shared" ca="1" si="285"/>
        <v>0</v>
      </c>
      <c r="EL191" s="171">
        <f t="shared" ca="1" si="286"/>
        <v>0</v>
      </c>
      <c r="EM191" s="171">
        <f t="shared" ca="1" si="287"/>
        <v>0</v>
      </c>
      <c r="EN191" s="171">
        <f t="shared" ca="1" si="288"/>
        <v>0</v>
      </c>
      <c r="EO191" s="171">
        <f t="shared" ca="1" si="289"/>
        <v>0</v>
      </c>
      <c r="EP191" s="171">
        <f t="shared" ca="1" si="290"/>
        <v>0</v>
      </c>
      <c r="EQ191" s="171">
        <f t="shared" ca="1" si="291"/>
        <v>0</v>
      </c>
      <c r="ER191" s="171">
        <f t="shared" ca="1" si="292"/>
        <v>0</v>
      </c>
      <c r="ES191" s="171">
        <f t="shared" ca="1" si="293"/>
        <v>0</v>
      </c>
    </row>
    <row r="192" spans="1:149">
      <c r="A192" s="139" t="s">
        <v>547</v>
      </c>
      <c r="B192" s="160" t="s">
        <v>531</v>
      </c>
      <c r="C192" s="160" t="s">
        <v>105</v>
      </c>
      <c r="D192" s="160" t="s">
        <v>428</v>
      </c>
      <c r="E192" s="160">
        <v>2010</v>
      </c>
      <c r="F192" s="194" t="s">
        <v>395</v>
      </c>
      <c r="G192" s="194" t="s">
        <v>402</v>
      </c>
      <c r="H192" s="194" t="s">
        <v>396</v>
      </c>
      <c r="I192" s="194" t="s">
        <v>176</v>
      </c>
      <c r="J192" s="194" t="s">
        <v>397</v>
      </c>
      <c r="K192" s="187">
        <v>141.38999999999999</v>
      </c>
      <c r="L192" s="163" t="s">
        <v>110</v>
      </c>
      <c r="M192" s="164">
        <f t="shared" si="223"/>
        <v>141.38999999999999</v>
      </c>
      <c r="N192" s="164">
        <f t="shared" si="224"/>
        <v>141.38999999999999</v>
      </c>
      <c r="O192" s="165">
        <f t="shared" si="225"/>
        <v>1</v>
      </c>
      <c r="P192" s="190">
        <v>2.5000000000000001E-3</v>
      </c>
      <c r="Q192" s="191">
        <v>40</v>
      </c>
      <c r="R192" s="168">
        <f t="shared" si="226"/>
        <v>26</v>
      </c>
      <c r="S192" s="178">
        <v>10</v>
      </c>
      <c r="T192" s="170" t="s">
        <v>403</v>
      </c>
      <c r="U192" s="171">
        <f t="shared" si="227"/>
        <v>3.7662737430380688</v>
      </c>
      <c r="V192" s="171">
        <f t="shared" ca="1" si="228"/>
        <v>2.2405089930954434</v>
      </c>
      <c r="W192" s="171">
        <f t="shared" ca="1" si="229"/>
        <v>89.620359723817728</v>
      </c>
      <c r="X192" s="172">
        <f t="shared" si="230"/>
        <v>4.0022181393611467E-2</v>
      </c>
      <c r="Y192" s="172">
        <f t="shared" si="231"/>
        <v>0.95997781860638853</v>
      </c>
      <c r="Z192" s="173">
        <f t="shared" si="232"/>
        <v>150.65094972152275</v>
      </c>
      <c r="AA192" s="171">
        <f t="shared" si="300"/>
        <v>0.35347499999999998</v>
      </c>
      <c r="AB192" s="171">
        <f t="shared" si="300"/>
        <v>0.35347499999999998</v>
      </c>
      <c r="AC192" s="171">
        <f t="shared" si="300"/>
        <v>0.35347499999999998</v>
      </c>
      <c r="AD192" s="171">
        <f t="shared" si="300"/>
        <v>0.35347499999999998</v>
      </c>
      <c r="AE192" s="171">
        <f t="shared" si="300"/>
        <v>0.35347499999999998</v>
      </c>
      <c r="AF192" s="171">
        <f t="shared" si="300"/>
        <v>0.35347499999999998</v>
      </c>
      <c r="AG192" s="171">
        <f t="shared" si="300"/>
        <v>0.35347499999999998</v>
      </c>
      <c r="AH192" s="171">
        <f t="shared" si="300"/>
        <v>0.35347499999999998</v>
      </c>
      <c r="AI192" s="171">
        <f t="shared" si="300"/>
        <v>0.35347499999999998</v>
      </c>
      <c r="AJ192" s="171">
        <f t="shared" si="300"/>
        <v>0.35347499999999998</v>
      </c>
      <c r="AK192" s="171">
        <f t="shared" si="301"/>
        <v>4.7456838619846033</v>
      </c>
      <c r="AL192" s="171">
        <f t="shared" si="301"/>
        <v>4.7456838619846033</v>
      </c>
      <c r="AM192" s="171">
        <f t="shared" si="301"/>
        <v>4.7456838619846033</v>
      </c>
      <c r="AN192" s="171">
        <f t="shared" si="301"/>
        <v>4.7456838619846033</v>
      </c>
      <c r="AO192" s="171">
        <f t="shared" si="301"/>
        <v>4.7456838619846033</v>
      </c>
      <c r="AP192" s="171">
        <f t="shared" si="301"/>
        <v>4.7456838619846033</v>
      </c>
      <c r="AQ192" s="171">
        <f t="shared" si="301"/>
        <v>4.7456838619846033</v>
      </c>
      <c r="AR192" s="171">
        <f t="shared" si="301"/>
        <v>4.7456838619846033</v>
      </c>
      <c r="AS192" s="171">
        <f t="shared" si="301"/>
        <v>4.7456838619846033</v>
      </c>
      <c r="AT192" s="171">
        <f t="shared" si="301"/>
        <v>4.7456838619846033</v>
      </c>
      <c r="AU192" s="171">
        <f t="shared" si="302"/>
        <v>4.7456838619846033</v>
      </c>
      <c r="AV192" s="171">
        <f t="shared" si="302"/>
        <v>4.7456838619846033</v>
      </c>
      <c r="AW192" s="171">
        <f t="shared" si="302"/>
        <v>4.7456838619846033</v>
      </c>
      <c r="AX192" s="171">
        <f t="shared" si="302"/>
        <v>4.7456838619846033</v>
      </c>
      <c r="AY192" s="171">
        <f t="shared" si="302"/>
        <v>4.7456838619846033</v>
      </c>
      <c r="AZ192" s="171">
        <f t="shared" si="302"/>
        <v>4.7456838619846033</v>
      </c>
      <c r="BA192" s="171">
        <f t="shared" si="302"/>
        <v>4.7456838619846033</v>
      </c>
      <c r="BB192" s="171">
        <f t="shared" si="302"/>
        <v>4.7456838619846033</v>
      </c>
      <c r="BC192" s="171">
        <f t="shared" si="302"/>
        <v>4.7456838619846033</v>
      </c>
      <c r="BD192" s="171">
        <f t="shared" si="302"/>
        <v>4.7456838619846033</v>
      </c>
      <c r="BE192" s="171">
        <f t="shared" si="303"/>
        <v>4.7456838619846033</v>
      </c>
      <c r="BF192" s="171">
        <f t="shared" si="303"/>
        <v>4.7456838619846033</v>
      </c>
      <c r="BG192" s="171">
        <f t="shared" si="303"/>
        <v>4.7456838619846033</v>
      </c>
      <c r="BH192" s="171">
        <f t="shared" si="303"/>
        <v>4.7456838619846033</v>
      </c>
      <c r="BI192" s="171">
        <f t="shared" si="303"/>
        <v>4.7456838619846033</v>
      </c>
      <c r="BJ192" s="171">
        <f t="shared" si="303"/>
        <v>4.7456838619846033</v>
      </c>
      <c r="BK192" s="171">
        <f t="shared" si="303"/>
        <v>4.7456838619846033</v>
      </c>
      <c r="BL192" s="171">
        <f t="shared" si="303"/>
        <v>4.7456838619846033</v>
      </c>
      <c r="BM192" s="171">
        <f t="shared" si="303"/>
        <v>4.7456838619846033</v>
      </c>
      <c r="BN192" s="171">
        <f t="shared" si="303"/>
        <v>4.7456838619846033</v>
      </c>
      <c r="BO192" s="171">
        <f t="shared" si="304"/>
        <v>4.7456838619846033</v>
      </c>
      <c r="BP192" s="171">
        <f t="shared" si="304"/>
        <v>0</v>
      </c>
      <c r="BQ192" s="171">
        <f t="shared" si="304"/>
        <v>0</v>
      </c>
      <c r="BR192" s="171">
        <f t="shared" si="304"/>
        <v>0</v>
      </c>
      <c r="BS192" s="171">
        <f t="shared" si="304"/>
        <v>0</v>
      </c>
      <c r="BT192" s="171">
        <f t="shared" si="304"/>
        <v>0</v>
      </c>
      <c r="BU192" s="171">
        <f t="shared" si="304"/>
        <v>0</v>
      </c>
      <c r="BV192" s="171">
        <f t="shared" si="304"/>
        <v>0</v>
      </c>
      <c r="BW192" s="171">
        <f t="shared" si="304"/>
        <v>0</v>
      </c>
      <c r="BX192" s="171">
        <f t="shared" si="304"/>
        <v>0</v>
      </c>
      <c r="BY192" s="171">
        <f t="shared" si="305"/>
        <v>0</v>
      </c>
      <c r="BZ192" s="171">
        <f t="shared" si="305"/>
        <v>0</v>
      </c>
      <c r="CA192" s="171">
        <f t="shared" si="305"/>
        <v>0</v>
      </c>
      <c r="CB192" s="171">
        <f t="shared" si="305"/>
        <v>0</v>
      </c>
      <c r="CC192" s="171">
        <f t="shared" si="305"/>
        <v>0</v>
      </c>
      <c r="CD192" s="171">
        <f t="shared" si="305"/>
        <v>0</v>
      </c>
      <c r="CE192" s="171">
        <f t="shared" si="305"/>
        <v>0</v>
      </c>
      <c r="CF192" s="171">
        <f t="shared" si="305"/>
        <v>0</v>
      </c>
      <c r="CG192" s="171">
        <f t="shared" si="305"/>
        <v>0</v>
      </c>
      <c r="CH192" s="171">
        <f t="shared" si="305"/>
        <v>0</v>
      </c>
      <c r="CI192" s="171">
        <f t="shared" si="305"/>
        <v>0</v>
      </c>
      <c r="CJ192" s="243"/>
      <c r="CK192" s="171">
        <f t="shared" si="233"/>
        <v>0.35347499999999998</v>
      </c>
      <c r="CL192" s="171">
        <f t="shared" si="234"/>
        <v>0.35347499999999998</v>
      </c>
      <c r="CM192" s="171">
        <f t="shared" si="235"/>
        <v>0.35347499999999998</v>
      </c>
      <c r="CN192" s="171">
        <f t="shared" si="236"/>
        <v>0.35347499999999998</v>
      </c>
      <c r="CO192" s="171">
        <f t="shared" si="237"/>
        <v>0.35347499999999998</v>
      </c>
      <c r="CP192" s="171">
        <f t="shared" si="238"/>
        <v>0.35347499999999998</v>
      </c>
      <c r="CQ192" s="171">
        <f t="shared" si="239"/>
        <v>0.35347499999999998</v>
      </c>
      <c r="CR192" s="171">
        <f t="shared" si="240"/>
        <v>0.35347499999999998</v>
      </c>
      <c r="CS192" s="171">
        <f t="shared" si="241"/>
        <v>0.35347499999999998</v>
      </c>
      <c r="CT192" s="171">
        <f t="shared" si="242"/>
        <v>0.35347499999999998</v>
      </c>
      <c r="CU192" s="171">
        <f t="shared" si="243"/>
        <v>4.7456838619846033</v>
      </c>
      <c r="CV192" s="171">
        <f t="shared" si="244"/>
        <v>4.7456838619846033</v>
      </c>
      <c r="CW192" s="171">
        <f t="shared" si="245"/>
        <v>4.7456838619846033</v>
      </c>
      <c r="CX192" s="171">
        <f t="shared" si="246"/>
        <v>4.7456838619846033</v>
      </c>
      <c r="CY192" s="171">
        <f t="shared" ca="1" si="247"/>
        <v>4.5053964566394535</v>
      </c>
      <c r="CZ192" s="171">
        <f t="shared" ca="1" si="248"/>
        <v>4.2772754826973758</v>
      </c>
      <c r="DA192" s="171">
        <f t="shared" ca="1" si="249"/>
        <v>4.0607049193025411</v>
      </c>
      <c r="DB192" s="171">
        <f t="shared" ca="1" si="250"/>
        <v>3.8550999364785374</v>
      </c>
      <c r="DC192" s="171">
        <f t="shared" ca="1" si="251"/>
        <v>3.6599053158458648</v>
      </c>
      <c r="DD192" s="171">
        <f t="shared" ca="1" si="252"/>
        <v>3.4745939513029773</v>
      </c>
      <c r="DE192" s="171">
        <f t="shared" ca="1" si="253"/>
        <v>3.2986654256220871</v>
      </c>
      <c r="DF192" s="171">
        <f t="shared" ca="1" si="254"/>
        <v>3.1316446591159468</v>
      </c>
      <c r="DG192" s="171">
        <f t="shared" ca="1" si="255"/>
        <v>2.9730806267264653</v>
      </c>
      <c r="DH192" s="171">
        <f t="shared" ca="1" si="256"/>
        <v>2.8225451400707477</v>
      </c>
      <c r="DI192" s="171">
        <f t="shared" ca="1" si="257"/>
        <v>2.6796316911556031</v>
      </c>
      <c r="DJ192" s="171">
        <f t="shared" ca="1" si="258"/>
        <v>2.5439543546380476</v>
      </c>
      <c r="DK192" s="171">
        <f t="shared" ca="1" si="259"/>
        <v>2.415146745667474</v>
      </c>
      <c r="DL192" s="171">
        <f t="shared" ca="1" si="260"/>
        <v>2.2928610304952182</v>
      </c>
      <c r="DM192" s="171">
        <f t="shared" ca="1" si="261"/>
        <v>2.1767669871797617</v>
      </c>
      <c r="DN192" s="171">
        <f t="shared" ca="1" si="262"/>
        <v>2.0665511138510921</v>
      </c>
      <c r="DO192" s="171">
        <f t="shared" ca="1" si="263"/>
        <v>1.9619157821261619</v>
      </c>
      <c r="DP192" s="171">
        <f t="shared" ca="1" si="264"/>
        <v>1.8625784333893134</v>
      </c>
      <c r="DQ192" s="171">
        <f t="shared" ca="1" si="265"/>
        <v>1.768270815767311</v>
      </c>
      <c r="DR192" s="171">
        <f t="shared" ca="1" si="266"/>
        <v>1.6787382597384748</v>
      </c>
      <c r="DS192" s="171">
        <f t="shared" ca="1" si="267"/>
        <v>1.5937389904197845</v>
      </c>
      <c r="DT192" s="171">
        <f t="shared" ca="1" si="268"/>
        <v>1.5130434746748269</v>
      </c>
      <c r="DU192" s="171">
        <f t="shared" ca="1" si="269"/>
        <v>1.4364338012795188</v>
      </c>
      <c r="DV192" s="171">
        <f t="shared" ca="1" si="270"/>
        <v>1.363703092471793</v>
      </c>
      <c r="DW192" s="171">
        <f t="shared" ca="1" si="271"/>
        <v>1.2946549452961884</v>
      </c>
      <c r="DX192" s="171">
        <f t="shared" ca="1" si="272"/>
        <v>1.2291029012347465</v>
      </c>
      <c r="DY192" s="171">
        <f t="shared" ca="1" si="273"/>
        <v>1.1668699426919946</v>
      </c>
      <c r="DZ192" s="171">
        <f t="shared" ca="1" si="274"/>
        <v>0</v>
      </c>
      <c r="EA192" s="171">
        <f t="shared" ca="1" si="275"/>
        <v>0</v>
      </c>
      <c r="EB192" s="171">
        <f t="shared" ca="1" si="276"/>
        <v>0</v>
      </c>
      <c r="EC192" s="171">
        <f t="shared" ca="1" si="277"/>
        <v>0</v>
      </c>
      <c r="ED192" s="171">
        <f t="shared" ca="1" si="278"/>
        <v>0</v>
      </c>
      <c r="EE192" s="171">
        <f t="shared" ca="1" si="279"/>
        <v>0</v>
      </c>
      <c r="EF192" s="171">
        <f t="shared" ca="1" si="280"/>
        <v>0</v>
      </c>
      <c r="EG192" s="171">
        <f t="shared" ca="1" si="281"/>
        <v>0</v>
      </c>
      <c r="EH192" s="171">
        <f t="shared" ca="1" si="282"/>
        <v>0</v>
      </c>
      <c r="EI192" s="171">
        <f t="shared" ca="1" si="283"/>
        <v>0</v>
      </c>
      <c r="EJ192" s="171">
        <f t="shared" ca="1" si="284"/>
        <v>0</v>
      </c>
      <c r="EK192" s="171">
        <f t="shared" ca="1" si="285"/>
        <v>0</v>
      </c>
      <c r="EL192" s="171">
        <f t="shared" ca="1" si="286"/>
        <v>0</v>
      </c>
      <c r="EM192" s="171">
        <f t="shared" ca="1" si="287"/>
        <v>0</v>
      </c>
      <c r="EN192" s="171">
        <f t="shared" ca="1" si="288"/>
        <v>0</v>
      </c>
      <c r="EO192" s="171">
        <f t="shared" ca="1" si="289"/>
        <v>0</v>
      </c>
      <c r="EP192" s="171">
        <f t="shared" ca="1" si="290"/>
        <v>0</v>
      </c>
      <c r="EQ192" s="171">
        <f t="shared" ca="1" si="291"/>
        <v>0</v>
      </c>
      <c r="ER192" s="171">
        <f t="shared" ca="1" si="292"/>
        <v>0</v>
      </c>
      <c r="ES192" s="171">
        <f t="shared" ca="1" si="293"/>
        <v>0</v>
      </c>
    </row>
    <row r="193" spans="1:149">
      <c r="A193" s="139" t="s">
        <v>547</v>
      </c>
      <c r="B193" s="160" t="s">
        <v>531</v>
      </c>
      <c r="C193" s="160" t="s">
        <v>105</v>
      </c>
      <c r="D193" s="160" t="s">
        <v>428</v>
      </c>
      <c r="E193" s="160">
        <v>2010</v>
      </c>
      <c r="F193" s="194" t="s">
        <v>395</v>
      </c>
      <c r="G193" s="194" t="s">
        <v>402</v>
      </c>
      <c r="H193" s="194" t="s">
        <v>396</v>
      </c>
      <c r="I193" s="194" t="s">
        <v>176</v>
      </c>
      <c r="J193" s="194" t="s">
        <v>397</v>
      </c>
      <c r="K193" s="187">
        <v>141.38999999999999</v>
      </c>
      <c r="L193" s="163" t="s">
        <v>110</v>
      </c>
      <c r="M193" s="164">
        <f t="shared" si="223"/>
        <v>141.38999999999999</v>
      </c>
      <c r="N193" s="164">
        <f t="shared" si="224"/>
        <v>141.38999999999999</v>
      </c>
      <c r="O193" s="165">
        <f t="shared" si="225"/>
        <v>1</v>
      </c>
      <c r="P193" s="190">
        <v>1E-3</v>
      </c>
      <c r="Q193" s="191">
        <v>40</v>
      </c>
      <c r="R193" s="168">
        <f t="shared" si="226"/>
        <v>26</v>
      </c>
      <c r="S193" s="178">
        <v>10</v>
      </c>
      <c r="T193" s="170" t="s">
        <v>403</v>
      </c>
      <c r="U193" s="171">
        <f t="shared" si="227"/>
        <v>3.6269361341771775</v>
      </c>
      <c r="V193" s="171">
        <f t="shared" ca="1" si="228"/>
        <v>2.1369793939418829</v>
      </c>
      <c r="W193" s="171">
        <f t="shared" ca="1" si="229"/>
        <v>85.479175757675321</v>
      </c>
      <c r="X193" s="172">
        <f t="shared" si="230"/>
        <v>3.190969278567013E-2</v>
      </c>
      <c r="Y193" s="172">
        <f t="shared" si="231"/>
        <v>0.96809030721432987</v>
      </c>
      <c r="Z193" s="173">
        <f t="shared" si="232"/>
        <v>145.07744536708711</v>
      </c>
      <c r="AA193" s="171">
        <f t="shared" si="300"/>
        <v>0.14138999999999999</v>
      </c>
      <c r="AB193" s="171">
        <f t="shared" si="300"/>
        <v>0.14138999999999999</v>
      </c>
      <c r="AC193" s="171">
        <f t="shared" si="300"/>
        <v>0.14138999999999999</v>
      </c>
      <c r="AD193" s="171">
        <f t="shared" si="300"/>
        <v>0.14138999999999999</v>
      </c>
      <c r="AE193" s="171">
        <f t="shared" si="300"/>
        <v>0.14138999999999999</v>
      </c>
      <c r="AF193" s="171">
        <f t="shared" si="300"/>
        <v>0.14138999999999999</v>
      </c>
      <c r="AG193" s="171">
        <f t="shared" si="300"/>
        <v>0.14138999999999999</v>
      </c>
      <c r="AH193" s="171">
        <f t="shared" si="300"/>
        <v>0.14138999999999999</v>
      </c>
      <c r="AI193" s="171">
        <f t="shared" si="300"/>
        <v>0.14138999999999999</v>
      </c>
      <c r="AJ193" s="171">
        <f t="shared" si="300"/>
        <v>0.14138999999999999</v>
      </c>
      <c r="AK193" s="171">
        <f t="shared" si="301"/>
        <v>4.6343079150673274</v>
      </c>
      <c r="AL193" s="171">
        <f t="shared" si="301"/>
        <v>4.6343079150673274</v>
      </c>
      <c r="AM193" s="171">
        <f t="shared" si="301"/>
        <v>4.6343079150673274</v>
      </c>
      <c r="AN193" s="171">
        <f t="shared" si="301"/>
        <v>4.6343079150673274</v>
      </c>
      <c r="AO193" s="171">
        <f t="shared" si="301"/>
        <v>4.6343079150673274</v>
      </c>
      <c r="AP193" s="171">
        <f t="shared" si="301"/>
        <v>4.6343079150673274</v>
      </c>
      <c r="AQ193" s="171">
        <f t="shared" si="301"/>
        <v>4.6343079150673274</v>
      </c>
      <c r="AR193" s="171">
        <f t="shared" si="301"/>
        <v>4.6343079150673274</v>
      </c>
      <c r="AS193" s="171">
        <f t="shared" si="301"/>
        <v>4.6343079150673274</v>
      </c>
      <c r="AT193" s="171">
        <f t="shared" si="301"/>
        <v>4.6343079150673274</v>
      </c>
      <c r="AU193" s="171">
        <f t="shared" si="302"/>
        <v>4.6343079150673274</v>
      </c>
      <c r="AV193" s="171">
        <f t="shared" si="302"/>
        <v>4.6343079150673274</v>
      </c>
      <c r="AW193" s="171">
        <f t="shared" si="302"/>
        <v>4.6343079150673274</v>
      </c>
      <c r="AX193" s="171">
        <f t="shared" si="302"/>
        <v>4.6343079150673274</v>
      </c>
      <c r="AY193" s="171">
        <f t="shared" si="302"/>
        <v>4.6343079150673274</v>
      </c>
      <c r="AZ193" s="171">
        <f t="shared" si="302"/>
        <v>4.6343079150673274</v>
      </c>
      <c r="BA193" s="171">
        <f t="shared" si="302"/>
        <v>4.6343079150673274</v>
      </c>
      <c r="BB193" s="171">
        <f t="shared" si="302"/>
        <v>4.6343079150673274</v>
      </c>
      <c r="BC193" s="171">
        <f t="shared" si="302"/>
        <v>4.6343079150673274</v>
      </c>
      <c r="BD193" s="171">
        <f t="shared" si="302"/>
        <v>4.6343079150673274</v>
      </c>
      <c r="BE193" s="171">
        <f t="shared" si="303"/>
        <v>4.6343079150673274</v>
      </c>
      <c r="BF193" s="171">
        <f t="shared" si="303"/>
        <v>4.6343079150673274</v>
      </c>
      <c r="BG193" s="171">
        <f t="shared" si="303"/>
        <v>4.6343079150673274</v>
      </c>
      <c r="BH193" s="171">
        <f t="shared" si="303"/>
        <v>4.6343079150673274</v>
      </c>
      <c r="BI193" s="171">
        <f t="shared" si="303"/>
        <v>4.6343079150673274</v>
      </c>
      <c r="BJ193" s="171">
        <f t="shared" si="303"/>
        <v>4.6343079150673274</v>
      </c>
      <c r="BK193" s="171">
        <f t="shared" si="303"/>
        <v>4.6343079150673274</v>
      </c>
      <c r="BL193" s="171">
        <f t="shared" si="303"/>
        <v>4.6343079150673274</v>
      </c>
      <c r="BM193" s="171">
        <f t="shared" si="303"/>
        <v>4.6343079150673274</v>
      </c>
      <c r="BN193" s="171">
        <f t="shared" si="303"/>
        <v>4.6343079150673274</v>
      </c>
      <c r="BO193" s="171">
        <f t="shared" si="304"/>
        <v>4.6343079150673274</v>
      </c>
      <c r="BP193" s="171">
        <f t="shared" si="304"/>
        <v>0</v>
      </c>
      <c r="BQ193" s="171">
        <f t="shared" si="304"/>
        <v>0</v>
      </c>
      <c r="BR193" s="171">
        <f t="shared" si="304"/>
        <v>0</v>
      </c>
      <c r="BS193" s="171">
        <f t="shared" si="304"/>
        <v>0</v>
      </c>
      <c r="BT193" s="171">
        <f t="shared" si="304"/>
        <v>0</v>
      </c>
      <c r="BU193" s="171">
        <f t="shared" si="304"/>
        <v>0</v>
      </c>
      <c r="BV193" s="171">
        <f t="shared" si="304"/>
        <v>0</v>
      </c>
      <c r="BW193" s="171">
        <f t="shared" si="304"/>
        <v>0</v>
      </c>
      <c r="BX193" s="171">
        <f t="shared" si="304"/>
        <v>0</v>
      </c>
      <c r="BY193" s="171">
        <f t="shared" si="305"/>
        <v>0</v>
      </c>
      <c r="BZ193" s="171">
        <f t="shared" si="305"/>
        <v>0</v>
      </c>
      <c r="CA193" s="171">
        <f t="shared" si="305"/>
        <v>0</v>
      </c>
      <c r="CB193" s="171">
        <f t="shared" si="305"/>
        <v>0</v>
      </c>
      <c r="CC193" s="171">
        <f t="shared" si="305"/>
        <v>0</v>
      </c>
      <c r="CD193" s="171">
        <f t="shared" si="305"/>
        <v>0</v>
      </c>
      <c r="CE193" s="171">
        <f t="shared" si="305"/>
        <v>0</v>
      </c>
      <c r="CF193" s="171">
        <f t="shared" si="305"/>
        <v>0</v>
      </c>
      <c r="CG193" s="171">
        <f t="shared" si="305"/>
        <v>0</v>
      </c>
      <c r="CH193" s="171">
        <f t="shared" si="305"/>
        <v>0</v>
      </c>
      <c r="CI193" s="171">
        <f t="shared" si="305"/>
        <v>0</v>
      </c>
      <c r="CJ193" s="243"/>
      <c r="CK193" s="171">
        <f t="shared" si="233"/>
        <v>0.14138999999999999</v>
      </c>
      <c r="CL193" s="171">
        <f t="shared" si="234"/>
        <v>0.14138999999999999</v>
      </c>
      <c r="CM193" s="171">
        <f t="shared" si="235"/>
        <v>0.14138999999999999</v>
      </c>
      <c r="CN193" s="171">
        <f t="shared" si="236"/>
        <v>0.14138999999999999</v>
      </c>
      <c r="CO193" s="171">
        <f t="shared" si="237"/>
        <v>0.14138999999999999</v>
      </c>
      <c r="CP193" s="171">
        <f t="shared" si="238"/>
        <v>0.14138999999999999</v>
      </c>
      <c r="CQ193" s="171">
        <f t="shared" si="239"/>
        <v>0.14138999999999999</v>
      </c>
      <c r="CR193" s="171">
        <f t="shared" si="240"/>
        <v>0.14138999999999999</v>
      </c>
      <c r="CS193" s="171">
        <f t="shared" si="241"/>
        <v>0.14138999999999999</v>
      </c>
      <c r="CT193" s="171">
        <f t="shared" si="242"/>
        <v>0.14138999999999999</v>
      </c>
      <c r="CU193" s="171">
        <f t="shared" si="243"/>
        <v>4.6343079150673274</v>
      </c>
      <c r="CV193" s="171">
        <f t="shared" si="244"/>
        <v>4.6343079150673274</v>
      </c>
      <c r="CW193" s="171">
        <f t="shared" si="245"/>
        <v>4.6343079150673274</v>
      </c>
      <c r="CX193" s="171">
        <f t="shared" si="246"/>
        <v>4.6343079150673274</v>
      </c>
      <c r="CY193" s="171">
        <f t="shared" ca="1" si="247"/>
        <v>4.3996597891349909</v>
      </c>
      <c r="CZ193" s="171">
        <f t="shared" ca="1" si="248"/>
        <v>4.1768925619285548</v>
      </c>
      <c r="DA193" s="171">
        <f t="shared" ca="1" si="249"/>
        <v>3.9654046699197627</v>
      </c>
      <c r="DB193" s="171">
        <f t="shared" ca="1" si="250"/>
        <v>3.7646250084443573</v>
      </c>
      <c r="DC193" s="171">
        <f t="shared" ca="1" si="251"/>
        <v>3.5740113894835974</v>
      </c>
      <c r="DD193" s="171">
        <f t="shared" ca="1" si="252"/>
        <v>3.3930490775326514</v>
      </c>
      <c r="DE193" s="171">
        <f t="shared" ca="1" si="253"/>
        <v>3.2212493996021196</v>
      </c>
      <c r="DF193" s="171">
        <f t="shared" ca="1" si="254"/>
        <v>3.0581484255991178</v>
      </c>
      <c r="DG193" s="171">
        <f t="shared" ca="1" si="255"/>
        <v>2.9033057155243962</v>
      </c>
      <c r="DH193" s="171">
        <f t="shared" ca="1" si="256"/>
        <v>2.7563031301024163</v>
      </c>
      <c r="DI193" s="171">
        <f t="shared" ca="1" si="257"/>
        <v>2.6167437016325947</v>
      </c>
      <c r="DJ193" s="171">
        <f t="shared" ca="1" si="258"/>
        <v>2.4842505620125417</v>
      </c>
      <c r="DK193" s="171">
        <f t="shared" ca="1" si="259"/>
        <v>2.3584659250385158</v>
      </c>
      <c r="DL193" s="171">
        <f t="shared" ca="1" si="260"/>
        <v>2.2390501202348934</v>
      </c>
      <c r="DM193" s="171">
        <f t="shared" ca="1" si="261"/>
        <v>2.1256806756035784</v>
      </c>
      <c r="DN193" s="171">
        <f t="shared" ca="1" si="262"/>
        <v>2.0180514468164104</v>
      </c>
      <c r="DO193" s="171">
        <f t="shared" ca="1" si="263"/>
        <v>1.9158717904990268</v>
      </c>
      <c r="DP193" s="171">
        <f t="shared" ca="1" si="264"/>
        <v>1.8188657793736962</v>
      </c>
      <c r="DQ193" s="171">
        <f t="shared" ca="1" si="265"/>
        <v>1.726771457141701</v>
      </c>
      <c r="DR193" s="171">
        <f t="shared" ca="1" si="266"/>
        <v>1.6393401310931244</v>
      </c>
      <c r="DS193" s="171">
        <f t="shared" ca="1" si="267"/>
        <v>1.556335700533813</v>
      </c>
      <c r="DT193" s="171">
        <f t="shared" ca="1" si="268"/>
        <v>1.4775340192159794</v>
      </c>
      <c r="DU193" s="171">
        <f t="shared" ca="1" si="269"/>
        <v>1.4027222900507483</v>
      </c>
      <c r="DV193" s="171">
        <f t="shared" ca="1" si="270"/>
        <v>1.3316984904681215</v>
      </c>
      <c r="DW193" s="171">
        <f t="shared" ca="1" si="271"/>
        <v>1.2642708268725906</v>
      </c>
      <c r="DX193" s="171">
        <f t="shared" ca="1" si="272"/>
        <v>1.2002572167212096</v>
      </c>
      <c r="DY193" s="171">
        <f t="shared" ca="1" si="273"/>
        <v>1.1394847968255188</v>
      </c>
      <c r="DZ193" s="171">
        <f t="shared" ca="1" si="274"/>
        <v>0</v>
      </c>
      <c r="EA193" s="171">
        <f t="shared" ca="1" si="275"/>
        <v>0</v>
      </c>
      <c r="EB193" s="171">
        <f t="shared" ca="1" si="276"/>
        <v>0</v>
      </c>
      <c r="EC193" s="171">
        <f t="shared" ca="1" si="277"/>
        <v>0</v>
      </c>
      <c r="ED193" s="171">
        <f t="shared" ca="1" si="278"/>
        <v>0</v>
      </c>
      <c r="EE193" s="171">
        <f t="shared" ca="1" si="279"/>
        <v>0</v>
      </c>
      <c r="EF193" s="171">
        <f t="shared" ca="1" si="280"/>
        <v>0</v>
      </c>
      <c r="EG193" s="171">
        <f t="shared" ca="1" si="281"/>
        <v>0</v>
      </c>
      <c r="EH193" s="171">
        <f t="shared" ca="1" si="282"/>
        <v>0</v>
      </c>
      <c r="EI193" s="171">
        <f t="shared" ca="1" si="283"/>
        <v>0</v>
      </c>
      <c r="EJ193" s="171">
        <f t="shared" ca="1" si="284"/>
        <v>0</v>
      </c>
      <c r="EK193" s="171">
        <f t="shared" ca="1" si="285"/>
        <v>0</v>
      </c>
      <c r="EL193" s="171">
        <f t="shared" ca="1" si="286"/>
        <v>0</v>
      </c>
      <c r="EM193" s="171">
        <f t="shared" ca="1" si="287"/>
        <v>0</v>
      </c>
      <c r="EN193" s="171">
        <f t="shared" ca="1" si="288"/>
        <v>0</v>
      </c>
      <c r="EO193" s="171">
        <f t="shared" ca="1" si="289"/>
        <v>0</v>
      </c>
      <c r="EP193" s="171">
        <f t="shared" ca="1" si="290"/>
        <v>0</v>
      </c>
      <c r="EQ193" s="171">
        <f t="shared" ca="1" si="291"/>
        <v>0</v>
      </c>
      <c r="ER193" s="171">
        <f t="shared" ca="1" si="292"/>
        <v>0</v>
      </c>
      <c r="ES193" s="171">
        <f t="shared" ca="1" si="293"/>
        <v>0</v>
      </c>
    </row>
    <row r="194" spans="1:149">
      <c r="A194" s="139" t="s">
        <v>548</v>
      </c>
      <c r="B194" s="160" t="s">
        <v>531</v>
      </c>
      <c r="C194" s="161" t="s">
        <v>29</v>
      </c>
      <c r="D194" s="160" t="s">
        <v>394</v>
      </c>
      <c r="E194" s="160">
        <v>2010</v>
      </c>
      <c r="F194" s="194" t="s">
        <v>395</v>
      </c>
      <c r="G194" s="194" t="s">
        <v>402</v>
      </c>
      <c r="H194" s="194" t="s">
        <v>396</v>
      </c>
      <c r="I194" s="194" t="s">
        <v>176</v>
      </c>
      <c r="J194" s="194" t="s">
        <v>397</v>
      </c>
      <c r="K194" s="182">
        <v>336.24</v>
      </c>
      <c r="L194" s="163" t="s">
        <v>110</v>
      </c>
      <c r="M194" s="164">
        <f t="shared" si="223"/>
        <v>336.24</v>
      </c>
      <c r="N194" s="164">
        <f t="shared" si="224"/>
        <v>336.24</v>
      </c>
      <c r="O194" s="165">
        <f t="shared" si="225"/>
        <v>1</v>
      </c>
      <c r="P194" s="180">
        <v>2.8480255890268378E-3</v>
      </c>
      <c r="Q194" s="191">
        <v>30</v>
      </c>
      <c r="R194" s="168">
        <f t="shared" si="226"/>
        <v>16</v>
      </c>
      <c r="S194" s="186">
        <v>10</v>
      </c>
      <c r="T194" s="170" t="s">
        <v>403</v>
      </c>
      <c r="U194" s="171">
        <f t="shared" si="227"/>
        <v>11.881662549912795</v>
      </c>
      <c r="V194" s="171">
        <f t="shared" ca="1" si="228"/>
        <v>8.5773167917687196</v>
      </c>
      <c r="W194" s="171">
        <f t="shared" ca="1" si="229"/>
        <v>257.31950375306161</v>
      </c>
      <c r="X194" s="172">
        <f t="shared" si="230"/>
        <v>5.0401956992149555E-2</v>
      </c>
      <c r="Y194" s="172">
        <f t="shared" si="231"/>
        <v>0.94959804300785045</v>
      </c>
      <c r="Z194" s="173">
        <f t="shared" si="232"/>
        <v>356.44987649738385</v>
      </c>
      <c r="AA194" s="171">
        <f t="shared" si="300"/>
        <v>0.95762012405438401</v>
      </c>
      <c r="AB194" s="171">
        <f t="shared" si="300"/>
        <v>0.95762012405438401</v>
      </c>
      <c r="AC194" s="171">
        <f t="shared" si="300"/>
        <v>0.95762012405438401</v>
      </c>
      <c r="AD194" s="171">
        <f t="shared" si="300"/>
        <v>0.95762012405438401</v>
      </c>
      <c r="AE194" s="171">
        <f t="shared" si="300"/>
        <v>0.95762012405438401</v>
      </c>
      <c r="AF194" s="171">
        <f t="shared" si="300"/>
        <v>0.95762012405438401</v>
      </c>
      <c r="AG194" s="171">
        <f t="shared" si="300"/>
        <v>0.95762012405438401</v>
      </c>
      <c r="AH194" s="171">
        <f t="shared" si="300"/>
        <v>0.95762012405438401</v>
      </c>
      <c r="AI194" s="171">
        <f t="shared" si="300"/>
        <v>0.95762012405438401</v>
      </c>
      <c r="AJ194" s="171">
        <f t="shared" si="300"/>
        <v>0.95762012405438401</v>
      </c>
      <c r="AK194" s="171">
        <f t="shared" si="301"/>
        <v>16.517794059849532</v>
      </c>
      <c r="AL194" s="171">
        <f t="shared" si="301"/>
        <v>16.517794059849532</v>
      </c>
      <c r="AM194" s="171">
        <f t="shared" si="301"/>
        <v>16.517794059849532</v>
      </c>
      <c r="AN194" s="171">
        <f t="shared" si="301"/>
        <v>16.517794059849532</v>
      </c>
      <c r="AO194" s="171">
        <f t="shared" si="301"/>
        <v>16.517794059849532</v>
      </c>
      <c r="AP194" s="171">
        <f t="shared" si="301"/>
        <v>16.517794059849532</v>
      </c>
      <c r="AQ194" s="171">
        <f t="shared" si="301"/>
        <v>16.517794059849532</v>
      </c>
      <c r="AR194" s="171">
        <f t="shared" si="301"/>
        <v>16.517794059849532</v>
      </c>
      <c r="AS194" s="171">
        <f t="shared" si="301"/>
        <v>16.517794059849532</v>
      </c>
      <c r="AT194" s="171">
        <f t="shared" si="301"/>
        <v>16.517794059849532</v>
      </c>
      <c r="AU194" s="171">
        <f t="shared" si="302"/>
        <v>16.517794059849532</v>
      </c>
      <c r="AV194" s="171">
        <f t="shared" si="302"/>
        <v>16.517794059849532</v>
      </c>
      <c r="AW194" s="171">
        <f t="shared" si="302"/>
        <v>16.517794059849532</v>
      </c>
      <c r="AX194" s="171">
        <f t="shared" si="302"/>
        <v>16.517794059849532</v>
      </c>
      <c r="AY194" s="171">
        <f t="shared" si="302"/>
        <v>16.517794059849532</v>
      </c>
      <c r="AZ194" s="171">
        <f t="shared" si="302"/>
        <v>16.517794059849532</v>
      </c>
      <c r="BA194" s="171">
        <f t="shared" si="302"/>
        <v>16.517794059849532</v>
      </c>
      <c r="BB194" s="171">
        <f t="shared" si="302"/>
        <v>16.517794059849532</v>
      </c>
      <c r="BC194" s="171">
        <f t="shared" si="302"/>
        <v>16.517794059849532</v>
      </c>
      <c r="BD194" s="171">
        <f t="shared" si="302"/>
        <v>16.517794059849532</v>
      </c>
      <c r="BE194" s="171">
        <f t="shared" si="303"/>
        <v>16.517794059849532</v>
      </c>
      <c r="BF194" s="171">
        <f t="shared" si="303"/>
        <v>0</v>
      </c>
      <c r="BG194" s="171">
        <f t="shared" si="303"/>
        <v>0</v>
      </c>
      <c r="BH194" s="171">
        <f t="shared" si="303"/>
        <v>0</v>
      </c>
      <c r="BI194" s="171">
        <f t="shared" si="303"/>
        <v>0</v>
      </c>
      <c r="BJ194" s="171">
        <f t="shared" si="303"/>
        <v>0</v>
      </c>
      <c r="BK194" s="171">
        <f t="shared" si="303"/>
        <v>0</v>
      </c>
      <c r="BL194" s="171">
        <f t="shared" si="303"/>
        <v>0</v>
      </c>
      <c r="BM194" s="171">
        <f t="shared" si="303"/>
        <v>0</v>
      </c>
      <c r="BN194" s="171">
        <f t="shared" si="303"/>
        <v>0</v>
      </c>
      <c r="BO194" s="171">
        <f t="shared" si="304"/>
        <v>0</v>
      </c>
      <c r="BP194" s="171">
        <f t="shared" si="304"/>
        <v>0</v>
      </c>
      <c r="BQ194" s="171">
        <f t="shared" si="304"/>
        <v>0</v>
      </c>
      <c r="BR194" s="171">
        <f t="shared" si="304"/>
        <v>0</v>
      </c>
      <c r="BS194" s="171">
        <f t="shared" si="304"/>
        <v>0</v>
      </c>
      <c r="BT194" s="171">
        <f t="shared" si="304"/>
        <v>0</v>
      </c>
      <c r="BU194" s="171">
        <f t="shared" si="304"/>
        <v>0</v>
      </c>
      <c r="BV194" s="171">
        <f t="shared" si="304"/>
        <v>0</v>
      </c>
      <c r="BW194" s="171">
        <f t="shared" si="304"/>
        <v>0</v>
      </c>
      <c r="BX194" s="171">
        <f t="shared" si="304"/>
        <v>0</v>
      </c>
      <c r="BY194" s="171">
        <f t="shared" si="305"/>
        <v>0</v>
      </c>
      <c r="BZ194" s="171">
        <f t="shared" si="305"/>
        <v>0</v>
      </c>
      <c r="CA194" s="171">
        <f t="shared" si="305"/>
        <v>0</v>
      </c>
      <c r="CB194" s="171">
        <f t="shared" si="305"/>
        <v>0</v>
      </c>
      <c r="CC194" s="171">
        <f t="shared" si="305"/>
        <v>0</v>
      </c>
      <c r="CD194" s="171">
        <f t="shared" si="305"/>
        <v>0</v>
      </c>
      <c r="CE194" s="171">
        <f t="shared" si="305"/>
        <v>0</v>
      </c>
      <c r="CF194" s="171">
        <f t="shared" si="305"/>
        <v>0</v>
      </c>
      <c r="CG194" s="171">
        <f t="shared" si="305"/>
        <v>0</v>
      </c>
      <c r="CH194" s="171">
        <f t="shared" si="305"/>
        <v>0</v>
      </c>
      <c r="CI194" s="171">
        <f t="shared" si="305"/>
        <v>0</v>
      </c>
      <c r="CJ194" s="243"/>
      <c r="CK194" s="171">
        <f t="shared" si="233"/>
        <v>0.95762012405438401</v>
      </c>
      <c r="CL194" s="171">
        <f t="shared" si="234"/>
        <v>0.95762012405438401</v>
      </c>
      <c r="CM194" s="171">
        <f t="shared" si="235"/>
        <v>0.95762012405438401</v>
      </c>
      <c r="CN194" s="171">
        <f t="shared" si="236"/>
        <v>0.95762012405438401</v>
      </c>
      <c r="CO194" s="171">
        <f t="shared" si="237"/>
        <v>0.95762012405438401</v>
      </c>
      <c r="CP194" s="171">
        <f t="shared" si="238"/>
        <v>0.95762012405438401</v>
      </c>
      <c r="CQ194" s="171">
        <f t="shared" si="239"/>
        <v>0.95762012405438401</v>
      </c>
      <c r="CR194" s="171">
        <f t="shared" si="240"/>
        <v>0.95762012405438401</v>
      </c>
      <c r="CS194" s="171">
        <f t="shared" si="241"/>
        <v>0.95762012405438401</v>
      </c>
      <c r="CT194" s="171">
        <f t="shared" si="242"/>
        <v>0.95762012405438401</v>
      </c>
      <c r="CU194" s="171">
        <f t="shared" si="243"/>
        <v>16.517794059849532</v>
      </c>
      <c r="CV194" s="171">
        <f t="shared" si="244"/>
        <v>16.517794059849532</v>
      </c>
      <c r="CW194" s="171">
        <f t="shared" si="245"/>
        <v>16.517794059849532</v>
      </c>
      <c r="CX194" s="171">
        <f t="shared" si="246"/>
        <v>16.517794059849532</v>
      </c>
      <c r="CY194" s="171">
        <f t="shared" ca="1" si="247"/>
        <v>15.681451397317652</v>
      </c>
      <c r="CZ194" s="171">
        <f t="shared" ca="1" si="248"/>
        <v>14.887455130838203</v>
      </c>
      <c r="DA194" s="171">
        <f t="shared" ca="1" si="249"/>
        <v>14.133661142528693</v>
      </c>
      <c r="DB194" s="171">
        <f t="shared" ca="1" si="250"/>
        <v>13.418033877263374</v>
      </c>
      <c r="DC194" s="171">
        <f t="shared" ca="1" si="251"/>
        <v>12.738640845833629</v>
      </c>
      <c r="DD194" s="171">
        <f t="shared" ca="1" si="252"/>
        <v>12.093647406428868</v>
      </c>
      <c r="DE194" s="171">
        <f t="shared" ca="1" si="253"/>
        <v>11.481311810345851</v>
      </c>
      <c r="DF194" s="171">
        <f t="shared" ca="1" si="254"/>
        <v>10.899980498547739</v>
      </c>
      <c r="DG194" s="171">
        <f t="shared" ca="1" si="255"/>
        <v>10.348083636371701</v>
      </c>
      <c r="DH194" s="171">
        <f t="shared" ca="1" si="256"/>
        <v>9.8241308743268796</v>
      </c>
      <c r="DI194" s="171">
        <f t="shared" ca="1" si="257"/>
        <v>9.3267073235351923</v>
      </c>
      <c r="DJ194" s="171">
        <f t="shared" ca="1" si="258"/>
        <v>8.854469734946921</v>
      </c>
      <c r="DK194" s="171">
        <f t="shared" ca="1" si="259"/>
        <v>8.406142872013449</v>
      </c>
      <c r="DL194" s="171">
        <f t="shared" ca="1" si="260"/>
        <v>7.980516067021842</v>
      </c>
      <c r="DM194" s="171">
        <f t="shared" ca="1" si="261"/>
        <v>7.5764399517919436</v>
      </c>
      <c r="DN194" s="171">
        <f t="shared" ca="1" si="262"/>
        <v>7.1928233539075457</v>
      </c>
      <c r="DO194" s="171">
        <f t="shared" ca="1" si="263"/>
        <v>6.828630350100152</v>
      </c>
      <c r="DP194" s="171">
        <f t="shared" ca="1" si="264"/>
        <v>0</v>
      </c>
      <c r="DQ194" s="171">
        <f t="shared" ca="1" si="265"/>
        <v>0</v>
      </c>
      <c r="DR194" s="171">
        <f t="shared" ca="1" si="266"/>
        <v>0</v>
      </c>
      <c r="DS194" s="171">
        <f t="shared" ca="1" si="267"/>
        <v>0</v>
      </c>
      <c r="DT194" s="171">
        <f t="shared" ca="1" si="268"/>
        <v>0</v>
      </c>
      <c r="DU194" s="171">
        <f t="shared" ca="1" si="269"/>
        <v>0</v>
      </c>
      <c r="DV194" s="171">
        <f t="shared" ca="1" si="270"/>
        <v>0</v>
      </c>
      <c r="DW194" s="171">
        <f t="shared" ca="1" si="271"/>
        <v>0</v>
      </c>
      <c r="DX194" s="171">
        <f t="shared" ca="1" si="272"/>
        <v>0</v>
      </c>
      <c r="DY194" s="171">
        <f t="shared" ca="1" si="273"/>
        <v>0</v>
      </c>
      <c r="DZ194" s="171">
        <f t="shared" ca="1" si="274"/>
        <v>0</v>
      </c>
      <c r="EA194" s="171">
        <f t="shared" ca="1" si="275"/>
        <v>0</v>
      </c>
      <c r="EB194" s="171">
        <f t="shared" ca="1" si="276"/>
        <v>0</v>
      </c>
      <c r="EC194" s="171">
        <f t="shared" ca="1" si="277"/>
        <v>0</v>
      </c>
      <c r="ED194" s="171">
        <f t="shared" ca="1" si="278"/>
        <v>0</v>
      </c>
      <c r="EE194" s="171">
        <f t="shared" ca="1" si="279"/>
        <v>0</v>
      </c>
      <c r="EF194" s="171">
        <f t="shared" ca="1" si="280"/>
        <v>0</v>
      </c>
      <c r="EG194" s="171">
        <f t="shared" ca="1" si="281"/>
        <v>0</v>
      </c>
      <c r="EH194" s="171">
        <f t="shared" ca="1" si="282"/>
        <v>0</v>
      </c>
      <c r="EI194" s="171">
        <f t="shared" ca="1" si="283"/>
        <v>0</v>
      </c>
      <c r="EJ194" s="171">
        <f t="shared" ca="1" si="284"/>
        <v>0</v>
      </c>
      <c r="EK194" s="171">
        <f t="shared" ca="1" si="285"/>
        <v>0</v>
      </c>
      <c r="EL194" s="171">
        <f t="shared" ca="1" si="286"/>
        <v>0</v>
      </c>
      <c r="EM194" s="171">
        <f t="shared" ca="1" si="287"/>
        <v>0</v>
      </c>
      <c r="EN194" s="171">
        <f t="shared" ca="1" si="288"/>
        <v>0</v>
      </c>
      <c r="EO194" s="171">
        <f t="shared" ca="1" si="289"/>
        <v>0</v>
      </c>
      <c r="EP194" s="171">
        <f t="shared" ca="1" si="290"/>
        <v>0</v>
      </c>
      <c r="EQ194" s="171">
        <f t="shared" ca="1" si="291"/>
        <v>0</v>
      </c>
      <c r="ER194" s="171">
        <f t="shared" ca="1" si="292"/>
        <v>0</v>
      </c>
      <c r="ES194" s="171">
        <f t="shared" ca="1" si="293"/>
        <v>0</v>
      </c>
    </row>
    <row r="195" spans="1:149">
      <c r="A195" s="139" t="s">
        <v>549</v>
      </c>
      <c r="B195" s="160" t="s">
        <v>427</v>
      </c>
      <c r="C195" s="160" t="s">
        <v>29</v>
      </c>
      <c r="D195" s="160" t="s">
        <v>394</v>
      </c>
      <c r="E195" s="160">
        <v>2010</v>
      </c>
      <c r="F195" s="160" t="s">
        <v>395</v>
      </c>
      <c r="G195" s="160" t="s">
        <v>402</v>
      </c>
      <c r="H195" s="160" t="s">
        <v>396</v>
      </c>
      <c r="I195" s="160" t="s">
        <v>176</v>
      </c>
      <c r="J195" s="160" t="s">
        <v>397</v>
      </c>
      <c r="K195" s="187">
        <v>210</v>
      </c>
      <c r="L195" s="163" t="s">
        <v>110</v>
      </c>
      <c r="M195" s="164">
        <f t="shared" si="223"/>
        <v>210</v>
      </c>
      <c r="N195" s="164">
        <f t="shared" si="224"/>
        <v>210</v>
      </c>
      <c r="O195" s="165">
        <f t="shared" si="225"/>
        <v>1</v>
      </c>
      <c r="P195" s="210">
        <v>2.4058710569794983E-2</v>
      </c>
      <c r="Q195" s="211">
        <v>23.583342661777632</v>
      </c>
      <c r="R195" s="168">
        <f t="shared" si="226"/>
        <v>9.5833426617776318</v>
      </c>
      <c r="S195" s="212">
        <v>6.5440636898279223</v>
      </c>
      <c r="T195" s="170" t="s">
        <v>403</v>
      </c>
      <c r="U195" s="171">
        <f t="shared" si="227"/>
        <v>11.942496328450032</v>
      </c>
      <c r="V195" s="171">
        <f t="shared" ca="1" si="228"/>
        <v>10.467136939893079</v>
      </c>
      <c r="W195" s="171">
        <f t="shared" ca="1" si="229"/>
        <v>246.85007714124902</v>
      </c>
      <c r="X195" s="172">
        <f t="shared" si="230"/>
        <v>0.20135495345148102</v>
      </c>
      <c r="Y195" s="172">
        <f t="shared" si="231"/>
        <v>0.79864504654851898</v>
      </c>
      <c r="Z195" s="173">
        <f t="shared" si="232"/>
        <v>281.64398315085839</v>
      </c>
      <c r="AA195" s="171">
        <f t="shared" si="300"/>
        <v>5.0523292196569463</v>
      </c>
      <c r="AB195" s="171">
        <f t="shared" si="300"/>
        <v>5.0523292196569463</v>
      </c>
      <c r="AC195" s="171">
        <f t="shared" si="300"/>
        <v>5.0523292196569463</v>
      </c>
      <c r="AD195" s="171">
        <f t="shared" si="300"/>
        <v>5.0523292196569463</v>
      </c>
      <c r="AE195" s="171">
        <f t="shared" si="300"/>
        <v>5.0523292196569463</v>
      </c>
      <c r="AF195" s="171">
        <f t="shared" si="300"/>
        <v>5.0523292196569463</v>
      </c>
      <c r="AG195" s="171">
        <f t="shared" si="300"/>
        <v>5.0523292196569463</v>
      </c>
      <c r="AH195" s="171">
        <f t="shared" si="300"/>
        <v>14.486922271368217</v>
      </c>
      <c r="AI195" s="171">
        <f t="shared" si="300"/>
        <v>14.486922271368217</v>
      </c>
      <c r="AJ195" s="171">
        <f t="shared" si="300"/>
        <v>14.486922271368217</v>
      </c>
      <c r="AK195" s="171">
        <f t="shared" si="301"/>
        <v>14.486922271368217</v>
      </c>
      <c r="AL195" s="171">
        <f t="shared" si="301"/>
        <v>14.486922271368217</v>
      </c>
      <c r="AM195" s="171">
        <f t="shared" si="301"/>
        <v>14.486922271368217</v>
      </c>
      <c r="AN195" s="171">
        <f t="shared" si="301"/>
        <v>14.486922271368217</v>
      </c>
      <c r="AO195" s="171">
        <f t="shared" si="301"/>
        <v>14.486922271368217</v>
      </c>
      <c r="AP195" s="171">
        <f t="shared" si="301"/>
        <v>14.486922271368217</v>
      </c>
      <c r="AQ195" s="171">
        <f t="shared" si="301"/>
        <v>14.486922271368217</v>
      </c>
      <c r="AR195" s="171">
        <f t="shared" si="301"/>
        <v>14.486922271368217</v>
      </c>
      <c r="AS195" s="171">
        <f t="shared" si="301"/>
        <v>14.486922271368217</v>
      </c>
      <c r="AT195" s="171">
        <f t="shared" si="301"/>
        <v>14.486922271368217</v>
      </c>
      <c r="AU195" s="171">
        <f t="shared" si="302"/>
        <v>14.486922271368217</v>
      </c>
      <c r="AV195" s="171">
        <f t="shared" si="302"/>
        <v>14.486922271368217</v>
      </c>
      <c r="AW195" s="171">
        <f t="shared" si="302"/>
        <v>14.486922271368217</v>
      </c>
      <c r="AX195" s="171">
        <f t="shared" si="302"/>
        <v>14.486922271368217</v>
      </c>
      <c r="AY195" s="171">
        <f t="shared" si="302"/>
        <v>0</v>
      </c>
      <c r="AZ195" s="171">
        <f t="shared" si="302"/>
        <v>0</v>
      </c>
      <c r="BA195" s="171">
        <f t="shared" si="302"/>
        <v>0</v>
      </c>
      <c r="BB195" s="171">
        <f t="shared" si="302"/>
        <v>0</v>
      </c>
      <c r="BC195" s="171">
        <f t="shared" si="302"/>
        <v>0</v>
      </c>
      <c r="BD195" s="171">
        <f t="shared" si="302"/>
        <v>0</v>
      </c>
      <c r="BE195" s="171">
        <f t="shared" si="303"/>
        <v>0</v>
      </c>
      <c r="BF195" s="171">
        <f t="shared" si="303"/>
        <v>0</v>
      </c>
      <c r="BG195" s="171">
        <f t="shared" si="303"/>
        <v>0</v>
      </c>
      <c r="BH195" s="171">
        <f t="shared" si="303"/>
        <v>0</v>
      </c>
      <c r="BI195" s="171">
        <f t="shared" si="303"/>
        <v>0</v>
      </c>
      <c r="BJ195" s="171">
        <f t="shared" si="303"/>
        <v>0</v>
      </c>
      <c r="BK195" s="171">
        <f t="shared" si="303"/>
        <v>0</v>
      </c>
      <c r="BL195" s="171">
        <f t="shared" si="303"/>
        <v>0</v>
      </c>
      <c r="BM195" s="171">
        <f t="shared" si="303"/>
        <v>0</v>
      </c>
      <c r="BN195" s="171">
        <f t="shared" si="303"/>
        <v>0</v>
      </c>
      <c r="BO195" s="171">
        <f t="shared" si="304"/>
        <v>0</v>
      </c>
      <c r="BP195" s="171">
        <f t="shared" si="304"/>
        <v>0</v>
      </c>
      <c r="BQ195" s="171">
        <f t="shared" si="304"/>
        <v>0</v>
      </c>
      <c r="BR195" s="171">
        <f t="shared" si="304"/>
        <v>0</v>
      </c>
      <c r="BS195" s="171">
        <f t="shared" si="304"/>
        <v>0</v>
      </c>
      <c r="BT195" s="171">
        <f t="shared" si="304"/>
        <v>0</v>
      </c>
      <c r="BU195" s="171">
        <f t="shared" si="304"/>
        <v>0</v>
      </c>
      <c r="BV195" s="171">
        <f t="shared" si="304"/>
        <v>0</v>
      </c>
      <c r="BW195" s="171">
        <f t="shared" si="304"/>
        <v>0</v>
      </c>
      <c r="BX195" s="171">
        <f t="shared" si="304"/>
        <v>0</v>
      </c>
      <c r="BY195" s="171">
        <f t="shared" si="305"/>
        <v>0</v>
      </c>
      <c r="BZ195" s="171">
        <f t="shared" si="305"/>
        <v>0</v>
      </c>
      <c r="CA195" s="171">
        <f t="shared" si="305"/>
        <v>0</v>
      </c>
      <c r="CB195" s="171">
        <f t="shared" si="305"/>
        <v>0</v>
      </c>
      <c r="CC195" s="171">
        <f t="shared" si="305"/>
        <v>0</v>
      </c>
      <c r="CD195" s="171">
        <f t="shared" si="305"/>
        <v>0</v>
      </c>
      <c r="CE195" s="171">
        <f t="shared" si="305"/>
        <v>0</v>
      </c>
      <c r="CF195" s="171">
        <f t="shared" si="305"/>
        <v>0</v>
      </c>
      <c r="CG195" s="171">
        <f t="shared" si="305"/>
        <v>0</v>
      </c>
      <c r="CH195" s="171">
        <f t="shared" si="305"/>
        <v>0</v>
      </c>
      <c r="CI195" s="171">
        <f t="shared" si="305"/>
        <v>0</v>
      </c>
      <c r="CJ195" s="243"/>
      <c r="CK195" s="171">
        <f t="shared" si="233"/>
        <v>5.0523292196569463</v>
      </c>
      <c r="CL195" s="171">
        <f t="shared" si="234"/>
        <v>5.0523292196569463</v>
      </c>
      <c r="CM195" s="171">
        <f t="shared" si="235"/>
        <v>5.0523292196569463</v>
      </c>
      <c r="CN195" s="171">
        <f t="shared" si="236"/>
        <v>5.0523292196569463</v>
      </c>
      <c r="CO195" s="171">
        <f t="shared" si="237"/>
        <v>5.0523292196569463</v>
      </c>
      <c r="CP195" s="171">
        <f t="shared" si="238"/>
        <v>5.0523292196569463</v>
      </c>
      <c r="CQ195" s="171">
        <f t="shared" si="239"/>
        <v>5.0523292196569463</v>
      </c>
      <c r="CR195" s="171">
        <f t="shared" si="240"/>
        <v>14.486922271368217</v>
      </c>
      <c r="CS195" s="171">
        <f t="shared" si="241"/>
        <v>14.486922271368217</v>
      </c>
      <c r="CT195" s="171">
        <f t="shared" si="242"/>
        <v>14.486922271368217</v>
      </c>
      <c r="CU195" s="171">
        <f t="shared" si="243"/>
        <v>14.486922271368217</v>
      </c>
      <c r="CV195" s="171">
        <f t="shared" si="244"/>
        <v>14.486922271368217</v>
      </c>
      <c r="CW195" s="171">
        <f t="shared" si="245"/>
        <v>14.486922271368217</v>
      </c>
      <c r="CX195" s="171">
        <f t="shared" si="246"/>
        <v>14.486922271368217</v>
      </c>
      <c r="CY195" s="171">
        <f t="shared" ca="1" si="247"/>
        <v>13.753408395336827</v>
      </c>
      <c r="CZ195" s="171">
        <f t="shared" ca="1" si="248"/>
        <v>13.057034402867453</v>
      </c>
      <c r="DA195" s="171">
        <f t="shared" ca="1" si="249"/>
        <v>12.395919796540657</v>
      </c>
      <c r="DB195" s="171">
        <f t="shared" ca="1" si="250"/>
        <v>11.768279293843596</v>
      </c>
      <c r="DC195" s="171">
        <f t="shared" ca="1" si="251"/>
        <v>11.172418006169835</v>
      </c>
      <c r="DD195" s="171">
        <f t="shared" ca="1" si="252"/>
        <v>10.606726861920013</v>
      </c>
      <c r="DE195" s="171">
        <f t="shared" ca="1" si="253"/>
        <v>10.069678261343901</v>
      </c>
      <c r="DF195" s="171">
        <f t="shared" ca="1" si="254"/>
        <v>9.5598219513900968</v>
      </c>
      <c r="DG195" s="171">
        <f t="shared" ca="1" si="255"/>
        <v>9.0757811094237493</v>
      </c>
      <c r="DH195" s="171">
        <f t="shared" ca="1" si="256"/>
        <v>8.6162486252367447</v>
      </c>
      <c r="DI195" s="171">
        <f t="shared" ca="1" si="257"/>
        <v>0</v>
      </c>
      <c r="DJ195" s="171">
        <f t="shared" ca="1" si="258"/>
        <v>0</v>
      </c>
      <c r="DK195" s="171">
        <f t="shared" ca="1" si="259"/>
        <v>0</v>
      </c>
      <c r="DL195" s="171">
        <f t="shared" ca="1" si="260"/>
        <v>0</v>
      </c>
      <c r="DM195" s="171">
        <f t="shared" ca="1" si="261"/>
        <v>0</v>
      </c>
      <c r="DN195" s="171">
        <f t="shared" ca="1" si="262"/>
        <v>0</v>
      </c>
      <c r="DO195" s="171">
        <f t="shared" ca="1" si="263"/>
        <v>0</v>
      </c>
      <c r="DP195" s="171">
        <f t="shared" ca="1" si="264"/>
        <v>0</v>
      </c>
      <c r="DQ195" s="171">
        <f t="shared" ca="1" si="265"/>
        <v>0</v>
      </c>
      <c r="DR195" s="171">
        <f t="shared" ca="1" si="266"/>
        <v>0</v>
      </c>
      <c r="DS195" s="171">
        <f t="shared" ca="1" si="267"/>
        <v>0</v>
      </c>
      <c r="DT195" s="171">
        <f t="shared" ca="1" si="268"/>
        <v>0</v>
      </c>
      <c r="DU195" s="171">
        <f t="shared" ca="1" si="269"/>
        <v>0</v>
      </c>
      <c r="DV195" s="171">
        <f t="shared" ca="1" si="270"/>
        <v>0</v>
      </c>
      <c r="DW195" s="171">
        <f t="shared" ca="1" si="271"/>
        <v>0</v>
      </c>
      <c r="DX195" s="171">
        <f t="shared" ca="1" si="272"/>
        <v>0</v>
      </c>
      <c r="DY195" s="171">
        <f t="shared" ca="1" si="273"/>
        <v>0</v>
      </c>
      <c r="DZ195" s="171">
        <f t="shared" ca="1" si="274"/>
        <v>0</v>
      </c>
      <c r="EA195" s="171">
        <f t="shared" ca="1" si="275"/>
        <v>0</v>
      </c>
      <c r="EB195" s="171">
        <f t="shared" ca="1" si="276"/>
        <v>0</v>
      </c>
      <c r="EC195" s="171">
        <f t="shared" ca="1" si="277"/>
        <v>0</v>
      </c>
      <c r="ED195" s="171">
        <f t="shared" ca="1" si="278"/>
        <v>0</v>
      </c>
      <c r="EE195" s="171">
        <f t="shared" ca="1" si="279"/>
        <v>0</v>
      </c>
      <c r="EF195" s="171">
        <f t="shared" ca="1" si="280"/>
        <v>0</v>
      </c>
      <c r="EG195" s="171">
        <f t="shared" ca="1" si="281"/>
        <v>0</v>
      </c>
      <c r="EH195" s="171">
        <f t="shared" ca="1" si="282"/>
        <v>0</v>
      </c>
      <c r="EI195" s="171">
        <f t="shared" ca="1" si="283"/>
        <v>0</v>
      </c>
      <c r="EJ195" s="171">
        <f t="shared" ca="1" si="284"/>
        <v>0</v>
      </c>
      <c r="EK195" s="171">
        <f t="shared" ca="1" si="285"/>
        <v>0</v>
      </c>
      <c r="EL195" s="171">
        <f t="shared" ca="1" si="286"/>
        <v>0</v>
      </c>
      <c r="EM195" s="171">
        <f t="shared" ca="1" si="287"/>
        <v>0</v>
      </c>
      <c r="EN195" s="171">
        <f t="shared" ca="1" si="288"/>
        <v>0</v>
      </c>
      <c r="EO195" s="171">
        <f t="shared" ca="1" si="289"/>
        <v>0</v>
      </c>
      <c r="EP195" s="171">
        <f t="shared" ca="1" si="290"/>
        <v>0</v>
      </c>
      <c r="EQ195" s="171">
        <f t="shared" ca="1" si="291"/>
        <v>0</v>
      </c>
      <c r="ER195" s="171">
        <f t="shared" ca="1" si="292"/>
        <v>0</v>
      </c>
      <c r="ES195" s="171">
        <f t="shared" ca="1" si="293"/>
        <v>0</v>
      </c>
    </row>
    <row r="196" spans="1:149">
      <c r="A196" s="139" t="s">
        <v>549</v>
      </c>
      <c r="B196" s="160" t="s">
        <v>409</v>
      </c>
      <c r="C196" s="160" t="s">
        <v>29</v>
      </c>
      <c r="D196" s="160" t="s">
        <v>394</v>
      </c>
      <c r="E196" s="160">
        <v>2010</v>
      </c>
      <c r="F196" s="160" t="s">
        <v>395</v>
      </c>
      <c r="G196" s="160" t="s">
        <v>402</v>
      </c>
      <c r="H196" s="160" t="s">
        <v>396</v>
      </c>
      <c r="I196" s="160" t="s">
        <v>178</v>
      </c>
      <c r="J196" s="160" t="s">
        <v>397</v>
      </c>
      <c r="K196" s="187">
        <v>168</v>
      </c>
      <c r="L196" s="163" t="s">
        <v>110</v>
      </c>
      <c r="M196" s="164">
        <f t="shared" si="223"/>
        <v>168</v>
      </c>
      <c r="N196" s="164">
        <f t="shared" si="224"/>
        <v>168</v>
      </c>
      <c r="O196" s="165">
        <f t="shared" si="225"/>
        <v>1</v>
      </c>
      <c r="P196" s="190">
        <v>3.884E-2</v>
      </c>
      <c r="Q196" s="191">
        <v>27</v>
      </c>
      <c r="R196" s="168">
        <f t="shared" si="226"/>
        <v>13</v>
      </c>
      <c r="S196" s="183">
        <v>6.9579862261231415</v>
      </c>
      <c r="T196" s="170" t="s">
        <v>403</v>
      </c>
      <c r="U196" s="171">
        <f t="shared" si="227"/>
        <v>10.894393516418033</v>
      </c>
      <c r="V196" s="171">
        <f t="shared" ca="1" si="228"/>
        <v>9.0060956995546082</v>
      </c>
      <c r="W196" s="171">
        <f t="shared" ca="1" si="229"/>
        <v>243.1645838879744</v>
      </c>
      <c r="X196" s="172">
        <f t="shared" si="230"/>
        <v>0.2662024509502886</v>
      </c>
      <c r="Y196" s="172">
        <f t="shared" si="231"/>
        <v>0.7337975490497114</v>
      </c>
      <c r="Z196" s="173">
        <f t="shared" si="232"/>
        <v>294.1486249432869</v>
      </c>
      <c r="AA196" s="171">
        <f t="shared" si="300"/>
        <v>6.5251200000000003</v>
      </c>
      <c r="AB196" s="171">
        <f t="shared" si="300"/>
        <v>6.5251200000000003</v>
      </c>
      <c r="AC196" s="171">
        <f t="shared" si="300"/>
        <v>6.5251200000000003</v>
      </c>
      <c r="AD196" s="171">
        <f t="shared" si="300"/>
        <v>6.5251200000000003</v>
      </c>
      <c r="AE196" s="171">
        <f t="shared" si="300"/>
        <v>6.5251200000000003</v>
      </c>
      <c r="AF196" s="171">
        <f t="shared" si="300"/>
        <v>6.5251200000000003</v>
      </c>
      <c r="AG196" s="171">
        <f t="shared" si="300"/>
        <v>6.5251200000000003</v>
      </c>
      <c r="AH196" s="171">
        <f t="shared" si="300"/>
        <v>11.832037378251758</v>
      </c>
      <c r="AI196" s="171">
        <f t="shared" si="300"/>
        <v>11.832037378251758</v>
      </c>
      <c r="AJ196" s="171">
        <f t="shared" si="300"/>
        <v>11.832037378251758</v>
      </c>
      <c r="AK196" s="171">
        <f t="shared" si="301"/>
        <v>11.832037378251758</v>
      </c>
      <c r="AL196" s="171">
        <f t="shared" si="301"/>
        <v>11.832037378251758</v>
      </c>
      <c r="AM196" s="171">
        <f t="shared" si="301"/>
        <v>11.832037378251758</v>
      </c>
      <c r="AN196" s="171">
        <f t="shared" si="301"/>
        <v>11.832037378251758</v>
      </c>
      <c r="AO196" s="171">
        <f t="shared" si="301"/>
        <v>11.832037378251758</v>
      </c>
      <c r="AP196" s="171">
        <f t="shared" si="301"/>
        <v>11.832037378251758</v>
      </c>
      <c r="AQ196" s="171">
        <f t="shared" si="301"/>
        <v>11.832037378251758</v>
      </c>
      <c r="AR196" s="171">
        <f t="shared" si="301"/>
        <v>11.832037378251758</v>
      </c>
      <c r="AS196" s="171">
        <f t="shared" si="301"/>
        <v>11.832037378251758</v>
      </c>
      <c r="AT196" s="171">
        <f t="shared" si="301"/>
        <v>11.832037378251758</v>
      </c>
      <c r="AU196" s="171">
        <f t="shared" si="302"/>
        <v>11.832037378251758</v>
      </c>
      <c r="AV196" s="171">
        <f t="shared" si="302"/>
        <v>11.832037378251758</v>
      </c>
      <c r="AW196" s="171">
        <f t="shared" si="302"/>
        <v>11.832037378251758</v>
      </c>
      <c r="AX196" s="171">
        <f t="shared" si="302"/>
        <v>11.832037378251758</v>
      </c>
      <c r="AY196" s="171">
        <f t="shared" si="302"/>
        <v>11.832037378251758</v>
      </c>
      <c r="AZ196" s="171">
        <f t="shared" si="302"/>
        <v>11.832037378251758</v>
      </c>
      <c r="BA196" s="171">
        <f t="shared" si="302"/>
        <v>11.832037378251758</v>
      </c>
      <c r="BB196" s="171">
        <f t="shared" si="302"/>
        <v>11.832037378251758</v>
      </c>
      <c r="BC196" s="171">
        <f t="shared" si="302"/>
        <v>0</v>
      </c>
      <c r="BD196" s="171">
        <f t="shared" si="302"/>
        <v>0</v>
      </c>
      <c r="BE196" s="171">
        <f t="shared" si="303"/>
        <v>0</v>
      </c>
      <c r="BF196" s="171">
        <f t="shared" si="303"/>
        <v>0</v>
      </c>
      <c r="BG196" s="171">
        <f t="shared" si="303"/>
        <v>0</v>
      </c>
      <c r="BH196" s="171">
        <f t="shared" si="303"/>
        <v>0</v>
      </c>
      <c r="BI196" s="171">
        <f t="shared" si="303"/>
        <v>0</v>
      </c>
      <c r="BJ196" s="171">
        <f t="shared" si="303"/>
        <v>0</v>
      </c>
      <c r="BK196" s="171">
        <f t="shared" si="303"/>
        <v>0</v>
      </c>
      <c r="BL196" s="171">
        <f t="shared" si="303"/>
        <v>0</v>
      </c>
      <c r="BM196" s="171">
        <f t="shared" si="303"/>
        <v>0</v>
      </c>
      <c r="BN196" s="171">
        <f t="shared" si="303"/>
        <v>0</v>
      </c>
      <c r="BO196" s="171">
        <f t="shared" si="304"/>
        <v>0</v>
      </c>
      <c r="BP196" s="171">
        <f t="shared" si="304"/>
        <v>0</v>
      </c>
      <c r="BQ196" s="171">
        <f t="shared" si="304"/>
        <v>0</v>
      </c>
      <c r="BR196" s="171">
        <f t="shared" si="304"/>
        <v>0</v>
      </c>
      <c r="BS196" s="171">
        <f t="shared" si="304"/>
        <v>0</v>
      </c>
      <c r="BT196" s="171">
        <f t="shared" si="304"/>
        <v>0</v>
      </c>
      <c r="BU196" s="171">
        <f t="shared" si="304"/>
        <v>0</v>
      </c>
      <c r="BV196" s="171">
        <f t="shared" si="304"/>
        <v>0</v>
      </c>
      <c r="BW196" s="171">
        <f t="shared" si="304"/>
        <v>0</v>
      </c>
      <c r="BX196" s="171">
        <f t="shared" si="304"/>
        <v>0</v>
      </c>
      <c r="BY196" s="171">
        <f t="shared" si="305"/>
        <v>0</v>
      </c>
      <c r="BZ196" s="171">
        <f t="shared" si="305"/>
        <v>0</v>
      </c>
      <c r="CA196" s="171">
        <f t="shared" si="305"/>
        <v>0</v>
      </c>
      <c r="CB196" s="171">
        <f t="shared" si="305"/>
        <v>0</v>
      </c>
      <c r="CC196" s="171">
        <f t="shared" si="305"/>
        <v>0</v>
      </c>
      <c r="CD196" s="171">
        <f t="shared" si="305"/>
        <v>0</v>
      </c>
      <c r="CE196" s="171">
        <f t="shared" si="305"/>
        <v>0</v>
      </c>
      <c r="CF196" s="171">
        <f t="shared" si="305"/>
        <v>0</v>
      </c>
      <c r="CG196" s="171">
        <f t="shared" si="305"/>
        <v>0</v>
      </c>
      <c r="CH196" s="171">
        <f t="shared" si="305"/>
        <v>0</v>
      </c>
      <c r="CI196" s="171">
        <f t="shared" si="305"/>
        <v>0</v>
      </c>
      <c r="CJ196" s="243"/>
      <c r="CK196" s="171">
        <f t="shared" si="233"/>
        <v>6.5251200000000003</v>
      </c>
      <c r="CL196" s="171">
        <f t="shared" si="234"/>
        <v>6.5251200000000003</v>
      </c>
      <c r="CM196" s="171">
        <f t="shared" si="235"/>
        <v>6.5251200000000003</v>
      </c>
      <c r="CN196" s="171">
        <f t="shared" si="236"/>
        <v>6.5251200000000003</v>
      </c>
      <c r="CO196" s="171">
        <f t="shared" si="237"/>
        <v>6.5251200000000003</v>
      </c>
      <c r="CP196" s="171">
        <f t="shared" si="238"/>
        <v>6.5251200000000003</v>
      </c>
      <c r="CQ196" s="171">
        <f t="shared" si="239"/>
        <v>6.5251200000000003</v>
      </c>
      <c r="CR196" s="171">
        <f t="shared" si="240"/>
        <v>11.832037378251758</v>
      </c>
      <c r="CS196" s="171">
        <f t="shared" si="241"/>
        <v>11.832037378251758</v>
      </c>
      <c r="CT196" s="171">
        <f t="shared" si="242"/>
        <v>11.832037378251758</v>
      </c>
      <c r="CU196" s="171">
        <f t="shared" si="243"/>
        <v>11.832037378251758</v>
      </c>
      <c r="CV196" s="171">
        <f t="shared" si="244"/>
        <v>11.832037378251758</v>
      </c>
      <c r="CW196" s="171">
        <f t="shared" si="245"/>
        <v>11.832037378251758</v>
      </c>
      <c r="CX196" s="171">
        <f t="shared" si="246"/>
        <v>11.832037378251758</v>
      </c>
      <c r="CY196" s="171">
        <f t="shared" ca="1" si="247"/>
        <v>11.232947838313885</v>
      </c>
      <c r="CZ196" s="171">
        <f t="shared" ca="1" si="248"/>
        <v>10.664191897348802</v>
      </c>
      <c r="DA196" s="171">
        <f t="shared" ca="1" si="249"/>
        <v>10.124233679389228</v>
      </c>
      <c r="DB196" s="171">
        <f t="shared" ca="1" si="250"/>
        <v>9.6116150742149919</v>
      </c>
      <c r="DC196" s="171">
        <f t="shared" ca="1" si="251"/>
        <v>9.1249517998531768</v>
      </c>
      <c r="DD196" s="171">
        <f t="shared" ca="1" si="252"/>
        <v>8.6629296644449933</v>
      </c>
      <c r="DE196" s="171">
        <f t="shared" ca="1" si="253"/>
        <v>8.2243010173849438</v>
      </c>
      <c r="DF196" s="171">
        <f t="shared" ca="1" si="254"/>
        <v>7.8078813801488298</v>
      </c>
      <c r="DG196" s="171">
        <f t="shared" ca="1" si="255"/>
        <v>7.4125462477124922</v>
      </c>
      <c r="DH196" s="171">
        <f t="shared" ca="1" si="256"/>
        <v>7.0372280519237602</v>
      </c>
      <c r="DI196" s="171">
        <f t="shared" ca="1" si="257"/>
        <v>6.6809132786274779</v>
      </c>
      <c r="DJ196" s="171">
        <f t="shared" ca="1" si="258"/>
        <v>6.3426397307586528</v>
      </c>
      <c r="DK196" s="171">
        <f t="shared" ca="1" si="259"/>
        <v>6.0214939300129382</v>
      </c>
      <c r="DL196" s="171">
        <f t="shared" ca="1" si="260"/>
        <v>5.7166086500778972</v>
      </c>
      <c r="DM196" s="171">
        <f t="shared" ca="1" si="261"/>
        <v>0</v>
      </c>
      <c r="DN196" s="171">
        <f t="shared" ca="1" si="262"/>
        <v>0</v>
      </c>
      <c r="DO196" s="171">
        <f t="shared" ca="1" si="263"/>
        <v>0</v>
      </c>
      <c r="DP196" s="171">
        <f t="shared" ca="1" si="264"/>
        <v>0</v>
      </c>
      <c r="DQ196" s="171">
        <f t="shared" ca="1" si="265"/>
        <v>0</v>
      </c>
      <c r="DR196" s="171">
        <f t="shared" ca="1" si="266"/>
        <v>0</v>
      </c>
      <c r="DS196" s="171">
        <f t="shared" ca="1" si="267"/>
        <v>0</v>
      </c>
      <c r="DT196" s="171">
        <f t="shared" ca="1" si="268"/>
        <v>0</v>
      </c>
      <c r="DU196" s="171">
        <f t="shared" ca="1" si="269"/>
        <v>0</v>
      </c>
      <c r="DV196" s="171">
        <f t="shared" ca="1" si="270"/>
        <v>0</v>
      </c>
      <c r="DW196" s="171">
        <f t="shared" ca="1" si="271"/>
        <v>0</v>
      </c>
      <c r="DX196" s="171">
        <f t="shared" ca="1" si="272"/>
        <v>0</v>
      </c>
      <c r="DY196" s="171">
        <f t="shared" ca="1" si="273"/>
        <v>0</v>
      </c>
      <c r="DZ196" s="171">
        <f t="shared" ca="1" si="274"/>
        <v>0</v>
      </c>
      <c r="EA196" s="171">
        <f t="shared" ca="1" si="275"/>
        <v>0</v>
      </c>
      <c r="EB196" s="171">
        <f t="shared" ca="1" si="276"/>
        <v>0</v>
      </c>
      <c r="EC196" s="171">
        <f t="shared" ca="1" si="277"/>
        <v>0</v>
      </c>
      <c r="ED196" s="171">
        <f t="shared" ca="1" si="278"/>
        <v>0</v>
      </c>
      <c r="EE196" s="171">
        <f t="shared" ca="1" si="279"/>
        <v>0</v>
      </c>
      <c r="EF196" s="171">
        <f t="shared" ca="1" si="280"/>
        <v>0</v>
      </c>
      <c r="EG196" s="171">
        <f t="shared" ca="1" si="281"/>
        <v>0</v>
      </c>
      <c r="EH196" s="171">
        <f t="shared" ca="1" si="282"/>
        <v>0</v>
      </c>
      <c r="EI196" s="171">
        <f t="shared" ca="1" si="283"/>
        <v>0</v>
      </c>
      <c r="EJ196" s="171">
        <f t="shared" ca="1" si="284"/>
        <v>0</v>
      </c>
      <c r="EK196" s="171">
        <f t="shared" ca="1" si="285"/>
        <v>0</v>
      </c>
      <c r="EL196" s="171">
        <f t="shared" ca="1" si="286"/>
        <v>0</v>
      </c>
      <c r="EM196" s="171">
        <f t="shared" ca="1" si="287"/>
        <v>0</v>
      </c>
      <c r="EN196" s="171">
        <f t="shared" ca="1" si="288"/>
        <v>0</v>
      </c>
      <c r="EO196" s="171">
        <f t="shared" ca="1" si="289"/>
        <v>0</v>
      </c>
      <c r="EP196" s="171">
        <f t="shared" ca="1" si="290"/>
        <v>0</v>
      </c>
      <c r="EQ196" s="171">
        <f t="shared" ca="1" si="291"/>
        <v>0</v>
      </c>
      <c r="ER196" s="171">
        <f t="shared" ca="1" si="292"/>
        <v>0</v>
      </c>
      <c r="ES196" s="171">
        <f t="shared" ca="1" si="293"/>
        <v>0</v>
      </c>
    </row>
    <row r="197" spans="1:149">
      <c r="A197" s="139" t="s">
        <v>549</v>
      </c>
      <c r="B197" s="160" t="s">
        <v>420</v>
      </c>
      <c r="C197" s="160" t="s">
        <v>29</v>
      </c>
      <c r="D197" s="160" t="s">
        <v>394</v>
      </c>
      <c r="E197" s="160">
        <v>2010</v>
      </c>
      <c r="F197" s="160" t="s">
        <v>400</v>
      </c>
      <c r="G197" s="160" t="s">
        <v>289</v>
      </c>
      <c r="H197" s="160" t="s">
        <v>396</v>
      </c>
      <c r="I197" s="160" t="s">
        <v>183</v>
      </c>
      <c r="J197" s="160" t="s">
        <v>401</v>
      </c>
      <c r="K197" s="187">
        <v>130</v>
      </c>
      <c r="L197" s="163" t="s">
        <v>110</v>
      </c>
      <c r="M197" s="164">
        <f t="shared" si="223"/>
        <v>130</v>
      </c>
      <c r="N197" s="164">
        <f t="shared" si="224"/>
        <v>130</v>
      </c>
      <c r="O197" s="165">
        <f t="shared" si="225"/>
        <v>1</v>
      </c>
      <c r="P197" s="176">
        <v>5.4833333329999998E-2</v>
      </c>
      <c r="Q197" s="177">
        <v>25</v>
      </c>
      <c r="R197" s="168">
        <f t="shared" si="226"/>
        <v>11</v>
      </c>
      <c r="S197" s="181">
        <v>0</v>
      </c>
      <c r="T197" s="160" t="s">
        <v>289</v>
      </c>
      <c r="U197" s="171">
        <f t="shared" si="227"/>
        <v>7.4134666662160047</v>
      </c>
      <c r="V197" s="171">
        <f t="shared" ca="1" si="228"/>
        <v>6.4722291585660567</v>
      </c>
      <c r="W197" s="171">
        <f t="shared" ca="1" si="229"/>
        <v>161.80572896415143</v>
      </c>
      <c r="X197" s="172" t="str">
        <f t="shared" si="230"/>
        <v>Equity</v>
      </c>
      <c r="Y197" s="172" t="str">
        <f t="shared" si="231"/>
        <v>Equity</v>
      </c>
      <c r="Z197" s="173">
        <f t="shared" si="232"/>
        <v>185.33666665540011</v>
      </c>
      <c r="AA197" s="171">
        <f t="shared" si="300"/>
        <v>7.1283333328999996</v>
      </c>
      <c r="AB197" s="171">
        <f t="shared" si="300"/>
        <v>7.1283333328999996</v>
      </c>
      <c r="AC197" s="171">
        <f t="shared" si="300"/>
        <v>7.1283333328999996</v>
      </c>
      <c r="AD197" s="171">
        <f t="shared" si="300"/>
        <v>7.1283333328999996</v>
      </c>
      <c r="AE197" s="171">
        <f t="shared" si="300"/>
        <v>7.1283333328999996</v>
      </c>
      <c r="AF197" s="171">
        <f t="shared" si="300"/>
        <v>7.1283333328999996</v>
      </c>
      <c r="AG197" s="171">
        <f t="shared" si="300"/>
        <v>7.1283333328999996</v>
      </c>
      <c r="AH197" s="171">
        <f t="shared" si="300"/>
        <v>7.1283333328999996</v>
      </c>
      <c r="AI197" s="171">
        <f t="shared" si="300"/>
        <v>7.1283333328999996</v>
      </c>
      <c r="AJ197" s="171">
        <f t="shared" si="300"/>
        <v>7.1283333328999996</v>
      </c>
      <c r="AK197" s="171">
        <f t="shared" si="301"/>
        <v>7.1283333328999996</v>
      </c>
      <c r="AL197" s="171">
        <f t="shared" si="301"/>
        <v>7.1283333328999996</v>
      </c>
      <c r="AM197" s="171">
        <f t="shared" si="301"/>
        <v>7.1283333328999996</v>
      </c>
      <c r="AN197" s="171">
        <f t="shared" si="301"/>
        <v>7.1283333328999996</v>
      </c>
      <c r="AO197" s="171">
        <f t="shared" si="301"/>
        <v>7.1283333328999996</v>
      </c>
      <c r="AP197" s="171">
        <f t="shared" si="301"/>
        <v>7.1283333328999996</v>
      </c>
      <c r="AQ197" s="171">
        <f t="shared" si="301"/>
        <v>7.1283333328999996</v>
      </c>
      <c r="AR197" s="171">
        <f t="shared" si="301"/>
        <v>7.1283333328999996</v>
      </c>
      <c r="AS197" s="171">
        <f t="shared" si="301"/>
        <v>7.1283333328999996</v>
      </c>
      <c r="AT197" s="171">
        <f t="shared" si="301"/>
        <v>7.1283333328999996</v>
      </c>
      <c r="AU197" s="171">
        <f t="shared" si="302"/>
        <v>7.1283333328999996</v>
      </c>
      <c r="AV197" s="171">
        <f t="shared" si="302"/>
        <v>7.1283333328999996</v>
      </c>
      <c r="AW197" s="171">
        <f t="shared" si="302"/>
        <v>7.1283333328999996</v>
      </c>
      <c r="AX197" s="171">
        <f t="shared" si="302"/>
        <v>7.1283333328999996</v>
      </c>
      <c r="AY197" s="171">
        <f t="shared" si="302"/>
        <v>7.1283333328999996</v>
      </c>
      <c r="AZ197" s="171">
        <f t="shared" si="302"/>
        <v>7.1283333328999996</v>
      </c>
      <c r="BA197" s="171">
        <f t="shared" si="302"/>
        <v>0</v>
      </c>
      <c r="BB197" s="171">
        <f t="shared" si="302"/>
        <v>0</v>
      </c>
      <c r="BC197" s="171">
        <f t="shared" si="302"/>
        <v>0</v>
      </c>
      <c r="BD197" s="171">
        <f t="shared" si="302"/>
        <v>0</v>
      </c>
      <c r="BE197" s="171">
        <f t="shared" si="303"/>
        <v>0</v>
      </c>
      <c r="BF197" s="171">
        <f t="shared" si="303"/>
        <v>0</v>
      </c>
      <c r="BG197" s="171">
        <f t="shared" si="303"/>
        <v>0</v>
      </c>
      <c r="BH197" s="171">
        <f t="shared" si="303"/>
        <v>0</v>
      </c>
      <c r="BI197" s="171">
        <f t="shared" si="303"/>
        <v>0</v>
      </c>
      <c r="BJ197" s="171">
        <f t="shared" si="303"/>
        <v>0</v>
      </c>
      <c r="BK197" s="171">
        <f t="shared" si="303"/>
        <v>0</v>
      </c>
      <c r="BL197" s="171">
        <f t="shared" si="303"/>
        <v>0</v>
      </c>
      <c r="BM197" s="171">
        <f t="shared" si="303"/>
        <v>0</v>
      </c>
      <c r="BN197" s="171">
        <f t="shared" si="303"/>
        <v>0</v>
      </c>
      <c r="BO197" s="171">
        <f t="shared" si="304"/>
        <v>0</v>
      </c>
      <c r="BP197" s="171">
        <f t="shared" si="304"/>
        <v>0</v>
      </c>
      <c r="BQ197" s="171">
        <f t="shared" si="304"/>
        <v>0</v>
      </c>
      <c r="BR197" s="171">
        <f t="shared" si="304"/>
        <v>0</v>
      </c>
      <c r="BS197" s="171">
        <f t="shared" si="304"/>
        <v>0</v>
      </c>
      <c r="BT197" s="171">
        <f t="shared" si="304"/>
        <v>0</v>
      </c>
      <c r="BU197" s="171">
        <f t="shared" si="304"/>
        <v>0</v>
      </c>
      <c r="BV197" s="171">
        <f t="shared" si="304"/>
        <v>0</v>
      </c>
      <c r="BW197" s="171">
        <f t="shared" si="304"/>
        <v>0</v>
      </c>
      <c r="BX197" s="171">
        <f t="shared" si="304"/>
        <v>0</v>
      </c>
      <c r="BY197" s="171">
        <f t="shared" si="305"/>
        <v>0</v>
      </c>
      <c r="BZ197" s="171">
        <f t="shared" si="305"/>
        <v>0</v>
      </c>
      <c r="CA197" s="171">
        <f t="shared" si="305"/>
        <v>0</v>
      </c>
      <c r="CB197" s="171">
        <f t="shared" si="305"/>
        <v>0</v>
      </c>
      <c r="CC197" s="171">
        <f t="shared" si="305"/>
        <v>0</v>
      </c>
      <c r="CD197" s="171">
        <f t="shared" si="305"/>
        <v>0</v>
      </c>
      <c r="CE197" s="171">
        <f t="shared" si="305"/>
        <v>0</v>
      </c>
      <c r="CF197" s="171">
        <f t="shared" si="305"/>
        <v>0</v>
      </c>
      <c r="CG197" s="171">
        <f t="shared" si="305"/>
        <v>0</v>
      </c>
      <c r="CH197" s="171">
        <f t="shared" si="305"/>
        <v>0</v>
      </c>
      <c r="CI197" s="171">
        <f t="shared" si="305"/>
        <v>0</v>
      </c>
      <c r="CJ197" s="243"/>
      <c r="CK197" s="171">
        <f t="shared" si="233"/>
        <v>7.1283333328999996</v>
      </c>
      <c r="CL197" s="171">
        <f t="shared" si="234"/>
        <v>7.1283333328999996</v>
      </c>
      <c r="CM197" s="171">
        <f t="shared" si="235"/>
        <v>7.1283333328999996</v>
      </c>
      <c r="CN197" s="171">
        <f t="shared" si="236"/>
        <v>7.1283333328999996</v>
      </c>
      <c r="CO197" s="171">
        <f t="shared" si="237"/>
        <v>7.1283333328999996</v>
      </c>
      <c r="CP197" s="171">
        <f t="shared" si="238"/>
        <v>7.1283333328999996</v>
      </c>
      <c r="CQ197" s="171">
        <f t="shared" si="239"/>
        <v>7.1283333328999996</v>
      </c>
      <c r="CR197" s="171">
        <f t="shared" si="240"/>
        <v>7.1283333328999996</v>
      </c>
      <c r="CS197" s="171">
        <f t="shared" si="241"/>
        <v>7.1283333328999996</v>
      </c>
      <c r="CT197" s="171">
        <f t="shared" si="242"/>
        <v>7.1283333328999996</v>
      </c>
      <c r="CU197" s="171">
        <f t="shared" si="243"/>
        <v>7.1283333328999996</v>
      </c>
      <c r="CV197" s="171">
        <f t="shared" si="244"/>
        <v>7.1283333328999996</v>
      </c>
      <c r="CW197" s="171">
        <f t="shared" si="245"/>
        <v>7.1283333328999996</v>
      </c>
      <c r="CX197" s="171">
        <f t="shared" si="246"/>
        <v>7.1283333328999996</v>
      </c>
      <c r="CY197" s="171">
        <f t="shared" ca="1" si="247"/>
        <v>6.7674056413782999</v>
      </c>
      <c r="CZ197" s="171">
        <f t="shared" ca="1" si="248"/>
        <v>6.4247527403894642</v>
      </c>
      <c r="DA197" s="171">
        <f t="shared" ca="1" si="249"/>
        <v>6.0994493255668152</v>
      </c>
      <c r="DB197" s="171">
        <f t="shared" ca="1" si="250"/>
        <v>5.7906169433225907</v>
      </c>
      <c r="DC197" s="171">
        <f t="shared" ca="1" si="251"/>
        <v>5.4974216186604092</v>
      </c>
      <c r="DD197" s="171">
        <f t="shared" ca="1" si="252"/>
        <v>5.2190716030983033</v>
      </c>
      <c r="DE197" s="171">
        <f t="shared" ca="1" si="253"/>
        <v>4.954815236620786</v>
      </c>
      <c r="DF197" s="171">
        <f t="shared" ca="1" si="254"/>
        <v>4.7039389178863269</v>
      </c>
      <c r="DG197" s="171">
        <f t="shared" ca="1" si="255"/>
        <v>4.4657651772089828</v>
      </c>
      <c r="DH197" s="171">
        <f t="shared" ca="1" si="256"/>
        <v>4.2396508471104069</v>
      </c>
      <c r="DI197" s="171">
        <f t="shared" ca="1" si="257"/>
        <v>4.0249853255019987</v>
      </c>
      <c r="DJ197" s="171">
        <f t="shared" ca="1" si="258"/>
        <v>3.821188926807054</v>
      </c>
      <c r="DK197" s="171">
        <f t="shared" ca="1" si="259"/>
        <v>0</v>
      </c>
      <c r="DL197" s="171">
        <f t="shared" ca="1" si="260"/>
        <v>0</v>
      </c>
      <c r="DM197" s="171">
        <f t="shared" ca="1" si="261"/>
        <v>0</v>
      </c>
      <c r="DN197" s="171">
        <f t="shared" ca="1" si="262"/>
        <v>0</v>
      </c>
      <c r="DO197" s="171">
        <f t="shared" ca="1" si="263"/>
        <v>0</v>
      </c>
      <c r="DP197" s="171">
        <f t="shared" ca="1" si="264"/>
        <v>0</v>
      </c>
      <c r="DQ197" s="171">
        <f t="shared" ca="1" si="265"/>
        <v>0</v>
      </c>
      <c r="DR197" s="171">
        <f t="shared" ca="1" si="266"/>
        <v>0</v>
      </c>
      <c r="DS197" s="171">
        <f t="shared" ca="1" si="267"/>
        <v>0</v>
      </c>
      <c r="DT197" s="171">
        <f t="shared" ca="1" si="268"/>
        <v>0</v>
      </c>
      <c r="DU197" s="171">
        <f t="shared" ca="1" si="269"/>
        <v>0</v>
      </c>
      <c r="DV197" s="171">
        <f t="shared" ca="1" si="270"/>
        <v>0</v>
      </c>
      <c r="DW197" s="171">
        <f t="shared" ca="1" si="271"/>
        <v>0</v>
      </c>
      <c r="DX197" s="171">
        <f t="shared" ca="1" si="272"/>
        <v>0</v>
      </c>
      <c r="DY197" s="171">
        <f t="shared" ca="1" si="273"/>
        <v>0</v>
      </c>
      <c r="DZ197" s="171">
        <f t="shared" ca="1" si="274"/>
        <v>0</v>
      </c>
      <c r="EA197" s="171">
        <f t="shared" ca="1" si="275"/>
        <v>0</v>
      </c>
      <c r="EB197" s="171">
        <f t="shared" ca="1" si="276"/>
        <v>0</v>
      </c>
      <c r="EC197" s="171">
        <f t="shared" ca="1" si="277"/>
        <v>0</v>
      </c>
      <c r="ED197" s="171">
        <f t="shared" ca="1" si="278"/>
        <v>0</v>
      </c>
      <c r="EE197" s="171">
        <f t="shared" ca="1" si="279"/>
        <v>0</v>
      </c>
      <c r="EF197" s="171">
        <f t="shared" ca="1" si="280"/>
        <v>0</v>
      </c>
      <c r="EG197" s="171">
        <f t="shared" ca="1" si="281"/>
        <v>0</v>
      </c>
      <c r="EH197" s="171">
        <f t="shared" ca="1" si="282"/>
        <v>0</v>
      </c>
      <c r="EI197" s="171">
        <f t="shared" ca="1" si="283"/>
        <v>0</v>
      </c>
      <c r="EJ197" s="171">
        <f t="shared" ca="1" si="284"/>
        <v>0</v>
      </c>
      <c r="EK197" s="171">
        <f t="shared" ca="1" si="285"/>
        <v>0</v>
      </c>
      <c r="EL197" s="171">
        <f t="shared" ca="1" si="286"/>
        <v>0</v>
      </c>
      <c r="EM197" s="171">
        <f t="shared" ca="1" si="287"/>
        <v>0</v>
      </c>
      <c r="EN197" s="171">
        <f t="shared" ca="1" si="288"/>
        <v>0</v>
      </c>
      <c r="EO197" s="171">
        <f t="shared" ca="1" si="289"/>
        <v>0</v>
      </c>
      <c r="EP197" s="171">
        <f t="shared" ca="1" si="290"/>
        <v>0</v>
      </c>
      <c r="EQ197" s="171">
        <f t="shared" ca="1" si="291"/>
        <v>0</v>
      </c>
      <c r="ER197" s="171">
        <f t="shared" ca="1" si="292"/>
        <v>0</v>
      </c>
      <c r="ES197" s="171">
        <f t="shared" ca="1" si="293"/>
        <v>0</v>
      </c>
    </row>
    <row r="198" spans="1:149">
      <c r="A198" s="139" t="s">
        <v>549</v>
      </c>
      <c r="B198" s="160" t="s">
        <v>421</v>
      </c>
      <c r="C198" s="160" t="s">
        <v>29</v>
      </c>
      <c r="D198" s="160" t="s">
        <v>394</v>
      </c>
      <c r="E198" s="160">
        <v>2010</v>
      </c>
      <c r="F198" s="194" t="s">
        <v>395</v>
      </c>
      <c r="G198" s="160" t="s">
        <v>402</v>
      </c>
      <c r="H198" s="189" t="s">
        <v>396</v>
      </c>
      <c r="I198" s="189" t="s">
        <v>176</v>
      </c>
      <c r="J198" s="189" t="s">
        <v>397</v>
      </c>
      <c r="K198" s="187">
        <v>84</v>
      </c>
      <c r="L198" s="163" t="s">
        <v>110</v>
      </c>
      <c r="M198" s="164">
        <f t="shared" si="223"/>
        <v>84</v>
      </c>
      <c r="N198" s="164">
        <f t="shared" si="224"/>
        <v>84</v>
      </c>
      <c r="O198" s="165">
        <f t="shared" si="225"/>
        <v>1</v>
      </c>
      <c r="P198" s="190">
        <v>2.1999999999999999E-2</v>
      </c>
      <c r="Q198" s="191">
        <v>12</v>
      </c>
      <c r="R198" s="168">
        <f t="shared" si="226"/>
        <v>0</v>
      </c>
      <c r="S198" s="186">
        <v>7.0783975996854291</v>
      </c>
      <c r="T198" s="170" t="s">
        <v>403</v>
      </c>
      <c r="U198" s="171">
        <f t="shared" si="227"/>
        <v>7.6006091108712788</v>
      </c>
      <c r="V198" s="171">
        <f t="shared" ca="1" si="228"/>
        <v>7.6006091108712788</v>
      </c>
      <c r="W198" s="171">
        <f t="shared" ca="1" si="229"/>
        <v>91.207309330455345</v>
      </c>
      <c r="X198" s="172">
        <f t="shared" si="230"/>
        <v>0.23087021589915624</v>
      </c>
      <c r="Y198" s="172">
        <f t="shared" si="231"/>
        <v>0.76912978410084376</v>
      </c>
      <c r="Z198" s="173">
        <f t="shared" si="232"/>
        <v>91.207309330455345</v>
      </c>
      <c r="AA198" s="171">
        <f t="shared" si="300"/>
        <v>1.8479999999999999</v>
      </c>
      <c r="AB198" s="171">
        <f t="shared" si="300"/>
        <v>1.8479999999999999</v>
      </c>
      <c r="AC198" s="171">
        <f t="shared" si="300"/>
        <v>1.8479999999999999</v>
      </c>
      <c r="AD198" s="171">
        <f t="shared" si="300"/>
        <v>1.8479999999999999</v>
      </c>
      <c r="AE198" s="171">
        <f t="shared" si="300"/>
        <v>1.8479999999999999</v>
      </c>
      <c r="AF198" s="171">
        <f t="shared" si="300"/>
        <v>1.8479999999999999</v>
      </c>
      <c r="AG198" s="171">
        <f t="shared" si="300"/>
        <v>1.8479999999999999</v>
      </c>
      <c r="AH198" s="171">
        <f t="shared" si="300"/>
        <v>1.8479999999999999</v>
      </c>
      <c r="AI198" s="171">
        <f t="shared" si="300"/>
        <v>15.284661866091071</v>
      </c>
      <c r="AJ198" s="171">
        <f t="shared" si="300"/>
        <v>15.284661866091071</v>
      </c>
      <c r="AK198" s="171">
        <f t="shared" si="301"/>
        <v>15.284661866091071</v>
      </c>
      <c r="AL198" s="171">
        <f t="shared" si="301"/>
        <v>15.284661866091071</v>
      </c>
      <c r="AM198" s="171">
        <f t="shared" si="301"/>
        <v>15.284661866091071</v>
      </c>
      <c r="AN198" s="171">
        <f t="shared" si="301"/>
        <v>0</v>
      </c>
      <c r="AO198" s="171">
        <f t="shared" si="301"/>
        <v>0</v>
      </c>
      <c r="AP198" s="171">
        <f t="shared" si="301"/>
        <v>0</v>
      </c>
      <c r="AQ198" s="171">
        <f t="shared" si="301"/>
        <v>0</v>
      </c>
      <c r="AR198" s="171">
        <f t="shared" si="301"/>
        <v>0</v>
      </c>
      <c r="AS198" s="171">
        <f t="shared" si="301"/>
        <v>0</v>
      </c>
      <c r="AT198" s="171">
        <f t="shared" si="301"/>
        <v>0</v>
      </c>
      <c r="AU198" s="171">
        <f t="shared" si="302"/>
        <v>0</v>
      </c>
      <c r="AV198" s="171">
        <f t="shared" si="302"/>
        <v>0</v>
      </c>
      <c r="AW198" s="171">
        <f t="shared" si="302"/>
        <v>0</v>
      </c>
      <c r="AX198" s="171">
        <f t="shared" si="302"/>
        <v>0</v>
      </c>
      <c r="AY198" s="171">
        <f t="shared" si="302"/>
        <v>0</v>
      </c>
      <c r="AZ198" s="171">
        <f t="shared" si="302"/>
        <v>0</v>
      </c>
      <c r="BA198" s="171">
        <f t="shared" si="302"/>
        <v>0</v>
      </c>
      <c r="BB198" s="171">
        <f t="shared" si="302"/>
        <v>0</v>
      </c>
      <c r="BC198" s="171">
        <f t="shared" si="302"/>
        <v>0</v>
      </c>
      <c r="BD198" s="171">
        <f t="shared" si="302"/>
        <v>0</v>
      </c>
      <c r="BE198" s="171">
        <f t="shared" si="303"/>
        <v>0</v>
      </c>
      <c r="BF198" s="171">
        <f t="shared" si="303"/>
        <v>0</v>
      </c>
      <c r="BG198" s="171">
        <f t="shared" si="303"/>
        <v>0</v>
      </c>
      <c r="BH198" s="171">
        <f t="shared" si="303"/>
        <v>0</v>
      </c>
      <c r="BI198" s="171">
        <f t="shared" si="303"/>
        <v>0</v>
      </c>
      <c r="BJ198" s="171">
        <f t="shared" si="303"/>
        <v>0</v>
      </c>
      <c r="BK198" s="171">
        <f t="shared" si="303"/>
        <v>0</v>
      </c>
      <c r="BL198" s="171">
        <f t="shared" si="303"/>
        <v>0</v>
      </c>
      <c r="BM198" s="171">
        <f t="shared" si="303"/>
        <v>0</v>
      </c>
      <c r="BN198" s="171">
        <f t="shared" si="303"/>
        <v>0</v>
      </c>
      <c r="BO198" s="171">
        <f t="shared" si="304"/>
        <v>0</v>
      </c>
      <c r="BP198" s="171">
        <f t="shared" si="304"/>
        <v>0</v>
      </c>
      <c r="BQ198" s="171">
        <f t="shared" si="304"/>
        <v>0</v>
      </c>
      <c r="BR198" s="171">
        <f t="shared" si="304"/>
        <v>0</v>
      </c>
      <c r="BS198" s="171">
        <f t="shared" si="304"/>
        <v>0</v>
      </c>
      <c r="BT198" s="171">
        <f t="shared" si="304"/>
        <v>0</v>
      </c>
      <c r="BU198" s="171">
        <f t="shared" si="304"/>
        <v>0</v>
      </c>
      <c r="BV198" s="171">
        <f t="shared" si="304"/>
        <v>0</v>
      </c>
      <c r="BW198" s="171">
        <f t="shared" si="304"/>
        <v>0</v>
      </c>
      <c r="BX198" s="171">
        <f t="shared" si="304"/>
        <v>0</v>
      </c>
      <c r="BY198" s="171">
        <f t="shared" si="305"/>
        <v>0</v>
      </c>
      <c r="BZ198" s="171">
        <f t="shared" si="305"/>
        <v>0</v>
      </c>
      <c r="CA198" s="171">
        <f t="shared" si="305"/>
        <v>0</v>
      </c>
      <c r="CB198" s="171">
        <f t="shared" si="305"/>
        <v>0</v>
      </c>
      <c r="CC198" s="171">
        <f t="shared" si="305"/>
        <v>0</v>
      </c>
      <c r="CD198" s="171">
        <f t="shared" si="305"/>
        <v>0</v>
      </c>
      <c r="CE198" s="171">
        <f t="shared" si="305"/>
        <v>0</v>
      </c>
      <c r="CF198" s="171">
        <f t="shared" si="305"/>
        <v>0</v>
      </c>
      <c r="CG198" s="171">
        <f t="shared" si="305"/>
        <v>0</v>
      </c>
      <c r="CH198" s="171">
        <f t="shared" si="305"/>
        <v>0</v>
      </c>
      <c r="CI198" s="171">
        <f t="shared" si="305"/>
        <v>0</v>
      </c>
      <c r="CJ198" s="243"/>
      <c r="CK198" s="171">
        <f t="shared" si="233"/>
        <v>1.8479999999999999</v>
      </c>
      <c r="CL198" s="171">
        <f t="shared" si="234"/>
        <v>1.8479999999999999</v>
      </c>
      <c r="CM198" s="171">
        <f t="shared" si="235"/>
        <v>1.8479999999999999</v>
      </c>
      <c r="CN198" s="171">
        <f t="shared" si="236"/>
        <v>1.8479999999999999</v>
      </c>
      <c r="CO198" s="171">
        <f t="shared" si="237"/>
        <v>1.8479999999999999</v>
      </c>
      <c r="CP198" s="171">
        <f t="shared" si="238"/>
        <v>1.8479999999999999</v>
      </c>
      <c r="CQ198" s="171">
        <f t="shared" si="239"/>
        <v>1.8479999999999999</v>
      </c>
      <c r="CR198" s="171">
        <f t="shared" si="240"/>
        <v>1.8479999999999999</v>
      </c>
      <c r="CS198" s="171">
        <f t="shared" si="241"/>
        <v>15.284661866091071</v>
      </c>
      <c r="CT198" s="171">
        <f t="shared" si="242"/>
        <v>15.284661866091071</v>
      </c>
      <c r="CU198" s="171">
        <f t="shared" si="243"/>
        <v>15.284661866091071</v>
      </c>
      <c r="CV198" s="171">
        <f t="shared" si="244"/>
        <v>15.284661866091071</v>
      </c>
      <c r="CW198" s="171">
        <f t="shared" si="245"/>
        <v>15.284661866091071</v>
      </c>
      <c r="CX198" s="171">
        <f t="shared" si="246"/>
        <v>0</v>
      </c>
      <c r="CY198" s="171">
        <f t="shared" ca="1" si="247"/>
        <v>0</v>
      </c>
      <c r="CZ198" s="171">
        <f t="shared" ca="1" si="248"/>
        <v>0</v>
      </c>
      <c r="DA198" s="171">
        <f t="shared" ca="1" si="249"/>
        <v>0</v>
      </c>
      <c r="DB198" s="171">
        <f t="shared" ca="1" si="250"/>
        <v>0</v>
      </c>
      <c r="DC198" s="171">
        <f t="shared" ca="1" si="251"/>
        <v>0</v>
      </c>
      <c r="DD198" s="171">
        <f t="shared" ca="1" si="252"/>
        <v>0</v>
      </c>
      <c r="DE198" s="171">
        <f t="shared" ca="1" si="253"/>
        <v>0</v>
      </c>
      <c r="DF198" s="171">
        <f t="shared" ca="1" si="254"/>
        <v>0</v>
      </c>
      <c r="DG198" s="171">
        <f t="shared" ca="1" si="255"/>
        <v>0</v>
      </c>
      <c r="DH198" s="171">
        <f t="shared" ca="1" si="256"/>
        <v>0</v>
      </c>
      <c r="DI198" s="171">
        <f t="shared" ca="1" si="257"/>
        <v>0</v>
      </c>
      <c r="DJ198" s="171">
        <f t="shared" ca="1" si="258"/>
        <v>0</v>
      </c>
      <c r="DK198" s="171">
        <f t="shared" ca="1" si="259"/>
        <v>0</v>
      </c>
      <c r="DL198" s="171">
        <f t="shared" ca="1" si="260"/>
        <v>0</v>
      </c>
      <c r="DM198" s="171">
        <f t="shared" ca="1" si="261"/>
        <v>0</v>
      </c>
      <c r="DN198" s="171">
        <f t="shared" ca="1" si="262"/>
        <v>0</v>
      </c>
      <c r="DO198" s="171">
        <f t="shared" ca="1" si="263"/>
        <v>0</v>
      </c>
      <c r="DP198" s="171">
        <f t="shared" ca="1" si="264"/>
        <v>0</v>
      </c>
      <c r="DQ198" s="171">
        <f t="shared" ca="1" si="265"/>
        <v>0</v>
      </c>
      <c r="DR198" s="171">
        <f t="shared" ca="1" si="266"/>
        <v>0</v>
      </c>
      <c r="DS198" s="171">
        <f t="shared" ca="1" si="267"/>
        <v>0</v>
      </c>
      <c r="DT198" s="171">
        <f t="shared" ca="1" si="268"/>
        <v>0</v>
      </c>
      <c r="DU198" s="171">
        <f t="shared" ca="1" si="269"/>
        <v>0</v>
      </c>
      <c r="DV198" s="171">
        <f t="shared" ca="1" si="270"/>
        <v>0</v>
      </c>
      <c r="DW198" s="171">
        <f t="shared" ca="1" si="271"/>
        <v>0</v>
      </c>
      <c r="DX198" s="171">
        <f t="shared" ca="1" si="272"/>
        <v>0</v>
      </c>
      <c r="DY198" s="171">
        <f t="shared" ca="1" si="273"/>
        <v>0</v>
      </c>
      <c r="DZ198" s="171">
        <f t="shared" ca="1" si="274"/>
        <v>0</v>
      </c>
      <c r="EA198" s="171">
        <f t="shared" ca="1" si="275"/>
        <v>0</v>
      </c>
      <c r="EB198" s="171">
        <f t="shared" ca="1" si="276"/>
        <v>0</v>
      </c>
      <c r="EC198" s="171">
        <f t="shared" ca="1" si="277"/>
        <v>0</v>
      </c>
      <c r="ED198" s="171">
        <f t="shared" ca="1" si="278"/>
        <v>0</v>
      </c>
      <c r="EE198" s="171">
        <f t="shared" ca="1" si="279"/>
        <v>0</v>
      </c>
      <c r="EF198" s="171">
        <f t="shared" ca="1" si="280"/>
        <v>0</v>
      </c>
      <c r="EG198" s="171">
        <f t="shared" ca="1" si="281"/>
        <v>0</v>
      </c>
      <c r="EH198" s="171">
        <f t="shared" ca="1" si="282"/>
        <v>0</v>
      </c>
      <c r="EI198" s="171">
        <f t="shared" ca="1" si="283"/>
        <v>0</v>
      </c>
      <c r="EJ198" s="171">
        <f t="shared" ca="1" si="284"/>
        <v>0</v>
      </c>
      <c r="EK198" s="171">
        <f t="shared" ca="1" si="285"/>
        <v>0</v>
      </c>
      <c r="EL198" s="171">
        <f t="shared" ca="1" si="286"/>
        <v>0</v>
      </c>
      <c r="EM198" s="171">
        <f t="shared" ca="1" si="287"/>
        <v>0</v>
      </c>
      <c r="EN198" s="171">
        <f t="shared" ca="1" si="288"/>
        <v>0</v>
      </c>
      <c r="EO198" s="171">
        <f t="shared" ca="1" si="289"/>
        <v>0</v>
      </c>
      <c r="EP198" s="171">
        <f t="shared" ca="1" si="290"/>
        <v>0</v>
      </c>
      <c r="EQ198" s="171">
        <f t="shared" ca="1" si="291"/>
        <v>0</v>
      </c>
      <c r="ER198" s="171">
        <f t="shared" ca="1" si="292"/>
        <v>0</v>
      </c>
      <c r="ES198" s="171">
        <f t="shared" ca="1" si="293"/>
        <v>0</v>
      </c>
    </row>
    <row r="199" spans="1:149">
      <c r="A199" s="139" t="s">
        <v>549</v>
      </c>
      <c r="B199" s="160" t="s">
        <v>430</v>
      </c>
      <c r="C199" s="160" t="s">
        <v>29</v>
      </c>
      <c r="D199" s="160" t="s">
        <v>394</v>
      </c>
      <c r="E199" s="160">
        <v>2010</v>
      </c>
      <c r="F199" s="194" t="s">
        <v>395</v>
      </c>
      <c r="G199" s="160" t="s">
        <v>402</v>
      </c>
      <c r="H199" s="194" t="s">
        <v>396</v>
      </c>
      <c r="I199" s="194" t="s">
        <v>178</v>
      </c>
      <c r="J199" s="194" t="s">
        <v>407</v>
      </c>
      <c r="K199" s="187">
        <v>120</v>
      </c>
      <c r="L199" s="163" t="s">
        <v>110</v>
      </c>
      <c r="M199" s="164">
        <f t="shared" si="223"/>
        <v>120</v>
      </c>
      <c r="N199" s="164">
        <f t="shared" si="224"/>
        <v>120</v>
      </c>
      <c r="O199" s="165">
        <f t="shared" si="225"/>
        <v>1</v>
      </c>
      <c r="P199" s="190">
        <v>3.5000000000000003E-2</v>
      </c>
      <c r="Q199" s="191">
        <v>25</v>
      </c>
      <c r="R199" s="168">
        <f t="shared" si="226"/>
        <v>11</v>
      </c>
      <c r="S199" s="178">
        <v>7</v>
      </c>
      <c r="T199" s="170" t="s">
        <v>403</v>
      </c>
      <c r="U199" s="171">
        <f t="shared" si="227"/>
        <v>7.8281576604147132</v>
      </c>
      <c r="V199" s="171">
        <f t="shared" ca="1" si="228"/>
        <v>6.6724176008862948</v>
      </c>
      <c r="W199" s="171">
        <f t="shared" ca="1" si="229"/>
        <v>166.81044002215737</v>
      </c>
      <c r="X199" s="172">
        <f t="shared" si="230"/>
        <v>0.24974417709583618</v>
      </c>
      <c r="Y199" s="172">
        <f t="shared" si="231"/>
        <v>0.75025582290416382</v>
      </c>
      <c r="Z199" s="173">
        <f t="shared" si="232"/>
        <v>195.70394151036783</v>
      </c>
      <c r="AA199" s="171">
        <f t="shared" ref="AA199:AJ208" si="306">IFERROR(
    IF($T199="Equity",
        IF(AND(AA$48&gt;=$E199, AA$48&lt;=($E199+$Q199)),
$K199*$P199*(VLOOKUP($C$39,$C$37:$BL$44,MATCH($E199,$C$37:$BL$37,0),FALSE)/VLOOKUP($L199,$C$37:$BL$44,MATCH($E199,$C$37:$BL$37,0),FALSE))*
IF($B$5="Foreign Currency",VLOOKUP($C$38,$C$37:$BL$44,MATCH(AA$48,$C$37:$BL$37,0),FALSE)/VLOOKUP($C$39,$C$37:$BL$44,MATCH(AA$48,$C$37:$BL$37,0),FALSE),1),
0),
    IF($T199="Lump Sum Principal",
        IF(AND(AA$48&gt;=$E199, AA$48&lt;($E199+$Q199)),
$K199*$P199*(VLOOKUP($C$39,$C$37:$BL$44,MATCH($E199,$C$37:$BL$37,0),FALSE)/VLOOKUP($L199,$C$37:$BL$44,MATCH($E199,$C$37:$BL$37,0),FALSE))*
IF($B$5="Foreign Currency",VLOOKUP($C$38,$C$37:$BL$44,MATCH(AA$48,$C$37:$BL$37,0),FALSE)/VLOOKUP($C$39,$C$37:$BL$44,MATCH(AA$48,$C$37:$BL$37,0),FALSE),1),
        IF(AA$48=($E199+$Q199),
$K199*(1+$P199)*(VLOOKUP($C$39,$C$37:$BL$44,MATCH($E199,$C$37:$BL$37,0),FALSE)/VLOOKUP($L199,$C$37:$BL$44,MATCH($E199,$C$37:$BL$37,0),FALSE))*
IF($B$5="Foreign Currency",VLOOKUP($C$38,$C$37:$BL$44,MATCH(AA$48,$C$37:$BL$37,0),FALSE)/VLOOKUP($C$39,$C$37:$BL$44,MATCH(AA$48,$C$37:$BL$37,0),FALSE),1),
0)),
    IF($T199="Lump Sum Principal and Interest",
        IF(AA$48=($E199+$Q199),
$K199*((1+$P199)^$Q199)*(VLOOKUP($C$39,$C$37:$BL$44,MATCH($E199,$C$37:$BL$37,0),FALSE)/VLOOKUP($L199,$C$37:$BL$44,MATCH($E199,$C$37:$BL$37,0),FALSE))*
IF($B$5="Foreign Currency",VLOOKUP($C$38,$C$37:$BL$44,MATCH(AA$48,$C$37:$BL$37,0),FALSE)/VLOOKUP($C$39,$C$37:$BL$44,MATCH(AA$48,$C$37:$BL$37,0),FALSE),1),
0),
    IF($T199="EPP with Grace Years for Principal",
        IF(AND(AA$48&gt;=$E199, AA$48&lt;($E199+$S199)),
$K199*$P199*(VLOOKUP($C$39,$C$37:$BL$44,MATCH($E199,$C$37:$BL$37,0),FALSE)/VLOOKUP($L199,$C$37:$BL$44,MATCH($E199,$C$37:$BL$37,0),FALSE))*
IF($B$5="Foreign Currency",VLOOKUP($C$38,$C$37:$BL$44,MATCH(AA$48,$C$37:$BL$37,0),FALSE)/VLOOKUP($C$39,$C$37:$BL$44,MATCH(AA$48,$C$37:$BL$37,0),FALSE),1),
        IF(AND(AA$48&gt;=($E199+$S199), AA$48&lt;=($E199+$Q199)),
-PMT($P199,($Q199-$S199+1),($K199*(VLOOKUP($C$39,$C$37:$BL$44,MATCH($E199,$C$37:$BL$37,0),FALSE)/VLOOKUP($L199,$C$37:$BL$44,MATCH($E199,$C$37:$BL$37,0),FALSE))*
IF($B$5="Foreign Currency",VLOOKUP($C$38,$C$37:$BL$44,MATCH(AA$48,$C$37:$BL$37,0),FALSE)/VLOOKUP($C$39,$C$37:$BL$44,MATCH(AA$48,$C$37:$BL$37,0),FALSE),1)),0),
0)),
    IF($T199="Equal Principal Payments (EPP)",
        IF(AND(AA$48&gt;=$E199, AA$48&lt;=($E199+$Q199)),
-PMT($P199,($Q199-$S199+1),($K199*(VLOOKUP($C$39,$C$37:$BL$44,MATCH($E199,$C$37:$BL$37,0),FALSE)/VLOOKUP($L199,$C$37:$BL$44,MATCH($E199,$C$37:$BL$37,0),FALSE))*
IF($B$5="Foreign Currency",VLOOKUP($C$38,$C$37:$BL$44,MATCH(AA$48,$C$37:$BL$37,0),FALSE)/VLOOKUP($C$39,$C$37:$BL$44,MATCH(AA$48,$C$37:$BL$37,0),FALSE),1)),0), 0),
    IF($T199="EPP with Grace Years for Principal and on Interest",
        IF(AND(AA$48&gt;=($E199+$S199), AA$48&lt;=($E199+$Q199)),
-PMT($P199,($Q199-$S199+1),($K199*(VLOOKUP($C$39,$C$37:$BL$44,MATCH($E199,$C$37:$BL$37,0),FALSE)/VLOOKUP($L199,$C$37:$BL$44,MATCH($E199,$C$37:$BL$37,0),FALSE))*
IF($B$5="Foreign Currency",VLOOKUP($C$38,$C$37:$BL$44,MATCH(AA$48,$C$37:$BL$37,0),FALSE)/VLOOKUP($C$39,$C$37:$BL$44,MATCH(AA$48,$C$37:$BL$37,0),FALSE),1))*((1+$P199)^$S199),0), 0),
    0)))))),"")</f>
        <v>4.2</v>
      </c>
      <c r="AB199" s="171">
        <f t="shared" si="306"/>
        <v>4.2</v>
      </c>
      <c r="AC199" s="171">
        <f t="shared" si="306"/>
        <v>4.2</v>
      </c>
      <c r="AD199" s="171">
        <f t="shared" si="306"/>
        <v>4.2</v>
      </c>
      <c r="AE199" s="171">
        <f t="shared" si="306"/>
        <v>4.2</v>
      </c>
      <c r="AF199" s="171">
        <f t="shared" si="306"/>
        <v>4.2</v>
      </c>
      <c r="AG199" s="171">
        <f t="shared" si="306"/>
        <v>4.2</v>
      </c>
      <c r="AH199" s="171">
        <f t="shared" si="306"/>
        <v>8.7528390268614586</v>
      </c>
      <c r="AI199" s="171">
        <f t="shared" si="306"/>
        <v>8.7528390268614586</v>
      </c>
      <c r="AJ199" s="171">
        <f t="shared" si="306"/>
        <v>8.7528390268614586</v>
      </c>
      <c r="AK199" s="171">
        <f t="shared" ref="AK199:AT208" si="307">IFERROR(
    IF($T199="Equity",
        IF(AND(AK$48&gt;=$E199, AK$48&lt;=($E199+$Q199)),
$K199*$P199*(VLOOKUP($C$39,$C$37:$BL$44,MATCH($E199,$C$37:$BL$37,0),FALSE)/VLOOKUP($L199,$C$37:$BL$44,MATCH($E199,$C$37:$BL$37,0),FALSE))*
IF($B$5="Foreign Currency",VLOOKUP($C$38,$C$37:$BL$44,MATCH(AK$48,$C$37:$BL$37,0),FALSE)/VLOOKUP($C$39,$C$37:$BL$44,MATCH(AK$48,$C$37:$BL$37,0),FALSE),1),
0),
    IF($T199="Lump Sum Principal",
        IF(AND(AK$48&gt;=$E199, AK$48&lt;($E199+$Q199)),
$K199*$P199*(VLOOKUP($C$39,$C$37:$BL$44,MATCH($E199,$C$37:$BL$37,0),FALSE)/VLOOKUP($L199,$C$37:$BL$44,MATCH($E199,$C$37:$BL$37,0),FALSE))*
IF($B$5="Foreign Currency",VLOOKUP($C$38,$C$37:$BL$44,MATCH(AK$48,$C$37:$BL$37,0),FALSE)/VLOOKUP($C$39,$C$37:$BL$44,MATCH(AK$48,$C$37:$BL$37,0),FALSE),1),
        IF(AK$48=($E199+$Q199),
$K199*(1+$P199)*(VLOOKUP($C$39,$C$37:$BL$44,MATCH($E199,$C$37:$BL$37,0),FALSE)/VLOOKUP($L199,$C$37:$BL$44,MATCH($E199,$C$37:$BL$37,0),FALSE))*
IF($B$5="Foreign Currency",VLOOKUP($C$38,$C$37:$BL$44,MATCH(AK$48,$C$37:$BL$37,0),FALSE)/VLOOKUP($C$39,$C$37:$BL$44,MATCH(AK$48,$C$37:$BL$37,0),FALSE),1),
0)),
    IF($T199="Lump Sum Principal and Interest",
        IF(AK$48=($E199+$Q199),
$K199*((1+$P199)^$Q199)*(VLOOKUP($C$39,$C$37:$BL$44,MATCH($E199,$C$37:$BL$37,0),FALSE)/VLOOKUP($L199,$C$37:$BL$44,MATCH($E199,$C$37:$BL$37,0),FALSE))*
IF($B$5="Foreign Currency",VLOOKUP($C$38,$C$37:$BL$44,MATCH(AK$48,$C$37:$BL$37,0),FALSE)/VLOOKUP($C$39,$C$37:$BL$44,MATCH(AK$48,$C$37:$BL$37,0),FALSE),1),
0),
    IF($T199="EPP with Grace Years for Principal",
        IF(AND(AK$48&gt;=$E199, AK$48&lt;($E199+$S199)),
$K199*$P199*(VLOOKUP($C$39,$C$37:$BL$44,MATCH($E199,$C$37:$BL$37,0),FALSE)/VLOOKUP($L199,$C$37:$BL$44,MATCH($E199,$C$37:$BL$37,0),FALSE))*
IF($B$5="Foreign Currency",VLOOKUP($C$38,$C$37:$BL$44,MATCH(AK$48,$C$37:$BL$37,0),FALSE)/VLOOKUP($C$39,$C$37:$BL$44,MATCH(AK$48,$C$37:$BL$37,0),FALSE),1),
        IF(AND(AK$48&gt;=($E199+$S199), AK$48&lt;=($E199+$Q199)),
-PMT($P199,($Q199-$S199+1),($K199*(VLOOKUP($C$39,$C$37:$BL$44,MATCH($E199,$C$37:$BL$37,0),FALSE)/VLOOKUP($L199,$C$37:$BL$44,MATCH($E199,$C$37:$BL$37,0),FALSE))*
IF($B$5="Foreign Currency",VLOOKUP($C$38,$C$37:$BL$44,MATCH(AK$48,$C$37:$BL$37,0),FALSE)/VLOOKUP($C$39,$C$37:$BL$44,MATCH(AK$48,$C$37:$BL$37,0),FALSE),1)),0),
0)),
    IF($T199="Equal Principal Payments (EPP)",
        IF(AND(AK$48&gt;=$E199, AK$48&lt;=($E199+$Q199)),
-PMT($P199,($Q199-$S199+1),($K199*(VLOOKUP($C$39,$C$37:$BL$44,MATCH($E199,$C$37:$BL$37,0),FALSE)/VLOOKUP($L199,$C$37:$BL$44,MATCH($E199,$C$37:$BL$37,0),FALSE))*
IF($B$5="Foreign Currency",VLOOKUP($C$38,$C$37:$BL$44,MATCH(AK$48,$C$37:$BL$37,0),FALSE)/VLOOKUP($C$39,$C$37:$BL$44,MATCH(AK$48,$C$37:$BL$37,0),FALSE),1)),0), 0),
    IF($T199="EPP with Grace Years for Principal and on Interest",
        IF(AND(AK$48&gt;=($E199+$S199), AK$48&lt;=($E199+$Q199)),
-PMT($P199,($Q199-$S199+1),($K199*(VLOOKUP($C$39,$C$37:$BL$44,MATCH($E199,$C$37:$BL$37,0),FALSE)/VLOOKUP($L199,$C$37:$BL$44,MATCH($E199,$C$37:$BL$37,0),FALSE))*
IF($B$5="Foreign Currency",VLOOKUP($C$38,$C$37:$BL$44,MATCH(AK$48,$C$37:$BL$37,0),FALSE)/VLOOKUP($C$39,$C$37:$BL$44,MATCH(AK$48,$C$37:$BL$37,0),FALSE),1))*((1+$P199)^$S199),0), 0),
    0)))))),"")</f>
        <v>8.7528390268614586</v>
      </c>
      <c r="AL199" s="171">
        <f t="shared" si="307"/>
        <v>8.7528390268614586</v>
      </c>
      <c r="AM199" s="171">
        <f t="shared" si="307"/>
        <v>8.7528390268614586</v>
      </c>
      <c r="AN199" s="171">
        <f t="shared" si="307"/>
        <v>8.7528390268614586</v>
      </c>
      <c r="AO199" s="171">
        <f t="shared" si="307"/>
        <v>8.7528390268614586</v>
      </c>
      <c r="AP199" s="171">
        <f t="shared" si="307"/>
        <v>8.7528390268614586</v>
      </c>
      <c r="AQ199" s="171">
        <f t="shared" si="307"/>
        <v>8.7528390268614586</v>
      </c>
      <c r="AR199" s="171">
        <f t="shared" si="307"/>
        <v>8.7528390268614586</v>
      </c>
      <c r="AS199" s="171">
        <f t="shared" si="307"/>
        <v>8.7528390268614586</v>
      </c>
      <c r="AT199" s="171">
        <f t="shared" si="307"/>
        <v>8.7528390268614586</v>
      </c>
      <c r="AU199" s="171">
        <f t="shared" ref="AU199:BD208" si="308">IFERROR(
    IF($T199="Equity",
        IF(AND(AU$48&gt;=$E199, AU$48&lt;=($E199+$Q199)),
$K199*$P199*(VLOOKUP($C$39,$C$37:$BL$44,MATCH($E199,$C$37:$BL$37,0),FALSE)/VLOOKUP($L199,$C$37:$BL$44,MATCH($E199,$C$37:$BL$37,0),FALSE))*
IF($B$5="Foreign Currency",VLOOKUP($C$38,$C$37:$BL$44,MATCH(AU$48,$C$37:$BL$37,0),FALSE)/VLOOKUP($C$39,$C$37:$BL$44,MATCH(AU$48,$C$37:$BL$37,0),FALSE),1),
0),
    IF($T199="Lump Sum Principal",
        IF(AND(AU$48&gt;=$E199, AU$48&lt;($E199+$Q199)),
$K199*$P199*(VLOOKUP($C$39,$C$37:$BL$44,MATCH($E199,$C$37:$BL$37,0),FALSE)/VLOOKUP($L199,$C$37:$BL$44,MATCH($E199,$C$37:$BL$37,0),FALSE))*
IF($B$5="Foreign Currency",VLOOKUP($C$38,$C$37:$BL$44,MATCH(AU$48,$C$37:$BL$37,0),FALSE)/VLOOKUP($C$39,$C$37:$BL$44,MATCH(AU$48,$C$37:$BL$37,0),FALSE),1),
        IF(AU$48=($E199+$Q199),
$K199*(1+$P199)*(VLOOKUP($C$39,$C$37:$BL$44,MATCH($E199,$C$37:$BL$37,0),FALSE)/VLOOKUP($L199,$C$37:$BL$44,MATCH($E199,$C$37:$BL$37,0),FALSE))*
IF($B$5="Foreign Currency",VLOOKUP($C$38,$C$37:$BL$44,MATCH(AU$48,$C$37:$BL$37,0),FALSE)/VLOOKUP($C$39,$C$37:$BL$44,MATCH(AU$48,$C$37:$BL$37,0),FALSE),1),
0)),
    IF($T199="Lump Sum Principal and Interest",
        IF(AU$48=($E199+$Q199),
$K199*((1+$P199)^$Q199)*(VLOOKUP($C$39,$C$37:$BL$44,MATCH($E199,$C$37:$BL$37,0),FALSE)/VLOOKUP($L199,$C$37:$BL$44,MATCH($E199,$C$37:$BL$37,0),FALSE))*
IF($B$5="Foreign Currency",VLOOKUP($C$38,$C$37:$BL$44,MATCH(AU$48,$C$37:$BL$37,0),FALSE)/VLOOKUP($C$39,$C$37:$BL$44,MATCH(AU$48,$C$37:$BL$37,0),FALSE),1),
0),
    IF($T199="EPP with Grace Years for Principal",
        IF(AND(AU$48&gt;=$E199, AU$48&lt;($E199+$S199)),
$K199*$P199*(VLOOKUP($C$39,$C$37:$BL$44,MATCH($E199,$C$37:$BL$37,0),FALSE)/VLOOKUP($L199,$C$37:$BL$44,MATCH($E199,$C$37:$BL$37,0),FALSE))*
IF($B$5="Foreign Currency",VLOOKUP($C$38,$C$37:$BL$44,MATCH(AU$48,$C$37:$BL$37,0),FALSE)/VLOOKUP($C$39,$C$37:$BL$44,MATCH(AU$48,$C$37:$BL$37,0),FALSE),1),
        IF(AND(AU$48&gt;=($E199+$S199), AU$48&lt;=($E199+$Q199)),
-PMT($P199,($Q199-$S199+1),($K199*(VLOOKUP($C$39,$C$37:$BL$44,MATCH($E199,$C$37:$BL$37,0),FALSE)/VLOOKUP($L199,$C$37:$BL$44,MATCH($E199,$C$37:$BL$37,0),FALSE))*
IF($B$5="Foreign Currency",VLOOKUP($C$38,$C$37:$BL$44,MATCH(AU$48,$C$37:$BL$37,0),FALSE)/VLOOKUP($C$39,$C$37:$BL$44,MATCH(AU$48,$C$37:$BL$37,0),FALSE),1)),0),
0)),
    IF($T199="Equal Principal Payments (EPP)",
        IF(AND(AU$48&gt;=$E199, AU$48&lt;=($E199+$Q199)),
-PMT($P199,($Q199-$S199+1),($K199*(VLOOKUP($C$39,$C$37:$BL$44,MATCH($E199,$C$37:$BL$37,0),FALSE)/VLOOKUP($L199,$C$37:$BL$44,MATCH($E199,$C$37:$BL$37,0),FALSE))*
IF($B$5="Foreign Currency",VLOOKUP($C$38,$C$37:$BL$44,MATCH(AU$48,$C$37:$BL$37,0),FALSE)/VLOOKUP($C$39,$C$37:$BL$44,MATCH(AU$48,$C$37:$BL$37,0),FALSE),1)),0), 0),
    IF($T199="EPP with Grace Years for Principal and on Interest",
        IF(AND(AU$48&gt;=($E199+$S199), AU$48&lt;=($E199+$Q199)),
-PMT($P199,($Q199-$S199+1),($K199*(VLOOKUP($C$39,$C$37:$BL$44,MATCH($E199,$C$37:$BL$37,0),FALSE)/VLOOKUP($L199,$C$37:$BL$44,MATCH($E199,$C$37:$BL$37,0),FALSE))*
IF($B$5="Foreign Currency",VLOOKUP($C$38,$C$37:$BL$44,MATCH(AU$48,$C$37:$BL$37,0),FALSE)/VLOOKUP($C$39,$C$37:$BL$44,MATCH(AU$48,$C$37:$BL$37,0),FALSE),1))*((1+$P199)^$S199),0), 0),
    0)))))),"")</f>
        <v>8.7528390268614586</v>
      </c>
      <c r="AV199" s="171">
        <f t="shared" si="308"/>
        <v>8.7528390268614586</v>
      </c>
      <c r="AW199" s="171">
        <f t="shared" si="308"/>
        <v>8.7528390268614586</v>
      </c>
      <c r="AX199" s="171">
        <f t="shared" si="308"/>
        <v>8.7528390268614586</v>
      </c>
      <c r="AY199" s="171">
        <f t="shared" si="308"/>
        <v>8.7528390268614586</v>
      </c>
      <c r="AZ199" s="171">
        <f t="shared" si="308"/>
        <v>8.7528390268614586</v>
      </c>
      <c r="BA199" s="171">
        <f t="shared" si="308"/>
        <v>0</v>
      </c>
      <c r="BB199" s="171">
        <f t="shared" si="308"/>
        <v>0</v>
      </c>
      <c r="BC199" s="171">
        <f t="shared" si="308"/>
        <v>0</v>
      </c>
      <c r="BD199" s="171">
        <f t="shared" si="308"/>
        <v>0</v>
      </c>
      <c r="BE199" s="171">
        <f t="shared" ref="BE199:BN208" si="309">IFERROR(
    IF($T199="Equity",
        IF(AND(BE$48&gt;=$E199, BE$48&lt;=($E199+$Q199)),
$K199*$P199*(VLOOKUP($C$39,$C$37:$BL$44,MATCH($E199,$C$37:$BL$37,0),FALSE)/VLOOKUP($L199,$C$37:$BL$44,MATCH($E199,$C$37:$BL$37,0),FALSE))*
IF($B$5="Foreign Currency",VLOOKUP($C$38,$C$37:$BL$44,MATCH(BE$48,$C$37:$BL$37,0),FALSE)/VLOOKUP($C$39,$C$37:$BL$44,MATCH(BE$48,$C$37:$BL$37,0),FALSE),1),
0),
    IF($T199="Lump Sum Principal",
        IF(AND(BE$48&gt;=$E199, BE$48&lt;($E199+$Q199)),
$K199*$P199*(VLOOKUP($C$39,$C$37:$BL$44,MATCH($E199,$C$37:$BL$37,0),FALSE)/VLOOKUP($L199,$C$37:$BL$44,MATCH($E199,$C$37:$BL$37,0),FALSE))*
IF($B$5="Foreign Currency",VLOOKUP($C$38,$C$37:$BL$44,MATCH(BE$48,$C$37:$BL$37,0),FALSE)/VLOOKUP($C$39,$C$37:$BL$44,MATCH(BE$48,$C$37:$BL$37,0),FALSE),1),
        IF(BE$48=($E199+$Q199),
$K199*(1+$P199)*(VLOOKUP($C$39,$C$37:$BL$44,MATCH($E199,$C$37:$BL$37,0),FALSE)/VLOOKUP($L199,$C$37:$BL$44,MATCH($E199,$C$37:$BL$37,0),FALSE))*
IF($B$5="Foreign Currency",VLOOKUP($C$38,$C$37:$BL$44,MATCH(BE$48,$C$37:$BL$37,0),FALSE)/VLOOKUP($C$39,$C$37:$BL$44,MATCH(BE$48,$C$37:$BL$37,0),FALSE),1),
0)),
    IF($T199="Lump Sum Principal and Interest",
        IF(BE$48=($E199+$Q199),
$K199*((1+$P199)^$Q199)*(VLOOKUP($C$39,$C$37:$BL$44,MATCH($E199,$C$37:$BL$37,0),FALSE)/VLOOKUP($L199,$C$37:$BL$44,MATCH($E199,$C$37:$BL$37,0),FALSE))*
IF($B$5="Foreign Currency",VLOOKUP($C$38,$C$37:$BL$44,MATCH(BE$48,$C$37:$BL$37,0),FALSE)/VLOOKUP($C$39,$C$37:$BL$44,MATCH(BE$48,$C$37:$BL$37,0),FALSE),1),
0),
    IF($T199="EPP with Grace Years for Principal",
        IF(AND(BE$48&gt;=$E199, BE$48&lt;($E199+$S199)),
$K199*$P199*(VLOOKUP($C$39,$C$37:$BL$44,MATCH($E199,$C$37:$BL$37,0),FALSE)/VLOOKUP($L199,$C$37:$BL$44,MATCH($E199,$C$37:$BL$37,0),FALSE))*
IF($B$5="Foreign Currency",VLOOKUP($C$38,$C$37:$BL$44,MATCH(BE$48,$C$37:$BL$37,0),FALSE)/VLOOKUP($C$39,$C$37:$BL$44,MATCH(BE$48,$C$37:$BL$37,0),FALSE),1),
        IF(AND(BE$48&gt;=($E199+$S199), BE$48&lt;=($E199+$Q199)),
-PMT($P199,($Q199-$S199+1),($K199*(VLOOKUP($C$39,$C$37:$BL$44,MATCH($E199,$C$37:$BL$37,0),FALSE)/VLOOKUP($L199,$C$37:$BL$44,MATCH($E199,$C$37:$BL$37,0),FALSE))*
IF($B$5="Foreign Currency",VLOOKUP($C$38,$C$37:$BL$44,MATCH(BE$48,$C$37:$BL$37,0),FALSE)/VLOOKUP($C$39,$C$37:$BL$44,MATCH(BE$48,$C$37:$BL$37,0),FALSE),1)),0),
0)),
    IF($T199="Equal Principal Payments (EPP)",
        IF(AND(BE$48&gt;=$E199, BE$48&lt;=($E199+$Q199)),
-PMT($P199,($Q199-$S199+1),($K199*(VLOOKUP($C$39,$C$37:$BL$44,MATCH($E199,$C$37:$BL$37,0),FALSE)/VLOOKUP($L199,$C$37:$BL$44,MATCH($E199,$C$37:$BL$37,0),FALSE))*
IF($B$5="Foreign Currency",VLOOKUP($C$38,$C$37:$BL$44,MATCH(BE$48,$C$37:$BL$37,0),FALSE)/VLOOKUP($C$39,$C$37:$BL$44,MATCH(BE$48,$C$37:$BL$37,0),FALSE),1)),0), 0),
    IF($T199="EPP with Grace Years for Principal and on Interest",
        IF(AND(BE$48&gt;=($E199+$S199), BE$48&lt;=($E199+$Q199)),
-PMT($P199,($Q199-$S199+1),($K199*(VLOOKUP($C$39,$C$37:$BL$44,MATCH($E199,$C$37:$BL$37,0),FALSE)/VLOOKUP($L199,$C$37:$BL$44,MATCH($E199,$C$37:$BL$37,0),FALSE))*
IF($B$5="Foreign Currency",VLOOKUP($C$38,$C$37:$BL$44,MATCH(BE$48,$C$37:$BL$37,0),FALSE)/VLOOKUP($C$39,$C$37:$BL$44,MATCH(BE$48,$C$37:$BL$37,0),FALSE),1))*((1+$P199)^$S199),0), 0),
    0)))))),"")</f>
        <v>0</v>
      </c>
      <c r="BF199" s="171">
        <f t="shared" si="309"/>
        <v>0</v>
      </c>
      <c r="BG199" s="171">
        <f t="shared" si="309"/>
        <v>0</v>
      </c>
      <c r="BH199" s="171">
        <f t="shared" si="309"/>
        <v>0</v>
      </c>
      <c r="BI199" s="171">
        <f t="shared" si="309"/>
        <v>0</v>
      </c>
      <c r="BJ199" s="171">
        <f t="shared" si="309"/>
        <v>0</v>
      </c>
      <c r="BK199" s="171">
        <f t="shared" si="309"/>
        <v>0</v>
      </c>
      <c r="BL199" s="171">
        <f t="shared" si="309"/>
        <v>0</v>
      </c>
      <c r="BM199" s="171">
        <f t="shared" si="309"/>
        <v>0</v>
      </c>
      <c r="BN199" s="171">
        <f t="shared" si="309"/>
        <v>0</v>
      </c>
      <c r="BO199" s="171">
        <f t="shared" ref="BO199:BX208" si="310">IFERROR(
    IF($T199="Equity",
        IF(AND(BO$48&gt;=$E199, BO$48&lt;=($E199+$Q199)),
$K199*$P199*(VLOOKUP($C$39,$C$37:$BL$44,MATCH($E199,$C$37:$BL$37,0),FALSE)/VLOOKUP($L199,$C$37:$BL$44,MATCH($E199,$C$37:$BL$37,0),FALSE))*
IF($B$5="Foreign Currency",VLOOKUP($C$38,$C$37:$BL$44,MATCH(BO$48,$C$37:$BL$37,0),FALSE)/VLOOKUP($C$39,$C$37:$BL$44,MATCH(BO$48,$C$37:$BL$37,0),FALSE),1),
0),
    IF($T199="Lump Sum Principal",
        IF(AND(BO$48&gt;=$E199, BO$48&lt;($E199+$Q199)),
$K199*$P199*(VLOOKUP($C$39,$C$37:$BL$44,MATCH($E199,$C$37:$BL$37,0),FALSE)/VLOOKUP($L199,$C$37:$BL$44,MATCH($E199,$C$37:$BL$37,0),FALSE))*
IF($B$5="Foreign Currency",VLOOKUP($C$38,$C$37:$BL$44,MATCH(BO$48,$C$37:$BL$37,0),FALSE)/VLOOKUP($C$39,$C$37:$BL$44,MATCH(BO$48,$C$37:$BL$37,0),FALSE),1),
        IF(BO$48=($E199+$Q199),
$K199*(1+$P199)*(VLOOKUP($C$39,$C$37:$BL$44,MATCH($E199,$C$37:$BL$37,0),FALSE)/VLOOKUP($L199,$C$37:$BL$44,MATCH($E199,$C$37:$BL$37,0),FALSE))*
IF($B$5="Foreign Currency",VLOOKUP($C$38,$C$37:$BL$44,MATCH(BO$48,$C$37:$BL$37,0),FALSE)/VLOOKUP($C$39,$C$37:$BL$44,MATCH(BO$48,$C$37:$BL$37,0),FALSE),1),
0)),
    IF($T199="Lump Sum Principal and Interest",
        IF(BO$48=($E199+$Q199),
$K199*((1+$P199)^$Q199)*(VLOOKUP($C$39,$C$37:$BL$44,MATCH($E199,$C$37:$BL$37,0),FALSE)/VLOOKUP($L199,$C$37:$BL$44,MATCH($E199,$C$37:$BL$37,0),FALSE))*
IF($B$5="Foreign Currency",VLOOKUP($C$38,$C$37:$BL$44,MATCH(BO$48,$C$37:$BL$37,0),FALSE)/VLOOKUP($C$39,$C$37:$BL$44,MATCH(BO$48,$C$37:$BL$37,0),FALSE),1),
0),
    IF($T199="EPP with Grace Years for Principal",
        IF(AND(BO$48&gt;=$E199, BO$48&lt;($E199+$S199)),
$K199*$P199*(VLOOKUP($C$39,$C$37:$BL$44,MATCH($E199,$C$37:$BL$37,0),FALSE)/VLOOKUP($L199,$C$37:$BL$44,MATCH($E199,$C$37:$BL$37,0),FALSE))*
IF($B$5="Foreign Currency",VLOOKUP($C$38,$C$37:$BL$44,MATCH(BO$48,$C$37:$BL$37,0),FALSE)/VLOOKUP($C$39,$C$37:$BL$44,MATCH(BO$48,$C$37:$BL$37,0),FALSE),1),
        IF(AND(BO$48&gt;=($E199+$S199), BO$48&lt;=($E199+$Q199)),
-PMT($P199,($Q199-$S199+1),($K199*(VLOOKUP($C$39,$C$37:$BL$44,MATCH($E199,$C$37:$BL$37,0),FALSE)/VLOOKUP($L199,$C$37:$BL$44,MATCH($E199,$C$37:$BL$37,0),FALSE))*
IF($B$5="Foreign Currency",VLOOKUP($C$38,$C$37:$BL$44,MATCH(BO$48,$C$37:$BL$37,0),FALSE)/VLOOKUP($C$39,$C$37:$BL$44,MATCH(BO$48,$C$37:$BL$37,0),FALSE),1)),0),
0)),
    IF($T199="Equal Principal Payments (EPP)",
        IF(AND(BO$48&gt;=$E199, BO$48&lt;=($E199+$Q199)),
-PMT($P199,($Q199-$S199+1),($K199*(VLOOKUP($C$39,$C$37:$BL$44,MATCH($E199,$C$37:$BL$37,0),FALSE)/VLOOKUP($L199,$C$37:$BL$44,MATCH($E199,$C$37:$BL$37,0),FALSE))*
IF($B$5="Foreign Currency",VLOOKUP($C$38,$C$37:$BL$44,MATCH(BO$48,$C$37:$BL$37,0),FALSE)/VLOOKUP($C$39,$C$37:$BL$44,MATCH(BO$48,$C$37:$BL$37,0),FALSE),1)),0), 0),
    IF($T199="EPP with Grace Years for Principal and on Interest",
        IF(AND(BO$48&gt;=($E199+$S199), BO$48&lt;=($E199+$Q199)),
-PMT($P199,($Q199-$S199+1),($K199*(VLOOKUP($C$39,$C$37:$BL$44,MATCH($E199,$C$37:$BL$37,0),FALSE)/VLOOKUP($L199,$C$37:$BL$44,MATCH($E199,$C$37:$BL$37,0),FALSE))*
IF($B$5="Foreign Currency",VLOOKUP($C$38,$C$37:$BL$44,MATCH(BO$48,$C$37:$BL$37,0),FALSE)/VLOOKUP($C$39,$C$37:$BL$44,MATCH(BO$48,$C$37:$BL$37,0),FALSE),1))*((1+$P199)^$S199),0), 0),
    0)))))),"")</f>
        <v>0</v>
      </c>
      <c r="BP199" s="171">
        <f t="shared" si="310"/>
        <v>0</v>
      </c>
      <c r="BQ199" s="171">
        <f t="shared" si="310"/>
        <v>0</v>
      </c>
      <c r="BR199" s="171">
        <f t="shared" si="310"/>
        <v>0</v>
      </c>
      <c r="BS199" s="171">
        <f t="shared" si="310"/>
        <v>0</v>
      </c>
      <c r="BT199" s="171">
        <f t="shared" si="310"/>
        <v>0</v>
      </c>
      <c r="BU199" s="171">
        <f t="shared" si="310"/>
        <v>0</v>
      </c>
      <c r="BV199" s="171">
        <f t="shared" si="310"/>
        <v>0</v>
      </c>
      <c r="BW199" s="171">
        <f t="shared" si="310"/>
        <v>0</v>
      </c>
      <c r="BX199" s="171">
        <f t="shared" si="310"/>
        <v>0</v>
      </c>
      <c r="BY199" s="171">
        <f t="shared" ref="BY199:CI208" si="311">IFERROR(
    IF($T199="Equity",
        IF(AND(BY$48&gt;=$E199, BY$48&lt;=($E199+$Q199)),
$K199*$P199*(VLOOKUP($C$39,$C$37:$BL$44,MATCH($E199,$C$37:$BL$37,0),FALSE)/VLOOKUP($L199,$C$37:$BL$44,MATCH($E199,$C$37:$BL$37,0),FALSE))*
IF($B$5="Foreign Currency",VLOOKUP($C$38,$C$37:$BL$44,MATCH(BY$48,$C$37:$BL$37,0),FALSE)/VLOOKUP($C$39,$C$37:$BL$44,MATCH(BY$48,$C$37:$BL$37,0),FALSE),1),
0),
    IF($T199="Lump Sum Principal",
        IF(AND(BY$48&gt;=$E199, BY$48&lt;($E199+$Q199)),
$K199*$P199*(VLOOKUP($C$39,$C$37:$BL$44,MATCH($E199,$C$37:$BL$37,0),FALSE)/VLOOKUP($L199,$C$37:$BL$44,MATCH($E199,$C$37:$BL$37,0),FALSE))*
IF($B$5="Foreign Currency",VLOOKUP($C$38,$C$37:$BL$44,MATCH(BY$48,$C$37:$BL$37,0),FALSE)/VLOOKUP($C$39,$C$37:$BL$44,MATCH(BY$48,$C$37:$BL$37,0),FALSE),1),
        IF(BY$48=($E199+$Q199),
$K199*(1+$P199)*(VLOOKUP($C$39,$C$37:$BL$44,MATCH($E199,$C$37:$BL$37,0),FALSE)/VLOOKUP($L199,$C$37:$BL$44,MATCH($E199,$C$37:$BL$37,0),FALSE))*
IF($B$5="Foreign Currency",VLOOKUP($C$38,$C$37:$BL$44,MATCH(BY$48,$C$37:$BL$37,0),FALSE)/VLOOKUP($C$39,$C$37:$BL$44,MATCH(BY$48,$C$37:$BL$37,0),FALSE),1),
0)),
    IF($T199="Lump Sum Principal and Interest",
        IF(BY$48=($E199+$Q199),
$K199*((1+$P199)^$Q199)*(VLOOKUP($C$39,$C$37:$BL$44,MATCH($E199,$C$37:$BL$37,0),FALSE)/VLOOKUP($L199,$C$37:$BL$44,MATCH($E199,$C$37:$BL$37,0),FALSE))*
IF($B$5="Foreign Currency",VLOOKUP($C$38,$C$37:$BL$44,MATCH(BY$48,$C$37:$BL$37,0),FALSE)/VLOOKUP($C$39,$C$37:$BL$44,MATCH(BY$48,$C$37:$BL$37,0),FALSE),1),
0),
    IF($T199="EPP with Grace Years for Principal",
        IF(AND(BY$48&gt;=$E199, BY$48&lt;($E199+$S199)),
$K199*$P199*(VLOOKUP($C$39,$C$37:$BL$44,MATCH($E199,$C$37:$BL$37,0),FALSE)/VLOOKUP($L199,$C$37:$BL$44,MATCH($E199,$C$37:$BL$37,0),FALSE))*
IF($B$5="Foreign Currency",VLOOKUP($C$38,$C$37:$BL$44,MATCH(BY$48,$C$37:$BL$37,0),FALSE)/VLOOKUP($C$39,$C$37:$BL$44,MATCH(BY$48,$C$37:$BL$37,0),FALSE),1),
        IF(AND(BY$48&gt;=($E199+$S199), BY$48&lt;=($E199+$Q199)),
-PMT($P199,($Q199-$S199+1),($K199*(VLOOKUP($C$39,$C$37:$BL$44,MATCH($E199,$C$37:$BL$37,0),FALSE)/VLOOKUP($L199,$C$37:$BL$44,MATCH($E199,$C$37:$BL$37,0),FALSE))*
IF($B$5="Foreign Currency",VLOOKUP($C$38,$C$37:$BL$44,MATCH(BY$48,$C$37:$BL$37,0),FALSE)/VLOOKUP($C$39,$C$37:$BL$44,MATCH(BY$48,$C$37:$BL$37,0),FALSE),1)),0),
0)),
    IF($T199="Equal Principal Payments (EPP)",
        IF(AND(BY$48&gt;=$E199, BY$48&lt;=($E199+$Q199)),
-PMT($P199,($Q199-$S199+1),($K199*(VLOOKUP($C$39,$C$37:$BL$44,MATCH($E199,$C$37:$BL$37,0),FALSE)/VLOOKUP($L199,$C$37:$BL$44,MATCH($E199,$C$37:$BL$37,0),FALSE))*
IF($B$5="Foreign Currency",VLOOKUP($C$38,$C$37:$BL$44,MATCH(BY$48,$C$37:$BL$37,0),FALSE)/VLOOKUP($C$39,$C$37:$BL$44,MATCH(BY$48,$C$37:$BL$37,0),FALSE),1)),0), 0),
    IF($T199="EPP with Grace Years for Principal and on Interest",
        IF(AND(BY$48&gt;=($E199+$S199), BY$48&lt;=($E199+$Q199)),
-PMT($P199,($Q199-$S199+1),($K199*(VLOOKUP($C$39,$C$37:$BL$44,MATCH($E199,$C$37:$BL$37,0),FALSE)/VLOOKUP($L199,$C$37:$BL$44,MATCH($E199,$C$37:$BL$37,0),FALSE))*
IF($B$5="Foreign Currency",VLOOKUP($C$38,$C$37:$BL$44,MATCH(BY$48,$C$37:$BL$37,0),FALSE)/VLOOKUP($C$39,$C$37:$BL$44,MATCH(BY$48,$C$37:$BL$37,0),FALSE),1))*((1+$P199)^$S199),0), 0),
    0)))))),"")</f>
        <v>0</v>
      </c>
      <c r="BZ199" s="171">
        <f t="shared" si="311"/>
        <v>0</v>
      </c>
      <c r="CA199" s="171">
        <f t="shared" si="311"/>
        <v>0</v>
      </c>
      <c r="CB199" s="171">
        <f t="shared" si="311"/>
        <v>0</v>
      </c>
      <c r="CC199" s="171">
        <f t="shared" si="311"/>
        <v>0</v>
      </c>
      <c r="CD199" s="171">
        <f t="shared" si="311"/>
        <v>0</v>
      </c>
      <c r="CE199" s="171">
        <f t="shared" si="311"/>
        <v>0</v>
      </c>
      <c r="CF199" s="171">
        <f t="shared" si="311"/>
        <v>0</v>
      </c>
      <c r="CG199" s="171">
        <f t="shared" si="311"/>
        <v>0</v>
      </c>
      <c r="CH199" s="171">
        <f t="shared" si="311"/>
        <v>0</v>
      </c>
      <c r="CI199" s="171">
        <f t="shared" si="311"/>
        <v>0</v>
      </c>
      <c r="CJ199" s="243"/>
      <c r="CK199" s="171">
        <f t="shared" si="233"/>
        <v>4.2</v>
      </c>
      <c r="CL199" s="171">
        <f t="shared" si="234"/>
        <v>4.2</v>
      </c>
      <c r="CM199" s="171">
        <f t="shared" si="235"/>
        <v>4.2</v>
      </c>
      <c r="CN199" s="171">
        <f t="shared" si="236"/>
        <v>4.2</v>
      </c>
      <c r="CO199" s="171">
        <f t="shared" si="237"/>
        <v>4.2</v>
      </c>
      <c r="CP199" s="171">
        <f t="shared" si="238"/>
        <v>4.2</v>
      </c>
      <c r="CQ199" s="171">
        <f t="shared" si="239"/>
        <v>4.2</v>
      </c>
      <c r="CR199" s="171">
        <f t="shared" si="240"/>
        <v>8.7528390268614586</v>
      </c>
      <c r="CS199" s="171">
        <f t="shared" si="241"/>
        <v>8.7528390268614586</v>
      </c>
      <c r="CT199" s="171">
        <f t="shared" si="242"/>
        <v>8.7528390268614586</v>
      </c>
      <c r="CU199" s="171">
        <f t="shared" si="243"/>
        <v>8.7528390268614586</v>
      </c>
      <c r="CV199" s="171">
        <f t="shared" si="244"/>
        <v>8.7528390268614586</v>
      </c>
      <c r="CW199" s="171">
        <f t="shared" si="245"/>
        <v>8.7528390268614586</v>
      </c>
      <c r="CX199" s="171">
        <f t="shared" si="246"/>
        <v>8.7528390268614586</v>
      </c>
      <c r="CY199" s="171">
        <f t="shared" ca="1" si="247"/>
        <v>8.3096580143174048</v>
      </c>
      <c r="CZ199" s="171">
        <f t="shared" ca="1" si="248"/>
        <v>7.8889165107460197</v>
      </c>
      <c r="DA199" s="171">
        <f t="shared" ca="1" si="249"/>
        <v>7.4894783402988727</v>
      </c>
      <c r="DB199" s="171">
        <f t="shared" ca="1" si="250"/>
        <v>7.1102648549263918</v>
      </c>
      <c r="DC199" s="171">
        <f t="shared" ca="1" si="251"/>
        <v>6.7502520215825808</v>
      </c>
      <c r="DD199" s="171">
        <f t="shared" ca="1" si="252"/>
        <v>6.4084676569128218</v>
      </c>
      <c r="DE199" s="171">
        <f t="shared" ca="1" si="253"/>
        <v>6.0839888019572514</v>
      </c>
      <c r="DF199" s="171">
        <f t="shared" ca="1" si="254"/>
        <v>5.7759392297803336</v>
      </c>
      <c r="DG199" s="171">
        <f t="shared" ca="1" si="255"/>
        <v>5.4834870792962143</v>
      </c>
      <c r="DH199" s="171">
        <f t="shared" ca="1" si="256"/>
        <v>5.2058426089001753</v>
      </c>
      <c r="DI199" s="171">
        <f t="shared" ca="1" si="257"/>
        <v>4.9422560638401052</v>
      </c>
      <c r="DJ199" s="171">
        <f t="shared" ca="1" si="258"/>
        <v>4.6920156515689753</v>
      </c>
      <c r="DK199" s="171">
        <f t="shared" ca="1" si="259"/>
        <v>0</v>
      </c>
      <c r="DL199" s="171">
        <f t="shared" ca="1" si="260"/>
        <v>0</v>
      </c>
      <c r="DM199" s="171">
        <f t="shared" ca="1" si="261"/>
        <v>0</v>
      </c>
      <c r="DN199" s="171">
        <f t="shared" ca="1" si="262"/>
        <v>0</v>
      </c>
      <c r="DO199" s="171">
        <f t="shared" ca="1" si="263"/>
        <v>0</v>
      </c>
      <c r="DP199" s="171">
        <f t="shared" ca="1" si="264"/>
        <v>0</v>
      </c>
      <c r="DQ199" s="171">
        <f t="shared" ca="1" si="265"/>
        <v>0</v>
      </c>
      <c r="DR199" s="171">
        <f t="shared" ca="1" si="266"/>
        <v>0</v>
      </c>
      <c r="DS199" s="171">
        <f t="shared" ca="1" si="267"/>
        <v>0</v>
      </c>
      <c r="DT199" s="171">
        <f t="shared" ca="1" si="268"/>
        <v>0</v>
      </c>
      <c r="DU199" s="171">
        <f t="shared" ca="1" si="269"/>
        <v>0</v>
      </c>
      <c r="DV199" s="171">
        <f t="shared" ca="1" si="270"/>
        <v>0</v>
      </c>
      <c r="DW199" s="171">
        <f t="shared" ca="1" si="271"/>
        <v>0</v>
      </c>
      <c r="DX199" s="171">
        <f t="shared" ca="1" si="272"/>
        <v>0</v>
      </c>
      <c r="DY199" s="171">
        <f t="shared" ca="1" si="273"/>
        <v>0</v>
      </c>
      <c r="DZ199" s="171">
        <f t="shared" ca="1" si="274"/>
        <v>0</v>
      </c>
      <c r="EA199" s="171">
        <f t="shared" ca="1" si="275"/>
        <v>0</v>
      </c>
      <c r="EB199" s="171">
        <f t="shared" ca="1" si="276"/>
        <v>0</v>
      </c>
      <c r="EC199" s="171">
        <f t="shared" ca="1" si="277"/>
        <v>0</v>
      </c>
      <c r="ED199" s="171">
        <f t="shared" ca="1" si="278"/>
        <v>0</v>
      </c>
      <c r="EE199" s="171">
        <f t="shared" ca="1" si="279"/>
        <v>0</v>
      </c>
      <c r="EF199" s="171">
        <f t="shared" ca="1" si="280"/>
        <v>0</v>
      </c>
      <c r="EG199" s="171">
        <f t="shared" ca="1" si="281"/>
        <v>0</v>
      </c>
      <c r="EH199" s="171">
        <f t="shared" ca="1" si="282"/>
        <v>0</v>
      </c>
      <c r="EI199" s="171">
        <f t="shared" ca="1" si="283"/>
        <v>0</v>
      </c>
      <c r="EJ199" s="171">
        <f t="shared" ca="1" si="284"/>
        <v>0</v>
      </c>
      <c r="EK199" s="171">
        <f t="shared" ca="1" si="285"/>
        <v>0</v>
      </c>
      <c r="EL199" s="171">
        <f t="shared" ca="1" si="286"/>
        <v>0</v>
      </c>
      <c r="EM199" s="171">
        <f t="shared" ca="1" si="287"/>
        <v>0</v>
      </c>
      <c r="EN199" s="171">
        <f t="shared" ca="1" si="288"/>
        <v>0</v>
      </c>
      <c r="EO199" s="171">
        <f t="shared" ca="1" si="289"/>
        <v>0</v>
      </c>
      <c r="EP199" s="171">
        <f t="shared" ca="1" si="290"/>
        <v>0</v>
      </c>
      <c r="EQ199" s="171">
        <f t="shared" ca="1" si="291"/>
        <v>0</v>
      </c>
      <c r="ER199" s="171">
        <f t="shared" ca="1" si="292"/>
        <v>0</v>
      </c>
      <c r="ES199" s="171">
        <f t="shared" ca="1" si="293"/>
        <v>0</v>
      </c>
    </row>
    <row r="200" spans="1:149">
      <c r="A200" s="139" t="s">
        <v>550</v>
      </c>
      <c r="B200" s="160" t="s">
        <v>427</v>
      </c>
      <c r="C200" s="160" t="s">
        <v>109</v>
      </c>
      <c r="D200" s="160" t="s">
        <v>428</v>
      </c>
      <c r="E200" s="160">
        <v>2010</v>
      </c>
      <c r="F200" s="160" t="s">
        <v>395</v>
      </c>
      <c r="G200" s="174" t="s">
        <v>402</v>
      </c>
      <c r="H200" s="160" t="s">
        <v>396</v>
      </c>
      <c r="I200" s="160" t="s">
        <v>176</v>
      </c>
      <c r="J200" s="160" t="s">
        <v>397</v>
      </c>
      <c r="K200" s="187">
        <v>10</v>
      </c>
      <c r="L200" s="163" t="s">
        <v>110</v>
      </c>
      <c r="M200" s="164">
        <f t="shared" si="223"/>
        <v>10</v>
      </c>
      <c r="N200" s="164">
        <f t="shared" si="224"/>
        <v>10</v>
      </c>
      <c r="O200" s="165">
        <f t="shared" si="225"/>
        <v>1</v>
      </c>
      <c r="P200" s="190">
        <v>0.05</v>
      </c>
      <c r="Q200" s="177">
        <v>6.5833300000000001</v>
      </c>
      <c r="R200" s="168">
        <f t="shared" si="226"/>
        <v>0</v>
      </c>
      <c r="S200" s="181">
        <v>4.5</v>
      </c>
      <c r="T200" s="170" t="s">
        <v>403</v>
      </c>
      <c r="U200" s="171">
        <f t="shared" si="227"/>
        <v>1.4673225945376509</v>
      </c>
      <c r="V200" s="171">
        <f t="shared" ca="1" si="228"/>
        <v>1.4673225945376509</v>
      </c>
      <c r="W200" s="171">
        <f t="shared" ca="1" si="229"/>
        <v>9.6598688562975532</v>
      </c>
      <c r="X200" s="172">
        <f t="shared" si="230"/>
        <v>0.46983475279264264</v>
      </c>
      <c r="Y200" s="172">
        <f t="shared" si="231"/>
        <v>0.53016524720735736</v>
      </c>
      <c r="Z200" s="173">
        <f t="shared" si="232"/>
        <v>9.6598688562975532</v>
      </c>
      <c r="AA200" s="171">
        <f t="shared" si="306"/>
        <v>0.5</v>
      </c>
      <c r="AB200" s="171">
        <f t="shared" si="306"/>
        <v>0.5</v>
      </c>
      <c r="AC200" s="171">
        <f t="shared" si="306"/>
        <v>0.5</v>
      </c>
      <c r="AD200" s="171">
        <f t="shared" si="306"/>
        <v>0.5</v>
      </c>
      <c r="AE200" s="171">
        <f t="shared" si="306"/>
        <v>0.5</v>
      </c>
      <c r="AF200" s="171">
        <f t="shared" si="306"/>
        <v>3.5799344281487766</v>
      </c>
      <c r="AG200" s="171">
        <f t="shared" si="306"/>
        <v>3.5799344281487766</v>
      </c>
      <c r="AH200" s="171">
        <f t="shared" si="306"/>
        <v>0</v>
      </c>
      <c r="AI200" s="171">
        <f t="shared" si="306"/>
        <v>0</v>
      </c>
      <c r="AJ200" s="171">
        <f t="shared" si="306"/>
        <v>0</v>
      </c>
      <c r="AK200" s="171">
        <f t="shared" si="307"/>
        <v>0</v>
      </c>
      <c r="AL200" s="171">
        <f t="shared" si="307"/>
        <v>0</v>
      </c>
      <c r="AM200" s="171">
        <f t="shared" si="307"/>
        <v>0</v>
      </c>
      <c r="AN200" s="171">
        <f t="shared" si="307"/>
        <v>0</v>
      </c>
      <c r="AO200" s="171">
        <f t="shared" si="307"/>
        <v>0</v>
      </c>
      <c r="AP200" s="171">
        <f t="shared" si="307"/>
        <v>0</v>
      </c>
      <c r="AQ200" s="171">
        <f t="shared" si="307"/>
        <v>0</v>
      </c>
      <c r="AR200" s="171">
        <f t="shared" si="307"/>
        <v>0</v>
      </c>
      <c r="AS200" s="171">
        <f t="shared" si="307"/>
        <v>0</v>
      </c>
      <c r="AT200" s="171">
        <f t="shared" si="307"/>
        <v>0</v>
      </c>
      <c r="AU200" s="171">
        <f t="shared" si="308"/>
        <v>0</v>
      </c>
      <c r="AV200" s="171">
        <f t="shared" si="308"/>
        <v>0</v>
      </c>
      <c r="AW200" s="171">
        <f t="shared" si="308"/>
        <v>0</v>
      </c>
      <c r="AX200" s="171">
        <f t="shared" si="308"/>
        <v>0</v>
      </c>
      <c r="AY200" s="171">
        <f t="shared" si="308"/>
        <v>0</v>
      </c>
      <c r="AZ200" s="171">
        <f t="shared" si="308"/>
        <v>0</v>
      </c>
      <c r="BA200" s="171">
        <f t="shared" si="308"/>
        <v>0</v>
      </c>
      <c r="BB200" s="171">
        <f t="shared" si="308"/>
        <v>0</v>
      </c>
      <c r="BC200" s="171">
        <f t="shared" si="308"/>
        <v>0</v>
      </c>
      <c r="BD200" s="171">
        <f t="shared" si="308"/>
        <v>0</v>
      </c>
      <c r="BE200" s="171">
        <f t="shared" si="309"/>
        <v>0</v>
      </c>
      <c r="BF200" s="171">
        <f t="shared" si="309"/>
        <v>0</v>
      </c>
      <c r="BG200" s="171">
        <f t="shared" si="309"/>
        <v>0</v>
      </c>
      <c r="BH200" s="171">
        <f t="shared" si="309"/>
        <v>0</v>
      </c>
      <c r="BI200" s="171">
        <f t="shared" si="309"/>
        <v>0</v>
      </c>
      <c r="BJ200" s="171">
        <f t="shared" si="309"/>
        <v>0</v>
      </c>
      <c r="BK200" s="171">
        <f t="shared" si="309"/>
        <v>0</v>
      </c>
      <c r="BL200" s="171">
        <f t="shared" si="309"/>
        <v>0</v>
      </c>
      <c r="BM200" s="171">
        <f t="shared" si="309"/>
        <v>0</v>
      </c>
      <c r="BN200" s="171">
        <f t="shared" si="309"/>
        <v>0</v>
      </c>
      <c r="BO200" s="171">
        <f t="shared" si="310"/>
        <v>0</v>
      </c>
      <c r="BP200" s="171">
        <f t="shared" si="310"/>
        <v>0</v>
      </c>
      <c r="BQ200" s="171">
        <f t="shared" si="310"/>
        <v>0</v>
      </c>
      <c r="BR200" s="171">
        <f t="shared" si="310"/>
        <v>0</v>
      </c>
      <c r="BS200" s="171">
        <f t="shared" si="310"/>
        <v>0</v>
      </c>
      <c r="BT200" s="171">
        <f t="shared" si="310"/>
        <v>0</v>
      </c>
      <c r="BU200" s="171">
        <f t="shared" si="310"/>
        <v>0</v>
      </c>
      <c r="BV200" s="171">
        <f t="shared" si="310"/>
        <v>0</v>
      </c>
      <c r="BW200" s="171">
        <f t="shared" si="310"/>
        <v>0</v>
      </c>
      <c r="BX200" s="171">
        <f t="shared" si="310"/>
        <v>0</v>
      </c>
      <c r="BY200" s="171">
        <f t="shared" si="311"/>
        <v>0</v>
      </c>
      <c r="BZ200" s="171">
        <f t="shared" si="311"/>
        <v>0</v>
      </c>
      <c r="CA200" s="171">
        <f t="shared" si="311"/>
        <v>0</v>
      </c>
      <c r="CB200" s="171">
        <f t="shared" si="311"/>
        <v>0</v>
      </c>
      <c r="CC200" s="171">
        <f t="shared" si="311"/>
        <v>0</v>
      </c>
      <c r="CD200" s="171">
        <f t="shared" si="311"/>
        <v>0</v>
      </c>
      <c r="CE200" s="171">
        <f t="shared" si="311"/>
        <v>0</v>
      </c>
      <c r="CF200" s="171">
        <f t="shared" si="311"/>
        <v>0</v>
      </c>
      <c r="CG200" s="171">
        <f t="shared" si="311"/>
        <v>0</v>
      </c>
      <c r="CH200" s="171">
        <f t="shared" si="311"/>
        <v>0</v>
      </c>
      <c r="CI200" s="171">
        <f t="shared" si="311"/>
        <v>0</v>
      </c>
      <c r="CJ200" s="243"/>
      <c r="CK200" s="171">
        <f t="shared" si="233"/>
        <v>0.5</v>
      </c>
      <c r="CL200" s="171">
        <f t="shared" si="234"/>
        <v>0.5</v>
      </c>
      <c r="CM200" s="171">
        <f t="shared" si="235"/>
        <v>0.5</v>
      </c>
      <c r="CN200" s="171">
        <f t="shared" si="236"/>
        <v>0.5</v>
      </c>
      <c r="CO200" s="171">
        <f t="shared" si="237"/>
        <v>0.5</v>
      </c>
      <c r="CP200" s="171">
        <f t="shared" si="238"/>
        <v>3.5799344281487766</v>
      </c>
      <c r="CQ200" s="171">
        <f t="shared" si="239"/>
        <v>3.5799344281487766</v>
      </c>
      <c r="CR200" s="171">
        <f t="shared" si="240"/>
        <v>0</v>
      </c>
      <c r="CS200" s="171">
        <f t="shared" si="241"/>
        <v>0</v>
      </c>
      <c r="CT200" s="171">
        <f t="shared" si="242"/>
        <v>0</v>
      </c>
      <c r="CU200" s="171">
        <f t="shared" si="243"/>
        <v>0</v>
      </c>
      <c r="CV200" s="171">
        <f t="shared" si="244"/>
        <v>0</v>
      </c>
      <c r="CW200" s="171">
        <f t="shared" si="245"/>
        <v>0</v>
      </c>
      <c r="CX200" s="171">
        <f t="shared" si="246"/>
        <v>0</v>
      </c>
      <c r="CY200" s="171">
        <f t="shared" ca="1" si="247"/>
        <v>0</v>
      </c>
      <c r="CZ200" s="171">
        <f t="shared" ca="1" si="248"/>
        <v>0</v>
      </c>
      <c r="DA200" s="171">
        <f t="shared" ca="1" si="249"/>
        <v>0</v>
      </c>
      <c r="DB200" s="171">
        <f t="shared" ca="1" si="250"/>
        <v>0</v>
      </c>
      <c r="DC200" s="171">
        <f t="shared" ca="1" si="251"/>
        <v>0</v>
      </c>
      <c r="DD200" s="171">
        <f t="shared" ca="1" si="252"/>
        <v>0</v>
      </c>
      <c r="DE200" s="171">
        <f t="shared" ca="1" si="253"/>
        <v>0</v>
      </c>
      <c r="DF200" s="171">
        <f t="shared" ca="1" si="254"/>
        <v>0</v>
      </c>
      <c r="DG200" s="171">
        <f t="shared" ca="1" si="255"/>
        <v>0</v>
      </c>
      <c r="DH200" s="171">
        <f t="shared" ca="1" si="256"/>
        <v>0</v>
      </c>
      <c r="DI200" s="171">
        <f t="shared" ca="1" si="257"/>
        <v>0</v>
      </c>
      <c r="DJ200" s="171">
        <f t="shared" ca="1" si="258"/>
        <v>0</v>
      </c>
      <c r="DK200" s="171">
        <f t="shared" ca="1" si="259"/>
        <v>0</v>
      </c>
      <c r="DL200" s="171">
        <f t="shared" ca="1" si="260"/>
        <v>0</v>
      </c>
      <c r="DM200" s="171">
        <f t="shared" ca="1" si="261"/>
        <v>0</v>
      </c>
      <c r="DN200" s="171">
        <f t="shared" ca="1" si="262"/>
        <v>0</v>
      </c>
      <c r="DO200" s="171">
        <f t="shared" ca="1" si="263"/>
        <v>0</v>
      </c>
      <c r="DP200" s="171">
        <f t="shared" ca="1" si="264"/>
        <v>0</v>
      </c>
      <c r="DQ200" s="171">
        <f t="shared" ca="1" si="265"/>
        <v>0</v>
      </c>
      <c r="DR200" s="171">
        <f t="shared" ca="1" si="266"/>
        <v>0</v>
      </c>
      <c r="DS200" s="171">
        <f t="shared" ca="1" si="267"/>
        <v>0</v>
      </c>
      <c r="DT200" s="171">
        <f t="shared" ca="1" si="268"/>
        <v>0</v>
      </c>
      <c r="DU200" s="171">
        <f t="shared" ca="1" si="269"/>
        <v>0</v>
      </c>
      <c r="DV200" s="171">
        <f t="shared" ca="1" si="270"/>
        <v>0</v>
      </c>
      <c r="DW200" s="171">
        <f t="shared" ca="1" si="271"/>
        <v>0</v>
      </c>
      <c r="DX200" s="171">
        <f t="shared" ca="1" si="272"/>
        <v>0</v>
      </c>
      <c r="DY200" s="171">
        <f t="shared" ca="1" si="273"/>
        <v>0</v>
      </c>
      <c r="DZ200" s="171">
        <f t="shared" ca="1" si="274"/>
        <v>0</v>
      </c>
      <c r="EA200" s="171">
        <f t="shared" ca="1" si="275"/>
        <v>0</v>
      </c>
      <c r="EB200" s="171">
        <f t="shared" ca="1" si="276"/>
        <v>0</v>
      </c>
      <c r="EC200" s="171">
        <f t="shared" ca="1" si="277"/>
        <v>0</v>
      </c>
      <c r="ED200" s="171">
        <f t="shared" ca="1" si="278"/>
        <v>0</v>
      </c>
      <c r="EE200" s="171">
        <f t="shared" ca="1" si="279"/>
        <v>0</v>
      </c>
      <c r="EF200" s="171">
        <f t="shared" ca="1" si="280"/>
        <v>0</v>
      </c>
      <c r="EG200" s="171">
        <f t="shared" ca="1" si="281"/>
        <v>0</v>
      </c>
      <c r="EH200" s="171">
        <f t="shared" ca="1" si="282"/>
        <v>0</v>
      </c>
      <c r="EI200" s="171">
        <f t="shared" ca="1" si="283"/>
        <v>0</v>
      </c>
      <c r="EJ200" s="171">
        <f t="shared" ca="1" si="284"/>
        <v>0</v>
      </c>
      <c r="EK200" s="171">
        <f t="shared" ca="1" si="285"/>
        <v>0</v>
      </c>
      <c r="EL200" s="171">
        <f t="shared" ca="1" si="286"/>
        <v>0</v>
      </c>
      <c r="EM200" s="171">
        <f t="shared" ca="1" si="287"/>
        <v>0</v>
      </c>
      <c r="EN200" s="171">
        <f t="shared" ca="1" si="288"/>
        <v>0</v>
      </c>
      <c r="EO200" s="171">
        <f t="shared" ca="1" si="289"/>
        <v>0</v>
      </c>
      <c r="EP200" s="171">
        <f t="shared" ca="1" si="290"/>
        <v>0</v>
      </c>
      <c r="EQ200" s="171">
        <f t="shared" ca="1" si="291"/>
        <v>0</v>
      </c>
      <c r="ER200" s="171">
        <f t="shared" ca="1" si="292"/>
        <v>0</v>
      </c>
      <c r="ES200" s="171">
        <f t="shared" ca="1" si="293"/>
        <v>0</v>
      </c>
    </row>
    <row r="201" spans="1:149">
      <c r="A201" s="139" t="s">
        <v>550</v>
      </c>
      <c r="B201" s="160" t="s">
        <v>430</v>
      </c>
      <c r="C201" s="160" t="s">
        <v>109</v>
      </c>
      <c r="D201" s="160" t="s">
        <v>428</v>
      </c>
      <c r="E201" s="160">
        <v>2010</v>
      </c>
      <c r="F201" s="194" t="s">
        <v>395</v>
      </c>
      <c r="G201" s="160" t="s">
        <v>402</v>
      </c>
      <c r="H201" s="194" t="s">
        <v>396</v>
      </c>
      <c r="I201" s="194" t="s">
        <v>178</v>
      </c>
      <c r="J201" s="194" t="s">
        <v>407</v>
      </c>
      <c r="K201" s="187">
        <v>5</v>
      </c>
      <c r="L201" s="163" t="s">
        <v>110</v>
      </c>
      <c r="M201" s="164">
        <f t="shared" si="223"/>
        <v>5</v>
      </c>
      <c r="N201" s="164">
        <f t="shared" si="224"/>
        <v>5</v>
      </c>
      <c r="O201" s="165">
        <f t="shared" si="225"/>
        <v>1</v>
      </c>
      <c r="P201" s="190">
        <v>3.5000000000000003E-2</v>
      </c>
      <c r="Q201" s="191">
        <v>40</v>
      </c>
      <c r="R201" s="168">
        <f t="shared" si="226"/>
        <v>26</v>
      </c>
      <c r="S201" s="178">
        <v>10</v>
      </c>
      <c r="T201" s="170" t="s">
        <v>403</v>
      </c>
      <c r="U201" s="171">
        <f t="shared" si="227"/>
        <v>0.2505680490981092</v>
      </c>
      <c r="V201" s="171">
        <f t="shared" ca="1" si="228"/>
        <v>0.16477037635693856</v>
      </c>
      <c r="W201" s="171">
        <f t="shared" ca="1" si="229"/>
        <v>6.5908150542775426</v>
      </c>
      <c r="X201" s="172">
        <f t="shared" si="230"/>
        <v>0.2157927678990067</v>
      </c>
      <c r="Y201" s="172">
        <f t="shared" si="231"/>
        <v>0.7842072321009933</v>
      </c>
      <c r="Z201" s="173">
        <f t="shared" si="232"/>
        <v>10.022721963924369</v>
      </c>
      <c r="AA201" s="171">
        <f t="shared" si="306"/>
        <v>0.17500000000000002</v>
      </c>
      <c r="AB201" s="171">
        <f t="shared" si="306"/>
        <v>0.17500000000000002</v>
      </c>
      <c r="AC201" s="171">
        <f t="shared" si="306"/>
        <v>0.17500000000000002</v>
      </c>
      <c r="AD201" s="171">
        <f t="shared" si="306"/>
        <v>0.17500000000000002</v>
      </c>
      <c r="AE201" s="171">
        <f t="shared" si="306"/>
        <v>0.17500000000000002</v>
      </c>
      <c r="AF201" s="171">
        <f t="shared" si="306"/>
        <v>0.17500000000000002</v>
      </c>
      <c r="AG201" s="171">
        <f t="shared" si="306"/>
        <v>0.17500000000000002</v>
      </c>
      <c r="AH201" s="171">
        <f t="shared" si="306"/>
        <v>0.17500000000000002</v>
      </c>
      <c r="AI201" s="171">
        <f t="shared" si="306"/>
        <v>0.17500000000000002</v>
      </c>
      <c r="AJ201" s="171">
        <f t="shared" si="306"/>
        <v>0.17500000000000002</v>
      </c>
      <c r="AK201" s="171">
        <f t="shared" si="307"/>
        <v>0.26686199883627015</v>
      </c>
      <c r="AL201" s="171">
        <f t="shared" si="307"/>
        <v>0.26686199883627015</v>
      </c>
      <c r="AM201" s="171">
        <f t="shared" si="307"/>
        <v>0.26686199883627015</v>
      </c>
      <c r="AN201" s="171">
        <f t="shared" si="307"/>
        <v>0.26686199883627015</v>
      </c>
      <c r="AO201" s="171">
        <f t="shared" si="307"/>
        <v>0.26686199883627015</v>
      </c>
      <c r="AP201" s="171">
        <f t="shared" si="307"/>
        <v>0.26686199883627015</v>
      </c>
      <c r="AQ201" s="171">
        <f t="shared" si="307"/>
        <v>0.26686199883627015</v>
      </c>
      <c r="AR201" s="171">
        <f t="shared" si="307"/>
        <v>0.26686199883627015</v>
      </c>
      <c r="AS201" s="171">
        <f t="shared" si="307"/>
        <v>0.26686199883627015</v>
      </c>
      <c r="AT201" s="171">
        <f t="shared" si="307"/>
        <v>0.26686199883627015</v>
      </c>
      <c r="AU201" s="171">
        <f t="shared" si="308"/>
        <v>0.26686199883627015</v>
      </c>
      <c r="AV201" s="171">
        <f t="shared" si="308"/>
        <v>0.26686199883627015</v>
      </c>
      <c r="AW201" s="171">
        <f t="shared" si="308"/>
        <v>0.26686199883627015</v>
      </c>
      <c r="AX201" s="171">
        <f t="shared" si="308"/>
        <v>0.26686199883627015</v>
      </c>
      <c r="AY201" s="171">
        <f t="shared" si="308"/>
        <v>0.26686199883627015</v>
      </c>
      <c r="AZ201" s="171">
        <f t="shared" si="308"/>
        <v>0.26686199883627015</v>
      </c>
      <c r="BA201" s="171">
        <f t="shared" si="308"/>
        <v>0.26686199883627015</v>
      </c>
      <c r="BB201" s="171">
        <f t="shared" si="308"/>
        <v>0.26686199883627015</v>
      </c>
      <c r="BC201" s="171">
        <f t="shared" si="308"/>
        <v>0.26686199883627015</v>
      </c>
      <c r="BD201" s="171">
        <f t="shared" si="308"/>
        <v>0.26686199883627015</v>
      </c>
      <c r="BE201" s="171">
        <f t="shared" si="309"/>
        <v>0.26686199883627015</v>
      </c>
      <c r="BF201" s="171">
        <f t="shared" si="309"/>
        <v>0.26686199883627015</v>
      </c>
      <c r="BG201" s="171">
        <f t="shared" si="309"/>
        <v>0.26686199883627015</v>
      </c>
      <c r="BH201" s="171">
        <f t="shared" si="309"/>
        <v>0.26686199883627015</v>
      </c>
      <c r="BI201" s="171">
        <f t="shared" si="309"/>
        <v>0.26686199883627015</v>
      </c>
      <c r="BJ201" s="171">
        <f t="shared" si="309"/>
        <v>0.26686199883627015</v>
      </c>
      <c r="BK201" s="171">
        <f t="shared" si="309"/>
        <v>0.26686199883627015</v>
      </c>
      <c r="BL201" s="171">
        <f t="shared" si="309"/>
        <v>0.26686199883627015</v>
      </c>
      <c r="BM201" s="171">
        <f t="shared" si="309"/>
        <v>0.26686199883627015</v>
      </c>
      <c r="BN201" s="171">
        <f t="shared" si="309"/>
        <v>0.26686199883627015</v>
      </c>
      <c r="BO201" s="171">
        <f t="shared" si="310"/>
        <v>0.26686199883627015</v>
      </c>
      <c r="BP201" s="171">
        <f t="shared" si="310"/>
        <v>0</v>
      </c>
      <c r="BQ201" s="171">
        <f t="shared" si="310"/>
        <v>0</v>
      </c>
      <c r="BR201" s="171">
        <f t="shared" si="310"/>
        <v>0</v>
      </c>
      <c r="BS201" s="171">
        <f t="shared" si="310"/>
        <v>0</v>
      </c>
      <c r="BT201" s="171">
        <f t="shared" si="310"/>
        <v>0</v>
      </c>
      <c r="BU201" s="171">
        <f t="shared" si="310"/>
        <v>0</v>
      </c>
      <c r="BV201" s="171">
        <f t="shared" si="310"/>
        <v>0</v>
      </c>
      <c r="BW201" s="171">
        <f t="shared" si="310"/>
        <v>0</v>
      </c>
      <c r="BX201" s="171">
        <f t="shared" si="310"/>
        <v>0</v>
      </c>
      <c r="BY201" s="171">
        <f t="shared" si="311"/>
        <v>0</v>
      </c>
      <c r="BZ201" s="171">
        <f t="shared" si="311"/>
        <v>0</v>
      </c>
      <c r="CA201" s="171">
        <f t="shared" si="311"/>
        <v>0</v>
      </c>
      <c r="CB201" s="171">
        <f t="shared" si="311"/>
        <v>0</v>
      </c>
      <c r="CC201" s="171">
        <f t="shared" si="311"/>
        <v>0</v>
      </c>
      <c r="CD201" s="171">
        <f t="shared" si="311"/>
        <v>0</v>
      </c>
      <c r="CE201" s="171">
        <f t="shared" si="311"/>
        <v>0</v>
      </c>
      <c r="CF201" s="171">
        <f t="shared" si="311"/>
        <v>0</v>
      </c>
      <c r="CG201" s="171">
        <f t="shared" si="311"/>
        <v>0</v>
      </c>
      <c r="CH201" s="171">
        <f t="shared" si="311"/>
        <v>0</v>
      </c>
      <c r="CI201" s="171">
        <f t="shared" si="311"/>
        <v>0</v>
      </c>
      <c r="CJ201" s="243"/>
      <c r="CK201" s="171">
        <f t="shared" si="233"/>
        <v>0.17500000000000002</v>
      </c>
      <c r="CL201" s="171">
        <f t="shared" si="234"/>
        <v>0.17500000000000002</v>
      </c>
      <c r="CM201" s="171">
        <f t="shared" si="235"/>
        <v>0.17500000000000002</v>
      </c>
      <c r="CN201" s="171">
        <f t="shared" si="236"/>
        <v>0.17500000000000002</v>
      </c>
      <c r="CO201" s="171">
        <f t="shared" si="237"/>
        <v>0.17500000000000002</v>
      </c>
      <c r="CP201" s="171">
        <f t="shared" si="238"/>
        <v>0.17500000000000002</v>
      </c>
      <c r="CQ201" s="171">
        <f t="shared" si="239"/>
        <v>0.17500000000000002</v>
      </c>
      <c r="CR201" s="171">
        <f t="shared" si="240"/>
        <v>0.17500000000000002</v>
      </c>
      <c r="CS201" s="171">
        <f t="shared" si="241"/>
        <v>0.17500000000000002</v>
      </c>
      <c r="CT201" s="171">
        <f t="shared" si="242"/>
        <v>0.17500000000000002</v>
      </c>
      <c r="CU201" s="171">
        <f t="shared" si="243"/>
        <v>0.26686199883627015</v>
      </c>
      <c r="CV201" s="171">
        <f t="shared" si="244"/>
        <v>0.26686199883627015</v>
      </c>
      <c r="CW201" s="171">
        <f t="shared" si="245"/>
        <v>0.26686199883627015</v>
      </c>
      <c r="CX201" s="171">
        <f t="shared" si="246"/>
        <v>0.26686199883627015</v>
      </c>
      <c r="CY201" s="171">
        <f t="shared" ca="1" si="247"/>
        <v>0.25335002055232858</v>
      </c>
      <c r="CZ201" s="171">
        <f t="shared" ca="1" si="248"/>
        <v>0.24052219197101188</v>
      </c>
      <c r="DA201" s="171">
        <f t="shared" ca="1" si="249"/>
        <v>0.22834387265656994</v>
      </c>
      <c r="DB201" s="171">
        <f t="shared" ca="1" si="250"/>
        <v>0.21678217611655531</v>
      </c>
      <c r="DC201" s="171">
        <f t="shared" ca="1" si="251"/>
        <v>0.20580588099470981</v>
      </c>
      <c r="DD201" s="171">
        <f t="shared" ca="1" si="252"/>
        <v>0.19538534676040642</v>
      </c>
      <c r="DE201" s="171">
        <f t="shared" ca="1" si="253"/>
        <v>0.18549243366697357</v>
      </c>
      <c r="DF201" s="171">
        <f t="shared" ca="1" si="254"/>
        <v>0.17610042676275575</v>
      </c>
      <c r="DG201" s="171">
        <f t="shared" ca="1" si="255"/>
        <v>0.16718396374970951</v>
      </c>
      <c r="DH201" s="171">
        <f t="shared" ca="1" si="256"/>
        <v>0.15871896649472259</v>
      </c>
      <c r="DI201" s="171">
        <f t="shared" ca="1" si="257"/>
        <v>0.1506825760087091</v>
      </c>
      <c r="DJ201" s="171">
        <f t="shared" ca="1" si="258"/>
        <v>0.14305309071789696</v>
      </c>
      <c r="DK201" s="171">
        <f t="shared" ca="1" si="259"/>
        <v>0.1358099078606147</v>
      </c>
      <c r="DL201" s="171">
        <f t="shared" ca="1" si="260"/>
        <v>0.12893346785132509</v>
      </c>
      <c r="DM201" s="171">
        <f t="shared" ca="1" si="261"/>
        <v>0.12240520146166481</v>
      </c>
      <c r="DN201" s="171">
        <f t="shared" ca="1" si="262"/>
        <v>0.11620747967585798</v>
      </c>
      <c r="DO201" s="171">
        <f t="shared" ca="1" si="263"/>
        <v>0.11032356608509175</v>
      </c>
      <c r="DP201" s="171">
        <f t="shared" ca="1" si="264"/>
        <v>0.10473757169229944</v>
      </c>
      <c r="DQ201" s="171">
        <f t="shared" ca="1" si="265"/>
        <v>9.9434412005305547E-2</v>
      </c>
      <c r="DR201" s="171">
        <f t="shared" ca="1" si="266"/>
        <v>9.4399766302466034E-2</v>
      </c>
      <c r="DS201" s="171">
        <f t="shared" ca="1" si="267"/>
        <v>8.9620038960804838E-2</v>
      </c>
      <c r="DT201" s="171">
        <f t="shared" ca="1" si="268"/>
        <v>8.5082322742215943E-2</v>
      </c>
      <c r="DU201" s="171">
        <f t="shared" ca="1" si="269"/>
        <v>8.0774363938589236E-2</v>
      </c>
      <c r="DV201" s="171">
        <f t="shared" ca="1" si="270"/>
        <v>7.6684529281737121E-2</v>
      </c>
      <c r="DW201" s="171">
        <f t="shared" ca="1" si="271"/>
        <v>7.2801774528765226E-2</v>
      </c>
      <c r="DX201" s="171">
        <f t="shared" ca="1" si="272"/>
        <v>6.911561463805474E-2</v>
      </c>
      <c r="DY201" s="171">
        <f t="shared" ca="1" si="273"/>
        <v>6.5616095455319226E-2</v>
      </c>
      <c r="DZ201" s="171">
        <f t="shared" ca="1" si="274"/>
        <v>0</v>
      </c>
      <c r="EA201" s="171">
        <f t="shared" ca="1" si="275"/>
        <v>0</v>
      </c>
      <c r="EB201" s="171">
        <f t="shared" ca="1" si="276"/>
        <v>0</v>
      </c>
      <c r="EC201" s="171">
        <f t="shared" ca="1" si="277"/>
        <v>0</v>
      </c>
      <c r="ED201" s="171">
        <f t="shared" ca="1" si="278"/>
        <v>0</v>
      </c>
      <c r="EE201" s="171">
        <f t="shared" ca="1" si="279"/>
        <v>0</v>
      </c>
      <c r="EF201" s="171">
        <f t="shared" ca="1" si="280"/>
        <v>0</v>
      </c>
      <c r="EG201" s="171">
        <f t="shared" ca="1" si="281"/>
        <v>0</v>
      </c>
      <c r="EH201" s="171">
        <f t="shared" ca="1" si="282"/>
        <v>0</v>
      </c>
      <c r="EI201" s="171">
        <f t="shared" ca="1" si="283"/>
        <v>0</v>
      </c>
      <c r="EJ201" s="171">
        <f t="shared" ca="1" si="284"/>
        <v>0</v>
      </c>
      <c r="EK201" s="171">
        <f t="shared" ca="1" si="285"/>
        <v>0</v>
      </c>
      <c r="EL201" s="171">
        <f t="shared" ca="1" si="286"/>
        <v>0</v>
      </c>
      <c r="EM201" s="171">
        <f t="shared" ca="1" si="287"/>
        <v>0</v>
      </c>
      <c r="EN201" s="171">
        <f t="shared" ca="1" si="288"/>
        <v>0</v>
      </c>
      <c r="EO201" s="171">
        <f t="shared" ca="1" si="289"/>
        <v>0</v>
      </c>
      <c r="EP201" s="171">
        <f t="shared" ca="1" si="290"/>
        <v>0</v>
      </c>
      <c r="EQ201" s="171">
        <f t="shared" ca="1" si="291"/>
        <v>0</v>
      </c>
      <c r="ER201" s="171">
        <f t="shared" ca="1" si="292"/>
        <v>0</v>
      </c>
      <c r="ES201" s="171">
        <f t="shared" ca="1" si="293"/>
        <v>0</v>
      </c>
    </row>
    <row r="202" spans="1:149">
      <c r="A202" s="139" t="s">
        <v>550</v>
      </c>
      <c r="B202" s="160" t="s">
        <v>420</v>
      </c>
      <c r="C202" s="160" t="s">
        <v>109</v>
      </c>
      <c r="D202" s="160" t="s">
        <v>428</v>
      </c>
      <c r="E202" s="160">
        <v>2010</v>
      </c>
      <c r="F202" s="160" t="s">
        <v>400</v>
      </c>
      <c r="G202" s="160" t="s">
        <v>289</v>
      </c>
      <c r="H202" s="160" t="s">
        <v>396</v>
      </c>
      <c r="I202" s="160" t="s">
        <v>183</v>
      </c>
      <c r="J202" s="160" t="s">
        <v>401</v>
      </c>
      <c r="K202" s="187">
        <v>2</v>
      </c>
      <c r="L202" s="163" t="s">
        <v>110</v>
      </c>
      <c r="M202" s="164">
        <f t="shared" si="223"/>
        <v>2</v>
      </c>
      <c r="N202" s="164">
        <f t="shared" si="224"/>
        <v>2</v>
      </c>
      <c r="O202" s="165">
        <f t="shared" si="225"/>
        <v>1</v>
      </c>
      <c r="P202" s="192">
        <v>0.10366666669999999</v>
      </c>
      <c r="Q202" s="177">
        <v>70</v>
      </c>
      <c r="R202" s="168">
        <f t="shared" si="226"/>
        <v>56</v>
      </c>
      <c r="S202" s="181">
        <v>0</v>
      </c>
      <c r="T202" s="160" t="s">
        <v>289</v>
      </c>
      <c r="U202" s="171">
        <f t="shared" si="227"/>
        <v>0.18067619053428555</v>
      </c>
      <c r="V202" s="171">
        <f t="shared" ca="1" si="228"/>
        <v>9.2172098842750377E-2</v>
      </c>
      <c r="W202" s="171">
        <f t="shared" ca="1" si="229"/>
        <v>6.4520469189925267</v>
      </c>
      <c r="X202" s="172" t="str">
        <f t="shared" si="230"/>
        <v>Equity</v>
      </c>
      <c r="Y202" s="172" t="str">
        <f t="shared" si="231"/>
        <v>Equity</v>
      </c>
      <c r="Z202" s="173">
        <f t="shared" si="232"/>
        <v>12.647333337399989</v>
      </c>
      <c r="AA202" s="171">
        <f t="shared" si="306"/>
        <v>0.20733333339999999</v>
      </c>
      <c r="AB202" s="171">
        <f t="shared" si="306"/>
        <v>0.20733333339999999</v>
      </c>
      <c r="AC202" s="171">
        <f t="shared" si="306"/>
        <v>0.20733333339999999</v>
      </c>
      <c r="AD202" s="171">
        <f t="shared" si="306"/>
        <v>0.20733333339999999</v>
      </c>
      <c r="AE202" s="171">
        <f t="shared" si="306"/>
        <v>0.20733333339999999</v>
      </c>
      <c r="AF202" s="171">
        <f t="shared" si="306"/>
        <v>0.20733333339999999</v>
      </c>
      <c r="AG202" s="171">
        <f t="shared" si="306"/>
        <v>0.20733333339999999</v>
      </c>
      <c r="AH202" s="171">
        <f t="shared" si="306"/>
        <v>0.20733333339999999</v>
      </c>
      <c r="AI202" s="171">
        <f t="shared" si="306"/>
        <v>0.20733333339999999</v>
      </c>
      <c r="AJ202" s="171">
        <f t="shared" si="306"/>
        <v>0.20733333339999999</v>
      </c>
      <c r="AK202" s="171">
        <f t="shared" si="307"/>
        <v>0.20733333339999999</v>
      </c>
      <c r="AL202" s="171">
        <f t="shared" si="307"/>
        <v>0.20733333339999999</v>
      </c>
      <c r="AM202" s="171">
        <f t="shared" si="307"/>
        <v>0.20733333339999999</v>
      </c>
      <c r="AN202" s="171">
        <f t="shared" si="307"/>
        <v>0.20733333339999999</v>
      </c>
      <c r="AO202" s="171">
        <f t="shared" si="307"/>
        <v>0.20733333339999999</v>
      </c>
      <c r="AP202" s="171">
        <f t="shared" si="307"/>
        <v>0.20733333339999999</v>
      </c>
      <c r="AQ202" s="171">
        <f t="shared" si="307"/>
        <v>0.20733333339999999</v>
      </c>
      <c r="AR202" s="171">
        <f t="shared" si="307"/>
        <v>0.20733333339999999</v>
      </c>
      <c r="AS202" s="171">
        <f t="shared" si="307"/>
        <v>0.20733333339999999</v>
      </c>
      <c r="AT202" s="171">
        <f t="shared" si="307"/>
        <v>0.20733333339999999</v>
      </c>
      <c r="AU202" s="171">
        <f t="shared" si="308"/>
        <v>0.20733333339999999</v>
      </c>
      <c r="AV202" s="171">
        <f t="shared" si="308"/>
        <v>0.20733333339999999</v>
      </c>
      <c r="AW202" s="171">
        <f t="shared" si="308"/>
        <v>0.20733333339999999</v>
      </c>
      <c r="AX202" s="171">
        <f t="shared" si="308"/>
        <v>0.20733333339999999</v>
      </c>
      <c r="AY202" s="171">
        <f t="shared" si="308"/>
        <v>0.20733333339999999</v>
      </c>
      <c r="AZ202" s="171">
        <f t="shared" si="308"/>
        <v>0.20733333339999999</v>
      </c>
      <c r="BA202" s="171">
        <f t="shared" si="308"/>
        <v>0.20733333339999999</v>
      </c>
      <c r="BB202" s="171">
        <f t="shared" si="308"/>
        <v>0.20733333339999999</v>
      </c>
      <c r="BC202" s="171">
        <f t="shared" si="308"/>
        <v>0.20733333339999999</v>
      </c>
      <c r="BD202" s="171">
        <f t="shared" si="308"/>
        <v>0.20733333339999999</v>
      </c>
      <c r="BE202" s="171">
        <f t="shared" si="309"/>
        <v>0.20733333339999999</v>
      </c>
      <c r="BF202" s="171">
        <f t="shared" si="309"/>
        <v>0.20733333339999999</v>
      </c>
      <c r="BG202" s="171">
        <f t="shared" si="309"/>
        <v>0.20733333339999999</v>
      </c>
      <c r="BH202" s="171">
        <f t="shared" si="309"/>
        <v>0.20733333339999999</v>
      </c>
      <c r="BI202" s="171">
        <f t="shared" si="309"/>
        <v>0.20733333339999999</v>
      </c>
      <c r="BJ202" s="171">
        <f t="shared" si="309"/>
        <v>0.20733333339999999</v>
      </c>
      <c r="BK202" s="171">
        <f t="shared" si="309"/>
        <v>0.20733333339999999</v>
      </c>
      <c r="BL202" s="171">
        <f t="shared" si="309"/>
        <v>0.20733333339999999</v>
      </c>
      <c r="BM202" s="171">
        <f t="shared" si="309"/>
        <v>0.20733333339999999</v>
      </c>
      <c r="BN202" s="171">
        <f t="shared" si="309"/>
        <v>0.20733333339999999</v>
      </c>
      <c r="BO202" s="171">
        <f t="shared" si="310"/>
        <v>0.20733333339999999</v>
      </c>
      <c r="BP202" s="171">
        <f t="shared" si="310"/>
        <v>0.20733333339999999</v>
      </c>
      <c r="BQ202" s="171">
        <f t="shared" si="310"/>
        <v>0.20733333339999999</v>
      </c>
      <c r="BR202" s="171">
        <f t="shared" si="310"/>
        <v>0.20733333339999999</v>
      </c>
      <c r="BS202" s="171">
        <f t="shared" si="310"/>
        <v>0.20733333339999999</v>
      </c>
      <c r="BT202" s="171">
        <f t="shared" si="310"/>
        <v>0.20733333339999999</v>
      </c>
      <c r="BU202" s="171">
        <f t="shared" si="310"/>
        <v>0.20733333339999999</v>
      </c>
      <c r="BV202" s="171">
        <f t="shared" si="310"/>
        <v>0.20733333339999999</v>
      </c>
      <c r="BW202" s="171">
        <f t="shared" si="310"/>
        <v>0.20733333339999999</v>
      </c>
      <c r="BX202" s="171">
        <f t="shared" si="310"/>
        <v>0.20733333339999999</v>
      </c>
      <c r="BY202" s="171">
        <f t="shared" si="311"/>
        <v>0.20733333339999999</v>
      </c>
      <c r="BZ202" s="171">
        <f t="shared" si="311"/>
        <v>0.20733333339999999</v>
      </c>
      <c r="CA202" s="171">
        <f t="shared" si="311"/>
        <v>0.20733333339999999</v>
      </c>
      <c r="CB202" s="171">
        <f t="shared" si="311"/>
        <v>0.20733333339999999</v>
      </c>
      <c r="CC202" s="171">
        <f t="shared" si="311"/>
        <v>0.20733333339999999</v>
      </c>
      <c r="CD202" s="171">
        <f t="shared" si="311"/>
        <v>0.20733333339999999</v>
      </c>
      <c r="CE202" s="171">
        <f t="shared" si="311"/>
        <v>0.20733333339999999</v>
      </c>
      <c r="CF202" s="171">
        <f t="shared" si="311"/>
        <v>0.20733333339999999</v>
      </c>
      <c r="CG202" s="171">
        <f t="shared" si="311"/>
        <v>0.20733333339999999</v>
      </c>
      <c r="CH202" s="171">
        <f t="shared" si="311"/>
        <v>0.20733333339999999</v>
      </c>
      <c r="CI202" s="171">
        <f t="shared" si="311"/>
        <v>0.20733333339999999</v>
      </c>
      <c r="CJ202" s="243"/>
      <c r="CK202" s="171">
        <f t="shared" si="233"/>
        <v>0.20733333339999999</v>
      </c>
      <c r="CL202" s="171">
        <f t="shared" si="234"/>
        <v>0.20733333339999999</v>
      </c>
      <c r="CM202" s="171">
        <f t="shared" si="235"/>
        <v>0.20733333339999999</v>
      </c>
      <c r="CN202" s="171">
        <f t="shared" si="236"/>
        <v>0.20733333339999999</v>
      </c>
      <c r="CO202" s="171">
        <f t="shared" si="237"/>
        <v>0.20733333339999999</v>
      </c>
      <c r="CP202" s="171">
        <f t="shared" si="238"/>
        <v>0.20733333339999999</v>
      </c>
      <c r="CQ202" s="171">
        <f t="shared" si="239"/>
        <v>0.20733333339999999</v>
      </c>
      <c r="CR202" s="171">
        <f t="shared" si="240"/>
        <v>0.20733333339999999</v>
      </c>
      <c r="CS202" s="171">
        <f t="shared" si="241"/>
        <v>0.20733333339999999</v>
      </c>
      <c r="CT202" s="171">
        <f t="shared" si="242"/>
        <v>0.20733333339999999</v>
      </c>
      <c r="CU202" s="171">
        <f t="shared" si="243"/>
        <v>0.20733333339999999</v>
      </c>
      <c r="CV202" s="171">
        <f t="shared" si="244"/>
        <v>0.20733333339999999</v>
      </c>
      <c r="CW202" s="171">
        <f t="shared" si="245"/>
        <v>0.20733333339999999</v>
      </c>
      <c r="CX202" s="171">
        <f t="shared" si="246"/>
        <v>0.20733333339999999</v>
      </c>
      <c r="CY202" s="171">
        <f t="shared" ca="1" si="247"/>
        <v>0.19683545992736357</v>
      </c>
      <c r="CZ202" s="171">
        <f t="shared" ca="1" si="248"/>
        <v>0.18686912350012286</v>
      </c>
      <c r="DA202" s="171">
        <f t="shared" ca="1" si="249"/>
        <v>0.17740741089329337</v>
      </c>
      <c r="DB202" s="171">
        <f t="shared" ca="1" si="250"/>
        <v>0.16842477157464236</v>
      </c>
      <c r="DC202" s="171">
        <f t="shared" ca="1" si="251"/>
        <v>0.15989694870769813</v>
      </c>
      <c r="DD202" s="171">
        <f t="shared" ca="1" si="252"/>
        <v>0.15180091364827217</v>
      </c>
      <c r="DE202" s="171">
        <f t="shared" ca="1" si="253"/>
        <v>0.14411480375760771</v>
      </c>
      <c r="DF202" s="171">
        <f t="shared" ca="1" si="254"/>
        <v>0.13681786336422477</v>
      </c>
      <c r="DG202" s="171">
        <f t="shared" ca="1" si="255"/>
        <v>0.12989038771503381</v>
      </c>
      <c r="DH202" s="171">
        <f t="shared" ca="1" si="256"/>
        <v>0.12331366976436339</v>
      </c>
      <c r="DI202" s="171">
        <f t="shared" ca="1" si="257"/>
        <v>0.11706994965720979</v>
      </c>
      <c r="DJ202" s="171">
        <f t="shared" ca="1" si="258"/>
        <v>0.11114236677029275</v>
      </c>
      <c r="DK202" s="171">
        <f t="shared" ca="1" si="259"/>
        <v>0.10551491418140822</v>
      </c>
      <c r="DL202" s="171">
        <f t="shared" ca="1" si="260"/>
        <v>0.10017239544412682</v>
      </c>
      <c r="DM202" s="171">
        <f t="shared" ca="1" si="261"/>
        <v>9.5100383551111334E-2</v>
      </c>
      <c r="DN202" s="171">
        <f t="shared" ca="1" si="262"/>
        <v>9.0285181975237938E-2</v>
      </c>
      <c r="DO202" s="171">
        <f t="shared" ca="1" si="263"/>
        <v>8.5713787683315543E-2</v>
      </c>
      <c r="DP202" s="171">
        <f t="shared" ca="1" si="264"/>
        <v>8.1373856022525143E-2</v>
      </c>
      <c r="DQ202" s="171">
        <f t="shared" ca="1" si="265"/>
        <v>7.7253667384758321E-2</v>
      </c>
      <c r="DR202" s="171">
        <f t="shared" ca="1" si="266"/>
        <v>7.3342095558834378E-2</v>
      </c>
      <c r="DS202" s="171">
        <f t="shared" ca="1" si="267"/>
        <v>6.9628577685134599E-2</v>
      </c>
      <c r="DT202" s="171">
        <f t="shared" ca="1" si="268"/>
        <v>6.6103085731518144E-2</v>
      </c>
      <c r="DU202" s="171">
        <f t="shared" ca="1" si="269"/>
        <v>6.2756099413493138E-2</v>
      </c>
      <c r="DV202" s="171">
        <f t="shared" ca="1" si="270"/>
        <v>5.9578580485516244E-2</v>
      </c>
      <c r="DW202" s="171">
        <f t="shared" ca="1" si="271"/>
        <v>5.6561948333996345E-2</v>
      </c>
      <c r="DX202" s="171">
        <f t="shared" ca="1" si="272"/>
        <v>5.3698056806093609E-2</v>
      </c>
      <c r="DY202" s="171">
        <f t="shared" ca="1" si="273"/>
        <v>5.0979172211742058E-2</v>
      </c>
      <c r="DZ202" s="171">
        <f t="shared" ca="1" si="274"/>
        <v>4.8397952439491909E-2</v>
      </c>
      <c r="EA202" s="171">
        <f t="shared" ca="1" si="275"/>
        <v>4.5947427129776022E-2</v>
      </c>
      <c r="EB202" s="171">
        <f t="shared" ca="1" si="276"/>
        <v>4.36209788520599E-2</v>
      </c>
      <c r="EC202" s="171">
        <f t="shared" ca="1" si="277"/>
        <v>4.1412325235045927E-2</v>
      </c>
      <c r="ED202" s="171">
        <f t="shared" ca="1" si="278"/>
        <v>3.9315502001675863E-2</v>
      </c>
      <c r="EE202" s="171">
        <f t="shared" ca="1" si="279"/>
        <v>3.7324846863119265E-2</v>
      </c>
      <c r="EF202" s="171">
        <f t="shared" ca="1" si="280"/>
        <v>3.54349842282548E-2</v>
      </c>
      <c r="EG202" s="171">
        <f t="shared" ca="1" si="281"/>
        <v>3.3640810687353792E-2</v>
      </c>
      <c r="EH202" s="171">
        <f t="shared" ca="1" si="282"/>
        <v>3.1937481230766007E-2</v>
      </c>
      <c r="EI202" s="171">
        <f t="shared" ca="1" si="283"/>
        <v>3.0320396165392324E-2</v>
      </c>
      <c r="EJ202" s="171">
        <f t="shared" ca="1" si="284"/>
        <v>2.8785188693613458E-2</v>
      </c>
      <c r="EK202" s="171">
        <f t="shared" ca="1" si="285"/>
        <v>2.7327713121132649E-2</v>
      </c>
      <c r="EL202" s="171">
        <f t="shared" ca="1" si="286"/>
        <v>2.5944033661888705E-2</v>
      </c>
      <c r="EM202" s="171">
        <f t="shared" ca="1" si="287"/>
        <v>2.4630413809807902E-2</v>
      </c>
      <c r="EN202" s="171">
        <f t="shared" ca="1" si="288"/>
        <v>2.3383306248694235E-2</v>
      </c>
      <c r="EO202" s="171">
        <f t="shared" ca="1" si="289"/>
        <v>2.2199343273010454E-2</v>
      </c>
      <c r="EP202" s="171">
        <f t="shared" ca="1" si="290"/>
        <v>2.1075327693682068E-2</v>
      </c>
      <c r="EQ202" s="171">
        <f t="shared" ca="1" si="291"/>
        <v>2.0008224204366227E-2</v>
      </c>
      <c r="ER202" s="171">
        <f t="shared" ca="1" si="292"/>
        <v>1.8995151184870857E-2</v>
      </c>
      <c r="ES202" s="171">
        <f t="shared" ca="1" si="293"/>
        <v>1.8033372919589882E-2</v>
      </c>
    </row>
    <row r="203" spans="1:149">
      <c r="A203" s="139" t="s">
        <v>550</v>
      </c>
      <c r="B203" s="160" t="s">
        <v>420</v>
      </c>
      <c r="C203" s="160" t="s">
        <v>109</v>
      </c>
      <c r="D203" s="160" t="s">
        <v>428</v>
      </c>
      <c r="E203" s="160">
        <v>2010</v>
      </c>
      <c r="F203" s="160" t="s">
        <v>400</v>
      </c>
      <c r="G203" s="160" t="s">
        <v>289</v>
      </c>
      <c r="H203" s="160" t="s">
        <v>396</v>
      </c>
      <c r="I203" s="160" t="s">
        <v>183</v>
      </c>
      <c r="J203" s="160" t="s">
        <v>401</v>
      </c>
      <c r="K203" s="187">
        <v>30</v>
      </c>
      <c r="L203" s="163" t="s">
        <v>110</v>
      </c>
      <c r="M203" s="164">
        <f t="shared" si="223"/>
        <v>30</v>
      </c>
      <c r="N203" s="164">
        <f t="shared" si="224"/>
        <v>30</v>
      </c>
      <c r="O203" s="165">
        <f t="shared" si="225"/>
        <v>1</v>
      </c>
      <c r="P203" s="176">
        <v>0.10366666669999999</v>
      </c>
      <c r="Q203" s="177">
        <v>70</v>
      </c>
      <c r="R203" s="168">
        <f t="shared" si="226"/>
        <v>56</v>
      </c>
      <c r="S203" s="181">
        <v>0</v>
      </c>
      <c r="T203" s="160" t="s">
        <v>289</v>
      </c>
      <c r="U203" s="171">
        <f t="shared" si="227"/>
        <v>2.7101428580142874</v>
      </c>
      <c r="V203" s="171">
        <f t="shared" ca="1" si="228"/>
        <v>1.3825814826412557</v>
      </c>
      <c r="W203" s="171">
        <f t="shared" ca="1" si="229"/>
        <v>96.780703784887905</v>
      </c>
      <c r="X203" s="172" t="str">
        <f t="shared" si="230"/>
        <v>Equity</v>
      </c>
      <c r="Y203" s="172" t="str">
        <f t="shared" si="231"/>
        <v>Equity</v>
      </c>
      <c r="Z203" s="173">
        <f t="shared" si="232"/>
        <v>189.71000006100013</v>
      </c>
      <c r="AA203" s="171">
        <f t="shared" si="306"/>
        <v>3.110000001</v>
      </c>
      <c r="AB203" s="171">
        <f t="shared" si="306"/>
        <v>3.110000001</v>
      </c>
      <c r="AC203" s="171">
        <f t="shared" si="306"/>
        <v>3.110000001</v>
      </c>
      <c r="AD203" s="171">
        <f t="shared" si="306"/>
        <v>3.110000001</v>
      </c>
      <c r="AE203" s="171">
        <f t="shared" si="306"/>
        <v>3.110000001</v>
      </c>
      <c r="AF203" s="171">
        <f t="shared" si="306"/>
        <v>3.110000001</v>
      </c>
      <c r="AG203" s="171">
        <f t="shared" si="306"/>
        <v>3.110000001</v>
      </c>
      <c r="AH203" s="171">
        <f t="shared" si="306"/>
        <v>3.110000001</v>
      </c>
      <c r="AI203" s="171">
        <f t="shared" si="306"/>
        <v>3.110000001</v>
      </c>
      <c r="AJ203" s="171">
        <f t="shared" si="306"/>
        <v>3.110000001</v>
      </c>
      <c r="AK203" s="171">
        <f t="shared" si="307"/>
        <v>3.110000001</v>
      </c>
      <c r="AL203" s="171">
        <f t="shared" si="307"/>
        <v>3.110000001</v>
      </c>
      <c r="AM203" s="171">
        <f t="shared" si="307"/>
        <v>3.110000001</v>
      </c>
      <c r="AN203" s="171">
        <f t="shared" si="307"/>
        <v>3.110000001</v>
      </c>
      <c r="AO203" s="171">
        <f t="shared" si="307"/>
        <v>3.110000001</v>
      </c>
      <c r="AP203" s="171">
        <f t="shared" si="307"/>
        <v>3.110000001</v>
      </c>
      <c r="AQ203" s="171">
        <f t="shared" si="307"/>
        <v>3.110000001</v>
      </c>
      <c r="AR203" s="171">
        <f t="shared" si="307"/>
        <v>3.110000001</v>
      </c>
      <c r="AS203" s="171">
        <f t="shared" si="307"/>
        <v>3.110000001</v>
      </c>
      <c r="AT203" s="171">
        <f t="shared" si="307"/>
        <v>3.110000001</v>
      </c>
      <c r="AU203" s="171">
        <f t="shared" si="308"/>
        <v>3.110000001</v>
      </c>
      <c r="AV203" s="171">
        <f t="shared" si="308"/>
        <v>3.110000001</v>
      </c>
      <c r="AW203" s="171">
        <f t="shared" si="308"/>
        <v>3.110000001</v>
      </c>
      <c r="AX203" s="171">
        <f t="shared" si="308"/>
        <v>3.110000001</v>
      </c>
      <c r="AY203" s="171">
        <f t="shared" si="308"/>
        <v>3.110000001</v>
      </c>
      <c r="AZ203" s="171">
        <f t="shared" si="308"/>
        <v>3.110000001</v>
      </c>
      <c r="BA203" s="171">
        <f t="shared" si="308"/>
        <v>3.110000001</v>
      </c>
      <c r="BB203" s="171">
        <f t="shared" si="308"/>
        <v>3.110000001</v>
      </c>
      <c r="BC203" s="171">
        <f t="shared" si="308"/>
        <v>3.110000001</v>
      </c>
      <c r="BD203" s="171">
        <f t="shared" si="308"/>
        <v>3.110000001</v>
      </c>
      <c r="BE203" s="171">
        <f t="shared" si="309"/>
        <v>3.110000001</v>
      </c>
      <c r="BF203" s="171">
        <f t="shared" si="309"/>
        <v>3.110000001</v>
      </c>
      <c r="BG203" s="171">
        <f t="shared" si="309"/>
        <v>3.110000001</v>
      </c>
      <c r="BH203" s="171">
        <f t="shared" si="309"/>
        <v>3.110000001</v>
      </c>
      <c r="BI203" s="171">
        <f t="shared" si="309"/>
        <v>3.110000001</v>
      </c>
      <c r="BJ203" s="171">
        <f t="shared" si="309"/>
        <v>3.110000001</v>
      </c>
      <c r="BK203" s="171">
        <f t="shared" si="309"/>
        <v>3.110000001</v>
      </c>
      <c r="BL203" s="171">
        <f t="shared" si="309"/>
        <v>3.110000001</v>
      </c>
      <c r="BM203" s="171">
        <f t="shared" si="309"/>
        <v>3.110000001</v>
      </c>
      <c r="BN203" s="171">
        <f t="shared" si="309"/>
        <v>3.110000001</v>
      </c>
      <c r="BO203" s="171">
        <f t="shared" si="310"/>
        <v>3.110000001</v>
      </c>
      <c r="BP203" s="171">
        <f t="shared" si="310"/>
        <v>3.110000001</v>
      </c>
      <c r="BQ203" s="171">
        <f t="shared" si="310"/>
        <v>3.110000001</v>
      </c>
      <c r="BR203" s="171">
        <f t="shared" si="310"/>
        <v>3.110000001</v>
      </c>
      <c r="BS203" s="171">
        <f t="shared" si="310"/>
        <v>3.110000001</v>
      </c>
      <c r="BT203" s="171">
        <f t="shared" si="310"/>
        <v>3.110000001</v>
      </c>
      <c r="BU203" s="171">
        <f t="shared" si="310"/>
        <v>3.110000001</v>
      </c>
      <c r="BV203" s="171">
        <f t="shared" si="310"/>
        <v>3.110000001</v>
      </c>
      <c r="BW203" s="171">
        <f t="shared" si="310"/>
        <v>3.110000001</v>
      </c>
      <c r="BX203" s="171">
        <f t="shared" si="310"/>
        <v>3.110000001</v>
      </c>
      <c r="BY203" s="171">
        <f t="shared" si="311"/>
        <v>3.110000001</v>
      </c>
      <c r="BZ203" s="171">
        <f t="shared" si="311"/>
        <v>3.110000001</v>
      </c>
      <c r="CA203" s="171">
        <f t="shared" si="311"/>
        <v>3.110000001</v>
      </c>
      <c r="CB203" s="171">
        <f t="shared" si="311"/>
        <v>3.110000001</v>
      </c>
      <c r="CC203" s="171">
        <f t="shared" si="311"/>
        <v>3.110000001</v>
      </c>
      <c r="CD203" s="171">
        <f t="shared" si="311"/>
        <v>3.110000001</v>
      </c>
      <c r="CE203" s="171">
        <f t="shared" si="311"/>
        <v>3.110000001</v>
      </c>
      <c r="CF203" s="171">
        <f t="shared" si="311"/>
        <v>3.110000001</v>
      </c>
      <c r="CG203" s="171">
        <f t="shared" si="311"/>
        <v>3.110000001</v>
      </c>
      <c r="CH203" s="171">
        <f t="shared" si="311"/>
        <v>3.110000001</v>
      </c>
      <c r="CI203" s="171">
        <f t="shared" si="311"/>
        <v>3.110000001</v>
      </c>
      <c r="CJ203" s="243"/>
      <c r="CK203" s="171">
        <f t="shared" si="233"/>
        <v>3.110000001</v>
      </c>
      <c r="CL203" s="171">
        <f t="shared" si="234"/>
        <v>3.110000001</v>
      </c>
      <c r="CM203" s="171">
        <f t="shared" si="235"/>
        <v>3.110000001</v>
      </c>
      <c r="CN203" s="171">
        <f t="shared" si="236"/>
        <v>3.110000001</v>
      </c>
      <c r="CO203" s="171">
        <f t="shared" si="237"/>
        <v>3.110000001</v>
      </c>
      <c r="CP203" s="171">
        <f t="shared" si="238"/>
        <v>3.110000001</v>
      </c>
      <c r="CQ203" s="171">
        <f t="shared" si="239"/>
        <v>3.110000001</v>
      </c>
      <c r="CR203" s="171">
        <f t="shared" si="240"/>
        <v>3.110000001</v>
      </c>
      <c r="CS203" s="171">
        <f t="shared" si="241"/>
        <v>3.110000001</v>
      </c>
      <c r="CT203" s="171">
        <f t="shared" si="242"/>
        <v>3.110000001</v>
      </c>
      <c r="CU203" s="171">
        <f t="shared" si="243"/>
        <v>3.110000001</v>
      </c>
      <c r="CV203" s="171">
        <f t="shared" si="244"/>
        <v>3.110000001</v>
      </c>
      <c r="CW203" s="171">
        <f t="shared" si="245"/>
        <v>3.110000001</v>
      </c>
      <c r="CX203" s="171">
        <f t="shared" si="246"/>
        <v>3.110000001</v>
      </c>
      <c r="CY203" s="171">
        <f t="shared" ca="1" si="247"/>
        <v>2.9525318989104536</v>
      </c>
      <c r="CZ203" s="171">
        <f t="shared" ca="1" si="248"/>
        <v>2.803036852501843</v>
      </c>
      <c r="DA203" s="171">
        <f t="shared" ca="1" si="249"/>
        <v>2.6611111633994007</v>
      </c>
      <c r="DB203" s="171">
        <f t="shared" ca="1" si="250"/>
        <v>2.5263715736196355</v>
      </c>
      <c r="DC203" s="171">
        <f t="shared" ca="1" si="251"/>
        <v>2.3984542306154721</v>
      </c>
      <c r="DD203" s="171">
        <f t="shared" ca="1" si="252"/>
        <v>2.2770137047240824</v>
      </c>
      <c r="DE203" s="171">
        <f t="shared" ca="1" si="253"/>
        <v>2.1617220563641162</v>
      </c>
      <c r="DF203" s="171">
        <f t="shared" ca="1" si="254"/>
        <v>2.0522679504633716</v>
      </c>
      <c r="DG203" s="171">
        <f t="shared" ca="1" si="255"/>
        <v>1.9483558157255072</v>
      </c>
      <c r="DH203" s="171">
        <f t="shared" ca="1" si="256"/>
        <v>1.849705046465451</v>
      </c>
      <c r="DI203" s="171">
        <f t="shared" ca="1" si="257"/>
        <v>1.7560492448581468</v>
      </c>
      <c r="DJ203" s="171">
        <f t="shared" ca="1" si="258"/>
        <v>1.6671355015543914</v>
      </c>
      <c r="DK203" s="171">
        <f t="shared" ca="1" si="259"/>
        <v>1.5827237127211236</v>
      </c>
      <c r="DL203" s="171">
        <f t="shared" ca="1" si="260"/>
        <v>1.5025859316619021</v>
      </c>
      <c r="DM203" s="171">
        <f t="shared" ca="1" si="261"/>
        <v>1.4265057532666701</v>
      </c>
      <c r="DN203" s="171">
        <f t="shared" ca="1" si="262"/>
        <v>1.3542777296285691</v>
      </c>
      <c r="DO203" s="171">
        <f t="shared" ca="1" si="263"/>
        <v>1.2857068152497333</v>
      </c>
      <c r="DP203" s="171">
        <f t="shared" ca="1" si="264"/>
        <v>1.2206078403378773</v>
      </c>
      <c r="DQ203" s="171">
        <f t="shared" ca="1" si="265"/>
        <v>1.1588050107713748</v>
      </c>
      <c r="DR203" s="171">
        <f t="shared" ca="1" si="266"/>
        <v>1.1001314333825156</v>
      </c>
      <c r="DS203" s="171">
        <f t="shared" ca="1" si="267"/>
        <v>1.0444286652770192</v>
      </c>
      <c r="DT203" s="171">
        <f t="shared" ca="1" si="268"/>
        <v>0.99154628597277217</v>
      </c>
      <c r="DU203" s="171">
        <f t="shared" ca="1" si="269"/>
        <v>0.94134149120239707</v>
      </c>
      <c r="DV203" s="171">
        <f t="shared" ca="1" si="270"/>
        <v>0.89367870728274368</v>
      </c>
      <c r="DW203" s="171">
        <f t="shared" ca="1" si="271"/>
        <v>0.84842922500994522</v>
      </c>
      <c r="DX203" s="171">
        <f t="shared" ca="1" si="272"/>
        <v>0.80547085209140423</v>
      </c>
      <c r="DY203" s="171">
        <f t="shared" ca="1" si="273"/>
        <v>0.76468758317613084</v>
      </c>
      <c r="DZ203" s="171">
        <f t="shared" ca="1" si="274"/>
        <v>0.72596928659237869</v>
      </c>
      <c r="EA203" s="171">
        <f t="shared" ca="1" si="275"/>
        <v>0.6892114069466404</v>
      </c>
      <c r="EB203" s="171">
        <f t="shared" ca="1" si="276"/>
        <v>0.65431468278089855</v>
      </c>
      <c r="EC203" s="171">
        <f t="shared" ca="1" si="277"/>
        <v>0.62118487852568893</v>
      </c>
      <c r="ED203" s="171">
        <f t="shared" ca="1" si="278"/>
        <v>0.58973253002513792</v>
      </c>
      <c r="EE203" s="171">
        <f t="shared" ca="1" si="279"/>
        <v>0.55987270294678904</v>
      </c>
      <c r="EF203" s="171">
        <f t="shared" ca="1" si="280"/>
        <v>0.53152476342382204</v>
      </c>
      <c r="EG203" s="171">
        <f t="shared" ca="1" si="281"/>
        <v>0.50461216031030698</v>
      </c>
      <c r="EH203" s="171">
        <f t="shared" ca="1" si="282"/>
        <v>0.47906221846149016</v>
      </c>
      <c r="EI203" s="171">
        <f t="shared" ca="1" si="283"/>
        <v>0.45480594248088491</v>
      </c>
      <c r="EJ203" s="171">
        <f t="shared" ca="1" si="284"/>
        <v>0.43177783040420192</v>
      </c>
      <c r="EK203" s="171">
        <f t="shared" ca="1" si="285"/>
        <v>0.40991569681698981</v>
      </c>
      <c r="EL203" s="171">
        <f t="shared" ca="1" si="286"/>
        <v>0.3891605049283306</v>
      </c>
      <c r="EM203" s="171">
        <f t="shared" ca="1" si="287"/>
        <v>0.36945620714711858</v>
      </c>
      <c r="EN203" s="171">
        <f t="shared" ca="1" si="288"/>
        <v>0.35074959373041353</v>
      </c>
      <c r="EO203" s="171">
        <f t="shared" ca="1" si="289"/>
        <v>0.33299014909515684</v>
      </c>
      <c r="EP203" s="171">
        <f t="shared" ca="1" si="290"/>
        <v>0.31612991540523105</v>
      </c>
      <c r="EQ203" s="171">
        <f t="shared" ca="1" si="291"/>
        <v>0.30012336306549342</v>
      </c>
      <c r="ER203" s="171">
        <f t="shared" ca="1" si="292"/>
        <v>0.28492726777306282</v>
      </c>
      <c r="ES203" s="171">
        <f t="shared" ca="1" si="293"/>
        <v>0.27050059379384822</v>
      </c>
    </row>
    <row r="204" spans="1:149">
      <c r="A204" s="139" t="s">
        <v>550</v>
      </c>
      <c r="B204" s="160" t="s">
        <v>551</v>
      </c>
      <c r="C204" s="160" t="s">
        <v>109</v>
      </c>
      <c r="D204" s="160" t="s">
        <v>428</v>
      </c>
      <c r="E204" s="160">
        <v>2010</v>
      </c>
      <c r="F204" s="160" t="s">
        <v>400</v>
      </c>
      <c r="G204" s="160" t="s">
        <v>402</v>
      </c>
      <c r="H204" s="160" t="s">
        <v>396</v>
      </c>
      <c r="I204" s="160" t="s">
        <v>183</v>
      </c>
      <c r="J204" s="160" t="s">
        <v>401</v>
      </c>
      <c r="K204" s="187">
        <v>91</v>
      </c>
      <c r="L204" s="163" t="s">
        <v>110</v>
      </c>
      <c r="M204" s="164">
        <f t="shared" si="223"/>
        <v>91</v>
      </c>
      <c r="N204" s="164">
        <f t="shared" si="224"/>
        <v>91</v>
      </c>
      <c r="O204" s="165">
        <f t="shared" si="225"/>
        <v>1</v>
      </c>
      <c r="P204" s="176">
        <v>8.0000000000000002E-3</v>
      </c>
      <c r="Q204" s="177">
        <v>26.6</v>
      </c>
      <c r="R204" s="168">
        <f t="shared" si="226"/>
        <v>12.600000000000001</v>
      </c>
      <c r="S204" s="181">
        <v>8.1</v>
      </c>
      <c r="T204" s="170" t="s">
        <v>403</v>
      </c>
      <c r="U204" s="171">
        <f t="shared" si="227"/>
        <v>3.6695172839622652</v>
      </c>
      <c r="V204" s="171">
        <f t="shared" ca="1" si="228"/>
        <v>2.9483382987314619</v>
      </c>
      <c r="W204" s="171">
        <f t="shared" ca="1" si="229"/>
        <v>78.425798746256888</v>
      </c>
      <c r="X204" s="172">
        <f t="shared" si="230"/>
        <v>9.6027495673303598E-2</v>
      </c>
      <c r="Y204" s="172">
        <f t="shared" si="231"/>
        <v>0.9039725043266964</v>
      </c>
      <c r="Z204" s="173">
        <f t="shared" si="232"/>
        <v>97.609159753396256</v>
      </c>
      <c r="AA204" s="171">
        <f t="shared" si="306"/>
        <v>0.72799999999999998</v>
      </c>
      <c r="AB204" s="171">
        <f t="shared" si="306"/>
        <v>0.72799999999999998</v>
      </c>
      <c r="AC204" s="171">
        <f t="shared" si="306"/>
        <v>0.72799999999999998</v>
      </c>
      <c r="AD204" s="171">
        <f t="shared" si="306"/>
        <v>0.72799999999999998</v>
      </c>
      <c r="AE204" s="171">
        <f t="shared" si="306"/>
        <v>0.72799999999999998</v>
      </c>
      <c r="AF204" s="171">
        <f t="shared" si="306"/>
        <v>0.72799999999999998</v>
      </c>
      <c r="AG204" s="171">
        <f t="shared" si="306"/>
        <v>0.72799999999999998</v>
      </c>
      <c r="AH204" s="171">
        <f t="shared" si="306"/>
        <v>0.72799999999999998</v>
      </c>
      <c r="AI204" s="171">
        <f t="shared" si="306"/>
        <v>0.72799999999999998</v>
      </c>
      <c r="AJ204" s="171">
        <f t="shared" si="306"/>
        <v>5.058731097410905</v>
      </c>
      <c r="AK204" s="171">
        <f t="shared" si="307"/>
        <v>5.058731097410905</v>
      </c>
      <c r="AL204" s="171">
        <f t="shared" si="307"/>
        <v>5.058731097410905</v>
      </c>
      <c r="AM204" s="171">
        <f t="shared" si="307"/>
        <v>5.058731097410905</v>
      </c>
      <c r="AN204" s="171">
        <f t="shared" si="307"/>
        <v>5.058731097410905</v>
      </c>
      <c r="AO204" s="171">
        <f t="shared" si="307"/>
        <v>5.058731097410905</v>
      </c>
      <c r="AP204" s="171">
        <f t="shared" si="307"/>
        <v>5.058731097410905</v>
      </c>
      <c r="AQ204" s="171">
        <f t="shared" si="307"/>
        <v>5.058731097410905</v>
      </c>
      <c r="AR204" s="171">
        <f t="shared" si="307"/>
        <v>5.058731097410905</v>
      </c>
      <c r="AS204" s="171">
        <f t="shared" si="307"/>
        <v>5.058731097410905</v>
      </c>
      <c r="AT204" s="171">
        <f t="shared" si="307"/>
        <v>5.058731097410905</v>
      </c>
      <c r="AU204" s="171">
        <f t="shared" si="308"/>
        <v>5.058731097410905</v>
      </c>
      <c r="AV204" s="171">
        <f t="shared" si="308"/>
        <v>5.058731097410905</v>
      </c>
      <c r="AW204" s="171">
        <f t="shared" si="308"/>
        <v>5.058731097410905</v>
      </c>
      <c r="AX204" s="171">
        <f t="shared" si="308"/>
        <v>5.058731097410905</v>
      </c>
      <c r="AY204" s="171">
        <f t="shared" si="308"/>
        <v>5.058731097410905</v>
      </c>
      <c r="AZ204" s="171">
        <f t="shared" si="308"/>
        <v>5.058731097410905</v>
      </c>
      <c r="BA204" s="171">
        <f t="shared" si="308"/>
        <v>5.058731097410905</v>
      </c>
      <c r="BB204" s="171">
        <f t="shared" si="308"/>
        <v>0</v>
      </c>
      <c r="BC204" s="171">
        <f t="shared" si="308"/>
        <v>0</v>
      </c>
      <c r="BD204" s="171">
        <f t="shared" si="308"/>
        <v>0</v>
      </c>
      <c r="BE204" s="171">
        <f t="shared" si="309"/>
        <v>0</v>
      </c>
      <c r="BF204" s="171">
        <f t="shared" si="309"/>
        <v>0</v>
      </c>
      <c r="BG204" s="171">
        <f t="shared" si="309"/>
        <v>0</v>
      </c>
      <c r="BH204" s="171">
        <f t="shared" si="309"/>
        <v>0</v>
      </c>
      <c r="BI204" s="171">
        <f t="shared" si="309"/>
        <v>0</v>
      </c>
      <c r="BJ204" s="171">
        <f t="shared" si="309"/>
        <v>0</v>
      </c>
      <c r="BK204" s="171">
        <f t="shared" si="309"/>
        <v>0</v>
      </c>
      <c r="BL204" s="171">
        <f t="shared" si="309"/>
        <v>0</v>
      </c>
      <c r="BM204" s="171">
        <f t="shared" si="309"/>
        <v>0</v>
      </c>
      <c r="BN204" s="171">
        <f t="shared" si="309"/>
        <v>0</v>
      </c>
      <c r="BO204" s="171">
        <f t="shared" si="310"/>
        <v>0</v>
      </c>
      <c r="BP204" s="171">
        <f t="shared" si="310"/>
        <v>0</v>
      </c>
      <c r="BQ204" s="171">
        <f t="shared" si="310"/>
        <v>0</v>
      </c>
      <c r="BR204" s="171">
        <f t="shared" si="310"/>
        <v>0</v>
      </c>
      <c r="BS204" s="171">
        <f t="shared" si="310"/>
        <v>0</v>
      </c>
      <c r="BT204" s="171">
        <f t="shared" si="310"/>
        <v>0</v>
      </c>
      <c r="BU204" s="171">
        <f t="shared" si="310"/>
        <v>0</v>
      </c>
      <c r="BV204" s="171">
        <f t="shared" si="310"/>
        <v>0</v>
      </c>
      <c r="BW204" s="171">
        <f t="shared" si="310"/>
        <v>0</v>
      </c>
      <c r="BX204" s="171">
        <f t="shared" si="310"/>
        <v>0</v>
      </c>
      <c r="BY204" s="171">
        <f t="shared" si="311"/>
        <v>0</v>
      </c>
      <c r="BZ204" s="171">
        <f t="shared" si="311"/>
        <v>0</v>
      </c>
      <c r="CA204" s="171">
        <f t="shared" si="311"/>
        <v>0</v>
      </c>
      <c r="CB204" s="171">
        <f t="shared" si="311"/>
        <v>0</v>
      </c>
      <c r="CC204" s="171">
        <f t="shared" si="311"/>
        <v>0</v>
      </c>
      <c r="CD204" s="171">
        <f t="shared" si="311"/>
        <v>0</v>
      </c>
      <c r="CE204" s="171">
        <f t="shared" si="311"/>
        <v>0</v>
      </c>
      <c r="CF204" s="171">
        <f t="shared" si="311"/>
        <v>0</v>
      </c>
      <c r="CG204" s="171">
        <f t="shared" si="311"/>
        <v>0</v>
      </c>
      <c r="CH204" s="171">
        <f t="shared" si="311"/>
        <v>0</v>
      </c>
      <c r="CI204" s="171">
        <f t="shared" si="311"/>
        <v>0</v>
      </c>
      <c r="CJ204" s="243"/>
      <c r="CK204" s="171">
        <f t="shared" si="233"/>
        <v>0.72799999999999998</v>
      </c>
      <c r="CL204" s="171">
        <f t="shared" si="234"/>
        <v>0.72799999999999998</v>
      </c>
      <c r="CM204" s="171">
        <f t="shared" si="235"/>
        <v>0.72799999999999998</v>
      </c>
      <c r="CN204" s="171">
        <f t="shared" si="236"/>
        <v>0.72799999999999998</v>
      </c>
      <c r="CO204" s="171">
        <f t="shared" si="237"/>
        <v>0.72799999999999998</v>
      </c>
      <c r="CP204" s="171">
        <f t="shared" si="238"/>
        <v>0.72799999999999998</v>
      </c>
      <c r="CQ204" s="171">
        <f t="shared" si="239"/>
        <v>0.72799999999999998</v>
      </c>
      <c r="CR204" s="171">
        <f t="shared" si="240"/>
        <v>0.72799999999999998</v>
      </c>
      <c r="CS204" s="171">
        <f t="shared" si="241"/>
        <v>0.72799999999999998</v>
      </c>
      <c r="CT204" s="171">
        <f t="shared" si="242"/>
        <v>5.058731097410905</v>
      </c>
      <c r="CU204" s="171">
        <f t="shared" si="243"/>
        <v>5.058731097410905</v>
      </c>
      <c r="CV204" s="171">
        <f t="shared" si="244"/>
        <v>5.058731097410905</v>
      </c>
      <c r="CW204" s="171">
        <f t="shared" si="245"/>
        <v>5.058731097410905</v>
      </c>
      <c r="CX204" s="171">
        <f t="shared" si="246"/>
        <v>5.058731097410905</v>
      </c>
      <c r="CY204" s="171">
        <f t="shared" ca="1" si="247"/>
        <v>4.8025932245380671</v>
      </c>
      <c r="CZ204" s="171">
        <f t="shared" ca="1" si="248"/>
        <v>4.5594243370998173</v>
      </c>
      <c r="DA204" s="171">
        <f t="shared" ca="1" si="249"/>
        <v>4.328567778658293</v>
      </c>
      <c r="DB204" s="171">
        <f t="shared" ca="1" si="250"/>
        <v>4.1094001411495737</v>
      </c>
      <c r="DC204" s="171">
        <f t="shared" ca="1" si="251"/>
        <v>3.9013295814244069</v>
      </c>
      <c r="DD204" s="171">
        <f t="shared" ca="1" si="252"/>
        <v>3.7037942230272458</v>
      </c>
      <c r="DE204" s="171">
        <f t="shared" ca="1" si="253"/>
        <v>3.5162606388977307</v>
      </c>
      <c r="DF204" s="171">
        <f t="shared" ca="1" si="254"/>
        <v>3.3382224108972918</v>
      </c>
      <c r="DG204" s="171">
        <f t="shared" ca="1" si="255"/>
        <v>3.1691987622710021</v>
      </c>
      <c r="DH204" s="171">
        <f t="shared" ca="1" si="256"/>
        <v>3.0087332593517448</v>
      </c>
      <c r="DI204" s="171">
        <f t="shared" ca="1" si="257"/>
        <v>2.8563925790007887</v>
      </c>
      <c r="DJ204" s="171">
        <f t="shared" ca="1" si="258"/>
        <v>2.7117653384563218</v>
      </c>
      <c r="DK204" s="171">
        <f t="shared" ca="1" si="259"/>
        <v>2.5744609844300741</v>
      </c>
      <c r="DL204" s="171">
        <f t="shared" ca="1" si="260"/>
        <v>0</v>
      </c>
      <c r="DM204" s="171">
        <f t="shared" ca="1" si="261"/>
        <v>0</v>
      </c>
      <c r="DN204" s="171">
        <f t="shared" ca="1" si="262"/>
        <v>0</v>
      </c>
      <c r="DO204" s="171">
        <f t="shared" ca="1" si="263"/>
        <v>0</v>
      </c>
      <c r="DP204" s="171">
        <f t="shared" ca="1" si="264"/>
        <v>0</v>
      </c>
      <c r="DQ204" s="171">
        <f t="shared" ca="1" si="265"/>
        <v>0</v>
      </c>
      <c r="DR204" s="171">
        <f t="shared" ca="1" si="266"/>
        <v>0</v>
      </c>
      <c r="DS204" s="171">
        <f t="shared" ca="1" si="267"/>
        <v>0</v>
      </c>
      <c r="DT204" s="171">
        <f t="shared" ca="1" si="268"/>
        <v>0</v>
      </c>
      <c r="DU204" s="171">
        <f t="shared" ca="1" si="269"/>
        <v>0</v>
      </c>
      <c r="DV204" s="171">
        <f t="shared" ca="1" si="270"/>
        <v>0</v>
      </c>
      <c r="DW204" s="171">
        <f t="shared" ca="1" si="271"/>
        <v>0</v>
      </c>
      <c r="DX204" s="171">
        <f t="shared" ca="1" si="272"/>
        <v>0</v>
      </c>
      <c r="DY204" s="171">
        <f t="shared" ca="1" si="273"/>
        <v>0</v>
      </c>
      <c r="DZ204" s="171">
        <f t="shared" ca="1" si="274"/>
        <v>0</v>
      </c>
      <c r="EA204" s="171">
        <f t="shared" ca="1" si="275"/>
        <v>0</v>
      </c>
      <c r="EB204" s="171">
        <f t="shared" ca="1" si="276"/>
        <v>0</v>
      </c>
      <c r="EC204" s="171">
        <f t="shared" ca="1" si="277"/>
        <v>0</v>
      </c>
      <c r="ED204" s="171">
        <f t="shared" ca="1" si="278"/>
        <v>0</v>
      </c>
      <c r="EE204" s="171">
        <f t="shared" ca="1" si="279"/>
        <v>0</v>
      </c>
      <c r="EF204" s="171">
        <f t="shared" ca="1" si="280"/>
        <v>0</v>
      </c>
      <c r="EG204" s="171">
        <f t="shared" ca="1" si="281"/>
        <v>0</v>
      </c>
      <c r="EH204" s="171">
        <f t="shared" ca="1" si="282"/>
        <v>0</v>
      </c>
      <c r="EI204" s="171">
        <f t="shared" ca="1" si="283"/>
        <v>0</v>
      </c>
      <c r="EJ204" s="171">
        <f t="shared" ca="1" si="284"/>
        <v>0</v>
      </c>
      <c r="EK204" s="171">
        <f t="shared" ca="1" si="285"/>
        <v>0</v>
      </c>
      <c r="EL204" s="171">
        <f t="shared" ca="1" si="286"/>
        <v>0</v>
      </c>
      <c r="EM204" s="171">
        <f t="shared" ca="1" si="287"/>
        <v>0</v>
      </c>
      <c r="EN204" s="171">
        <f t="shared" ca="1" si="288"/>
        <v>0</v>
      </c>
      <c r="EO204" s="171">
        <f t="shared" ca="1" si="289"/>
        <v>0</v>
      </c>
      <c r="EP204" s="171">
        <f t="shared" ca="1" si="290"/>
        <v>0</v>
      </c>
      <c r="EQ204" s="171">
        <f t="shared" ca="1" si="291"/>
        <v>0</v>
      </c>
      <c r="ER204" s="171">
        <f t="shared" ca="1" si="292"/>
        <v>0</v>
      </c>
      <c r="ES204" s="171">
        <f t="shared" ca="1" si="293"/>
        <v>0</v>
      </c>
    </row>
    <row r="205" spans="1:149">
      <c r="A205" s="139" t="s">
        <v>550</v>
      </c>
      <c r="B205" s="160" t="s">
        <v>430</v>
      </c>
      <c r="C205" s="160" t="s">
        <v>109</v>
      </c>
      <c r="D205" s="160" t="s">
        <v>428</v>
      </c>
      <c r="E205" s="160">
        <v>2010</v>
      </c>
      <c r="F205" s="194" t="s">
        <v>395</v>
      </c>
      <c r="G205" s="160" t="s">
        <v>402</v>
      </c>
      <c r="H205" s="194" t="s">
        <v>396</v>
      </c>
      <c r="I205" s="194" t="s">
        <v>178</v>
      </c>
      <c r="J205" s="194" t="s">
        <v>407</v>
      </c>
      <c r="K205" s="187">
        <v>134</v>
      </c>
      <c r="L205" s="163" t="s">
        <v>110</v>
      </c>
      <c r="M205" s="164">
        <f t="shared" si="223"/>
        <v>134</v>
      </c>
      <c r="N205" s="164">
        <f t="shared" si="224"/>
        <v>134</v>
      </c>
      <c r="O205" s="165">
        <f t="shared" si="225"/>
        <v>1</v>
      </c>
      <c r="P205" s="190">
        <v>3.5000000000000003E-2</v>
      </c>
      <c r="Q205" s="191">
        <v>25</v>
      </c>
      <c r="R205" s="168">
        <f t="shared" si="226"/>
        <v>11</v>
      </c>
      <c r="S205" s="178">
        <v>7</v>
      </c>
      <c r="T205" s="170" t="s">
        <v>403</v>
      </c>
      <c r="U205" s="171">
        <f t="shared" si="227"/>
        <v>8.7414427207964298</v>
      </c>
      <c r="V205" s="171">
        <f t="shared" ca="1" si="228"/>
        <v>7.4508663209896966</v>
      </c>
      <c r="W205" s="171">
        <f t="shared" ca="1" si="229"/>
        <v>186.27165802474241</v>
      </c>
      <c r="X205" s="172">
        <f t="shared" si="230"/>
        <v>0.24974417709583618</v>
      </c>
      <c r="Y205" s="172">
        <f t="shared" si="231"/>
        <v>0.75025582290416382</v>
      </c>
      <c r="Z205" s="173">
        <f t="shared" si="232"/>
        <v>218.53606801991074</v>
      </c>
      <c r="AA205" s="171">
        <f t="shared" si="306"/>
        <v>4.6900000000000004</v>
      </c>
      <c r="AB205" s="171">
        <f t="shared" si="306"/>
        <v>4.6900000000000004</v>
      </c>
      <c r="AC205" s="171">
        <f t="shared" si="306"/>
        <v>4.6900000000000004</v>
      </c>
      <c r="AD205" s="171">
        <f t="shared" si="306"/>
        <v>4.6900000000000004</v>
      </c>
      <c r="AE205" s="171">
        <f t="shared" si="306"/>
        <v>4.6900000000000004</v>
      </c>
      <c r="AF205" s="171">
        <f t="shared" si="306"/>
        <v>4.6900000000000004</v>
      </c>
      <c r="AG205" s="171">
        <f t="shared" si="306"/>
        <v>4.6900000000000004</v>
      </c>
      <c r="AH205" s="171">
        <f t="shared" si="306"/>
        <v>9.7740035799952967</v>
      </c>
      <c r="AI205" s="171">
        <f t="shared" si="306"/>
        <v>9.7740035799952967</v>
      </c>
      <c r="AJ205" s="171">
        <f t="shared" si="306"/>
        <v>9.7740035799952967</v>
      </c>
      <c r="AK205" s="171">
        <f t="shared" si="307"/>
        <v>9.7740035799952967</v>
      </c>
      <c r="AL205" s="171">
        <f t="shared" si="307"/>
        <v>9.7740035799952967</v>
      </c>
      <c r="AM205" s="171">
        <f t="shared" si="307"/>
        <v>9.7740035799952967</v>
      </c>
      <c r="AN205" s="171">
        <f t="shared" si="307"/>
        <v>9.7740035799952967</v>
      </c>
      <c r="AO205" s="171">
        <f t="shared" si="307"/>
        <v>9.7740035799952967</v>
      </c>
      <c r="AP205" s="171">
        <f t="shared" si="307"/>
        <v>9.7740035799952967</v>
      </c>
      <c r="AQ205" s="171">
        <f t="shared" si="307"/>
        <v>9.7740035799952967</v>
      </c>
      <c r="AR205" s="171">
        <f t="shared" si="307"/>
        <v>9.7740035799952967</v>
      </c>
      <c r="AS205" s="171">
        <f t="shared" si="307"/>
        <v>9.7740035799952967</v>
      </c>
      <c r="AT205" s="171">
        <f t="shared" si="307"/>
        <v>9.7740035799952967</v>
      </c>
      <c r="AU205" s="171">
        <f t="shared" si="308"/>
        <v>9.7740035799952967</v>
      </c>
      <c r="AV205" s="171">
        <f t="shared" si="308"/>
        <v>9.7740035799952967</v>
      </c>
      <c r="AW205" s="171">
        <f t="shared" si="308"/>
        <v>9.7740035799952967</v>
      </c>
      <c r="AX205" s="171">
        <f t="shared" si="308"/>
        <v>9.7740035799952967</v>
      </c>
      <c r="AY205" s="171">
        <f t="shared" si="308"/>
        <v>9.7740035799952967</v>
      </c>
      <c r="AZ205" s="171">
        <f t="shared" si="308"/>
        <v>9.7740035799952967</v>
      </c>
      <c r="BA205" s="171">
        <f t="shared" si="308"/>
        <v>0</v>
      </c>
      <c r="BB205" s="171">
        <f t="shared" si="308"/>
        <v>0</v>
      </c>
      <c r="BC205" s="171">
        <f t="shared" si="308"/>
        <v>0</v>
      </c>
      <c r="BD205" s="171">
        <f t="shared" si="308"/>
        <v>0</v>
      </c>
      <c r="BE205" s="171">
        <f t="shared" si="309"/>
        <v>0</v>
      </c>
      <c r="BF205" s="171">
        <f t="shared" si="309"/>
        <v>0</v>
      </c>
      <c r="BG205" s="171">
        <f t="shared" si="309"/>
        <v>0</v>
      </c>
      <c r="BH205" s="171">
        <f t="shared" si="309"/>
        <v>0</v>
      </c>
      <c r="BI205" s="171">
        <f t="shared" si="309"/>
        <v>0</v>
      </c>
      <c r="BJ205" s="171">
        <f t="shared" si="309"/>
        <v>0</v>
      </c>
      <c r="BK205" s="171">
        <f t="shared" si="309"/>
        <v>0</v>
      </c>
      <c r="BL205" s="171">
        <f t="shared" si="309"/>
        <v>0</v>
      </c>
      <c r="BM205" s="171">
        <f t="shared" si="309"/>
        <v>0</v>
      </c>
      <c r="BN205" s="171">
        <f t="shared" si="309"/>
        <v>0</v>
      </c>
      <c r="BO205" s="171">
        <f t="shared" si="310"/>
        <v>0</v>
      </c>
      <c r="BP205" s="171">
        <f t="shared" si="310"/>
        <v>0</v>
      </c>
      <c r="BQ205" s="171">
        <f t="shared" si="310"/>
        <v>0</v>
      </c>
      <c r="BR205" s="171">
        <f t="shared" si="310"/>
        <v>0</v>
      </c>
      <c r="BS205" s="171">
        <f t="shared" si="310"/>
        <v>0</v>
      </c>
      <c r="BT205" s="171">
        <f t="shared" si="310"/>
        <v>0</v>
      </c>
      <c r="BU205" s="171">
        <f t="shared" si="310"/>
        <v>0</v>
      </c>
      <c r="BV205" s="171">
        <f t="shared" si="310"/>
        <v>0</v>
      </c>
      <c r="BW205" s="171">
        <f t="shared" si="310"/>
        <v>0</v>
      </c>
      <c r="BX205" s="171">
        <f t="shared" si="310"/>
        <v>0</v>
      </c>
      <c r="BY205" s="171">
        <f t="shared" si="311"/>
        <v>0</v>
      </c>
      <c r="BZ205" s="171">
        <f t="shared" si="311"/>
        <v>0</v>
      </c>
      <c r="CA205" s="171">
        <f t="shared" si="311"/>
        <v>0</v>
      </c>
      <c r="CB205" s="171">
        <f t="shared" si="311"/>
        <v>0</v>
      </c>
      <c r="CC205" s="171">
        <f t="shared" si="311"/>
        <v>0</v>
      </c>
      <c r="CD205" s="171">
        <f t="shared" si="311"/>
        <v>0</v>
      </c>
      <c r="CE205" s="171">
        <f t="shared" si="311"/>
        <v>0</v>
      </c>
      <c r="CF205" s="171">
        <f t="shared" si="311"/>
        <v>0</v>
      </c>
      <c r="CG205" s="171">
        <f t="shared" si="311"/>
        <v>0</v>
      </c>
      <c r="CH205" s="171">
        <f t="shared" si="311"/>
        <v>0</v>
      </c>
      <c r="CI205" s="171">
        <f t="shared" si="311"/>
        <v>0</v>
      </c>
      <c r="CJ205" s="243"/>
      <c r="CK205" s="171">
        <f t="shared" si="233"/>
        <v>4.6900000000000004</v>
      </c>
      <c r="CL205" s="171">
        <f t="shared" si="234"/>
        <v>4.6900000000000004</v>
      </c>
      <c r="CM205" s="171">
        <f t="shared" si="235"/>
        <v>4.6900000000000004</v>
      </c>
      <c r="CN205" s="171">
        <f t="shared" si="236"/>
        <v>4.6900000000000004</v>
      </c>
      <c r="CO205" s="171">
        <f t="shared" si="237"/>
        <v>4.6900000000000004</v>
      </c>
      <c r="CP205" s="171">
        <f t="shared" si="238"/>
        <v>4.6900000000000004</v>
      </c>
      <c r="CQ205" s="171">
        <f t="shared" si="239"/>
        <v>4.6900000000000004</v>
      </c>
      <c r="CR205" s="171">
        <f t="shared" si="240"/>
        <v>9.7740035799952967</v>
      </c>
      <c r="CS205" s="171">
        <f t="shared" si="241"/>
        <v>9.7740035799952967</v>
      </c>
      <c r="CT205" s="171">
        <f t="shared" si="242"/>
        <v>9.7740035799952967</v>
      </c>
      <c r="CU205" s="171">
        <f t="shared" si="243"/>
        <v>9.7740035799952967</v>
      </c>
      <c r="CV205" s="171">
        <f t="shared" si="244"/>
        <v>9.7740035799952967</v>
      </c>
      <c r="CW205" s="171">
        <f t="shared" si="245"/>
        <v>9.7740035799952967</v>
      </c>
      <c r="CX205" s="171">
        <f t="shared" si="246"/>
        <v>9.7740035799952967</v>
      </c>
      <c r="CY205" s="171">
        <f t="shared" ca="1" si="247"/>
        <v>9.2791181159877709</v>
      </c>
      <c r="CZ205" s="171">
        <f t="shared" ca="1" si="248"/>
        <v>8.80929010366639</v>
      </c>
      <c r="DA205" s="171">
        <f t="shared" ca="1" si="249"/>
        <v>8.3632508133337424</v>
      </c>
      <c r="DB205" s="171">
        <f t="shared" ca="1" si="250"/>
        <v>7.9397957546678049</v>
      </c>
      <c r="DC205" s="171">
        <f t="shared" ca="1" si="251"/>
        <v>7.5377814241005492</v>
      </c>
      <c r="DD205" s="171">
        <f t="shared" ca="1" si="252"/>
        <v>7.1561222168859855</v>
      </c>
      <c r="DE205" s="171">
        <f t="shared" ca="1" si="253"/>
        <v>6.7937874955189317</v>
      </c>
      <c r="DF205" s="171">
        <f t="shared" ca="1" si="254"/>
        <v>6.4497988065880403</v>
      </c>
      <c r="DG205" s="171">
        <f t="shared" ca="1" si="255"/>
        <v>6.1232272385474396</v>
      </c>
      <c r="DH205" s="171">
        <f t="shared" ca="1" si="256"/>
        <v>5.8131909132718631</v>
      </c>
      <c r="DI205" s="171">
        <f t="shared" ca="1" si="257"/>
        <v>5.5188526046214514</v>
      </c>
      <c r="DJ205" s="171">
        <f t="shared" ca="1" si="258"/>
        <v>5.2394174775853566</v>
      </c>
      <c r="DK205" s="171">
        <f t="shared" ca="1" si="259"/>
        <v>0</v>
      </c>
      <c r="DL205" s="171">
        <f t="shared" ca="1" si="260"/>
        <v>0</v>
      </c>
      <c r="DM205" s="171">
        <f t="shared" ca="1" si="261"/>
        <v>0</v>
      </c>
      <c r="DN205" s="171">
        <f t="shared" ca="1" si="262"/>
        <v>0</v>
      </c>
      <c r="DO205" s="171">
        <f t="shared" ca="1" si="263"/>
        <v>0</v>
      </c>
      <c r="DP205" s="171">
        <f t="shared" ca="1" si="264"/>
        <v>0</v>
      </c>
      <c r="DQ205" s="171">
        <f t="shared" ca="1" si="265"/>
        <v>0</v>
      </c>
      <c r="DR205" s="171">
        <f t="shared" ca="1" si="266"/>
        <v>0</v>
      </c>
      <c r="DS205" s="171">
        <f t="shared" ca="1" si="267"/>
        <v>0</v>
      </c>
      <c r="DT205" s="171">
        <f t="shared" ca="1" si="268"/>
        <v>0</v>
      </c>
      <c r="DU205" s="171">
        <f t="shared" ca="1" si="269"/>
        <v>0</v>
      </c>
      <c r="DV205" s="171">
        <f t="shared" ca="1" si="270"/>
        <v>0</v>
      </c>
      <c r="DW205" s="171">
        <f t="shared" ca="1" si="271"/>
        <v>0</v>
      </c>
      <c r="DX205" s="171">
        <f t="shared" ca="1" si="272"/>
        <v>0</v>
      </c>
      <c r="DY205" s="171">
        <f t="shared" ca="1" si="273"/>
        <v>0</v>
      </c>
      <c r="DZ205" s="171">
        <f t="shared" ca="1" si="274"/>
        <v>0</v>
      </c>
      <c r="EA205" s="171">
        <f t="shared" ca="1" si="275"/>
        <v>0</v>
      </c>
      <c r="EB205" s="171">
        <f t="shared" ca="1" si="276"/>
        <v>0</v>
      </c>
      <c r="EC205" s="171">
        <f t="shared" ca="1" si="277"/>
        <v>0</v>
      </c>
      <c r="ED205" s="171">
        <f t="shared" ca="1" si="278"/>
        <v>0</v>
      </c>
      <c r="EE205" s="171">
        <f t="shared" ca="1" si="279"/>
        <v>0</v>
      </c>
      <c r="EF205" s="171">
        <f t="shared" ca="1" si="280"/>
        <v>0</v>
      </c>
      <c r="EG205" s="171">
        <f t="shared" ca="1" si="281"/>
        <v>0</v>
      </c>
      <c r="EH205" s="171">
        <f t="shared" ca="1" si="282"/>
        <v>0</v>
      </c>
      <c r="EI205" s="171">
        <f t="shared" ca="1" si="283"/>
        <v>0</v>
      </c>
      <c r="EJ205" s="171">
        <f t="shared" ca="1" si="284"/>
        <v>0</v>
      </c>
      <c r="EK205" s="171">
        <f t="shared" ca="1" si="285"/>
        <v>0</v>
      </c>
      <c r="EL205" s="171">
        <f t="shared" ca="1" si="286"/>
        <v>0</v>
      </c>
      <c r="EM205" s="171">
        <f t="shared" ca="1" si="287"/>
        <v>0</v>
      </c>
      <c r="EN205" s="171">
        <f t="shared" ca="1" si="288"/>
        <v>0</v>
      </c>
      <c r="EO205" s="171">
        <f t="shared" ca="1" si="289"/>
        <v>0</v>
      </c>
      <c r="EP205" s="171">
        <f t="shared" ca="1" si="290"/>
        <v>0</v>
      </c>
      <c r="EQ205" s="171">
        <f t="shared" ca="1" si="291"/>
        <v>0</v>
      </c>
      <c r="ER205" s="171">
        <f t="shared" ca="1" si="292"/>
        <v>0</v>
      </c>
      <c r="ES205" s="171">
        <f t="shared" ca="1" si="293"/>
        <v>0</v>
      </c>
    </row>
    <row r="206" spans="1:149">
      <c r="A206" s="139" t="s">
        <v>552</v>
      </c>
      <c r="B206" s="160" t="s">
        <v>420</v>
      </c>
      <c r="C206" s="160" t="s">
        <v>105</v>
      </c>
      <c r="D206" s="160" t="s">
        <v>428</v>
      </c>
      <c r="E206" s="160">
        <v>2010</v>
      </c>
      <c r="F206" s="160" t="s">
        <v>400</v>
      </c>
      <c r="G206" s="160" t="s">
        <v>289</v>
      </c>
      <c r="H206" s="160" t="s">
        <v>396</v>
      </c>
      <c r="I206" s="160" t="s">
        <v>183</v>
      </c>
      <c r="J206" s="160" t="s">
        <v>401</v>
      </c>
      <c r="K206" s="187">
        <v>8</v>
      </c>
      <c r="L206" s="163" t="s">
        <v>110</v>
      </c>
      <c r="M206" s="164">
        <f t="shared" si="223"/>
        <v>8</v>
      </c>
      <c r="N206" s="164">
        <f t="shared" si="224"/>
        <v>8</v>
      </c>
      <c r="O206" s="165">
        <f t="shared" si="225"/>
        <v>1</v>
      </c>
      <c r="P206" s="192">
        <v>0.10366666669999999</v>
      </c>
      <c r="Q206" s="177">
        <v>50</v>
      </c>
      <c r="R206" s="168">
        <f t="shared" si="226"/>
        <v>36</v>
      </c>
      <c r="S206" s="181">
        <v>0</v>
      </c>
      <c r="T206" s="160" t="s">
        <v>289</v>
      </c>
      <c r="U206" s="171">
        <f t="shared" si="227"/>
        <v>0.84592000027199954</v>
      </c>
      <c r="V206" s="171">
        <f t="shared" ca="1" si="228"/>
        <v>0.49773318753454965</v>
      </c>
      <c r="W206" s="171">
        <f t="shared" ca="1" si="229"/>
        <v>24.886659376727483</v>
      </c>
      <c r="X206" s="172" t="str">
        <f t="shared" si="230"/>
        <v>Equity</v>
      </c>
      <c r="Y206" s="172" t="str">
        <f t="shared" si="231"/>
        <v>Equity</v>
      </c>
      <c r="Z206" s="173">
        <f t="shared" si="232"/>
        <v>42.296000013599979</v>
      </c>
      <c r="AA206" s="171">
        <f t="shared" si="306"/>
        <v>0.82933333359999994</v>
      </c>
      <c r="AB206" s="171">
        <f t="shared" si="306"/>
        <v>0.82933333359999994</v>
      </c>
      <c r="AC206" s="171">
        <f t="shared" si="306"/>
        <v>0.82933333359999994</v>
      </c>
      <c r="AD206" s="171">
        <f t="shared" si="306"/>
        <v>0.82933333359999994</v>
      </c>
      <c r="AE206" s="171">
        <f t="shared" si="306"/>
        <v>0.82933333359999994</v>
      </c>
      <c r="AF206" s="171">
        <f t="shared" si="306"/>
        <v>0.82933333359999994</v>
      </c>
      <c r="AG206" s="171">
        <f t="shared" si="306"/>
        <v>0.82933333359999994</v>
      </c>
      <c r="AH206" s="171">
        <f t="shared" si="306"/>
        <v>0.82933333359999994</v>
      </c>
      <c r="AI206" s="171">
        <f t="shared" si="306"/>
        <v>0.82933333359999994</v>
      </c>
      <c r="AJ206" s="171">
        <f t="shared" si="306"/>
        <v>0.82933333359999994</v>
      </c>
      <c r="AK206" s="171">
        <f t="shared" si="307"/>
        <v>0.82933333359999994</v>
      </c>
      <c r="AL206" s="171">
        <f t="shared" si="307"/>
        <v>0.82933333359999994</v>
      </c>
      <c r="AM206" s="171">
        <f t="shared" si="307"/>
        <v>0.82933333359999994</v>
      </c>
      <c r="AN206" s="171">
        <f t="shared" si="307"/>
        <v>0.82933333359999994</v>
      </c>
      <c r="AO206" s="171">
        <f t="shared" si="307"/>
        <v>0.82933333359999994</v>
      </c>
      <c r="AP206" s="171">
        <f t="shared" si="307"/>
        <v>0.82933333359999994</v>
      </c>
      <c r="AQ206" s="171">
        <f t="shared" si="307"/>
        <v>0.82933333359999994</v>
      </c>
      <c r="AR206" s="171">
        <f t="shared" si="307"/>
        <v>0.82933333359999994</v>
      </c>
      <c r="AS206" s="171">
        <f t="shared" si="307"/>
        <v>0.82933333359999994</v>
      </c>
      <c r="AT206" s="171">
        <f t="shared" si="307"/>
        <v>0.82933333359999994</v>
      </c>
      <c r="AU206" s="171">
        <f t="shared" si="308"/>
        <v>0.82933333359999994</v>
      </c>
      <c r="AV206" s="171">
        <f t="shared" si="308"/>
        <v>0.82933333359999994</v>
      </c>
      <c r="AW206" s="171">
        <f t="shared" si="308"/>
        <v>0.82933333359999994</v>
      </c>
      <c r="AX206" s="171">
        <f t="shared" si="308"/>
        <v>0.82933333359999994</v>
      </c>
      <c r="AY206" s="171">
        <f t="shared" si="308"/>
        <v>0.82933333359999994</v>
      </c>
      <c r="AZ206" s="171">
        <f t="shared" si="308"/>
        <v>0.82933333359999994</v>
      </c>
      <c r="BA206" s="171">
        <f t="shared" si="308"/>
        <v>0.82933333359999994</v>
      </c>
      <c r="BB206" s="171">
        <f t="shared" si="308"/>
        <v>0.82933333359999994</v>
      </c>
      <c r="BC206" s="171">
        <f t="shared" si="308"/>
        <v>0.82933333359999994</v>
      </c>
      <c r="BD206" s="171">
        <f t="shared" si="308"/>
        <v>0.82933333359999994</v>
      </c>
      <c r="BE206" s="171">
        <f t="shared" si="309"/>
        <v>0.82933333359999994</v>
      </c>
      <c r="BF206" s="171">
        <f t="shared" si="309"/>
        <v>0.82933333359999994</v>
      </c>
      <c r="BG206" s="171">
        <f t="shared" si="309"/>
        <v>0.82933333359999994</v>
      </c>
      <c r="BH206" s="171">
        <f t="shared" si="309"/>
        <v>0.82933333359999994</v>
      </c>
      <c r="BI206" s="171">
        <f t="shared" si="309"/>
        <v>0.82933333359999994</v>
      </c>
      <c r="BJ206" s="171">
        <f t="shared" si="309"/>
        <v>0.82933333359999994</v>
      </c>
      <c r="BK206" s="171">
        <f t="shared" si="309"/>
        <v>0.82933333359999994</v>
      </c>
      <c r="BL206" s="171">
        <f t="shared" si="309"/>
        <v>0.82933333359999994</v>
      </c>
      <c r="BM206" s="171">
        <f t="shared" si="309"/>
        <v>0.82933333359999994</v>
      </c>
      <c r="BN206" s="171">
        <f t="shared" si="309"/>
        <v>0.82933333359999994</v>
      </c>
      <c r="BO206" s="171">
        <f t="shared" si="310"/>
        <v>0.82933333359999994</v>
      </c>
      <c r="BP206" s="171">
        <f t="shared" si="310"/>
        <v>0.82933333359999994</v>
      </c>
      <c r="BQ206" s="171">
        <f t="shared" si="310"/>
        <v>0.82933333359999994</v>
      </c>
      <c r="BR206" s="171">
        <f t="shared" si="310"/>
        <v>0.82933333359999994</v>
      </c>
      <c r="BS206" s="171">
        <f t="shared" si="310"/>
        <v>0.82933333359999994</v>
      </c>
      <c r="BT206" s="171">
        <f t="shared" si="310"/>
        <v>0.82933333359999994</v>
      </c>
      <c r="BU206" s="171">
        <f t="shared" si="310"/>
        <v>0.82933333359999994</v>
      </c>
      <c r="BV206" s="171">
        <f t="shared" si="310"/>
        <v>0.82933333359999994</v>
      </c>
      <c r="BW206" s="171">
        <f t="shared" si="310"/>
        <v>0.82933333359999994</v>
      </c>
      <c r="BX206" s="171">
        <f t="shared" si="310"/>
        <v>0.82933333359999994</v>
      </c>
      <c r="BY206" s="171">
        <f t="shared" si="311"/>
        <v>0.82933333359999994</v>
      </c>
      <c r="BZ206" s="171">
        <f t="shared" si="311"/>
        <v>0</v>
      </c>
      <c r="CA206" s="171">
        <f t="shared" si="311"/>
        <v>0</v>
      </c>
      <c r="CB206" s="171">
        <f t="shared" si="311"/>
        <v>0</v>
      </c>
      <c r="CC206" s="171">
        <f t="shared" si="311"/>
        <v>0</v>
      </c>
      <c r="CD206" s="171">
        <f t="shared" si="311"/>
        <v>0</v>
      </c>
      <c r="CE206" s="171">
        <f t="shared" si="311"/>
        <v>0</v>
      </c>
      <c r="CF206" s="171">
        <f t="shared" si="311"/>
        <v>0</v>
      </c>
      <c r="CG206" s="171">
        <f t="shared" si="311"/>
        <v>0</v>
      </c>
      <c r="CH206" s="171">
        <f t="shared" si="311"/>
        <v>0</v>
      </c>
      <c r="CI206" s="171">
        <f t="shared" si="311"/>
        <v>0</v>
      </c>
      <c r="CJ206" s="243"/>
      <c r="CK206" s="171">
        <f t="shared" si="233"/>
        <v>0.82933333359999994</v>
      </c>
      <c r="CL206" s="171">
        <f t="shared" si="234"/>
        <v>0.82933333359999994</v>
      </c>
      <c r="CM206" s="171">
        <f t="shared" si="235"/>
        <v>0.82933333359999994</v>
      </c>
      <c r="CN206" s="171">
        <f t="shared" si="236"/>
        <v>0.82933333359999994</v>
      </c>
      <c r="CO206" s="171">
        <f t="shared" si="237"/>
        <v>0.82933333359999994</v>
      </c>
      <c r="CP206" s="171">
        <f t="shared" si="238"/>
        <v>0.82933333359999994</v>
      </c>
      <c r="CQ206" s="171">
        <f t="shared" si="239"/>
        <v>0.82933333359999994</v>
      </c>
      <c r="CR206" s="171">
        <f t="shared" si="240"/>
        <v>0.82933333359999994</v>
      </c>
      <c r="CS206" s="171">
        <f t="shared" si="241"/>
        <v>0.82933333359999994</v>
      </c>
      <c r="CT206" s="171">
        <f t="shared" si="242"/>
        <v>0.82933333359999994</v>
      </c>
      <c r="CU206" s="171">
        <f t="shared" si="243"/>
        <v>0.82933333359999994</v>
      </c>
      <c r="CV206" s="171">
        <f t="shared" si="244"/>
        <v>0.82933333359999994</v>
      </c>
      <c r="CW206" s="171">
        <f t="shared" si="245"/>
        <v>0.82933333359999994</v>
      </c>
      <c r="CX206" s="171">
        <f t="shared" si="246"/>
        <v>0.82933333359999994</v>
      </c>
      <c r="CY206" s="171">
        <f t="shared" ca="1" si="247"/>
        <v>0.78734183970945426</v>
      </c>
      <c r="CZ206" s="171">
        <f t="shared" ca="1" si="248"/>
        <v>0.74747649400049143</v>
      </c>
      <c r="DA206" s="171">
        <f t="shared" ca="1" si="249"/>
        <v>0.70962964357317349</v>
      </c>
      <c r="DB206" s="171">
        <f t="shared" ca="1" si="250"/>
        <v>0.67369908629856945</v>
      </c>
      <c r="DC206" s="171">
        <f t="shared" ca="1" si="251"/>
        <v>0.63958779483079253</v>
      </c>
      <c r="DD206" s="171">
        <f t="shared" ca="1" si="252"/>
        <v>0.60720365459308867</v>
      </c>
      <c r="DE206" s="171">
        <f t="shared" ca="1" si="253"/>
        <v>0.57645921503043085</v>
      </c>
      <c r="DF206" s="171">
        <f t="shared" ca="1" si="254"/>
        <v>0.54727145345689909</v>
      </c>
      <c r="DG206" s="171">
        <f t="shared" ca="1" si="255"/>
        <v>0.51956155086013522</v>
      </c>
      <c r="DH206" s="171">
        <f t="shared" ca="1" si="256"/>
        <v>0.49325467905745357</v>
      </c>
      <c r="DI206" s="171">
        <f t="shared" ca="1" si="257"/>
        <v>0.46827979862883917</v>
      </c>
      <c r="DJ206" s="171">
        <f t="shared" ca="1" si="258"/>
        <v>0.44456946708117101</v>
      </c>
      <c r="DK206" s="171">
        <f t="shared" ca="1" si="259"/>
        <v>0.42205965672563289</v>
      </c>
      <c r="DL206" s="171">
        <f t="shared" ca="1" si="260"/>
        <v>0.40068958177650726</v>
      </c>
      <c r="DM206" s="171">
        <f t="shared" ca="1" si="261"/>
        <v>0.38040153420444534</v>
      </c>
      <c r="DN206" s="171">
        <f t="shared" ca="1" si="262"/>
        <v>0.36114072790095175</v>
      </c>
      <c r="DO206" s="171">
        <f t="shared" ca="1" si="263"/>
        <v>0.34285515073326217</v>
      </c>
      <c r="DP206" s="171">
        <f t="shared" ca="1" si="264"/>
        <v>0.32549542409010057</v>
      </c>
      <c r="DQ206" s="171">
        <f t="shared" ca="1" si="265"/>
        <v>0.30901466953903328</v>
      </c>
      <c r="DR206" s="171">
        <f t="shared" ca="1" si="266"/>
        <v>0.29336838223533751</v>
      </c>
      <c r="DS206" s="171">
        <f t="shared" ca="1" si="267"/>
        <v>0.2785143107405384</v>
      </c>
      <c r="DT206" s="171">
        <f t="shared" ca="1" si="268"/>
        <v>0.26441234292607257</v>
      </c>
      <c r="DU206" s="171">
        <f t="shared" ca="1" si="269"/>
        <v>0.25102439765397255</v>
      </c>
      <c r="DV206" s="171">
        <f t="shared" ca="1" si="270"/>
        <v>0.23831432194206498</v>
      </c>
      <c r="DW206" s="171">
        <f t="shared" ca="1" si="271"/>
        <v>0.22624779333598538</v>
      </c>
      <c r="DX206" s="171">
        <f t="shared" ca="1" si="272"/>
        <v>0.21479222722437444</v>
      </c>
      <c r="DY206" s="171">
        <f t="shared" ca="1" si="273"/>
        <v>0.20391668884696823</v>
      </c>
      <c r="DZ206" s="171">
        <f t="shared" ca="1" si="274"/>
        <v>0.19359180975796764</v>
      </c>
      <c r="EA206" s="171">
        <f t="shared" ca="1" si="275"/>
        <v>0.18378970851910409</v>
      </c>
      <c r="EB206" s="171">
        <f t="shared" ca="1" si="276"/>
        <v>0.1744839154082396</v>
      </c>
      <c r="EC206" s="171">
        <f t="shared" ca="1" si="277"/>
        <v>0.16564930094018371</v>
      </c>
      <c r="ED206" s="171">
        <f t="shared" ca="1" si="278"/>
        <v>0.15726200800670345</v>
      </c>
      <c r="EE206" s="171">
        <f t="shared" ca="1" si="279"/>
        <v>0.14929938745247706</v>
      </c>
      <c r="EF206" s="171">
        <f t="shared" ca="1" si="280"/>
        <v>0.1417399369130192</v>
      </c>
      <c r="EG206" s="171">
        <f t="shared" ca="1" si="281"/>
        <v>0.13456324274941517</v>
      </c>
      <c r="EH206" s="171">
        <f t="shared" ca="1" si="282"/>
        <v>0.12774992492306403</v>
      </c>
      <c r="EI206" s="171">
        <f t="shared" ca="1" si="283"/>
        <v>0.1212815846615693</v>
      </c>
      <c r="EJ206" s="171">
        <f t="shared" ca="1" si="284"/>
        <v>0</v>
      </c>
      <c r="EK206" s="171">
        <f t="shared" ca="1" si="285"/>
        <v>0</v>
      </c>
      <c r="EL206" s="171">
        <f t="shared" ca="1" si="286"/>
        <v>0</v>
      </c>
      <c r="EM206" s="171">
        <f t="shared" ca="1" si="287"/>
        <v>0</v>
      </c>
      <c r="EN206" s="171">
        <f t="shared" ca="1" si="288"/>
        <v>0</v>
      </c>
      <c r="EO206" s="171">
        <f t="shared" ca="1" si="289"/>
        <v>0</v>
      </c>
      <c r="EP206" s="171">
        <f t="shared" ca="1" si="290"/>
        <v>0</v>
      </c>
      <c r="EQ206" s="171">
        <f t="shared" ca="1" si="291"/>
        <v>0</v>
      </c>
      <c r="ER206" s="171">
        <f t="shared" ca="1" si="292"/>
        <v>0</v>
      </c>
      <c r="ES206" s="171">
        <f t="shared" ca="1" si="293"/>
        <v>0</v>
      </c>
    </row>
    <row r="207" spans="1:149">
      <c r="A207" s="139" t="s">
        <v>552</v>
      </c>
      <c r="B207" s="160" t="s">
        <v>430</v>
      </c>
      <c r="C207" s="160" t="s">
        <v>105</v>
      </c>
      <c r="D207" s="160" t="s">
        <v>428</v>
      </c>
      <c r="E207" s="160">
        <v>2010</v>
      </c>
      <c r="F207" s="160" t="s">
        <v>395</v>
      </c>
      <c r="G207" s="160" t="s">
        <v>402</v>
      </c>
      <c r="H207" s="160" t="s">
        <v>396</v>
      </c>
      <c r="I207" s="160" t="s">
        <v>178</v>
      </c>
      <c r="J207" s="160" t="s">
        <v>407</v>
      </c>
      <c r="K207" s="187">
        <v>64.5</v>
      </c>
      <c r="L207" s="163" t="s">
        <v>110</v>
      </c>
      <c r="M207" s="164">
        <f t="shared" si="223"/>
        <v>64.5</v>
      </c>
      <c r="N207" s="164">
        <f t="shared" si="224"/>
        <v>64.5</v>
      </c>
      <c r="O207" s="165">
        <f t="shared" si="225"/>
        <v>1</v>
      </c>
      <c r="P207" s="190">
        <v>3.5000000000000003E-2</v>
      </c>
      <c r="Q207" s="191">
        <v>40</v>
      </c>
      <c r="R207" s="168">
        <f t="shared" si="226"/>
        <v>26</v>
      </c>
      <c r="S207" s="178">
        <v>10</v>
      </c>
      <c r="T207" s="170" t="s">
        <v>403</v>
      </c>
      <c r="U207" s="171">
        <f t="shared" si="227"/>
        <v>3.2323278333656091</v>
      </c>
      <c r="V207" s="171">
        <f t="shared" ca="1" si="228"/>
        <v>2.1255378550045085</v>
      </c>
      <c r="W207" s="171">
        <f t="shared" ca="1" si="229"/>
        <v>85.021514200180349</v>
      </c>
      <c r="X207" s="172">
        <f t="shared" si="230"/>
        <v>0.2157927678990067</v>
      </c>
      <c r="Y207" s="172">
        <f t="shared" si="231"/>
        <v>0.7842072321009933</v>
      </c>
      <c r="Z207" s="173">
        <f t="shared" si="232"/>
        <v>129.29311333462437</v>
      </c>
      <c r="AA207" s="171">
        <f t="shared" si="306"/>
        <v>2.2575000000000003</v>
      </c>
      <c r="AB207" s="171">
        <f t="shared" si="306"/>
        <v>2.2575000000000003</v>
      </c>
      <c r="AC207" s="171">
        <f t="shared" si="306"/>
        <v>2.2575000000000003</v>
      </c>
      <c r="AD207" s="171">
        <f t="shared" si="306"/>
        <v>2.2575000000000003</v>
      </c>
      <c r="AE207" s="171">
        <f t="shared" si="306"/>
        <v>2.2575000000000003</v>
      </c>
      <c r="AF207" s="171">
        <f t="shared" si="306"/>
        <v>2.2575000000000003</v>
      </c>
      <c r="AG207" s="171">
        <f t="shared" si="306"/>
        <v>2.2575000000000003</v>
      </c>
      <c r="AH207" s="171">
        <f t="shared" si="306"/>
        <v>2.2575000000000003</v>
      </c>
      <c r="AI207" s="171">
        <f t="shared" si="306"/>
        <v>2.2575000000000003</v>
      </c>
      <c r="AJ207" s="171">
        <f t="shared" si="306"/>
        <v>2.2575000000000003</v>
      </c>
      <c r="AK207" s="171">
        <f t="shared" si="307"/>
        <v>3.4425197849878852</v>
      </c>
      <c r="AL207" s="171">
        <f t="shared" si="307"/>
        <v>3.4425197849878852</v>
      </c>
      <c r="AM207" s="171">
        <f t="shared" si="307"/>
        <v>3.4425197849878852</v>
      </c>
      <c r="AN207" s="171">
        <f t="shared" si="307"/>
        <v>3.4425197849878852</v>
      </c>
      <c r="AO207" s="171">
        <f t="shared" si="307"/>
        <v>3.4425197849878852</v>
      </c>
      <c r="AP207" s="171">
        <f t="shared" si="307"/>
        <v>3.4425197849878852</v>
      </c>
      <c r="AQ207" s="171">
        <f t="shared" si="307"/>
        <v>3.4425197849878852</v>
      </c>
      <c r="AR207" s="171">
        <f t="shared" si="307"/>
        <v>3.4425197849878852</v>
      </c>
      <c r="AS207" s="171">
        <f t="shared" si="307"/>
        <v>3.4425197849878852</v>
      </c>
      <c r="AT207" s="171">
        <f t="shared" si="307"/>
        <v>3.4425197849878852</v>
      </c>
      <c r="AU207" s="171">
        <f t="shared" si="308"/>
        <v>3.4425197849878852</v>
      </c>
      <c r="AV207" s="171">
        <f t="shared" si="308"/>
        <v>3.4425197849878852</v>
      </c>
      <c r="AW207" s="171">
        <f t="shared" si="308"/>
        <v>3.4425197849878852</v>
      </c>
      <c r="AX207" s="171">
        <f t="shared" si="308"/>
        <v>3.4425197849878852</v>
      </c>
      <c r="AY207" s="171">
        <f t="shared" si="308"/>
        <v>3.4425197849878852</v>
      </c>
      <c r="AZ207" s="171">
        <f t="shared" si="308"/>
        <v>3.4425197849878852</v>
      </c>
      <c r="BA207" s="171">
        <f t="shared" si="308"/>
        <v>3.4425197849878852</v>
      </c>
      <c r="BB207" s="171">
        <f t="shared" si="308"/>
        <v>3.4425197849878852</v>
      </c>
      <c r="BC207" s="171">
        <f t="shared" si="308"/>
        <v>3.4425197849878852</v>
      </c>
      <c r="BD207" s="171">
        <f t="shared" si="308"/>
        <v>3.4425197849878852</v>
      </c>
      <c r="BE207" s="171">
        <f t="shared" si="309"/>
        <v>3.4425197849878852</v>
      </c>
      <c r="BF207" s="171">
        <f t="shared" si="309"/>
        <v>3.4425197849878852</v>
      </c>
      <c r="BG207" s="171">
        <f t="shared" si="309"/>
        <v>3.4425197849878852</v>
      </c>
      <c r="BH207" s="171">
        <f t="shared" si="309"/>
        <v>3.4425197849878852</v>
      </c>
      <c r="BI207" s="171">
        <f t="shared" si="309"/>
        <v>3.4425197849878852</v>
      </c>
      <c r="BJ207" s="171">
        <f t="shared" si="309"/>
        <v>3.4425197849878852</v>
      </c>
      <c r="BK207" s="171">
        <f t="shared" si="309"/>
        <v>3.4425197849878852</v>
      </c>
      <c r="BL207" s="171">
        <f t="shared" si="309"/>
        <v>3.4425197849878852</v>
      </c>
      <c r="BM207" s="171">
        <f t="shared" si="309"/>
        <v>3.4425197849878852</v>
      </c>
      <c r="BN207" s="171">
        <f t="shared" si="309"/>
        <v>3.4425197849878852</v>
      </c>
      <c r="BO207" s="171">
        <f t="shared" si="310"/>
        <v>3.4425197849878852</v>
      </c>
      <c r="BP207" s="171">
        <f t="shared" si="310"/>
        <v>0</v>
      </c>
      <c r="BQ207" s="171">
        <f t="shared" si="310"/>
        <v>0</v>
      </c>
      <c r="BR207" s="171">
        <f t="shared" si="310"/>
        <v>0</v>
      </c>
      <c r="BS207" s="171">
        <f t="shared" si="310"/>
        <v>0</v>
      </c>
      <c r="BT207" s="171">
        <f t="shared" si="310"/>
        <v>0</v>
      </c>
      <c r="BU207" s="171">
        <f t="shared" si="310"/>
        <v>0</v>
      </c>
      <c r="BV207" s="171">
        <f t="shared" si="310"/>
        <v>0</v>
      </c>
      <c r="BW207" s="171">
        <f t="shared" si="310"/>
        <v>0</v>
      </c>
      <c r="BX207" s="171">
        <f t="shared" si="310"/>
        <v>0</v>
      </c>
      <c r="BY207" s="171">
        <f t="shared" si="311"/>
        <v>0</v>
      </c>
      <c r="BZ207" s="171">
        <f t="shared" si="311"/>
        <v>0</v>
      </c>
      <c r="CA207" s="171">
        <f t="shared" si="311"/>
        <v>0</v>
      </c>
      <c r="CB207" s="171">
        <f t="shared" si="311"/>
        <v>0</v>
      </c>
      <c r="CC207" s="171">
        <f t="shared" si="311"/>
        <v>0</v>
      </c>
      <c r="CD207" s="171">
        <f t="shared" si="311"/>
        <v>0</v>
      </c>
      <c r="CE207" s="171">
        <f t="shared" si="311"/>
        <v>0</v>
      </c>
      <c r="CF207" s="171">
        <f t="shared" si="311"/>
        <v>0</v>
      </c>
      <c r="CG207" s="171">
        <f t="shared" si="311"/>
        <v>0</v>
      </c>
      <c r="CH207" s="171">
        <f t="shared" si="311"/>
        <v>0</v>
      </c>
      <c r="CI207" s="171">
        <f t="shared" si="311"/>
        <v>0</v>
      </c>
      <c r="CJ207" s="243"/>
      <c r="CK207" s="171">
        <f t="shared" si="233"/>
        <v>2.2575000000000003</v>
      </c>
      <c r="CL207" s="171">
        <f t="shared" si="234"/>
        <v>2.2575000000000003</v>
      </c>
      <c r="CM207" s="171">
        <f t="shared" si="235"/>
        <v>2.2575000000000003</v>
      </c>
      <c r="CN207" s="171">
        <f t="shared" si="236"/>
        <v>2.2575000000000003</v>
      </c>
      <c r="CO207" s="171">
        <f t="shared" si="237"/>
        <v>2.2575000000000003</v>
      </c>
      <c r="CP207" s="171">
        <f t="shared" si="238"/>
        <v>2.2575000000000003</v>
      </c>
      <c r="CQ207" s="171">
        <f t="shared" si="239"/>
        <v>2.2575000000000003</v>
      </c>
      <c r="CR207" s="171">
        <f t="shared" si="240"/>
        <v>2.2575000000000003</v>
      </c>
      <c r="CS207" s="171">
        <f t="shared" si="241"/>
        <v>2.2575000000000003</v>
      </c>
      <c r="CT207" s="171">
        <f t="shared" si="242"/>
        <v>2.2575000000000003</v>
      </c>
      <c r="CU207" s="171">
        <f t="shared" si="243"/>
        <v>3.4425197849878852</v>
      </c>
      <c r="CV207" s="171">
        <f t="shared" si="244"/>
        <v>3.4425197849878852</v>
      </c>
      <c r="CW207" s="171">
        <f t="shared" si="245"/>
        <v>3.4425197849878852</v>
      </c>
      <c r="CX207" s="171">
        <f t="shared" si="246"/>
        <v>3.4425197849878852</v>
      </c>
      <c r="CY207" s="171">
        <f t="shared" ca="1" si="247"/>
        <v>3.2682152651250393</v>
      </c>
      <c r="CZ207" s="171">
        <f t="shared" ca="1" si="248"/>
        <v>3.1027362764260538</v>
      </c>
      <c r="DA207" s="171">
        <f t="shared" ca="1" si="249"/>
        <v>2.9456359572697521</v>
      </c>
      <c r="DB207" s="171">
        <f t="shared" ca="1" si="250"/>
        <v>2.7964900719035635</v>
      </c>
      <c r="DC207" s="171">
        <f t="shared" ca="1" si="251"/>
        <v>2.6548958648317567</v>
      </c>
      <c r="DD207" s="171">
        <f t="shared" ca="1" si="252"/>
        <v>2.520470973209243</v>
      </c>
      <c r="DE207" s="171">
        <f t="shared" ca="1" si="253"/>
        <v>2.3928523943039592</v>
      </c>
      <c r="DF207" s="171">
        <f t="shared" ca="1" si="254"/>
        <v>2.2716955052395491</v>
      </c>
      <c r="DG207" s="171">
        <f t="shared" ca="1" si="255"/>
        <v>2.1566731323712527</v>
      </c>
      <c r="DH207" s="171">
        <f t="shared" ca="1" si="256"/>
        <v>2.0474746677819216</v>
      </c>
      <c r="DI207" s="171">
        <f t="shared" ca="1" si="257"/>
        <v>1.9438052305123477</v>
      </c>
      <c r="DJ207" s="171">
        <f t="shared" ca="1" si="258"/>
        <v>1.8453848702608711</v>
      </c>
      <c r="DK207" s="171">
        <f t="shared" ca="1" si="259"/>
        <v>1.7519478114019298</v>
      </c>
      <c r="DL207" s="171">
        <f t="shared" ca="1" si="260"/>
        <v>1.6632417352820936</v>
      </c>
      <c r="DM207" s="171">
        <f t="shared" ca="1" si="261"/>
        <v>1.5790270988554762</v>
      </c>
      <c r="DN207" s="171">
        <f t="shared" ca="1" si="262"/>
        <v>1.4990764878185681</v>
      </c>
      <c r="DO207" s="171">
        <f t="shared" ca="1" si="263"/>
        <v>1.4231740024976838</v>
      </c>
      <c r="DP207" s="171">
        <f t="shared" ca="1" si="264"/>
        <v>1.3511146748306628</v>
      </c>
      <c r="DQ207" s="171">
        <f t="shared" ca="1" si="265"/>
        <v>1.2827039148684416</v>
      </c>
      <c r="DR207" s="171">
        <f t="shared" ca="1" si="266"/>
        <v>1.217756985301812</v>
      </c>
      <c r="DS207" s="171">
        <f t="shared" ca="1" si="267"/>
        <v>1.1560985025943824</v>
      </c>
      <c r="DT207" s="171">
        <f t="shared" ca="1" si="268"/>
        <v>1.0975619633745859</v>
      </c>
      <c r="DU207" s="171">
        <f t="shared" ca="1" si="269"/>
        <v>1.0419892948078013</v>
      </c>
      <c r="DV207" s="171">
        <f t="shared" ca="1" si="270"/>
        <v>0.98923042773440895</v>
      </c>
      <c r="DW207" s="171">
        <f t="shared" ca="1" si="271"/>
        <v>0.93914289142107144</v>
      </c>
      <c r="DX207" s="171">
        <f t="shared" ca="1" si="272"/>
        <v>0.89159142883090614</v>
      </c>
      <c r="DY207" s="171">
        <f t="shared" ca="1" si="273"/>
        <v>0.846447631373618</v>
      </c>
      <c r="DZ207" s="171">
        <f t="shared" ca="1" si="274"/>
        <v>0</v>
      </c>
      <c r="EA207" s="171">
        <f t="shared" ca="1" si="275"/>
        <v>0</v>
      </c>
      <c r="EB207" s="171">
        <f t="shared" ca="1" si="276"/>
        <v>0</v>
      </c>
      <c r="EC207" s="171">
        <f t="shared" ca="1" si="277"/>
        <v>0</v>
      </c>
      <c r="ED207" s="171">
        <f t="shared" ca="1" si="278"/>
        <v>0</v>
      </c>
      <c r="EE207" s="171">
        <f t="shared" ca="1" si="279"/>
        <v>0</v>
      </c>
      <c r="EF207" s="171">
        <f t="shared" ca="1" si="280"/>
        <v>0</v>
      </c>
      <c r="EG207" s="171">
        <f t="shared" ca="1" si="281"/>
        <v>0</v>
      </c>
      <c r="EH207" s="171">
        <f t="shared" ca="1" si="282"/>
        <v>0</v>
      </c>
      <c r="EI207" s="171">
        <f t="shared" ca="1" si="283"/>
        <v>0</v>
      </c>
      <c r="EJ207" s="171">
        <f t="shared" ca="1" si="284"/>
        <v>0</v>
      </c>
      <c r="EK207" s="171">
        <f t="shared" ca="1" si="285"/>
        <v>0</v>
      </c>
      <c r="EL207" s="171">
        <f t="shared" ca="1" si="286"/>
        <v>0</v>
      </c>
      <c r="EM207" s="171">
        <f t="shared" ca="1" si="287"/>
        <v>0</v>
      </c>
      <c r="EN207" s="171">
        <f t="shared" ca="1" si="288"/>
        <v>0</v>
      </c>
      <c r="EO207" s="171">
        <f t="shared" ca="1" si="289"/>
        <v>0</v>
      </c>
      <c r="EP207" s="171">
        <f t="shared" ca="1" si="290"/>
        <v>0</v>
      </c>
      <c r="EQ207" s="171">
        <f t="shared" ca="1" si="291"/>
        <v>0</v>
      </c>
      <c r="ER207" s="171">
        <f t="shared" ca="1" si="292"/>
        <v>0</v>
      </c>
      <c r="ES207" s="171">
        <f t="shared" ca="1" si="293"/>
        <v>0</v>
      </c>
    </row>
    <row r="208" spans="1:149">
      <c r="A208" s="139" t="s">
        <v>553</v>
      </c>
      <c r="B208" s="161" t="s">
        <v>442</v>
      </c>
      <c r="C208" s="161" t="s">
        <v>105</v>
      </c>
      <c r="D208" s="161" t="s">
        <v>428</v>
      </c>
      <c r="E208" s="161">
        <v>2013</v>
      </c>
      <c r="F208" s="161" t="s">
        <v>395</v>
      </c>
      <c r="G208" s="161" t="s">
        <v>402</v>
      </c>
      <c r="H208" s="161" t="s">
        <v>396</v>
      </c>
      <c r="I208" s="161" t="s">
        <v>178</v>
      </c>
      <c r="J208" s="161" t="s">
        <v>407</v>
      </c>
      <c r="K208" s="184">
        <v>15</v>
      </c>
      <c r="L208" s="163" t="s">
        <v>110</v>
      </c>
      <c r="M208" s="164">
        <f t="shared" si="223"/>
        <v>15</v>
      </c>
      <c r="N208" s="164">
        <f t="shared" si="224"/>
        <v>15</v>
      </c>
      <c r="O208" s="165">
        <f t="shared" si="225"/>
        <v>1</v>
      </c>
      <c r="P208" s="190">
        <v>0.01</v>
      </c>
      <c r="Q208" s="191">
        <v>18</v>
      </c>
      <c r="R208" s="168">
        <f t="shared" si="226"/>
        <v>7</v>
      </c>
      <c r="S208" s="178">
        <v>4</v>
      </c>
      <c r="T208" s="170" t="s">
        <v>403</v>
      </c>
      <c r="U208" s="171">
        <f t="shared" si="227"/>
        <v>0.93488058564467913</v>
      </c>
      <c r="V208" s="171">
        <f t="shared" ca="1" si="228"/>
        <v>0.83733393484809482</v>
      </c>
      <c r="W208" s="171">
        <f t="shared" ca="1" si="229"/>
        <v>15.072010827265707</v>
      </c>
      <c r="X208" s="172">
        <f t="shared" si="230"/>
        <v>0.19826318064424386</v>
      </c>
      <c r="Y208" s="172">
        <f t="shared" si="231"/>
        <v>0.80173681935575614</v>
      </c>
      <c r="Z208" s="173">
        <f t="shared" si="232"/>
        <v>16.827850541604224</v>
      </c>
      <c r="AA208" s="171">
        <f t="shared" si="306"/>
        <v>0</v>
      </c>
      <c r="AB208" s="171">
        <f t="shared" si="306"/>
        <v>0</v>
      </c>
      <c r="AC208" s="171">
        <f t="shared" si="306"/>
        <v>0</v>
      </c>
      <c r="AD208" s="171">
        <f t="shared" si="306"/>
        <v>0.15</v>
      </c>
      <c r="AE208" s="171">
        <f t="shared" si="306"/>
        <v>0.15</v>
      </c>
      <c r="AF208" s="171">
        <f t="shared" si="306"/>
        <v>0.15</v>
      </c>
      <c r="AG208" s="171">
        <f t="shared" si="306"/>
        <v>0.15</v>
      </c>
      <c r="AH208" s="171">
        <f t="shared" si="306"/>
        <v>1.0818567027736148</v>
      </c>
      <c r="AI208" s="171">
        <f t="shared" si="306"/>
        <v>1.0818567027736148</v>
      </c>
      <c r="AJ208" s="171">
        <f t="shared" si="306"/>
        <v>1.0818567027736148</v>
      </c>
      <c r="AK208" s="171">
        <f t="shared" si="307"/>
        <v>1.0818567027736148</v>
      </c>
      <c r="AL208" s="171">
        <f t="shared" si="307"/>
        <v>1.0818567027736148</v>
      </c>
      <c r="AM208" s="171">
        <f t="shared" si="307"/>
        <v>1.0818567027736148</v>
      </c>
      <c r="AN208" s="171">
        <f t="shared" si="307"/>
        <v>1.0818567027736148</v>
      </c>
      <c r="AO208" s="171">
        <f t="shared" si="307"/>
        <v>1.0818567027736148</v>
      </c>
      <c r="AP208" s="171">
        <f t="shared" si="307"/>
        <v>1.0818567027736148</v>
      </c>
      <c r="AQ208" s="171">
        <f t="shared" si="307"/>
        <v>1.0818567027736148</v>
      </c>
      <c r="AR208" s="171">
        <f t="shared" si="307"/>
        <v>1.0818567027736148</v>
      </c>
      <c r="AS208" s="171">
        <f t="shared" si="307"/>
        <v>1.0818567027736148</v>
      </c>
      <c r="AT208" s="171">
        <f t="shared" si="307"/>
        <v>1.0818567027736148</v>
      </c>
      <c r="AU208" s="171">
        <f t="shared" si="308"/>
        <v>1.0818567027736148</v>
      </c>
      <c r="AV208" s="171">
        <f t="shared" si="308"/>
        <v>1.0818567027736148</v>
      </c>
      <c r="AW208" s="171">
        <f t="shared" si="308"/>
        <v>0</v>
      </c>
      <c r="AX208" s="171">
        <f t="shared" si="308"/>
        <v>0</v>
      </c>
      <c r="AY208" s="171">
        <f t="shared" si="308"/>
        <v>0</v>
      </c>
      <c r="AZ208" s="171">
        <f t="shared" si="308"/>
        <v>0</v>
      </c>
      <c r="BA208" s="171">
        <f t="shared" si="308"/>
        <v>0</v>
      </c>
      <c r="BB208" s="171">
        <f t="shared" si="308"/>
        <v>0</v>
      </c>
      <c r="BC208" s="171">
        <f t="shared" si="308"/>
        <v>0</v>
      </c>
      <c r="BD208" s="171">
        <f t="shared" si="308"/>
        <v>0</v>
      </c>
      <c r="BE208" s="171">
        <f t="shared" si="309"/>
        <v>0</v>
      </c>
      <c r="BF208" s="171">
        <f t="shared" si="309"/>
        <v>0</v>
      </c>
      <c r="BG208" s="171">
        <f t="shared" si="309"/>
        <v>0</v>
      </c>
      <c r="BH208" s="171">
        <f t="shared" si="309"/>
        <v>0</v>
      </c>
      <c r="BI208" s="171">
        <f t="shared" si="309"/>
        <v>0</v>
      </c>
      <c r="BJ208" s="171">
        <f t="shared" si="309"/>
        <v>0</v>
      </c>
      <c r="BK208" s="171">
        <f t="shared" si="309"/>
        <v>0</v>
      </c>
      <c r="BL208" s="171">
        <f t="shared" si="309"/>
        <v>0</v>
      </c>
      <c r="BM208" s="171">
        <f t="shared" si="309"/>
        <v>0</v>
      </c>
      <c r="BN208" s="171">
        <f t="shared" si="309"/>
        <v>0</v>
      </c>
      <c r="BO208" s="171">
        <f t="shared" si="310"/>
        <v>0</v>
      </c>
      <c r="BP208" s="171">
        <f t="shared" si="310"/>
        <v>0</v>
      </c>
      <c r="BQ208" s="171">
        <f t="shared" si="310"/>
        <v>0</v>
      </c>
      <c r="BR208" s="171">
        <f t="shared" si="310"/>
        <v>0</v>
      </c>
      <c r="BS208" s="171">
        <f t="shared" si="310"/>
        <v>0</v>
      </c>
      <c r="BT208" s="171">
        <f t="shared" si="310"/>
        <v>0</v>
      </c>
      <c r="BU208" s="171">
        <f t="shared" si="310"/>
        <v>0</v>
      </c>
      <c r="BV208" s="171">
        <f t="shared" si="310"/>
        <v>0</v>
      </c>
      <c r="BW208" s="171">
        <f t="shared" si="310"/>
        <v>0</v>
      </c>
      <c r="BX208" s="171">
        <f t="shared" si="310"/>
        <v>0</v>
      </c>
      <c r="BY208" s="171">
        <f t="shared" si="311"/>
        <v>0</v>
      </c>
      <c r="BZ208" s="171">
        <f t="shared" si="311"/>
        <v>0</v>
      </c>
      <c r="CA208" s="171">
        <f t="shared" si="311"/>
        <v>0</v>
      </c>
      <c r="CB208" s="171">
        <f t="shared" si="311"/>
        <v>0</v>
      </c>
      <c r="CC208" s="171">
        <f t="shared" si="311"/>
        <v>0</v>
      </c>
      <c r="CD208" s="171">
        <f t="shared" si="311"/>
        <v>0</v>
      </c>
      <c r="CE208" s="171">
        <f t="shared" si="311"/>
        <v>0</v>
      </c>
      <c r="CF208" s="171">
        <f t="shared" si="311"/>
        <v>0</v>
      </c>
      <c r="CG208" s="171">
        <f t="shared" si="311"/>
        <v>0</v>
      </c>
      <c r="CH208" s="171">
        <f t="shared" si="311"/>
        <v>0</v>
      </c>
      <c r="CI208" s="171">
        <f t="shared" si="311"/>
        <v>0</v>
      </c>
      <c r="CJ208" s="243"/>
      <c r="CK208" s="171">
        <f t="shared" si="233"/>
        <v>0</v>
      </c>
      <c r="CL208" s="171">
        <f t="shared" si="234"/>
        <v>0</v>
      </c>
      <c r="CM208" s="171">
        <f t="shared" si="235"/>
        <v>0</v>
      </c>
      <c r="CN208" s="171">
        <f t="shared" si="236"/>
        <v>0.15</v>
      </c>
      <c r="CO208" s="171">
        <f t="shared" si="237"/>
        <v>0.15</v>
      </c>
      <c r="CP208" s="171">
        <f t="shared" si="238"/>
        <v>0.15</v>
      </c>
      <c r="CQ208" s="171">
        <f t="shared" si="239"/>
        <v>0.15</v>
      </c>
      <c r="CR208" s="171">
        <f t="shared" si="240"/>
        <v>1.0818567027736148</v>
      </c>
      <c r="CS208" s="171">
        <f t="shared" si="241"/>
        <v>1.0818567027736148</v>
      </c>
      <c r="CT208" s="171">
        <f t="shared" si="242"/>
        <v>1.0818567027736148</v>
      </c>
      <c r="CU208" s="171">
        <f t="shared" si="243"/>
        <v>1.0818567027736148</v>
      </c>
      <c r="CV208" s="171">
        <f t="shared" si="244"/>
        <v>1.0818567027736148</v>
      </c>
      <c r="CW208" s="171">
        <f t="shared" si="245"/>
        <v>1.0818567027736148</v>
      </c>
      <c r="CX208" s="171">
        <f t="shared" si="246"/>
        <v>1.0818567027736148</v>
      </c>
      <c r="CY208" s="171">
        <f t="shared" ca="1" si="247"/>
        <v>1.0270792360006764</v>
      </c>
      <c r="CZ208" s="171">
        <f t="shared" ca="1" si="248"/>
        <v>0.97507530740369763</v>
      </c>
      <c r="DA208" s="171">
        <f t="shared" ca="1" si="249"/>
        <v>0.92570448489505763</v>
      </c>
      <c r="DB208" s="171">
        <f t="shared" ca="1" si="250"/>
        <v>0.87883344686118781</v>
      </c>
      <c r="DC208" s="171">
        <f t="shared" ca="1" si="251"/>
        <v>0.83433562213914669</v>
      </c>
      <c r="DD208" s="171">
        <f t="shared" ca="1" si="252"/>
        <v>0.79209084822219888</v>
      </c>
      <c r="DE208" s="171">
        <f t="shared" ca="1" si="253"/>
        <v>0.75198504677141342</v>
      </c>
      <c r="DF208" s="171">
        <f t="shared" ca="1" si="254"/>
        <v>0.7139099155570281</v>
      </c>
      <c r="DG208" s="171">
        <f t="shared" ca="1" si="255"/>
        <v>0</v>
      </c>
      <c r="DH208" s="171">
        <f t="shared" ca="1" si="256"/>
        <v>0</v>
      </c>
      <c r="DI208" s="171">
        <f t="shared" ca="1" si="257"/>
        <v>0</v>
      </c>
      <c r="DJ208" s="171">
        <f t="shared" ca="1" si="258"/>
        <v>0</v>
      </c>
      <c r="DK208" s="171">
        <f t="shared" ca="1" si="259"/>
        <v>0</v>
      </c>
      <c r="DL208" s="171">
        <f t="shared" ca="1" si="260"/>
        <v>0</v>
      </c>
      <c r="DM208" s="171">
        <f t="shared" ca="1" si="261"/>
        <v>0</v>
      </c>
      <c r="DN208" s="171">
        <f t="shared" ca="1" si="262"/>
        <v>0</v>
      </c>
      <c r="DO208" s="171">
        <f t="shared" ca="1" si="263"/>
        <v>0</v>
      </c>
      <c r="DP208" s="171">
        <f t="shared" ca="1" si="264"/>
        <v>0</v>
      </c>
      <c r="DQ208" s="171">
        <f t="shared" ca="1" si="265"/>
        <v>0</v>
      </c>
      <c r="DR208" s="171">
        <f t="shared" ca="1" si="266"/>
        <v>0</v>
      </c>
      <c r="DS208" s="171">
        <f t="shared" ca="1" si="267"/>
        <v>0</v>
      </c>
      <c r="DT208" s="171">
        <f t="shared" ca="1" si="268"/>
        <v>0</v>
      </c>
      <c r="DU208" s="171">
        <f t="shared" ca="1" si="269"/>
        <v>0</v>
      </c>
      <c r="DV208" s="171">
        <f t="shared" ca="1" si="270"/>
        <v>0</v>
      </c>
      <c r="DW208" s="171">
        <f t="shared" ca="1" si="271"/>
        <v>0</v>
      </c>
      <c r="DX208" s="171">
        <f t="shared" ca="1" si="272"/>
        <v>0</v>
      </c>
      <c r="DY208" s="171">
        <f t="shared" ca="1" si="273"/>
        <v>0</v>
      </c>
      <c r="DZ208" s="171">
        <f t="shared" ca="1" si="274"/>
        <v>0</v>
      </c>
      <c r="EA208" s="171">
        <f t="shared" ca="1" si="275"/>
        <v>0</v>
      </c>
      <c r="EB208" s="171">
        <f t="shared" ca="1" si="276"/>
        <v>0</v>
      </c>
      <c r="EC208" s="171">
        <f t="shared" ca="1" si="277"/>
        <v>0</v>
      </c>
      <c r="ED208" s="171">
        <f t="shared" ca="1" si="278"/>
        <v>0</v>
      </c>
      <c r="EE208" s="171">
        <f t="shared" ca="1" si="279"/>
        <v>0</v>
      </c>
      <c r="EF208" s="171">
        <f t="shared" ca="1" si="280"/>
        <v>0</v>
      </c>
      <c r="EG208" s="171">
        <f t="shared" ca="1" si="281"/>
        <v>0</v>
      </c>
      <c r="EH208" s="171">
        <f t="shared" ca="1" si="282"/>
        <v>0</v>
      </c>
      <c r="EI208" s="171">
        <f t="shared" ca="1" si="283"/>
        <v>0</v>
      </c>
      <c r="EJ208" s="171">
        <f t="shared" ca="1" si="284"/>
        <v>0</v>
      </c>
      <c r="EK208" s="171">
        <f t="shared" ca="1" si="285"/>
        <v>0</v>
      </c>
      <c r="EL208" s="171">
        <f t="shared" ca="1" si="286"/>
        <v>0</v>
      </c>
      <c r="EM208" s="171">
        <f t="shared" ca="1" si="287"/>
        <v>0</v>
      </c>
      <c r="EN208" s="171">
        <f t="shared" ca="1" si="288"/>
        <v>0</v>
      </c>
      <c r="EO208" s="171">
        <f t="shared" ca="1" si="289"/>
        <v>0</v>
      </c>
      <c r="EP208" s="171">
        <f t="shared" ca="1" si="290"/>
        <v>0</v>
      </c>
      <c r="EQ208" s="171">
        <f t="shared" ca="1" si="291"/>
        <v>0</v>
      </c>
      <c r="ER208" s="171">
        <f t="shared" ca="1" si="292"/>
        <v>0</v>
      </c>
      <c r="ES208" s="171">
        <f t="shared" ca="1" si="293"/>
        <v>0</v>
      </c>
    </row>
    <row r="209" spans="1:149">
      <c r="A209" s="139" t="s">
        <v>553</v>
      </c>
      <c r="B209" s="160" t="s">
        <v>430</v>
      </c>
      <c r="C209" s="160" t="s">
        <v>109</v>
      </c>
      <c r="D209" s="161" t="s">
        <v>428</v>
      </c>
      <c r="E209" s="160">
        <v>2016</v>
      </c>
      <c r="F209" s="194" t="s">
        <v>395</v>
      </c>
      <c r="G209" s="160" t="s">
        <v>402</v>
      </c>
      <c r="H209" s="194" t="s">
        <v>396</v>
      </c>
      <c r="I209" s="194" t="s">
        <v>178</v>
      </c>
      <c r="J209" s="194" t="s">
        <v>407</v>
      </c>
      <c r="K209" s="187">
        <v>10.5</v>
      </c>
      <c r="L209" s="163" t="s">
        <v>110</v>
      </c>
      <c r="M209" s="164">
        <f t="shared" si="223"/>
        <v>10.5</v>
      </c>
      <c r="N209" s="164">
        <f t="shared" si="224"/>
        <v>10.5</v>
      </c>
      <c r="O209" s="165">
        <f t="shared" si="225"/>
        <v>1</v>
      </c>
      <c r="P209" s="180">
        <v>2.8010093808630395E-2</v>
      </c>
      <c r="Q209" s="191">
        <v>38</v>
      </c>
      <c r="R209" s="168">
        <f t="shared" ref="R209:R231" si="312">IFERROR(IF($Q209="","",IF(($Q209-($B$9-$E209))&lt;=0,0,(Q209-($B$9-$E209)))),"NA")</f>
        <v>30</v>
      </c>
      <c r="S209" s="160">
        <v>6</v>
      </c>
      <c r="T209" s="170" t="s">
        <v>403</v>
      </c>
      <c r="U209" s="171">
        <f t="shared" si="227"/>
        <v>0.47344895206905663</v>
      </c>
      <c r="V209" s="171">
        <f t="shared" ca="1" si="228"/>
        <v>0.26647715348980644</v>
      </c>
      <c r="W209" s="171">
        <f t="shared" ca="1" si="229"/>
        <v>10.126131832612645</v>
      </c>
      <c r="X209" s="172">
        <f t="shared" si="230"/>
        <v>0.20125602905576256</v>
      </c>
      <c r="Y209" s="172">
        <f t="shared" si="231"/>
        <v>0.79874397094423744</v>
      </c>
      <c r="Z209" s="173">
        <f t="shared" si="232"/>
        <v>17.991060178624153</v>
      </c>
      <c r="AA209" s="171">
        <f t="shared" ref="AA209:AJ218" si="313">IFERROR(
    IF($T209="Equity",
        IF(AND(AA$48&gt;=$E209, AA$48&lt;=($E209+$Q209)),
$K209*$P209*(VLOOKUP($C$39,$C$37:$BL$44,MATCH($E209,$C$37:$BL$37,0),FALSE)/VLOOKUP($L209,$C$37:$BL$44,MATCH($E209,$C$37:$BL$37,0),FALSE))*
IF($B$5="Foreign Currency",VLOOKUP($C$38,$C$37:$BL$44,MATCH(AA$48,$C$37:$BL$37,0),FALSE)/VLOOKUP($C$39,$C$37:$BL$44,MATCH(AA$48,$C$37:$BL$37,0),FALSE),1),
0),
    IF($T209="Lump Sum Principal",
        IF(AND(AA$48&gt;=$E209, AA$48&lt;($E209+$Q209)),
$K209*$P209*(VLOOKUP($C$39,$C$37:$BL$44,MATCH($E209,$C$37:$BL$37,0),FALSE)/VLOOKUP($L209,$C$37:$BL$44,MATCH($E209,$C$37:$BL$37,0),FALSE))*
IF($B$5="Foreign Currency",VLOOKUP($C$38,$C$37:$BL$44,MATCH(AA$48,$C$37:$BL$37,0),FALSE)/VLOOKUP($C$39,$C$37:$BL$44,MATCH(AA$48,$C$37:$BL$37,0),FALSE),1),
        IF(AA$48=($E209+$Q209),
$K209*(1+$P209)*(VLOOKUP($C$39,$C$37:$BL$44,MATCH($E209,$C$37:$BL$37,0),FALSE)/VLOOKUP($L209,$C$37:$BL$44,MATCH($E209,$C$37:$BL$37,0),FALSE))*
IF($B$5="Foreign Currency",VLOOKUP($C$38,$C$37:$BL$44,MATCH(AA$48,$C$37:$BL$37,0),FALSE)/VLOOKUP($C$39,$C$37:$BL$44,MATCH(AA$48,$C$37:$BL$37,0),FALSE),1),
0)),
    IF($T209="Lump Sum Principal and Interest",
        IF(AA$48=($E209+$Q209),
$K209*((1+$P209)^$Q209)*(VLOOKUP($C$39,$C$37:$BL$44,MATCH($E209,$C$37:$BL$37,0),FALSE)/VLOOKUP($L209,$C$37:$BL$44,MATCH($E209,$C$37:$BL$37,0),FALSE))*
IF($B$5="Foreign Currency",VLOOKUP($C$38,$C$37:$BL$44,MATCH(AA$48,$C$37:$BL$37,0),FALSE)/VLOOKUP($C$39,$C$37:$BL$44,MATCH(AA$48,$C$37:$BL$37,0),FALSE),1),
0),
    IF($T209="EPP with Grace Years for Principal",
        IF(AND(AA$48&gt;=$E209, AA$48&lt;($E209+$S209)),
$K209*$P209*(VLOOKUP($C$39,$C$37:$BL$44,MATCH($E209,$C$37:$BL$37,0),FALSE)/VLOOKUP($L209,$C$37:$BL$44,MATCH($E209,$C$37:$BL$37,0),FALSE))*
IF($B$5="Foreign Currency",VLOOKUP($C$38,$C$37:$BL$44,MATCH(AA$48,$C$37:$BL$37,0),FALSE)/VLOOKUP($C$39,$C$37:$BL$44,MATCH(AA$48,$C$37:$BL$37,0),FALSE),1),
        IF(AND(AA$48&gt;=($E209+$S209), AA$48&lt;=($E209+$Q209)),
-PMT($P209,($Q209-$S209+1),($K209*(VLOOKUP($C$39,$C$37:$BL$44,MATCH($E209,$C$37:$BL$37,0),FALSE)/VLOOKUP($L209,$C$37:$BL$44,MATCH($E209,$C$37:$BL$37,0),FALSE))*
IF($B$5="Foreign Currency",VLOOKUP($C$38,$C$37:$BL$44,MATCH(AA$48,$C$37:$BL$37,0),FALSE)/VLOOKUP($C$39,$C$37:$BL$44,MATCH(AA$48,$C$37:$BL$37,0),FALSE),1)),0),
0)),
    IF($T209="Equal Principal Payments (EPP)",
        IF(AND(AA$48&gt;=$E209, AA$48&lt;=($E209+$Q209)),
-PMT($P209,($Q209-$S209+1),($K209*(VLOOKUP($C$39,$C$37:$BL$44,MATCH($E209,$C$37:$BL$37,0),FALSE)/VLOOKUP($L209,$C$37:$BL$44,MATCH($E209,$C$37:$BL$37,0),FALSE))*
IF($B$5="Foreign Currency",VLOOKUP($C$38,$C$37:$BL$44,MATCH(AA$48,$C$37:$BL$37,0),FALSE)/VLOOKUP($C$39,$C$37:$BL$44,MATCH(AA$48,$C$37:$BL$37,0),FALSE),1)),0), 0),
    IF($T209="EPP with Grace Years for Principal and on Interest",
        IF(AND(AA$48&gt;=($E209+$S209), AA$48&lt;=($E209+$Q209)),
-PMT($P209,($Q209-$S209+1),($K209*(VLOOKUP($C$39,$C$37:$BL$44,MATCH($E209,$C$37:$BL$37,0),FALSE)/VLOOKUP($L209,$C$37:$BL$44,MATCH($E209,$C$37:$BL$37,0),FALSE))*
IF($B$5="Foreign Currency",VLOOKUP($C$38,$C$37:$BL$44,MATCH(AA$48,$C$37:$BL$37,0),FALSE)/VLOOKUP($C$39,$C$37:$BL$44,MATCH(AA$48,$C$37:$BL$37,0),FALSE),1))*((1+$P209)^$S209),0), 0),
    0)))))),"")</f>
        <v>0</v>
      </c>
      <c r="AB209" s="171">
        <f t="shared" si="313"/>
        <v>0</v>
      </c>
      <c r="AC209" s="171">
        <f t="shared" si="313"/>
        <v>0</v>
      </c>
      <c r="AD209" s="171">
        <f t="shared" si="313"/>
        <v>0</v>
      </c>
      <c r="AE209" s="171">
        <f t="shared" si="313"/>
        <v>0</v>
      </c>
      <c r="AF209" s="171">
        <f t="shared" si="313"/>
        <v>0</v>
      </c>
      <c r="AG209" s="171">
        <f t="shared" si="313"/>
        <v>0.29410598499061913</v>
      </c>
      <c r="AH209" s="171">
        <f t="shared" si="313"/>
        <v>0.29410598499061913</v>
      </c>
      <c r="AI209" s="171">
        <f t="shared" si="313"/>
        <v>0.29410598499061913</v>
      </c>
      <c r="AJ209" s="171">
        <f t="shared" si="313"/>
        <v>0.29410598499061913</v>
      </c>
      <c r="AK209" s="171">
        <f t="shared" ref="AK209:AT218" si="314">IFERROR(
    IF($T209="Equity",
        IF(AND(AK$48&gt;=$E209, AK$48&lt;=($E209+$Q209)),
$K209*$P209*(VLOOKUP($C$39,$C$37:$BL$44,MATCH($E209,$C$37:$BL$37,0),FALSE)/VLOOKUP($L209,$C$37:$BL$44,MATCH($E209,$C$37:$BL$37,0),FALSE))*
IF($B$5="Foreign Currency",VLOOKUP($C$38,$C$37:$BL$44,MATCH(AK$48,$C$37:$BL$37,0),FALSE)/VLOOKUP($C$39,$C$37:$BL$44,MATCH(AK$48,$C$37:$BL$37,0),FALSE),1),
0),
    IF($T209="Lump Sum Principal",
        IF(AND(AK$48&gt;=$E209, AK$48&lt;($E209+$Q209)),
$K209*$P209*(VLOOKUP($C$39,$C$37:$BL$44,MATCH($E209,$C$37:$BL$37,0),FALSE)/VLOOKUP($L209,$C$37:$BL$44,MATCH($E209,$C$37:$BL$37,0),FALSE))*
IF($B$5="Foreign Currency",VLOOKUP($C$38,$C$37:$BL$44,MATCH(AK$48,$C$37:$BL$37,0),FALSE)/VLOOKUP($C$39,$C$37:$BL$44,MATCH(AK$48,$C$37:$BL$37,0),FALSE),1),
        IF(AK$48=($E209+$Q209),
$K209*(1+$P209)*(VLOOKUP($C$39,$C$37:$BL$44,MATCH($E209,$C$37:$BL$37,0),FALSE)/VLOOKUP($L209,$C$37:$BL$44,MATCH($E209,$C$37:$BL$37,0),FALSE))*
IF($B$5="Foreign Currency",VLOOKUP($C$38,$C$37:$BL$44,MATCH(AK$48,$C$37:$BL$37,0),FALSE)/VLOOKUP($C$39,$C$37:$BL$44,MATCH(AK$48,$C$37:$BL$37,0),FALSE),1),
0)),
    IF($T209="Lump Sum Principal and Interest",
        IF(AK$48=($E209+$Q209),
$K209*((1+$P209)^$Q209)*(VLOOKUP($C$39,$C$37:$BL$44,MATCH($E209,$C$37:$BL$37,0),FALSE)/VLOOKUP($L209,$C$37:$BL$44,MATCH($E209,$C$37:$BL$37,0),FALSE))*
IF($B$5="Foreign Currency",VLOOKUP($C$38,$C$37:$BL$44,MATCH(AK$48,$C$37:$BL$37,0),FALSE)/VLOOKUP($C$39,$C$37:$BL$44,MATCH(AK$48,$C$37:$BL$37,0),FALSE),1),
0),
    IF($T209="EPP with Grace Years for Principal",
        IF(AND(AK$48&gt;=$E209, AK$48&lt;($E209+$S209)),
$K209*$P209*(VLOOKUP($C$39,$C$37:$BL$44,MATCH($E209,$C$37:$BL$37,0),FALSE)/VLOOKUP($L209,$C$37:$BL$44,MATCH($E209,$C$37:$BL$37,0),FALSE))*
IF($B$5="Foreign Currency",VLOOKUP($C$38,$C$37:$BL$44,MATCH(AK$48,$C$37:$BL$37,0),FALSE)/VLOOKUP($C$39,$C$37:$BL$44,MATCH(AK$48,$C$37:$BL$37,0),FALSE),1),
        IF(AND(AK$48&gt;=($E209+$S209), AK$48&lt;=($E209+$Q209)),
-PMT($P209,($Q209-$S209+1),($K209*(VLOOKUP($C$39,$C$37:$BL$44,MATCH($E209,$C$37:$BL$37,0),FALSE)/VLOOKUP($L209,$C$37:$BL$44,MATCH($E209,$C$37:$BL$37,0),FALSE))*
IF($B$5="Foreign Currency",VLOOKUP($C$38,$C$37:$BL$44,MATCH(AK$48,$C$37:$BL$37,0),FALSE)/VLOOKUP($C$39,$C$37:$BL$44,MATCH(AK$48,$C$37:$BL$37,0),FALSE),1)),0),
0)),
    IF($T209="Equal Principal Payments (EPP)",
        IF(AND(AK$48&gt;=$E209, AK$48&lt;=($E209+$Q209)),
-PMT($P209,($Q209-$S209+1),($K209*(VLOOKUP($C$39,$C$37:$BL$44,MATCH($E209,$C$37:$BL$37,0),FALSE)/VLOOKUP($L209,$C$37:$BL$44,MATCH($E209,$C$37:$BL$37,0),FALSE))*
IF($B$5="Foreign Currency",VLOOKUP($C$38,$C$37:$BL$44,MATCH(AK$48,$C$37:$BL$37,0),FALSE)/VLOOKUP($C$39,$C$37:$BL$44,MATCH(AK$48,$C$37:$BL$37,0),FALSE),1)),0), 0),
    IF($T209="EPP with Grace Years for Principal and on Interest",
        IF(AND(AK$48&gt;=($E209+$S209), AK$48&lt;=($E209+$Q209)),
-PMT($P209,($Q209-$S209+1),($K209*(VLOOKUP($C$39,$C$37:$BL$44,MATCH($E209,$C$37:$BL$37,0),FALSE)/VLOOKUP($L209,$C$37:$BL$44,MATCH($E209,$C$37:$BL$37,0),FALSE))*
IF($B$5="Foreign Currency",VLOOKUP($C$38,$C$37:$BL$44,MATCH(AK$48,$C$37:$BL$37,0),FALSE)/VLOOKUP($C$39,$C$37:$BL$44,MATCH(AK$48,$C$37:$BL$37,0),FALSE),1))*((1+$P209)^$S209),0), 0),
    0)))))),"")</f>
        <v>0.29410598499061913</v>
      </c>
      <c r="AL209" s="171">
        <f t="shared" si="314"/>
        <v>0.29410598499061913</v>
      </c>
      <c r="AM209" s="171">
        <f t="shared" si="314"/>
        <v>0.49170982632364946</v>
      </c>
      <c r="AN209" s="171">
        <f t="shared" si="314"/>
        <v>0.49170982632364946</v>
      </c>
      <c r="AO209" s="171">
        <f t="shared" si="314"/>
        <v>0.49170982632364946</v>
      </c>
      <c r="AP209" s="171">
        <f t="shared" si="314"/>
        <v>0.49170982632364946</v>
      </c>
      <c r="AQ209" s="171">
        <f t="shared" si="314"/>
        <v>0.49170982632364946</v>
      </c>
      <c r="AR209" s="171">
        <f t="shared" si="314"/>
        <v>0.49170982632364946</v>
      </c>
      <c r="AS209" s="171">
        <f t="shared" si="314"/>
        <v>0.49170982632364946</v>
      </c>
      <c r="AT209" s="171">
        <f t="shared" si="314"/>
        <v>0.49170982632364946</v>
      </c>
      <c r="AU209" s="171">
        <f t="shared" ref="AU209:BD218" si="315">IFERROR(
    IF($T209="Equity",
        IF(AND(AU$48&gt;=$E209, AU$48&lt;=($E209+$Q209)),
$K209*$P209*(VLOOKUP($C$39,$C$37:$BL$44,MATCH($E209,$C$37:$BL$37,0),FALSE)/VLOOKUP($L209,$C$37:$BL$44,MATCH($E209,$C$37:$BL$37,0),FALSE))*
IF($B$5="Foreign Currency",VLOOKUP($C$38,$C$37:$BL$44,MATCH(AU$48,$C$37:$BL$37,0),FALSE)/VLOOKUP($C$39,$C$37:$BL$44,MATCH(AU$48,$C$37:$BL$37,0),FALSE),1),
0),
    IF($T209="Lump Sum Principal",
        IF(AND(AU$48&gt;=$E209, AU$48&lt;($E209+$Q209)),
$K209*$P209*(VLOOKUP($C$39,$C$37:$BL$44,MATCH($E209,$C$37:$BL$37,0),FALSE)/VLOOKUP($L209,$C$37:$BL$44,MATCH($E209,$C$37:$BL$37,0),FALSE))*
IF($B$5="Foreign Currency",VLOOKUP($C$38,$C$37:$BL$44,MATCH(AU$48,$C$37:$BL$37,0),FALSE)/VLOOKUP($C$39,$C$37:$BL$44,MATCH(AU$48,$C$37:$BL$37,0),FALSE),1),
        IF(AU$48=($E209+$Q209),
$K209*(1+$P209)*(VLOOKUP($C$39,$C$37:$BL$44,MATCH($E209,$C$37:$BL$37,0),FALSE)/VLOOKUP($L209,$C$37:$BL$44,MATCH($E209,$C$37:$BL$37,0),FALSE))*
IF($B$5="Foreign Currency",VLOOKUP($C$38,$C$37:$BL$44,MATCH(AU$48,$C$37:$BL$37,0),FALSE)/VLOOKUP($C$39,$C$37:$BL$44,MATCH(AU$48,$C$37:$BL$37,0),FALSE),1),
0)),
    IF($T209="Lump Sum Principal and Interest",
        IF(AU$48=($E209+$Q209),
$K209*((1+$P209)^$Q209)*(VLOOKUP($C$39,$C$37:$BL$44,MATCH($E209,$C$37:$BL$37,0),FALSE)/VLOOKUP($L209,$C$37:$BL$44,MATCH($E209,$C$37:$BL$37,0),FALSE))*
IF($B$5="Foreign Currency",VLOOKUP($C$38,$C$37:$BL$44,MATCH(AU$48,$C$37:$BL$37,0),FALSE)/VLOOKUP($C$39,$C$37:$BL$44,MATCH(AU$48,$C$37:$BL$37,0),FALSE),1),
0),
    IF($T209="EPP with Grace Years for Principal",
        IF(AND(AU$48&gt;=$E209, AU$48&lt;($E209+$S209)),
$K209*$P209*(VLOOKUP($C$39,$C$37:$BL$44,MATCH($E209,$C$37:$BL$37,0),FALSE)/VLOOKUP($L209,$C$37:$BL$44,MATCH($E209,$C$37:$BL$37,0),FALSE))*
IF($B$5="Foreign Currency",VLOOKUP($C$38,$C$37:$BL$44,MATCH(AU$48,$C$37:$BL$37,0),FALSE)/VLOOKUP($C$39,$C$37:$BL$44,MATCH(AU$48,$C$37:$BL$37,0),FALSE),1),
        IF(AND(AU$48&gt;=($E209+$S209), AU$48&lt;=($E209+$Q209)),
-PMT($P209,($Q209-$S209+1),($K209*(VLOOKUP($C$39,$C$37:$BL$44,MATCH($E209,$C$37:$BL$37,0),FALSE)/VLOOKUP($L209,$C$37:$BL$44,MATCH($E209,$C$37:$BL$37,0),FALSE))*
IF($B$5="Foreign Currency",VLOOKUP($C$38,$C$37:$BL$44,MATCH(AU$48,$C$37:$BL$37,0),FALSE)/VLOOKUP($C$39,$C$37:$BL$44,MATCH(AU$48,$C$37:$BL$37,0),FALSE),1)),0),
0)),
    IF($T209="Equal Principal Payments (EPP)",
        IF(AND(AU$48&gt;=$E209, AU$48&lt;=($E209+$Q209)),
-PMT($P209,($Q209-$S209+1),($K209*(VLOOKUP($C$39,$C$37:$BL$44,MATCH($E209,$C$37:$BL$37,0),FALSE)/VLOOKUP($L209,$C$37:$BL$44,MATCH($E209,$C$37:$BL$37,0),FALSE))*
IF($B$5="Foreign Currency",VLOOKUP($C$38,$C$37:$BL$44,MATCH(AU$48,$C$37:$BL$37,0),FALSE)/VLOOKUP($C$39,$C$37:$BL$44,MATCH(AU$48,$C$37:$BL$37,0),FALSE),1)),0), 0),
    IF($T209="EPP with Grace Years for Principal and on Interest",
        IF(AND(AU$48&gt;=($E209+$S209), AU$48&lt;=($E209+$Q209)),
-PMT($P209,($Q209-$S209+1),($K209*(VLOOKUP($C$39,$C$37:$BL$44,MATCH($E209,$C$37:$BL$37,0),FALSE)/VLOOKUP($L209,$C$37:$BL$44,MATCH($E209,$C$37:$BL$37,0),FALSE))*
IF($B$5="Foreign Currency",VLOOKUP($C$38,$C$37:$BL$44,MATCH(AU$48,$C$37:$BL$37,0),FALSE)/VLOOKUP($C$39,$C$37:$BL$44,MATCH(AU$48,$C$37:$BL$37,0),FALSE),1))*((1+$P209)^$S209),0), 0),
    0)))))),"")</f>
        <v>0.49170982632364946</v>
      </c>
      <c r="AV209" s="171">
        <f t="shared" si="315"/>
        <v>0.49170982632364946</v>
      </c>
      <c r="AW209" s="171">
        <f t="shared" si="315"/>
        <v>0.49170982632364946</v>
      </c>
      <c r="AX209" s="171">
        <f t="shared" si="315"/>
        <v>0.49170982632364946</v>
      </c>
      <c r="AY209" s="171">
        <f t="shared" si="315"/>
        <v>0.49170982632364946</v>
      </c>
      <c r="AZ209" s="171">
        <f t="shared" si="315"/>
        <v>0.49170982632364946</v>
      </c>
      <c r="BA209" s="171">
        <f t="shared" si="315"/>
        <v>0.49170982632364946</v>
      </c>
      <c r="BB209" s="171">
        <f t="shared" si="315"/>
        <v>0.49170982632364946</v>
      </c>
      <c r="BC209" s="171">
        <f t="shared" si="315"/>
        <v>0.49170982632364946</v>
      </c>
      <c r="BD209" s="171">
        <f t="shared" si="315"/>
        <v>0.49170982632364946</v>
      </c>
      <c r="BE209" s="171">
        <f t="shared" ref="BE209:BN218" si="316">IFERROR(
    IF($T209="Equity",
        IF(AND(BE$48&gt;=$E209, BE$48&lt;=($E209+$Q209)),
$K209*$P209*(VLOOKUP($C$39,$C$37:$BL$44,MATCH($E209,$C$37:$BL$37,0),FALSE)/VLOOKUP($L209,$C$37:$BL$44,MATCH($E209,$C$37:$BL$37,0),FALSE))*
IF($B$5="Foreign Currency",VLOOKUP($C$38,$C$37:$BL$44,MATCH(BE$48,$C$37:$BL$37,0),FALSE)/VLOOKUP($C$39,$C$37:$BL$44,MATCH(BE$48,$C$37:$BL$37,0),FALSE),1),
0),
    IF($T209="Lump Sum Principal",
        IF(AND(BE$48&gt;=$E209, BE$48&lt;($E209+$Q209)),
$K209*$P209*(VLOOKUP($C$39,$C$37:$BL$44,MATCH($E209,$C$37:$BL$37,0),FALSE)/VLOOKUP($L209,$C$37:$BL$44,MATCH($E209,$C$37:$BL$37,0),FALSE))*
IF($B$5="Foreign Currency",VLOOKUP($C$38,$C$37:$BL$44,MATCH(BE$48,$C$37:$BL$37,0),FALSE)/VLOOKUP($C$39,$C$37:$BL$44,MATCH(BE$48,$C$37:$BL$37,0),FALSE),1),
        IF(BE$48=($E209+$Q209),
$K209*(1+$P209)*(VLOOKUP($C$39,$C$37:$BL$44,MATCH($E209,$C$37:$BL$37,0),FALSE)/VLOOKUP($L209,$C$37:$BL$44,MATCH($E209,$C$37:$BL$37,0),FALSE))*
IF($B$5="Foreign Currency",VLOOKUP($C$38,$C$37:$BL$44,MATCH(BE$48,$C$37:$BL$37,0),FALSE)/VLOOKUP($C$39,$C$37:$BL$44,MATCH(BE$48,$C$37:$BL$37,0),FALSE),1),
0)),
    IF($T209="Lump Sum Principal and Interest",
        IF(BE$48=($E209+$Q209),
$K209*((1+$P209)^$Q209)*(VLOOKUP($C$39,$C$37:$BL$44,MATCH($E209,$C$37:$BL$37,0),FALSE)/VLOOKUP($L209,$C$37:$BL$44,MATCH($E209,$C$37:$BL$37,0),FALSE))*
IF($B$5="Foreign Currency",VLOOKUP($C$38,$C$37:$BL$44,MATCH(BE$48,$C$37:$BL$37,0),FALSE)/VLOOKUP($C$39,$C$37:$BL$44,MATCH(BE$48,$C$37:$BL$37,0),FALSE),1),
0),
    IF($T209="EPP with Grace Years for Principal",
        IF(AND(BE$48&gt;=$E209, BE$48&lt;($E209+$S209)),
$K209*$P209*(VLOOKUP($C$39,$C$37:$BL$44,MATCH($E209,$C$37:$BL$37,0),FALSE)/VLOOKUP($L209,$C$37:$BL$44,MATCH($E209,$C$37:$BL$37,0),FALSE))*
IF($B$5="Foreign Currency",VLOOKUP($C$38,$C$37:$BL$44,MATCH(BE$48,$C$37:$BL$37,0),FALSE)/VLOOKUP($C$39,$C$37:$BL$44,MATCH(BE$48,$C$37:$BL$37,0),FALSE),1),
        IF(AND(BE$48&gt;=($E209+$S209), BE$48&lt;=($E209+$Q209)),
-PMT($P209,($Q209-$S209+1),($K209*(VLOOKUP($C$39,$C$37:$BL$44,MATCH($E209,$C$37:$BL$37,0),FALSE)/VLOOKUP($L209,$C$37:$BL$44,MATCH($E209,$C$37:$BL$37,0),FALSE))*
IF($B$5="Foreign Currency",VLOOKUP($C$38,$C$37:$BL$44,MATCH(BE$48,$C$37:$BL$37,0),FALSE)/VLOOKUP($C$39,$C$37:$BL$44,MATCH(BE$48,$C$37:$BL$37,0),FALSE),1)),0),
0)),
    IF($T209="Equal Principal Payments (EPP)",
        IF(AND(BE$48&gt;=$E209, BE$48&lt;=($E209+$Q209)),
-PMT($P209,($Q209-$S209+1),($K209*(VLOOKUP($C$39,$C$37:$BL$44,MATCH($E209,$C$37:$BL$37,0),FALSE)/VLOOKUP($L209,$C$37:$BL$44,MATCH($E209,$C$37:$BL$37,0),FALSE))*
IF($B$5="Foreign Currency",VLOOKUP($C$38,$C$37:$BL$44,MATCH(BE$48,$C$37:$BL$37,0),FALSE)/VLOOKUP($C$39,$C$37:$BL$44,MATCH(BE$48,$C$37:$BL$37,0),FALSE),1)),0), 0),
    IF($T209="EPP with Grace Years for Principal and on Interest",
        IF(AND(BE$48&gt;=($E209+$S209), BE$48&lt;=($E209+$Q209)),
-PMT($P209,($Q209-$S209+1),($K209*(VLOOKUP($C$39,$C$37:$BL$44,MATCH($E209,$C$37:$BL$37,0),FALSE)/VLOOKUP($L209,$C$37:$BL$44,MATCH($E209,$C$37:$BL$37,0),FALSE))*
IF($B$5="Foreign Currency",VLOOKUP($C$38,$C$37:$BL$44,MATCH(BE$48,$C$37:$BL$37,0),FALSE)/VLOOKUP($C$39,$C$37:$BL$44,MATCH(BE$48,$C$37:$BL$37,0),FALSE),1))*((1+$P209)^$S209),0), 0),
    0)))))),"")</f>
        <v>0.49170982632364946</v>
      </c>
      <c r="BF209" s="171">
        <f t="shared" si="316"/>
        <v>0.49170982632364946</v>
      </c>
      <c r="BG209" s="171">
        <f t="shared" si="316"/>
        <v>0.49170982632364946</v>
      </c>
      <c r="BH209" s="171">
        <f t="shared" si="316"/>
        <v>0.49170982632364946</v>
      </c>
      <c r="BI209" s="171">
        <f t="shared" si="316"/>
        <v>0.49170982632364946</v>
      </c>
      <c r="BJ209" s="171">
        <f t="shared" si="316"/>
        <v>0.49170982632364946</v>
      </c>
      <c r="BK209" s="171">
        <f t="shared" si="316"/>
        <v>0.49170982632364946</v>
      </c>
      <c r="BL209" s="171">
        <f t="shared" si="316"/>
        <v>0.49170982632364946</v>
      </c>
      <c r="BM209" s="171">
        <f t="shared" si="316"/>
        <v>0.49170982632364946</v>
      </c>
      <c r="BN209" s="171">
        <f t="shared" si="316"/>
        <v>0.49170982632364946</v>
      </c>
      <c r="BO209" s="171">
        <f t="shared" ref="BO209:BX218" si="317">IFERROR(
    IF($T209="Equity",
        IF(AND(BO$48&gt;=$E209, BO$48&lt;=($E209+$Q209)),
$K209*$P209*(VLOOKUP($C$39,$C$37:$BL$44,MATCH($E209,$C$37:$BL$37,0),FALSE)/VLOOKUP($L209,$C$37:$BL$44,MATCH($E209,$C$37:$BL$37,0),FALSE))*
IF($B$5="Foreign Currency",VLOOKUP($C$38,$C$37:$BL$44,MATCH(BO$48,$C$37:$BL$37,0),FALSE)/VLOOKUP($C$39,$C$37:$BL$44,MATCH(BO$48,$C$37:$BL$37,0),FALSE),1),
0),
    IF($T209="Lump Sum Principal",
        IF(AND(BO$48&gt;=$E209, BO$48&lt;($E209+$Q209)),
$K209*$P209*(VLOOKUP($C$39,$C$37:$BL$44,MATCH($E209,$C$37:$BL$37,0),FALSE)/VLOOKUP($L209,$C$37:$BL$44,MATCH($E209,$C$37:$BL$37,0),FALSE))*
IF($B$5="Foreign Currency",VLOOKUP($C$38,$C$37:$BL$44,MATCH(BO$48,$C$37:$BL$37,0),FALSE)/VLOOKUP($C$39,$C$37:$BL$44,MATCH(BO$48,$C$37:$BL$37,0),FALSE),1),
        IF(BO$48=($E209+$Q209),
$K209*(1+$P209)*(VLOOKUP($C$39,$C$37:$BL$44,MATCH($E209,$C$37:$BL$37,0),FALSE)/VLOOKUP($L209,$C$37:$BL$44,MATCH($E209,$C$37:$BL$37,0),FALSE))*
IF($B$5="Foreign Currency",VLOOKUP($C$38,$C$37:$BL$44,MATCH(BO$48,$C$37:$BL$37,0),FALSE)/VLOOKUP($C$39,$C$37:$BL$44,MATCH(BO$48,$C$37:$BL$37,0),FALSE),1),
0)),
    IF($T209="Lump Sum Principal and Interest",
        IF(BO$48=($E209+$Q209),
$K209*((1+$P209)^$Q209)*(VLOOKUP($C$39,$C$37:$BL$44,MATCH($E209,$C$37:$BL$37,0),FALSE)/VLOOKUP($L209,$C$37:$BL$44,MATCH($E209,$C$37:$BL$37,0),FALSE))*
IF($B$5="Foreign Currency",VLOOKUP($C$38,$C$37:$BL$44,MATCH(BO$48,$C$37:$BL$37,0),FALSE)/VLOOKUP($C$39,$C$37:$BL$44,MATCH(BO$48,$C$37:$BL$37,0),FALSE),1),
0),
    IF($T209="EPP with Grace Years for Principal",
        IF(AND(BO$48&gt;=$E209, BO$48&lt;($E209+$S209)),
$K209*$P209*(VLOOKUP($C$39,$C$37:$BL$44,MATCH($E209,$C$37:$BL$37,0),FALSE)/VLOOKUP($L209,$C$37:$BL$44,MATCH($E209,$C$37:$BL$37,0),FALSE))*
IF($B$5="Foreign Currency",VLOOKUP($C$38,$C$37:$BL$44,MATCH(BO$48,$C$37:$BL$37,0),FALSE)/VLOOKUP($C$39,$C$37:$BL$44,MATCH(BO$48,$C$37:$BL$37,0),FALSE),1),
        IF(AND(BO$48&gt;=($E209+$S209), BO$48&lt;=($E209+$Q209)),
-PMT($P209,($Q209-$S209+1),($K209*(VLOOKUP($C$39,$C$37:$BL$44,MATCH($E209,$C$37:$BL$37,0),FALSE)/VLOOKUP($L209,$C$37:$BL$44,MATCH($E209,$C$37:$BL$37,0),FALSE))*
IF($B$5="Foreign Currency",VLOOKUP($C$38,$C$37:$BL$44,MATCH(BO$48,$C$37:$BL$37,0),FALSE)/VLOOKUP($C$39,$C$37:$BL$44,MATCH(BO$48,$C$37:$BL$37,0),FALSE),1)),0),
0)),
    IF($T209="Equal Principal Payments (EPP)",
        IF(AND(BO$48&gt;=$E209, BO$48&lt;=($E209+$Q209)),
-PMT($P209,($Q209-$S209+1),($K209*(VLOOKUP($C$39,$C$37:$BL$44,MATCH($E209,$C$37:$BL$37,0),FALSE)/VLOOKUP($L209,$C$37:$BL$44,MATCH($E209,$C$37:$BL$37,0),FALSE))*
IF($B$5="Foreign Currency",VLOOKUP($C$38,$C$37:$BL$44,MATCH(BO$48,$C$37:$BL$37,0),FALSE)/VLOOKUP($C$39,$C$37:$BL$44,MATCH(BO$48,$C$37:$BL$37,0),FALSE),1)),0), 0),
    IF($T209="EPP with Grace Years for Principal and on Interest",
        IF(AND(BO$48&gt;=($E209+$S209), BO$48&lt;=($E209+$Q209)),
-PMT($P209,($Q209-$S209+1),($K209*(VLOOKUP($C$39,$C$37:$BL$44,MATCH($E209,$C$37:$BL$37,0),FALSE)/VLOOKUP($L209,$C$37:$BL$44,MATCH($E209,$C$37:$BL$37,0),FALSE))*
IF($B$5="Foreign Currency",VLOOKUP($C$38,$C$37:$BL$44,MATCH(BO$48,$C$37:$BL$37,0),FALSE)/VLOOKUP($C$39,$C$37:$BL$44,MATCH(BO$48,$C$37:$BL$37,0),FALSE),1))*((1+$P209)^$S209),0), 0),
    0)))))),"")</f>
        <v>0.49170982632364946</v>
      </c>
      <c r="BP209" s="171">
        <f t="shared" si="317"/>
        <v>0.49170982632364946</v>
      </c>
      <c r="BQ209" s="171">
        <f t="shared" si="317"/>
        <v>0.49170982632364946</v>
      </c>
      <c r="BR209" s="171">
        <f t="shared" si="317"/>
        <v>0.49170982632364946</v>
      </c>
      <c r="BS209" s="171">
        <f t="shared" si="317"/>
        <v>0.49170982632364946</v>
      </c>
      <c r="BT209" s="171">
        <f t="shared" si="317"/>
        <v>0</v>
      </c>
      <c r="BU209" s="171">
        <f t="shared" si="317"/>
        <v>0</v>
      </c>
      <c r="BV209" s="171">
        <f t="shared" si="317"/>
        <v>0</v>
      </c>
      <c r="BW209" s="171">
        <f t="shared" si="317"/>
        <v>0</v>
      </c>
      <c r="BX209" s="171">
        <f t="shared" si="317"/>
        <v>0</v>
      </c>
      <c r="BY209" s="171">
        <f t="shared" ref="BY209:CI218" si="318">IFERROR(
    IF($T209="Equity",
        IF(AND(BY$48&gt;=$E209, BY$48&lt;=($E209+$Q209)),
$K209*$P209*(VLOOKUP($C$39,$C$37:$BL$44,MATCH($E209,$C$37:$BL$37,0),FALSE)/VLOOKUP($L209,$C$37:$BL$44,MATCH($E209,$C$37:$BL$37,0),FALSE))*
IF($B$5="Foreign Currency",VLOOKUP($C$38,$C$37:$BL$44,MATCH(BY$48,$C$37:$BL$37,0),FALSE)/VLOOKUP($C$39,$C$37:$BL$44,MATCH(BY$48,$C$37:$BL$37,0),FALSE),1),
0),
    IF($T209="Lump Sum Principal",
        IF(AND(BY$48&gt;=$E209, BY$48&lt;($E209+$Q209)),
$K209*$P209*(VLOOKUP($C$39,$C$37:$BL$44,MATCH($E209,$C$37:$BL$37,0),FALSE)/VLOOKUP($L209,$C$37:$BL$44,MATCH($E209,$C$37:$BL$37,0),FALSE))*
IF($B$5="Foreign Currency",VLOOKUP($C$38,$C$37:$BL$44,MATCH(BY$48,$C$37:$BL$37,0),FALSE)/VLOOKUP($C$39,$C$37:$BL$44,MATCH(BY$48,$C$37:$BL$37,0),FALSE),1),
        IF(BY$48=($E209+$Q209),
$K209*(1+$P209)*(VLOOKUP($C$39,$C$37:$BL$44,MATCH($E209,$C$37:$BL$37,0),FALSE)/VLOOKUP($L209,$C$37:$BL$44,MATCH($E209,$C$37:$BL$37,0),FALSE))*
IF($B$5="Foreign Currency",VLOOKUP($C$38,$C$37:$BL$44,MATCH(BY$48,$C$37:$BL$37,0),FALSE)/VLOOKUP($C$39,$C$37:$BL$44,MATCH(BY$48,$C$37:$BL$37,0),FALSE),1),
0)),
    IF($T209="Lump Sum Principal and Interest",
        IF(BY$48=($E209+$Q209),
$K209*((1+$P209)^$Q209)*(VLOOKUP($C$39,$C$37:$BL$44,MATCH($E209,$C$37:$BL$37,0),FALSE)/VLOOKUP($L209,$C$37:$BL$44,MATCH($E209,$C$37:$BL$37,0),FALSE))*
IF($B$5="Foreign Currency",VLOOKUP($C$38,$C$37:$BL$44,MATCH(BY$48,$C$37:$BL$37,0),FALSE)/VLOOKUP($C$39,$C$37:$BL$44,MATCH(BY$48,$C$37:$BL$37,0),FALSE),1),
0),
    IF($T209="EPP with Grace Years for Principal",
        IF(AND(BY$48&gt;=$E209, BY$48&lt;($E209+$S209)),
$K209*$P209*(VLOOKUP($C$39,$C$37:$BL$44,MATCH($E209,$C$37:$BL$37,0),FALSE)/VLOOKUP($L209,$C$37:$BL$44,MATCH($E209,$C$37:$BL$37,0),FALSE))*
IF($B$5="Foreign Currency",VLOOKUP($C$38,$C$37:$BL$44,MATCH(BY$48,$C$37:$BL$37,0),FALSE)/VLOOKUP($C$39,$C$37:$BL$44,MATCH(BY$48,$C$37:$BL$37,0),FALSE),1),
        IF(AND(BY$48&gt;=($E209+$S209), BY$48&lt;=($E209+$Q209)),
-PMT($P209,($Q209-$S209+1),($K209*(VLOOKUP($C$39,$C$37:$BL$44,MATCH($E209,$C$37:$BL$37,0),FALSE)/VLOOKUP($L209,$C$37:$BL$44,MATCH($E209,$C$37:$BL$37,0),FALSE))*
IF($B$5="Foreign Currency",VLOOKUP($C$38,$C$37:$BL$44,MATCH(BY$48,$C$37:$BL$37,0),FALSE)/VLOOKUP($C$39,$C$37:$BL$44,MATCH(BY$48,$C$37:$BL$37,0),FALSE),1)),0),
0)),
    IF($T209="Equal Principal Payments (EPP)",
        IF(AND(BY$48&gt;=$E209, BY$48&lt;=($E209+$Q209)),
-PMT($P209,($Q209-$S209+1),($K209*(VLOOKUP($C$39,$C$37:$BL$44,MATCH($E209,$C$37:$BL$37,0),FALSE)/VLOOKUP($L209,$C$37:$BL$44,MATCH($E209,$C$37:$BL$37,0),FALSE))*
IF($B$5="Foreign Currency",VLOOKUP($C$38,$C$37:$BL$44,MATCH(BY$48,$C$37:$BL$37,0),FALSE)/VLOOKUP($C$39,$C$37:$BL$44,MATCH(BY$48,$C$37:$BL$37,0),FALSE),1)),0), 0),
    IF($T209="EPP with Grace Years for Principal and on Interest",
        IF(AND(BY$48&gt;=($E209+$S209), BY$48&lt;=($E209+$Q209)),
-PMT($P209,($Q209-$S209+1),($K209*(VLOOKUP($C$39,$C$37:$BL$44,MATCH($E209,$C$37:$BL$37,0),FALSE)/VLOOKUP($L209,$C$37:$BL$44,MATCH($E209,$C$37:$BL$37,0),FALSE))*
IF($B$5="Foreign Currency",VLOOKUP($C$38,$C$37:$BL$44,MATCH(BY$48,$C$37:$BL$37,0),FALSE)/VLOOKUP($C$39,$C$37:$BL$44,MATCH(BY$48,$C$37:$BL$37,0),FALSE),1))*((1+$P209)^$S209),0), 0),
    0)))))),"")</f>
        <v>0</v>
      </c>
      <c r="BZ209" s="171">
        <f t="shared" si="318"/>
        <v>0</v>
      </c>
      <c r="CA209" s="171">
        <f t="shared" si="318"/>
        <v>0</v>
      </c>
      <c r="CB209" s="171">
        <f t="shared" si="318"/>
        <v>0</v>
      </c>
      <c r="CC209" s="171">
        <f t="shared" si="318"/>
        <v>0</v>
      </c>
      <c r="CD209" s="171">
        <f t="shared" si="318"/>
        <v>0</v>
      </c>
      <c r="CE209" s="171">
        <f t="shared" si="318"/>
        <v>0</v>
      </c>
      <c r="CF209" s="171">
        <f t="shared" si="318"/>
        <v>0</v>
      </c>
      <c r="CG209" s="171">
        <f t="shared" si="318"/>
        <v>0</v>
      </c>
      <c r="CH209" s="171">
        <f t="shared" si="318"/>
        <v>0</v>
      </c>
      <c r="CI209" s="171">
        <f t="shared" si="318"/>
        <v>0</v>
      </c>
      <c r="CJ209" s="243"/>
      <c r="CK209" s="171">
        <f t="shared" si="233"/>
        <v>0</v>
      </c>
      <c r="CL209" s="171">
        <f t="shared" si="234"/>
        <v>0</v>
      </c>
      <c r="CM209" s="171">
        <f t="shared" si="235"/>
        <v>0</v>
      </c>
      <c r="CN209" s="171">
        <f t="shared" si="236"/>
        <v>0</v>
      </c>
      <c r="CO209" s="171">
        <f t="shared" si="237"/>
        <v>0</v>
      </c>
      <c r="CP209" s="171">
        <f t="shared" si="238"/>
        <v>0</v>
      </c>
      <c r="CQ209" s="171">
        <f t="shared" si="239"/>
        <v>0.29410598499061913</v>
      </c>
      <c r="CR209" s="171">
        <f t="shared" si="240"/>
        <v>0.29410598499061913</v>
      </c>
      <c r="CS209" s="171">
        <f t="shared" si="241"/>
        <v>0.29410598499061913</v>
      </c>
      <c r="CT209" s="171">
        <f t="shared" si="242"/>
        <v>0.29410598499061913</v>
      </c>
      <c r="CU209" s="171">
        <f t="shared" si="243"/>
        <v>0.29410598499061913</v>
      </c>
      <c r="CV209" s="171">
        <f t="shared" si="244"/>
        <v>0.29410598499061913</v>
      </c>
      <c r="CW209" s="171">
        <f t="shared" si="245"/>
        <v>0.49170982632364946</v>
      </c>
      <c r="CX209" s="171">
        <f t="shared" si="246"/>
        <v>0.49170982632364946</v>
      </c>
      <c r="CY209" s="171">
        <f t="shared" ca="1" si="247"/>
        <v>0.46681316616124785</v>
      </c>
      <c r="CZ209" s="171">
        <f t="shared" ca="1" si="248"/>
        <v>0.44317709436633218</v>
      </c>
      <c r="DA209" s="171">
        <f t="shared" ca="1" si="249"/>
        <v>0.42073778378209203</v>
      </c>
      <c r="DB209" s="171">
        <f t="shared" ca="1" si="250"/>
        <v>0.39943463900131232</v>
      </c>
      <c r="DC209" s="171">
        <f t="shared" ca="1" si="251"/>
        <v>0.37921013273374471</v>
      </c>
      <c r="DD209" s="171">
        <f t="shared" ca="1" si="252"/>
        <v>0.36000965045866196</v>
      </c>
      <c r="DE209" s="171">
        <f t="shared" ca="1" si="253"/>
        <v>0.34178134294309342</v>
      </c>
      <c r="DF209" s="171">
        <f t="shared" ca="1" si="254"/>
        <v>0.32447598622747925</v>
      </c>
      <c r="DG209" s="171">
        <f t="shared" ca="1" si="255"/>
        <v>0.3080468487006478</v>
      </c>
      <c r="DH209" s="171">
        <f t="shared" ca="1" si="256"/>
        <v>0.29244956490516244</v>
      </c>
      <c r="DI209" s="171">
        <f t="shared" ca="1" si="257"/>
        <v>0.27764201573226149</v>
      </c>
      <c r="DJ209" s="171">
        <f t="shared" ca="1" si="258"/>
        <v>0.2635842146828668</v>
      </c>
      <c r="DK209" s="171">
        <f t="shared" ca="1" si="259"/>
        <v>0.25023819988752</v>
      </c>
      <c r="DL209" s="171">
        <f t="shared" ca="1" si="260"/>
        <v>0.23756793159365436</v>
      </c>
      <c r="DM209" s="171">
        <f t="shared" ca="1" si="261"/>
        <v>0.22553919484337681</v>
      </c>
      <c r="DN209" s="171">
        <f t="shared" ca="1" si="262"/>
        <v>0.21411950707894872</v>
      </c>
      <c r="DO209" s="171">
        <f t="shared" ca="1" si="263"/>
        <v>0.20327803042646328</v>
      </c>
      <c r="DP209" s="171">
        <f t="shared" ca="1" si="264"/>
        <v>0.19298548842084789</v>
      </c>
      <c r="DQ209" s="171">
        <f t="shared" ca="1" si="265"/>
        <v>0.1832140869473162</v>
      </c>
      <c r="DR209" s="171">
        <f t="shared" ca="1" si="266"/>
        <v>0.17393743918577714</v>
      </c>
      <c r="DS209" s="171">
        <f t="shared" ca="1" si="267"/>
        <v>0.16513049435552205</v>
      </c>
      <c r="DT209" s="171">
        <f t="shared" ca="1" si="268"/>
        <v>0.15676947006776912</v>
      </c>
      <c r="DU209" s="171">
        <f t="shared" ca="1" si="269"/>
        <v>0.14883178810339037</v>
      </c>
      <c r="DV209" s="171">
        <f t="shared" ca="1" si="270"/>
        <v>0.14129601344239404</v>
      </c>
      <c r="DW209" s="171">
        <f t="shared" ca="1" si="271"/>
        <v>0.13414179638051668</v>
      </c>
      <c r="DX209" s="171">
        <f t="shared" ca="1" si="272"/>
        <v>0.12734981757661623</v>
      </c>
      <c r="DY209" s="171">
        <f t="shared" ca="1" si="273"/>
        <v>0.12090173588247101</v>
      </c>
      <c r="DZ209" s="171">
        <f t="shared" ca="1" si="274"/>
        <v>0.11478013881410357</v>
      </c>
      <c r="EA209" s="171">
        <f t="shared" ca="1" si="275"/>
        <v>0.10896849553088171</v>
      </c>
      <c r="EB209" s="171">
        <f t="shared" ca="1" si="276"/>
        <v>0.10345111219542068</v>
      </c>
      <c r="EC209" s="171">
        <f t="shared" ca="1" si="277"/>
        <v>9.8213089593739783E-2</v>
      </c>
      <c r="ED209" s="171">
        <f t="shared" ca="1" si="278"/>
        <v>0</v>
      </c>
      <c r="EE209" s="171">
        <f t="shared" ca="1" si="279"/>
        <v>0</v>
      </c>
      <c r="EF209" s="171">
        <f t="shared" ca="1" si="280"/>
        <v>0</v>
      </c>
      <c r="EG209" s="171">
        <f t="shared" ca="1" si="281"/>
        <v>0</v>
      </c>
      <c r="EH209" s="171">
        <f t="shared" ca="1" si="282"/>
        <v>0</v>
      </c>
      <c r="EI209" s="171">
        <f t="shared" ca="1" si="283"/>
        <v>0</v>
      </c>
      <c r="EJ209" s="171">
        <f t="shared" ca="1" si="284"/>
        <v>0</v>
      </c>
      <c r="EK209" s="171">
        <f t="shared" ca="1" si="285"/>
        <v>0</v>
      </c>
      <c r="EL209" s="171">
        <f t="shared" ca="1" si="286"/>
        <v>0</v>
      </c>
      <c r="EM209" s="171">
        <f t="shared" ca="1" si="287"/>
        <v>0</v>
      </c>
      <c r="EN209" s="171">
        <f t="shared" ca="1" si="288"/>
        <v>0</v>
      </c>
      <c r="EO209" s="171">
        <f t="shared" ca="1" si="289"/>
        <v>0</v>
      </c>
      <c r="EP209" s="171">
        <f t="shared" ca="1" si="290"/>
        <v>0</v>
      </c>
      <c r="EQ209" s="171">
        <f t="shared" ca="1" si="291"/>
        <v>0</v>
      </c>
      <c r="ER209" s="171">
        <f t="shared" ca="1" si="292"/>
        <v>0</v>
      </c>
      <c r="ES209" s="171">
        <f t="shared" ca="1" si="293"/>
        <v>0</v>
      </c>
    </row>
    <row r="210" spans="1:149">
      <c r="A210" s="139" t="s">
        <v>553</v>
      </c>
      <c r="B210" s="160" t="s">
        <v>430</v>
      </c>
      <c r="C210" s="160" t="s">
        <v>29</v>
      </c>
      <c r="D210" s="161" t="s">
        <v>394</v>
      </c>
      <c r="E210" s="160">
        <v>2016</v>
      </c>
      <c r="F210" s="194" t="s">
        <v>395</v>
      </c>
      <c r="G210" s="160" t="s">
        <v>402</v>
      </c>
      <c r="H210" s="194" t="s">
        <v>396</v>
      </c>
      <c r="I210" s="194" t="s">
        <v>178</v>
      </c>
      <c r="J210" s="194" t="s">
        <v>407</v>
      </c>
      <c r="K210" s="187">
        <v>53.2</v>
      </c>
      <c r="L210" s="163" t="s">
        <v>110</v>
      </c>
      <c r="M210" s="164">
        <f t="shared" si="223"/>
        <v>53.2</v>
      </c>
      <c r="N210" s="164">
        <f t="shared" si="224"/>
        <v>53.2</v>
      </c>
      <c r="O210" s="165">
        <f t="shared" si="225"/>
        <v>1</v>
      </c>
      <c r="P210" s="180">
        <v>2.8010093808630395E-2</v>
      </c>
      <c r="Q210" s="191">
        <v>38</v>
      </c>
      <c r="R210" s="168">
        <f t="shared" si="312"/>
        <v>30</v>
      </c>
      <c r="S210" s="160">
        <v>6</v>
      </c>
      <c r="T210" s="170" t="s">
        <v>403</v>
      </c>
      <c r="U210" s="171">
        <f t="shared" si="227"/>
        <v>2.3988080238165508</v>
      </c>
      <c r="V210" s="171">
        <f t="shared" ca="1" si="228"/>
        <v>1.3501509110150189</v>
      </c>
      <c r="W210" s="171">
        <f t="shared" ca="1" si="229"/>
        <v>51.305734618570717</v>
      </c>
      <c r="X210" s="172">
        <f t="shared" si="230"/>
        <v>0.20125602905576256</v>
      </c>
      <c r="Y210" s="172">
        <f t="shared" si="231"/>
        <v>0.79874397094423744</v>
      </c>
      <c r="Z210" s="173">
        <f t="shared" si="232"/>
        <v>91.154704905028922</v>
      </c>
      <c r="AA210" s="171">
        <f t="shared" si="313"/>
        <v>0</v>
      </c>
      <c r="AB210" s="171">
        <f t="shared" si="313"/>
        <v>0</v>
      </c>
      <c r="AC210" s="171">
        <f t="shared" si="313"/>
        <v>0</v>
      </c>
      <c r="AD210" s="171">
        <f t="shared" si="313"/>
        <v>0</v>
      </c>
      <c r="AE210" s="171">
        <f t="shared" si="313"/>
        <v>0</v>
      </c>
      <c r="AF210" s="171">
        <f t="shared" si="313"/>
        <v>0</v>
      </c>
      <c r="AG210" s="171">
        <f t="shared" si="313"/>
        <v>1.4901369906191371</v>
      </c>
      <c r="AH210" s="171">
        <f t="shared" si="313"/>
        <v>1.4901369906191371</v>
      </c>
      <c r="AI210" s="171">
        <f t="shared" si="313"/>
        <v>1.4901369906191371</v>
      </c>
      <c r="AJ210" s="171">
        <f t="shared" si="313"/>
        <v>1.4901369906191371</v>
      </c>
      <c r="AK210" s="171">
        <f t="shared" si="314"/>
        <v>1.4901369906191371</v>
      </c>
      <c r="AL210" s="171">
        <f t="shared" si="314"/>
        <v>1.4901369906191371</v>
      </c>
      <c r="AM210" s="171">
        <f t="shared" si="314"/>
        <v>2.4913297867064901</v>
      </c>
      <c r="AN210" s="171">
        <f t="shared" si="314"/>
        <v>2.4913297867064901</v>
      </c>
      <c r="AO210" s="171">
        <f t="shared" si="314"/>
        <v>2.4913297867064901</v>
      </c>
      <c r="AP210" s="171">
        <f t="shared" si="314"/>
        <v>2.4913297867064901</v>
      </c>
      <c r="AQ210" s="171">
        <f t="shared" si="314"/>
        <v>2.4913297867064901</v>
      </c>
      <c r="AR210" s="171">
        <f t="shared" si="314"/>
        <v>2.4913297867064901</v>
      </c>
      <c r="AS210" s="171">
        <f t="shared" si="314"/>
        <v>2.4913297867064901</v>
      </c>
      <c r="AT210" s="171">
        <f t="shared" si="314"/>
        <v>2.4913297867064901</v>
      </c>
      <c r="AU210" s="171">
        <f t="shared" si="315"/>
        <v>2.4913297867064901</v>
      </c>
      <c r="AV210" s="171">
        <f t="shared" si="315"/>
        <v>2.4913297867064901</v>
      </c>
      <c r="AW210" s="171">
        <f t="shared" si="315"/>
        <v>2.4913297867064901</v>
      </c>
      <c r="AX210" s="171">
        <f t="shared" si="315"/>
        <v>2.4913297867064901</v>
      </c>
      <c r="AY210" s="171">
        <f t="shared" si="315"/>
        <v>2.4913297867064901</v>
      </c>
      <c r="AZ210" s="171">
        <f t="shared" si="315"/>
        <v>2.4913297867064901</v>
      </c>
      <c r="BA210" s="171">
        <f t="shared" si="315"/>
        <v>2.4913297867064901</v>
      </c>
      <c r="BB210" s="171">
        <f t="shared" si="315"/>
        <v>2.4913297867064901</v>
      </c>
      <c r="BC210" s="171">
        <f t="shared" si="315"/>
        <v>2.4913297867064901</v>
      </c>
      <c r="BD210" s="171">
        <f t="shared" si="315"/>
        <v>2.4913297867064901</v>
      </c>
      <c r="BE210" s="171">
        <f t="shared" si="316"/>
        <v>2.4913297867064901</v>
      </c>
      <c r="BF210" s="171">
        <f t="shared" si="316"/>
        <v>2.4913297867064901</v>
      </c>
      <c r="BG210" s="171">
        <f t="shared" si="316"/>
        <v>2.4913297867064901</v>
      </c>
      <c r="BH210" s="171">
        <f t="shared" si="316"/>
        <v>2.4913297867064901</v>
      </c>
      <c r="BI210" s="171">
        <f t="shared" si="316"/>
        <v>2.4913297867064901</v>
      </c>
      <c r="BJ210" s="171">
        <f t="shared" si="316"/>
        <v>2.4913297867064901</v>
      </c>
      <c r="BK210" s="171">
        <f t="shared" si="316"/>
        <v>2.4913297867064901</v>
      </c>
      <c r="BL210" s="171">
        <f t="shared" si="316"/>
        <v>2.4913297867064901</v>
      </c>
      <c r="BM210" s="171">
        <f t="shared" si="316"/>
        <v>2.4913297867064901</v>
      </c>
      <c r="BN210" s="171">
        <f t="shared" si="316"/>
        <v>2.4913297867064901</v>
      </c>
      <c r="BO210" s="171">
        <f t="shared" si="317"/>
        <v>2.4913297867064901</v>
      </c>
      <c r="BP210" s="171">
        <f t="shared" si="317"/>
        <v>2.4913297867064901</v>
      </c>
      <c r="BQ210" s="171">
        <f t="shared" si="317"/>
        <v>2.4913297867064901</v>
      </c>
      <c r="BR210" s="171">
        <f t="shared" si="317"/>
        <v>2.4913297867064901</v>
      </c>
      <c r="BS210" s="171">
        <f t="shared" si="317"/>
        <v>2.4913297867064901</v>
      </c>
      <c r="BT210" s="171">
        <f t="shared" si="317"/>
        <v>0</v>
      </c>
      <c r="BU210" s="171">
        <f t="shared" si="317"/>
        <v>0</v>
      </c>
      <c r="BV210" s="171">
        <f t="shared" si="317"/>
        <v>0</v>
      </c>
      <c r="BW210" s="171">
        <f t="shared" si="317"/>
        <v>0</v>
      </c>
      <c r="BX210" s="171">
        <f t="shared" si="317"/>
        <v>0</v>
      </c>
      <c r="BY210" s="171">
        <f t="shared" si="318"/>
        <v>0</v>
      </c>
      <c r="BZ210" s="171">
        <f t="shared" si="318"/>
        <v>0</v>
      </c>
      <c r="CA210" s="171">
        <f t="shared" si="318"/>
        <v>0</v>
      </c>
      <c r="CB210" s="171">
        <f t="shared" si="318"/>
        <v>0</v>
      </c>
      <c r="CC210" s="171">
        <f t="shared" si="318"/>
        <v>0</v>
      </c>
      <c r="CD210" s="171">
        <f t="shared" si="318"/>
        <v>0</v>
      </c>
      <c r="CE210" s="171">
        <f t="shared" si="318"/>
        <v>0</v>
      </c>
      <c r="CF210" s="171">
        <f t="shared" si="318"/>
        <v>0</v>
      </c>
      <c r="CG210" s="171">
        <f t="shared" si="318"/>
        <v>0</v>
      </c>
      <c r="CH210" s="171">
        <f t="shared" si="318"/>
        <v>0</v>
      </c>
      <c r="CI210" s="171">
        <f t="shared" si="318"/>
        <v>0</v>
      </c>
      <c r="CJ210" s="243"/>
      <c r="CK210" s="171">
        <f t="shared" si="233"/>
        <v>0</v>
      </c>
      <c r="CL210" s="171">
        <f t="shared" si="234"/>
        <v>0</v>
      </c>
      <c r="CM210" s="171">
        <f t="shared" si="235"/>
        <v>0</v>
      </c>
      <c r="CN210" s="171">
        <f t="shared" si="236"/>
        <v>0</v>
      </c>
      <c r="CO210" s="171">
        <f t="shared" si="237"/>
        <v>0</v>
      </c>
      <c r="CP210" s="171">
        <f t="shared" si="238"/>
        <v>0</v>
      </c>
      <c r="CQ210" s="171">
        <f t="shared" si="239"/>
        <v>1.4901369906191371</v>
      </c>
      <c r="CR210" s="171">
        <f t="shared" si="240"/>
        <v>1.4901369906191371</v>
      </c>
      <c r="CS210" s="171">
        <f t="shared" si="241"/>
        <v>1.4901369906191371</v>
      </c>
      <c r="CT210" s="171">
        <f t="shared" si="242"/>
        <v>1.4901369906191371</v>
      </c>
      <c r="CU210" s="171">
        <f t="shared" si="243"/>
        <v>1.4901369906191371</v>
      </c>
      <c r="CV210" s="171">
        <f t="shared" si="244"/>
        <v>1.4901369906191371</v>
      </c>
      <c r="CW210" s="171">
        <f t="shared" si="245"/>
        <v>2.4913297867064901</v>
      </c>
      <c r="CX210" s="171">
        <f t="shared" si="246"/>
        <v>2.4913297867064901</v>
      </c>
      <c r="CY210" s="171">
        <f t="shared" ca="1" si="247"/>
        <v>2.365186708550322</v>
      </c>
      <c r="CZ210" s="171">
        <f t="shared" ca="1" si="248"/>
        <v>2.2454306114560825</v>
      </c>
      <c r="DA210" s="171">
        <f t="shared" ca="1" si="249"/>
        <v>2.1317381044959327</v>
      </c>
      <c r="DB210" s="171">
        <f t="shared" ca="1" si="250"/>
        <v>2.023802170939982</v>
      </c>
      <c r="DC210" s="171">
        <f t="shared" ca="1" si="251"/>
        <v>1.9213313391843061</v>
      </c>
      <c r="DD210" s="171">
        <f t="shared" ca="1" si="252"/>
        <v>1.8240488956572201</v>
      </c>
      <c r="DE210" s="171">
        <f t="shared" ca="1" si="253"/>
        <v>1.7316921375783396</v>
      </c>
      <c r="DF210" s="171">
        <f t="shared" ca="1" si="254"/>
        <v>1.6440116635525612</v>
      </c>
      <c r="DG210" s="171">
        <f t="shared" ca="1" si="255"/>
        <v>1.560770700083282</v>
      </c>
      <c r="DH210" s="171">
        <f t="shared" ca="1" si="256"/>
        <v>1.4817444621861562</v>
      </c>
      <c r="DI210" s="171">
        <f t="shared" ca="1" si="257"/>
        <v>1.4067195463767912</v>
      </c>
      <c r="DJ210" s="171">
        <f t="shared" ca="1" si="258"/>
        <v>1.3354933543931915</v>
      </c>
      <c r="DK210" s="171">
        <f t="shared" ca="1" si="259"/>
        <v>1.2678735460967676</v>
      </c>
      <c r="DL210" s="171">
        <f t="shared" ca="1" si="260"/>
        <v>1.2036775200745151</v>
      </c>
      <c r="DM210" s="171">
        <f t="shared" ca="1" si="261"/>
        <v>1.1427319205397757</v>
      </c>
      <c r="DN210" s="171">
        <f t="shared" ca="1" si="262"/>
        <v>1.0848721692000065</v>
      </c>
      <c r="DO210" s="171">
        <f t="shared" ca="1" si="263"/>
        <v>1.0299420208274137</v>
      </c>
      <c r="DP210" s="171">
        <f t="shared" ca="1" si="264"/>
        <v>0.97779314133229578</v>
      </c>
      <c r="DQ210" s="171">
        <f t="shared" ca="1" si="265"/>
        <v>0.92828470719973522</v>
      </c>
      <c r="DR210" s="171">
        <f t="shared" ca="1" si="266"/>
        <v>0.88128302520793733</v>
      </c>
      <c r="DS210" s="171">
        <f t="shared" ca="1" si="267"/>
        <v>0.83666117140131158</v>
      </c>
      <c r="DT210" s="171">
        <f t="shared" ca="1" si="268"/>
        <v>0.79429864834336339</v>
      </c>
      <c r="DU210" s="171">
        <f t="shared" ca="1" si="269"/>
        <v>0.75408105972384443</v>
      </c>
      <c r="DV210" s="171">
        <f t="shared" ca="1" si="270"/>
        <v>0.71589980144146304</v>
      </c>
      <c r="DW210" s="171">
        <f t="shared" ca="1" si="271"/>
        <v>0.67965176832795104</v>
      </c>
      <c r="DX210" s="171">
        <f t="shared" ca="1" si="272"/>
        <v>0.64523907572152217</v>
      </c>
      <c r="DY210" s="171">
        <f t="shared" ca="1" si="273"/>
        <v>0.61256879513785301</v>
      </c>
      <c r="DZ210" s="171">
        <f t="shared" ca="1" si="274"/>
        <v>0.58155270332479125</v>
      </c>
      <c r="EA210" s="171">
        <f t="shared" ca="1" si="275"/>
        <v>0.55210704402313393</v>
      </c>
      <c r="EB210" s="171">
        <f t="shared" ca="1" si="276"/>
        <v>0.52415230179013128</v>
      </c>
      <c r="EC210" s="171">
        <f t="shared" ca="1" si="277"/>
        <v>0.49761298727494813</v>
      </c>
      <c r="ED210" s="171">
        <f t="shared" ca="1" si="278"/>
        <v>0</v>
      </c>
      <c r="EE210" s="171">
        <f t="shared" ca="1" si="279"/>
        <v>0</v>
      </c>
      <c r="EF210" s="171">
        <f t="shared" ca="1" si="280"/>
        <v>0</v>
      </c>
      <c r="EG210" s="171">
        <f t="shared" ca="1" si="281"/>
        <v>0</v>
      </c>
      <c r="EH210" s="171">
        <f t="shared" ca="1" si="282"/>
        <v>0</v>
      </c>
      <c r="EI210" s="171">
        <f t="shared" ca="1" si="283"/>
        <v>0</v>
      </c>
      <c r="EJ210" s="171">
        <f t="shared" ca="1" si="284"/>
        <v>0</v>
      </c>
      <c r="EK210" s="171">
        <f t="shared" ca="1" si="285"/>
        <v>0</v>
      </c>
      <c r="EL210" s="171">
        <f t="shared" ca="1" si="286"/>
        <v>0</v>
      </c>
      <c r="EM210" s="171">
        <f t="shared" ca="1" si="287"/>
        <v>0</v>
      </c>
      <c r="EN210" s="171">
        <f t="shared" ca="1" si="288"/>
        <v>0</v>
      </c>
      <c r="EO210" s="171">
        <f t="shared" ca="1" si="289"/>
        <v>0</v>
      </c>
      <c r="EP210" s="171">
        <f t="shared" ca="1" si="290"/>
        <v>0</v>
      </c>
      <c r="EQ210" s="171">
        <f t="shared" ca="1" si="291"/>
        <v>0</v>
      </c>
      <c r="ER210" s="171">
        <f t="shared" ca="1" si="292"/>
        <v>0</v>
      </c>
      <c r="ES210" s="171">
        <f t="shared" ca="1" si="293"/>
        <v>0</v>
      </c>
    </row>
    <row r="211" spans="1:149">
      <c r="A211" s="139" t="s">
        <v>554</v>
      </c>
      <c r="B211" s="160" t="s">
        <v>409</v>
      </c>
      <c r="C211" s="160" t="s">
        <v>412</v>
      </c>
      <c r="D211" s="160" t="s">
        <v>394</v>
      </c>
      <c r="E211" s="160">
        <v>2016</v>
      </c>
      <c r="F211" s="160" t="s">
        <v>395</v>
      </c>
      <c r="G211" s="160" t="s">
        <v>402</v>
      </c>
      <c r="H211" s="160" t="s">
        <v>396</v>
      </c>
      <c r="I211" s="160" t="s">
        <v>178</v>
      </c>
      <c r="J211" s="160" t="s">
        <v>397</v>
      </c>
      <c r="K211" s="187">
        <v>53</v>
      </c>
      <c r="L211" s="163" t="s">
        <v>110</v>
      </c>
      <c r="M211" s="164">
        <f t="shared" si="223"/>
        <v>53</v>
      </c>
      <c r="N211" s="164">
        <f t="shared" si="224"/>
        <v>53</v>
      </c>
      <c r="O211" s="165">
        <f t="shared" si="225"/>
        <v>1</v>
      </c>
      <c r="P211" s="180">
        <v>2.3903633306096857E-2</v>
      </c>
      <c r="Q211" s="183">
        <v>32.668289591298226</v>
      </c>
      <c r="R211" s="168">
        <f t="shared" si="312"/>
        <v>24.668289591298226</v>
      </c>
      <c r="S211" s="183">
        <v>6.9579862261231415</v>
      </c>
      <c r="T211" s="170" t="s">
        <v>403</v>
      </c>
      <c r="U211" s="171">
        <f t="shared" si="227"/>
        <v>2.4263029629271928</v>
      </c>
      <c r="V211" s="171">
        <f t="shared" ca="1" si="228"/>
        <v>1.4843807811164003</v>
      </c>
      <c r="W211" s="171">
        <f t="shared" ca="1" si="229"/>
        <v>48.492181221268027</v>
      </c>
      <c r="X211" s="172">
        <f t="shared" si="230"/>
        <v>0.17920836052863021</v>
      </c>
      <c r="Y211" s="172">
        <f t="shared" si="231"/>
        <v>0.82079163947136979</v>
      </c>
      <c r="Z211" s="173">
        <f t="shared" si="232"/>
        <v>79.263167829130452</v>
      </c>
      <c r="AA211" s="171">
        <f t="shared" si="313"/>
        <v>0</v>
      </c>
      <c r="AB211" s="171">
        <f t="shared" si="313"/>
        <v>0</v>
      </c>
      <c r="AC211" s="171">
        <f t="shared" si="313"/>
        <v>0</v>
      </c>
      <c r="AD211" s="171">
        <f t="shared" si="313"/>
        <v>0</v>
      </c>
      <c r="AE211" s="171">
        <f t="shared" si="313"/>
        <v>0</v>
      </c>
      <c r="AF211" s="171">
        <f t="shared" si="313"/>
        <v>0</v>
      </c>
      <c r="AG211" s="171">
        <f t="shared" si="313"/>
        <v>1.2668925652231333</v>
      </c>
      <c r="AH211" s="171">
        <f t="shared" si="313"/>
        <v>1.2668925652231333</v>
      </c>
      <c r="AI211" s="171">
        <f t="shared" si="313"/>
        <v>1.2668925652231333</v>
      </c>
      <c r="AJ211" s="171">
        <f t="shared" si="313"/>
        <v>1.2668925652231333</v>
      </c>
      <c r="AK211" s="171">
        <f t="shared" si="314"/>
        <v>1.2668925652231333</v>
      </c>
      <c r="AL211" s="171">
        <f t="shared" si="314"/>
        <v>1.2668925652231333</v>
      </c>
      <c r="AM211" s="171">
        <f t="shared" si="314"/>
        <v>1.2668925652231333</v>
      </c>
      <c r="AN211" s="171">
        <f t="shared" si="314"/>
        <v>2.7074969181757123</v>
      </c>
      <c r="AO211" s="171">
        <f t="shared" si="314"/>
        <v>2.7074969181757123</v>
      </c>
      <c r="AP211" s="171">
        <f t="shared" si="314"/>
        <v>2.7074969181757123</v>
      </c>
      <c r="AQ211" s="171">
        <f t="shared" si="314"/>
        <v>2.7074969181757123</v>
      </c>
      <c r="AR211" s="171">
        <f t="shared" si="314"/>
        <v>2.7074969181757123</v>
      </c>
      <c r="AS211" s="171">
        <f t="shared" si="314"/>
        <v>2.7074969181757123</v>
      </c>
      <c r="AT211" s="171">
        <f t="shared" si="314"/>
        <v>2.7074969181757123</v>
      </c>
      <c r="AU211" s="171">
        <f t="shared" si="315"/>
        <v>2.7074969181757123</v>
      </c>
      <c r="AV211" s="171">
        <f t="shared" si="315"/>
        <v>2.7074969181757123</v>
      </c>
      <c r="AW211" s="171">
        <f t="shared" si="315"/>
        <v>2.7074969181757123</v>
      </c>
      <c r="AX211" s="171">
        <f t="shared" si="315"/>
        <v>2.7074969181757123</v>
      </c>
      <c r="AY211" s="171">
        <f t="shared" si="315"/>
        <v>2.7074969181757123</v>
      </c>
      <c r="AZ211" s="171">
        <f t="shared" si="315"/>
        <v>2.7074969181757123</v>
      </c>
      <c r="BA211" s="171">
        <f t="shared" si="315"/>
        <v>2.7074969181757123</v>
      </c>
      <c r="BB211" s="171">
        <f t="shared" si="315"/>
        <v>2.7074969181757123</v>
      </c>
      <c r="BC211" s="171">
        <f t="shared" si="315"/>
        <v>2.7074969181757123</v>
      </c>
      <c r="BD211" s="171">
        <f t="shared" si="315"/>
        <v>2.7074969181757123</v>
      </c>
      <c r="BE211" s="171">
        <f t="shared" si="316"/>
        <v>2.7074969181757123</v>
      </c>
      <c r="BF211" s="171">
        <f t="shared" si="316"/>
        <v>2.7074969181757123</v>
      </c>
      <c r="BG211" s="171">
        <f t="shared" si="316"/>
        <v>2.7074969181757123</v>
      </c>
      <c r="BH211" s="171">
        <f t="shared" si="316"/>
        <v>2.7074969181757123</v>
      </c>
      <c r="BI211" s="171">
        <f t="shared" si="316"/>
        <v>2.7074969181757123</v>
      </c>
      <c r="BJ211" s="171">
        <f t="shared" si="316"/>
        <v>2.7074969181757123</v>
      </c>
      <c r="BK211" s="171">
        <f t="shared" si="316"/>
        <v>2.7074969181757123</v>
      </c>
      <c r="BL211" s="171">
        <f t="shared" si="316"/>
        <v>2.7074969181757123</v>
      </c>
      <c r="BM211" s="171">
        <f t="shared" si="316"/>
        <v>2.7074969181757123</v>
      </c>
      <c r="BN211" s="171">
        <f t="shared" si="316"/>
        <v>0</v>
      </c>
      <c r="BO211" s="171">
        <f t="shared" si="317"/>
        <v>0</v>
      </c>
      <c r="BP211" s="171">
        <f t="shared" si="317"/>
        <v>0</v>
      </c>
      <c r="BQ211" s="171">
        <f t="shared" si="317"/>
        <v>0</v>
      </c>
      <c r="BR211" s="171">
        <f t="shared" si="317"/>
        <v>0</v>
      </c>
      <c r="BS211" s="171">
        <f t="shared" si="317"/>
        <v>0</v>
      </c>
      <c r="BT211" s="171">
        <f t="shared" si="317"/>
        <v>0</v>
      </c>
      <c r="BU211" s="171">
        <f t="shared" si="317"/>
        <v>0</v>
      </c>
      <c r="BV211" s="171">
        <f t="shared" si="317"/>
        <v>0</v>
      </c>
      <c r="BW211" s="171">
        <f t="shared" si="317"/>
        <v>0</v>
      </c>
      <c r="BX211" s="171">
        <f t="shared" si="317"/>
        <v>0</v>
      </c>
      <c r="BY211" s="171">
        <f t="shared" si="318"/>
        <v>0</v>
      </c>
      <c r="BZ211" s="171">
        <f t="shared" si="318"/>
        <v>0</v>
      </c>
      <c r="CA211" s="171">
        <f t="shared" si="318"/>
        <v>0</v>
      </c>
      <c r="CB211" s="171">
        <f t="shared" si="318"/>
        <v>0</v>
      </c>
      <c r="CC211" s="171">
        <f t="shared" si="318"/>
        <v>0</v>
      </c>
      <c r="CD211" s="171">
        <f t="shared" si="318"/>
        <v>0</v>
      </c>
      <c r="CE211" s="171">
        <f t="shared" si="318"/>
        <v>0</v>
      </c>
      <c r="CF211" s="171">
        <f t="shared" si="318"/>
        <v>0</v>
      </c>
      <c r="CG211" s="171">
        <f t="shared" si="318"/>
        <v>0</v>
      </c>
      <c r="CH211" s="171">
        <f t="shared" si="318"/>
        <v>0</v>
      </c>
      <c r="CI211" s="171">
        <f t="shared" si="318"/>
        <v>0</v>
      </c>
      <c r="CJ211" s="243"/>
      <c r="CK211" s="171">
        <f t="shared" si="233"/>
        <v>0</v>
      </c>
      <c r="CL211" s="171">
        <f t="shared" si="234"/>
        <v>0</v>
      </c>
      <c r="CM211" s="171">
        <f t="shared" si="235"/>
        <v>0</v>
      </c>
      <c r="CN211" s="171">
        <f t="shared" si="236"/>
        <v>0</v>
      </c>
      <c r="CO211" s="171">
        <f t="shared" si="237"/>
        <v>0</v>
      </c>
      <c r="CP211" s="171">
        <f t="shared" si="238"/>
        <v>0</v>
      </c>
      <c r="CQ211" s="171">
        <f t="shared" si="239"/>
        <v>1.2668925652231333</v>
      </c>
      <c r="CR211" s="171">
        <f t="shared" si="240"/>
        <v>1.2668925652231333</v>
      </c>
      <c r="CS211" s="171">
        <f t="shared" si="241"/>
        <v>1.2668925652231333</v>
      </c>
      <c r="CT211" s="171">
        <f t="shared" si="242"/>
        <v>1.2668925652231333</v>
      </c>
      <c r="CU211" s="171">
        <f t="shared" si="243"/>
        <v>1.2668925652231333</v>
      </c>
      <c r="CV211" s="171">
        <f t="shared" si="244"/>
        <v>1.2668925652231333</v>
      </c>
      <c r="CW211" s="171">
        <f t="shared" si="245"/>
        <v>1.2668925652231333</v>
      </c>
      <c r="CX211" s="171">
        <f t="shared" si="246"/>
        <v>2.7074969181757123</v>
      </c>
      <c r="CY211" s="171">
        <f t="shared" ca="1" si="247"/>
        <v>2.5704086863489159</v>
      </c>
      <c r="CZ211" s="171">
        <f t="shared" ca="1" si="248"/>
        <v>2.440261619691777</v>
      </c>
      <c r="DA211" s="171">
        <f t="shared" ca="1" si="249"/>
        <v>2.3167042673666098</v>
      </c>
      <c r="DB211" s="171">
        <f t="shared" ca="1" si="250"/>
        <v>2.1994029734863294</v>
      </c>
      <c r="DC211" s="171">
        <f t="shared" ca="1" si="251"/>
        <v>2.0880409761057392</v>
      </c>
      <c r="DD211" s="171">
        <f t="shared" ca="1" si="252"/>
        <v>1.9823175518334397</v>
      </c>
      <c r="DE211" s="171">
        <f t="shared" ca="1" si="253"/>
        <v>1.8819472037544567</v>
      </c>
      <c r="DF211" s="171">
        <f t="shared" ca="1" si="254"/>
        <v>1.7866588904706446</v>
      </c>
      <c r="DG211" s="171">
        <f t="shared" ca="1" si="255"/>
        <v>1.6961952941769587</v>
      </c>
      <c r="DH211" s="171">
        <f t="shared" ca="1" si="256"/>
        <v>1.6103121257970929</v>
      </c>
      <c r="DI211" s="171">
        <f t="shared" ca="1" si="257"/>
        <v>1.5287774653020714</v>
      </c>
      <c r="DJ211" s="171">
        <f t="shared" ca="1" si="258"/>
        <v>1.4513711354303742</v>
      </c>
      <c r="DK211" s="171">
        <f t="shared" ca="1" si="259"/>
        <v>1.3778841071183856</v>
      </c>
      <c r="DL211" s="171">
        <f t="shared" ca="1" si="260"/>
        <v>1.3081179350355832</v>
      </c>
      <c r="DM211" s="171">
        <f t="shared" ca="1" si="261"/>
        <v>1.2418842217001762</v>
      </c>
      <c r="DN211" s="171">
        <f t="shared" ca="1" si="262"/>
        <v>1.179004108728086</v>
      </c>
      <c r="DO211" s="171">
        <f t="shared" ca="1" si="263"/>
        <v>1.1193077938414324</v>
      </c>
      <c r="DP211" s="171">
        <f t="shared" ca="1" si="264"/>
        <v>1.0626340723322445</v>
      </c>
      <c r="DQ211" s="171">
        <f t="shared" ca="1" si="265"/>
        <v>1.0088299017431641</v>
      </c>
      <c r="DR211" s="171">
        <f t="shared" ca="1" si="266"/>
        <v>0.95774998858959492</v>
      </c>
      <c r="DS211" s="171">
        <f t="shared" ca="1" si="267"/>
        <v>0.90925639600728148</v>
      </c>
      <c r="DT211" s="171">
        <f t="shared" ca="1" si="268"/>
        <v>0.86321817126579936</v>
      </c>
      <c r="DU211" s="171">
        <f t="shared" ca="1" si="269"/>
        <v>0.81951099214209278</v>
      </c>
      <c r="DV211" s="171">
        <f t="shared" ca="1" si="270"/>
        <v>0.77801683119912102</v>
      </c>
      <c r="DW211" s="171">
        <f t="shared" ca="1" si="271"/>
        <v>0.73862363706302614</v>
      </c>
      <c r="DX211" s="171">
        <f t="shared" ca="1" si="272"/>
        <v>0</v>
      </c>
      <c r="DY211" s="171">
        <f t="shared" ca="1" si="273"/>
        <v>0</v>
      </c>
      <c r="DZ211" s="171">
        <f t="shared" ca="1" si="274"/>
        <v>0</v>
      </c>
      <c r="EA211" s="171">
        <f t="shared" ca="1" si="275"/>
        <v>0</v>
      </c>
      <c r="EB211" s="171">
        <f t="shared" ca="1" si="276"/>
        <v>0</v>
      </c>
      <c r="EC211" s="171">
        <f t="shared" ca="1" si="277"/>
        <v>0</v>
      </c>
      <c r="ED211" s="171">
        <f t="shared" ca="1" si="278"/>
        <v>0</v>
      </c>
      <c r="EE211" s="171">
        <f t="shared" ca="1" si="279"/>
        <v>0</v>
      </c>
      <c r="EF211" s="171">
        <f t="shared" ca="1" si="280"/>
        <v>0</v>
      </c>
      <c r="EG211" s="171">
        <f t="shared" ca="1" si="281"/>
        <v>0</v>
      </c>
      <c r="EH211" s="171">
        <f t="shared" ca="1" si="282"/>
        <v>0</v>
      </c>
      <c r="EI211" s="171">
        <f t="shared" ca="1" si="283"/>
        <v>0</v>
      </c>
      <c r="EJ211" s="171">
        <f t="shared" ca="1" si="284"/>
        <v>0</v>
      </c>
      <c r="EK211" s="171">
        <f t="shared" ca="1" si="285"/>
        <v>0</v>
      </c>
      <c r="EL211" s="171">
        <f t="shared" ca="1" si="286"/>
        <v>0</v>
      </c>
      <c r="EM211" s="171">
        <f t="shared" ca="1" si="287"/>
        <v>0</v>
      </c>
      <c r="EN211" s="171">
        <f t="shared" ca="1" si="288"/>
        <v>0</v>
      </c>
      <c r="EO211" s="171">
        <f t="shared" ca="1" si="289"/>
        <v>0</v>
      </c>
      <c r="EP211" s="171">
        <f t="shared" ca="1" si="290"/>
        <v>0</v>
      </c>
      <c r="EQ211" s="171">
        <f t="shared" ca="1" si="291"/>
        <v>0</v>
      </c>
      <c r="ER211" s="171">
        <f t="shared" ca="1" si="292"/>
        <v>0</v>
      </c>
      <c r="ES211" s="171">
        <f t="shared" ca="1" si="293"/>
        <v>0</v>
      </c>
    </row>
    <row r="212" spans="1:149">
      <c r="A212" s="139" t="s">
        <v>554</v>
      </c>
      <c r="B212" s="160" t="s">
        <v>472</v>
      </c>
      <c r="C212" s="160" t="s">
        <v>412</v>
      </c>
      <c r="D212" s="160" t="s">
        <v>394</v>
      </c>
      <c r="E212" s="160">
        <v>2019</v>
      </c>
      <c r="F212" s="194" t="s">
        <v>395</v>
      </c>
      <c r="G212" s="160" t="s">
        <v>402</v>
      </c>
      <c r="H212" s="194" t="s">
        <v>396</v>
      </c>
      <c r="I212" s="194" t="s">
        <v>176</v>
      </c>
      <c r="J212" s="194" t="s">
        <v>397</v>
      </c>
      <c r="K212" s="187">
        <v>53</v>
      </c>
      <c r="L212" s="163" t="s">
        <v>110</v>
      </c>
      <c r="M212" s="164">
        <f t="shared" si="223"/>
        <v>53</v>
      </c>
      <c r="N212" s="164">
        <f t="shared" si="224"/>
        <v>53</v>
      </c>
      <c r="O212" s="165">
        <f t="shared" si="225"/>
        <v>1</v>
      </c>
      <c r="P212" s="210">
        <v>2.4058710569794983E-2</v>
      </c>
      <c r="Q212" s="211">
        <v>23.583342661777632</v>
      </c>
      <c r="R212" s="168">
        <f t="shared" si="312"/>
        <v>18.583342661777632</v>
      </c>
      <c r="S212" s="212">
        <v>6.5440636898279223</v>
      </c>
      <c r="T212" s="170" t="s">
        <v>403</v>
      </c>
      <c r="U212" s="171">
        <f t="shared" si="227"/>
        <v>3.014058597180246</v>
      </c>
      <c r="V212" s="171">
        <f t="shared" ca="1" si="228"/>
        <v>1.9072558258266026</v>
      </c>
      <c r="W212" s="171">
        <f t="shared" ca="1" si="229"/>
        <v>44.979467684140445</v>
      </c>
      <c r="X212" s="172">
        <f t="shared" si="230"/>
        <v>0.20135495345148102</v>
      </c>
      <c r="Y212" s="172">
        <f t="shared" si="231"/>
        <v>0.79864504654851898</v>
      </c>
      <c r="Z212" s="173">
        <f t="shared" si="232"/>
        <v>71.081576699978541</v>
      </c>
      <c r="AA212" s="171">
        <f t="shared" si="313"/>
        <v>0</v>
      </c>
      <c r="AB212" s="171">
        <f t="shared" si="313"/>
        <v>0</v>
      </c>
      <c r="AC212" s="171">
        <f t="shared" si="313"/>
        <v>0</v>
      </c>
      <c r="AD212" s="171">
        <f t="shared" si="313"/>
        <v>0</v>
      </c>
      <c r="AE212" s="171">
        <f t="shared" si="313"/>
        <v>0</v>
      </c>
      <c r="AF212" s="171">
        <f t="shared" si="313"/>
        <v>0</v>
      </c>
      <c r="AG212" s="171">
        <f t="shared" si="313"/>
        <v>0</v>
      </c>
      <c r="AH212" s="171">
        <f t="shared" si="313"/>
        <v>0</v>
      </c>
      <c r="AI212" s="171">
        <f t="shared" si="313"/>
        <v>0</v>
      </c>
      <c r="AJ212" s="171">
        <f t="shared" si="313"/>
        <v>1.2751116601991341</v>
      </c>
      <c r="AK212" s="171">
        <f t="shared" si="314"/>
        <v>1.2751116601991341</v>
      </c>
      <c r="AL212" s="171">
        <f t="shared" si="314"/>
        <v>1.2751116601991341</v>
      </c>
      <c r="AM212" s="171">
        <f t="shared" si="314"/>
        <v>1.2751116601991341</v>
      </c>
      <c r="AN212" s="171">
        <f t="shared" si="314"/>
        <v>1.2751116601991341</v>
      </c>
      <c r="AO212" s="171">
        <f t="shared" si="314"/>
        <v>1.2751116601991341</v>
      </c>
      <c r="AP212" s="171">
        <f t="shared" si="314"/>
        <v>1.2751116601991341</v>
      </c>
      <c r="AQ212" s="171">
        <f t="shared" si="314"/>
        <v>3.6562232399167405</v>
      </c>
      <c r="AR212" s="171">
        <f t="shared" si="314"/>
        <v>3.6562232399167405</v>
      </c>
      <c r="AS212" s="171">
        <f t="shared" si="314"/>
        <v>3.6562232399167405</v>
      </c>
      <c r="AT212" s="171">
        <f t="shared" si="314"/>
        <v>3.6562232399167405</v>
      </c>
      <c r="AU212" s="171">
        <f t="shared" si="315"/>
        <v>3.6562232399167405</v>
      </c>
      <c r="AV212" s="171">
        <f t="shared" si="315"/>
        <v>3.6562232399167405</v>
      </c>
      <c r="AW212" s="171">
        <f t="shared" si="315"/>
        <v>3.6562232399167405</v>
      </c>
      <c r="AX212" s="171">
        <f t="shared" si="315"/>
        <v>3.6562232399167405</v>
      </c>
      <c r="AY212" s="171">
        <f t="shared" si="315"/>
        <v>3.6562232399167405</v>
      </c>
      <c r="AZ212" s="171">
        <f t="shared" si="315"/>
        <v>3.6562232399167405</v>
      </c>
      <c r="BA212" s="171">
        <f t="shared" si="315"/>
        <v>3.6562232399167405</v>
      </c>
      <c r="BB212" s="171">
        <f t="shared" si="315"/>
        <v>3.6562232399167405</v>
      </c>
      <c r="BC212" s="171">
        <f t="shared" si="315"/>
        <v>3.6562232399167405</v>
      </c>
      <c r="BD212" s="171">
        <f t="shared" si="315"/>
        <v>3.6562232399167405</v>
      </c>
      <c r="BE212" s="171">
        <f t="shared" si="316"/>
        <v>3.6562232399167405</v>
      </c>
      <c r="BF212" s="171">
        <f t="shared" si="316"/>
        <v>3.6562232399167405</v>
      </c>
      <c r="BG212" s="171">
        <f t="shared" si="316"/>
        <v>3.6562232399167405</v>
      </c>
      <c r="BH212" s="171">
        <f t="shared" si="316"/>
        <v>0</v>
      </c>
      <c r="BI212" s="171">
        <f t="shared" si="316"/>
        <v>0</v>
      </c>
      <c r="BJ212" s="171">
        <f t="shared" si="316"/>
        <v>0</v>
      </c>
      <c r="BK212" s="171">
        <f t="shared" si="316"/>
        <v>0</v>
      </c>
      <c r="BL212" s="171">
        <f t="shared" si="316"/>
        <v>0</v>
      </c>
      <c r="BM212" s="171">
        <f t="shared" si="316"/>
        <v>0</v>
      </c>
      <c r="BN212" s="171">
        <f t="shared" si="316"/>
        <v>0</v>
      </c>
      <c r="BO212" s="171">
        <f t="shared" si="317"/>
        <v>0</v>
      </c>
      <c r="BP212" s="171">
        <f t="shared" si="317"/>
        <v>0</v>
      </c>
      <c r="BQ212" s="171">
        <f t="shared" si="317"/>
        <v>0</v>
      </c>
      <c r="BR212" s="171">
        <f t="shared" si="317"/>
        <v>0</v>
      </c>
      <c r="BS212" s="171">
        <f t="shared" si="317"/>
        <v>0</v>
      </c>
      <c r="BT212" s="171">
        <f t="shared" si="317"/>
        <v>0</v>
      </c>
      <c r="BU212" s="171">
        <f t="shared" si="317"/>
        <v>0</v>
      </c>
      <c r="BV212" s="171">
        <f t="shared" si="317"/>
        <v>0</v>
      </c>
      <c r="BW212" s="171">
        <f t="shared" si="317"/>
        <v>0</v>
      </c>
      <c r="BX212" s="171">
        <f t="shared" si="317"/>
        <v>0</v>
      </c>
      <c r="BY212" s="171">
        <f t="shared" si="318"/>
        <v>0</v>
      </c>
      <c r="BZ212" s="171">
        <f t="shared" si="318"/>
        <v>0</v>
      </c>
      <c r="CA212" s="171">
        <f t="shared" si="318"/>
        <v>0</v>
      </c>
      <c r="CB212" s="171">
        <f t="shared" si="318"/>
        <v>0</v>
      </c>
      <c r="CC212" s="171">
        <f t="shared" si="318"/>
        <v>0</v>
      </c>
      <c r="CD212" s="171">
        <f t="shared" si="318"/>
        <v>0</v>
      </c>
      <c r="CE212" s="171">
        <f t="shared" si="318"/>
        <v>0</v>
      </c>
      <c r="CF212" s="171">
        <f t="shared" si="318"/>
        <v>0</v>
      </c>
      <c r="CG212" s="171">
        <f t="shared" si="318"/>
        <v>0</v>
      </c>
      <c r="CH212" s="171">
        <f t="shared" si="318"/>
        <v>0</v>
      </c>
      <c r="CI212" s="171">
        <f t="shared" si="318"/>
        <v>0</v>
      </c>
      <c r="CJ212" s="243"/>
      <c r="CK212" s="171">
        <f t="shared" si="233"/>
        <v>0</v>
      </c>
      <c r="CL212" s="171">
        <f t="shared" si="234"/>
        <v>0</v>
      </c>
      <c r="CM212" s="171">
        <f t="shared" si="235"/>
        <v>0</v>
      </c>
      <c r="CN212" s="171">
        <f t="shared" si="236"/>
        <v>0</v>
      </c>
      <c r="CO212" s="171">
        <f t="shared" si="237"/>
        <v>0</v>
      </c>
      <c r="CP212" s="171">
        <f t="shared" si="238"/>
        <v>0</v>
      </c>
      <c r="CQ212" s="171">
        <f t="shared" si="239"/>
        <v>0</v>
      </c>
      <c r="CR212" s="171">
        <f t="shared" si="240"/>
        <v>0</v>
      </c>
      <c r="CS212" s="171">
        <f t="shared" si="241"/>
        <v>0</v>
      </c>
      <c r="CT212" s="171">
        <f t="shared" si="242"/>
        <v>1.2751116601991341</v>
      </c>
      <c r="CU212" s="171">
        <f t="shared" si="243"/>
        <v>1.2751116601991341</v>
      </c>
      <c r="CV212" s="171">
        <f t="shared" si="244"/>
        <v>1.2751116601991341</v>
      </c>
      <c r="CW212" s="171">
        <f t="shared" si="245"/>
        <v>1.2751116601991341</v>
      </c>
      <c r="CX212" s="171">
        <f t="shared" si="246"/>
        <v>1.2751116601991341</v>
      </c>
      <c r="CY212" s="171">
        <f t="shared" ca="1" si="247"/>
        <v>1.2105491479742962</v>
      </c>
      <c r="CZ212" s="171">
        <f t="shared" ca="1" si="248"/>
        <v>1.1492556184706511</v>
      </c>
      <c r="DA212" s="171">
        <f t="shared" ca="1" si="249"/>
        <v>3.1284940438888325</v>
      </c>
      <c r="DB212" s="171">
        <f t="shared" ca="1" si="250"/>
        <v>2.9700895360652888</v>
      </c>
      <c r="DC212" s="171">
        <f t="shared" ca="1" si="251"/>
        <v>2.819705496795244</v>
      </c>
      <c r="DD212" s="171">
        <f t="shared" ca="1" si="252"/>
        <v>2.6769358270560031</v>
      </c>
      <c r="DE212" s="171">
        <f t="shared" ca="1" si="253"/>
        <v>2.5413949897677464</v>
      </c>
      <c r="DF212" s="171">
        <f t="shared" ca="1" si="254"/>
        <v>2.4127169686841672</v>
      </c>
      <c r="DG212" s="171">
        <f t="shared" ca="1" si="255"/>
        <v>2.2905542799974223</v>
      </c>
      <c r="DH212" s="171">
        <f t="shared" ca="1" si="256"/>
        <v>2.1745770339883213</v>
      </c>
      <c r="DI212" s="171">
        <f t="shared" ca="1" si="257"/>
        <v>2.0644720441878226</v>
      </c>
      <c r="DJ212" s="171">
        <f t="shared" ca="1" si="258"/>
        <v>1.9599419816442041</v>
      </c>
      <c r="DK212" s="171">
        <f t="shared" ca="1" si="259"/>
        <v>1.8607045720120816</v>
      </c>
      <c r="DL212" s="171">
        <f t="shared" ca="1" si="260"/>
        <v>1.7664918332950812</v>
      </c>
      <c r="DM212" s="171">
        <f t="shared" ca="1" si="261"/>
        <v>1.6770493521837573</v>
      </c>
      <c r="DN212" s="171">
        <f t="shared" ca="1" si="262"/>
        <v>1.5921355970345721</v>
      </c>
      <c r="DO212" s="171">
        <f t="shared" ca="1" si="263"/>
        <v>1.5115212656346921</v>
      </c>
      <c r="DP212" s="171">
        <f t="shared" ca="1" si="264"/>
        <v>1.4349886659912992</v>
      </c>
      <c r="DQ212" s="171">
        <f t="shared" ca="1" si="265"/>
        <v>1.362331128473292</v>
      </c>
      <c r="DR212" s="171">
        <f t="shared" ca="1" si="266"/>
        <v>0</v>
      </c>
      <c r="DS212" s="171">
        <f t="shared" ca="1" si="267"/>
        <v>0</v>
      </c>
      <c r="DT212" s="171">
        <f t="shared" ca="1" si="268"/>
        <v>0</v>
      </c>
      <c r="DU212" s="171">
        <f t="shared" ca="1" si="269"/>
        <v>0</v>
      </c>
      <c r="DV212" s="171">
        <f t="shared" ca="1" si="270"/>
        <v>0</v>
      </c>
      <c r="DW212" s="171">
        <f t="shared" ca="1" si="271"/>
        <v>0</v>
      </c>
      <c r="DX212" s="171">
        <f t="shared" ca="1" si="272"/>
        <v>0</v>
      </c>
      <c r="DY212" s="171">
        <f t="shared" ca="1" si="273"/>
        <v>0</v>
      </c>
      <c r="DZ212" s="171">
        <f t="shared" ca="1" si="274"/>
        <v>0</v>
      </c>
      <c r="EA212" s="171">
        <f t="shared" ca="1" si="275"/>
        <v>0</v>
      </c>
      <c r="EB212" s="171">
        <f t="shared" ca="1" si="276"/>
        <v>0</v>
      </c>
      <c r="EC212" s="171">
        <f t="shared" ca="1" si="277"/>
        <v>0</v>
      </c>
      <c r="ED212" s="171">
        <f t="shared" ca="1" si="278"/>
        <v>0</v>
      </c>
      <c r="EE212" s="171">
        <f t="shared" ca="1" si="279"/>
        <v>0</v>
      </c>
      <c r="EF212" s="171">
        <f t="shared" ca="1" si="280"/>
        <v>0</v>
      </c>
      <c r="EG212" s="171">
        <f t="shared" ca="1" si="281"/>
        <v>0</v>
      </c>
      <c r="EH212" s="171">
        <f t="shared" ca="1" si="282"/>
        <v>0</v>
      </c>
      <c r="EI212" s="171">
        <f t="shared" ca="1" si="283"/>
        <v>0</v>
      </c>
      <c r="EJ212" s="171">
        <f t="shared" ca="1" si="284"/>
        <v>0</v>
      </c>
      <c r="EK212" s="171">
        <f t="shared" ca="1" si="285"/>
        <v>0</v>
      </c>
      <c r="EL212" s="171">
        <f t="shared" ca="1" si="286"/>
        <v>0</v>
      </c>
      <c r="EM212" s="171">
        <f t="shared" ca="1" si="287"/>
        <v>0</v>
      </c>
      <c r="EN212" s="171">
        <f t="shared" ca="1" si="288"/>
        <v>0</v>
      </c>
      <c r="EO212" s="171">
        <f t="shared" ca="1" si="289"/>
        <v>0</v>
      </c>
      <c r="EP212" s="171">
        <f t="shared" ca="1" si="290"/>
        <v>0</v>
      </c>
      <c r="EQ212" s="171">
        <f t="shared" ca="1" si="291"/>
        <v>0</v>
      </c>
      <c r="ER212" s="171">
        <f t="shared" ca="1" si="292"/>
        <v>0</v>
      </c>
      <c r="ES212" s="171">
        <f t="shared" ca="1" si="293"/>
        <v>0</v>
      </c>
    </row>
    <row r="213" spans="1:149">
      <c r="A213" s="139" t="s">
        <v>554</v>
      </c>
      <c r="B213" s="160" t="s">
        <v>555</v>
      </c>
      <c r="C213" s="160" t="s">
        <v>412</v>
      </c>
      <c r="D213" s="160" t="s">
        <v>394</v>
      </c>
      <c r="E213" s="160">
        <v>2019</v>
      </c>
      <c r="F213" s="194" t="s">
        <v>405</v>
      </c>
      <c r="G213" s="194" t="s">
        <v>289</v>
      </c>
      <c r="H213" s="194" t="s">
        <v>406</v>
      </c>
      <c r="I213" s="194" t="s">
        <v>365</v>
      </c>
      <c r="J213" s="194" t="s">
        <v>397</v>
      </c>
      <c r="K213" s="187">
        <v>41</v>
      </c>
      <c r="L213" s="163" t="s">
        <v>110</v>
      </c>
      <c r="M213" s="164">
        <f t="shared" si="223"/>
        <v>41</v>
      </c>
      <c r="N213" s="164">
        <f t="shared" si="224"/>
        <v>41</v>
      </c>
      <c r="O213" s="165">
        <f t="shared" si="225"/>
        <v>1</v>
      </c>
      <c r="P213" s="176">
        <v>5.2999999999999999E-2</v>
      </c>
      <c r="Q213" s="177">
        <v>24</v>
      </c>
      <c r="R213" s="168">
        <f t="shared" si="312"/>
        <v>19</v>
      </c>
      <c r="S213" s="169">
        <v>0</v>
      </c>
      <c r="T213" s="174" t="s">
        <v>289</v>
      </c>
      <c r="U213" s="171">
        <f t="shared" si="227"/>
        <v>2.2635416666666681</v>
      </c>
      <c r="V213" s="171">
        <f t="shared" ca="1" si="228"/>
        <v>1.5498374957016148</v>
      </c>
      <c r="W213" s="171">
        <f t="shared" ca="1" si="229"/>
        <v>37.196099896838753</v>
      </c>
      <c r="X213" s="172" t="str">
        <f t="shared" si="230"/>
        <v>Equity</v>
      </c>
      <c r="Y213" s="172" t="str">
        <f t="shared" si="231"/>
        <v>Equity</v>
      </c>
      <c r="Z213" s="173">
        <f t="shared" si="232"/>
        <v>54.325000000000031</v>
      </c>
      <c r="AA213" s="171">
        <f t="shared" si="313"/>
        <v>0</v>
      </c>
      <c r="AB213" s="171">
        <f t="shared" si="313"/>
        <v>0</v>
      </c>
      <c r="AC213" s="171">
        <f t="shared" si="313"/>
        <v>0</v>
      </c>
      <c r="AD213" s="171">
        <f t="shared" si="313"/>
        <v>0</v>
      </c>
      <c r="AE213" s="171">
        <f t="shared" si="313"/>
        <v>0</v>
      </c>
      <c r="AF213" s="171">
        <f t="shared" si="313"/>
        <v>0</v>
      </c>
      <c r="AG213" s="171">
        <f t="shared" si="313"/>
        <v>0</v>
      </c>
      <c r="AH213" s="171">
        <f t="shared" si="313"/>
        <v>0</v>
      </c>
      <c r="AI213" s="171">
        <f t="shared" si="313"/>
        <v>0</v>
      </c>
      <c r="AJ213" s="171">
        <f t="shared" si="313"/>
        <v>2.173</v>
      </c>
      <c r="AK213" s="171">
        <f t="shared" si="314"/>
        <v>2.173</v>
      </c>
      <c r="AL213" s="171">
        <f t="shared" si="314"/>
        <v>2.173</v>
      </c>
      <c r="AM213" s="171">
        <f t="shared" si="314"/>
        <v>2.173</v>
      </c>
      <c r="AN213" s="171">
        <f t="shared" si="314"/>
        <v>2.173</v>
      </c>
      <c r="AO213" s="171">
        <f t="shared" si="314"/>
        <v>2.173</v>
      </c>
      <c r="AP213" s="171">
        <f t="shared" si="314"/>
        <v>2.173</v>
      </c>
      <c r="AQ213" s="171">
        <f t="shared" si="314"/>
        <v>2.173</v>
      </c>
      <c r="AR213" s="171">
        <f t="shared" si="314"/>
        <v>2.173</v>
      </c>
      <c r="AS213" s="171">
        <f t="shared" si="314"/>
        <v>2.173</v>
      </c>
      <c r="AT213" s="171">
        <f t="shared" si="314"/>
        <v>2.173</v>
      </c>
      <c r="AU213" s="171">
        <f t="shared" si="315"/>
        <v>2.173</v>
      </c>
      <c r="AV213" s="171">
        <f t="shared" si="315"/>
        <v>2.173</v>
      </c>
      <c r="AW213" s="171">
        <f t="shared" si="315"/>
        <v>2.173</v>
      </c>
      <c r="AX213" s="171">
        <f t="shared" si="315"/>
        <v>2.173</v>
      </c>
      <c r="AY213" s="171">
        <f t="shared" si="315"/>
        <v>2.173</v>
      </c>
      <c r="AZ213" s="171">
        <f t="shared" si="315"/>
        <v>2.173</v>
      </c>
      <c r="BA213" s="171">
        <f t="shared" si="315"/>
        <v>2.173</v>
      </c>
      <c r="BB213" s="171">
        <f t="shared" si="315"/>
        <v>2.173</v>
      </c>
      <c r="BC213" s="171">
        <f t="shared" si="315"/>
        <v>2.173</v>
      </c>
      <c r="BD213" s="171">
        <f t="shared" si="315"/>
        <v>2.173</v>
      </c>
      <c r="BE213" s="171">
        <f t="shared" si="316"/>
        <v>2.173</v>
      </c>
      <c r="BF213" s="171">
        <f t="shared" si="316"/>
        <v>2.173</v>
      </c>
      <c r="BG213" s="171">
        <f t="shared" si="316"/>
        <v>2.173</v>
      </c>
      <c r="BH213" s="171">
        <f t="shared" si="316"/>
        <v>2.173</v>
      </c>
      <c r="BI213" s="171">
        <f t="shared" si="316"/>
        <v>0</v>
      </c>
      <c r="BJ213" s="171">
        <f t="shared" si="316"/>
        <v>0</v>
      </c>
      <c r="BK213" s="171">
        <f t="shared" si="316"/>
        <v>0</v>
      </c>
      <c r="BL213" s="171">
        <f t="shared" si="316"/>
        <v>0</v>
      </c>
      <c r="BM213" s="171">
        <f t="shared" si="316"/>
        <v>0</v>
      </c>
      <c r="BN213" s="171">
        <f t="shared" si="316"/>
        <v>0</v>
      </c>
      <c r="BO213" s="171">
        <f t="shared" si="317"/>
        <v>0</v>
      </c>
      <c r="BP213" s="171">
        <f t="shared" si="317"/>
        <v>0</v>
      </c>
      <c r="BQ213" s="171">
        <f t="shared" si="317"/>
        <v>0</v>
      </c>
      <c r="BR213" s="171">
        <f t="shared" si="317"/>
        <v>0</v>
      </c>
      <c r="BS213" s="171">
        <f t="shared" si="317"/>
        <v>0</v>
      </c>
      <c r="BT213" s="171">
        <f t="shared" si="317"/>
        <v>0</v>
      </c>
      <c r="BU213" s="171">
        <f t="shared" si="317"/>
        <v>0</v>
      </c>
      <c r="BV213" s="171">
        <f t="shared" si="317"/>
        <v>0</v>
      </c>
      <c r="BW213" s="171">
        <f t="shared" si="317"/>
        <v>0</v>
      </c>
      <c r="BX213" s="171">
        <f t="shared" si="317"/>
        <v>0</v>
      </c>
      <c r="BY213" s="171">
        <f t="shared" si="318"/>
        <v>0</v>
      </c>
      <c r="BZ213" s="171">
        <f t="shared" si="318"/>
        <v>0</v>
      </c>
      <c r="CA213" s="171">
        <f t="shared" si="318"/>
        <v>0</v>
      </c>
      <c r="CB213" s="171">
        <f t="shared" si="318"/>
        <v>0</v>
      </c>
      <c r="CC213" s="171">
        <f t="shared" si="318"/>
        <v>0</v>
      </c>
      <c r="CD213" s="171">
        <f t="shared" si="318"/>
        <v>0</v>
      </c>
      <c r="CE213" s="171">
        <f t="shared" si="318"/>
        <v>0</v>
      </c>
      <c r="CF213" s="171">
        <f t="shared" si="318"/>
        <v>0</v>
      </c>
      <c r="CG213" s="171">
        <f t="shared" si="318"/>
        <v>0</v>
      </c>
      <c r="CH213" s="171">
        <f t="shared" si="318"/>
        <v>0</v>
      </c>
      <c r="CI213" s="171">
        <f t="shared" si="318"/>
        <v>0</v>
      </c>
      <c r="CJ213" s="243"/>
      <c r="CK213" s="171">
        <f t="shared" si="233"/>
        <v>0</v>
      </c>
      <c r="CL213" s="171">
        <f t="shared" si="234"/>
        <v>0</v>
      </c>
      <c r="CM213" s="171">
        <f t="shared" si="235"/>
        <v>0</v>
      </c>
      <c r="CN213" s="171">
        <f t="shared" si="236"/>
        <v>0</v>
      </c>
      <c r="CO213" s="171">
        <f t="shared" si="237"/>
        <v>0</v>
      </c>
      <c r="CP213" s="171">
        <f t="shared" si="238"/>
        <v>0</v>
      </c>
      <c r="CQ213" s="171">
        <f t="shared" si="239"/>
        <v>0</v>
      </c>
      <c r="CR213" s="171">
        <f t="shared" si="240"/>
        <v>0</v>
      </c>
      <c r="CS213" s="171">
        <f t="shared" si="241"/>
        <v>0</v>
      </c>
      <c r="CT213" s="171">
        <f t="shared" si="242"/>
        <v>2.173</v>
      </c>
      <c r="CU213" s="171">
        <f t="shared" si="243"/>
        <v>2.173</v>
      </c>
      <c r="CV213" s="171">
        <f t="shared" si="244"/>
        <v>2.173</v>
      </c>
      <c r="CW213" s="171">
        <f t="shared" si="245"/>
        <v>2.173</v>
      </c>
      <c r="CX213" s="171">
        <f t="shared" si="246"/>
        <v>2.173</v>
      </c>
      <c r="CY213" s="171">
        <f t="shared" ca="1" si="247"/>
        <v>2.062974859893711</v>
      </c>
      <c r="CZ213" s="171">
        <f t="shared" ca="1" si="248"/>
        <v>1.9585206040282908</v>
      </c>
      <c r="DA213" s="171">
        <f t="shared" ca="1" si="249"/>
        <v>1.8593551627676985</v>
      </c>
      <c r="DB213" s="171">
        <f t="shared" ca="1" si="250"/>
        <v>1.7652107484598898</v>
      </c>
      <c r="DC213" s="171">
        <f t="shared" ca="1" si="251"/>
        <v>1.6758331322995461</v>
      </c>
      <c r="DD213" s="171">
        <f t="shared" ca="1" si="252"/>
        <v>1.5909809578052896</v>
      </c>
      <c r="DE213" s="171">
        <f t="shared" ca="1" si="253"/>
        <v>1.5104250890574917</v>
      </c>
      <c r="DF213" s="171">
        <f t="shared" ca="1" si="254"/>
        <v>1.4339479919366427</v>
      </c>
      <c r="DG213" s="171">
        <f t="shared" ca="1" si="255"/>
        <v>1.3613431466913777</v>
      </c>
      <c r="DH213" s="171">
        <f t="shared" ca="1" si="256"/>
        <v>1.2924144902498427</v>
      </c>
      <c r="DI213" s="171">
        <f t="shared" ca="1" si="257"/>
        <v>1.2269758867684173</v>
      </c>
      <c r="DJ213" s="171">
        <f t="shared" ca="1" si="258"/>
        <v>1.1648506249880521</v>
      </c>
      <c r="DK213" s="171">
        <f t="shared" ca="1" si="259"/>
        <v>1.105870941040878</v>
      </c>
      <c r="DL213" s="171">
        <f t="shared" ca="1" si="260"/>
        <v>1.0498775654184682</v>
      </c>
      <c r="DM213" s="171">
        <f t="shared" ca="1" si="261"/>
        <v>0.99671929287837768</v>
      </c>
      <c r="DN213" s="171">
        <f t="shared" ca="1" si="262"/>
        <v>0.94625257412753316</v>
      </c>
      <c r="DO213" s="171">
        <f t="shared" ca="1" si="263"/>
        <v>0.89834112817984868</v>
      </c>
      <c r="DP213" s="171">
        <f t="shared" ca="1" si="264"/>
        <v>0.85285557434127068</v>
      </c>
      <c r="DQ213" s="171">
        <f t="shared" ca="1" si="265"/>
        <v>0.8096730828284644</v>
      </c>
      <c r="DR213" s="171">
        <f t="shared" ca="1" si="266"/>
        <v>0.76867704307766227</v>
      </c>
      <c r="DS213" s="171">
        <f t="shared" ca="1" si="267"/>
        <v>0</v>
      </c>
      <c r="DT213" s="171">
        <f t="shared" ca="1" si="268"/>
        <v>0</v>
      </c>
      <c r="DU213" s="171">
        <f t="shared" ca="1" si="269"/>
        <v>0</v>
      </c>
      <c r="DV213" s="171">
        <f t="shared" ca="1" si="270"/>
        <v>0</v>
      </c>
      <c r="DW213" s="171">
        <f t="shared" ca="1" si="271"/>
        <v>0</v>
      </c>
      <c r="DX213" s="171">
        <f t="shared" ca="1" si="272"/>
        <v>0</v>
      </c>
      <c r="DY213" s="171">
        <f t="shared" ca="1" si="273"/>
        <v>0</v>
      </c>
      <c r="DZ213" s="171">
        <f t="shared" ca="1" si="274"/>
        <v>0</v>
      </c>
      <c r="EA213" s="171">
        <f t="shared" ca="1" si="275"/>
        <v>0</v>
      </c>
      <c r="EB213" s="171">
        <f t="shared" ca="1" si="276"/>
        <v>0</v>
      </c>
      <c r="EC213" s="171">
        <f t="shared" ca="1" si="277"/>
        <v>0</v>
      </c>
      <c r="ED213" s="171">
        <f t="shared" ca="1" si="278"/>
        <v>0</v>
      </c>
      <c r="EE213" s="171">
        <f t="shared" ca="1" si="279"/>
        <v>0</v>
      </c>
      <c r="EF213" s="171">
        <f t="shared" ca="1" si="280"/>
        <v>0</v>
      </c>
      <c r="EG213" s="171">
        <f t="shared" ca="1" si="281"/>
        <v>0</v>
      </c>
      <c r="EH213" s="171">
        <f t="shared" ca="1" si="282"/>
        <v>0</v>
      </c>
      <c r="EI213" s="171">
        <f t="shared" ca="1" si="283"/>
        <v>0</v>
      </c>
      <c r="EJ213" s="171">
        <f t="shared" ca="1" si="284"/>
        <v>0</v>
      </c>
      <c r="EK213" s="171">
        <f t="shared" ca="1" si="285"/>
        <v>0</v>
      </c>
      <c r="EL213" s="171">
        <f t="shared" ca="1" si="286"/>
        <v>0</v>
      </c>
      <c r="EM213" s="171">
        <f t="shared" ca="1" si="287"/>
        <v>0</v>
      </c>
      <c r="EN213" s="171">
        <f t="shared" ca="1" si="288"/>
        <v>0</v>
      </c>
      <c r="EO213" s="171">
        <f t="shared" ca="1" si="289"/>
        <v>0</v>
      </c>
      <c r="EP213" s="171">
        <f t="shared" ca="1" si="290"/>
        <v>0</v>
      </c>
      <c r="EQ213" s="171">
        <f t="shared" ca="1" si="291"/>
        <v>0</v>
      </c>
      <c r="ER213" s="171">
        <f t="shared" ca="1" si="292"/>
        <v>0</v>
      </c>
      <c r="ES213" s="171">
        <f t="shared" ca="1" si="293"/>
        <v>0</v>
      </c>
    </row>
    <row r="214" spans="1:149">
      <c r="A214" s="139" t="s">
        <v>556</v>
      </c>
      <c r="B214" s="160" t="s">
        <v>557</v>
      </c>
      <c r="C214" s="160" t="s">
        <v>412</v>
      </c>
      <c r="D214" s="161" t="s">
        <v>394</v>
      </c>
      <c r="E214" s="160">
        <v>2019</v>
      </c>
      <c r="F214" s="194" t="s">
        <v>395</v>
      </c>
      <c r="G214" s="160" t="s">
        <v>402</v>
      </c>
      <c r="H214" s="194" t="s">
        <v>406</v>
      </c>
      <c r="I214" s="194" t="s">
        <v>178</v>
      </c>
      <c r="J214" s="189" t="s">
        <v>397</v>
      </c>
      <c r="K214" s="187">
        <v>1.1000000000000001</v>
      </c>
      <c r="L214" s="163" t="s">
        <v>110</v>
      </c>
      <c r="M214" s="164">
        <f t="shared" si="223"/>
        <v>1.1000000000000001</v>
      </c>
      <c r="N214" s="164">
        <f t="shared" si="224"/>
        <v>1.1000000000000001</v>
      </c>
      <c r="O214" s="165">
        <f t="shared" si="225"/>
        <v>1</v>
      </c>
      <c r="P214" s="180">
        <v>2.3903633306096857E-2</v>
      </c>
      <c r="Q214" s="183">
        <v>32.668289591298226</v>
      </c>
      <c r="R214" s="168">
        <f t="shared" si="312"/>
        <v>27.668289591298226</v>
      </c>
      <c r="S214" s="183">
        <v>6.9579862261231415</v>
      </c>
      <c r="T214" s="170" t="s">
        <v>403</v>
      </c>
      <c r="U214" s="171">
        <f t="shared" si="227"/>
        <v>5.0357231306036081E-2</v>
      </c>
      <c r="V214" s="171">
        <f t="shared" ca="1" si="228"/>
        <v>2.7054196164919945E-2</v>
      </c>
      <c r="W214" s="171">
        <f t="shared" ca="1" si="229"/>
        <v>0.88381431497539464</v>
      </c>
      <c r="X214" s="172">
        <f t="shared" si="230"/>
        <v>0.17920836052863021</v>
      </c>
      <c r="Y214" s="172">
        <f t="shared" si="231"/>
        <v>0.82079163947136979</v>
      </c>
      <c r="Z214" s="173">
        <f t="shared" si="232"/>
        <v>1.6450846153215757</v>
      </c>
      <c r="AA214" s="171">
        <f t="shared" si="313"/>
        <v>0</v>
      </c>
      <c r="AB214" s="171">
        <f t="shared" si="313"/>
        <v>0</v>
      </c>
      <c r="AC214" s="171">
        <f t="shared" si="313"/>
        <v>0</v>
      </c>
      <c r="AD214" s="171">
        <f t="shared" si="313"/>
        <v>0</v>
      </c>
      <c r="AE214" s="171">
        <f t="shared" si="313"/>
        <v>0</v>
      </c>
      <c r="AF214" s="171">
        <f t="shared" si="313"/>
        <v>0</v>
      </c>
      <c r="AG214" s="171">
        <f t="shared" si="313"/>
        <v>0</v>
      </c>
      <c r="AH214" s="171">
        <f t="shared" si="313"/>
        <v>0</v>
      </c>
      <c r="AI214" s="171">
        <f t="shared" si="313"/>
        <v>0</v>
      </c>
      <c r="AJ214" s="171">
        <f t="shared" si="313"/>
        <v>2.6293996636706545E-2</v>
      </c>
      <c r="AK214" s="171">
        <f t="shared" si="314"/>
        <v>2.6293996636706545E-2</v>
      </c>
      <c r="AL214" s="171">
        <f t="shared" si="314"/>
        <v>2.6293996636706545E-2</v>
      </c>
      <c r="AM214" s="171">
        <f t="shared" si="314"/>
        <v>2.6293996636706545E-2</v>
      </c>
      <c r="AN214" s="171">
        <f t="shared" si="314"/>
        <v>2.6293996636706545E-2</v>
      </c>
      <c r="AO214" s="171">
        <f t="shared" si="314"/>
        <v>2.6293996636706545E-2</v>
      </c>
      <c r="AP214" s="171">
        <f t="shared" si="314"/>
        <v>2.6293996636706545E-2</v>
      </c>
      <c r="AQ214" s="171">
        <f t="shared" si="314"/>
        <v>5.6193332264024225E-2</v>
      </c>
      <c r="AR214" s="171">
        <f t="shared" si="314"/>
        <v>5.6193332264024225E-2</v>
      </c>
      <c r="AS214" s="171">
        <f t="shared" si="314"/>
        <v>5.6193332264024225E-2</v>
      </c>
      <c r="AT214" s="171">
        <f t="shared" si="314"/>
        <v>5.6193332264024225E-2</v>
      </c>
      <c r="AU214" s="171">
        <f t="shared" si="315"/>
        <v>5.6193332264024225E-2</v>
      </c>
      <c r="AV214" s="171">
        <f t="shared" si="315"/>
        <v>5.6193332264024225E-2</v>
      </c>
      <c r="AW214" s="171">
        <f t="shared" si="315"/>
        <v>5.6193332264024225E-2</v>
      </c>
      <c r="AX214" s="171">
        <f t="shared" si="315"/>
        <v>5.6193332264024225E-2</v>
      </c>
      <c r="AY214" s="171">
        <f t="shared" si="315"/>
        <v>5.6193332264024225E-2</v>
      </c>
      <c r="AZ214" s="171">
        <f t="shared" si="315"/>
        <v>5.6193332264024225E-2</v>
      </c>
      <c r="BA214" s="171">
        <f t="shared" si="315"/>
        <v>5.6193332264024225E-2</v>
      </c>
      <c r="BB214" s="171">
        <f t="shared" si="315"/>
        <v>5.6193332264024225E-2</v>
      </c>
      <c r="BC214" s="171">
        <f t="shared" si="315"/>
        <v>5.6193332264024225E-2</v>
      </c>
      <c r="BD214" s="171">
        <f t="shared" si="315"/>
        <v>5.6193332264024225E-2</v>
      </c>
      <c r="BE214" s="171">
        <f t="shared" si="316"/>
        <v>5.6193332264024225E-2</v>
      </c>
      <c r="BF214" s="171">
        <f t="shared" si="316"/>
        <v>5.6193332264024225E-2</v>
      </c>
      <c r="BG214" s="171">
        <f t="shared" si="316"/>
        <v>5.6193332264024225E-2</v>
      </c>
      <c r="BH214" s="171">
        <f t="shared" si="316"/>
        <v>5.6193332264024225E-2</v>
      </c>
      <c r="BI214" s="171">
        <f t="shared" si="316"/>
        <v>5.6193332264024225E-2</v>
      </c>
      <c r="BJ214" s="171">
        <f t="shared" si="316"/>
        <v>5.6193332264024225E-2</v>
      </c>
      <c r="BK214" s="171">
        <f t="shared" si="316"/>
        <v>5.6193332264024225E-2</v>
      </c>
      <c r="BL214" s="171">
        <f t="shared" si="316"/>
        <v>5.6193332264024225E-2</v>
      </c>
      <c r="BM214" s="171">
        <f t="shared" si="316"/>
        <v>5.6193332264024225E-2</v>
      </c>
      <c r="BN214" s="171">
        <f t="shared" si="316"/>
        <v>5.6193332264024225E-2</v>
      </c>
      <c r="BO214" s="171">
        <f t="shared" si="317"/>
        <v>5.6193332264024225E-2</v>
      </c>
      <c r="BP214" s="171">
        <f t="shared" si="317"/>
        <v>5.6193332264024225E-2</v>
      </c>
      <c r="BQ214" s="171">
        <f t="shared" si="317"/>
        <v>0</v>
      </c>
      <c r="BR214" s="171">
        <f t="shared" si="317"/>
        <v>0</v>
      </c>
      <c r="BS214" s="171">
        <f t="shared" si="317"/>
        <v>0</v>
      </c>
      <c r="BT214" s="171">
        <f t="shared" si="317"/>
        <v>0</v>
      </c>
      <c r="BU214" s="171">
        <f t="shared" si="317"/>
        <v>0</v>
      </c>
      <c r="BV214" s="171">
        <f t="shared" si="317"/>
        <v>0</v>
      </c>
      <c r="BW214" s="171">
        <f t="shared" si="317"/>
        <v>0</v>
      </c>
      <c r="BX214" s="171">
        <f t="shared" si="317"/>
        <v>0</v>
      </c>
      <c r="BY214" s="171">
        <f t="shared" si="318"/>
        <v>0</v>
      </c>
      <c r="BZ214" s="171">
        <f t="shared" si="318"/>
        <v>0</v>
      </c>
      <c r="CA214" s="171">
        <f t="shared" si="318"/>
        <v>0</v>
      </c>
      <c r="CB214" s="171">
        <f t="shared" si="318"/>
        <v>0</v>
      </c>
      <c r="CC214" s="171">
        <f t="shared" si="318"/>
        <v>0</v>
      </c>
      <c r="CD214" s="171">
        <f t="shared" si="318"/>
        <v>0</v>
      </c>
      <c r="CE214" s="171">
        <f t="shared" si="318"/>
        <v>0</v>
      </c>
      <c r="CF214" s="171">
        <f t="shared" si="318"/>
        <v>0</v>
      </c>
      <c r="CG214" s="171">
        <f t="shared" si="318"/>
        <v>0</v>
      </c>
      <c r="CH214" s="171">
        <f t="shared" si="318"/>
        <v>0</v>
      </c>
      <c r="CI214" s="171">
        <f t="shared" si="318"/>
        <v>0</v>
      </c>
      <c r="CJ214" s="243"/>
      <c r="CK214" s="171">
        <f t="shared" si="233"/>
        <v>0</v>
      </c>
      <c r="CL214" s="171">
        <f t="shared" si="234"/>
        <v>0</v>
      </c>
      <c r="CM214" s="171">
        <f t="shared" si="235"/>
        <v>0</v>
      </c>
      <c r="CN214" s="171">
        <f t="shared" si="236"/>
        <v>0</v>
      </c>
      <c r="CO214" s="171">
        <f t="shared" si="237"/>
        <v>0</v>
      </c>
      <c r="CP214" s="171">
        <f t="shared" si="238"/>
        <v>0</v>
      </c>
      <c r="CQ214" s="171">
        <f t="shared" si="239"/>
        <v>0</v>
      </c>
      <c r="CR214" s="171">
        <f t="shared" si="240"/>
        <v>0</v>
      </c>
      <c r="CS214" s="171">
        <f t="shared" si="241"/>
        <v>0</v>
      </c>
      <c r="CT214" s="171">
        <f t="shared" si="242"/>
        <v>2.6293996636706545E-2</v>
      </c>
      <c r="CU214" s="171">
        <f t="shared" si="243"/>
        <v>2.6293996636706545E-2</v>
      </c>
      <c r="CV214" s="171">
        <f t="shared" si="244"/>
        <v>2.6293996636706545E-2</v>
      </c>
      <c r="CW214" s="171">
        <f t="shared" si="245"/>
        <v>2.6293996636706545E-2</v>
      </c>
      <c r="CX214" s="171">
        <f t="shared" si="246"/>
        <v>2.6293996636706545E-2</v>
      </c>
      <c r="CY214" s="171">
        <f t="shared" ca="1" si="247"/>
        <v>2.4962657168732347E-2</v>
      </c>
      <c r="CZ214" s="171">
        <f t="shared" ca="1" si="248"/>
        <v>2.3698727186028692E-2</v>
      </c>
      <c r="DA214" s="171">
        <f t="shared" ca="1" si="249"/>
        <v>4.808254139817493E-2</v>
      </c>
      <c r="DB214" s="171">
        <f t="shared" ca="1" si="250"/>
        <v>4.5647986242169113E-2</v>
      </c>
      <c r="DC214" s="171">
        <f t="shared" ca="1" si="251"/>
        <v>4.3336699504081387E-2</v>
      </c>
      <c r="DD214" s="171">
        <f t="shared" ca="1" si="252"/>
        <v>4.1142439755033657E-2</v>
      </c>
      <c r="DE214" s="171">
        <f t="shared" ca="1" si="253"/>
        <v>3.9059281587356651E-2</v>
      </c>
      <c r="DF214" s="171">
        <f t="shared" ca="1" si="254"/>
        <v>3.7081599613541689E-2</v>
      </c>
      <c r="DG214" s="171">
        <f t="shared" ca="1" si="255"/>
        <v>3.520405327537085E-2</v>
      </c>
      <c r="DH214" s="171">
        <f t="shared" ca="1" si="256"/>
        <v>3.3421572422203817E-2</v>
      </c>
      <c r="DI214" s="171">
        <f t="shared" ca="1" si="257"/>
        <v>3.1729343619476956E-2</v>
      </c>
      <c r="DJ214" s="171">
        <f t="shared" ca="1" si="258"/>
        <v>3.0122797150441732E-2</v>
      </c>
      <c r="DK214" s="171">
        <f t="shared" ca="1" si="259"/>
        <v>2.8597594676041969E-2</v>
      </c>
      <c r="DL214" s="171">
        <f t="shared" ca="1" si="260"/>
        <v>2.7149617519606449E-2</v>
      </c>
      <c r="DM214" s="171">
        <f t="shared" ca="1" si="261"/>
        <v>2.5774955544720642E-2</v>
      </c>
      <c r="DN214" s="171">
        <f t="shared" ca="1" si="262"/>
        <v>2.4469896596243296E-2</v>
      </c>
      <c r="DO214" s="171">
        <f t="shared" ca="1" si="263"/>
        <v>2.3230916475954263E-2</v>
      </c>
      <c r="DP214" s="171">
        <f t="shared" ca="1" si="264"/>
        <v>2.2054669425763569E-2</v>
      </c>
      <c r="DQ214" s="171">
        <f t="shared" ca="1" si="265"/>
        <v>2.0937979092782655E-2</v>
      </c>
      <c r="DR214" s="171">
        <f t="shared" ca="1" si="266"/>
        <v>1.9877829951859521E-2</v>
      </c>
      <c r="DS214" s="171">
        <f t="shared" ca="1" si="267"/>
        <v>1.887135916241528E-2</v>
      </c>
      <c r="DT214" s="171">
        <f t="shared" ca="1" si="268"/>
        <v>1.7915848837592063E-2</v>
      </c>
      <c r="DU214" s="171">
        <f t="shared" ca="1" si="269"/>
        <v>1.700871870483589E-2</v>
      </c>
      <c r="DV214" s="171">
        <f t="shared" ca="1" si="270"/>
        <v>1.6147519138094965E-2</v>
      </c>
      <c r="DW214" s="171">
        <f t="shared" ca="1" si="271"/>
        <v>1.5329924542817525E-2</v>
      </c>
      <c r="DX214" s="171">
        <f t="shared" ca="1" si="272"/>
        <v>1.4553727075885937E-2</v>
      </c>
      <c r="DY214" s="171">
        <f t="shared" ca="1" si="273"/>
        <v>1.3816830683528345E-2</v>
      </c>
      <c r="DZ214" s="171">
        <f t="shared" ca="1" si="274"/>
        <v>1.311724544110769E-2</v>
      </c>
      <c r="EA214" s="171">
        <f t="shared" ca="1" si="275"/>
        <v>0</v>
      </c>
      <c r="EB214" s="171">
        <f t="shared" ca="1" si="276"/>
        <v>0</v>
      </c>
      <c r="EC214" s="171">
        <f t="shared" ca="1" si="277"/>
        <v>0</v>
      </c>
      <c r="ED214" s="171">
        <f t="shared" ca="1" si="278"/>
        <v>0</v>
      </c>
      <c r="EE214" s="171">
        <f t="shared" ca="1" si="279"/>
        <v>0</v>
      </c>
      <c r="EF214" s="171">
        <f t="shared" ca="1" si="280"/>
        <v>0</v>
      </c>
      <c r="EG214" s="171">
        <f t="shared" ca="1" si="281"/>
        <v>0</v>
      </c>
      <c r="EH214" s="171">
        <f t="shared" ca="1" si="282"/>
        <v>0</v>
      </c>
      <c r="EI214" s="171">
        <f t="shared" ca="1" si="283"/>
        <v>0</v>
      </c>
      <c r="EJ214" s="171">
        <f t="shared" ca="1" si="284"/>
        <v>0</v>
      </c>
      <c r="EK214" s="171">
        <f t="shared" ca="1" si="285"/>
        <v>0</v>
      </c>
      <c r="EL214" s="171">
        <f t="shared" ca="1" si="286"/>
        <v>0</v>
      </c>
      <c r="EM214" s="171">
        <f t="shared" ca="1" si="287"/>
        <v>0</v>
      </c>
      <c r="EN214" s="171">
        <f t="shared" ca="1" si="288"/>
        <v>0</v>
      </c>
      <c r="EO214" s="171">
        <f t="shared" ca="1" si="289"/>
        <v>0</v>
      </c>
      <c r="EP214" s="171">
        <f t="shared" ca="1" si="290"/>
        <v>0</v>
      </c>
      <c r="EQ214" s="171">
        <f t="shared" ca="1" si="291"/>
        <v>0</v>
      </c>
      <c r="ER214" s="171">
        <f t="shared" ca="1" si="292"/>
        <v>0</v>
      </c>
      <c r="ES214" s="171">
        <f t="shared" ca="1" si="293"/>
        <v>0</v>
      </c>
    </row>
    <row r="215" spans="1:149">
      <c r="A215" s="139" t="s">
        <v>558</v>
      </c>
      <c r="B215" s="161" t="s">
        <v>559</v>
      </c>
      <c r="C215" s="161" t="s">
        <v>412</v>
      </c>
      <c r="D215" s="161" t="s">
        <v>394</v>
      </c>
      <c r="E215" s="161">
        <v>2023</v>
      </c>
      <c r="F215" s="189" t="s">
        <v>405</v>
      </c>
      <c r="G215" s="161" t="s">
        <v>289</v>
      </c>
      <c r="H215" s="189" t="s">
        <v>406</v>
      </c>
      <c r="I215" s="189" t="s">
        <v>365</v>
      </c>
      <c r="J215" s="189" t="s">
        <v>397</v>
      </c>
      <c r="K215" s="182">
        <v>14.725</v>
      </c>
      <c r="L215" s="163" t="s">
        <v>110</v>
      </c>
      <c r="M215" s="164">
        <f t="shared" si="223"/>
        <v>14.725</v>
      </c>
      <c r="N215" s="164">
        <f t="shared" si="224"/>
        <v>14.725</v>
      </c>
      <c r="O215" s="165">
        <f t="shared" si="225"/>
        <v>1</v>
      </c>
      <c r="P215" s="176">
        <v>5.2999999999999999E-2</v>
      </c>
      <c r="Q215" s="177">
        <v>24</v>
      </c>
      <c r="R215" s="168">
        <f t="shared" si="312"/>
        <v>23</v>
      </c>
      <c r="S215" s="169">
        <v>0</v>
      </c>
      <c r="T215" s="161" t="s">
        <v>289</v>
      </c>
      <c r="U215" s="171">
        <f t="shared" si="227"/>
        <v>0.81294270833333326</v>
      </c>
      <c r="V215" s="171">
        <f t="shared" ca="1" si="228"/>
        <v>0.46702219619700963</v>
      </c>
      <c r="W215" s="171">
        <f t="shared" ca="1" si="229"/>
        <v>11.208532708728232</v>
      </c>
      <c r="X215" s="172" t="str">
        <f t="shared" si="230"/>
        <v>Equity</v>
      </c>
      <c r="Y215" s="172" t="str">
        <f t="shared" si="231"/>
        <v>Equity</v>
      </c>
      <c r="Z215" s="173">
        <f t="shared" si="232"/>
        <v>19.510624999999997</v>
      </c>
      <c r="AA215" s="171">
        <f t="shared" si="313"/>
        <v>0</v>
      </c>
      <c r="AB215" s="171">
        <f t="shared" si="313"/>
        <v>0</v>
      </c>
      <c r="AC215" s="171">
        <f t="shared" si="313"/>
        <v>0</v>
      </c>
      <c r="AD215" s="171">
        <f t="shared" si="313"/>
        <v>0</v>
      </c>
      <c r="AE215" s="171">
        <f t="shared" si="313"/>
        <v>0</v>
      </c>
      <c r="AF215" s="171">
        <f t="shared" si="313"/>
        <v>0</v>
      </c>
      <c r="AG215" s="171">
        <f t="shared" si="313"/>
        <v>0</v>
      </c>
      <c r="AH215" s="171">
        <f t="shared" si="313"/>
        <v>0</v>
      </c>
      <c r="AI215" s="171">
        <f t="shared" si="313"/>
        <v>0</v>
      </c>
      <c r="AJ215" s="171">
        <f t="shared" si="313"/>
        <v>0</v>
      </c>
      <c r="AK215" s="171">
        <f t="shared" si="314"/>
        <v>0</v>
      </c>
      <c r="AL215" s="171">
        <f t="shared" si="314"/>
        <v>0</v>
      </c>
      <c r="AM215" s="171">
        <f t="shared" si="314"/>
        <v>0</v>
      </c>
      <c r="AN215" s="171">
        <f t="shared" si="314"/>
        <v>0.78042499999999992</v>
      </c>
      <c r="AO215" s="171">
        <f t="shared" si="314"/>
        <v>0.78042499999999992</v>
      </c>
      <c r="AP215" s="171">
        <f t="shared" si="314"/>
        <v>0.78042499999999992</v>
      </c>
      <c r="AQ215" s="171">
        <f t="shared" si="314"/>
        <v>0.78042499999999992</v>
      </c>
      <c r="AR215" s="171">
        <f t="shared" si="314"/>
        <v>0.78042499999999992</v>
      </c>
      <c r="AS215" s="171">
        <f t="shared" si="314"/>
        <v>0.78042499999999992</v>
      </c>
      <c r="AT215" s="171">
        <f t="shared" si="314"/>
        <v>0.78042499999999992</v>
      </c>
      <c r="AU215" s="171">
        <f t="shared" si="315"/>
        <v>0.78042499999999992</v>
      </c>
      <c r="AV215" s="171">
        <f t="shared" si="315"/>
        <v>0.78042499999999992</v>
      </c>
      <c r="AW215" s="171">
        <f t="shared" si="315"/>
        <v>0.78042499999999992</v>
      </c>
      <c r="AX215" s="171">
        <f t="shared" si="315"/>
        <v>0.78042499999999992</v>
      </c>
      <c r="AY215" s="171">
        <f t="shared" si="315"/>
        <v>0.78042499999999992</v>
      </c>
      <c r="AZ215" s="171">
        <f t="shared" si="315"/>
        <v>0.78042499999999992</v>
      </c>
      <c r="BA215" s="171">
        <f t="shared" si="315"/>
        <v>0.78042499999999992</v>
      </c>
      <c r="BB215" s="171">
        <f t="shared" si="315"/>
        <v>0.78042499999999992</v>
      </c>
      <c r="BC215" s="171">
        <f t="shared" si="315"/>
        <v>0.78042499999999992</v>
      </c>
      <c r="BD215" s="171">
        <f t="shared" si="315"/>
        <v>0.78042499999999992</v>
      </c>
      <c r="BE215" s="171">
        <f t="shared" si="316"/>
        <v>0.78042499999999992</v>
      </c>
      <c r="BF215" s="171">
        <f t="shared" si="316"/>
        <v>0.78042499999999992</v>
      </c>
      <c r="BG215" s="171">
        <f t="shared" si="316"/>
        <v>0.78042499999999992</v>
      </c>
      <c r="BH215" s="171">
        <f t="shared" si="316"/>
        <v>0.78042499999999992</v>
      </c>
      <c r="BI215" s="171">
        <f t="shared" si="316"/>
        <v>0.78042499999999992</v>
      </c>
      <c r="BJ215" s="171">
        <f t="shared" si="316"/>
        <v>0.78042499999999992</v>
      </c>
      <c r="BK215" s="171">
        <f t="shared" si="316"/>
        <v>0.78042499999999992</v>
      </c>
      <c r="BL215" s="171">
        <f t="shared" si="316"/>
        <v>0.78042499999999992</v>
      </c>
      <c r="BM215" s="171">
        <f t="shared" si="316"/>
        <v>0</v>
      </c>
      <c r="BN215" s="171">
        <f t="shared" si="316"/>
        <v>0</v>
      </c>
      <c r="BO215" s="171">
        <f t="shared" si="317"/>
        <v>0</v>
      </c>
      <c r="BP215" s="171">
        <f t="shared" si="317"/>
        <v>0</v>
      </c>
      <c r="BQ215" s="171">
        <f t="shared" si="317"/>
        <v>0</v>
      </c>
      <c r="BR215" s="171">
        <f t="shared" si="317"/>
        <v>0</v>
      </c>
      <c r="BS215" s="171">
        <f t="shared" si="317"/>
        <v>0</v>
      </c>
      <c r="BT215" s="171">
        <f t="shared" si="317"/>
        <v>0</v>
      </c>
      <c r="BU215" s="171">
        <f t="shared" si="317"/>
        <v>0</v>
      </c>
      <c r="BV215" s="171">
        <f t="shared" si="317"/>
        <v>0</v>
      </c>
      <c r="BW215" s="171">
        <f t="shared" si="317"/>
        <v>0</v>
      </c>
      <c r="BX215" s="171">
        <f t="shared" si="317"/>
        <v>0</v>
      </c>
      <c r="BY215" s="171">
        <f t="shared" si="318"/>
        <v>0</v>
      </c>
      <c r="BZ215" s="171">
        <f t="shared" si="318"/>
        <v>0</v>
      </c>
      <c r="CA215" s="171">
        <f t="shared" si="318"/>
        <v>0</v>
      </c>
      <c r="CB215" s="171">
        <f t="shared" si="318"/>
        <v>0</v>
      </c>
      <c r="CC215" s="171">
        <f t="shared" si="318"/>
        <v>0</v>
      </c>
      <c r="CD215" s="171">
        <f t="shared" si="318"/>
        <v>0</v>
      </c>
      <c r="CE215" s="171">
        <f t="shared" si="318"/>
        <v>0</v>
      </c>
      <c r="CF215" s="171">
        <f t="shared" si="318"/>
        <v>0</v>
      </c>
      <c r="CG215" s="171">
        <f t="shared" si="318"/>
        <v>0</v>
      </c>
      <c r="CH215" s="171">
        <f t="shared" si="318"/>
        <v>0</v>
      </c>
      <c r="CI215" s="171">
        <f t="shared" si="318"/>
        <v>0</v>
      </c>
      <c r="CJ215" s="243"/>
      <c r="CK215" s="171">
        <f t="shared" si="233"/>
        <v>0</v>
      </c>
      <c r="CL215" s="171">
        <f t="shared" si="234"/>
        <v>0</v>
      </c>
      <c r="CM215" s="171">
        <f t="shared" si="235"/>
        <v>0</v>
      </c>
      <c r="CN215" s="171">
        <f t="shared" si="236"/>
        <v>0</v>
      </c>
      <c r="CO215" s="171">
        <f t="shared" si="237"/>
        <v>0</v>
      </c>
      <c r="CP215" s="171">
        <f t="shared" si="238"/>
        <v>0</v>
      </c>
      <c r="CQ215" s="171">
        <f t="shared" si="239"/>
        <v>0</v>
      </c>
      <c r="CR215" s="171">
        <f t="shared" si="240"/>
        <v>0</v>
      </c>
      <c r="CS215" s="171">
        <f t="shared" si="241"/>
        <v>0</v>
      </c>
      <c r="CT215" s="171">
        <f t="shared" si="242"/>
        <v>0</v>
      </c>
      <c r="CU215" s="171">
        <f t="shared" si="243"/>
        <v>0</v>
      </c>
      <c r="CV215" s="171">
        <f t="shared" si="244"/>
        <v>0</v>
      </c>
      <c r="CW215" s="171">
        <f t="shared" si="245"/>
        <v>0</v>
      </c>
      <c r="CX215" s="171">
        <f t="shared" si="246"/>
        <v>0.78042499999999992</v>
      </c>
      <c r="CY215" s="171">
        <f t="shared" ca="1" si="247"/>
        <v>0.74090987346182657</v>
      </c>
      <c r="CZ215" s="171">
        <f t="shared" ca="1" si="248"/>
        <v>0.70339550961747754</v>
      </c>
      <c r="DA215" s="171">
        <f t="shared" ca="1" si="249"/>
        <v>0.66778060418913066</v>
      </c>
      <c r="DB215" s="171">
        <f t="shared" ca="1" si="250"/>
        <v>0.63396898222126519</v>
      </c>
      <c r="DC215" s="171">
        <f t="shared" ca="1" si="251"/>
        <v>0.60186933836855638</v>
      </c>
      <c r="DD215" s="171">
        <f t="shared" ca="1" si="252"/>
        <v>0.57139499033372898</v>
      </c>
      <c r="DE215" s="171">
        <f t="shared" ca="1" si="253"/>
        <v>0.54246364478955034</v>
      </c>
      <c r="DF215" s="171">
        <f t="shared" ca="1" si="254"/>
        <v>0.51499717515285515</v>
      </c>
      <c r="DG215" s="171">
        <f t="shared" ca="1" si="255"/>
        <v>0.48892141061050082</v>
      </c>
      <c r="DH215" s="171">
        <f t="shared" ca="1" si="256"/>
        <v>0.46416593582753485</v>
      </c>
      <c r="DI215" s="171">
        <f t="shared" ca="1" si="257"/>
        <v>0.44066390079670587</v>
      </c>
      <c r="DJ215" s="171">
        <f t="shared" ca="1" si="258"/>
        <v>0.41835184031583084</v>
      </c>
      <c r="DK215" s="171">
        <f t="shared" ca="1" si="259"/>
        <v>0.3971695026055348</v>
      </c>
      <c r="DL215" s="171">
        <f t="shared" ca="1" si="260"/>
        <v>0.37705968660455957</v>
      </c>
      <c r="DM215" s="171">
        <f t="shared" ca="1" si="261"/>
        <v>0.35796808750327097</v>
      </c>
      <c r="DN215" s="171">
        <f t="shared" ca="1" si="262"/>
        <v>0.33984315009824206</v>
      </c>
      <c r="DO215" s="171">
        <f t="shared" ca="1" si="263"/>
        <v>0.32263592957190901</v>
      </c>
      <c r="DP215" s="171">
        <f t="shared" ca="1" si="264"/>
        <v>0.30629995932134657</v>
      </c>
      <c r="DQ215" s="171">
        <f t="shared" ca="1" si="265"/>
        <v>0.29079112547924724</v>
      </c>
      <c r="DR215" s="171">
        <f t="shared" ca="1" si="266"/>
        <v>0.27606754778825793</v>
      </c>
      <c r="DS215" s="171">
        <f t="shared" ca="1" si="267"/>
        <v>0.2620894665069865</v>
      </c>
      <c r="DT215" s="171">
        <f t="shared" ca="1" si="268"/>
        <v>0.24881913504227701</v>
      </c>
      <c r="DU215" s="171">
        <f t="shared" ca="1" si="269"/>
        <v>0.23622071801781672</v>
      </c>
      <c r="DV215" s="171">
        <f t="shared" ca="1" si="270"/>
        <v>0.22426019450381834</v>
      </c>
      <c r="DW215" s="171">
        <f t="shared" ca="1" si="271"/>
        <v>0</v>
      </c>
      <c r="DX215" s="171">
        <f t="shared" ca="1" si="272"/>
        <v>0</v>
      </c>
      <c r="DY215" s="171">
        <f t="shared" ca="1" si="273"/>
        <v>0</v>
      </c>
      <c r="DZ215" s="171">
        <f t="shared" ca="1" si="274"/>
        <v>0</v>
      </c>
      <c r="EA215" s="171">
        <f t="shared" ca="1" si="275"/>
        <v>0</v>
      </c>
      <c r="EB215" s="171">
        <f t="shared" ca="1" si="276"/>
        <v>0</v>
      </c>
      <c r="EC215" s="171">
        <f t="shared" ca="1" si="277"/>
        <v>0</v>
      </c>
      <c r="ED215" s="171">
        <f t="shared" ca="1" si="278"/>
        <v>0</v>
      </c>
      <c r="EE215" s="171">
        <f t="shared" ca="1" si="279"/>
        <v>0</v>
      </c>
      <c r="EF215" s="171">
        <f t="shared" ca="1" si="280"/>
        <v>0</v>
      </c>
      <c r="EG215" s="171">
        <f t="shared" ca="1" si="281"/>
        <v>0</v>
      </c>
      <c r="EH215" s="171">
        <f t="shared" ca="1" si="282"/>
        <v>0</v>
      </c>
      <c r="EI215" s="171">
        <f t="shared" ca="1" si="283"/>
        <v>0</v>
      </c>
      <c r="EJ215" s="171">
        <f t="shared" ca="1" si="284"/>
        <v>0</v>
      </c>
      <c r="EK215" s="171">
        <f t="shared" ca="1" si="285"/>
        <v>0</v>
      </c>
      <c r="EL215" s="171">
        <f t="shared" ca="1" si="286"/>
        <v>0</v>
      </c>
      <c r="EM215" s="171">
        <f t="shared" ca="1" si="287"/>
        <v>0</v>
      </c>
      <c r="EN215" s="171">
        <f t="shared" ca="1" si="288"/>
        <v>0</v>
      </c>
      <c r="EO215" s="171">
        <f t="shared" ca="1" si="289"/>
        <v>0</v>
      </c>
      <c r="EP215" s="171">
        <f t="shared" ca="1" si="290"/>
        <v>0</v>
      </c>
      <c r="EQ215" s="171">
        <f t="shared" ca="1" si="291"/>
        <v>0</v>
      </c>
      <c r="ER215" s="171">
        <f t="shared" ca="1" si="292"/>
        <v>0</v>
      </c>
      <c r="ES215" s="171">
        <f t="shared" ca="1" si="293"/>
        <v>0</v>
      </c>
    </row>
    <row r="216" spans="1:149">
      <c r="A216" s="139" t="s">
        <v>558</v>
      </c>
      <c r="B216" s="160" t="s">
        <v>560</v>
      </c>
      <c r="C216" s="160" t="s">
        <v>412</v>
      </c>
      <c r="D216" s="161" t="s">
        <v>394</v>
      </c>
      <c r="E216" s="160">
        <v>2023</v>
      </c>
      <c r="F216" s="194" t="s">
        <v>405</v>
      </c>
      <c r="G216" s="160" t="s">
        <v>289</v>
      </c>
      <c r="H216" s="194" t="s">
        <v>406</v>
      </c>
      <c r="I216" s="194" t="s">
        <v>365</v>
      </c>
      <c r="J216" s="194" t="s">
        <v>397</v>
      </c>
      <c r="K216" s="182">
        <v>14.725</v>
      </c>
      <c r="L216" s="163" t="s">
        <v>110</v>
      </c>
      <c r="M216" s="164">
        <f t="shared" si="223"/>
        <v>14.725</v>
      </c>
      <c r="N216" s="164">
        <f t="shared" si="224"/>
        <v>14.725</v>
      </c>
      <c r="O216" s="165">
        <f t="shared" si="225"/>
        <v>1</v>
      </c>
      <c r="P216" s="176">
        <v>5.2999999999999999E-2</v>
      </c>
      <c r="Q216" s="177">
        <v>24</v>
      </c>
      <c r="R216" s="168">
        <f t="shared" si="312"/>
        <v>23</v>
      </c>
      <c r="S216" s="178">
        <v>0</v>
      </c>
      <c r="T216" s="160" t="s">
        <v>289</v>
      </c>
      <c r="U216" s="171">
        <f t="shared" si="227"/>
        <v>0.81294270833333326</v>
      </c>
      <c r="V216" s="171">
        <f t="shared" ca="1" si="228"/>
        <v>0.46702219619700963</v>
      </c>
      <c r="W216" s="171">
        <f t="shared" ca="1" si="229"/>
        <v>11.208532708728232</v>
      </c>
      <c r="X216" s="172" t="str">
        <f t="shared" si="230"/>
        <v>Equity</v>
      </c>
      <c r="Y216" s="172" t="str">
        <f t="shared" si="231"/>
        <v>Equity</v>
      </c>
      <c r="Z216" s="173">
        <f t="shared" si="232"/>
        <v>19.510624999999997</v>
      </c>
      <c r="AA216" s="171">
        <f t="shared" si="313"/>
        <v>0</v>
      </c>
      <c r="AB216" s="171">
        <f t="shared" si="313"/>
        <v>0</v>
      </c>
      <c r="AC216" s="171">
        <f t="shared" si="313"/>
        <v>0</v>
      </c>
      <c r="AD216" s="171">
        <f t="shared" si="313"/>
        <v>0</v>
      </c>
      <c r="AE216" s="171">
        <f t="shared" si="313"/>
        <v>0</v>
      </c>
      <c r="AF216" s="171">
        <f t="shared" si="313"/>
        <v>0</v>
      </c>
      <c r="AG216" s="171">
        <f t="shared" si="313"/>
        <v>0</v>
      </c>
      <c r="AH216" s="171">
        <f t="shared" si="313"/>
        <v>0</v>
      </c>
      <c r="AI216" s="171">
        <f t="shared" si="313"/>
        <v>0</v>
      </c>
      <c r="AJ216" s="171">
        <f t="shared" si="313"/>
        <v>0</v>
      </c>
      <c r="AK216" s="171">
        <f t="shared" si="314"/>
        <v>0</v>
      </c>
      <c r="AL216" s="171">
        <f t="shared" si="314"/>
        <v>0</v>
      </c>
      <c r="AM216" s="171">
        <f t="shared" si="314"/>
        <v>0</v>
      </c>
      <c r="AN216" s="171">
        <f t="shared" si="314"/>
        <v>0.78042499999999992</v>
      </c>
      <c r="AO216" s="171">
        <f t="shared" si="314"/>
        <v>0.78042499999999992</v>
      </c>
      <c r="AP216" s="171">
        <f t="shared" si="314"/>
        <v>0.78042499999999992</v>
      </c>
      <c r="AQ216" s="171">
        <f t="shared" si="314"/>
        <v>0.78042499999999992</v>
      </c>
      <c r="AR216" s="171">
        <f t="shared" si="314"/>
        <v>0.78042499999999992</v>
      </c>
      <c r="AS216" s="171">
        <f t="shared" si="314"/>
        <v>0.78042499999999992</v>
      </c>
      <c r="AT216" s="171">
        <f t="shared" si="314"/>
        <v>0.78042499999999992</v>
      </c>
      <c r="AU216" s="171">
        <f t="shared" si="315"/>
        <v>0.78042499999999992</v>
      </c>
      <c r="AV216" s="171">
        <f t="shared" si="315"/>
        <v>0.78042499999999992</v>
      </c>
      <c r="AW216" s="171">
        <f t="shared" si="315"/>
        <v>0.78042499999999992</v>
      </c>
      <c r="AX216" s="171">
        <f t="shared" si="315"/>
        <v>0.78042499999999992</v>
      </c>
      <c r="AY216" s="171">
        <f t="shared" si="315"/>
        <v>0.78042499999999992</v>
      </c>
      <c r="AZ216" s="171">
        <f t="shared" si="315"/>
        <v>0.78042499999999992</v>
      </c>
      <c r="BA216" s="171">
        <f t="shared" si="315"/>
        <v>0.78042499999999992</v>
      </c>
      <c r="BB216" s="171">
        <f t="shared" si="315"/>
        <v>0.78042499999999992</v>
      </c>
      <c r="BC216" s="171">
        <f t="shared" si="315"/>
        <v>0.78042499999999992</v>
      </c>
      <c r="BD216" s="171">
        <f t="shared" si="315"/>
        <v>0.78042499999999992</v>
      </c>
      <c r="BE216" s="171">
        <f t="shared" si="316"/>
        <v>0.78042499999999992</v>
      </c>
      <c r="BF216" s="171">
        <f t="shared" si="316"/>
        <v>0.78042499999999992</v>
      </c>
      <c r="BG216" s="171">
        <f t="shared" si="316"/>
        <v>0.78042499999999992</v>
      </c>
      <c r="BH216" s="171">
        <f t="shared" si="316"/>
        <v>0.78042499999999992</v>
      </c>
      <c r="BI216" s="171">
        <f t="shared" si="316"/>
        <v>0.78042499999999992</v>
      </c>
      <c r="BJ216" s="171">
        <f t="shared" si="316"/>
        <v>0.78042499999999992</v>
      </c>
      <c r="BK216" s="171">
        <f t="shared" si="316"/>
        <v>0.78042499999999992</v>
      </c>
      <c r="BL216" s="171">
        <f t="shared" si="316"/>
        <v>0.78042499999999992</v>
      </c>
      <c r="BM216" s="171">
        <f t="shared" si="316"/>
        <v>0</v>
      </c>
      <c r="BN216" s="171">
        <f t="shared" si="316"/>
        <v>0</v>
      </c>
      <c r="BO216" s="171">
        <f t="shared" si="317"/>
        <v>0</v>
      </c>
      <c r="BP216" s="171">
        <f t="shared" si="317"/>
        <v>0</v>
      </c>
      <c r="BQ216" s="171">
        <f t="shared" si="317"/>
        <v>0</v>
      </c>
      <c r="BR216" s="171">
        <f t="shared" si="317"/>
        <v>0</v>
      </c>
      <c r="BS216" s="171">
        <f t="shared" si="317"/>
        <v>0</v>
      </c>
      <c r="BT216" s="171">
        <f t="shared" si="317"/>
        <v>0</v>
      </c>
      <c r="BU216" s="171">
        <f t="shared" si="317"/>
        <v>0</v>
      </c>
      <c r="BV216" s="171">
        <f t="shared" si="317"/>
        <v>0</v>
      </c>
      <c r="BW216" s="171">
        <f t="shared" si="317"/>
        <v>0</v>
      </c>
      <c r="BX216" s="171">
        <f t="shared" si="317"/>
        <v>0</v>
      </c>
      <c r="BY216" s="171">
        <f t="shared" si="318"/>
        <v>0</v>
      </c>
      <c r="BZ216" s="171">
        <f t="shared" si="318"/>
        <v>0</v>
      </c>
      <c r="CA216" s="171">
        <f t="shared" si="318"/>
        <v>0</v>
      </c>
      <c r="CB216" s="171">
        <f t="shared" si="318"/>
        <v>0</v>
      </c>
      <c r="CC216" s="171">
        <f t="shared" si="318"/>
        <v>0</v>
      </c>
      <c r="CD216" s="171">
        <f t="shared" si="318"/>
        <v>0</v>
      </c>
      <c r="CE216" s="171">
        <f t="shared" si="318"/>
        <v>0</v>
      </c>
      <c r="CF216" s="171">
        <f t="shared" si="318"/>
        <v>0</v>
      </c>
      <c r="CG216" s="171">
        <f t="shared" si="318"/>
        <v>0</v>
      </c>
      <c r="CH216" s="171">
        <f t="shared" si="318"/>
        <v>0</v>
      </c>
      <c r="CI216" s="171">
        <f t="shared" si="318"/>
        <v>0</v>
      </c>
      <c r="CJ216" s="243"/>
      <c r="CK216" s="171">
        <f t="shared" si="233"/>
        <v>0</v>
      </c>
      <c r="CL216" s="171">
        <f t="shared" si="234"/>
        <v>0</v>
      </c>
      <c r="CM216" s="171">
        <f t="shared" si="235"/>
        <v>0</v>
      </c>
      <c r="CN216" s="171">
        <f t="shared" si="236"/>
        <v>0</v>
      </c>
      <c r="CO216" s="171">
        <f t="shared" si="237"/>
        <v>0</v>
      </c>
      <c r="CP216" s="171">
        <f t="shared" si="238"/>
        <v>0</v>
      </c>
      <c r="CQ216" s="171">
        <f t="shared" si="239"/>
        <v>0</v>
      </c>
      <c r="CR216" s="171">
        <f t="shared" si="240"/>
        <v>0</v>
      </c>
      <c r="CS216" s="171">
        <f t="shared" si="241"/>
        <v>0</v>
      </c>
      <c r="CT216" s="171">
        <f t="shared" si="242"/>
        <v>0</v>
      </c>
      <c r="CU216" s="171">
        <f t="shared" si="243"/>
        <v>0</v>
      </c>
      <c r="CV216" s="171">
        <f t="shared" si="244"/>
        <v>0</v>
      </c>
      <c r="CW216" s="171">
        <f t="shared" si="245"/>
        <v>0</v>
      </c>
      <c r="CX216" s="171">
        <f t="shared" si="246"/>
        <v>0.78042499999999992</v>
      </c>
      <c r="CY216" s="171">
        <f t="shared" ca="1" si="247"/>
        <v>0.74090987346182657</v>
      </c>
      <c r="CZ216" s="171">
        <f t="shared" ca="1" si="248"/>
        <v>0.70339550961747754</v>
      </c>
      <c r="DA216" s="171">
        <f t="shared" ca="1" si="249"/>
        <v>0.66778060418913066</v>
      </c>
      <c r="DB216" s="171">
        <f t="shared" ca="1" si="250"/>
        <v>0.63396898222126519</v>
      </c>
      <c r="DC216" s="171">
        <f t="shared" ca="1" si="251"/>
        <v>0.60186933836855638</v>
      </c>
      <c r="DD216" s="171">
        <f t="shared" ca="1" si="252"/>
        <v>0.57139499033372898</v>
      </c>
      <c r="DE216" s="171">
        <f t="shared" ca="1" si="253"/>
        <v>0.54246364478955034</v>
      </c>
      <c r="DF216" s="171">
        <f t="shared" ca="1" si="254"/>
        <v>0.51499717515285515</v>
      </c>
      <c r="DG216" s="171">
        <f t="shared" ca="1" si="255"/>
        <v>0.48892141061050082</v>
      </c>
      <c r="DH216" s="171">
        <f t="shared" ca="1" si="256"/>
        <v>0.46416593582753485</v>
      </c>
      <c r="DI216" s="171">
        <f t="shared" ca="1" si="257"/>
        <v>0.44066390079670587</v>
      </c>
      <c r="DJ216" s="171">
        <f t="shared" ca="1" si="258"/>
        <v>0.41835184031583084</v>
      </c>
      <c r="DK216" s="171">
        <f t="shared" ca="1" si="259"/>
        <v>0.3971695026055348</v>
      </c>
      <c r="DL216" s="171">
        <f t="shared" ca="1" si="260"/>
        <v>0.37705968660455957</v>
      </c>
      <c r="DM216" s="171">
        <f t="shared" ca="1" si="261"/>
        <v>0.35796808750327097</v>
      </c>
      <c r="DN216" s="171">
        <f t="shared" ca="1" si="262"/>
        <v>0.33984315009824206</v>
      </c>
      <c r="DO216" s="171">
        <f t="shared" ca="1" si="263"/>
        <v>0.32263592957190901</v>
      </c>
      <c r="DP216" s="171">
        <f t="shared" ca="1" si="264"/>
        <v>0.30629995932134657</v>
      </c>
      <c r="DQ216" s="171">
        <f t="shared" ca="1" si="265"/>
        <v>0.29079112547924724</v>
      </c>
      <c r="DR216" s="171">
        <f t="shared" ca="1" si="266"/>
        <v>0.27606754778825793</v>
      </c>
      <c r="DS216" s="171">
        <f t="shared" ca="1" si="267"/>
        <v>0.2620894665069865</v>
      </c>
      <c r="DT216" s="171">
        <f t="shared" ca="1" si="268"/>
        <v>0.24881913504227701</v>
      </c>
      <c r="DU216" s="171">
        <f t="shared" ca="1" si="269"/>
        <v>0.23622071801781672</v>
      </c>
      <c r="DV216" s="171">
        <f t="shared" ca="1" si="270"/>
        <v>0.22426019450381834</v>
      </c>
      <c r="DW216" s="171">
        <f t="shared" ca="1" si="271"/>
        <v>0</v>
      </c>
      <c r="DX216" s="171">
        <f t="shared" ca="1" si="272"/>
        <v>0</v>
      </c>
      <c r="DY216" s="171">
        <f t="shared" ca="1" si="273"/>
        <v>0</v>
      </c>
      <c r="DZ216" s="171">
        <f t="shared" ca="1" si="274"/>
        <v>0</v>
      </c>
      <c r="EA216" s="171">
        <f t="shared" ca="1" si="275"/>
        <v>0</v>
      </c>
      <c r="EB216" s="171">
        <f t="shared" ca="1" si="276"/>
        <v>0</v>
      </c>
      <c r="EC216" s="171">
        <f t="shared" ca="1" si="277"/>
        <v>0</v>
      </c>
      <c r="ED216" s="171">
        <f t="shared" ca="1" si="278"/>
        <v>0</v>
      </c>
      <c r="EE216" s="171">
        <f t="shared" ca="1" si="279"/>
        <v>0</v>
      </c>
      <c r="EF216" s="171">
        <f t="shared" ca="1" si="280"/>
        <v>0</v>
      </c>
      <c r="EG216" s="171">
        <f t="shared" ca="1" si="281"/>
        <v>0</v>
      </c>
      <c r="EH216" s="171">
        <f t="shared" ca="1" si="282"/>
        <v>0</v>
      </c>
      <c r="EI216" s="171">
        <f t="shared" ca="1" si="283"/>
        <v>0</v>
      </c>
      <c r="EJ216" s="171">
        <f t="shared" ca="1" si="284"/>
        <v>0</v>
      </c>
      <c r="EK216" s="171">
        <f t="shared" ca="1" si="285"/>
        <v>0</v>
      </c>
      <c r="EL216" s="171">
        <f t="shared" ca="1" si="286"/>
        <v>0</v>
      </c>
      <c r="EM216" s="171">
        <f t="shared" ca="1" si="287"/>
        <v>0</v>
      </c>
      <c r="EN216" s="171">
        <f t="shared" ca="1" si="288"/>
        <v>0</v>
      </c>
      <c r="EO216" s="171">
        <f t="shared" ca="1" si="289"/>
        <v>0</v>
      </c>
      <c r="EP216" s="171">
        <f t="shared" ca="1" si="290"/>
        <v>0</v>
      </c>
      <c r="EQ216" s="171">
        <f t="shared" ca="1" si="291"/>
        <v>0</v>
      </c>
      <c r="ER216" s="171">
        <f t="shared" ca="1" si="292"/>
        <v>0</v>
      </c>
      <c r="ES216" s="171">
        <f t="shared" ca="1" si="293"/>
        <v>0</v>
      </c>
    </row>
    <row r="217" spans="1:149">
      <c r="A217" s="139" t="s">
        <v>558</v>
      </c>
      <c r="B217" s="161" t="s">
        <v>561</v>
      </c>
      <c r="C217" s="161" t="s">
        <v>412</v>
      </c>
      <c r="D217" s="161" t="s">
        <v>394</v>
      </c>
      <c r="E217" s="161">
        <v>2023</v>
      </c>
      <c r="F217" s="189" t="s">
        <v>405</v>
      </c>
      <c r="G217" s="189" t="s">
        <v>289</v>
      </c>
      <c r="H217" s="189" t="s">
        <v>406</v>
      </c>
      <c r="I217" s="189" t="s">
        <v>365</v>
      </c>
      <c r="J217" s="189" t="s">
        <v>397</v>
      </c>
      <c r="K217" s="182">
        <v>14.725</v>
      </c>
      <c r="L217" s="163" t="s">
        <v>110</v>
      </c>
      <c r="M217" s="164">
        <f t="shared" si="223"/>
        <v>14.725</v>
      </c>
      <c r="N217" s="164">
        <f t="shared" si="224"/>
        <v>14.725</v>
      </c>
      <c r="O217" s="165">
        <f t="shared" si="225"/>
        <v>1</v>
      </c>
      <c r="P217" s="176">
        <v>5.2999999999999999E-2</v>
      </c>
      <c r="Q217" s="177">
        <v>24</v>
      </c>
      <c r="R217" s="168">
        <f t="shared" si="312"/>
        <v>23</v>
      </c>
      <c r="S217" s="169">
        <v>0</v>
      </c>
      <c r="T217" s="161" t="s">
        <v>289</v>
      </c>
      <c r="U217" s="171">
        <f t="shared" si="227"/>
        <v>0.81294270833333326</v>
      </c>
      <c r="V217" s="171">
        <f t="shared" ca="1" si="228"/>
        <v>0.46702219619700963</v>
      </c>
      <c r="W217" s="171">
        <f t="shared" ca="1" si="229"/>
        <v>11.208532708728232</v>
      </c>
      <c r="X217" s="172" t="str">
        <f t="shared" si="230"/>
        <v>Equity</v>
      </c>
      <c r="Y217" s="172" t="str">
        <f t="shared" si="231"/>
        <v>Equity</v>
      </c>
      <c r="Z217" s="173">
        <f t="shared" si="232"/>
        <v>19.510624999999997</v>
      </c>
      <c r="AA217" s="171">
        <f t="shared" si="313"/>
        <v>0</v>
      </c>
      <c r="AB217" s="171">
        <f t="shared" si="313"/>
        <v>0</v>
      </c>
      <c r="AC217" s="171">
        <f t="shared" si="313"/>
        <v>0</v>
      </c>
      <c r="AD217" s="171">
        <f t="shared" si="313"/>
        <v>0</v>
      </c>
      <c r="AE217" s="171">
        <f t="shared" si="313"/>
        <v>0</v>
      </c>
      <c r="AF217" s="171">
        <f t="shared" si="313"/>
        <v>0</v>
      </c>
      <c r="AG217" s="171">
        <f t="shared" si="313"/>
        <v>0</v>
      </c>
      <c r="AH217" s="171">
        <f t="shared" si="313"/>
        <v>0</v>
      </c>
      <c r="AI217" s="171">
        <f t="shared" si="313"/>
        <v>0</v>
      </c>
      <c r="AJ217" s="171">
        <f t="shared" si="313"/>
        <v>0</v>
      </c>
      <c r="AK217" s="171">
        <f t="shared" si="314"/>
        <v>0</v>
      </c>
      <c r="AL217" s="171">
        <f t="shared" si="314"/>
        <v>0</v>
      </c>
      <c r="AM217" s="171">
        <f t="shared" si="314"/>
        <v>0</v>
      </c>
      <c r="AN217" s="171">
        <f t="shared" si="314"/>
        <v>0.78042499999999992</v>
      </c>
      <c r="AO217" s="171">
        <f t="shared" si="314"/>
        <v>0.78042499999999992</v>
      </c>
      <c r="AP217" s="171">
        <f t="shared" si="314"/>
        <v>0.78042499999999992</v>
      </c>
      <c r="AQ217" s="171">
        <f t="shared" si="314"/>
        <v>0.78042499999999992</v>
      </c>
      <c r="AR217" s="171">
        <f t="shared" si="314"/>
        <v>0.78042499999999992</v>
      </c>
      <c r="AS217" s="171">
        <f t="shared" si="314"/>
        <v>0.78042499999999992</v>
      </c>
      <c r="AT217" s="171">
        <f t="shared" si="314"/>
        <v>0.78042499999999992</v>
      </c>
      <c r="AU217" s="171">
        <f t="shared" si="315"/>
        <v>0.78042499999999992</v>
      </c>
      <c r="AV217" s="171">
        <f t="shared" si="315"/>
        <v>0.78042499999999992</v>
      </c>
      <c r="AW217" s="171">
        <f t="shared" si="315"/>
        <v>0.78042499999999992</v>
      </c>
      <c r="AX217" s="171">
        <f t="shared" si="315"/>
        <v>0.78042499999999992</v>
      </c>
      <c r="AY217" s="171">
        <f t="shared" si="315"/>
        <v>0.78042499999999992</v>
      </c>
      <c r="AZ217" s="171">
        <f t="shared" si="315"/>
        <v>0.78042499999999992</v>
      </c>
      <c r="BA217" s="171">
        <f t="shared" si="315"/>
        <v>0.78042499999999992</v>
      </c>
      <c r="BB217" s="171">
        <f t="shared" si="315"/>
        <v>0.78042499999999992</v>
      </c>
      <c r="BC217" s="171">
        <f t="shared" si="315"/>
        <v>0.78042499999999992</v>
      </c>
      <c r="BD217" s="171">
        <f t="shared" si="315"/>
        <v>0.78042499999999992</v>
      </c>
      <c r="BE217" s="171">
        <f t="shared" si="316"/>
        <v>0.78042499999999992</v>
      </c>
      <c r="BF217" s="171">
        <f t="shared" si="316"/>
        <v>0.78042499999999992</v>
      </c>
      <c r="BG217" s="171">
        <f t="shared" si="316"/>
        <v>0.78042499999999992</v>
      </c>
      <c r="BH217" s="171">
        <f t="shared" si="316"/>
        <v>0.78042499999999992</v>
      </c>
      <c r="BI217" s="171">
        <f t="shared" si="316"/>
        <v>0.78042499999999992</v>
      </c>
      <c r="BJ217" s="171">
        <f t="shared" si="316"/>
        <v>0.78042499999999992</v>
      </c>
      <c r="BK217" s="171">
        <f t="shared" si="316"/>
        <v>0.78042499999999992</v>
      </c>
      <c r="BL217" s="171">
        <f t="shared" si="316"/>
        <v>0.78042499999999992</v>
      </c>
      <c r="BM217" s="171">
        <f t="shared" si="316"/>
        <v>0</v>
      </c>
      <c r="BN217" s="171">
        <f t="shared" si="316"/>
        <v>0</v>
      </c>
      <c r="BO217" s="171">
        <f t="shared" si="317"/>
        <v>0</v>
      </c>
      <c r="BP217" s="171">
        <f t="shared" si="317"/>
        <v>0</v>
      </c>
      <c r="BQ217" s="171">
        <f t="shared" si="317"/>
        <v>0</v>
      </c>
      <c r="BR217" s="171">
        <f t="shared" si="317"/>
        <v>0</v>
      </c>
      <c r="BS217" s="171">
        <f t="shared" si="317"/>
        <v>0</v>
      </c>
      <c r="BT217" s="171">
        <f t="shared" si="317"/>
        <v>0</v>
      </c>
      <c r="BU217" s="171">
        <f t="shared" si="317"/>
        <v>0</v>
      </c>
      <c r="BV217" s="171">
        <f t="shared" si="317"/>
        <v>0</v>
      </c>
      <c r="BW217" s="171">
        <f t="shared" si="317"/>
        <v>0</v>
      </c>
      <c r="BX217" s="171">
        <f t="shared" si="317"/>
        <v>0</v>
      </c>
      <c r="BY217" s="171">
        <f t="shared" si="318"/>
        <v>0</v>
      </c>
      <c r="BZ217" s="171">
        <f t="shared" si="318"/>
        <v>0</v>
      </c>
      <c r="CA217" s="171">
        <f t="shared" si="318"/>
        <v>0</v>
      </c>
      <c r="CB217" s="171">
        <f t="shared" si="318"/>
        <v>0</v>
      </c>
      <c r="CC217" s="171">
        <f t="shared" si="318"/>
        <v>0</v>
      </c>
      <c r="CD217" s="171">
        <f t="shared" si="318"/>
        <v>0</v>
      </c>
      <c r="CE217" s="171">
        <f t="shared" si="318"/>
        <v>0</v>
      </c>
      <c r="CF217" s="171">
        <f t="shared" si="318"/>
        <v>0</v>
      </c>
      <c r="CG217" s="171">
        <f t="shared" si="318"/>
        <v>0</v>
      </c>
      <c r="CH217" s="171">
        <f t="shared" si="318"/>
        <v>0</v>
      </c>
      <c r="CI217" s="171">
        <f t="shared" si="318"/>
        <v>0</v>
      </c>
      <c r="CJ217" s="243"/>
      <c r="CK217" s="171">
        <f t="shared" si="233"/>
        <v>0</v>
      </c>
      <c r="CL217" s="171">
        <f t="shared" si="234"/>
        <v>0</v>
      </c>
      <c r="CM217" s="171">
        <f t="shared" si="235"/>
        <v>0</v>
      </c>
      <c r="CN217" s="171">
        <f t="shared" si="236"/>
        <v>0</v>
      </c>
      <c r="CO217" s="171">
        <f t="shared" si="237"/>
        <v>0</v>
      </c>
      <c r="CP217" s="171">
        <f t="shared" si="238"/>
        <v>0</v>
      </c>
      <c r="CQ217" s="171">
        <f t="shared" si="239"/>
        <v>0</v>
      </c>
      <c r="CR217" s="171">
        <f t="shared" si="240"/>
        <v>0</v>
      </c>
      <c r="CS217" s="171">
        <f t="shared" si="241"/>
        <v>0</v>
      </c>
      <c r="CT217" s="171">
        <f t="shared" si="242"/>
        <v>0</v>
      </c>
      <c r="CU217" s="171">
        <f t="shared" si="243"/>
        <v>0</v>
      </c>
      <c r="CV217" s="171">
        <f t="shared" si="244"/>
        <v>0</v>
      </c>
      <c r="CW217" s="171">
        <f t="shared" si="245"/>
        <v>0</v>
      </c>
      <c r="CX217" s="171">
        <f t="shared" si="246"/>
        <v>0.78042499999999992</v>
      </c>
      <c r="CY217" s="171">
        <f t="shared" ca="1" si="247"/>
        <v>0.74090987346182657</v>
      </c>
      <c r="CZ217" s="171">
        <f t="shared" ca="1" si="248"/>
        <v>0.70339550961747754</v>
      </c>
      <c r="DA217" s="171">
        <f t="shared" ca="1" si="249"/>
        <v>0.66778060418913066</v>
      </c>
      <c r="DB217" s="171">
        <f t="shared" ca="1" si="250"/>
        <v>0.63396898222126519</v>
      </c>
      <c r="DC217" s="171">
        <f t="shared" ca="1" si="251"/>
        <v>0.60186933836855638</v>
      </c>
      <c r="DD217" s="171">
        <f t="shared" ca="1" si="252"/>
        <v>0.57139499033372898</v>
      </c>
      <c r="DE217" s="171">
        <f t="shared" ca="1" si="253"/>
        <v>0.54246364478955034</v>
      </c>
      <c r="DF217" s="171">
        <f t="shared" ca="1" si="254"/>
        <v>0.51499717515285515</v>
      </c>
      <c r="DG217" s="171">
        <f t="shared" ca="1" si="255"/>
        <v>0.48892141061050082</v>
      </c>
      <c r="DH217" s="171">
        <f t="shared" ca="1" si="256"/>
        <v>0.46416593582753485</v>
      </c>
      <c r="DI217" s="171">
        <f t="shared" ca="1" si="257"/>
        <v>0.44066390079670587</v>
      </c>
      <c r="DJ217" s="171">
        <f t="shared" ca="1" si="258"/>
        <v>0.41835184031583084</v>
      </c>
      <c r="DK217" s="171">
        <f t="shared" ca="1" si="259"/>
        <v>0.3971695026055348</v>
      </c>
      <c r="DL217" s="171">
        <f t="shared" ca="1" si="260"/>
        <v>0.37705968660455957</v>
      </c>
      <c r="DM217" s="171">
        <f t="shared" ca="1" si="261"/>
        <v>0.35796808750327097</v>
      </c>
      <c r="DN217" s="171">
        <f t="shared" ca="1" si="262"/>
        <v>0.33984315009824206</v>
      </c>
      <c r="DO217" s="171">
        <f t="shared" ca="1" si="263"/>
        <v>0.32263592957190901</v>
      </c>
      <c r="DP217" s="171">
        <f t="shared" ca="1" si="264"/>
        <v>0.30629995932134657</v>
      </c>
      <c r="DQ217" s="171">
        <f t="shared" ca="1" si="265"/>
        <v>0.29079112547924724</v>
      </c>
      <c r="DR217" s="171">
        <f t="shared" ca="1" si="266"/>
        <v>0.27606754778825793</v>
      </c>
      <c r="DS217" s="171">
        <f t="shared" ca="1" si="267"/>
        <v>0.2620894665069865</v>
      </c>
      <c r="DT217" s="171">
        <f t="shared" ca="1" si="268"/>
        <v>0.24881913504227701</v>
      </c>
      <c r="DU217" s="171">
        <f t="shared" ca="1" si="269"/>
        <v>0.23622071801781672</v>
      </c>
      <c r="DV217" s="171">
        <f t="shared" ca="1" si="270"/>
        <v>0.22426019450381834</v>
      </c>
      <c r="DW217" s="171">
        <f t="shared" ca="1" si="271"/>
        <v>0</v>
      </c>
      <c r="DX217" s="171">
        <f t="shared" ca="1" si="272"/>
        <v>0</v>
      </c>
      <c r="DY217" s="171">
        <f t="shared" ca="1" si="273"/>
        <v>0</v>
      </c>
      <c r="DZ217" s="171">
        <f t="shared" ca="1" si="274"/>
        <v>0</v>
      </c>
      <c r="EA217" s="171">
        <f t="shared" ca="1" si="275"/>
        <v>0</v>
      </c>
      <c r="EB217" s="171">
        <f t="shared" ca="1" si="276"/>
        <v>0</v>
      </c>
      <c r="EC217" s="171">
        <f t="shared" ca="1" si="277"/>
        <v>0</v>
      </c>
      <c r="ED217" s="171">
        <f t="shared" ca="1" si="278"/>
        <v>0</v>
      </c>
      <c r="EE217" s="171">
        <f t="shared" ca="1" si="279"/>
        <v>0</v>
      </c>
      <c r="EF217" s="171">
        <f t="shared" ca="1" si="280"/>
        <v>0</v>
      </c>
      <c r="EG217" s="171">
        <f t="shared" ca="1" si="281"/>
        <v>0</v>
      </c>
      <c r="EH217" s="171">
        <f t="shared" ca="1" si="282"/>
        <v>0</v>
      </c>
      <c r="EI217" s="171">
        <f t="shared" ca="1" si="283"/>
        <v>0</v>
      </c>
      <c r="EJ217" s="171">
        <f t="shared" ca="1" si="284"/>
        <v>0</v>
      </c>
      <c r="EK217" s="171">
        <f t="shared" ca="1" si="285"/>
        <v>0</v>
      </c>
      <c r="EL217" s="171">
        <f t="shared" ca="1" si="286"/>
        <v>0</v>
      </c>
      <c r="EM217" s="171">
        <f t="shared" ca="1" si="287"/>
        <v>0</v>
      </c>
      <c r="EN217" s="171">
        <f t="shared" ca="1" si="288"/>
        <v>0</v>
      </c>
      <c r="EO217" s="171">
        <f t="shared" ca="1" si="289"/>
        <v>0</v>
      </c>
      <c r="EP217" s="171">
        <f t="shared" ca="1" si="290"/>
        <v>0</v>
      </c>
      <c r="EQ217" s="171">
        <f t="shared" ca="1" si="291"/>
        <v>0</v>
      </c>
      <c r="ER217" s="171">
        <f t="shared" ca="1" si="292"/>
        <v>0</v>
      </c>
      <c r="ES217" s="171">
        <f t="shared" ca="1" si="293"/>
        <v>0</v>
      </c>
    </row>
    <row r="218" spans="1:149">
      <c r="A218" s="139" t="s">
        <v>558</v>
      </c>
      <c r="B218" s="160" t="s">
        <v>562</v>
      </c>
      <c r="C218" s="160" t="s">
        <v>412</v>
      </c>
      <c r="D218" s="161" t="s">
        <v>394</v>
      </c>
      <c r="E218" s="160">
        <v>2023</v>
      </c>
      <c r="F218" s="194" t="s">
        <v>405</v>
      </c>
      <c r="G218" s="194" t="s">
        <v>289</v>
      </c>
      <c r="H218" s="194" t="s">
        <v>406</v>
      </c>
      <c r="I218" s="194" t="s">
        <v>365</v>
      </c>
      <c r="J218" s="194" t="s">
        <v>397</v>
      </c>
      <c r="K218" s="182">
        <v>14.725</v>
      </c>
      <c r="L218" s="163" t="s">
        <v>110</v>
      </c>
      <c r="M218" s="164">
        <f t="shared" si="223"/>
        <v>14.725</v>
      </c>
      <c r="N218" s="164">
        <f t="shared" si="224"/>
        <v>14.725</v>
      </c>
      <c r="O218" s="165">
        <f t="shared" si="225"/>
        <v>1</v>
      </c>
      <c r="P218" s="176">
        <v>5.2999999999999999E-2</v>
      </c>
      <c r="Q218" s="177">
        <v>24</v>
      </c>
      <c r="R218" s="168">
        <f t="shared" si="312"/>
        <v>23</v>
      </c>
      <c r="S218" s="178">
        <v>0</v>
      </c>
      <c r="T218" s="160" t="s">
        <v>289</v>
      </c>
      <c r="U218" s="171">
        <f t="shared" si="227"/>
        <v>0.81294270833333326</v>
      </c>
      <c r="V218" s="171">
        <f t="shared" ca="1" si="228"/>
        <v>0.46702219619700963</v>
      </c>
      <c r="W218" s="171">
        <f t="shared" ca="1" si="229"/>
        <v>11.208532708728232</v>
      </c>
      <c r="X218" s="172" t="str">
        <f t="shared" si="230"/>
        <v>Equity</v>
      </c>
      <c r="Y218" s="172" t="str">
        <f t="shared" si="231"/>
        <v>Equity</v>
      </c>
      <c r="Z218" s="173">
        <f t="shared" si="232"/>
        <v>19.510624999999997</v>
      </c>
      <c r="AA218" s="171">
        <f t="shared" si="313"/>
        <v>0</v>
      </c>
      <c r="AB218" s="171">
        <f t="shared" si="313"/>
        <v>0</v>
      </c>
      <c r="AC218" s="171">
        <f t="shared" si="313"/>
        <v>0</v>
      </c>
      <c r="AD218" s="171">
        <f t="shared" si="313"/>
        <v>0</v>
      </c>
      <c r="AE218" s="171">
        <f t="shared" si="313"/>
        <v>0</v>
      </c>
      <c r="AF218" s="171">
        <f t="shared" si="313"/>
        <v>0</v>
      </c>
      <c r="AG218" s="171">
        <f t="shared" si="313"/>
        <v>0</v>
      </c>
      <c r="AH218" s="171">
        <f t="shared" si="313"/>
        <v>0</v>
      </c>
      <c r="AI218" s="171">
        <f t="shared" si="313"/>
        <v>0</v>
      </c>
      <c r="AJ218" s="171">
        <f t="shared" si="313"/>
        <v>0</v>
      </c>
      <c r="AK218" s="171">
        <f t="shared" si="314"/>
        <v>0</v>
      </c>
      <c r="AL218" s="171">
        <f t="shared" si="314"/>
        <v>0</v>
      </c>
      <c r="AM218" s="171">
        <f t="shared" si="314"/>
        <v>0</v>
      </c>
      <c r="AN218" s="171">
        <f t="shared" si="314"/>
        <v>0.78042499999999992</v>
      </c>
      <c r="AO218" s="171">
        <f t="shared" si="314"/>
        <v>0.78042499999999992</v>
      </c>
      <c r="AP218" s="171">
        <f t="shared" si="314"/>
        <v>0.78042499999999992</v>
      </c>
      <c r="AQ218" s="171">
        <f t="shared" si="314"/>
        <v>0.78042499999999992</v>
      </c>
      <c r="AR218" s="171">
        <f t="shared" si="314"/>
        <v>0.78042499999999992</v>
      </c>
      <c r="AS218" s="171">
        <f t="shared" si="314"/>
        <v>0.78042499999999992</v>
      </c>
      <c r="AT218" s="171">
        <f t="shared" si="314"/>
        <v>0.78042499999999992</v>
      </c>
      <c r="AU218" s="171">
        <f t="shared" si="315"/>
        <v>0.78042499999999992</v>
      </c>
      <c r="AV218" s="171">
        <f t="shared" si="315"/>
        <v>0.78042499999999992</v>
      </c>
      <c r="AW218" s="171">
        <f t="shared" si="315"/>
        <v>0.78042499999999992</v>
      </c>
      <c r="AX218" s="171">
        <f t="shared" si="315"/>
        <v>0.78042499999999992</v>
      </c>
      <c r="AY218" s="171">
        <f t="shared" si="315"/>
        <v>0.78042499999999992</v>
      </c>
      <c r="AZ218" s="171">
        <f t="shared" si="315"/>
        <v>0.78042499999999992</v>
      </c>
      <c r="BA218" s="171">
        <f t="shared" si="315"/>
        <v>0.78042499999999992</v>
      </c>
      <c r="BB218" s="171">
        <f t="shared" si="315"/>
        <v>0.78042499999999992</v>
      </c>
      <c r="BC218" s="171">
        <f t="shared" si="315"/>
        <v>0.78042499999999992</v>
      </c>
      <c r="BD218" s="171">
        <f t="shared" si="315"/>
        <v>0.78042499999999992</v>
      </c>
      <c r="BE218" s="171">
        <f t="shared" si="316"/>
        <v>0.78042499999999992</v>
      </c>
      <c r="BF218" s="171">
        <f t="shared" si="316"/>
        <v>0.78042499999999992</v>
      </c>
      <c r="BG218" s="171">
        <f t="shared" si="316"/>
        <v>0.78042499999999992</v>
      </c>
      <c r="BH218" s="171">
        <f t="shared" si="316"/>
        <v>0.78042499999999992</v>
      </c>
      <c r="BI218" s="171">
        <f t="shared" si="316"/>
        <v>0.78042499999999992</v>
      </c>
      <c r="BJ218" s="171">
        <f t="shared" si="316"/>
        <v>0.78042499999999992</v>
      </c>
      <c r="BK218" s="171">
        <f t="shared" si="316"/>
        <v>0.78042499999999992</v>
      </c>
      <c r="BL218" s="171">
        <f t="shared" si="316"/>
        <v>0.78042499999999992</v>
      </c>
      <c r="BM218" s="171">
        <f t="shared" si="316"/>
        <v>0</v>
      </c>
      <c r="BN218" s="171">
        <f t="shared" si="316"/>
        <v>0</v>
      </c>
      <c r="BO218" s="171">
        <f t="shared" si="317"/>
        <v>0</v>
      </c>
      <c r="BP218" s="171">
        <f t="shared" si="317"/>
        <v>0</v>
      </c>
      <c r="BQ218" s="171">
        <f t="shared" si="317"/>
        <v>0</v>
      </c>
      <c r="BR218" s="171">
        <f t="shared" si="317"/>
        <v>0</v>
      </c>
      <c r="BS218" s="171">
        <f t="shared" si="317"/>
        <v>0</v>
      </c>
      <c r="BT218" s="171">
        <f t="shared" si="317"/>
        <v>0</v>
      </c>
      <c r="BU218" s="171">
        <f t="shared" si="317"/>
        <v>0</v>
      </c>
      <c r="BV218" s="171">
        <f t="shared" si="317"/>
        <v>0</v>
      </c>
      <c r="BW218" s="171">
        <f t="shared" si="317"/>
        <v>0</v>
      </c>
      <c r="BX218" s="171">
        <f t="shared" si="317"/>
        <v>0</v>
      </c>
      <c r="BY218" s="171">
        <f t="shared" si="318"/>
        <v>0</v>
      </c>
      <c r="BZ218" s="171">
        <f t="shared" si="318"/>
        <v>0</v>
      </c>
      <c r="CA218" s="171">
        <f t="shared" si="318"/>
        <v>0</v>
      </c>
      <c r="CB218" s="171">
        <f t="shared" si="318"/>
        <v>0</v>
      </c>
      <c r="CC218" s="171">
        <f t="shared" si="318"/>
        <v>0</v>
      </c>
      <c r="CD218" s="171">
        <f t="shared" si="318"/>
        <v>0</v>
      </c>
      <c r="CE218" s="171">
        <f t="shared" si="318"/>
        <v>0</v>
      </c>
      <c r="CF218" s="171">
        <f t="shared" si="318"/>
        <v>0</v>
      </c>
      <c r="CG218" s="171">
        <f t="shared" si="318"/>
        <v>0</v>
      </c>
      <c r="CH218" s="171">
        <f t="shared" si="318"/>
        <v>0</v>
      </c>
      <c r="CI218" s="171">
        <f t="shared" si="318"/>
        <v>0</v>
      </c>
      <c r="CJ218" s="243"/>
      <c r="CK218" s="171">
        <f t="shared" si="233"/>
        <v>0</v>
      </c>
      <c r="CL218" s="171">
        <f t="shared" si="234"/>
        <v>0</v>
      </c>
      <c r="CM218" s="171">
        <f t="shared" si="235"/>
        <v>0</v>
      </c>
      <c r="CN218" s="171">
        <f t="shared" si="236"/>
        <v>0</v>
      </c>
      <c r="CO218" s="171">
        <f t="shared" si="237"/>
        <v>0</v>
      </c>
      <c r="CP218" s="171">
        <f t="shared" si="238"/>
        <v>0</v>
      </c>
      <c r="CQ218" s="171">
        <f t="shared" si="239"/>
        <v>0</v>
      </c>
      <c r="CR218" s="171">
        <f t="shared" si="240"/>
        <v>0</v>
      </c>
      <c r="CS218" s="171">
        <f t="shared" si="241"/>
        <v>0</v>
      </c>
      <c r="CT218" s="171">
        <f t="shared" si="242"/>
        <v>0</v>
      </c>
      <c r="CU218" s="171">
        <f t="shared" si="243"/>
        <v>0</v>
      </c>
      <c r="CV218" s="171">
        <f t="shared" si="244"/>
        <v>0</v>
      </c>
      <c r="CW218" s="171">
        <f t="shared" si="245"/>
        <v>0</v>
      </c>
      <c r="CX218" s="171">
        <f t="shared" si="246"/>
        <v>0.78042499999999992</v>
      </c>
      <c r="CY218" s="171">
        <f t="shared" ca="1" si="247"/>
        <v>0.74090987346182657</v>
      </c>
      <c r="CZ218" s="171">
        <f t="shared" ca="1" si="248"/>
        <v>0.70339550961747754</v>
      </c>
      <c r="DA218" s="171">
        <f t="shared" ca="1" si="249"/>
        <v>0.66778060418913066</v>
      </c>
      <c r="DB218" s="171">
        <f t="shared" ca="1" si="250"/>
        <v>0.63396898222126519</v>
      </c>
      <c r="DC218" s="171">
        <f t="shared" ca="1" si="251"/>
        <v>0.60186933836855638</v>
      </c>
      <c r="DD218" s="171">
        <f t="shared" ca="1" si="252"/>
        <v>0.57139499033372898</v>
      </c>
      <c r="DE218" s="171">
        <f t="shared" ca="1" si="253"/>
        <v>0.54246364478955034</v>
      </c>
      <c r="DF218" s="171">
        <f t="shared" ca="1" si="254"/>
        <v>0.51499717515285515</v>
      </c>
      <c r="DG218" s="171">
        <f t="shared" ca="1" si="255"/>
        <v>0.48892141061050082</v>
      </c>
      <c r="DH218" s="171">
        <f t="shared" ca="1" si="256"/>
        <v>0.46416593582753485</v>
      </c>
      <c r="DI218" s="171">
        <f t="shared" ca="1" si="257"/>
        <v>0.44066390079670587</v>
      </c>
      <c r="DJ218" s="171">
        <f t="shared" ca="1" si="258"/>
        <v>0.41835184031583084</v>
      </c>
      <c r="DK218" s="171">
        <f t="shared" ca="1" si="259"/>
        <v>0.3971695026055348</v>
      </c>
      <c r="DL218" s="171">
        <f t="shared" ca="1" si="260"/>
        <v>0.37705968660455957</v>
      </c>
      <c r="DM218" s="171">
        <f t="shared" ca="1" si="261"/>
        <v>0.35796808750327097</v>
      </c>
      <c r="DN218" s="171">
        <f t="shared" ca="1" si="262"/>
        <v>0.33984315009824206</v>
      </c>
      <c r="DO218" s="171">
        <f t="shared" ca="1" si="263"/>
        <v>0.32263592957190901</v>
      </c>
      <c r="DP218" s="171">
        <f t="shared" ca="1" si="264"/>
        <v>0.30629995932134657</v>
      </c>
      <c r="DQ218" s="171">
        <f t="shared" ca="1" si="265"/>
        <v>0.29079112547924724</v>
      </c>
      <c r="DR218" s="171">
        <f t="shared" ca="1" si="266"/>
        <v>0.27606754778825793</v>
      </c>
      <c r="DS218" s="171">
        <f t="shared" ca="1" si="267"/>
        <v>0.2620894665069865</v>
      </c>
      <c r="DT218" s="171">
        <f t="shared" ca="1" si="268"/>
        <v>0.24881913504227701</v>
      </c>
      <c r="DU218" s="171">
        <f t="shared" ca="1" si="269"/>
        <v>0.23622071801781672</v>
      </c>
      <c r="DV218" s="171">
        <f t="shared" ca="1" si="270"/>
        <v>0.22426019450381834</v>
      </c>
      <c r="DW218" s="171">
        <f t="shared" ca="1" si="271"/>
        <v>0</v>
      </c>
      <c r="DX218" s="171">
        <f t="shared" ca="1" si="272"/>
        <v>0</v>
      </c>
      <c r="DY218" s="171">
        <f t="shared" ca="1" si="273"/>
        <v>0</v>
      </c>
      <c r="DZ218" s="171">
        <f t="shared" ca="1" si="274"/>
        <v>0</v>
      </c>
      <c r="EA218" s="171">
        <f t="shared" ca="1" si="275"/>
        <v>0</v>
      </c>
      <c r="EB218" s="171">
        <f t="shared" ca="1" si="276"/>
        <v>0</v>
      </c>
      <c r="EC218" s="171">
        <f t="shared" ca="1" si="277"/>
        <v>0</v>
      </c>
      <c r="ED218" s="171">
        <f t="shared" ca="1" si="278"/>
        <v>0</v>
      </c>
      <c r="EE218" s="171">
        <f t="shared" ca="1" si="279"/>
        <v>0</v>
      </c>
      <c r="EF218" s="171">
        <f t="shared" ca="1" si="280"/>
        <v>0</v>
      </c>
      <c r="EG218" s="171">
        <f t="shared" ca="1" si="281"/>
        <v>0</v>
      </c>
      <c r="EH218" s="171">
        <f t="shared" ca="1" si="282"/>
        <v>0</v>
      </c>
      <c r="EI218" s="171">
        <f t="shared" ca="1" si="283"/>
        <v>0</v>
      </c>
      <c r="EJ218" s="171">
        <f t="shared" ca="1" si="284"/>
        <v>0</v>
      </c>
      <c r="EK218" s="171">
        <f t="shared" ca="1" si="285"/>
        <v>0</v>
      </c>
      <c r="EL218" s="171">
        <f t="shared" ca="1" si="286"/>
        <v>0</v>
      </c>
      <c r="EM218" s="171">
        <f t="shared" ca="1" si="287"/>
        <v>0</v>
      </c>
      <c r="EN218" s="171">
        <f t="shared" ca="1" si="288"/>
        <v>0</v>
      </c>
      <c r="EO218" s="171">
        <f t="shared" ca="1" si="289"/>
        <v>0</v>
      </c>
      <c r="EP218" s="171">
        <f t="shared" ca="1" si="290"/>
        <v>0</v>
      </c>
      <c r="EQ218" s="171">
        <f t="shared" ca="1" si="291"/>
        <v>0</v>
      </c>
      <c r="ER218" s="171">
        <f t="shared" ca="1" si="292"/>
        <v>0</v>
      </c>
      <c r="ES218" s="171">
        <f t="shared" ca="1" si="293"/>
        <v>0</v>
      </c>
    </row>
    <row r="219" spans="1:149">
      <c r="A219" s="139" t="s">
        <v>563</v>
      </c>
      <c r="B219" s="161" t="s">
        <v>420</v>
      </c>
      <c r="C219" s="161" t="s">
        <v>29</v>
      </c>
      <c r="D219" s="161" t="s">
        <v>394</v>
      </c>
      <c r="E219" s="161">
        <v>2018</v>
      </c>
      <c r="F219" s="189" t="s">
        <v>400</v>
      </c>
      <c r="G219" s="170" t="s">
        <v>289</v>
      </c>
      <c r="H219" s="189" t="s">
        <v>396</v>
      </c>
      <c r="I219" s="189" t="s">
        <v>183</v>
      </c>
      <c r="J219" s="189" t="s">
        <v>401</v>
      </c>
      <c r="K219" s="188">
        <v>150</v>
      </c>
      <c r="L219" s="163" t="s">
        <v>110</v>
      </c>
      <c r="M219" s="164">
        <f t="shared" si="223"/>
        <v>150</v>
      </c>
      <c r="N219" s="164">
        <f t="shared" si="224"/>
        <v>150</v>
      </c>
      <c r="O219" s="165">
        <f t="shared" si="225"/>
        <v>1</v>
      </c>
      <c r="P219" s="166">
        <v>0.29699999999999999</v>
      </c>
      <c r="Q219" s="167">
        <v>25</v>
      </c>
      <c r="R219" s="168">
        <f t="shared" si="312"/>
        <v>19</v>
      </c>
      <c r="S219" s="209">
        <v>0</v>
      </c>
      <c r="T219" s="170" t="s">
        <v>289</v>
      </c>
      <c r="U219" s="171">
        <f t="shared" si="227"/>
        <v>46.331999999999979</v>
      </c>
      <c r="V219" s="171">
        <f t="shared" ca="1" si="228"/>
        <v>32.285198350743968</v>
      </c>
      <c r="W219" s="171">
        <f t="shared" ca="1" si="229"/>
        <v>807.12995876859918</v>
      </c>
      <c r="X219" s="172" t="str">
        <f t="shared" si="230"/>
        <v>Equity</v>
      </c>
      <c r="Y219" s="172" t="str">
        <f t="shared" si="231"/>
        <v>Equity</v>
      </c>
      <c r="Z219" s="173">
        <f t="shared" si="232"/>
        <v>1158.2999999999995</v>
      </c>
      <c r="AA219" s="171">
        <f t="shared" ref="AA219:AJ228" si="319">IFERROR(
    IF($T219="Equity",
        IF(AND(AA$48&gt;=$E219, AA$48&lt;=($E219+$Q219)),
$K219*$P219*(VLOOKUP($C$39,$C$37:$BL$44,MATCH($E219,$C$37:$BL$37,0),FALSE)/VLOOKUP($L219,$C$37:$BL$44,MATCH($E219,$C$37:$BL$37,0),FALSE))*
IF($B$5="Foreign Currency",VLOOKUP($C$38,$C$37:$BL$44,MATCH(AA$48,$C$37:$BL$37,0),FALSE)/VLOOKUP($C$39,$C$37:$BL$44,MATCH(AA$48,$C$37:$BL$37,0),FALSE),1),
0),
    IF($T219="Lump Sum Principal",
        IF(AND(AA$48&gt;=$E219, AA$48&lt;($E219+$Q219)),
$K219*$P219*(VLOOKUP($C$39,$C$37:$BL$44,MATCH($E219,$C$37:$BL$37,0),FALSE)/VLOOKUP($L219,$C$37:$BL$44,MATCH($E219,$C$37:$BL$37,0),FALSE))*
IF($B$5="Foreign Currency",VLOOKUP($C$38,$C$37:$BL$44,MATCH(AA$48,$C$37:$BL$37,0),FALSE)/VLOOKUP($C$39,$C$37:$BL$44,MATCH(AA$48,$C$37:$BL$37,0),FALSE),1),
        IF(AA$48=($E219+$Q219),
$K219*(1+$P219)*(VLOOKUP($C$39,$C$37:$BL$44,MATCH($E219,$C$37:$BL$37,0),FALSE)/VLOOKUP($L219,$C$37:$BL$44,MATCH($E219,$C$37:$BL$37,0),FALSE))*
IF($B$5="Foreign Currency",VLOOKUP($C$38,$C$37:$BL$44,MATCH(AA$48,$C$37:$BL$37,0),FALSE)/VLOOKUP($C$39,$C$37:$BL$44,MATCH(AA$48,$C$37:$BL$37,0),FALSE),1),
0)),
    IF($T219="Lump Sum Principal and Interest",
        IF(AA$48=($E219+$Q219),
$K219*((1+$P219)^$Q219)*(VLOOKUP($C$39,$C$37:$BL$44,MATCH($E219,$C$37:$BL$37,0),FALSE)/VLOOKUP($L219,$C$37:$BL$44,MATCH($E219,$C$37:$BL$37,0),FALSE))*
IF($B$5="Foreign Currency",VLOOKUP($C$38,$C$37:$BL$44,MATCH(AA$48,$C$37:$BL$37,0),FALSE)/VLOOKUP($C$39,$C$37:$BL$44,MATCH(AA$48,$C$37:$BL$37,0),FALSE),1),
0),
    IF($T219="EPP with Grace Years for Principal",
        IF(AND(AA$48&gt;=$E219, AA$48&lt;($E219+$S219)),
$K219*$P219*(VLOOKUP($C$39,$C$37:$BL$44,MATCH($E219,$C$37:$BL$37,0),FALSE)/VLOOKUP($L219,$C$37:$BL$44,MATCH($E219,$C$37:$BL$37,0),FALSE))*
IF($B$5="Foreign Currency",VLOOKUP($C$38,$C$37:$BL$44,MATCH(AA$48,$C$37:$BL$37,0),FALSE)/VLOOKUP($C$39,$C$37:$BL$44,MATCH(AA$48,$C$37:$BL$37,0),FALSE),1),
        IF(AND(AA$48&gt;=($E219+$S219), AA$48&lt;=($E219+$Q219)),
-PMT($P219,($Q219-$S219+1),($K219*(VLOOKUP($C$39,$C$37:$BL$44,MATCH($E219,$C$37:$BL$37,0),FALSE)/VLOOKUP($L219,$C$37:$BL$44,MATCH($E219,$C$37:$BL$37,0),FALSE))*
IF($B$5="Foreign Currency",VLOOKUP($C$38,$C$37:$BL$44,MATCH(AA$48,$C$37:$BL$37,0),FALSE)/VLOOKUP($C$39,$C$37:$BL$44,MATCH(AA$48,$C$37:$BL$37,0),FALSE),1)),0),
0)),
    IF($T219="Equal Principal Payments (EPP)",
        IF(AND(AA$48&gt;=$E219, AA$48&lt;=($E219+$Q219)),
-PMT($P219,($Q219-$S219+1),($K219*(VLOOKUP($C$39,$C$37:$BL$44,MATCH($E219,$C$37:$BL$37,0),FALSE)/VLOOKUP($L219,$C$37:$BL$44,MATCH($E219,$C$37:$BL$37,0),FALSE))*
IF($B$5="Foreign Currency",VLOOKUP($C$38,$C$37:$BL$44,MATCH(AA$48,$C$37:$BL$37,0),FALSE)/VLOOKUP($C$39,$C$37:$BL$44,MATCH(AA$48,$C$37:$BL$37,0),FALSE),1)),0), 0),
    IF($T219="EPP with Grace Years for Principal and on Interest",
        IF(AND(AA$48&gt;=($E219+$S219), AA$48&lt;=($E219+$Q219)),
-PMT($P219,($Q219-$S219+1),($K219*(VLOOKUP($C$39,$C$37:$BL$44,MATCH($E219,$C$37:$BL$37,0),FALSE)/VLOOKUP($L219,$C$37:$BL$44,MATCH($E219,$C$37:$BL$37,0),FALSE))*
IF($B$5="Foreign Currency",VLOOKUP($C$38,$C$37:$BL$44,MATCH(AA$48,$C$37:$BL$37,0),FALSE)/VLOOKUP($C$39,$C$37:$BL$44,MATCH(AA$48,$C$37:$BL$37,0),FALSE),1))*((1+$P219)^$S219),0), 0),
    0)))))),"")</f>
        <v>0</v>
      </c>
      <c r="AB219" s="171">
        <f t="shared" si="319"/>
        <v>0</v>
      </c>
      <c r="AC219" s="171">
        <f t="shared" si="319"/>
        <v>0</v>
      </c>
      <c r="AD219" s="171">
        <f t="shared" si="319"/>
        <v>0</v>
      </c>
      <c r="AE219" s="171">
        <f t="shared" si="319"/>
        <v>0</v>
      </c>
      <c r="AF219" s="171">
        <f t="shared" si="319"/>
        <v>0</v>
      </c>
      <c r="AG219" s="171">
        <f t="shared" si="319"/>
        <v>0</v>
      </c>
      <c r="AH219" s="171">
        <f t="shared" si="319"/>
        <v>0</v>
      </c>
      <c r="AI219" s="171">
        <f t="shared" si="319"/>
        <v>44.55</v>
      </c>
      <c r="AJ219" s="171">
        <f t="shared" si="319"/>
        <v>44.55</v>
      </c>
      <c r="AK219" s="171">
        <f t="shared" ref="AK219:AT228" si="320">IFERROR(
    IF($T219="Equity",
        IF(AND(AK$48&gt;=$E219, AK$48&lt;=($E219+$Q219)),
$K219*$P219*(VLOOKUP($C$39,$C$37:$BL$44,MATCH($E219,$C$37:$BL$37,0),FALSE)/VLOOKUP($L219,$C$37:$BL$44,MATCH($E219,$C$37:$BL$37,0),FALSE))*
IF($B$5="Foreign Currency",VLOOKUP($C$38,$C$37:$BL$44,MATCH(AK$48,$C$37:$BL$37,0),FALSE)/VLOOKUP($C$39,$C$37:$BL$44,MATCH(AK$48,$C$37:$BL$37,0),FALSE),1),
0),
    IF($T219="Lump Sum Principal",
        IF(AND(AK$48&gt;=$E219, AK$48&lt;($E219+$Q219)),
$K219*$P219*(VLOOKUP($C$39,$C$37:$BL$44,MATCH($E219,$C$37:$BL$37,0),FALSE)/VLOOKUP($L219,$C$37:$BL$44,MATCH($E219,$C$37:$BL$37,0),FALSE))*
IF($B$5="Foreign Currency",VLOOKUP($C$38,$C$37:$BL$44,MATCH(AK$48,$C$37:$BL$37,0),FALSE)/VLOOKUP($C$39,$C$37:$BL$44,MATCH(AK$48,$C$37:$BL$37,0),FALSE),1),
        IF(AK$48=($E219+$Q219),
$K219*(1+$P219)*(VLOOKUP($C$39,$C$37:$BL$44,MATCH($E219,$C$37:$BL$37,0),FALSE)/VLOOKUP($L219,$C$37:$BL$44,MATCH($E219,$C$37:$BL$37,0),FALSE))*
IF($B$5="Foreign Currency",VLOOKUP($C$38,$C$37:$BL$44,MATCH(AK$48,$C$37:$BL$37,0),FALSE)/VLOOKUP($C$39,$C$37:$BL$44,MATCH(AK$48,$C$37:$BL$37,0),FALSE),1),
0)),
    IF($T219="Lump Sum Principal and Interest",
        IF(AK$48=($E219+$Q219),
$K219*((1+$P219)^$Q219)*(VLOOKUP($C$39,$C$37:$BL$44,MATCH($E219,$C$37:$BL$37,0),FALSE)/VLOOKUP($L219,$C$37:$BL$44,MATCH($E219,$C$37:$BL$37,0),FALSE))*
IF($B$5="Foreign Currency",VLOOKUP($C$38,$C$37:$BL$44,MATCH(AK$48,$C$37:$BL$37,0),FALSE)/VLOOKUP($C$39,$C$37:$BL$44,MATCH(AK$48,$C$37:$BL$37,0),FALSE),1),
0),
    IF($T219="EPP with Grace Years for Principal",
        IF(AND(AK$48&gt;=$E219, AK$48&lt;($E219+$S219)),
$K219*$P219*(VLOOKUP($C$39,$C$37:$BL$44,MATCH($E219,$C$37:$BL$37,0),FALSE)/VLOOKUP($L219,$C$37:$BL$44,MATCH($E219,$C$37:$BL$37,0),FALSE))*
IF($B$5="Foreign Currency",VLOOKUP($C$38,$C$37:$BL$44,MATCH(AK$48,$C$37:$BL$37,0),FALSE)/VLOOKUP($C$39,$C$37:$BL$44,MATCH(AK$48,$C$37:$BL$37,0),FALSE),1),
        IF(AND(AK$48&gt;=($E219+$S219), AK$48&lt;=($E219+$Q219)),
-PMT($P219,($Q219-$S219+1),($K219*(VLOOKUP($C$39,$C$37:$BL$44,MATCH($E219,$C$37:$BL$37,0),FALSE)/VLOOKUP($L219,$C$37:$BL$44,MATCH($E219,$C$37:$BL$37,0),FALSE))*
IF($B$5="Foreign Currency",VLOOKUP($C$38,$C$37:$BL$44,MATCH(AK$48,$C$37:$BL$37,0),FALSE)/VLOOKUP($C$39,$C$37:$BL$44,MATCH(AK$48,$C$37:$BL$37,0),FALSE),1)),0),
0)),
    IF($T219="Equal Principal Payments (EPP)",
        IF(AND(AK$48&gt;=$E219, AK$48&lt;=($E219+$Q219)),
-PMT($P219,($Q219-$S219+1),($K219*(VLOOKUP($C$39,$C$37:$BL$44,MATCH($E219,$C$37:$BL$37,0),FALSE)/VLOOKUP($L219,$C$37:$BL$44,MATCH($E219,$C$37:$BL$37,0),FALSE))*
IF($B$5="Foreign Currency",VLOOKUP($C$38,$C$37:$BL$44,MATCH(AK$48,$C$37:$BL$37,0),FALSE)/VLOOKUP($C$39,$C$37:$BL$44,MATCH(AK$48,$C$37:$BL$37,0),FALSE),1)),0), 0),
    IF($T219="EPP with Grace Years for Principal and on Interest",
        IF(AND(AK$48&gt;=($E219+$S219), AK$48&lt;=($E219+$Q219)),
-PMT($P219,($Q219-$S219+1),($K219*(VLOOKUP($C$39,$C$37:$BL$44,MATCH($E219,$C$37:$BL$37,0),FALSE)/VLOOKUP($L219,$C$37:$BL$44,MATCH($E219,$C$37:$BL$37,0),FALSE))*
IF($B$5="Foreign Currency",VLOOKUP($C$38,$C$37:$BL$44,MATCH(AK$48,$C$37:$BL$37,0),FALSE)/VLOOKUP($C$39,$C$37:$BL$44,MATCH(AK$48,$C$37:$BL$37,0),FALSE),1))*((1+$P219)^$S219),0), 0),
    0)))))),"")</f>
        <v>44.55</v>
      </c>
      <c r="AL219" s="171">
        <f t="shared" si="320"/>
        <v>44.55</v>
      </c>
      <c r="AM219" s="171">
        <f t="shared" si="320"/>
        <v>44.55</v>
      </c>
      <c r="AN219" s="171">
        <f t="shared" si="320"/>
        <v>44.55</v>
      </c>
      <c r="AO219" s="171">
        <f t="shared" si="320"/>
        <v>44.55</v>
      </c>
      <c r="AP219" s="171">
        <f t="shared" si="320"/>
        <v>44.55</v>
      </c>
      <c r="AQ219" s="171">
        <f t="shared" si="320"/>
        <v>44.55</v>
      </c>
      <c r="AR219" s="171">
        <f t="shared" si="320"/>
        <v>44.55</v>
      </c>
      <c r="AS219" s="171">
        <f t="shared" si="320"/>
        <v>44.55</v>
      </c>
      <c r="AT219" s="171">
        <f t="shared" si="320"/>
        <v>44.55</v>
      </c>
      <c r="AU219" s="171">
        <f t="shared" ref="AU219:BD228" si="321">IFERROR(
    IF($T219="Equity",
        IF(AND(AU$48&gt;=$E219, AU$48&lt;=($E219+$Q219)),
$K219*$P219*(VLOOKUP($C$39,$C$37:$BL$44,MATCH($E219,$C$37:$BL$37,0),FALSE)/VLOOKUP($L219,$C$37:$BL$44,MATCH($E219,$C$37:$BL$37,0),FALSE))*
IF($B$5="Foreign Currency",VLOOKUP($C$38,$C$37:$BL$44,MATCH(AU$48,$C$37:$BL$37,0),FALSE)/VLOOKUP($C$39,$C$37:$BL$44,MATCH(AU$48,$C$37:$BL$37,0),FALSE),1),
0),
    IF($T219="Lump Sum Principal",
        IF(AND(AU$48&gt;=$E219, AU$48&lt;($E219+$Q219)),
$K219*$P219*(VLOOKUP($C$39,$C$37:$BL$44,MATCH($E219,$C$37:$BL$37,0),FALSE)/VLOOKUP($L219,$C$37:$BL$44,MATCH($E219,$C$37:$BL$37,0),FALSE))*
IF($B$5="Foreign Currency",VLOOKUP($C$38,$C$37:$BL$44,MATCH(AU$48,$C$37:$BL$37,0),FALSE)/VLOOKUP($C$39,$C$37:$BL$44,MATCH(AU$48,$C$37:$BL$37,0),FALSE),1),
        IF(AU$48=($E219+$Q219),
$K219*(1+$P219)*(VLOOKUP($C$39,$C$37:$BL$44,MATCH($E219,$C$37:$BL$37,0),FALSE)/VLOOKUP($L219,$C$37:$BL$44,MATCH($E219,$C$37:$BL$37,0),FALSE))*
IF($B$5="Foreign Currency",VLOOKUP($C$38,$C$37:$BL$44,MATCH(AU$48,$C$37:$BL$37,0),FALSE)/VLOOKUP($C$39,$C$37:$BL$44,MATCH(AU$48,$C$37:$BL$37,0),FALSE),1),
0)),
    IF($T219="Lump Sum Principal and Interest",
        IF(AU$48=($E219+$Q219),
$K219*((1+$P219)^$Q219)*(VLOOKUP($C$39,$C$37:$BL$44,MATCH($E219,$C$37:$BL$37,0),FALSE)/VLOOKUP($L219,$C$37:$BL$44,MATCH($E219,$C$37:$BL$37,0),FALSE))*
IF($B$5="Foreign Currency",VLOOKUP($C$38,$C$37:$BL$44,MATCH(AU$48,$C$37:$BL$37,0),FALSE)/VLOOKUP($C$39,$C$37:$BL$44,MATCH(AU$48,$C$37:$BL$37,0),FALSE),1),
0),
    IF($T219="EPP with Grace Years for Principal",
        IF(AND(AU$48&gt;=$E219, AU$48&lt;($E219+$S219)),
$K219*$P219*(VLOOKUP($C$39,$C$37:$BL$44,MATCH($E219,$C$37:$BL$37,0),FALSE)/VLOOKUP($L219,$C$37:$BL$44,MATCH($E219,$C$37:$BL$37,0),FALSE))*
IF($B$5="Foreign Currency",VLOOKUP($C$38,$C$37:$BL$44,MATCH(AU$48,$C$37:$BL$37,0),FALSE)/VLOOKUP($C$39,$C$37:$BL$44,MATCH(AU$48,$C$37:$BL$37,0),FALSE),1),
        IF(AND(AU$48&gt;=($E219+$S219), AU$48&lt;=($E219+$Q219)),
-PMT($P219,($Q219-$S219+1),($K219*(VLOOKUP($C$39,$C$37:$BL$44,MATCH($E219,$C$37:$BL$37,0),FALSE)/VLOOKUP($L219,$C$37:$BL$44,MATCH($E219,$C$37:$BL$37,0),FALSE))*
IF($B$5="Foreign Currency",VLOOKUP($C$38,$C$37:$BL$44,MATCH(AU$48,$C$37:$BL$37,0),FALSE)/VLOOKUP($C$39,$C$37:$BL$44,MATCH(AU$48,$C$37:$BL$37,0),FALSE),1)),0),
0)),
    IF($T219="Equal Principal Payments (EPP)",
        IF(AND(AU$48&gt;=$E219, AU$48&lt;=($E219+$Q219)),
-PMT($P219,($Q219-$S219+1),($K219*(VLOOKUP($C$39,$C$37:$BL$44,MATCH($E219,$C$37:$BL$37,0),FALSE)/VLOOKUP($L219,$C$37:$BL$44,MATCH($E219,$C$37:$BL$37,0),FALSE))*
IF($B$5="Foreign Currency",VLOOKUP($C$38,$C$37:$BL$44,MATCH(AU$48,$C$37:$BL$37,0),FALSE)/VLOOKUP($C$39,$C$37:$BL$44,MATCH(AU$48,$C$37:$BL$37,0),FALSE),1)),0), 0),
    IF($T219="EPP with Grace Years for Principal and on Interest",
        IF(AND(AU$48&gt;=($E219+$S219), AU$48&lt;=($E219+$Q219)),
-PMT($P219,($Q219-$S219+1),($K219*(VLOOKUP($C$39,$C$37:$BL$44,MATCH($E219,$C$37:$BL$37,0),FALSE)/VLOOKUP($L219,$C$37:$BL$44,MATCH($E219,$C$37:$BL$37,0),FALSE))*
IF($B$5="Foreign Currency",VLOOKUP($C$38,$C$37:$BL$44,MATCH(AU$48,$C$37:$BL$37,0),FALSE)/VLOOKUP($C$39,$C$37:$BL$44,MATCH(AU$48,$C$37:$BL$37,0),FALSE),1))*((1+$P219)^$S219),0), 0),
    0)))))),"")</f>
        <v>44.55</v>
      </c>
      <c r="AV219" s="171">
        <f t="shared" si="321"/>
        <v>44.55</v>
      </c>
      <c r="AW219" s="171">
        <f t="shared" si="321"/>
        <v>44.55</v>
      </c>
      <c r="AX219" s="171">
        <f t="shared" si="321"/>
        <v>44.55</v>
      </c>
      <c r="AY219" s="171">
        <f t="shared" si="321"/>
        <v>44.55</v>
      </c>
      <c r="AZ219" s="171">
        <f t="shared" si="321"/>
        <v>44.55</v>
      </c>
      <c r="BA219" s="171">
        <f t="shared" si="321"/>
        <v>44.55</v>
      </c>
      <c r="BB219" s="171">
        <f t="shared" si="321"/>
        <v>44.55</v>
      </c>
      <c r="BC219" s="171">
        <f t="shared" si="321"/>
        <v>44.55</v>
      </c>
      <c r="BD219" s="171">
        <f t="shared" si="321"/>
        <v>44.55</v>
      </c>
      <c r="BE219" s="171">
        <f t="shared" ref="BE219:BN228" si="322">IFERROR(
    IF($T219="Equity",
        IF(AND(BE$48&gt;=$E219, BE$48&lt;=($E219+$Q219)),
$K219*$P219*(VLOOKUP($C$39,$C$37:$BL$44,MATCH($E219,$C$37:$BL$37,0),FALSE)/VLOOKUP($L219,$C$37:$BL$44,MATCH($E219,$C$37:$BL$37,0),FALSE))*
IF($B$5="Foreign Currency",VLOOKUP($C$38,$C$37:$BL$44,MATCH(BE$48,$C$37:$BL$37,0),FALSE)/VLOOKUP($C$39,$C$37:$BL$44,MATCH(BE$48,$C$37:$BL$37,0),FALSE),1),
0),
    IF($T219="Lump Sum Principal",
        IF(AND(BE$48&gt;=$E219, BE$48&lt;($E219+$Q219)),
$K219*$P219*(VLOOKUP($C$39,$C$37:$BL$44,MATCH($E219,$C$37:$BL$37,0),FALSE)/VLOOKUP($L219,$C$37:$BL$44,MATCH($E219,$C$37:$BL$37,0),FALSE))*
IF($B$5="Foreign Currency",VLOOKUP($C$38,$C$37:$BL$44,MATCH(BE$48,$C$37:$BL$37,0),FALSE)/VLOOKUP($C$39,$C$37:$BL$44,MATCH(BE$48,$C$37:$BL$37,0),FALSE),1),
        IF(BE$48=($E219+$Q219),
$K219*(1+$P219)*(VLOOKUP($C$39,$C$37:$BL$44,MATCH($E219,$C$37:$BL$37,0),FALSE)/VLOOKUP($L219,$C$37:$BL$44,MATCH($E219,$C$37:$BL$37,0),FALSE))*
IF($B$5="Foreign Currency",VLOOKUP($C$38,$C$37:$BL$44,MATCH(BE$48,$C$37:$BL$37,0),FALSE)/VLOOKUP($C$39,$C$37:$BL$44,MATCH(BE$48,$C$37:$BL$37,0),FALSE),1),
0)),
    IF($T219="Lump Sum Principal and Interest",
        IF(BE$48=($E219+$Q219),
$K219*((1+$P219)^$Q219)*(VLOOKUP($C$39,$C$37:$BL$44,MATCH($E219,$C$37:$BL$37,0),FALSE)/VLOOKUP($L219,$C$37:$BL$44,MATCH($E219,$C$37:$BL$37,0),FALSE))*
IF($B$5="Foreign Currency",VLOOKUP($C$38,$C$37:$BL$44,MATCH(BE$48,$C$37:$BL$37,0),FALSE)/VLOOKUP($C$39,$C$37:$BL$44,MATCH(BE$48,$C$37:$BL$37,0),FALSE),1),
0),
    IF($T219="EPP with Grace Years for Principal",
        IF(AND(BE$48&gt;=$E219, BE$48&lt;($E219+$S219)),
$K219*$P219*(VLOOKUP($C$39,$C$37:$BL$44,MATCH($E219,$C$37:$BL$37,0),FALSE)/VLOOKUP($L219,$C$37:$BL$44,MATCH($E219,$C$37:$BL$37,0),FALSE))*
IF($B$5="Foreign Currency",VLOOKUP($C$38,$C$37:$BL$44,MATCH(BE$48,$C$37:$BL$37,0),FALSE)/VLOOKUP($C$39,$C$37:$BL$44,MATCH(BE$48,$C$37:$BL$37,0),FALSE),1),
        IF(AND(BE$48&gt;=($E219+$S219), BE$48&lt;=($E219+$Q219)),
-PMT($P219,($Q219-$S219+1),($K219*(VLOOKUP($C$39,$C$37:$BL$44,MATCH($E219,$C$37:$BL$37,0),FALSE)/VLOOKUP($L219,$C$37:$BL$44,MATCH($E219,$C$37:$BL$37,0),FALSE))*
IF($B$5="Foreign Currency",VLOOKUP($C$38,$C$37:$BL$44,MATCH(BE$48,$C$37:$BL$37,0),FALSE)/VLOOKUP($C$39,$C$37:$BL$44,MATCH(BE$48,$C$37:$BL$37,0),FALSE),1)),0),
0)),
    IF($T219="Equal Principal Payments (EPP)",
        IF(AND(BE$48&gt;=$E219, BE$48&lt;=($E219+$Q219)),
-PMT($P219,($Q219-$S219+1),($K219*(VLOOKUP($C$39,$C$37:$BL$44,MATCH($E219,$C$37:$BL$37,0),FALSE)/VLOOKUP($L219,$C$37:$BL$44,MATCH($E219,$C$37:$BL$37,0),FALSE))*
IF($B$5="Foreign Currency",VLOOKUP($C$38,$C$37:$BL$44,MATCH(BE$48,$C$37:$BL$37,0),FALSE)/VLOOKUP($C$39,$C$37:$BL$44,MATCH(BE$48,$C$37:$BL$37,0),FALSE),1)),0), 0),
    IF($T219="EPP with Grace Years for Principal and on Interest",
        IF(AND(BE$48&gt;=($E219+$S219), BE$48&lt;=($E219+$Q219)),
-PMT($P219,($Q219-$S219+1),($K219*(VLOOKUP($C$39,$C$37:$BL$44,MATCH($E219,$C$37:$BL$37,0),FALSE)/VLOOKUP($L219,$C$37:$BL$44,MATCH($E219,$C$37:$BL$37,0),FALSE))*
IF($B$5="Foreign Currency",VLOOKUP($C$38,$C$37:$BL$44,MATCH(BE$48,$C$37:$BL$37,0),FALSE)/VLOOKUP($C$39,$C$37:$BL$44,MATCH(BE$48,$C$37:$BL$37,0),FALSE),1))*((1+$P219)^$S219),0), 0),
    0)))))),"")</f>
        <v>44.55</v>
      </c>
      <c r="BF219" s="171">
        <f t="shared" si="322"/>
        <v>44.55</v>
      </c>
      <c r="BG219" s="171">
        <f t="shared" si="322"/>
        <v>44.55</v>
      </c>
      <c r="BH219" s="171">
        <f t="shared" si="322"/>
        <v>44.55</v>
      </c>
      <c r="BI219" s="171">
        <f t="shared" si="322"/>
        <v>0</v>
      </c>
      <c r="BJ219" s="171">
        <f t="shared" si="322"/>
        <v>0</v>
      </c>
      <c r="BK219" s="171">
        <f t="shared" si="322"/>
        <v>0</v>
      </c>
      <c r="BL219" s="171">
        <f t="shared" si="322"/>
        <v>0</v>
      </c>
      <c r="BM219" s="171">
        <f t="shared" si="322"/>
        <v>0</v>
      </c>
      <c r="BN219" s="171">
        <f t="shared" si="322"/>
        <v>0</v>
      </c>
      <c r="BO219" s="171">
        <f t="shared" ref="BO219:BX228" si="323">IFERROR(
    IF($T219="Equity",
        IF(AND(BO$48&gt;=$E219, BO$48&lt;=($E219+$Q219)),
$K219*$P219*(VLOOKUP($C$39,$C$37:$BL$44,MATCH($E219,$C$37:$BL$37,0),FALSE)/VLOOKUP($L219,$C$37:$BL$44,MATCH($E219,$C$37:$BL$37,0),FALSE))*
IF($B$5="Foreign Currency",VLOOKUP($C$38,$C$37:$BL$44,MATCH(BO$48,$C$37:$BL$37,0),FALSE)/VLOOKUP($C$39,$C$37:$BL$44,MATCH(BO$48,$C$37:$BL$37,0),FALSE),1),
0),
    IF($T219="Lump Sum Principal",
        IF(AND(BO$48&gt;=$E219, BO$48&lt;($E219+$Q219)),
$K219*$P219*(VLOOKUP($C$39,$C$37:$BL$44,MATCH($E219,$C$37:$BL$37,0),FALSE)/VLOOKUP($L219,$C$37:$BL$44,MATCH($E219,$C$37:$BL$37,0),FALSE))*
IF($B$5="Foreign Currency",VLOOKUP($C$38,$C$37:$BL$44,MATCH(BO$48,$C$37:$BL$37,0),FALSE)/VLOOKUP($C$39,$C$37:$BL$44,MATCH(BO$48,$C$37:$BL$37,0),FALSE),1),
        IF(BO$48=($E219+$Q219),
$K219*(1+$P219)*(VLOOKUP($C$39,$C$37:$BL$44,MATCH($E219,$C$37:$BL$37,0),FALSE)/VLOOKUP($L219,$C$37:$BL$44,MATCH($E219,$C$37:$BL$37,0),FALSE))*
IF($B$5="Foreign Currency",VLOOKUP($C$38,$C$37:$BL$44,MATCH(BO$48,$C$37:$BL$37,0),FALSE)/VLOOKUP($C$39,$C$37:$BL$44,MATCH(BO$48,$C$37:$BL$37,0),FALSE),1),
0)),
    IF($T219="Lump Sum Principal and Interest",
        IF(BO$48=($E219+$Q219),
$K219*((1+$P219)^$Q219)*(VLOOKUP($C$39,$C$37:$BL$44,MATCH($E219,$C$37:$BL$37,0),FALSE)/VLOOKUP($L219,$C$37:$BL$44,MATCH($E219,$C$37:$BL$37,0),FALSE))*
IF($B$5="Foreign Currency",VLOOKUP($C$38,$C$37:$BL$44,MATCH(BO$48,$C$37:$BL$37,0),FALSE)/VLOOKUP($C$39,$C$37:$BL$44,MATCH(BO$48,$C$37:$BL$37,0),FALSE),1),
0),
    IF($T219="EPP with Grace Years for Principal",
        IF(AND(BO$48&gt;=$E219, BO$48&lt;($E219+$S219)),
$K219*$P219*(VLOOKUP($C$39,$C$37:$BL$44,MATCH($E219,$C$37:$BL$37,0),FALSE)/VLOOKUP($L219,$C$37:$BL$44,MATCH($E219,$C$37:$BL$37,0),FALSE))*
IF($B$5="Foreign Currency",VLOOKUP($C$38,$C$37:$BL$44,MATCH(BO$48,$C$37:$BL$37,0),FALSE)/VLOOKUP($C$39,$C$37:$BL$44,MATCH(BO$48,$C$37:$BL$37,0),FALSE),1),
        IF(AND(BO$48&gt;=($E219+$S219), BO$48&lt;=($E219+$Q219)),
-PMT($P219,($Q219-$S219+1),($K219*(VLOOKUP($C$39,$C$37:$BL$44,MATCH($E219,$C$37:$BL$37,0),FALSE)/VLOOKUP($L219,$C$37:$BL$44,MATCH($E219,$C$37:$BL$37,0),FALSE))*
IF($B$5="Foreign Currency",VLOOKUP($C$38,$C$37:$BL$44,MATCH(BO$48,$C$37:$BL$37,0),FALSE)/VLOOKUP($C$39,$C$37:$BL$44,MATCH(BO$48,$C$37:$BL$37,0),FALSE),1)),0),
0)),
    IF($T219="Equal Principal Payments (EPP)",
        IF(AND(BO$48&gt;=$E219, BO$48&lt;=($E219+$Q219)),
-PMT($P219,($Q219-$S219+1),($K219*(VLOOKUP($C$39,$C$37:$BL$44,MATCH($E219,$C$37:$BL$37,0),FALSE)/VLOOKUP($L219,$C$37:$BL$44,MATCH($E219,$C$37:$BL$37,0),FALSE))*
IF($B$5="Foreign Currency",VLOOKUP($C$38,$C$37:$BL$44,MATCH(BO$48,$C$37:$BL$37,0),FALSE)/VLOOKUP($C$39,$C$37:$BL$44,MATCH(BO$48,$C$37:$BL$37,0),FALSE),1)),0), 0),
    IF($T219="EPP with Grace Years for Principal and on Interest",
        IF(AND(BO$48&gt;=($E219+$S219), BO$48&lt;=($E219+$Q219)),
-PMT($P219,($Q219-$S219+1),($K219*(VLOOKUP($C$39,$C$37:$BL$44,MATCH($E219,$C$37:$BL$37,0),FALSE)/VLOOKUP($L219,$C$37:$BL$44,MATCH($E219,$C$37:$BL$37,0),FALSE))*
IF($B$5="Foreign Currency",VLOOKUP($C$38,$C$37:$BL$44,MATCH(BO$48,$C$37:$BL$37,0),FALSE)/VLOOKUP($C$39,$C$37:$BL$44,MATCH(BO$48,$C$37:$BL$37,0),FALSE),1))*((1+$P219)^$S219),0), 0),
    0)))))),"")</f>
        <v>0</v>
      </c>
      <c r="BP219" s="171">
        <f t="shared" si="323"/>
        <v>0</v>
      </c>
      <c r="BQ219" s="171">
        <f t="shared" si="323"/>
        <v>0</v>
      </c>
      <c r="BR219" s="171">
        <f t="shared" si="323"/>
        <v>0</v>
      </c>
      <c r="BS219" s="171">
        <f t="shared" si="323"/>
        <v>0</v>
      </c>
      <c r="BT219" s="171">
        <f t="shared" si="323"/>
        <v>0</v>
      </c>
      <c r="BU219" s="171">
        <f t="shared" si="323"/>
        <v>0</v>
      </c>
      <c r="BV219" s="171">
        <f t="shared" si="323"/>
        <v>0</v>
      </c>
      <c r="BW219" s="171">
        <f t="shared" si="323"/>
        <v>0</v>
      </c>
      <c r="BX219" s="171">
        <f t="shared" si="323"/>
        <v>0</v>
      </c>
      <c r="BY219" s="171">
        <f t="shared" ref="BY219:CI228" si="324">IFERROR(
    IF($T219="Equity",
        IF(AND(BY$48&gt;=$E219, BY$48&lt;=($E219+$Q219)),
$K219*$P219*(VLOOKUP($C$39,$C$37:$BL$44,MATCH($E219,$C$37:$BL$37,0),FALSE)/VLOOKUP($L219,$C$37:$BL$44,MATCH($E219,$C$37:$BL$37,0),FALSE))*
IF($B$5="Foreign Currency",VLOOKUP($C$38,$C$37:$BL$44,MATCH(BY$48,$C$37:$BL$37,0),FALSE)/VLOOKUP($C$39,$C$37:$BL$44,MATCH(BY$48,$C$37:$BL$37,0),FALSE),1),
0),
    IF($T219="Lump Sum Principal",
        IF(AND(BY$48&gt;=$E219, BY$48&lt;($E219+$Q219)),
$K219*$P219*(VLOOKUP($C$39,$C$37:$BL$44,MATCH($E219,$C$37:$BL$37,0),FALSE)/VLOOKUP($L219,$C$37:$BL$44,MATCH($E219,$C$37:$BL$37,0),FALSE))*
IF($B$5="Foreign Currency",VLOOKUP($C$38,$C$37:$BL$44,MATCH(BY$48,$C$37:$BL$37,0),FALSE)/VLOOKUP($C$39,$C$37:$BL$44,MATCH(BY$48,$C$37:$BL$37,0),FALSE),1),
        IF(BY$48=($E219+$Q219),
$K219*(1+$P219)*(VLOOKUP($C$39,$C$37:$BL$44,MATCH($E219,$C$37:$BL$37,0),FALSE)/VLOOKUP($L219,$C$37:$BL$44,MATCH($E219,$C$37:$BL$37,0),FALSE))*
IF($B$5="Foreign Currency",VLOOKUP($C$38,$C$37:$BL$44,MATCH(BY$48,$C$37:$BL$37,0),FALSE)/VLOOKUP($C$39,$C$37:$BL$44,MATCH(BY$48,$C$37:$BL$37,0),FALSE),1),
0)),
    IF($T219="Lump Sum Principal and Interest",
        IF(BY$48=($E219+$Q219),
$K219*((1+$P219)^$Q219)*(VLOOKUP($C$39,$C$37:$BL$44,MATCH($E219,$C$37:$BL$37,0),FALSE)/VLOOKUP($L219,$C$37:$BL$44,MATCH($E219,$C$37:$BL$37,0),FALSE))*
IF($B$5="Foreign Currency",VLOOKUP($C$38,$C$37:$BL$44,MATCH(BY$48,$C$37:$BL$37,0),FALSE)/VLOOKUP($C$39,$C$37:$BL$44,MATCH(BY$48,$C$37:$BL$37,0),FALSE),1),
0),
    IF($T219="EPP with Grace Years for Principal",
        IF(AND(BY$48&gt;=$E219, BY$48&lt;($E219+$S219)),
$K219*$P219*(VLOOKUP($C$39,$C$37:$BL$44,MATCH($E219,$C$37:$BL$37,0),FALSE)/VLOOKUP($L219,$C$37:$BL$44,MATCH($E219,$C$37:$BL$37,0),FALSE))*
IF($B$5="Foreign Currency",VLOOKUP($C$38,$C$37:$BL$44,MATCH(BY$48,$C$37:$BL$37,0),FALSE)/VLOOKUP($C$39,$C$37:$BL$44,MATCH(BY$48,$C$37:$BL$37,0),FALSE),1),
        IF(AND(BY$48&gt;=($E219+$S219), BY$48&lt;=($E219+$Q219)),
-PMT($P219,($Q219-$S219+1),($K219*(VLOOKUP($C$39,$C$37:$BL$44,MATCH($E219,$C$37:$BL$37,0),FALSE)/VLOOKUP($L219,$C$37:$BL$44,MATCH($E219,$C$37:$BL$37,0),FALSE))*
IF($B$5="Foreign Currency",VLOOKUP($C$38,$C$37:$BL$44,MATCH(BY$48,$C$37:$BL$37,0),FALSE)/VLOOKUP($C$39,$C$37:$BL$44,MATCH(BY$48,$C$37:$BL$37,0),FALSE),1)),0),
0)),
    IF($T219="Equal Principal Payments (EPP)",
        IF(AND(BY$48&gt;=$E219, BY$48&lt;=($E219+$Q219)),
-PMT($P219,($Q219-$S219+1),($K219*(VLOOKUP($C$39,$C$37:$BL$44,MATCH($E219,$C$37:$BL$37,0),FALSE)/VLOOKUP($L219,$C$37:$BL$44,MATCH($E219,$C$37:$BL$37,0),FALSE))*
IF($B$5="Foreign Currency",VLOOKUP($C$38,$C$37:$BL$44,MATCH(BY$48,$C$37:$BL$37,0),FALSE)/VLOOKUP($C$39,$C$37:$BL$44,MATCH(BY$48,$C$37:$BL$37,0),FALSE),1)),0), 0),
    IF($T219="EPP with Grace Years for Principal and on Interest",
        IF(AND(BY$48&gt;=($E219+$S219), BY$48&lt;=($E219+$Q219)),
-PMT($P219,($Q219-$S219+1),($K219*(VLOOKUP($C$39,$C$37:$BL$44,MATCH($E219,$C$37:$BL$37,0),FALSE)/VLOOKUP($L219,$C$37:$BL$44,MATCH($E219,$C$37:$BL$37,0),FALSE))*
IF($B$5="Foreign Currency",VLOOKUP($C$38,$C$37:$BL$44,MATCH(BY$48,$C$37:$BL$37,0),FALSE)/VLOOKUP($C$39,$C$37:$BL$44,MATCH(BY$48,$C$37:$BL$37,0),FALSE),1))*((1+$P219)^$S219),0), 0),
    0)))))),"")</f>
        <v>0</v>
      </c>
      <c r="BZ219" s="171">
        <f t="shared" si="324"/>
        <v>0</v>
      </c>
      <c r="CA219" s="171">
        <f t="shared" si="324"/>
        <v>0</v>
      </c>
      <c r="CB219" s="171">
        <f t="shared" si="324"/>
        <v>0</v>
      </c>
      <c r="CC219" s="171">
        <f t="shared" si="324"/>
        <v>0</v>
      </c>
      <c r="CD219" s="171">
        <f t="shared" si="324"/>
        <v>0</v>
      </c>
      <c r="CE219" s="171">
        <f t="shared" si="324"/>
        <v>0</v>
      </c>
      <c r="CF219" s="171">
        <f t="shared" si="324"/>
        <v>0</v>
      </c>
      <c r="CG219" s="171">
        <f t="shared" si="324"/>
        <v>0</v>
      </c>
      <c r="CH219" s="171">
        <f t="shared" si="324"/>
        <v>0</v>
      </c>
      <c r="CI219" s="171">
        <f t="shared" si="324"/>
        <v>0</v>
      </c>
      <c r="CJ219" s="243"/>
      <c r="CK219" s="171">
        <f t="shared" si="233"/>
        <v>0</v>
      </c>
      <c r="CL219" s="171">
        <f t="shared" si="234"/>
        <v>0</v>
      </c>
      <c r="CM219" s="171">
        <f t="shared" si="235"/>
        <v>0</v>
      </c>
      <c r="CN219" s="171">
        <f t="shared" si="236"/>
        <v>0</v>
      </c>
      <c r="CO219" s="171">
        <f t="shared" si="237"/>
        <v>0</v>
      </c>
      <c r="CP219" s="171">
        <f t="shared" si="238"/>
        <v>0</v>
      </c>
      <c r="CQ219" s="171">
        <f t="shared" si="239"/>
        <v>0</v>
      </c>
      <c r="CR219" s="171">
        <f t="shared" si="240"/>
        <v>0</v>
      </c>
      <c r="CS219" s="171">
        <f t="shared" si="241"/>
        <v>44.55</v>
      </c>
      <c r="CT219" s="171">
        <f t="shared" si="242"/>
        <v>44.55</v>
      </c>
      <c r="CU219" s="171">
        <f t="shared" si="243"/>
        <v>44.55</v>
      </c>
      <c r="CV219" s="171">
        <f t="shared" si="244"/>
        <v>44.55</v>
      </c>
      <c r="CW219" s="171">
        <f t="shared" si="245"/>
        <v>44.55</v>
      </c>
      <c r="CX219" s="171">
        <f t="shared" si="246"/>
        <v>44.55</v>
      </c>
      <c r="CY219" s="171">
        <f t="shared" ca="1" si="247"/>
        <v>42.294307412915238</v>
      </c>
      <c r="CZ219" s="171">
        <f t="shared" ca="1" si="248"/>
        <v>40.152826925660534</v>
      </c>
      <c r="DA219" s="171">
        <f t="shared" ca="1" si="249"/>
        <v>38.119775656374117</v>
      </c>
      <c r="DB219" s="171">
        <f t="shared" ca="1" si="250"/>
        <v>36.189663526869808</v>
      </c>
      <c r="DC219" s="171">
        <f t="shared" ca="1" si="251"/>
        <v>34.3572784371582</v>
      </c>
      <c r="DD219" s="171">
        <f t="shared" ca="1" si="252"/>
        <v>32.617672190623857</v>
      </c>
      <c r="DE219" s="171">
        <f t="shared" ca="1" si="253"/>
        <v>30.966147131850551</v>
      </c>
      <c r="DF219" s="171">
        <f t="shared" ca="1" si="254"/>
        <v>29.398243461011241</v>
      </c>
      <c r="DG219" s="171">
        <f t="shared" ca="1" si="255"/>
        <v>27.909727190566436</v>
      </c>
      <c r="DH219" s="171">
        <f t="shared" ca="1" si="256"/>
        <v>26.496578711748956</v>
      </c>
      <c r="DI219" s="171">
        <f t="shared" ca="1" si="257"/>
        <v>25.154981939959956</v>
      </c>
      <c r="DJ219" s="171">
        <f t="shared" ca="1" si="258"/>
        <v>23.88131400976425</v>
      </c>
      <c r="DK219" s="171">
        <f t="shared" ca="1" si="259"/>
        <v>22.672135491657208</v>
      </c>
      <c r="DL219" s="171">
        <f t="shared" ca="1" si="260"/>
        <v>21.524181104184425</v>
      </c>
      <c r="DM219" s="171">
        <f t="shared" ca="1" si="261"/>
        <v>20.434350896333054</v>
      </c>
      <c r="DN219" s="171">
        <f t="shared" ca="1" si="262"/>
        <v>19.399701876383617</v>
      </c>
      <c r="DO219" s="171">
        <f t="shared" ca="1" si="263"/>
        <v>18.417440064616777</v>
      </c>
      <c r="DP219" s="171">
        <f t="shared" ca="1" si="264"/>
        <v>17.484912948413992</v>
      </c>
      <c r="DQ219" s="171">
        <f t="shared" ca="1" si="265"/>
        <v>16.599602319377858</v>
      </c>
      <c r="DR219" s="171">
        <f t="shared" ca="1" si="266"/>
        <v>15.759117473129246</v>
      </c>
      <c r="DS219" s="171">
        <f t="shared" ca="1" si="267"/>
        <v>0</v>
      </c>
      <c r="DT219" s="171">
        <f t="shared" ca="1" si="268"/>
        <v>0</v>
      </c>
      <c r="DU219" s="171">
        <f t="shared" ca="1" si="269"/>
        <v>0</v>
      </c>
      <c r="DV219" s="171">
        <f t="shared" ca="1" si="270"/>
        <v>0</v>
      </c>
      <c r="DW219" s="171">
        <f t="shared" ca="1" si="271"/>
        <v>0</v>
      </c>
      <c r="DX219" s="171">
        <f t="shared" ca="1" si="272"/>
        <v>0</v>
      </c>
      <c r="DY219" s="171">
        <f t="shared" ca="1" si="273"/>
        <v>0</v>
      </c>
      <c r="DZ219" s="171">
        <f t="shared" ca="1" si="274"/>
        <v>0</v>
      </c>
      <c r="EA219" s="171">
        <f t="shared" ca="1" si="275"/>
        <v>0</v>
      </c>
      <c r="EB219" s="171">
        <f t="shared" ca="1" si="276"/>
        <v>0</v>
      </c>
      <c r="EC219" s="171">
        <f t="shared" ca="1" si="277"/>
        <v>0</v>
      </c>
      <c r="ED219" s="171">
        <f t="shared" ca="1" si="278"/>
        <v>0</v>
      </c>
      <c r="EE219" s="171">
        <f t="shared" ca="1" si="279"/>
        <v>0</v>
      </c>
      <c r="EF219" s="171">
        <f t="shared" ca="1" si="280"/>
        <v>0</v>
      </c>
      <c r="EG219" s="171">
        <f t="shared" ca="1" si="281"/>
        <v>0</v>
      </c>
      <c r="EH219" s="171">
        <f t="shared" ca="1" si="282"/>
        <v>0</v>
      </c>
      <c r="EI219" s="171">
        <f t="shared" ca="1" si="283"/>
        <v>0</v>
      </c>
      <c r="EJ219" s="171">
        <f t="shared" ca="1" si="284"/>
        <v>0</v>
      </c>
      <c r="EK219" s="171">
        <f t="shared" ca="1" si="285"/>
        <v>0</v>
      </c>
      <c r="EL219" s="171">
        <f t="shared" ca="1" si="286"/>
        <v>0</v>
      </c>
      <c r="EM219" s="171">
        <f t="shared" ca="1" si="287"/>
        <v>0</v>
      </c>
      <c r="EN219" s="171">
        <f t="shared" ca="1" si="288"/>
        <v>0</v>
      </c>
      <c r="EO219" s="171">
        <f t="shared" ca="1" si="289"/>
        <v>0</v>
      </c>
      <c r="EP219" s="171">
        <f t="shared" ca="1" si="290"/>
        <v>0</v>
      </c>
      <c r="EQ219" s="171">
        <f t="shared" ca="1" si="291"/>
        <v>0</v>
      </c>
      <c r="ER219" s="171">
        <f t="shared" ca="1" si="292"/>
        <v>0</v>
      </c>
      <c r="ES219" s="171">
        <f t="shared" ca="1" si="293"/>
        <v>0</v>
      </c>
    </row>
    <row r="220" spans="1:149">
      <c r="A220" s="139" t="s">
        <v>563</v>
      </c>
      <c r="B220" s="160" t="s">
        <v>564</v>
      </c>
      <c r="C220" s="160" t="s">
        <v>29</v>
      </c>
      <c r="D220" s="161" t="s">
        <v>394</v>
      </c>
      <c r="E220" s="160">
        <v>2018</v>
      </c>
      <c r="F220" s="194" t="s">
        <v>405</v>
      </c>
      <c r="G220" s="174" t="s">
        <v>289</v>
      </c>
      <c r="H220" s="194" t="s">
        <v>406</v>
      </c>
      <c r="I220" s="194" t="s">
        <v>365</v>
      </c>
      <c r="J220" s="194" t="s">
        <v>397</v>
      </c>
      <c r="K220" s="188">
        <v>75</v>
      </c>
      <c r="L220" s="163" t="s">
        <v>110</v>
      </c>
      <c r="M220" s="164">
        <f t="shared" si="223"/>
        <v>75</v>
      </c>
      <c r="N220" s="164">
        <f t="shared" si="224"/>
        <v>75</v>
      </c>
      <c r="O220" s="165">
        <f t="shared" si="225"/>
        <v>1</v>
      </c>
      <c r="P220" s="176">
        <v>0.16800000000000001</v>
      </c>
      <c r="Q220" s="167">
        <v>25</v>
      </c>
      <c r="R220" s="168">
        <f t="shared" si="312"/>
        <v>19</v>
      </c>
      <c r="S220" s="181">
        <v>0</v>
      </c>
      <c r="T220" s="174" t="s">
        <v>289</v>
      </c>
      <c r="U220" s="171">
        <f t="shared" si="227"/>
        <v>13.104000000000003</v>
      </c>
      <c r="V220" s="171">
        <f t="shared" ca="1" si="228"/>
        <v>9.1311672103114283</v>
      </c>
      <c r="W220" s="171">
        <f t="shared" ca="1" si="229"/>
        <v>228.27918025778573</v>
      </c>
      <c r="X220" s="172" t="str">
        <f t="shared" si="230"/>
        <v>Equity</v>
      </c>
      <c r="Y220" s="172" t="str">
        <f t="shared" si="231"/>
        <v>Equity</v>
      </c>
      <c r="Z220" s="173">
        <f t="shared" si="232"/>
        <v>327.60000000000008</v>
      </c>
      <c r="AA220" s="171">
        <f t="shared" si="319"/>
        <v>0</v>
      </c>
      <c r="AB220" s="171">
        <f t="shared" si="319"/>
        <v>0</v>
      </c>
      <c r="AC220" s="171">
        <f t="shared" si="319"/>
        <v>0</v>
      </c>
      <c r="AD220" s="171">
        <f t="shared" si="319"/>
        <v>0</v>
      </c>
      <c r="AE220" s="171">
        <f t="shared" si="319"/>
        <v>0</v>
      </c>
      <c r="AF220" s="171">
        <f t="shared" si="319"/>
        <v>0</v>
      </c>
      <c r="AG220" s="171">
        <f t="shared" si="319"/>
        <v>0</v>
      </c>
      <c r="AH220" s="171">
        <f t="shared" si="319"/>
        <v>0</v>
      </c>
      <c r="AI220" s="171">
        <f t="shared" si="319"/>
        <v>12.600000000000001</v>
      </c>
      <c r="AJ220" s="171">
        <f t="shared" si="319"/>
        <v>12.600000000000001</v>
      </c>
      <c r="AK220" s="171">
        <f t="shared" si="320"/>
        <v>12.600000000000001</v>
      </c>
      <c r="AL220" s="171">
        <f t="shared" si="320"/>
        <v>12.600000000000001</v>
      </c>
      <c r="AM220" s="171">
        <f t="shared" si="320"/>
        <v>12.600000000000001</v>
      </c>
      <c r="AN220" s="171">
        <f t="shared" si="320"/>
        <v>12.600000000000001</v>
      </c>
      <c r="AO220" s="171">
        <f t="shared" si="320"/>
        <v>12.600000000000001</v>
      </c>
      <c r="AP220" s="171">
        <f t="shared" si="320"/>
        <v>12.600000000000001</v>
      </c>
      <c r="AQ220" s="171">
        <f t="shared" si="320"/>
        <v>12.600000000000001</v>
      </c>
      <c r="AR220" s="171">
        <f t="shared" si="320"/>
        <v>12.600000000000001</v>
      </c>
      <c r="AS220" s="171">
        <f t="shared" si="320"/>
        <v>12.600000000000001</v>
      </c>
      <c r="AT220" s="171">
        <f t="shared" si="320"/>
        <v>12.600000000000001</v>
      </c>
      <c r="AU220" s="171">
        <f t="shared" si="321"/>
        <v>12.600000000000001</v>
      </c>
      <c r="AV220" s="171">
        <f t="shared" si="321"/>
        <v>12.600000000000001</v>
      </c>
      <c r="AW220" s="171">
        <f t="shared" si="321"/>
        <v>12.600000000000001</v>
      </c>
      <c r="AX220" s="171">
        <f t="shared" si="321"/>
        <v>12.600000000000001</v>
      </c>
      <c r="AY220" s="171">
        <f t="shared" si="321"/>
        <v>12.600000000000001</v>
      </c>
      <c r="AZ220" s="171">
        <f t="shared" si="321"/>
        <v>12.600000000000001</v>
      </c>
      <c r="BA220" s="171">
        <f t="shared" si="321"/>
        <v>12.600000000000001</v>
      </c>
      <c r="BB220" s="171">
        <f t="shared" si="321"/>
        <v>12.600000000000001</v>
      </c>
      <c r="BC220" s="171">
        <f t="shared" si="321"/>
        <v>12.600000000000001</v>
      </c>
      <c r="BD220" s="171">
        <f t="shared" si="321"/>
        <v>12.600000000000001</v>
      </c>
      <c r="BE220" s="171">
        <f t="shared" si="322"/>
        <v>12.600000000000001</v>
      </c>
      <c r="BF220" s="171">
        <f t="shared" si="322"/>
        <v>12.600000000000001</v>
      </c>
      <c r="BG220" s="171">
        <f t="shared" si="322"/>
        <v>12.600000000000001</v>
      </c>
      <c r="BH220" s="171">
        <f t="shared" si="322"/>
        <v>12.600000000000001</v>
      </c>
      <c r="BI220" s="171">
        <f t="shared" si="322"/>
        <v>0</v>
      </c>
      <c r="BJ220" s="171">
        <f t="shared" si="322"/>
        <v>0</v>
      </c>
      <c r="BK220" s="171">
        <f t="shared" si="322"/>
        <v>0</v>
      </c>
      <c r="BL220" s="171">
        <f t="shared" si="322"/>
        <v>0</v>
      </c>
      <c r="BM220" s="171">
        <f t="shared" si="322"/>
        <v>0</v>
      </c>
      <c r="BN220" s="171">
        <f t="shared" si="322"/>
        <v>0</v>
      </c>
      <c r="BO220" s="171">
        <f t="shared" si="323"/>
        <v>0</v>
      </c>
      <c r="BP220" s="171">
        <f t="shared" si="323"/>
        <v>0</v>
      </c>
      <c r="BQ220" s="171">
        <f t="shared" si="323"/>
        <v>0</v>
      </c>
      <c r="BR220" s="171">
        <f t="shared" si="323"/>
        <v>0</v>
      </c>
      <c r="BS220" s="171">
        <f t="shared" si="323"/>
        <v>0</v>
      </c>
      <c r="BT220" s="171">
        <f t="shared" si="323"/>
        <v>0</v>
      </c>
      <c r="BU220" s="171">
        <f t="shared" si="323"/>
        <v>0</v>
      </c>
      <c r="BV220" s="171">
        <f t="shared" si="323"/>
        <v>0</v>
      </c>
      <c r="BW220" s="171">
        <f t="shared" si="323"/>
        <v>0</v>
      </c>
      <c r="BX220" s="171">
        <f t="shared" si="323"/>
        <v>0</v>
      </c>
      <c r="BY220" s="171">
        <f t="shared" si="324"/>
        <v>0</v>
      </c>
      <c r="BZ220" s="171">
        <f t="shared" si="324"/>
        <v>0</v>
      </c>
      <c r="CA220" s="171">
        <f t="shared" si="324"/>
        <v>0</v>
      </c>
      <c r="CB220" s="171">
        <f t="shared" si="324"/>
        <v>0</v>
      </c>
      <c r="CC220" s="171">
        <f t="shared" si="324"/>
        <v>0</v>
      </c>
      <c r="CD220" s="171">
        <f t="shared" si="324"/>
        <v>0</v>
      </c>
      <c r="CE220" s="171">
        <f t="shared" si="324"/>
        <v>0</v>
      </c>
      <c r="CF220" s="171">
        <f t="shared" si="324"/>
        <v>0</v>
      </c>
      <c r="CG220" s="171">
        <f t="shared" si="324"/>
        <v>0</v>
      </c>
      <c r="CH220" s="171">
        <f t="shared" si="324"/>
        <v>0</v>
      </c>
      <c r="CI220" s="171">
        <f t="shared" si="324"/>
        <v>0</v>
      </c>
      <c r="CJ220" s="243"/>
      <c r="CK220" s="171">
        <f t="shared" si="233"/>
        <v>0</v>
      </c>
      <c r="CL220" s="171">
        <f t="shared" si="234"/>
        <v>0</v>
      </c>
      <c r="CM220" s="171">
        <f t="shared" si="235"/>
        <v>0</v>
      </c>
      <c r="CN220" s="171">
        <f t="shared" si="236"/>
        <v>0</v>
      </c>
      <c r="CO220" s="171">
        <f t="shared" si="237"/>
        <v>0</v>
      </c>
      <c r="CP220" s="171">
        <f t="shared" si="238"/>
        <v>0</v>
      </c>
      <c r="CQ220" s="171">
        <f t="shared" si="239"/>
        <v>0</v>
      </c>
      <c r="CR220" s="171">
        <f t="shared" si="240"/>
        <v>0</v>
      </c>
      <c r="CS220" s="171">
        <f t="shared" si="241"/>
        <v>12.600000000000001</v>
      </c>
      <c r="CT220" s="171">
        <f t="shared" si="242"/>
        <v>12.600000000000001</v>
      </c>
      <c r="CU220" s="171">
        <f t="shared" si="243"/>
        <v>12.600000000000001</v>
      </c>
      <c r="CV220" s="171">
        <f t="shared" si="244"/>
        <v>12.600000000000001</v>
      </c>
      <c r="CW220" s="171">
        <f t="shared" si="245"/>
        <v>12.600000000000001</v>
      </c>
      <c r="CX220" s="171">
        <f t="shared" si="246"/>
        <v>12.600000000000001</v>
      </c>
      <c r="CY220" s="171">
        <f t="shared" ca="1" si="247"/>
        <v>11.962026339006332</v>
      </c>
      <c r="CZ220" s="171">
        <f t="shared" ca="1" si="248"/>
        <v>11.35635509008581</v>
      </c>
      <c r="DA220" s="171">
        <f t="shared" ca="1" si="249"/>
        <v>10.781350690691673</v>
      </c>
      <c r="DB220" s="171">
        <f t="shared" ca="1" si="250"/>
        <v>10.235460391437925</v>
      </c>
      <c r="DC220" s="171">
        <f t="shared" ca="1" si="251"/>
        <v>9.7172100630346439</v>
      </c>
      <c r="DD220" s="171">
        <f t="shared" ca="1" si="252"/>
        <v>9.2252002155299824</v>
      </c>
      <c r="DE220" s="171">
        <f t="shared" ca="1" si="253"/>
        <v>8.758102219109249</v>
      </c>
      <c r="DF220" s="171">
        <f t="shared" ca="1" si="254"/>
        <v>8.3146547162456041</v>
      </c>
      <c r="DG220" s="171">
        <f t="shared" ca="1" si="255"/>
        <v>7.8936602155137408</v>
      </c>
      <c r="DH220" s="171">
        <f t="shared" ca="1" si="256"/>
        <v>7.493981857868393</v>
      </c>
      <c r="DI220" s="171">
        <f t="shared" ca="1" si="257"/>
        <v>7.1145403466553425</v>
      </c>
      <c r="DJ220" s="171">
        <f t="shared" ca="1" si="258"/>
        <v>6.7543110330646376</v>
      </c>
      <c r="DK220" s="171">
        <f t="shared" ca="1" si="259"/>
        <v>6.4123211491555745</v>
      </c>
      <c r="DL220" s="171">
        <f t="shared" ca="1" si="260"/>
        <v>6.0876471809814543</v>
      </c>
      <c r="DM220" s="171">
        <f t="shared" ca="1" si="261"/>
        <v>5.7794123747204607</v>
      </c>
      <c r="DN220" s="171">
        <f t="shared" ca="1" si="262"/>
        <v>5.4867843690781957</v>
      </c>
      <c r="DO220" s="171">
        <f t="shared" ca="1" si="263"/>
        <v>5.2089729475683821</v>
      </c>
      <c r="DP220" s="171">
        <f t="shared" ca="1" si="264"/>
        <v>4.9452279046019383</v>
      </c>
      <c r="DQ220" s="171">
        <f t="shared" ca="1" si="265"/>
        <v>4.6948370196220219</v>
      </c>
      <c r="DR220" s="171">
        <f t="shared" ca="1" si="266"/>
        <v>4.4571241338143333</v>
      </c>
      <c r="DS220" s="171">
        <f t="shared" ca="1" si="267"/>
        <v>0</v>
      </c>
      <c r="DT220" s="171">
        <f t="shared" ca="1" si="268"/>
        <v>0</v>
      </c>
      <c r="DU220" s="171">
        <f t="shared" ca="1" si="269"/>
        <v>0</v>
      </c>
      <c r="DV220" s="171">
        <f t="shared" ca="1" si="270"/>
        <v>0</v>
      </c>
      <c r="DW220" s="171">
        <f t="shared" ca="1" si="271"/>
        <v>0</v>
      </c>
      <c r="DX220" s="171">
        <f t="shared" ca="1" si="272"/>
        <v>0</v>
      </c>
      <c r="DY220" s="171">
        <f t="shared" ca="1" si="273"/>
        <v>0</v>
      </c>
      <c r="DZ220" s="171">
        <f t="shared" ca="1" si="274"/>
        <v>0</v>
      </c>
      <c r="EA220" s="171">
        <f t="shared" ca="1" si="275"/>
        <v>0</v>
      </c>
      <c r="EB220" s="171">
        <f t="shared" ca="1" si="276"/>
        <v>0</v>
      </c>
      <c r="EC220" s="171">
        <f t="shared" ca="1" si="277"/>
        <v>0</v>
      </c>
      <c r="ED220" s="171">
        <f t="shared" ca="1" si="278"/>
        <v>0</v>
      </c>
      <c r="EE220" s="171">
        <f t="shared" ca="1" si="279"/>
        <v>0</v>
      </c>
      <c r="EF220" s="171">
        <f t="shared" ca="1" si="280"/>
        <v>0</v>
      </c>
      <c r="EG220" s="171">
        <f t="shared" ca="1" si="281"/>
        <v>0</v>
      </c>
      <c r="EH220" s="171">
        <f t="shared" ca="1" si="282"/>
        <v>0</v>
      </c>
      <c r="EI220" s="171">
        <f t="shared" ca="1" si="283"/>
        <v>0</v>
      </c>
      <c r="EJ220" s="171">
        <f t="shared" ca="1" si="284"/>
        <v>0</v>
      </c>
      <c r="EK220" s="171">
        <f t="shared" ca="1" si="285"/>
        <v>0</v>
      </c>
      <c r="EL220" s="171">
        <f t="shared" ca="1" si="286"/>
        <v>0</v>
      </c>
      <c r="EM220" s="171">
        <f t="shared" ca="1" si="287"/>
        <v>0</v>
      </c>
      <c r="EN220" s="171">
        <f t="shared" ca="1" si="288"/>
        <v>0</v>
      </c>
      <c r="EO220" s="171">
        <f t="shared" ca="1" si="289"/>
        <v>0</v>
      </c>
      <c r="EP220" s="171">
        <f t="shared" ca="1" si="290"/>
        <v>0</v>
      </c>
      <c r="EQ220" s="171">
        <f t="shared" ca="1" si="291"/>
        <v>0</v>
      </c>
      <c r="ER220" s="171">
        <f t="shared" ca="1" si="292"/>
        <v>0</v>
      </c>
      <c r="ES220" s="171">
        <f t="shared" ca="1" si="293"/>
        <v>0</v>
      </c>
    </row>
    <row r="221" spans="1:149">
      <c r="A221" s="139" t="s">
        <v>563</v>
      </c>
      <c r="B221" s="160" t="s">
        <v>564</v>
      </c>
      <c r="C221" s="160" t="s">
        <v>29</v>
      </c>
      <c r="D221" s="161" t="s">
        <v>394</v>
      </c>
      <c r="E221" s="160">
        <v>2018</v>
      </c>
      <c r="F221" s="194" t="s">
        <v>405</v>
      </c>
      <c r="G221" s="174" t="s">
        <v>402</v>
      </c>
      <c r="H221" s="194" t="s">
        <v>406</v>
      </c>
      <c r="I221" s="194" t="s">
        <v>365</v>
      </c>
      <c r="J221" s="194" t="s">
        <v>397</v>
      </c>
      <c r="K221" s="188">
        <v>75</v>
      </c>
      <c r="L221" s="163" t="s">
        <v>110</v>
      </c>
      <c r="M221" s="164">
        <f t="shared" si="223"/>
        <v>75</v>
      </c>
      <c r="N221" s="164">
        <f t="shared" si="224"/>
        <v>75</v>
      </c>
      <c r="O221" s="165">
        <f t="shared" si="225"/>
        <v>1</v>
      </c>
      <c r="P221" s="180">
        <v>0.18</v>
      </c>
      <c r="Q221" s="183">
        <v>20</v>
      </c>
      <c r="R221" s="168">
        <f t="shared" si="312"/>
        <v>14</v>
      </c>
      <c r="S221" s="186">
        <v>10</v>
      </c>
      <c r="T221" s="170" t="s">
        <v>403</v>
      </c>
      <c r="U221" s="171">
        <f t="shared" si="227"/>
        <v>15.609525931539759</v>
      </c>
      <c r="V221" s="171">
        <f t="shared" ca="1" si="228"/>
        <v>11.765811125809053</v>
      </c>
      <c r="W221" s="171">
        <f t="shared" ca="1" si="229"/>
        <v>235.31622251618106</v>
      </c>
      <c r="X221" s="172">
        <f t="shared" si="230"/>
        <v>1.0000000000000002</v>
      </c>
      <c r="Y221" s="172">
        <f t="shared" si="231"/>
        <v>-2.1069013582678086E-16</v>
      </c>
      <c r="Z221" s="173">
        <f t="shared" si="232"/>
        <v>312.19051863079517</v>
      </c>
      <c r="AA221" s="171">
        <f t="shared" si="319"/>
        <v>0</v>
      </c>
      <c r="AB221" s="171">
        <f t="shared" si="319"/>
        <v>0</v>
      </c>
      <c r="AC221" s="171">
        <f t="shared" si="319"/>
        <v>0</v>
      </c>
      <c r="AD221" s="171">
        <f t="shared" si="319"/>
        <v>0</v>
      </c>
      <c r="AE221" s="171">
        <f t="shared" si="319"/>
        <v>0</v>
      </c>
      <c r="AF221" s="171">
        <f t="shared" si="319"/>
        <v>0</v>
      </c>
      <c r="AG221" s="171">
        <f t="shared" si="319"/>
        <v>0</v>
      </c>
      <c r="AH221" s="171">
        <f t="shared" si="319"/>
        <v>0</v>
      </c>
      <c r="AI221" s="171">
        <f t="shared" si="319"/>
        <v>13.5</v>
      </c>
      <c r="AJ221" s="171">
        <f t="shared" si="319"/>
        <v>13.5</v>
      </c>
      <c r="AK221" s="171">
        <f t="shared" si="320"/>
        <v>13.5</v>
      </c>
      <c r="AL221" s="171">
        <f t="shared" si="320"/>
        <v>13.5</v>
      </c>
      <c r="AM221" s="171">
        <f t="shared" si="320"/>
        <v>13.5</v>
      </c>
      <c r="AN221" s="171">
        <f t="shared" si="320"/>
        <v>13.5</v>
      </c>
      <c r="AO221" s="171">
        <f t="shared" si="320"/>
        <v>13.5</v>
      </c>
      <c r="AP221" s="171">
        <f t="shared" si="320"/>
        <v>13.5</v>
      </c>
      <c r="AQ221" s="171">
        <f t="shared" si="320"/>
        <v>13.5</v>
      </c>
      <c r="AR221" s="171">
        <f t="shared" si="320"/>
        <v>13.5</v>
      </c>
      <c r="AS221" s="171">
        <f t="shared" si="320"/>
        <v>16.108228966435917</v>
      </c>
      <c r="AT221" s="171">
        <f t="shared" si="320"/>
        <v>16.108228966435917</v>
      </c>
      <c r="AU221" s="171">
        <f t="shared" si="321"/>
        <v>16.108228966435917</v>
      </c>
      <c r="AV221" s="171">
        <f t="shared" si="321"/>
        <v>16.108228966435917</v>
      </c>
      <c r="AW221" s="171">
        <f t="shared" si="321"/>
        <v>16.108228966435917</v>
      </c>
      <c r="AX221" s="171">
        <f t="shared" si="321"/>
        <v>16.108228966435917</v>
      </c>
      <c r="AY221" s="171">
        <f t="shared" si="321"/>
        <v>16.108228966435917</v>
      </c>
      <c r="AZ221" s="171">
        <f t="shared" si="321"/>
        <v>16.108228966435917</v>
      </c>
      <c r="BA221" s="171">
        <f t="shared" si="321"/>
        <v>16.108228966435917</v>
      </c>
      <c r="BB221" s="171">
        <f t="shared" si="321"/>
        <v>16.108228966435917</v>
      </c>
      <c r="BC221" s="171">
        <f t="shared" si="321"/>
        <v>16.108228966435917</v>
      </c>
      <c r="BD221" s="171">
        <f t="shared" si="321"/>
        <v>0</v>
      </c>
      <c r="BE221" s="171">
        <f t="shared" si="322"/>
        <v>0</v>
      </c>
      <c r="BF221" s="171">
        <f t="shared" si="322"/>
        <v>0</v>
      </c>
      <c r="BG221" s="171">
        <f t="shared" si="322"/>
        <v>0</v>
      </c>
      <c r="BH221" s="171">
        <f t="shared" si="322"/>
        <v>0</v>
      </c>
      <c r="BI221" s="171">
        <f t="shared" si="322"/>
        <v>0</v>
      </c>
      <c r="BJ221" s="171">
        <f t="shared" si="322"/>
        <v>0</v>
      </c>
      <c r="BK221" s="171">
        <f t="shared" si="322"/>
        <v>0</v>
      </c>
      <c r="BL221" s="171">
        <f t="shared" si="322"/>
        <v>0</v>
      </c>
      <c r="BM221" s="171">
        <f t="shared" si="322"/>
        <v>0</v>
      </c>
      <c r="BN221" s="171">
        <f t="shared" si="322"/>
        <v>0</v>
      </c>
      <c r="BO221" s="171">
        <f t="shared" si="323"/>
        <v>0</v>
      </c>
      <c r="BP221" s="171">
        <f t="shared" si="323"/>
        <v>0</v>
      </c>
      <c r="BQ221" s="171">
        <f t="shared" si="323"/>
        <v>0</v>
      </c>
      <c r="BR221" s="171">
        <f t="shared" si="323"/>
        <v>0</v>
      </c>
      <c r="BS221" s="171">
        <f t="shared" si="323"/>
        <v>0</v>
      </c>
      <c r="BT221" s="171">
        <f t="shared" si="323"/>
        <v>0</v>
      </c>
      <c r="BU221" s="171">
        <f t="shared" si="323"/>
        <v>0</v>
      </c>
      <c r="BV221" s="171">
        <f t="shared" si="323"/>
        <v>0</v>
      </c>
      <c r="BW221" s="171">
        <f t="shared" si="323"/>
        <v>0</v>
      </c>
      <c r="BX221" s="171">
        <f t="shared" si="323"/>
        <v>0</v>
      </c>
      <c r="BY221" s="171">
        <f t="shared" si="324"/>
        <v>0</v>
      </c>
      <c r="BZ221" s="171">
        <f t="shared" si="324"/>
        <v>0</v>
      </c>
      <c r="CA221" s="171">
        <f t="shared" si="324"/>
        <v>0</v>
      </c>
      <c r="CB221" s="171">
        <f t="shared" si="324"/>
        <v>0</v>
      </c>
      <c r="CC221" s="171">
        <f t="shared" si="324"/>
        <v>0</v>
      </c>
      <c r="CD221" s="171">
        <f t="shared" si="324"/>
        <v>0</v>
      </c>
      <c r="CE221" s="171">
        <f t="shared" si="324"/>
        <v>0</v>
      </c>
      <c r="CF221" s="171">
        <f t="shared" si="324"/>
        <v>0</v>
      </c>
      <c r="CG221" s="171">
        <f t="shared" si="324"/>
        <v>0</v>
      </c>
      <c r="CH221" s="171">
        <f t="shared" si="324"/>
        <v>0</v>
      </c>
      <c r="CI221" s="171">
        <f t="shared" si="324"/>
        <v>0</v>
      </c>
      <c r="CJ221" s="243"/>
      <c r="CK221" s="171">
        <f t="shared" si="233"/>
        <v>0</v>
      </c>
      <c r="CL221" s="171">
        <f t="shared" si="234"/>
        <v>0</v>
      </c>
      <c r="CM221" s="171">
        <f t="shared" si="235"/>
        <v>0</v>
      </c>
      <c r="CN221" s="171">
        <f t="shared" si="236"/>
        <v>0</v>
      </c>
      <c r="CO221" s="171">
        <f t="shared" si="237"/>
        <v>0</v>
      </c>
      <c r="CP221" s="171">
        <f t="shared" si="238"/>
        <v>0</v>
      </c>
      <c r="CQ221" s="171">
        <f t="shared" si="239"/>
        <v>0</v>
      </c>
      <c r="CR221" s="171">
        <f t="shared" si="240"/>
        <v>0</v>
      </c>
      <c r="CS221" s="171">
        <f t="shared" si="241"/>
        <v>13.5</v>
      </c>
      <c r="CT221" s="171">
        <f t="shared" si="242"/>
        <v>13.5</v>
      </c>
      <c r="CU221" s="171">
        <f t="shared" si="243"/>
        <v>13.5</v>
      </c>
      <c r="CV221" s="171">
        <f t="shared" si="244"/>
        <v>13.5</v>
      </c>
      <c r="CW221" s="171">
        <f t="shared" si="245"/>
        <v>13.5</v>
      </c>
      <c r="CX221" s="171">
        <f t="shared" si="246"/>
        <v>13.5</v>
      </c>
      <c r="CY221" s="171">
        <f t="shared" ca="1" si="247"/>
        <v>12.816456791792497</v>
      </c>
      <c r="CZ221" s="171">
        <f t="shared" ca="1" si="248"/>
        <v>12.167523310806224</v>
      </c>
      <c r="DA221" s="171">
        <f t="shared" ca="1" si="249"/>
        <v>11.551447168598219</v>
      </c>
      <c r="DB221" s="171">
        <f t="shared" ca="1" si="250"/>
        <v>10.966564705112063</v>
      </c>
      <c r="DC221" s="171">
        <f t="shared" ca="1" si="251"/>
        <v>12.422781318279144</v>
      </c>
      <c r="DD221" s="171">
        <f t="shared" ca="1" si="252"/>
        <v>11.793780740711977</v>
      </c>
      <c r="DE221" s="171">
        <f t="shared" ca="1" si="253"/>
        <v>11.196628242608115</v>
      </c>
      <c r="DF221" s="171">
        <f t="shared" ca="1" si="254"/>
        <v>10.629711265566701</v>
      </c>
      <c r="DG221" s="171">
        <f t="shared" ca="1" si="255"/>
        <v>10.091498899582636</v>
      </c>
      <c r="DH221" s="171">
        <f t="shared" ca="1" si="256"/>
        <v>9.5805377489572123</v>
      </c>
      <c r="DI221" s="171">
        <f t="shared" ca="1" si="257"/>
        <v>9.0954480075294128</v>
      </c>
      <c r="DJ221" s="171">
        <f t="shared" ca="1" si="258"/>
        <v>8.6349197326293243</v>
      </c>
      <c r="DK221" s="171">
        <f t="shared" ca="1" si="259"/>
        <v>8.1977093076918628</v>
      </c>
      <c r="DL221" s="171">
        <f t="shared" ca="1" si="260"/>
        <v>7.7826360839783657</v>
      </c>
      <c r="DM221" s="171">
        <f t="shared" ca="1" si="261"/>
        <v>7.3885791923373256</v>
      </c>
      <c r="DN221" s="171">
        <f t="shared" ca="1" si="262"/>
        <v>0</v>
      </c>
      <c r="DO221" s="171">
        <f t="shared" ca="1" si="263"/>
        <v>0</v>
      </c>
      <c r="DP221" s="171">
        <f t="shared" ca="1" si="264"/>
        <v>0</v>
      </c>
      <c r="DQ221" s="171">
        <f t="shared" ca="1" si="265"/>
        <v>0</v>
      </c>
      <c r="DR221" s="171">
        <f t="shared" ca="1" si="266"/>
        <v>0</v>
      </c>
      <c r="DS221" s="171">
        <f t="shared" ca="1" si="267"/>
        <v>0</v>
      </c>
      <c r="DT221" s="171">
        <f t="shared" ca="1" si="268"/>
        <v>0</v>
      </c>
      <c r="DU221" s="171">
        <f t="shared" ca="1" si="269"/>
        <v>0</v>
      </c>
      <c r="DV221" s="171">
        <f t="shared" ca="1" si="270"/>
        <v>0</v>
      </c>
      <c r="DW221" s="171">
        <f t="shared" ca="1" si="271"/>
        <v>0</v>
      </c>
      <c r="DX221" s="171">
        <f t="shared" ca="1" si="272"/>
        <v>0</v>
      </c>
      <c r="DY221" s="171">
        <f t="shared" ca="1" si="273"/>
        <v>0</v>
      </c>
      <c r="DZ221" s="171">
        <f t="shared" ca="1" si="274"/>
        <v>0</v>
      </c>
      <c r="EA221" s="171">
        <f t="shared" ca="1" si="275"/>
        <v>0</v>
      </c>
      <c r="EB221" s="171">
        <f t="shared" ca="1" si="276"/>
        <v>0</v>
      </c>
      <c r="EC221" s="171">
        <f t="shared" ca="1" si="277"/>
        <v>0</v>
      </c>
      <c r="ED221" s="171">
        <f t="shared" ca="1" si="278"/>
        <v>0</v>
      </c>
      <c r="EE221" s="171">
        <f t="shared" ca="1" si="279"/>
        <v>0</v>
      </c>
      <c r="EF221" s="171">
        <f t="shared" ca="1" si="280"/>
        <v>0</v>
      </c>
      <c r="EG221" s="171">
        <f t="shared" ca="1" si="281"/>
        <v>0</v>
      </c>
      <c r="EH221" s="171">
        <f t="shared" ca="1" si="282"/>
        <v>0</v>
      </c>
      <c r="EI221" s="171">
        <f t="shared" ca="1" si="283"/>
        <v>0</v>
      </c>
      <c r="EJ221" s="171">
        <f t="shared" ca="1" si="284"/>
        <v>0</v>
      </c>
      <c r="EK221" s="171">
        <f t="shared" ca="1" si="285"/>
        <v>0</v>
      </c>
      <c r="EL221" s="171">
        <f t="shared" ca="1" si="286"/>
        <v>0</v>
      </c>
      <c r="EM221" s="171">
        <f t="shared" ca="1" si="287"/>
        <v>0</v>
      </c>
      <c r="EN221" s="171">
        <f t="shared" ca="1" si="288"/>
        <v>0</v>
      </c>
      <c r="EO221" s="171">
        <f t="shared" ca="1" si="289"/>
        <v>0</v>
      </c>
      <c r="EP221" s="171">
        <f t="shared" ca="1" si="290"/>
        <v>0</v>
      </c>
      <c r="EQ221" s="171">
        <f t="shared" ca="1" si="291"/>
        <v>0</v>
      </c>
      <c r="ER221" s="171">
        <f t="shared" ca="1" si="292"/>
        <v>0</v>
      </c>
      <c r="ES221" s="171">
        <f t="shared" ca="1" si="293"/>
        <v>0</v>
      </c>
    </row>
    <row r="222" spans="1:149">
      <c r="A222" s="139" t="s">
        <v>565</v>
      </c>
      <c r="B222" s="160" t="s">
        <v>566</v>
      </c>
      <c r="C222" s="160" t="s">
        <v>435</v>
      </c>
      <c r="D222" s="160" t="s">
        <v>417</v>
      </c>
      <c r="E222" s="160">
        <v>2012</v>
      </c>
      <c r="F222" s="194" t="s">
        <v>395</v>
      </c>
      <c r="G222" s="160" t="s">
        <v>402</v>
      </c>
      <c r="H222" s="194" t="s">
        <v>396</v>
      </c>
      <c r="I222" s="194" t="s">
        <v>178</v>
      </c>
      <c r="J222" s="194" t="s">
        <v>407</v>
      </c>
      <c r="K222" s="187">
        <v>38.25</v>
      </c>
      <c r="L222" s="163" t="s">
        <v>110</v>
      </c>
      <c r="M222" s="164">
        <f t="shared" si="223"/>
        <v>38.25</v>
      </c>
      <c r="N222" s="164">
        <f t="shared" si="224"/>
        <v>38.25</v>
      </c>
      <c r="O222" s="165">
        <f t="shared" si="225"/>
        <v>1</v>
      </c>
      <c r="P222" s="190">
        <v>7.3400000000000007E-2</v>
      </c>
      <c r="Q222" s="191">
        <v>15</v>
      </c>
      <c r="R222" s="168">
        <f t="shared" si="312"/>
        <v>3</v>
      </c>
      <c r="S222" s="178">
        <v>1.5</v>
      </c>
      <c r="T222" s="170" t="s">
        <v>403</v>
      </c>
      <c r="U222" s="171">
        <f t="shared" si="227"/>
        <v>4.4563161696703064</v>
      </c>
      <c r="V222" s="171">
        <f t="shared" ca="1" si="228"/>
        <v>4.3159737680669563</v>
      </c>
      <c r="W222" s="171">
        <f t="shared" ca="1" si="229"/>
        <v>64.739606521004347</v>
      </c>
      <c r="X222" s="172">
        <f t="shared" si="230"/>
        <v>0.56460548500353114</v>
      </c>
      <c r="Y222" s="172">
        <f t="shared" si="231"/>
        <v>0.43539451499646881</v>
      </c>
      <c r="Z222" s="173">
        <f t="shared" si="232"/>
        <v>66.844742545054601</v>
      </c>
      <c r="AA222" s="171">
        <f t="shared" si="319"/>
        <v>0</v>
      </c>
      <c r="AB222" s="171">
        <f t="shared" si="319"/>
        <v>0</v>
      </c>
      <c r="AC222" s="171">
        <f t="shared" si="319"/>
        <v>2.8075500000000004</v>
      </c>
      <c r="AD222" s="171">
        <f t="shared" si="319"/>
        <v>2.8075500000000004</v>
      </c>
      <c r="AE222" s="171">
        <f t="shared" si="319"/>
        <v>4.3735458960753286</v>
      </c>
      <c r="AF222" s="171">
        <f t="shared" si="319"/>
        <v>4.3735458960753286</v>
      </c>
      <c r="AG222" s="171">
        <f t="shared" si="319"/>
        <v>4.3735458960753286</v>
      </c>
      <c r="AH222" s="171">
        <f t="shared" si="319"/>
        <v>4.3735458960753286</v>
      </c>
      <c r="AI222" s="171">
        <f t="shared" si="319"/>
        <v>4.3735458960753286</v>
      </c>
      <c r="AJ222" s="171">
        <f t="shared" si="319"/>
        <v>4.3735458960753286</v>
      </c>
      <c r="AK222" s="171">
        <f t="shared" si="320"/>
        <v>4.3735458960753286</v>
      </c>
      <c r="AL222" s="171">
        <f t="shared" si="320"/>
        <v>4.3735458960753286</v>
      </c>
      <c r="AM222" s="171">
        <f t="shared" si="320"/>
        <v>4.3735458960753286</v>
      </c>
      <c r="AN222" s="171">
        <f t="shared" si="320"/>
        <v>4.3735458960753286</v>
      </c>
      <c r="AO222" s="171">
        <f t="shared" si="320"/>
        <v>4.3735458960753286</v>
      </c>
      <c r="AP222" s="171">
        <f t="shared" si="320"/>
        <v>4.3735458960753286</v>
      </c>
      <c r="AQ222" s="171">
        <f t="shared" si="320"/>
        <v>4.3735458960753286</v>
      </c>
      <c r="AR222" s="171">
        <f t="shared" si="320"/>
        <v>4.3735458960753286</v>
      </c>
      <c r="AS222" s="171">
        <f t="shared" si="320"/>
        <v>0</v>
      </c>
      <c r="AT222" s="171">
        <f t="shared" si="320"/>
        <v>0</v>
      </c>
      <c r="AU222" s="171">
        <f t="shared" si="321"/>
        <v>0</v>
      </c>
      <c r="AV222" s="171">
        <f t="shared" si="321"/>
        <v>0</v>
      </c>
      <c r="AW222" s="171">
        <f t="shared" si="321"/>
        <v>0</v>
      </c>
      <c r="AX222" s="171">
        <f t="shared" si="321"/>
        <v>0</v>
      </c>
      <c r="AY222" s="171">
        <f t="shared" si="321"/>
        <v>0</v>
      </c>
      <c r="AZ222" s="171">
        <f t="shared" si="321"/>
        <v>0</v>
      </c>
      <c r="BA222" s="171">
        <f t="shared" si="321"/>
        <v>0</v>
      </c>
      <c r="BB222" s="171">
        <f t="shared" si="321"/>
        <v>0</v>
      </c>
      <c r="BC222" s="171">
        <f t="shared" si="321"/>
        <v>0</v>
      </c>
      <c r="BD222" s="171">
        <f t="shared" si="321"/>
        <v>0</v>
      </c>
      <c r="BE222" s="171">
        <f t="shared" si="322"/>
        <v>0</v>
      </c>
      <c r="BF222" s="171">
        <f t="shared" si="322"/>
        <v>0</v>
      </c>
      <c r="BG222" s="171">
        <f t="shared" si="322"/>
        <v>0</v>
      </c>
      <c r="BH222" s="171">
        <f t="shared" si="322"/>
        <v>0</v>
      </c>
      <c r="BI222" s="171">
        <f t="shared" si="322"/>
        <v>0</v>
      </c>
      <c r="BJ222" s="171">
        <f t="shared" si="322"/>
        <v>0</v>
      </c>
      <c r="BK222" s="171">
        <f t="shared" si="322"/>
        <v>0</v>
      </c>
      <c r="BL222" s="171">
        <f t="shared" si="322"/>
        <v>0</v>
      </c>
      <c r="BM222" s="171">
        <f t="shared" si="322"/>
        <v>0</v>
      </c>
      <c r="BN222" s="171">
        <f t="shared" si="322"/>
        <v>0</v>
      </c>
      <c r="BO222" s="171">
        <f t="shared" si="323"/>
        <v>0</v>
      </c>
      <c r="BP222" s="171">
        <f t="shared" si="323"/>
        <v>0</v>
      </c>
      <c r="BQ222" s="171">
        <f t="shared" si="323"/>
        <v>0</v>
      </c>
      <c r="BR222" s="171">
        <f t="shared" si="323"/>
        <v>0</v>
      </c>
      <c r="BS222" s="171">
        <f t="shared" si="323"/>
        <v>0</v>
      </c>
      <c r="BT222" s="171">
        <f t="shared" si="323"/>
        <v>0</v>
      </c>
      <c r="BU222" s="171">
        <f t="shared" si="323"/>
        <v>0</v>
      </c>
      <c r="BV222" s="171">
        <f t="shared" si="323"/>
        <v>0</v>
      </c>
      <c r="BW222" s="171">
        <f t="shared" si="323"/>
        <v>0</v>
      </c>
      <c r="BX222" s="171">
        <f t="shared" si="323"/>
        <v>0</v>
      </c>
      <c r="BY222" s="171">
        <f t="shared" si="324"/>
        <v>0</v>
      </c>
      <c r="BZ222" s="171">
        <f t="shared" si="324"/>
        <v>0</v>
      </c>
      <c r="CA222" s="171">
        <f t="shared" si="324"/>
        <v>0</v>
      </c>
      <c r="CB222" s="171">
        <f t="shared" si="324"/>
        <v>0</v>
      </c>
      <c r="CC222" s="171">
        <f t="shared" si="324"/>
        <v>0</v>
      </c>
      <c r="CD222" s="171">
        <f t="shared" si="324"/>
        <v>0</v>
      </c>
      <c r="CE222" s="171">
        <f t="shared" si="324"/>
        <v>0</v>
      </c>
      <c r="CF222" s="171">
        <f t="shared" si="324"/>
        <v>0</v>
      </c>
      <c r="CG222" s="171">
        <f t="shared" si="324"/>
        <v>0</v>
      </c>
      <c r="CH222" s="171">
        <f t="shared" si="324"/>
        <v>0</v>
      </c>
      <c r="CI222" s="171">
        <f t="shared" si="324"/>
        <v>0</v>
      </c>
      <c r="CJ222" s="243"/>
      <c r="CK222" s="171">
        <f t="shared" si="233"/>
        <v>0</v>
      </c>
      <c r="CL222" s="171">
        <f t="shared" si="234"/>
        <v>0</v>
      </c>
      <c r="CM222" s="171">
        <f t="shared" si="235"/>
        <v>2.8075500000000004</v>
      </c>
      <c r="CN222" s="171">
        <f t="shared" si="236"/>
        <v>2.8075500000000004</v>
      </c>
      <c r="CO222" s="171">
        <f t="shared" si="237"/>
        <v>4.3735458960753286</v>
      </c>
      <c r="CP222" s="171">
        <f t="shared" si="238"/>
        <v>4.3735458960753286</v>
      </c>
      <c r="CQ222" s="171">
        <f t="shared" si="239"/>
        <v>4.3735458960753286</v>
      </c>
      <c r="CR222" s="171">
        <f t="shared" si="240"/>
        <v>4.3735458960753286</v>
      </c>
      <c r="CS222" s="171">
        <f t="shared" si="241"/>
        <v>4.3735458960753286</v>
      </c>
      <c r="CT222" s="171">
        <f t="shared" si="242"/>
        <v>4.3735458960753286</v>
      </c>
      <c r="CU222" s="171">
        <f t="shared" si="243"/>
        <v>4.3735458960753286</v>
      </c>
      <c r="CV222" s="171">
        <f t="shared" si="244"/>
        <v>4.3735458960753286</v>
      </c>
      <c r="CW222" s="171">
        <f t="shared" si="245"/>
        <v>4.3735458960753286</v>
      </c>
      <c r="CX222" s="171">
        <f t="shared" si="246"/>
        <v>4.3735458960753286</v>
      </c>
      <c r="CY222" s="171">
        <f t="shared" ca="1" si="247"/>
        <v>4.1521008891830258</v>
      </c>
      <c r="CZ222" s="171">
        <f t="shared" ca="1" si="248"/>
        <v>3.9418682697316632</v>
      </c>
      <c r="DA222" s="171">
        <f t="shared" ca="1" si="249"/>
        <v>3.7422803228113861</v>
      </c>
      <c r="DB222" s="171">
        <f t="shared" ca="1" si="250"/>
        <v>3.5527980785249933</v>
      </c>
      <c r="DC222" s="171">
        <f t="shared" ca="1" si="251"/>
        <v>0</v>
      </c>
      <c r="DD222" s="171">
        <f t="shared" ca="1" si="252"/>
        <v>0</v>
      </c>
      <c r="DE222" s="171">
        <f t="shared" ca="1" si="253"/>
        <v>0</v>
      </c>
      <c r="DF222" s="171">
        <f t="shared" ca="1" si="254"/>
        <v>0</v>
      </c>
      <c r="DG222" s="171">
        <f t="shared" ca="1" si="255"/>
        <v>0</v>
      </c>
      <c r="DH222" s="171">
        <f t="shared" ca="1" si="256"/>
        <v>0</v>
      </c>
      <c r="DI222" s="171">
        <f t="shared" ca="1" si="257"/>
        <v>0</v>
      </c>
      <c r="DJ222" s="171">
        <f t="shared" ca="1" si="258"/>
        <v>0</v>
      </c>
      <c r="DK222" s="171">
        <f t="shared" ca="1" si="259"/>
        <v>0</v>
      </c>
      <c r="DL222" s="171">
        <f t="shared" ca="1" si="260"/>
        <v>0</v>
      </c>
      <c r="DM222" s="171">
        <f t="shared" ca="1" si="261"/>
        <v>0</v>
      </c>
      <c r="DN222" s="171">
        <f t="shared" ca="1" si="262"/>
        <v>0</v>
      </c>
      <c r="DO222" s="171">
        <f t="shared" ca="1" si="263"/>
        <v>0</v>
      </c>
      <c r="DP222" s="171">
        <f t="shared" ca="1" si="264"/>
        <v>0</v>
      </c>
      <c r="DQ222" s="171">
        <f t="shared" ca="1" si="265"/>
        <v>0</v>
      </c>
      <c r="DR222" s="171">
        <f t="shared" ca="1" si="266"/>
        <v>0</v>
      </c>
      <c r="DS222" s="171">
        <f t="shared" ca="1" si="267"/>
        <v>0</v>
      </c>
      <c r="DT222" s="171">
        <f t="shared" ca="1" si="268"/>
        <v>0</v>
      </c>
      <c r="DU222" s="171">
        <f t="shared" ca="1" si="269"/>
        <v>0</v>
      </c>
      <c r="DV222" s="171">
        <f t="shared" ca="1" si="270"/>
        <v>0</v>
      </c>
      <c r="DW222" s="171">
        <f t="shared" ca="1" si="271"/>
        <v>0</v>
      </c>
      <c r="DX222" s="171">
        <f t="shared" ca="1" si="272"/>
        <v>0</v>
      </c>
      <c r="DY222" s="171">
        <f t="shared" ca="1" si="273"/>
        <v>0</v>
      </c>
      <c r="DZ222" s="171">
        <f t="shared" ca="1" si="274"/>
        <v>0</v>
      </c>
      <c r="EA222" s="171">
        <f t="shared" ca="1" si="275"/>
        <v>0</v>
      </c>
      <c r="EB222" s="171">
        <f t="shared" ca="1" si="276"/>
        <v>0</v>
      </c>
      <c r="EC222" s="171">
        <f t="shared" ca="1" si="277"/>
        <v>0</v>
      </c>
      <c r="ED222" s="171">
        <f t="shared" ca="1" si="278"/>
        <v>0</v>
      </c>
      <c r="EE222" s="171">
        <f t="shared" ca="1" si="279"/>
        <v>0</v>
      </c>
      <c r="EF222" s="171">
        <f t="shared" ca="1" si="280"/>
        <v>0</v>
      </c>
      <c r="EG222" s="171">
        <f t="shared" ca="1" si="281"/>
        <v>0</v>
      </c>
      <c r="EH222" s="171">
        <f t="shared" ca="1" si="282"/>
        <v>0</v>
      </c>
      <c r="EI222" s="171">
        <f t="shared" ca="1" si="283"/>
        <v>0</v>
      </c>
      <c r="EJ222" s="171">
        <f t="shared" ca="1" si="284"/>
        <v>0</v>
      </c>
      <c r="EK222" s="171">
        <f t="shared" ca="1" si="285"/>
        <v>0</v>
      </c>
      <c r="EL222" s="171">
        <f t="shared" ca="1" si="286"/>
        <v>0</v>
      </c>
      <c r="EM222" s="171">
        <f t="shared" ca="1" si="287"/>
        <v>0</v>
      </c>
      <c r="EN222" s="171">
        <f t="shared" ca="1" si="288"/>
        <v>0</v>
      </c>
      <c r="EO222" s="171">
        <f t="shared" ca="1" si="289"/>
        <v>0</v>
      </c>
      <c r="EP222" s="171">
        <f t="shared" ca="1" si="290"/>
        <v>0</v>
      </c>
      <c r="EQ222" s="171">
        <f t="shared" ca="1" si="291"/>
        <v>0</v>
      </c>
      <c r="ER222" s="171">
        <f t="shared" ca="1" si="292"/>
        <v>0</v>
      </c>
      <c r="ES222" s="171">
        <f t="shared" ca="1" si="293"/>
        <v>0</v>
      </c>
    </row>
    <row r="223" spans="1:149">
      <c r="A223" s="139" t="s">
        <v>565</v>
      </c>
      <c r="B223" s="160" t="s">
        <v>567</v>
      </c>
      <c r="C223" s="160" t="s">
        <v>435</v>
      </c>
      <c r="D223" s="160" t="s">
        <v>417</v>
      </c>
      <c r="E223" s="160">
        <v>2012</v>
      </c>
      <c r="F223" s="194" t="s">
        <v>405</v>
      </c>
      <c r="G223" s="160" t="s">
        <v>402</v>
      </c>
      <c r="H223" s="194" t="s">
        <v>406</v>
      </c>
      <c r="I223" s="194" t="s">
        <v>184</v>
      </c>
      <c r="J223" s="194" t="s">
        <v>397</v>
      </c>
      <c r="K223" s="187">
        <v>38.25</v>
      </c>
      <c r="L223" s="163" t="s">
        <v>110</v>
      </c>
      <c r="M223" s="164">
        <f t="shared" si="223"/>
        <v>38.25</v>
      </c>
      <c r="N223" s="164">
        <f t="shared" si="224"/>
        <v>38.25</v>
      </c>
      <c r="O223" s="165">
        <f t="shared" si="225"/>
        <v>1</v>
      </c>
      <c r="P223" s="190">
        <v>7.3400000000000007E-2</v>
      </c>
      <c r="Q223" s="191">
        <v>15</v>
      </c>
      <c r="R223" s="168">
        <f t="shared" si="312"/>
        <v>3</v>
      </c>
      <c r="S223" s="178">
        <v>1.5</v>
      </c>
      <c r="T223" s="170" t="s">
        <v>403</v>
      </c>
      <c r="U223" s="171">
        <f t="shared" si="227"/>
        <v>4.4563161696703064</v>
      </c>
      <c r="V223" s="171">
        <f t="shared" ca="1" si="228"/>
        <v>4.3159737680669563</v>
      </c>
      <c r="W223" s="171">
        <f t="shared" ca="1" si="229"/>
        <v>64.739606521004347</v>
      </c>
      <c r="X223" s="172">
        <f t="shared" si="230"/>
        <v>0.56460548500353114</v>
      </c>
      <c r="Y223" s="172">
        <f t="shared" si="231"/>
        <v>0.43539451499646881</v>
      </c>
      <c r="Z223" s="173">
        <f t="shared" si="232"/>
        <v>66.844742545054601</v>
      </c>
      <c r="AA223" s="171">
        <f t="shared" si="319"/>
        <v>0</v>
      </c>
      <c r="AB223" s="171">
        <f t="shared" si="319"/>
        <v>0</v>
      </c>
      <c r="AC223" s="171">
        <f t="shared" si="319"/>
        <v>2.8075500000000004</v>
      </c>
      <c r="AD223" s="171">
        <f t="shared" si="319"/>
        <v>2.8075500000000004</v>
      </c>
      <c r="AE223" s="171">
        <f t="shared" si="319"/>
        <v>4.3735458960753286</v>
      </c>
      <c r="AF223" s="171">
        <f t="shared" si="319"/>
        <v>4.3735458960753286</v>
      </c>
      <c r="AG223" s="171">
        <f t="shared" si="319"/>
        <v>4.3735458960753286</v>
      </c>
      <c r="AH223" s="171">
        <f t="shared" si="319"/>
        <v>4.3735458960753286</v>
      </c>
      <c r="AI223" s="171">
        <f t="shared" si="319"/>
        <v>4.3735458960753286</v>
      </c>
      <c r="AJ223" s="171">
        <f t="shared" si="319"/>
        <v>4.3735458960753286</v>
      </c>
      <c r="AK223" s="171">
        <f t="shared" si="320"/>
        <v>4.3735458960753286</v>
      </c>
      <c r="AL223" s="171">
        <f t="shared" si="320"/>
        <v>4.3735458960753286</v>
      </c>
      <c r="AM223" s="171">
        <f t="shared" si="320"/>
        <v>4.3735458960753286</v>
      </c>
      <c r="AN223" s="171">
        <f t="shared" si="320"/>
        <v>4.3735458960753286</v>
      </c>
      <c r="AO223" s="171">
        <f t="shared" si="320"/>
        <v>4.3735458960753286</v>
      </c>
      <c r="AP223" s="171">
        <f t="shared" si="320"/>
        <v>4.3735458960753286</v>
      </c>
      <c r="AQ223" s="171">
        <f t="shared" si="320"/>
        <v>4.3735458960753286</v>
      </c>
      <c r="AR223" s="171">
        <f t="shared" si="320"/>
        <v>4.3735458960753286</v>
      </c>
      <c r="AS223" s="171">
        <f t="shared" si="320"/>
        <v>0</v>
      </c>
      <c r="AT223" s="171">
        <f t="shared" si="320"/>
        <v>0</v>
      </c>
      <c r="AU223" s="171">
        <f t="shared" si="321"/>
        <v>0</v>
      </c>
      <c r="AV223" s="171">
        <f t="shared" si="321"/>
        <v>0</v>
      </c>
      <c r="AW223" s="171">
        <f t="shared" si="321"/>
        <v>0</v>
      </c>
      <c r="AX223" s="171">
        <f t="shared" si="321"/>
        <v>0</v>
      </c>
      <c r="AY223" s="171">
        <f t="shared" si="321"/>
        <v>0</v>
      </c>
      <c r="AZ223" s="171">
        <f t="shared" si="321"/>
        <v>0</v>
      </c>
      <c r="BA223" s="171">
        <f t="shared" si="321"/>
        <v>0</v>
      </c>
      <c r="BB223" s="171">
        <f t="shared" si="321"/>
        <v>0</v>
      </c>
      <c r="BC223" s="171">
        <f t="shared" si="321"/>
        <v>0</v>
      </c>
      <c r="BD223" s="171">
        <f t="shared" si="321"/>
        <v>0</v>
      </c>
      <c r="BE223" s="171">
        <f t="shared" si="322"/>
        <v>0</v>
      </c>
      <c r="BF223" s="171">
        <f t="shared" si="322"/>
        <v>0</v>
      </c>
      <c r="BG223" s="171">
        <f t="shared" si="322"/>
        <v>0</v>
      </c>
      <c r="BH223" s="171">
        <f t="shared" si="322"/>
        <v>0</v>
      </c>
      <c r="BI223" s="171">
        <f t="shared" si="322"/>
        <v>0</v>
      </c>
      <c r="BJ223" s="171">
        <f t="shared" si="322"/>
        <v>0</v>
      </c>
      <c r="BK223" s="171">
        <f t="shared" si="322"/>
        <v>0</v>
      </c>
      <c r="BL223" s="171">
        <f t="shared" si="322"/>
        <v>0</v>
      </c>
      <c r="BM223" s="171">
        <f t="shared" si="322"/>
        <v>0</v>
      </c>
      <c r="BN223" s="171">
        <f t="shared" si="322"/>
        <v>0</v>
      </c>
      <c r="BO223" s="171">
        <f t="shared" si="323"/>
        <v>0</v>
      </c>
      <c r="BP223" s="171">
        <f t="shared" si="323"/>
        <v>0</v>
      </c>
      <c r="BQ223" s="171">
        <f t="shared" si="323"/>
        <v>0</v>
      </c>
      <c r="BR223" s="171">
        <f t="shared" si="323"/>
        <v>0</v>
      </c>
      <c r="BS223" s="171">
        <f t="shared" si="323"/>
        <v>0</v>
      </c>
      <c r="BT223" s="171">
        <f t="shared" si="323"/>
        <v>0</v>
      </c>
      <c r="BU223" s="171">
        <f t="shared" si="323"/>
        <v>0</v>
      </c>
      <c r="BV223" s="171">
        <f t="shared" si="323"/>
        <v>0</v>
      </c>
      <c r="BW223" s="171">
        <f t="shared" si="323"/>
        <v>0</v>
      </c>
      <c r="BX223" s="171">
        <f t="shared" si="323"/>
        <v>0</v>
      </c>
      <c r="BY223" s="171">
        <f t="shared" si="324"/>
        <v>0</v>
      </c>
      <c r="BZ223" s="171">
        <f t="shared" si="324"/>
        <v>0</v>
      </c>
      <c r="CA223" s="171">
        <f t="shared" si="324"/>
        <v>0</v>
      </c>
      <c r="CB223" s="171">
        <f t="shared" si="324"/>
        <v>0</v>
      </c>
      <c r="CC223" s="171">
        <f t="shared" si="324"/>
        <v>0</v>
      </c>
      <c r="CD223" s="171">
        <f t="shared" si="324"/>
        <v>0</v>
      </c>
      <c r="CE223" s="171">
        <f t="shared" si="324"/>
        <v>0</v>
      </c>
      <c r="CF223" s="171">
        <f t="shared" si="324"/>
        <v>0</v>
      </c>
      <c r="CG223" s="171">
        <f t="shared" si="324"/>
        <v>0</v>
      </c>
      <c r="CH223" s="171">
        <f t="shared" si="324"/>
        <v>0</v>
      </c>
      <c r="CI223" s="171">
        <f t="shared" si="324"/>
        <v>0</v>
      </c>
      <c r="CJ223" s="243"/>
      <c r="CK223" s="171">
        <f t="shared" si="233"/>
        <v>0</v>
      </c>
      <c r="CL223" s="171">
        <f t="shared" si="234"/>
        <v>0</v>
      </c>
      <c r="CM223" s="171">
        <f t="shared" si="235"/>
        <v>2.8075500000000004</v>
      </c>
      <c r="CN223" s="171">
        <f t="shared" si="236"/>
        <v>2.8075500000000004</v>
      </c>
      <c r="CO223" s="171">
        <f t="shared" si="237"/>
        <v>4.3735458960753286</v>
      </c>
      <c r="CP223" s="171">
        <f t="shared" si="238"/>
        <v>4.3735458960753286</v>
      </c>
      <c r="CQ223" s="171">
        <f t="shared" si="239"/>
        <v>4.3735458960753286</v>
      </c>
      <c r="CR223" s="171">
        <f t="shared" si="240"/>
        <v>4.3735458960753286</v>
      </c>
      <c r="CS223" s="171">
        <f t="shared" si="241"/>
        <v>4.3735458960753286</v>
      </c>
      <c r="CT223" s="171">
        <f t="shared" si="242"/>
        <v>4.3735458960753286</v>
      </c>
      <c r="CU223" s="171">
        <f t="shared" si="243"/>
        <v>4.3735458960753286</v>
      </c>
      <c r="CV223" s="171">
        <f t="shared" si="244"/>
        <v>4.3735458960753286</v>
      </c>
      <c r="CW223" s="171">
        <f t="shared" si="245"/>
        <v>4.3735458960753286</v>
      </c>
      <c r="CX223" s="171">
        <f t="shared" si="246"/>
        <v>4.3735458960753286</v>
      </c>
      <c r="CY223" s="171">
        <f t="shared" ca="1" si="247"/>
        <v>4.1521008891830258</v>
      </c>
      <c r="CZ223" s="171">
        <f t="shared" ca="1" si="248"/>
        <v>3.9418682697316632</v>
      </c>
      <c r="DA223" s="171">
        <f t="shared" ca="1" si="249"/>
        <v>3.7422803228113861</v>
      </c>
      <c r="DB223" s="171">
        <f t="shared" ca="1" si="250"/>
        <v>3.5527980785249933</v>
      </c>
      <c r="DC223" s="171">
        <f t="shared" ca="1" si="251"/>
        <v>0</v>
      </c>
      <c r="DD223" s="171">
        <f t="shared" ca="1" si="252"/>
        <v>0</v>
      </c>
      <c r="DE223" s="171">
        <f t="shared" ca="1" si="253"/>
        <v>0</v>
      </c>
      <c r="DF223" s="171">
        <f t="shared" ca="1" si="254"/>
        <v>0</v>
      </c>
      <c r="DG223" s="171">
        <f t="shared" ca="1" si="255"/>
        <v>0</v>
      </c>
      <c r="DH223" s="171">
        <f t="shared" ca="1" si="256"/>
        <v>0</v>
      </c>
      <c r="DI223" s="171">
        <f t="shared" ca="1" si="257"/>
        <v>0</v>
      </c>
      <c r="DJ223" s="171">
        <f t="shared" ca="1" si="258"/>
        <v>0</v>
      </c>
      <c r="DK223" s="171">
        <f t="shared" ca="1" si="259"/>
        <v>0</v>
      </c>
      <c r="DL223" s="171">
        <f t="shared" ca="1" si="260"/>
        <v>0</v>
      </c>
      <c r="DM223" s="171">
        <f t="shared" ca="1" si="261"/>
        <v>0</v>
      </c>
      <c r="DN223" s="171">
        <f t="shared" ca="1" si="262"/>
        <v>0</v>
      </c>
      <c r="DO223" s="171">
        <f t="shared" ca="1" si="263"/>
        <v>0</v>
      </c>
      <c r="DP223" s="171">
        <f t="shared" ca="1" si="264"/>
        <v>0</v>
      </c>
      <c r="DQ223" s="171">
        <f t="shared" ca="1" si="265"/>
        <v>0</v>
      </c>
      <c r="DR223" s="171">
        <f t="shared" ca="1" si="266"/>
        <v>0</v>
      </c>
      <c r="DS223" s="171">
        <f t="shared" ca="1" si="267"/>
        <v>0</v>
      </c>
      <c r="DT223" s="171">
        <f t="shared" ca="1" si="268"/>
        <v>0</v>
      </c>
      <c r="DU223" s="171">
        <f t="shared" ca="1" si="269"/>
        <v>0</v>
      </c>
      <c r="DV223" s="171">
        <f t="shared" ca="1" si="270"/>
        <v>0</v>
      </c>
      <c r="DW223" s="171">
        <f t="shared" ca="1" si="271"/>
        <v>0</v>
      </c>
      <c r="DX223" s="171">
        <f t="shared" ca="1" si="272"/>
        <v>0</v>
      </c>
      <c r="DY223" s="171">
        <f t="shared" ca="1" si="273"/>
        <v>0</v>
      </c>
      <c r="DZ223" s="171">
        <f t="shared" ca="1" si="274"/>
        <v>0</v>
      </c>
      <c r="EA223" s="171">
        <f t="shared" ca="1" si="275"/>
        <v>0</v>
      </c>
      <c r="EB223" s="171">
        <f t="shared" ca="1" si="276"/>
        <v>0</v>
      </c>
      <c r="EC223" s="171">
        <f t="shared" ca="1" si="277"/>
        <v>0</v>
      </c>
      <c r="ED223" s="171">
        <f t="shared" ca="1" si="278"/>
        <v>0</v>
      </c>
      <c r="EE223" s="171">
        <f t="shared" ca="1" si="279"/>
        <v>0</v>
      </c>
      <c r="EF223" s="171">
        <f t="shared" ca="1" si="280"/>
        <v>0</v>
      </c>
      <c r="EG223" s="171">
        <f t="shared" ca="1" si="281"/>
        <v>0</v>
      </c>
      <c r="EH223" s="171">
        <f t="shared" ca="1" si="282"/>
        <v>0</v>
      </c>
      <c r="EI223" s="171">
        <f t="shared" ca="1" si="283"/>
        <v>0</v>
      </c>
      <c r="EJ223" s="171">
        <f t="shared" ca="1" si="284"/>
        <v>0</v>
      </c>
      <c r="EK223" s="171">
        <f t="shared" ca="1" si="285"/>
        <v>0</v>
      </c>
      <c r="EL223" s="171">
        <f t="shared" ca="1" si="286"/>
        <v>0</v>
      </c>
      <c r="EM223" s="171">
        <f t="shared" ca="1" si="287"/>
        <v>0</v>
      </c>
      <c r="EN223" s="171">
        <f t="shared" ca="1" si="288"/>
        <v>0</v>
      </c>
      <c r="EO223" s="171">
        <f t="shared" ca="1" si="289"/>
        <v>0</v>
      </c>
      <c r="EP223" s="171">
        <f t="shared" ca="1" si="290"/>
        <v>0</v>
      </c>
      <c r="EQ223" s="171">
        <f t="shared" ca="1" si="291"/>
        <v>0</v>
      </c>
      <c r="ER223" s="171">
        <f t="shared" ca="1" si="292"/>
        <v>0</v>
      </c>
      <c r="ES223" s="171">
        <f t="shared" ca="1" si="293"/>
        <v>0</v>
      </c>
    </row>
    <row r="224" spans="1:149">
      <c r="A224" s="139" t="s">
        <v>565</v>
      </c>
      <c r="B224" s="160" t="s">
        <v>568</v>
      </c>
      <c r="C224" s="160" t="s">
        <v>435</v>
      </c>
      <c r="D224" s="160" t="s">
        <v>417</v>
      </c>
      <c r="E224" s="160">
        <v>2012</v>
      </c>
      <c r="F224" s="199" t="s">
        <v>405</v>
      </c>
      <c r="G224" s="199" t="s">
        <v>289</v>
      </c>
      <c r="H224" s="199" t="s">
        <v>406</v>
      </c>
      <c r="I224" s="199" t="s">
        <v>365</v>
      </c>
      <c r="J224" s="199" t="s">
        <v>407</v>
      </c>
      <c r="K224" s="187">
        <v>38.25</v>
      </c>
      <c r="L224" s="163" t="s">
        <v>110</v>
      </c>
      <c r="M224" s="164">
        <f t="shared" si="223"/>
        <v>38.25</v>
      </c>
      <c r="N224" s="164">
        <f t="shared" si="224"/>
        <v>38.25</v>
      </c>
      <c r="O224" s="165">
        <f t="shared" si="225"/>
        <v>1</v>
      </c>
      <c r="P224" s="190">
        <v>0.151</v>
      </c>
      <c r="Q224" s="177">
        <v>50</v>
      </c>
      <c r="R224" s="168">
        <f t="shared" si="312"/>
        <v>38</v>
      </c>
      <c r="S224" s="178">
        <v>0</v>
      </c>
      <c r="T224" s="160" t="s">
        <v>289</v>
      </c>
      <c r="U224" s="171">
        <f t="shared" si="227"/>
        <v>5.8912649999999971</v>
      </c>
      <c r="V224" s="171">
        <f t="shared" ca="1" si="228"/>
        <v>3.2666106564097586</v>
      </c>
      <c r="W224" s="171">
        <f t="shared" ca="1" si="229"/>
        <v>163.33053282048792</v>
      </c>
      <c r="X224" s="172" t="str">
        <f t="shared" si="230"/>
        <v>Equity</v>
      </c>
      <c r="Y224" s="172" t="str">
        <f t="shared" si="231"/>
        <v>Equity</v>
      </c>
      <c r="Z224" s="173">
        <f t="shared" si="232"/>
        <v>294.56324999999987</v>
      </c>
      <c r="AA224" s="171">
        <f t="shared" si="319"/>
        <v>0</v>
      </c>
      <c r="AB224" s="171">
        <f t="shared" si="319"/>
        <v>0</v>
      </c>
      <c r="AC224" s="171">
        <f t="shared" si="319"/>
        <v>5.7757499999999995</v>
      </c>
      <c r="AD224" s="171">
        <f t="shared" si="319"/>
        <v>5.7757499999999995</v>
      </c>
      <c r="AE224" s="171">
        <f t="shared" si="319"/>
        <v>5.7757499999999995</v>
      </c>
      <c r="AF224" s="171">
        <f t="shared" si="319"/>
        <v>5.7757499999999995</v>
      </c>
      <c r="AG224" s="171">
        <f t="shared" si="319"/>
        <v>5.7757499999999995</v>
      </c>
      <c r="AH224" s="171">
        <f t="shared" si="319"/>
        <v>5.7757499999999995</v>
      </c>
      <c r="AI224" s="171">
        <f t="shared" si="319"/>
        <v>5.7757499999999995</v>
      </c>
      <c r="AJ224" s="171">
        <f t="shared" si="319"/>
        <v>5.7757499999999995</v>
      </c>
      <c r="AK224" s="171">
        <f t="shared" si="320"/>
        <v>5.7757499999999995</v>
      </c>
      <c r="AL224" s="171">
        <f t="shared" si="320"/>
        <v>5.7757499999999995</v>
      </c>
      <c r="AM224" s="171">
        <f t="shared" si="320"/>
        <v>5.7757499999999995</v>
      </c>
      <c r="AN224" s="171">
        <f t="shared" si="320"/>
        <v>5.7757499999999995</v>
      </c>
      <c r="AO224" s="171">
        <f t="shared" si="320"/>
        <v>5.7757499999999995</v>
      </c>
      <c r="AP224" s="171">
        <f t="shared" si="320"/>
        <v>5.7757499999999995</v>
      </c>
      <c r="AQ224" s="171">
        <f t="shared" si="320"/>
        <v>5.7757499999999995</v>
      </c>
      <c r="AR224" s="171">
        <f t="shared" si="320"/>
        <v>5.7757499999999995</v>
      </c>
      <c r="AS224" s="171">
        <f t="shared" si="320"/>
        <v>5.7757499999999995</v>
      </c>
      <c r="AT224" s="171">
        <f t="shared" si="320"/>
        <v>5.7757499999999995</v>
      </c>
      <c r="AU224" s="171">
        <f t="shared" si="321"/>
        <v>5.7757499999999995</v>
      </c>
      <c r="AV224" s="171">
        <f t="shared" si="321"/>
        <v>5.7757499999999995</v>
      </c>
      <c r="AW224" s="171">
        <f t="shared" si="321"/>
        <v>5.7757499999999995</v>
      </c>
      <c r="AX224" s="171">
        <f t="shared" si="321"/>
        <v>5.7757499999999995</v>
      </c>
      <c r="AY224" s="171">
        <f t="shared" si="321"/>
        <v>5.7757499999999995</v>
      </c>
      <c r="AZ224" s="171">
        <f t="shared" si="321"/>
        <v>5.7757499999999995</v>
      </c>
      <c r="BA224" s="171">
        <f t="shared" si="321"/>
        <v>5.7757499999999995</v>
      </c>
      <c r="BB224" s="171">
        <f t="shared" si="321"/>
        <v>5.7757499999999995</v>
      </c>
      <c r="BC224" s="171">
        <f t="shared" si="321"/>
        <v>5.7757499999999995</v>
      </c>
      <c r="BD224" s="171">
        <f t="shared" si="321"/>
        <v>5.7757499999999995</v>
      </c>
      <c r="BE224" s="171">
        <f t="shared" si="322"/>
        <v>5.7757499999999995</v>
      </c>
      <c r="BF224" s="171">
        <f t="shared" si="322"/>
        <v>5.7757499999999995</v>
      </c>
      <c r="BG224" s="171">
        <f t="shared" si="322"/>
        <v>5.7757499999999995</v>
      </c>
      <c r="BH224" s="171">
        <f t="shared" si="322"/>
        <v>5.7757499999999995</v>
      </c>
      <c r="BI224" s="171">
        <f t="shared" si="322"/>
        <v>5.7757499999999995</v>
      </c>
      <c r="BJ224" s="171">
        <f t="shared" si="322"/>
        <v>5.7757499999999995</v>
      </c>
      <c r="BK224" s="171">
        <f t="shared" si="322"/>
        <v>5.7757499999999995</v>
      </c>
      <c r="BL224" s="171">
        <f t="shared" si="322"/>
        <v>5.7757499999999995</v>
      </c>
      <c r="BM224" s="171">
        <f t="shared" si="322"/>
        <v>5.7757499999999995</v>
      </c>
      <c r="BN224" s="171">
        <f t="shared" si="322"/>
        <v>5.7757499999999995</v>
      </c>
      <c r="BO224" s="171">
        <f t="shared" si="323"/>
        <v>5.7757499999999995</v>
      </c>
      <c r="BP224" s="171">
        <f t="shared" si="323"/>
        <v>5.7757499999999995</v>
      </c>
      <c r="BQ224" s="171">
        <f t="shared" si="323"/>
        <v>5.7757499999999995</v>
      </c>
      <c r="BR224" s="171">
        <f t="shared" si="323"/>
        <v>5.7757499999999995</v>
      </c>
      <c r="BS224" s="171">
        <f t="shared" si="323"/>
        <v>5.7757499999999995</v>
      </c>
      <c r="BT224" s="171">
        <f t="shared" si="323"/>
        <v>5.7757499999999995</v>
      </c>
      <c r="BU224" s="171">
        <f t="shared" si="323"/>
        <v>5.7757499999999995</v>
      </c>
      <c r="BV224" s="171">
        <f t="shared" si="323"/>
        <v>5.7757499999999995</v>
      </c>
      <c r="BW224" s="171">
        <f t="shared" si="323"/>
        <v>5.7757499999999995</v>
      </c>
      <c r="BX224" s="171">
        <f t="shared" si="323"/>
        <v>5.7757499999999995</v>
      </c>
      <c r="BY224" s="171">
        <f t="shared" si="324"/>
        <v>5.7757499999999995</v>
      </c>
      <c r="BZ224" s="171">
        <f t="shared" si="324"/>
        <v>5.7757499999999995</v>
      </c>
      <c r="CA224" s="171">
        <f t="shared" si="324"/>
        <v>5.7757499999999995</v>
      </c>
      <c r="CB224" s="171">
        <f t="shared" si="324"/>
        <v>0</v>
      </c>
      <c r="CC224" s="171">
        <f t="shared" si="324"/>
        <v>0</v>
      </c>
      <c r="CD224" s="171">
        <f t="shared" si="324"/>
        <v>0</v>
      </c>
      <c r="CE224" s="171">
        <f t="shared" si="324"/>
        <v>0</v>
      </c>
      <c r="CF224" s="171">
        <f t="shared" si="324"/>
        <v>0</v>
      </c>
      <c r="CG224" s="171">
        <f t="shared" si="324"/>
        <v>0</v>
      </c>
      <c r="CH224" s="171">
        <f t="shared" si="324"/>
        <v>0</v>
      </c>
      <c r="CI224" s="171">
        <f t="shared" si="324"/>
        <v>0</v>
      </c>
      <c r="CJ224" s="243"/>
      <c r="CK224" s="171">
        <f t="shared" si="233"/>
        <v>0</v>
      </c>
      <c r="CL224" s="171">
        <f t="shared" si="234"/>
        <v>0</v>
      </c>
      <c r="CM224" s="171">
        <f t="shared" si="235"/>
        <v>5.7757499999999995</v>
      </c>
      <c r="CN224" s="171">
        <f t="shared" si="236"/>
        <v>5.7757499999999995</v>
      </c>
      <c r="CO224" s="171">
        <f t="shared" si="237"/>
        <v>5.7757499999999995</v>
      </c>
      <c r="CP224" s="171">
        <f t="shared" si="238"/>
        <v>5.7757499999999995</v>
      </c>
      <c r="CQ224" s="171">
        <f t="shared" si="239"/>
        <v>5.7757499999999995</v>
      </c>
      <c r="CR224" s="171">
        <f t="shared" si="240"/>
        <v>5.7757499999999995</v>
      </c>
      <c r="CS224" s="171">
        <f t="shared" si="241"/>
        <v>5.7757499999999995</v>
      </c>
      <c r="CT224" s="171">
        <f t="shared" si="242"/>
        <v>5.7757499999999995</v>
      </c>
      <c r="CU224" s="171">
        <f t="shared" si="243"/>
        <v>5.7757499999999995</v>
      </c>
      <c r="CV224" s="171">
        <f t="shared" si="244"/>
        <v>5.7757499999999995</v>
      </c>
      <c r="CW224" s="171">
        <f t="shared" si="245"/>
        <v>5.7757499999999995</v>
      </c>
      <c r="CX224" s="171">
        <f t="shared" si="246"/>
        <v>5.7757499999999995</v>
      </c>
      <c r="CY224" s="171">
        <f t="shared" ca="1" si="247"/>
        <v>5.4833074307552225</v>
      </c>
      <c r="CZ224" s="171">
        <f t="shared" ca="1" si="248"/>
        <v>5.2056720564732624</v>
      </c>
      <c r="DA224" s="171">
        <f t="shared" ca="1" si="249"/>
        <v>4.9420941469652711</v>
      </c>
      <c r="DB224" s="171">
        <f t="shared" ca="1" si="250"/>
        <v>4.6918619330037767</v>
      </c>
      <c r="DC224" s="171">
        <f t="shared" ca="1" si="251"/>
        <v>4.4542996842517724</v>
      </c>
      <c r="DD224" s="171">
        <f t="shared" ca="1" si="252"/>
        <v>4.2287658845116889</v>
      </c>
      <c r="DE224" s="171">
        <f t="shared" ca="1" si="253"/>
        <v>4.0146514993666846</v>
      </c>
      <c r="DF224" s="171">
        <f t="shared" ca="1" si="254"/>
        <v>3.811378331536154</v>
      </c>
      <c r="DG224" s="171">
        <f t="shared" ca="1" si="255"/>
        <v>3.6183974595042447</v>
      </c>
      <c r="DH224" s="171">
        <f t="shared" ca="1" si="256"/>
        <v>3.4351877552050287</v>
      </c>
      <c r="DI224" s="171">
        <f t="shared" ca="1" si="257"/>
        <v>3.2612544767614748</v>
      </c>
      <c r="DJ224" s="171">
        <f t="shared" ca="1" si="258"/>
        <v>3.0961279324780215</v>
      </c>
      <c r="DK224" s="171">
        <f t="shared" ca="1" si="259"/>
        <v>2.9393622124789922</v>
      </c>
      <c r="DL224" s="171">
        <f t="shared" ca="1" si="260"/>
        <v>2.7905339845677481</v>
      </c>
      <c r="DM224" s="171">
        <f t="shared" ca="1" si="261"/>
        <v>2.6492413510548962</v>
      </c>
      <c r="DN224" s="171">
        <f t="shared" ca="1" si="262"/>
        <v>2.5151027634685224</v>
      </c>
      <c r="DO224" s="171">
        <f t="shared" ca="1" si="263"/>
        <v>2.3877559922157205</v>
      </c>
      <c r="DP224" s="171">
        <f t="shared" ca="1" si="264"/>
        <v>2.2668571484130666</v>
      </c>
      <c r="DQ224" s="171">
        <f t="shared" ca="1" si="265"/>
        <v>2.1520797552445941</v>
      </c>
      <c r="DR224" s="171">
        <f t="shared" ca="1" si="266"/>
        <v>2.0431138663395338</v>
      </c>
      <c r="DS224" s="171">
        <f t="shared" ca="1" si="267"/>
        <v>1.9396652287890923</v>
      </c>
      <c r="DT224" s="171">
        <f t="shared" ca="1" si="268"/>
        <v>1.8414544885420527</v>
      </c>
      <c r="DU224" s="171">
        <f t="shared" ca="1" si="269"/>
        <v>1.7482164360334496</v>
      </c>
      <c r="DV224" s="171">
        <f t="shared" ca="1" si="270"/>
        <v>1.6596992900091985</v>
      </c>
      <c r="DW224" s="171">
        <f t="shared" ca="1" si="271"/>
        <v>1.5756640176127097</v>
      </c>
      <c r="DX224" s="171">
        <f t="shared" ca="1" si="272"/>
        <v>1.4958836888974418</v>
      </c>
      <c r="DY224" s="171">
        <f t="shared" ca="1" si="273"/>
        <v>1.4201428640223133</v>
      </c>
      <c r="DZ224" s="171">
        <f t="shared" ca="1" si="274"/>
        <v>1.3482370114751427</v>
      </c>
      <c r="EA224" s="171">
        <f t="shared" ca="1" si="275"/>
        <v>1.2799719557530822</v>
      </c>
      <c r="EB224" s="171">
        <f t="shared" ca="1" si="276"/>
        <v>1.2151633530085566</v>
      </c>
      <c r="EC224" s="171">
        <f t="shared" ca="1" si="277"/>
        <v>1.1536361932447303</v>
      </c>
      <c r="ED224" s="171">
        <f t="shared" ca="1" si="278"/>
        <v>1.095224327716227</v>
      </c>
      <c r="EE224" s="171">
        <f t="shared" ca="1" si="279"/>
        <v>1.0397700202588895</v>
      </c>
      <c r="EF224" s="171">
        <f t="shared" ca="1" si="280"/>
        <v>0.98712352133698278</v>
      </c>
      <c r="EG224" s="171">
        <f t="shared" ca="1" si="281"/>
        <v>0.93714266365759247</v>
      </c>
      <c r="EH224" s="171">
        <f t="shared" ca="1" si="282"/>
        <v>0.88969247826021192</v>
      </c>
      <c r="EI224" s="171">
        <f t="shared" ca="1" si="283"/>
        <v>0.8446448300447994</v>
      </c>
      <c r="EJ224" s="171">
        <f t="shared" ca="1" si="284"/>
        <v>0.80187807175408066</v>
      </c>
      <c r="EK224" s="171">
        <f t="shared" ca="1" si="285"/>
        <v>0.76127671547570797</v>
      </c>
      <c r="EL224" s="171">
        <f t="shared" ca="1" si="286"/>
        <v>0</v>
      </c>
      <c r="EM224" s="171">
        <f t="shared" ca="1" si="287"/>
        <v>0</v>
      </c>
      <c r="EN224" s="171">
        <f t="shared" ca="1" si="288"/>
        <v>0</v>
      </c>
      <c r="EO224" s="171">
        <f t="shared" ca="1" si="289"/>
        <v>0</v>
      </c>
      <c r="EP224" s="171">
        <f t="shared" ca="1" si="290"/>
        <v>0</v>
      </c>
      <c r="EQ224" s="171">
        <f t="shared" ca="1" si="291"/>
        <v>0</v>
      </c>
      <c r="ER224" s="171">
        <f t="shared" ca="1" si="292"/>
        <v>0</v>
      </c>
      <c r="ES224" s="171">
        <f t="shared" ca="1" si="293"/>
        <v>0</v>
      </c>
    </row>
    <row r="225" spans="1:149">
      <c r="A225" s="139" t="s">
        <v>565</v>
      </c>
      <c r="B225" s="160" t="s">
        <v>569</v>
      </c>
      <c r="C225" s="160" t="s">
        <v>435</v>
      </c>
      <c r="D225" s="160" t="s">
        <v>417</v>
      </c>
      <c r="E225" s="160">
        <v>2012</v>
      </c>
      <c r="F225" s="194" t="s">
        <v>395</v>
      </c>
      <c r="G225" s="160" t="s">
        <v>402</v>
      </c>
      <c r="H225" s="194" t="s">
        <v>396</v>
      </c>
      <c r="I225" s="194" t="s">
        <v>178</v>
      </c>
      <c r="J225" s="194" t="s">
        <v>407</v>
      </c>
      <c r="K225" s="187">
        <v>38.25</v>
      </c>
      <c r="L225" s="163" t="s">
        <v>110</v>
      </c>
      <c r="M225" s="164">
        <f t="shared" si="223"/>
        <v>38.25</v>
      </c>
      <c r="N225" s="164">
        <f t="shared" si="224"/>
        <v>38.25</v>
      </c>
      <c r="O225" s="165">
        <f t="shared" si="225"/>
        <v>1</v>
      </c>
      <c r="P225" s="190">
        <v>7.3400000000000007E-2</v>
      </c>
      <c r="Q225" s="191">
        <v>15</v>
      </c>
      <c r="R225" s="168">
        <f t="shared" si="312"/>
        <v>3</v>
      </c>
      <c r="S225" s="178">
        <v>1.5</v>
      </c>
      <c r="T225" s="170" t="s">
        <v>403</v>
      </c>
      <c r="U225" s="171">
        <f t="shared" si="227"/>
        <v>4.4563161696703064</v>
      </c>
      <c r="V225" s="171">
        <f t="shared" ca="1" si="228"/>
        <v>4.3159737680669563</v>
      </c>
      <c r="W225" s="171">
        <f t="shared" ca="1" si="229"/>
        <v>64.739606521004347</v>
      </c>
      <c r="X225" s="172">
        <f t="shared" si="230"/>
        <v>0.56460548500353114</v>
      </c>
      <c r="Y225" s="172">
        <f t="shared" si="231"/>
        <v>0.43539451499646881</v>
      </c>
      <c r="Z225" s="173">
        <f t="shared" si="232"/>
        <v>66.844742545054601</v>
      </c>
      <c r="AA225" s="171">
        <f t="shared" si="319"/>
        <v>0</v>
      </c>
      <c r="AB225" s="171">
        <f t="shared" si="319"/>
        <v>0</v>
      </c>
      <c r="AC225" s="171">
        <f t="shared" si="319"/>
        <v>2.8075500000000004</v>
      </c>
      <c r="AD225" s="171">
        <f t="shared" si="319"/>
        <v>2.8075500000000004</v>
      </c>
      <c r="AE225" s="171">
        <f t="shared" si="319"/>
        <v>4.3735458960753286</v>
      </c>
      <c r="AF225" s="171">
        <f t="shared" si="319"/>
        <v>4.3735458960753286</v>
      </c>
      <c r="AG225" s="171">
        <f t="shared" si="319"/>
        <v>4.3735458960753286</v>
      </c>
      <c r="AH225" s="171">
        <f t="shared" si="319"/>
        <v>4.3735458960753286</v>
      </c>
      <c r="AI225" s="171">
        <f t="shared" si="319"/>
        <v>4.3735458960753286</v>
      </c>
      <c r="AJ225" s="171">
        <f t="shared" si="319"/>
        <v>4.3735458960753286</v>
      </c>
      <c r="AK225" s="171">
        <f t="shared" si="320"/>
        <v>4.3735458960753286</v>
      </c>
      <c r="AL225" s="171">
        <f t="shared" si="320"/>
        <v>4.3735458960753286</v>
      </c>
      <c r="AM225" s="171">
        <f t="shared" si="320"/>
        <v>4.3735458960753286</v>
      </c>
      <c r="AN225" s="171">
        <f t="shared" si="320"/>
        <v>4.3735458960753286</v>
      </c>
      <c r="AO225" s="171">
        <f t="shared" si="320"/>
        <v>4.3735458960753286</v>
      </c>
      <c r="AP225" s="171">
        <f t="shared" si="320"/>
        <v>4.3735458960753286</v>
      </c>
      <c r="AQ225" s="171">
        <f t="shared" si="320"/>
        <v>4.3735458960753286</v>
      </c>
      <c r="AR225" s="171">
        <f t="shared" si="320"/>
        <v>4.3735458960753286</v>
      </c>
      <c r="AS225" s="171">
        <f t="shared" si="320"/>
        <v>0</v>
      </c>
      <c r="AT225" s="171">
        <f t="shared" si="320"/>
        <v>0</v>
      </c>
      <c r="AU225" s="171">
        <f t="shared" si="321"/>
        <v>0</v>
      </c>
      <c r="AV225" s="171">
        <f t="shared" si="321"/>
        <v>0</v>
      </c>
      <c r="AW225" s="171">
        <f t="shared" si="321"/>
        <v>0</v>
      </c>
      <c r="AX225" s="171">
        <f t="shared" si="321"/>
        <v>0</v>
      </c>
      <c r="AY225" s="171">
        <f t="shared" si="321"/>
        <v>0</v>
      </c>
      <c r="AZ225" s="171">
        <f t="shared" si="321"/>
        <v>0</v>
      </c>
      <c r="BA225" s="171">
        <f t="shared" si="321"/>
        <v>0</v>
      </c>
      <c r="BB225" s="171">
        <f t="shared" si="321"/>
        <v>0</v>
      </c>
      <c r="BC225" s="171">
        <f t="shared" si="321"/>
        <v>0</v>
      </c>
      <c r="BD225" s="171">
        <f t="shared" si="321"/>
        <v>0</v>
      </c>
      <c r="BE225" s="171">
        <f t="shared" si="322"/>
        <v>0</v>
      </c>
      <c r="BF225" s="171">
        <f t="shared" si="322"/>
        <v>0</v>
      </c>
      <c r="BG225" s="171">
        <f t="shared" si="322"/>
        <v>0</v>
      </c>
      <c r="BH225" s="171">
        <f t="shared" si="322"/>
        <v>0</v>
      </c>
      <c r="BI225" s="171">
        <f t="shared" si="322"/>
        <v>0</v>
      </c>
      <c r="BJ225" s="171">
        <f t="shared" si="322"/>
        <v>0</v>
      </c>
      <c r="BK225" s="171">
        <f t="shared" si="322"/>
        <v>0</v>
      </c>
      <c r="BL225" s="171">
        <f t="shared" si="322"/>
        <v>0</v>
      </c>
      <c r="BM225" s="171">
        <f t="shared" si="322"/>
        <v>0</v>
      </c>
      <c r="BN225" s="171">
        <f t="shared" si="322"/>
        <v>0</v>
      </c>
      <c r="BO225" s="171">
        <f t="shared" si="323"/>
        <v>0</v>
      </c>
      <c r="BP225" s="171">
        <f t="shared" si="323"/>
        <v>0</v>
      </c>
      <c r="BQ225" s="171">
        <f t="shared" si="323"/>
        <v>0</v>
      </c>
      <c r="BR225" s="171">
        <f t="shared" si="323"/>
        <v>0</v>
      </c>
      <c r="BS225" s="171">
        <f t="shared" si="323"/>
        <v>0</v>
      </c>
      <c r="BT225" s="171">
        <f t="shared" si="323"/>
        <v>0</v>
      </c>
      <c r="BU225" s="171">
        <f t="shared" si="323"/>
        <v>0</v>
      </c>
      <c r="BV225" s="171">
        <f t="shared" si="323"/>
        <v>0</v>
      </c>
      <c r="BW225" s="171">
        <f t="shared" si="323"/>
        <v>0</v>
      </c>
      <c r="BX225" s="171">
        <f t="shared" si="323"/>
        <v>0</v>
      </c>
      <c r="BY225" s="171">
        <f t="shared" si="324"/>
        <v>0</v>
      </c>
      <c r="BZ225" s="171">
        <f t="shared" si="324"/>
        <v>0</v>
      </c>
      <c r="CA225" s="171">
        <f t="shared" si="324"/>
        <v>0</v>
      </c>
      <c r="CB225" s="171">
        <f t="shared" si="324"/>
        <v>0</v>
      </c>
      <c r="CC225" s="171">
        <f t="shared" si="324"/>
        <v>0</v>
      </c>
      <c r="CD225" s="171">
        <f t="shared" si="324"/>
        <v>0</v>
      </c>
      <c r="CE225" s="171">
        <f t="shared" si="324"/>
        <v>0</v>
      </c>
      <c r="CF225" s="171">
        <f t="shared" si="324"/>
        <v>0</v>
      </c>
      <c r="CG225" s="171">
        <f t="shared" si="324"/>
        <v>0</v>
      </c>
      <c r="CH225" s="171">
        <f t="shared" si="324"/>
        <v>0</v>
      </c>
      <c r="CI225" s="171">
        <f t="shared" si="324"/>
        <v>0</v>
      </c>
      <c r="CJ225" s="243"/>
      <c r="CK225" s="171">
        <f t="shared" si="233"/>
        <v>0</v>
      </c>
      <c r="CL225" s="171">
        <f t="shared" si="234"/>
        <v>0</v>
      </c>
      <c r="CM225" s="171">
        <f t="shared" si="235"/>
        <v>2.8075500000000004</v>
      </c>
      <c r="CN225" s="171">
        <f t="shared" si="236"/>
        <v>2.8075500000000004</v>
      </c>
      <c r="CO225" s="171">
        <f t="shared" si="237"/>
        <v>4.3735458960753286</v>
      </c>
      <c r="CP225" s="171">
        <f t="shared" si="238"/>
        <v>4.3735458960753286</v>
      </c>
      <c r="CQ225" s="171">
        <f t="shared" si="239"/>
        <v>4.3735458960753286</v>
      </c>
      <c r="CR225" s="171">
        <f t="shared" si="240"/>
        <v>4.3735458960753286</v>
      </c>
      <c r="CS225" s="171">
        <f t="shared" si="241"/>
        <v>4.3735458960753286</v>
      </c>
      <c r="CT225" s="171">
        <f t="shared" si="242"/>
        <v>4.3735458960753286</v>
      </c>
      <c r="CU225" s="171">
        <f t="shared" si="243"/>
        <v>4.3735458960753286</v>
      </c>
      <c r="CV225" s="171">
        <f t="shared" si="244"/>
        <v>4.3735458960753286</v>
      </c>
      <c r="CW225" s="171">
        <f t="shared" si="245"/>
        <v>4.3735458960753286</v>
      </c>
      <c r="CX225" s="171">
        <f t="shared" si="246"/>
        <v>4.3735458960753286</v>
      </c>
      <c r="CY225" s="171">
        <f t="shared" ca="1" si="247"/>
        <v>4.1521008891830258</v>
      </c>
      <c r="CZ225" s="171">
        <f t="shared" ca="1" si="248"/>
        <v>3.9418682697316632</v>
      </c>
      <c r="DA225" s="171">
        <f t="shared" ca="1" si="249"/>
        <v>3.7422803228113861</v>
      </c>
      <c r="DB225" s="171">
        <f t="shared" ca="1" si="250"/>
        <v>3.5527980785249933</v>
      </c>
      <c r="DC225" s="171">
        <f t="shared" ca="1" si="251"/>
        <v>0</v>
      </c>
      <c r="DD225" s="171">
        <f t="shared" ca="1" si="252"/>
        <v>0</v>
      </c>
      <c r="DE225" s="171">
        <f t="shared" ca="1" si="253"/>
        <v>0</v>
      </c>
      <c r="DF225" s="171">
        <f t="shared" ca="1" si="254"/>
        <v>0</v>
      </c>
      <c r="DG225" s="171">
        <f t="shared" ca="1" si="255"/>
        <v>0</v>
      </c>
      <c r="DH225" s="171">
        <f t="shared" ca="1" si="256"/>
        <v>0</v>
      </c>
      <c r="DI225" s="171">
        <f t="shared" ca="1" si="257"/>
        <v>0</v>
      </c>
      <c r="DJ225" s="171">
        <f t="shared" ca="1" si="258"/>
        <v>0</v>
      </c>
      <c r="DK225" s="171">
        <f t="shared" ca="1" si="259"/>
        <v>0</v>
      </c>
      <c r="DL225" s="171">
        <f t="shared" ca="1" si="260"/>
        <v>0</v>
      </c>
      <c r="DM225" s="171">
        <f t="shared" ca="1" si="261"/>
        <v>0</v>
      </c>
      <c r="DN225" s="171">
        <f t="shared" ca="1" si="262"/>
        <v>0</v>
      </c>
      <c r="DO225" s="171">
        <f t="shared" ca="1" si="263"/>
        <v>0</v>
      </c>
      <c r="DP225" s="171">
        <f t="shared" ca="1" si="264"/>
        <v>0</v>
      </c>
      <c r="DQ225" s="171">
        <f t="shared" ca="1" si="265"/>
        <v>0</v>
      </c>
      <c r="DR225" s="171">
        <f t="shared" ca="1" si="266"/>
        <v>0</v>
      </c>
      <c r="DS225" s="171">
        <f t="shared" ca="1" si="267"/>
        <v>0</v>
      </c>
      <c r="DT225" s="171">
        <f t="shared" ca="1" si="268"/>
        <v>0</v>
      </c>
      <c r="DU225" s="171">
        <f t="shared" ca="1" si="269"/>
        <v>0</v>
      </c>
      <c r="DV225" s="171">
        <f t="shared" ca="1" si="270"/>
        <v>0</v>
      </c>
      <c r="DW225" s="171">
        <f t="shared" ca="1" si="271"/>
        <v>0</v>
      </c>
      <c r="DX225" s="171">
        <f t="shared" ca="1" si="272"/>
        <v>0</v>
      </c>
      <c r="DY225" s="171">
        <f t="shared" ca="1" si="273"/>
        <v>0</v>
      </c>
      <c r="DZ225" s="171">
        <f t="shared" ca="1" si="274"/>
        <v>0</v>
      </c>
      <c r="EA225" s="171">
        <f t="shared" ca="1" si="275"/>
        <v>0</v>
      </c>
      <c r="EB225" s="171">
        <f t="shared" ca="1" si="276"/>
        <v>0</v>
      </c>
      <c r="EC225" s="171">
        <f t="shared" ca="1" si="277"/>
        <v>0</v>
      </c>
      <c r="ED225" s="171">
        <f t="shared" ca="1" si="278"/>
        <v>0</v>
      </c>
      <c r="EE225" s="171">
        <f t="shared" ca="1" si="279"/>
        <v>0</v>
      </c>
      <c r="EF225" s="171">
        <f t="shared" ca="1" si="280"/>
        <v>0</v>
      </c>
      <c r="EG225" s="171">
        <f t="shared" ca="1" si="281"/>
        <v>0</v>
      </c>
      <c r="EH225" s="171">
        <f t="shared" ca="1" si="282"/>
        <v>0</v>
      </c>
      <c r="EI225" s="171">
        <f t="shared" ca="1" si="283"/>
        <v>0</v>
      </c>
      <c r="EJ225" s="171">
        <f t="shared" ca="1" si="284"/>
        <v>0</v>
      </c>
      <c r="EK225" s="171">
        <f t="shared" ca="1" si="285"/>
        <v>0</v>
      </c>
      <c r="EL225" s="171">
        <f t="shared" ca="1" si="286"/>
        <v>0</v>
      </c>
      <c r="EM225" s="171">
        <f t="shared" ca="1" si="287"/>
        <v>0</v>
      </c>
      <c r="EN225" s="171">
        <f t="shared" ca="1" si="288"/>
        <v>0</v>
      </c>
      <c r="EO225" s="171">
        <f t="shared" ca="1" si="289"/>
        <v>0</v>
      </c>
      <c r="EP225" s="171">
        <f t="shared" ca="1" si="290"/>
        <v>0</v>
      </c>
      <c r="EQ225" s="171">
        <f t="shared" ca="1" si="291"/>
        <v>0</v>
      </c>
      <c r="ER225" s="171">
        <f t="shared" ca="1" si="292"/>
        <v>0</v>
      </c>
      <c r="ES225" s="171">
        <f t="shared" ca="1" si="293"/>
        <v>0</v>
      </c>
    </row>
    <row r="226" spans="1:149">
      <c r="A226" s="139" t="s">
        <v>570</v>
      </c>
      <c r="B226" s="160" t="s">
        <v>557</v>
      </c>
      <c r="C226" s="160" t="s">
        <v>412</v>
      </c>
      <c r="D226" s="160" t="s">
        <v>394</v>
      </c>
      <c r="E226" s="160">
        <v>2019</v>
      </c>
      <c r="F226" s="194" t="s">
        <v>395</v>
      </c>
      <c r="G226" s="170" t="s">
        <v>402</v>
      </c>
      <c r="H226" s="194" t="s">
        <v>406</v>
      </c>
      <c r="I226" s="194" t="s">
        <v>178</v>
      </c>
      <c r="J226" s="189" t="s">
        <v>397</v>
      </c>
      <c r="K226" s="184">
        <v>1.1000000000000001</v>
      </c>
      <c r="L226" s="163" t="s">
        <v>110</v>
      </c>
      <c r="M226" s="164">
        <f t="shared" si="223"/>
        <v>1.1000000000000001</v>
      </c>
      <c r="N226" s="164">
        <f t="shared" si="224"/>
        <v>1.1000000000000001</v>
      </c>
      <c r="O226" s="165">
        <f t="shared" si="225"/>
        <v>1</v>
      </c>
      <c r="P226" s="180">
        <v>2.3903633306096857E-2</v>
      </c>
      <c r="Q226" s="183">
        <v>32.668289591298226</v>
      </c>
      <c r="R226" s="168">
        <f t="shared" si="312"/>
        <v>27.668289591298226</v>
      </c>
      <c r="S226" s="183">
        <v>6.9579862261231415</v>
      </c>
      <c r="T226" s="161" t="s">
        <v>289</v>
      </c>
      <c r="U226" s="171">
        <f t="shared" si="227"/>
        <v>2.6560983138904318E-2</v>
      </c>
      <c r="V226" s="171">
        <f t="shared" ca="1" si="228"/>
        <v>1.5593067666123644E-2</v>
      </c>
      <c r="W226" s="171">
        <f t="shared" ca="1" si="229"/>
        <v>0.50939885013363595</v>
      </c>
      <c r="X226" s="172" t="str">
        <f t="shared" si="230"/>
        <v>Equity</v>
      </c>
      <c r="Y226" s="172" t="str">
        <f t="shared" si="231"/>
        <v>Equity</v>
      </c>
      <c r="Z226" s="173">
        <f t="shared" si="232"/>
        <v>0.86770188901131562</v>
      </c>
      <c r="AA226" s="171">
        <f t="shared" si="319"/>
        <v>0</v>
      </c>
      <c r="AB226" s="171">
        <f t="shared" si="319"/>
        <v>0</v>
      </c>
      <c r="AC226" s="171">
        <f t="shared" si="319"/>
        <v>0</v>
      </c>
      <c r="AD226" s="171">
        <f t="shared" si="319"/>
        <v>0</v>
      </c>
      <c r="AE226" s="171">
        <f t="shared" si="319"/>
        <v>0</v>
      </c>
      <c r="AF226" s="171">
        <f t="shared" si="319"/>
        <v>0</v>
      </c>
      <c r="AG226" s="171">
        <f t="shared" si="319"/>
        <v>0</v>
      </c>
      <c r="AH226" s="171">
        <f t="shared" si="319"/>
        <v>0</v>
      </c>
      <c r="AI226" s="171">
        <f t="shared" si="319"/>
        <v>0</v>
      </c>
      <c r="AJ226" s="171">
        <f t="shared" si="319"/>
        <v>2.6293996636706545E-2</v>
      </c>
      <c r="AK226" s="171">
        <f t="shared" si="320"/>
        <v>2.6293996636706545E-2</v>
      </c>
      <c r="AL226" s="171">
        <f t="shared" si="320"/>
        <v>2.6293996636706545E-2</v>
      </c>
      <c r="AM226" s="171">
        <f t="shared" si="320"/>
        <v>2.6293996636706545E-2</v>
      </c>
      <c r="AN226" s="171">
        <f t="shared" si="320"/>
        <v>2.6293996636706545E-2</v>
      </c>
      <c r="AO226" s="171">
        <f t="shared" si="320"/>
        <v>2.6293996636706545E-2</v>
      </c>
      <c r="AP226" s="171">
        <f t="shared" si="320"/>
        <v>2.6293996636706545E-2</v>
      </c>
      <c r="AQ226" s="171">
        <f t="shared" si="320"/>
        <v>2.6293996636706545E-2</v>
      </c>
      <c r="AR226" s="171">
        <f t="shared" si="320"/>
        <v>2.6293996636706545E-2</v>
      </c>
      <c r="AS226" s="171">
        <f t="shared" si="320"/>
        <v>2.6293996636706545E-2</v>
      </c>
      <c r="AT226" s="171">
        <f t="shared" si="320"/>
        <v>2.6293996636706545E-2</v>
      </c>
      <c r="AU226" s="171">
        <f t="shared" si="321"/>
        <v>2.6293996636706545E-2</v>
      </c>
      <c r="AV226" s="171">
        <f t="shared" si="321"/>
        <v>2.6293996636706545E-2</v>
      </c>
      <c r="AW226" s="171">
        <f t="shared" si="321"/>
        <v>2.6293996636706545E-2</v>
      </c>
      <c r="AX226" s="171">
        <f t="shared" si="321"/>
        <v>2.6293996636706545E-2</v>
      </c>
      <c r="AY226" s="171">
        <f t="shared" si="321"/>
        <v>2.6293996636706545E-2</v>
      </c>
      <c r="AZ226" s="171">
        <f t="shared" si="321"/>
        <v>2.6293996636706545E-2</v>
      </c>
      <c r="BA226" s="171">
        <f t="shared" si="321"/>
        <v>2.6293996636706545E-2</v>
      </c>
      <c r="BB226" s="171">
        <f t="shared" si="321"/>
        <v>2.6293996636706545E-2</v>
      </c>
      <c r="BC226" s="171">
        <f t="shared" si="321"/>
        <v>2.6293996636706545E-2</v>
      </c>
      <c r="BD226" s="171">
        <f t="shared" si="321"/>
        <v>2.6293996636706545E-2</v>
      </c>
      <c r="BE226" s="171">
        <f t="shared" si="322"/>
        <v>2.6293996636706545E-2</v>
      </c>
      <c r="BF226" s="171">
        <f t="shared" si="322"/>
        <v>2.6293996636706545E-2</v>
      </c>
      <c r="BG226" s="171">
        <f t="shared" si="322"/>
        <v>2.6293996636706545E-2</v>
      </c>
      <c r="BH226" s="171">
        <f t="shared" si="322"/>
        <v>2.6293996636706545E-2</v>
      </c>
      <c r="BI226" s="171">
        <f t="shared" si="322"/>
        <v>2.6293996636706545E-2</v>
      </c>
      <c r="BJ226" s="171">
        <f t="shared" si="322"/>
        <v>2.6293996636706545E-2</v>
      </c>
      <c r="BK226" s="171">
        <f t="shared" si="322"/>
        <v>2.6293996636706545E-2</v>
      </c>
      <c r="BL226" s="171">
        <f t="shared" si="322"/>
        <v>2.6293996636706545E-2</v>
      </c>
      <c r="BM226" s="171">
        <f t="shared" si="322"/>
        <v>2.6293996636706545E-2</v>
      </c>
      <c r="BN226" s="171">
        <f t="shared" si="322"/>
        <v>2.6293996636706545E-2</v>
      </c>
      <c r="BO226" s="171">
        <f t="shared" si="323"/>
        <v>2.6293996636706545E-2</v>
      </c>
      <c r="BP226" s="171">
        <f t="shared" si="323"/>
        <v>2.6293996636706545E-2</v>
      </c>
      <c r="BQ226" s="171">
        <f t="shared" si="323"/>
        <v>0</v>
      </c>
      <c r="BR226" s="171">
        <f t="shared" si="323"/>
        <v>0</v>
      </c>
      <c r="BS226" s="171">
        <f t="shared" si="323"/>
        <v>0</v>
      </c>
      <c r="BT226" s="171">
        <f t="shared" si="323"/>
        <v>0</v>
      </c>
      <c r="BU226" s="171">
        <f t="shared" si="323"/>
        <v>0</v>
      </c>
      <c r="BV226" s="171">
        <f t="shared" si="323"/>
        <v>0</v>
      </c>
      <c r="BW226" s="171">
        <f t="shared" si="323"/>
        <v>0</v>
      </c>
      <c r="BX226" s="171">
        <f t="shared" si="323"/>
        <v>0</v>
      </c>
      <c r="BY226" s="171">
        <f t="shared" si="324"/>
        <v>0</v>
      </c>
      <c r="BZ226" s="171">
        <f t="shared" si="324"/>
        <v>0</v>
      </c>
      <c r="CA226" s="171">
        <f t="shared" si="324"/>
        <v>0</v>
      </c>
      <c r="CB226" s="171">
        <f t="shared" si="324"/>
        <v>0</v>
      </c>
      <c r="CC226" s="171">
        <f t="shared" si="324"/>
        <v>0</v>
      </c>
      <c r="CD226" s="171">
        <f t="shared" si="324"/>
        <v>0</v>
      </c>
      <c r="CE226" s="171">
        <f t="shared" si="324"/>
        <v>0</v>
      </c>
      <c r="CF226" s="171">
        <f t="shared" si="324"/>
        <v>0</v>
      </c>
      <c r="CG226" s="171">
        <f t="shared" si="324"/>
        <v>0</v>
      </c>
      <c r="CH226" s="171">
        <f t="shared" si="324"/>
        <v>0</v>
      </c>
      <c r="CI226" s="171">
        <f t="shared" si="324"/>
        <v>0</v>
      </c>
      <c r="CJ226" s="243"/>
      <c r="CK226" s="171">
        <f t="shared" si="233"/>
        <v>0</v>
      </c>
      <c r="CL226" s="171">
        <f t="shared" si="234"/>
        <v>0</v>
      </c>
      <c r="CM226" s="171">
        <f t="shared" si="235"/>
        <v>0</v>
      </c>
      <c r="CN226" s="171">
        <f t="shared" si="236"/>
        <v>0</v>
      </c>
      <c r="CO226" s="171">
        <f t="shared" si="237"/>
        <v>0</v>
      </c>
      <c r="CP226" s="171">
        <f t="shared" si="238"/>
        <v>0</v>
      </c>
      <c r="CQ226" s="171">
        <f t="shared" si="239"/>
        <v>0</v>
      </c>
      <c r="CR226" s="171">
        <f t="shared" si="240"/>
        <v>0</v>
      </c>
      <c r="CS226" s="171">
        <f t="shared" si="241"/>
        <v>0</v>
      </c>
      <c r="CT226" s="171">
        <f t="shared" si="242"/>
        <v>2.6293996636706545E-2</v>
      </c>
      <c r="CU226" s="171">
        <f t="shared" si="243"/>
        <v>2.6293996636706545E-2</v>
      </c>
      <c r="CV226" s="171">
        <f t="shared" si="244"/>
        <v>2.6293996636706545E-2</v>
      </c>
      <c r="CW226" s="171">
        <f t="shared" si="245"/>
        <v>2.6293996636706545E-2</v>
      </c>
      <c r="CX226" s="171">
        <f t="shared" si="246"/>
        <v>2.6293996636706545E-2</v>
      </c>
      <c r="CY226" s="171">
        <f t="shared" ca="1" si="247"/>
        <v>2.4962657168732347E-2</v>
      </c>
      <c r="CZ226" s="171">
        <f t="shared" ca="1" si="248"/>
        <v>2.3698727186028692E-2</v>
      </c>
      <c r="DA226" s="171">
        <f t="shared" ca="1" si="249"/>
        <v>2.2498793555571474E-2</v>
      </c>
      <c r="DB226" s="171">
        <f t="shared" ca="1" si="250"/>
        <v>2.1359615960921577E-2</v>
      </c>
      <c r="DC226" s="171">
        <f t="shared" ca="1" si="251"/>
        <v>2.0278118152032055E-2</v>
      </c>
      <c r="DD226" s="171">
        <f t="shared" ca="1" si="252"/>
        <v>1.9251379638102365E-2</v>
      </c>
      <c r="DE226" s="171">
        <f t="shared" ca="1" si="253"/>
        <v>1.8276627801046878E-2</v>
      </c>
      <c r="DF226" s="171">
        <f t="shared" ca="1" si="254"/>
        <v>1.7351230408280804E-2</v>
      </c>
      <c r="DG226" s="171">
        <f t="shared" ca="1" si="255"/>
        <v>1.6472688504604965E-2</v>
      </c>
      <c r="DH226" s="171">
        <f t="shared" ca="1" si="256"/>
        <v>1.5638629663994555E-2</v>
      </c>
      <c r="DI226" s="171">
        <f t="shared" ca="1" si="257"/>
        <v>1.4846801583068933E-2</v>
      </c>
      <c r="DJ226" s="171">
        <f t="shared" ca="1" si="258"/>
        <v>1.4095065998942179E-2</v>
      </c>
      <c r="DK226" s="171">
        <f t="shared" ca="1" si="259"/>
        <v>1.3381392915030073E-2</v>
      </c>
      <c r="DL226" s="171">
        <f t="shared" ca="1" si="260"/>
        <v>1.2703855119220828E-2</v>
      </c>
      <c r="DM226" s="171">
        <f t="shared" ca="1" si="261"/>
        <v>1.2060622979606346E-2</v>
      </c>
      <c r="DN226" s="171">
        <f t="shared" ca="1" si="262"/>
        <v>1.1449959503720325E-2</v>
      </c>
      <c r="DO226" s="171">
        <f t="shared" ca="1" si="263"/>
        <v>1.0870215647941142E-2</v>
      </c>
      <c r="DP226" s="171">
        <f t="shared" ca="1" si="264"/>
        <v>1.0319825864392913E-2</v>
      </c>
      <c r="DQ226" s="171">
        <f t="shared" ca="1" si="265"/>
        <v>9.797303873319587E-3</v>
      </c>
      <c r="DR226" s="171">
        <f t="shared" ca="1" si="266"/>
        <v>9.3012386495156859E-3</v>
      </c>
      <c r="DS226" s="171">
        <f t="shared" ca="1" si="267"/>
        <v>8.8302906119754193E-3</v>
      </c>
      <c r="DT226" s="171">
        <f t="shared" ca="1" si="268"/>
        <v>8.3831880064706588E-3</v>
      </c>
      <c r="DU226" s="171">
        <f t="shared" ca="1" si="269"/>
        <v>7.9587234712892065E-3</v>
      </c>
      <c r="DV226" s="171">
        <f t="shared" ca="1" si="270"/>
        <v>7.5557507768594743E-3</v>
      </c>
      <c r="DW226" s="171">
        <f t="shared" ca="1" si="271"/>
        <v>7.1731817304571894E-3</v>
      </c>
      <c r="DX226" s="171">
        <f t="shared" ca="1" si="272"/>
        <v>6.8099832376355479E-3</v>
      </c>
      <c r="DY226" s="171">
        <f t="shared" ca="1" si="273"/>
        <v>6.4651745124434945E-3</v>
      </c>
      <c r="DZ226" s="171">
        <f t="shared" ca="1" si="274"/>
        <v>6.1378244288985305E-3</v>
      </c>
      <c r="EA226" s="171">
        <f t="shared" ca="1" si="275"/>
        <v>0</v>
      </c>
      <c r="EB226" s="171">
        <f t="shared" ca="1" si="276"/>
        <v>0</v>
      </c>
      <c r="EC226" s="171">
        <f t="shared" ca="1" si="277"/>
        <v>0</v>
      </c>
      <c r="ED226" s="171">
        <f t="shared" ca="1" si="278"/>
        <v>0</v>
      </c>
      <c r="EE226" s="171">
        <f t="shared" ca="1" si="279"/>
        <v>0</v>
      </c>
      <c r="EF226" s="171">
        <f t="shared" ca="1" si="280"/>
        <v>0</v>
      </c>
      <c r="EG226" s="171">
        <f t="shared" ca="1" si="281"/>
        <v>0</v>
      </c>
      <c r="EH226" s="171">
        <f t="shared" ca="1" si="282"/>
        <v>0</v>
      </c>
      <c r="EI226" s="171">
        <f t="shared" ca="1" si="283"/>
        <v>0</v>
      </c>
      <c r="EJ226" s="171">
        <f t="shared" ca="1" si="284"/>
        <v>0</v>
      </c>
      <c r="EK226" s="171">
        <f t="shared" ca="1" si="285"/>
        <v>0</v>
      </c>
      <c r="EL226" s="171">
        <f t="shared" ca="1" si="286"/>
        <v>0</v>
      </c>
      <c r="EM226" s="171">
        <f t="shared" ca="1" si="287"/>
        <v>0</v>
      </c>
      <c r="EN226" s="171">
        <f t="shared" ca="1" si="288"/>
        <v>0</v>
      </c>
      <c r="EO226" s="171">
        <f t="shared" ca="1" si="289"/>
        <v>0</v>
      </c>
      <c r="EP226" s="171">
        <f t="shared" ca="1" si="290"/>
        <v>0</v>
      </c>
      <c r="EQ226" s="171">
        <f t="shared" ca="1" si="291"/>
        <v>0</v>
      </c>
      <c r="ER226" s="171">
        <f t="shared" ca="1" si="292"/>
        <v>0</v>
      </c>
      <c r="ES226" s="171">
        <f t="shared" ca="1" si="293"/>
        <v>0</v>
      </c>
    </row>
    <row r="227" spans="1:149">
      <c r="A227" s="139" t="s">
        <v>571</v>
      </c>
      <c r="B227" s="160" t="s">
        <v>572</v>
      </c>
      <c r="C227" s="160" t="s">
        <v>435</v>
      </c>
      <c r="D227" s="160" t="s">
        <v>417</v>
      </c>
      <c r="E227" s="160">
        <v>2013</v>
      </c>
      <c r="F227" s="194" t="s">
        <v>405</v>
      </c>
      <c r="G227" s="160" t="s">
        <v>402</v>
      </c>
      <c r="H227" s="194" t="s">
        <v>396</v>
      </c>
      <c r="I227" s="199" t="s">
        <v>176</v>
      </c>
      <c r="J227" s="194" t="s">
        <v>438</v>
      </c>
      <c r="K227" s="187">
        <v>80</v>
      </c>
      <c r="L227" s="163" t="s">
        <v>110</v>
      </c>
      <c r="M227" s="164">
        <f t="shared" si="223"/>
        <v>80</v>
      </c>
      <c r="N227" s="164">
        <f t="shared" si="224"/>
        <v>80</v>
      </c>
      <c r="O227" s="165">
        <f t="shared" si="225"/>
        <v>1</v>
      </c>
      <c r="P227" s="190">
        <v>8.7800000000000003E-2</v>
      </c>
      <c r="Q227" s="191">
        <v>15</v>
      </c>
      <c r="R227" s="168">
        <f t="shared" si="312"/>
        <v>4</v>
      </c>
      <c r="S227" s="178">
        <v>1.5</v>
      </c>
      <c r="T227" s="170" t="s">
        <v>403</v>
      </c>
      <c r="U227" s="171">
        <f t="shared" si="227"/>
        <v>10.237388209987333</v>
      </c>
      <c r="V227" s="171">
        <f t="shared" ca="1" si="228"/>
        <v>9.7656177726201872</v>
      </c>
      <c r="W227" s="171">
        <f t="shared" ca="1" si="229"/>
        <v>146.48426658930282</v>
      </c>
      <c r="X227" s="172">
        <f t="shared" si="230"/>
        <v>0.62342050391487414</v>
      </c>
      <c r="Y227" s="172">
        <f t="shared" si="231"/>
        <v>0.37657949608512592</v>
      </c>
      <c r="Z227" s="173">
        <f t="shared" si="232"/>
        <v>153.56082314981001</v>
      </c>
      <c r="AA227" s="171">
        <f t="shared" si="319"/>
        <v>0</v>
      </c>
      <c r="AB227" s="171">
        <f t="shared" si="319"/>
        <v>0</v>
      </c>
      <c r="AC227" s="171">
        <f t="shared" si="319"/>
        <v>0</v>
      </c>
      <c r="AD227" s="171">
        <f t="shared" si="319"/>
        <v>7.024</v>
      </c>
      <c r="AE227" s="171">
        <f t="shared" si="319"/>
        <v>7.024</v>
      </c>
      <c r="AF227" s="171">
        <f t="shared" si="319"/>
        <v>9.9652016535578554</v>
      </c>
      <c r="AG227" s="171">
        <f t="shared" si="319"/>
        <v>9.9652016535578554</v>
      </c>
      <c r="AH227" s="171">
        <f t="shared" si="319"/>
        <v>9.9652016535578554</v>
      </c>
      <c r="AI227" s="171">
        <f t="shared" si="319"/>
        <v>9.9652016535578554</v>
      </c>
      <c r="AJ227" s="171">
        <f t="shared" si="319"/>
        <v>9.9652016535578554</v>
      </c>
      <c r="AK227" s="171">
        <f t="shared" si="320"/>
        <v>9.9652016535578554</v>
      </c>
      <c r="AL227" s="171">
        <f t="shared" si="320"/>
        <v>9.9652016535578554</v>
      </c>
      <c r="AM227" s="171">
        <f t="shared" si="320"/>
        <v>9.9652016535578554</v>
      </c>
      <c r="AN227" s="171">
        <f t="shared" si="320"/>
        <v>9.9652016535578554</v>
      </c>
      <c r="AO227" s="171">
        <f t="shared" si="320"/>
        <v>9.9652016535578554</v>
      </c>
      <c r="AP227" s="171">
        <f t="shared" si="320"/>
        <v>9.9652016535578554</v>
      </c>
      <c r="AQ227" s="171">
        <f t="shared" si="320"/>
        <v>9.9652016535578554</v>
      </c>
      <c r="AR227" s="171">
        <f t="shared" si="320"/>
        <v>9.9652016535578554</v>
      </c>
      <c r="AS227" s="171">
        <f t="shared" si="320"/>
        <v>9.9652016535578554</v>
      </c>
      <c r="AT227" s="171">
        <f t="shared" si="320"/>
        <v>0</v>
      </c>
      <c r="AU227" s="171">
        <f t="shared" si="321"/>
        <v>0</v>
      </c>
      <c r="AV227" s="171">
        <f t="shared" si="321"/>
        <v>0</v>
      </c>
      <c r="AW227" s="171">
        <f t="shared" si="321"/>
        <v>0</v>
      </c>
      <c r="AX227" s="171">
        <f t="shared" si="321"/>
        <v>0</v>
      </c>
      <c r="AY227" s="171">
        <f t="shared" si="321"/>
        <v>0</v>
      </c>
      <c r="AZ227" s="171">
        <f t="shared" si="321"/>
        <v>0</v>
      </c>
      <c r="BA227" s="171">
        <f t="shared" si="321"/>
        <v>0</v>
      </c>
      <c r="BB227" s="171">
        <f t="shared" si="321"/>
        <v>0</v>
      </c>
      <c r="BC227" s="171">
        <f t="shared" si="321"/>
        <v>0</v>
      </c>
      <c r="BD227" s="171">
        <f t="shared" si="321"/>
        <v>0</v>
      </c>
      <c r="BE227" s="171">
        <f t="shared" si="322"/>
        <v>0</v>
      </c>
      <c r="BF227" s="171">
        <f t="shared" si="322"/>
        <v>0</v>
      </c>
      <c r="BG227" s="171">
        <f t="shared" si="322"/>
        <v>0</v>
      </c>
      <c r="BH227" s="171">
        <f t="shared" si="322"/>
        <v>0</v>
      </c>
      <c r="BI227" s="171">
        <f t="shared" si="322"/>
        <v>0</v>
      </c>
      <c r="BJ227" s="171">
        <f t="shared" si="322"/>
        <v>0</v>
      </c>
      <c r="BK227" s="171">
        <f t="shared" si="322"/>
        <v>0</v>
      </c>
      <c r="BL227" s="171">
        <f t="shared" si="322"/>
        <v>0</v>
      </c>
      <c r="BM227" s="171">
        <f t="shared" si="322"/>
        <v>0</v>
      </c>
      <c r="BN227" s="171">
        <f t="shared" si="322"/>
        <v>0</v>
      </c>
      <c r="BO227" s="171">
        <f t="shared" si="323"/>
        <v>0</v>
      </c>
      <c r="BP227" s="171">
        <f t="shared" si="323"/>
        <v>0</v>
      </c>
      <c r="BQ227" s="171">
        <f t="shared" si="323"/>
        <v>0</v>
      </c>
      <c r="BR227" s="171">
        <f t="shared" si="323"/>
        <v>0</v>
      </c>
      <c r="BS227" s="171">
        <f t="shared" si="323"/>
        <v>0</v>
      </c>
      <c r="BT227" s="171">
        <f t="shared" si="323"/>
        <v>0</v>
      </c>
      <c r="BU227" s="171">
        <f t="shared" si="323"/>
        <v>0</v>
      </c>
      <c r="BV227" s="171">
        <f t="shared" si="323"/>
        <v>0</v>
      </c>
      <c r="BW227" s="171">
        <f t="shared" si="323"/>
        <v>0</v>
      </c>
      <c r="BX227" s="171">
        <f t="shared" si="323"/>
        <v>0</v>
      </c>
      <c r="BY227" s="171">
        <f t="shared" si="324"/>
        <v>0</v>
      </c>
      <c r="BZ227" s="171">
        <f t="shared" si="324"/>
        <v>0</v>
      </c>
      <c r="CA227" s="171">
        <f t="shared" si="324"/>
        <v>0</v>
      </c>
      <c r="CB227" s="171">
        <f t="shared" si="324"/>
        <v>0</v>
      </c>
      <c r="CC227" s="171">
        <f t="shared" si="324"/>
        <v>0</v>
      </c>
      <c r="CD227" s="171">
        <f t="shared" si="324"/>
        <v>0</v>
      </c>
      <c r="CE227" s="171">
        <f t="shared" si="324"/>
        <v>0</v>
      </c>
      <c r="CF227" s="171">
        <f t="shared" si="324"/>
        <v>0</v>
      </c>
      <c r="CG227" s="171">
        <f t="shared" si="324"/>
        <v>0</v>
      </c>
      <c r="CH227" s="171">
        <f t="shared" si="324"/>
        <v>0</v>
      </c>
      <c r="CI227" s="171">
        <f t="shared" si="324"/>
        <v>0</v>
      </c>
      <c r="CJ227" s="243"/>
      <c r="CK227" s="171">
        <f t="shared" si="233"/>
        <v>0</v>
      </c>
      <c r="CL227" s="171">
        <f t="shared" si="234"/>
        <v>0</v>
      </c>
      <c r="CM227" s="171">
        <f t="shared" si="235"/>
        <v>0</v>
      </c>
      <c r="CN227" s="171">
        <f t="shared" si="236"/>
        <v>7.024</v>
      </c>
      <c r="CO227" s="171">
        <f t="shared" si="237"/>
        <v>7.024</v>
      </c>
      <c r="CP227" s="171">
        <f t="shared" si="238"/>
        <v>9.9652016535578554</v>
      </c>
      <c r="CQ227" s="171">
        <f t="shared" si="239"/>
        <v>9.9652016535578554</v>
      </c>
      <c r="CR227" s="171">
        <f t="shared" si="240"/>
        <v>9.9652016535578554</v>
      </c>
      <c r="CS227" s="171">
        <f t="shared" si="241"/>
        <v>9.9652016535578554</v>
      </c>
      <c r="CT227" s="171">
        <f t="shared" si="242"/>
        <v>9.9652016535578554</v>
      </c>
      <c r="CU227" s="171">
        <f t="shared" si="243"/>
        <v>9.9652016535578554</v>
      </c>
      <c r="CV227" s="171">
        <f t="shared" si="244"/>
        <v>9.9652016535578554</v>
      </c>
      <c r="CW227" s="171">
        <f t="shared" si="245"/>
        <v>9.9652016535578554</v>
      </c>
      <c r="CX227" s="171">
        <f t="shared" si="246"/>
        <v>9.9652016535578554</v>
      </c>
      <c r="CY227" s="171">
        <f t="shared" ca="1" si="247"/>
        <v>9.4606352899498809</v>
      </c>
      <c r="CZ227" s="171">
        <f t="shared" ca="1" si="248"/>
        <v>8.9816165493740687</v>
      </c>
      <c r="DA227" s="171">
        <f t="shared" ca="1" si="249"/>
        <v>8.5268518833704583</v>
      </c>
      <c r="DB227" s="171">
        <f t="shared" ca="1" si="250"/>
        <v>8.0951132394986622</v>
      </c>
      <c r="DC227" s="171">
        <f t="shared" ca="1" si="251"/>
        <v>7.6852347450890361</v>
      </c>
      <c r="DD227" s="171">
        <f t="shared" ca="1" si="252"/>
        <v>0</v>
      </c>
      <c r="DE227" s="171">
        <f t="shared" ca="1" si="253"/>
        <v>0</v>
      </c>
      <c r="DF227" s="171">
        <f t="shared" ca="1" si="254"/>
        <v>0</v>
      </c>
      <c r="DG227" s="171">
        <f t="shared" ca="1" si="255"/>
        <v>0</v>
      </c>
      <c r="DH227" s="171">
        <f t="shared" ca="1" si="256"/>
        <v>0</v>
      </c>
      <c r="DI227" s="171">
        <f t="shared" ca="1" si="257"/>
        <v>0</v>
      </c>
      <c r="DJ227" s="171">
        <f t="shared" ca="1" si="258"/>
        <v>0</v>
      </c>
      <c r="DK227" s="171">
        <f t="shared" ca="1" si="259"/>
        <v>0</v>
      </c>
      <c r="DL227" s="171">
        <f t="shared" ca="1" si="260"/>
        <v>0</v>
      </c>
      <c r="DM227" s="171">
        <f t="shared" ca="1" si="261"/>
        <v>0</v>
      </c>
      <c r="DN227" s="171">
        <f t="shared" ca="1" si="262"/>
        <v>0</v>
      </c>
      <c r="DO227" s="171">
        <f t="shared" ca="1" si="263"/>
        <v>0</v>
      </c>
      <c r="DP227" s="171">
        <f t="shared" ca="1" si="264"/>
        <v>0</v>
      </c>
      <c r="DQ227" s="171">
        <f t="shared" ca="1" si="265"/>
        <v>0</v>
      </c>
      <c r="DR227" s="171">
        <f t="shared" ca="1" si="266"/>
        <v>0</v>
      </c>
      <c r="DS227" s="171">
        <f t="shared" ca="1" si="267"/>
        <v>0</v>
      </c>
      <c r="DT227" s="171">
        <f t="shared" ca="1" si="268"/>
        <v>0</v>
      </c>
      <c r="DU227" s="171">
        <f t="shared" ca="1" si="269"/>
        <v>0</v>
      </c>
      <c r="DV227" s="171">
        <f t="shared" ca="1" si="270"/>
        <v>0</v>
      </c>
      <c r="DW227" s="171">
        <f t="shared" ca="1" si="271"/>
        <v>0</v>
      </c>
      <c r="DX227" s="171">
        <f t="shared" ca="1" si="272"/>
        <v>0</v>
      </c>
      <c r="DY227" s="171">
        <f t="shared" ca="1" si="273"/>
        <v>0</v>
      </c>
      <c r="DZ227" s="171">
        <f t="shared" ca="1" si="274"/>
        <v>0</v>
      </c>
      <c r="EA227" s="171">
        <f t="shared" ca="1" si="275"/>
        <v>0</v>
      </c>
      <c r="EB227" s="171">
        <f t="shared" ca="1" si="276"/>
        <v>0</v>
      </c>
      <c r="EC227" s="171">
        <f t="shared" ca="1" si="277"/>
        <v>0</v>
      </c>
      <c r="ED227" s="171">
        <f t="shared" ca="1" si="278"/>
        <v>0</v>
      </c>
      <c r="EE227" s="171">
        <f t="shared" ca="1" si="279"/>
        <v>0</v>
      </c>
      <c r="EF227" s="171">
        <f t="shared" ca="1" si="280"/>
        <v>0</v>
      </c>
      <c r="EG227" s="171">
        <f t="shared" ca="1" si="281"/>
        <v>0</v>
      </c>
      <c r="EH227" s="171">
        <f t="shared" ca="1" si="282"/>
        <v>0</v>
      </c>
      <c r="EI227" s="171">
        <f t="shared" ca="1" si="283"/>
        <v>0</v>
      </c>
      <c r="EJ227" s="171">
        <f t="shared" ca="1" si="284"/>
        <v>0</v>
      </c>
      <c r="EK227" s="171">
        <f t="shared" ca="1" si="285"/>
        <v>0</v>
      </c>
      <c r="EL227" s="171">
        <f t="shared" ca="1" si="286"/>
        <v>0</v>
      </c>
      <c r="EM227" s="171">
        <f t="shared" ca="1" si="287"/>
        <v>0</v>
      </c>
      <c r="EN227" s="171">
        <f t="shared" ca="1" si="288"/>
        <v>0</v>
      </c>
      <c r="EO227" s="171">
        <f t="shared" ca="1" si="289"/>
        <v>0</v>
      </c>
      <c r="EP227" s="171">
        <f t="shared" ca="1" si="290"/>
        <v>0</v>
      </c>
      <c r="EQ227" s="171">
        <f t="shared" ca="1" si="291"/>
        <v>0</v>
      </c>
      <c r="ER227" s="171">
        <f t="shared" ca="1" si="292"/>
        <v>0</v>
      </c>
      <c r="ES227" s="171">
        <f t="shared" ca="1" si="293"/>
        <v>0</v>
      </c>
    </row>
    <row r="228" spans="1:149">
      <c r="A228" s="139" t="s">
        <v>571</v>
      </c>
      <c r="B228" s="160" t="s">
        <v>573</v>
      </c>
      <c r="C228" s="160" t="s">
        <v>435</v>
      </c>
      <c r="D228" s="160" t="s">
        <v>417</v>
      </c>
      <c r="E228" s="160">
        <v>2013</v>
      </c>
      <c r="F228" s="194" t="s">
        <v>405</v>
      </c>
      <c r="G228" s="160" t="s">
        <v>402</v>
      </c>
      <c r="H228" s="194" t="s">
        <v>406</v>
      </c>
      <c r="I228" s="194" t="s">
        <v>184</v>
      </c>
      <c r="J228" s="194" t="s">
        <v>407</v>
      </c>
      <c r="K228" s="187">
        <v>28</v>
      </c>
      <c r="L228" s="163" t="s">
        <v>110</v>
      </c>
      <c r="M228" s="164">
        <f t="shared" si="223"/>
        <v>28</v>
      </c>
      <c r="N228" s="164">
        <f t="shared" si="224"/>
        <v>28</v>
      </c>
      <c r="O228" s="165">
        <f t="shared" si="225"/>
        <v>1</v>
      </c>
      <c r="P228" s="190">
        <v>8.7800000000000003E-2</v>
      </c>
      <c r="Q228" s="191">
        <v>15</v>
      </c>
      <c r="R228" s="168">
        <f t="shared" si="312"/>
        <v>4</v>
      </c>
      <c r="S228" s="178">
        <v>1.5</v>
      </c>
      <c r="T228" s="170" t="s">
        <v>403</v>
      </c>
      <c r="U228" s="171">
        <f t="shared" si="227"/>
        <v>3.5830858734955666</v>
      </c>
      <c r="V228" s="171">
        <f t="shared" ca="1" si="228"/>
        <v>3.4179662204170658</v>
      </c>
      <c r="W228" s="171">
        <f t="shared" ca="1" si="229"/>
        <v>51.269493306255988</v>
      </c>
      <c r="X228" s="172">
        <f t="shared" si="230"/>
        <v>0.62342050391487414</v>
      </c>
      <c r="Y228" s="172">
        <f t="shared" si="231"/>
        <v>0.37657949608512592</v>
      </c>
      <c r="Z228" s="173">
        <f t="shared" si="232"/>
        <v>53.746288102433496</v>
      </c>
      <c r="AA228" s="171">
        <f t="shared" si="319"/>
        <v>0</v>
      </c>
      <c r="AB228" s="171">
        <f t="shared" si="319"/>
        <v>0</v>
      </c>
      <c r="AC228" s="171">
        <f t="shared" si="319"/>
        <v>0</v>
      </c>
      <c r="AD228" s="171">
        <f t="shared" si="319"/>
        <v>2.4584000000000001</v>
      </c>
      <c r="AE228" s="171">
        <f t="shared" si="319"/>
        <v>2.4584000000000001</v>
      </c>
      <c r="AF228" s="171">
        <f t="shared" si="319"/>
        <v>3.4878205787452492</v>
      </c>
      <c r="AG228" s="171">
        <f t="shared" si="319"/>
        <v>3.4878205787452492</v>
      </c>
      <c r="AH228" s="171">
        <f t="shared" si="319"/>
        <v>3.4878205787452492</v>
      </c>
      <c r="AI228" s="171">
        <f t="shared" si="319"/>
        <v>3.4878205787452492</v>
      </c>
      <c r="AJ228" s="171">
        <f t="shared" si="319"/>
        <v>3.4878205787452492</v>
      </c>
      <c r="AK228" s="171">
        <f t="shared" si="320"/>
        <v>3.4878205787452492</v>
      </c>
      <c r="AL228" s="171">
        <f t="shared" si="320"/>
        <v>3.4878205787452492</v>
      </c>
      <c r="AM228" s="171">
        <f t="shared" si="320"/>
        <v>3.4878205787452492</v>
      </c>
      <c r="AN228" s="171">
        <f t="shared" si="320"/>
        <v>3.4878205787452492</v>
      </c>
      <c r="AO228" s="171">
        <f t="shared" si="320"/>
        <v>3.4878205787452492</v>
      </c>
      <c r="AP228" s="171">
        <f t="shared" si="320"/>
        <v>3.4878205787452492</v>
      </c>
      <c r="AQ228" s="171">
        <f t="shared" si="320"/>
        <v>3.4878205787452492</v>
      </c>
      <c r="AR228" s="171">
        <f t="shared" si="320"/>
        <v>3.4878205787452492</v>
      </c>
      <c r="AS228" s="171">
        <f t="shared" si="320"/>
        <v>3.4878205787452492</v>
      </c>
      <c r="AT228" s="171">
        <f t="shared" si="320"/>
        <v>0</v>
      </c>
      <c r="AU228" s="171">
        <f t="shared" si="321"/>
        <v>0</v>
      </c>
      <c r="AV228" s="171">
        <f t="shared" si="321"/>
        <v>0</v>
      </c>
      <c r="AW228" s="171">
        <f t="shared" si="321"/>
        <v>0</v>
      </c>
      <c r="AX228" s="171">
        <f t="shared" si="321"/>
        <v>0</v>
      </c>
      <c r="AY228" s="171">
        <f t="shared" si="321"/>
        <v>0</v>
      </c>
      <c r="AZ228" s="171">
        <f t="shared" si="321"/>
        <v>0</v>
      </c>
      <c r="BA228" s="171">
        <f t="shared" si="321"/>
        <v>0</v>
      </c>
      <c r="BB228" s="171">
        <f t="shared" si="321"/>
        <v>0</v>
      </c>
      <c r="BC228" s="171">
        <f t="shared" si="321"/>
        <v>0</v>
      </c>
      <c r="BD228" s="171">
        <f t="shared" si="321"/>
        <v>0</v>
      </c>
      <c r="BE228" s="171">
        <f t="shared" si="322"/>
        <v>0</v>
      </c>
      <c r="BF228" s="171">
        <f t="shared" si="322"/>
        <v>0</v>
      </c>
      <c r="BG228" s="171">
        <f t="shared" si="322"/>
        <v>0</v>
      </c>
      <c r="BH228" s="171">
        <f t="shared" si="322"/>
        <v>0</v>
      </c>
      <c r="BI228" s="171">
        <f t="shared" si="322"/>
        <v>0</v>
      </c>
      <c r="BJ228" s="171">
        <f t="shared" si="322"/>
        <v>0</v>
      </c>
      <c r="BK228" s="171">
        <f t="shared" si="322"/>
        <v>0</v>
      </c>
      <c r="BL228" s="171">
        <f t="shared" si="322"/>
        <v>0</v>
      </c>
      <c r="BM228" s="171">
        <f t="shared" si="322"/>
        <v>0</v>
      </c>
      <c r="BN228" s="171">
        <f t="shared" si="322"/>
        <v>0</v>
      </c>
      <c r="BO228" s="171">
        <f t="shared" si="323"/>
        <v>0</v>
      </c>
      <c r="BP228" s="171">
        <f t="shared" si="323"/>
        <v>0</v>
      </c>
      <c r="BQ228" s="171">
        <f t="shared" si="323"/>
        <v>0</v>
      </c>
      <c r="BR228" s="171">
        <f t="shared" si="323"/>
        <v>0</v>
      </c>
      <c r="BS228" s="171">
        <f t="shared" si="323"/>
        <v>0</v>
      </c>
      <c r="BT228" s="171">
        <f t="shared" si="323"/>
        <v>0</v>
      </c>
      <c r="BU228" s="171">
        <f t="shared" si="323"/>
        <v>0</v>
      </c>
      <c r="BV228" s="171">
        <f t="shared" si="323"/>
        <v>0</v>
      </c>
      <c r="BW228" s="171">
        <f t="shared" si="323"/>
        <v>0</v>
      </c>
      <c r="BX228" s="171">
        <f t="shared" si="323"/>
        <v>0</v>
      </c>
      <c r="BY228" s="171">
        <f t="shared" si="324"/>
        <v>0</v>
      </c>
      <c r="BZ228" s="171">
        <f t="shared" si="324"/>
        <v>0</v>
      </c>
      <c r="CA228" s="171">
        <f t="shared" si="324"/>
        <v>0</v>
      </c>
      <c r="CB228" s="171">
        <f t="shared" si="324"/>
        <v>0</v>
      </c>
      <c r="CC228" s="171">
        <f t="shared" si="324"/>
        <v>0</v>
      </c>
      <c r="CD228" s="171">
        <f t="shared" si="324"/>
        <v>0</v>
      </c>
      <c r="CE228" s="171">
        <f t="shared" si="324"/>
        <v>0</v>
      </c>
      <c r="CF228" s="171">
        <f t="shared" si="324"/>
        <v>0</v>
      </c>
      <c r="CG228" s="171">
        <f t="shared" si="324"/>
        <v>0</v>
      </c>
      <c r="CH228" s="171">
        <f t="shared" si="324"/>
        <v>0</v>
      </c>
      <c r="CI228" s="171">
        <f t="shared" si="324"/>
        <v>0</v>
      </c>
      <c r="CJ228" s="243"/>
      <c r="CK228" s="171">
        <f t="shared" si="233"/>
        <v>0</v>
      </c>
      <c r="CL228" s="171">
        <f t="shared" si="234"/>
        <v>0</v>
      </c>
      <c r="CM228" s="171">
        <f t="shared" si="235"/>
        <v>0</v>
      </c>
      <c r="CN228" s="171">
        <f t="shared" si="236"/>
        <v>2.4584000000000001</v>
      </c>
      <c r="CO228" s="171">
        <f t="shared" si="237"/>
        <v>2.4584000000000001</v>
      </c>
      <c r="CP228" s="171">
        <f t="shared" si="238"/>
        <v>3.4878205787452492</v>
      </c>
      <c r="CQ228" s="171">
        <f t="shared" si="239"/>
        <v>3.4878205787452492</v>
      </c>
      <c r="CR228" s="171">
        <f t="shared" si="240"/>
        <v>3.4878205787452492</v>
      </c>
      <c r="CS228" s="171">
        <f t="shared" si="241"/>
        <v>3.4878205787452492</v>
      </c>
      <c r="CT228" s="171">
        <f t="shared" si="242"/>
        <v>3.4878205787452492</v>
      </c>
      <c r="CU228" s="171">
        <f t="shared" si="243"/>
        <v>3.4878205787452492</v>
      </c>
      <c r="CV228" s="171">
        <f t="shared" si="244"/>
        <v>3.4878205787452492</v>
      </c>
      <c r="CW228" s="171">
        <f t="shared" si="245"/>
        <v>3.4878205787452492</v>
      </c>
      <c r="CX228" s="171">
        <f t="shared" si="246"/>
        <v>3.4878205787452492</v>
      </c>
      <c r="CY228" s="171">
        <f t="shared" ca="1" si="247"/>
        <v>3.3112223514824581</v>
      </c>
      <c r="CZ228" s="171">
        <f t="shared" ca="1" si="248"/>
        <v>3.1435657922809241</v>
      </c>
      <c r="DA228" s="171">
        <f t="shared" ca="1" si="249"/>
        <v>2.9843981591796602</v>
      </c>
      <c r="DB228" s="171">
        <f t="shared" ca="1" si="250"/>
        <v>2.8332896338245317</v>
      </c>
      <c r="DC228" s="171">
        <f t="shared" ca="1" si="251"/>
        <v>2.6898321607811626</v>
      </c>
      <c r="DD228" s="171">
        <f t="shared" ca="1" si="252"/>
        <v>0</v>
      </c>
      <c r="DE228" s="171">
        <f t="shared" ca="1" si="253"/>
        <v>0</v>
      </c>
      <c r="DF228" s="171">
        <f t="shared" ca="1" si="254"/>
        <v>0</v>
      </c>
      <c r="DG228" s="171">
        <f t="shared" ca="1" si="255"/>
        <v>0</v>
      </c>
      <c r="DH228" s="171">
        <f t="shared" ca="1" si="256"/>
        <v>0</v>
      </c>
      <c r="DI228" s="171">
        <f t="shared" ca="1" si="257"/>
        <v>0</v>
      </c>
      <c r="DJ228" s="171">
        <f t="shared" ca="1" si="258"/>
        <v>0</v>
      </c>
      <c r="DK228" s="171">
        <f t="shared" ca="1" si="259"/>
        <v>0</v>
      </c>
      <c r="DL228" s="171">
        <f t="shared" ca="1" si="260"/>
        <v>0</v>
      </c>
      <c r="DM228" s="171">
        <f t="shared" ca="1" si="261"/>
        <v>0</v>
      </c>
      <c r="DN228" s="171">
        <f t="shared" ca="1" si="262"/>
        <v>0</v>
      </c>
      <c r="DO228" s="171">
        <f t="shared" ca="1" si="263"/>
        <v>0</v>
      </c>
      <c r="DP228" s="171">
        <f t="shared" ca="1" si="264"/>
        <v>0</v>
      </c>
      <c r="DQ228" s="171">
        <f t="shared" ca="1" si="265"/>
        <v>0</v>
      </c>
      <c r="DR228" s="171">
        <f t="shared" ca="1" si="266"/>
        <v>0</v>
      </c>
      <c r="DS228" s="171">
        <f t="shared" ca="1" si="267"/>
        <v>0</v>
      </c>
      <c r="DT228" s="171">
        <f t="shared" ca="1" si="268"/>
        <v>0</v>
      </c>
      <c r="DU228" s="171">
        <f t="shared" ca="1" si="269"/>
        <v>0</v>
      </c>
      <c r="DV228" s="171">
        <f t="shared" ca="1" si="270"/>
        <v>0</v>
      </c>
      <c r="DW228" s="171">
        <f t="shared" ca="1" si="271"/>
        <v>0</v>
      </c>
      <c r="DX228" s="171">
        <f t="shared" ca="1" si="272"/>
        <v>0</v>
      </c>
      <c r="DY228" s="171">
        <f t="shared" ca="1" si="273"/>
        <v>0</v>
      </c>
      <c r="DZ228" s="171">
        <f t="shared" ca="1" si="274"/>
        <v>0</v>
      </c>
      <c r="EA228" s="171">
        <f t="shared" ca="1" si="275"/>
        <v>0</v>
      </c>
      <c r="EB228" s="171">
        <f t="shared" ca="1" si="276"/>
        <v>0</v>
      </c>
      <c r="EC228" s="171">
        <f t="shared" ca="1" si="277"/>
        <v>0</v>
      </c>
      <c r="ED228" s="171">
        <f t="shared" ca="1" si="278"/>
        <v>0</v>
      </c>
      <c r="EE228" s="171">
        <f t="shared" ca="1" si="279"/>
        <v>0</v>
      </c>
      <c r="EF228" s="171">
        <f t="shared" ca="1" si="280"/>
        <v>0</v>
      </c>
      <c r="EG228" s="171">
        <f t="shared" ca="1" si="281"/>
        <v>0</v>
      </c>
      <c r="EH228" s="171">
        <f t="shared" ca="1" si="282"/>
        <v>0</v>
      </c>
      <c r="EI228" s="171">
        <f t="shared" ca="1" si="283"/>
        <v>0</v>
      </c>
      <c r="EJ228" s="171">
        <f t="shared" ca="1" si="284"/>
        <v>0</v>
      </c>
      <c r="EK228" s="171">
        <f t="shared" ca="1" si="285"/>
        <v>0</v>
      </c>
      <c r="EL228" s="171">
        <f t="shared" ca="1" si="286"/>
        <v>0</v>
      </c>
      <c r="EM228" s="171">
        <f t="shared" ca="1" si="287"/>
        <v>0</v>
      </c>
      <c r="EN228" s="171">
        <f t="shared" ca="1" si="288"/>
        <v>0</v>
      </c>
      <c r="EO228" s="171">
        <f t="shared" ca="1" si="289"/>
        <v>0</v>
      </c>
      <c r="EP228" s="171">
        <f t="shared" ca="1" si="290"/>
        <v>0</v>
      </c>
      <c r="EQ228" s="171">
        <f t="shared" ca="1" si="291"/>
        <v>0</v>
      </c>
      <c r="ER228" s="171">
        <f t="shared" ca="1" si="292"/>
        <v>0</v>
      </c>
      <c r="ES228" s="171">
        <f t="shared" ca="1" si="293"/>
        <v>0</v>
      </c>
    </row>
    <row r="229" spans="1:149">
      <c r="A229" s="139" t="s">
        <v>571</v>
      </c>
      <c r="B229" s="160" t="s">
        <v>574</v>
      </c>
      <c r="C229" s="160" t="s">
        <v>435</v>
      </c>
      <c r="D229" s="160" t="s">
        <v>417</v>
      </c>
      <c r="E229" s="160">
        <v>2013</v>
      </c>
      <c r="F229" s="194" t="s">
        <v>424</v>
      </c>
      <c r="G229" s="174" t="s">
        <v>402</v>
      </c>
      <c r="H229" s="194" t="s">
        <v>406</v>
      </c>
      <c r="I229" s="194" t="s">
        <v>365</v>
      </c>
      <c r="J229" s="194" t="s">
        <v>401</v>
      </c>
      <c r="K229" s="187">
        <v>36.4</v>
      </c>
      <c r="L229" s="163" t="s">
        <v>110</v>
      </c>
      <c r="M229" s="164">
        <f t="shared" si="223"/>
        <v>36.4</v>
      </c>
      <c r="N229" s="164">
        <f t="shared" si="224"/>
        <v>36.4</v>
      </c>
      <c r="O229" s="165">
        <f t="shared" si="225"/>
        <v>1</v>
      </c>
      <c r="P229" s="190">
        <v>0.18</v>
      </c>
      <c r="Q229" s="191">
        <v>20</v>
      </c>
      <c r="R229" s="168">
        <f t="shared" si="312"/>
        <v>9</v>
      </c>
      <c r="S229" s="178">
        <v>10</v>
      </c>
      <c r="T229" s="213" t="s">
        <v>398</v>
      </c>
      <c r="U229" s="171">
        <f t="shared" si="227"/>
        <v>8.2087534812957408</v>
      </c>
      <c r="V229" s="171">
        <f t="shared" ca="1" si="228"/>
        <v>7.2699277704592475</v>
      </c>
      <c r="W229" s="171">
        <f t="shared" ca="1" si="229"/>
        <v>145.39855540918495</v>
      </c>
      <c r="X229" s="172">
        <f t="shared" si="230"/>
        <v>1.0000000000000002</v>
      </c>
      <c r="Y229" s="172">
        <f t="shared" si="231"/>
        <v>-2.1069013582678086E-16</v>
      </c>
      <c r="Z229" s="173">
        <f t="shared" si="232"/>
        <v>164.1750696259148</v>
      </c>
      <c r="AA229" s="171">
        <f t="shared" ref="AA229:AJ238" si="325">IFERROR(
    IF($T229="Equity",
        IF(AND(AA$48&gt;=$E229, AA$48&lt;=($E229+$Q229)),
$K229*$P229*(VLOOKUP($C$39,$C$37:$BL$44,MATCH($E229,$C$37:$BL$37,0),FALSE)/VLOOKUP($L229,$C$37:$BL$44,MATCH($E229,$C$37:$BL$37,0),FALSE))*
IF($B$5="Foreign Currency",VLOOKUP($C$38,$C$37:$BL$44,MATCH(AA$48,$C$37:$BL$37,0),FALSE)/VLOOKUP($C$39,$C$37:$BL$44,MATCH(AA$48,$C$37:$BL$37,0),FALSE),1),
0),
    IF($T229="Lump Sum Principal",
        IF(AND(AA$48&gt;=$E229, AA$48&lt;($E229+$Q229)),
$K229*$P229*(VLOOKUP($C$39,$C$37:$BL$44,MATCH($E229,$C$37:$BL$37,0),FALSE)/VLOOKUP($L229,$C$37:$BL$44,MATCH($E229,$C$37:$BL$37,0),FALSE))*
IF($B$5="Foreign Currency",VLOOKUP($C$38,$C$37:$BL$44,MATCH(AA$48,$C$37:$BL$37,0),FALSE)/VLOOKUP($C$39,$C$37:$BL$44,MATCH(AA$48,$C$37:$BL$37,0),FALSE),1),
        IF(AA$48=($E229+$Q229),
$K229*(1+$P229)*(VLOOKUP($C$39,$C$37:$BL$44,MATCH($E229,$C$37:$BL$37,0),FALSE)/VLOOKUP($L229,$C$37:$BL$44,MATCH($E229,$C$37:$BL$37,0),FALSE))*
IF($B$5="Foreign Currency",VLOOKUP($C$38,$C$37:$BL$44,MATCH(AA$48,$C$37:$BL$37,0),FALSE)/VLOOKUP($C$39,$C$37:$BL$44,MATCH(AA$48,$C$37:$BL$37,0),FALSE),1),
0)),
    IF($T229="Lump Sum Principal and Interest",
        IF(AA$48=($E229+$Q229),
$K229*((1+$P229)^$Q229)*(VLOOKUP($C$39,$C$37:$BL$44,MATCH($E229,$C$37:$BL$37,0),FALSE)/VLOOKUP($L229,$C$37:$BL$44,MATCH($E229,$C$37:$BL$37,0),FALSE))*
IF($B$5="Foreign Currency",VLOOKUP($C$38,$C$37:$BL$44,MATCH(AA$48,$C$37:$BL$37,0),FALSE)/VLOOKUP($C$39,$C$37:$BL$44,MATCH(AA$48,$C$37:$BL$37,0),FALSE),1),
0),
    IF($T229="EPP with Grace Years for Principal",
        IF(AND(AA$48&gt;=$E229, AA$48&lt;($E229+$S229)),
$K229*$P229*(VLOOKUP($C$39,$C$37:$BL$44,MATCH($E229,$C$37:$BL$37,0),FALSE)/VLOOKUP($L229,$C$37:$BL$44,MATCH($E229,$C$37:$BL$37,0),FALSE))*
IF($B$5="Foreign Currency",VLOOKUP($C$38,$C$37:$BL$44,MATCH(AA$48,$C$37:$BL$37,0),FALSE)/VLOOKUP($C$39,$C$37:$BL$44,MATCH(AA$48,$C$37:$BL$37,0),FALSE),1),
        IF(AND(AA$48&gt;=($E229+$S229), AA$48&lt;=($E229+$Q229)),
-PMT($P229,($Q229-$S229+1),($K229*(VLOOKUP($C$39,$C$37:$BL$44,MATCH($E229,$C$37:$BL$37,0),FALSE)/VLOOKUP($L229,$C$37:$BL$44,MATCH($E229,$C$37:$BL$37,0),FALSE))*
IF($B$5="Foreign Currency",VLOOKUP($C$38,$C$37:$BL$44,MATCH(AA$48,$C$37:$BL$37,0),FALSE)/VLOOKUP($C$39,$C$37:$BL$44,MATCH(AA$48,$C$37:$BL$37,0),FALSE),1)),0),
0)),
    IF($T229="Equal Principal Payments (EPP)",
        IF(AND(AA$48&gt;=$E229, AA$48&lt;=($E229+$Q229)),
-PMT($P229,($Q229-$S229+1),($K229*(VLOOKUP($C$39,$C$37:$BL$44,MATCH($E229,$C$37:$BL$37,0),FALSE)/VLOOKUP($L229,$C$37:$BL$44,MATCH($E229,$C$37:$BL$37,0),FALSE))*
IF($B$5="Foreign Currency",VLOOKUP($C$38,$C$37:$BL$44,MATCH(AA$48,$C$37:$BL$37,0),FALSE)/VLOOKUP($C$39,$C$37:$BL$44,MATCH(AA$48,$C$37:$BL$37,0),FALSE),1)),0), 0),
    IF($T229="EPP with Grace Years for Principal and on Interest",
        IF(AND(AA$48&gt;=($E229+$S229), AA$48&lt;=($E229+$Q229)),
-PMT($P229,($Q229-$S229+1),($K229*(VLOOKUP($C$39,$C$37:$BL$44,MATCH($E229,$C$37:$BL$37,0),FALSE)/VLOOKUP($L229,$C$37:$BL$44,MATCH($E229,$C$37:$BL$37,0),FALSE))*
IF($B$5="Foreign Currency",VLOOKUP($C$38,$C$37:$BL$44,MATCH(AA$48,$C$37:$BL$37,0),FALSE)/VLOOKUP($C$39,$C$37:$BL$44,MATCH(AA$48,$C$37:$BL$37,0),FALSE),1))*((1+$P229)^$S229),0), 0),
    0)))))),"")</f>
        <v>0</v>
      </c>
      <c r="AB229" s="171">
        <f t="shared" si="325"/>
        <v>0</v>
      </c>
      <c r="AC229" s="171">
        <f t="shared" si="325"/>
        <v>0</v>
      </c>
      <c r="AD229" s="171">
        <f t="shared" si="325"/>
        <v>7.8178604583768978</v>
      </c>
      <c r="AE229" s="171">
        <f t="shared" si="325"/>
        <v>7.8178604583768978</v>
      </c>
      <c r="AF229" s="171">
        <f t="shared" si="325"/>
        <v>7.8178604583768978</v>
      </c>
      <c r="AG229" s="171">
        <f t="shared" si="325"/>
        <v>7.8178604583768978</v>
      </c>
      <c r="AH229" s="171">
        <f t="shared" si="325"/>
        <v>7.8178604583768978</v>
      </c>
      <c r="AI229" s="171">
        <f t="shared" si="325"/>
        <v>7.8178604583768978</v>
      </c>
      <c r="AJ229" s="171">
        <f t="shared" si="325"/>
        <v>7.8178604583768978</v>
      </c>
      <c r="AK229" s="171">
        <f t="shared" ref="AK229:AT238" si="326">IFERROR(
    IF($T229="Equity",
        IF(AND(AK$48&gt;=$E229, AK$48&lt;=($E229+$Q229)),
$K229*$P229*(VLOOKUP($C$39,$C$37:$BL$44,MATCH($E229,$C$37:$BL$37,0),FALSE)/VLOOKUP($L229,$C$37:$BL$44,MATCH($E229,$C$37:$BL$37,0),FALSE))*
IF($B$5="Foreign Currency",VLOOKUP($C$38,$C$37:$BL$44,MATCH(AK$48,$C$37:$BL$37,0),FALSE)/VLOOKUP($C$39,$C$37:$BL$44,MATCH(AK$48,$C$37:$BL$37,0),FALSE),1),
0),
    IF($T229="Lump Sum Principal",
        IF(AND(AK$48&gt;=$E229, AK$48&lt;($E229+$Q229)),
$K229*$P229*(VLOOKUP($C$39,$C$37:$BL$44,MATCH($E229,$C$37:$BL$37,0),FALSE)/VLOOKUP($L229,$C$37:$BL$44,MATCH($E229,$C$37:$BL$37,0),FALSE))*
IF($B$5="Foreign Currency",VLOOKUP($C$38,$C$37:$BL$44,MATCH(AK$48,$C$37:$BL$37,0),FALSE)/VLOOKUP($C$39,$C$37:$BL$44,MATCH(AK$48,$C$37:$BL$37,0),FALSE),1),
        IF(AK$48=($E229+$Q229),
$K229*(1+$P229)*(VLOOKUP($C$39,$C$37:$BL$44,MATCH($E229,$C$37:$BL$37,0),FALSE)/VLOOKUP($L229,$C$37:$BL$44,MATCH($E229,$C$37:$BL$37,0),FALSE))*
IF($B$5="Foreign Currency",VLOOKUP($C$38,$C$37:$BL$44,MATCH(AK$48,$C$37:$BL$37,0),FALSE)/VLOOKUP($C$39,$C$37:$BL$44,MATCH(AK$48,$C$37:$BL$37,0),FALSE),1),
0)),
    IF($T229="Lump Sum Principal and Interest",
        IF(AK$48=($E229+$Q229),
$K229*((1+$P229)^$Q229)*(VLOOKUP($C$39,$C$37:$BL$44,MATCH($E229,$C$37:$BL$37,0),FALSE)/VLOOKUP($L229,$C$37:$BL$44,MATCH($E229,$C$37:$BL$37,0),FALSE))*
IF($B$5="Foreign Currency",VLOOKUP($C$38,$C$37:$BL$44,MATCH(AK$48,$C$37:$BL$37,0),FALSE)/VLOOKUP($C$39,$C$37:$BL$44,MATCH(AK$48,$C$37:$BL$37,0),FALSE),1),
0),
    IF($T229="EPP with Grace Years for Principal",
        IF(AND(AK$48&gt;=$E229, AK$48&lt;($E229+$S229)),
$K229*$P229*(VLOOKUP($C$39,$C$37:$BL$44,MATCH($E229,$C$37:$BL$37,0),FALSE)/VLOOKUP($L229,$C$37:$BL$44,MATCH($E229,$C$37:$BL$37,0),FALSE))*
IF($B$5="Foreign Currency",VLOOKUP($C$38,$C$37:$BL$44,MATCH(AK$48,$C$37:$BL$37,0),FALSE)/VLOOKUP($C$39,$C$37:$BL$44,MATCH(AK$48,$C$37:$BL$37,0),FALSE),1),
        IF(AND(AK$48&gt;=($E229+$S229), AK$48&lt;=($E229+$Q229)),
-PMT($P229,($Q229-$S229+1),($K229*(VLOOKUP($C$39,$C$37:$BL$44,MATCH($E229,$C$37:$BL$37,0),FALSE)/VLOOKUP($L229,$C$37:$BL$44,MATCH($E229,$C$37:$BL$37,0),FALSE))*
IF($B$5="Foreign Currency",VLOOKUP($C$38,$C$37:$BL$44,MATCH(AK$48,$C$37:$BL$37,0),FALSE)/VLOOKUP($C$39,$C$37:$BL$44,MATCH(AK$48,$C$37:$BL$37,0),FALSE),1)),0),
0)),
    IF($T229="Equal Principal Payments (EPP)",
        IF(AND(AK$48&gt;=$E229, AK$48&lt;=($E229+$Q229)),
-PMT($P229,($Q229-$S229+1),($K229*(VLOOKUP($C$39,$C$37:$BL$44,MATCH($E229,$C$37:$BL$37,0),FALSE)/VLOOKUP($L229,$C$37:$BL$44,MATCH($E229,$C$37:$BL$37,0),FALSE))*
IF($B$5="Foreign Currency",VLOOKUP($C$38,$C$37:$BL$44,MATCH(AK$48,$C$37:$BL$37,0),FALSE)/VLOOKUP($C$39,$C$37:$BL$44,MATCH(AK$48,$C$37:$BL$37,0),FALSE),1)),0), 0),
    IF($T229="EPP with Grace Years for Principal and on Interest",
        IF(AND(AK$48&gt;=($E229+$S229), AK$48&lt;=($E229+$Q229)),
-PMT($P229,($Q229-$S229+1),($K229*(VLOOKUP($C$39,$C$37:$BL$44,MATCH($E229,$C$37:$BL$37,0),FALSE)/VLOOKUP($L229,$C$37:$BL$44,MATCH($E229,$C$37:$BL$37,0),FALSE))*
IF($B$5="Foreign Currency",VLOOKUP($C$38,$C$37:$BL$44,MATCH(AK$48,$C$37:$BL$37,0),FALSE)/VLOOKUP($C$39,$C$37:$BL$44,MATCH(AK$48,$C$37:$BL$37,0),FALSE),1))*((1+$P229)^$S229),0), 0),
    0)))))),"")</f>
        <v>7.8178604583768978</v>
      </c>
      <c r="AL229" s="171">
        <f t="shared" si="326"/>
        <v>7.8178604583768978</v>
      </c>
      <c r="AM229" s="171">
        <f t="shared" si="326"/>
        <v>7.8178604583768978</v>
      </c>
      <c r="AN229" s="171">
        <f t="shared" si="326"/>
        <v>7.8178604583768978</v>
      </c>
      <c r="AO229" s="171">
        <f t="shared" si="326"/>
        <v>7.8178604583768978</v>
      </c>
      <c r="AP229" s="171">
        <f t="shared" si="326"/>
        <v>7.8178604583768978</v>
      </c>
      <c r="AQ229" s="171">
        <f t="shared" si="326"/>
        <v>7.8178604583768978</v>
      </c>
      <c r="AR229" s="171">
        <f t="shared" si="326"/>
        <v>7.8178604583768978</v>
      </c>
      <c r="AS229" s="171">
        <f t="shared" si="326"/>
        <v>7.8178604583768978</v>
      </c>
      <c r="AT229" s="171">
        <f t="shared" si="326"/>
        <v>7.8178604583768978</v>
      </c>
      <c r="AU229" s="171">
        <f t="shared" ref="AU229:BD238" si="327">IFERROR(
    IF($T229="Equity",
        IF(AND(AU$48&gt;=$E229, AU$48&lt;=($E229+$Q229)),
$K229*$P229*(VLOOKUP($C$39,$C$37:$BL$44,MATCH($E229,$C$37:$BL$37,0),FALSE)/VLOOKUP($L229,$C$37:$BL$44,MATCH($E229,$C$37:$BL$37,0),FALSE))*
IF($B$5="Foreign Currency",VLOOKUP($C$38,$C$37:$BL$44,MATCH(AU$48,$C$37:$BL$37,0),FALSE)/VLOOKUP($C$39,$C$37:$BL$44,MATCH(AU$48,$C$37:$BL$37,0),FALSE),1),
0),
    IF($T229="Lump Sum Principal",
        IF(AND(AU$48&gt;=$E229, AU$48&lt;($E229+$Q229)),
$K229*$P229*(VLOOKUP($C$39,$C$37:$BL$44,MATCH($E229,$C$37:$BL$37,0),FALSE)/VLOOKUP($L229,$C$37:$BL$44,MATCH($E229,$C$37:$BL$37,0),FALSE))*
IF($B$5="Foreign Currency",VLOOKUP($C$38,$C$37:$BL$44,MATCH(AU$48,$C$37:$BL$37,0),FALSE)/VLOOKUP($C$39,$C$37:$BL$44,MATCH(AU$48,$C$37:$BL$37,0),FALSE),1),
        IF(AU$48=($E229+$Q229),
$K229*(1+$P229)*(VLOOKUP($C$39,$C$37:$BL$44,MATCH($E229,$C$37:$BL$37,0),FALSE)/VLOOKUP($L229,$C$37:$BL$44,MATCH($E229,$C$37:$BL$37,0),FALSE))*
IF($B$5="Foreign Currency",VLOOKUP($C$38,$C$37:$BL$44,MATCH(AU$48,$C$37:$BL$37,0),FALSE)/VLOOKUP($C$39,$C$37:$BL$44,MATCH(AU$48,$C$37:$BL$37,0),FALSE),1),
0)),
    IF($T229="Lump Sum Principal and Interest",
        IF(AU$48=($E229+$Q229),
$K229*((1+$P229)^$Q229)*(VLOOKUP($C$39,$C$37:$BL$44,MATCH($E229,$C$37:$BL$37,0),FALSE)/VLOOKUP($L229,$C$37:$BL$44,MATCH($E229,$C$37:$BL$37,0),FALSE))*
IF($B$5="Foreign Currency",VLOOKUP($C$38,$C$37:$BL$44,MATCH(AU$48,$C$37:$BL$37,0),FALSE)/VLOOKUP($C$39,$C$37:$BL$44,MATCH(AU$48,$C$37:$BL$37,0),FALSE),1),
0),
    IF($T229="EPP with Grace Years for Principal",
        IF(AND(AU$48&gt;=$E229, AU$48&lt;($E229+$S229)),
$K229*$P229*(VLOOKUP($C$39,$C$37:$BL$44,MATCH($E229,$C$37:$BL$37,0),FALSE)/VLOOKUP($L229,$C$37:$BL$44,MATCH($E229,$C$37:$BL$37,0),FALSE))*
IF($B$5="Foreign Currency",VLOOKUP($C$38,$C$37:$BL$44,MATCH(AU$48,$C$37:$BL$37,0),FALSE)/VLOOKUP($C$39,$C$37:$BL$44,MATCH(AU$48,$C$37:$BL$37,0),FALSE),1),
        IF(AND(AU$48&gt;=($E229+$S229), AU$48&lt;=($E229+$Q229)),
-PMT($P229,($Q229-$S229+1),($K229*(VLOOKUP($C$39,$C$37:$BL$44,MATCH($E229,$C$37:$BL$37,0),FALSE)/VLOOKUP($L229,$C$37:$BL$44,MATCH($E229,$C$37:$BL$37,0),FALSE))*
IF($B$5="Foreign Currency",VLOOKUP($C$38,$C$37:$BL$44,MATCH(AU$48,$C$37:$BL$37,0),FALSE)/VLOOKUP($C$39,$C$37:$BL$44,MATCH(AU$48,$C$37:$BL$37,0),FALSE),1)),0),
0)),
    IF($T229="Equal Principal Payments (EPP)",
        IF(AND(AU$48&gt;=$E229, AU$48&lt;=($E229+$Q229)),
-PMT($P229,($Q229-$S229+1),($K229*(VLOOKUP($C$39,$C$37:$BL$44,MATCH($E229,$C$37:$BL$37,0),FALSE)/VLOOKUP($L229,$C$37:$BL$44,MATCH($E229,$C$37:$BL$37,0),FALSE))*
IF($B$5="Foreign Currency",VLOOKUP($C$38,$C$37:$BL$44,MATCH(AU$48,$C$37:$BL$37,0),FALSE)/VLOOKUP($C$39,$C$37:$BL$44,MATCH(AU$48,$C$37:$BL$37,0),FALSE),1)),0), 0),
    IF($T229="EPP with Grace Years for Principal and on Interest",
        IF(AND(AU$48&gt;=($E229+$S229), AU$48&lt;=($E229+$Q229)),
-PMT($P229,($Q229-$S229+1),($K229*(VLOOKUP($C$39,$C$37:$BL$44,MATCH($E229,$C$37:$BL$37,0),FALSE)/VLOOKUP($L229,$C$37:$BL$44,MATCH($E229,$C$37:$BL$37,0),FALSE))*
IF($B$5="Foreign Currency",VLOOKUP($C$38,$C$37:$BL$44,MATCH(AU$48,$C$37:$BL$37,0),FALSE)/VLOOKUP($C$39,$C$37:$BL$44,MATCH(AU$48,$C$37:$BL$37,0),FALSE),1))*((1+$P229)^$S229),0), 0),
    0)))))),"")</f>
        <v>7.8178604583768978</v>
      </c>
      <c r="AV229" s="171">
        <f t="shared" si="327"/>
        <v>7.8178604583768978</v>
      </c>
      <c r="AW229" s="171">
        <f t="shared" si="327"/>
        <v>7.8178604583768978</v>
      </c>
      <c r="AX229" s="171">
        <f t="shared" si="327"/>
        <v>7.8178604583768978</v>
      </c>
      <c r="AY229" s="171">
        <f t="shared" si="327"/>
        <v>0</v>
      </c>
      <c r="AZ229" s="171">
        <f t="shared" si="327"/>
        <v>0</v>
      </c>
      <c r="BA229" s="171">
        <f t="shared" si="327"/>
        <v>0</v>
      </c>
      <c r="BB229" s="171">
        <f t="shared" si="327"/>
        <v>0</v>
      </c>
      <c r="BC229" s="171">
        <f t="shared" si="327"/>
        <v>0</v>
      </c>
      <c r="BD229" s="171">
        <f t="shared" si="327"/>
        <v>0</v>
      </c>
      <c r="BE229" s="171">
        <f t="shared" ref="BE229:BN238" si="328">IFERROR(
    IF($T229="Equity",
        IF(AND(BE$48&gt;=$E229, BE$48&lt;=($E229+$Q229)),
$K229*$P229*(VLOOKUP($C$39,$C$37:$BL$44,MATCH($E229,$C$37:$BL$37,0),FALSE)/VLOOKUP($L229,$C$37:$BL$44,MATCH($E229,$C$37:$BL$37,0),FALSE))*
IF($B$5="Foreign Currency",VLOOKUP($C$38,$C$37:$BL$44,MATCH(BE$48,$C$37:$BL$37,0),FALSE)/VLOOKUP($C$39,$C$37:$BL$44,MATCH(BE$48,$C$37:$BL$37,0),FALSE),1),
0),
    IF($T229="Lump Sum Principal",
        IF(AND(BE$48&gt;=$E229, BE$48&lt;($E229+$Q229)),
$K229*$P229*(VLOOKUP($C$39,$C$37:$BL$44,MATCH($E229,$C$37:$BL$37,0),FALSE)/VLOOKUP($L229,$C$37:$BL$44,MATCH($E229,$C$37:$BL$37,0),FALSE))*
IF($B$5="Foreign Currency",VLOOKUP($C$38,$C$37:$BL$44,MATCH(BE$48,$C$37:$BL$37,0),FALSE)/VLOOKUP($C$39,$C$37:$BL$44,MATCH(BE$48,$C$37:$BL$37,0),FALSE),1),
        IF(BE$48=($E229+$Q229),
$K229*(1+$P229)*(VLOOKUP($C$39,$C$37:$BL$44,MATCH($E229,$C$37:$BL$37,0),FALSE)/VLOOKUP($L229,$C$37:$BL$44,MATCH($E229,$C$37:$BL$37,0),FALSE))*
IF($B$5="Foreign Currency",VLOOKUP($C$38,$C$37:$BL$44,MATCH(BE$48,$C$37:$BL$37,0),FALSE)/VLOOKUP($C$39,$C$37:$BL$44,MATCH(BE$48,$C$37:$BL$37,0),FALSE),1),
0)),
    IF($T229="Lump Sum Principal and Interest",
        IF(BE$48=($E229+$Q229),
$K229*((1+$P229)^$Q229)*(VLOOKUP($C$39,$C$37:$BL$44,MATCH($E229,$C$37:$BL$37,0),FALSE)/VLOOKUP($L229,$C$37:$BL$44,MATCH($E229,$C$37:$BL$37,0),FALSE))*
IF($B$5="Foreign Currency",VLOOKUP($C$38,$C$37:$BL$44,MATCH(BE$48,$C$37:$BL$37,0),FALSE)/VLOOKUP($C$39,$C$37:$BL$44,MATCH(BE$48,$C$37:$BL$37,0),FALSE),1),
0),
    IF($T229="EPP with Grace Years for Principal",
        IF(AND(BE$48&gt;=$E229, BE$48&lt;($E229+$S229)),
$K229*$P229*(VLOOKUP($C$39,$C$37:$BL$44,MATCH($E229,$C$37:$BL$37,0),FALSE)/VLOOKUP($L229,$C$37:$BL$44,MATCH($E229,$C$37:$BL$37,0),FALSE))*
IF($B$5="Foreign Currency",VLOOKUP($C$38,$C$37:$BL$44,MATCH(BE$48,$C$37:$BL$37,0),FALSE)/VLOOKUP($C$39,$C$37:$BL$44,MATCH(BE$48,$C$37:$BL$37,0),FALSE),1),
        IF(AND(BE$48&gt;=($E229+$S229), BE$48&lt;=($E229+$Q229)),
-PMT($P229,($Q229-$S229+1),($K229*(VLOOKUP($C$39,$C$37:$BL$44,MATCH($E229,$C$37:$BL$37,0),FALSE)/VLOOKUP($L229,$C$37:$BL$44,MATCH($E229,$C$37:$BL$37,0),FALSE))*
IF($B$5="Foreign Currency",VLOOKUP($C$38,$C$37:$BL$44,MATCH(BE$48,$C$37:$BL$37,0),FALSE)/VLOOKUP($C$39,$C$37:$BL$44,MATCH(BE$48,$C$37:$BL$37,0),FALSE),1)),0),
0)),
    IF($T229="Equal Principal Payments (EPP)",
        IF(AND(BE$48&gt;=$E229, BE$48&lt;=($E229+$Q229)),
-PMT($P229,($Q229-$S229+1),($K229*(VLOOKUP($C$39,$C$37:$BL$44,MATCH($E229,$C$37:$BL$37,0),FALSE)/VLOOKUP($L229,$C$37:$BL$44,MATCH($E229,$C$37:$BL$37,0),FALSE))*
IF($B$5="Foreign Currency",VLOOKUP($C$38,$C$37:$BL$44,MATCH(BE$48,$C$37:$BL$37,0),FALSE)/VLOOKUP($C$39,$C$37:$BL$44,MATCH(BE$48,$C$37:$BL$37,0),FALSE),1)),0), 0),
    IF($T229="EPP with Grace Years for Principal and on Interest",
        IF(AND(BE$48&gt;=($E229+$S229), BE$48&lt;=($E229+$Q229)),
-PMT($P229,($Q229-$S229+1),($K229*(VLOOKUP($C$39,$C$37:$BL$44,MATCH($E229,$C$37:$BL$37,0),FALSE)/VLOOKUP($L229,$C$37:$BL$44,MATCH($E229,$C$37:$BL$37,0),FALSE))*
IF($B$5="Foreign Currency",VLOOKUP($C$38,$C$37:$BL$44,MATCH(BE$48,$C$37:$BL$37,0),FALSE)/VLOOKUP($C$39,$C$37:$BL$44,MATCH(BE$48,$C$37:$BL$37,0),FALSE),1))*((1+$P229)^$S229),0), 0),
    0)))))),"")</f>
        <v>0</v>
      </c>
      <c r="BF229" s="171">
        <f t="shared" si="328"/>
        <v>0</v>
      </c>
      <c r="BG229" s="171">
        <f t="shared" si="328"/>
        <v>0</v>
      </c>
      <c r="BH229" s="171">
        <f t="shared" si="328"/>
        <v>0</v>
      </c>
      <c r="BI229" s="171">
        <f t="shared" si="328"/>
        <v>0</v>
      </c>
      <c r="BJ229" s="171">
        <f t="shared" si="328"/>
        <v>0</v>
      </c>
      <c r="BK229" s="171">
        <f t="shared" si="328"/>
        <v>0</v>
      </c>
      <c r="BL229" s="171">
        <f t="shared" si="328"/>
        <v>0</v>
      </c>
      <c r="BM229" s="171">
        <f t="shared" si="328"/>
        <v>0</v>
      </c>
      <c r="BN229" s="171">
        <f t="shared" si="328"/>
        <v>0</v>
      </c>
      <c r="BO229" s="171">
        <f t="shared" ref="BO229:BX238" si="329">IFERROR(
    IF($T229="Equity",
        IF(AND(BO$48&gt;=$E229, BO$48&lt;=($E229+$Q229)),
$K229*$P229*(VLOOKUP($C$39,$C$37:$BL$44,MATCH($E229,$C$37:$BL$37,0),FALSE)/VLOOKUP($L229,$C$37:$BL$44,MATCH($E229,$C$37:$BL$37,0),FALSE))*
IF($B$5="Foreign Currency",VLOOKUP($C$38,$C$37:$BL$44,MATCH(BO$48,$C$37:$BL$37,0),FALSE)/VLOOKUP($C$39,$C$37:$BL$44,MATCH(BO$48,$C$37:$BL$37,0),FALSE),1),
0),
    IF($T229="Lump Sum Principal",
        IF(AND(BO$48&gt;=$E229, BO$48&lt;($E229+$Q229)),
$K229*$P229*(VLOOKUP($C$39,$C$37:$BL$44,MATCH($E229,$C$37:$BL$37,0),FALSE)/VLOOKUP($L229,$C$37:$BL$44,MATCH($E229,$C$37:$BL$37,0),FALSE))*
IF($B$5="Foreign Currency",VLOOKUP($C$38,$C$37:$BL$44,MATCH(BO$48,$C$37:$BL$37,0),FALSE)/VLOOKUP($C$39,$C$37:$BL$44,MATCH(BO$48,$C$37:$BL$37,0),FALSE),1),
        IF(BO$48=($E229+$Q229),
$K229*(1+$P229)*(VLOOKUP($C$39,$C$37:$BL$44,MATCH($E229,$C$37:$BL$37,0),FALSE)/VLOOKUP($L229,$C$37:$BL$44,MATCH($E229,$C$37:$BL$37,0),FALSE))*
IF($B$5="Foreign Currency",VLOOKUP($C$38,$C$37:$BL$44,MATCH(BO$48,$C$37:$BL$37,0),FALSE)/VLOOKUP($C$39,$C$37:$BL$44,MATCH(BO$48,$C$37:$BL$37,0),FALSE),1),
0)),
    IF($T229="Lump Sum Principal and Interest",
        IF(BO$48=($E229+$Q229),
$K229*((1+$P229)^$Q229)*(VLOOKUP($C$39,$C$37:$BL$44,MATCH($E229,$C$37:$BL$37,0),FALSE)/VLOOKUP($L229,$C$37:$BL$44,MATCH($E229,$C$37:$BL$37,0),FALSE))*
IF($B$5="Foreign Currency",VLOOKUP($C$38,$C$37:$BL$44,MATCH(BO$48,$C$37:$BL$37,0),FALSE)/VLOOKUP($C$39,$C$37:$BL$44,MATCH(BO$48,$C$37:$BL$37,0),FALSE),1),
0),
    IF($T229="EPP with Grace Years for Principal",
        IF(AND(BO$48&gt;=$E229, BO$48&lt;($E229+$S229)),
$K229*$P229*(VLOOKUP($C$39,$C$37:$BL$44,MATCH($E229,$C$37:$BL$37,0),FALSE)/VLOOKUP($L229,$C$37:$BL$44,MATCH($E229,$C$37:$BL$37,0),FALSE))*
IF($B$5="Foreign Currency",VLOOKUP($C$38,$C$37:$BL$44,MATCH(BO$48,$C$37:$BL$37,0),FALSE)/VLOOKUP($C$39,$C$37:$BL$44,MATCH(BO$48,$C$37:$BL$37,0),FALSE),1),
        IF(AND(BO$48&gt;=($E229+$S229), BO$48&lt;=($E229+$Q229)),
-PMT($P229,($Q229-$S229+1),($K229*(VLOOKUP($C$39,$C$37:$BL$44,MATCH($E229,$C$37:$BL$37,0),FALSE)/VLOOKUP($L229,$C$37:$BL$44,MATCH($E229,$C$37:$BL$37,0),FALSE))*
IF($B$5="Foreign Currency",VLOOKUP($C$38,$C$37:$BL$44,MATCH(BO$48,$C$37:$BL$37,0),FALSE)/VLOOKUP($C$39,$C$37:$BL$44,MATCH(BO$48,$C$37:$BL$37,0),FALSE),1)),0),
0)),
    IF($T229="Equal Principal Payments (EPP)",
        IF(AND(BO$48&gt;=$E229, BO$48&lt;=($E229+$Q229)),
-PMT($P229,($Q229-$S229+1),($K229*(VLOOKUP($C$39,$C$37:$BL$44,MATCH($E229,$C$37:$BL$37,0),FALSE)/VLOOKUP($L229,$C$37:$BL$44,MATCH($E229,$C$37:$BL$37,0),FALSE))*
IF($B$5="Foreign Currency",VLOOKUP($C$38,$C$37:$BL$44,MATCH(BO$48,$C$37:$BL$37,0),FALSE)/VLOOKUP($C$39,$C$37:$BL$44,MATCH(BO$48,$C$37:$BL$37,0),FALSE),1)),0), 0),
    IF($T229="EPP with Grace Years for Principal and on Interest",
        IF(AND(BO$48&gt;=($E229+$S229), BO$48&lt;=($E229+$Q229)),
-PMT($P229,($Q229-$S229+1),($K229*(VLOOKUP($C$39,$C$37:$BL$44,MATCH($E229,$C$37:$BL$37,0),FALSE)/VLOOKUP($L229,$C$37:$BL$44,MATCH($E229,$C$37:$BL$37,0),FALSE))*
IF($B$5="Foreign Currency",VLOOKUP($C$38,$C$37:$BL$44,MATCH(BO$48,$C$37:$BL$37,0),FALSE)/VLOOKUP($C$39,$C$37:$BL$44,MATCH(BO$48,$C$37:$BL$37,0),FALSE),1))*((1+$P229)^$S229),0), 0),
    0)))))),"")</f>
        <v>0</v>
      </c>
      <c r="BP229" s="171">
        <f t="shared" si="329"/>
        <v>0</v>
      </c>
      <c r="BQ229" s="171">
        <f t="shared" si="329"/>
        <v>0</v>
      </c>
      <c r="BR229" s="171">
        <f t="shared" si="329"/>
        <v>0</v>
      </c>
      <c r="BS229" s="171">
        <f t="shared" si="329"/>
        <v>0</v>
      </c>
      <c r="BT229" s="171">
        <f t="shared" si="329"/>
        <v>0</v>
      </c>
      <c r="BU229" s="171">
        <f t="shared" si="329"/>
        <v>0</v>
      </c>
      <c r="BV229" s="171">
        <f t="shared" si="329"/>
        <v>0</v>
      </c>
      <c r="BW229" s="171">
        <f t="shared" si="329"/>
        <v>0</v>
      </c>
      <c r="BX229" s="171">
        <f t="shared" si="329"/>
        <v>0</v>
      </c>
      <c r="BY229" s="171">
        <f t="shared" ref="BY229:CI238" si="330">IFERROR(
    IF($T229="Equity",
        IF(AND(BY$48&gt;=$E229, BY$48&lt;=($E229+$Q229)),
$K229*$P229*(VLOOKUP($C$39,$C$37:$BL$44,MATCH($E229,$C$37:$BL$37,0),FALSE)/VLOOKUP($L229,$C$37:$BL$44,MATCH($E229,$C$37:$BL$37,0),FALSE))*
IF($B$5="Foreign Currency",VLOOKUP($C$38,$C$37:$BL$44,MATCH(BY$48,$C$37:$BL$37,0),FALSE)/VLOOKUP($C$39,$C$37:$BL$44,MATCH(BY$48,$C$37:$BL$37,0),FALSE),1),
0),
    IF($T229="Lump Sum Principal",
        IF(AND(BY$48&gt;=$E229, BY$48&lt;($E229+$Q229)),
$K229*$P229*(VLOOKUP($C$39,$C$37:$BL$44,MATCH($E229,$C$37:$BL$37,0),FALSE)/VLOOKUP($L229,$C$37:$BL$44,MATCH($E229,$C$37:$BL$37,0),FALSE))*
IF($B$5="Foreign Currency",VLOOKUP($C$38,$C$37:$BL$44,MATCH(BY$48,$C$37:$BL$37,0),FALSE)/VLOOKUP($C$39,$C$37:$BL$44,MATCH(BY$48,$C$37:$BL$37,0),FALSE),1),
        IF(BY$48=($E229+$Q229),
$K229*(1+$P229)*(VLOOKUP($C$39,$C$37:$BL$44,MATCH($E229,$C$37:$BL$37,0),FALSE)/VLOOKUP($L229,$C$37:$BL$44,MATCH($E229,$C$37:$BL$37,0),FALSE))*
IF($B$5="Foreign Currency",VLOOKUP($C$38,$C$37:$BL$44,MATCH(BY$48,$C$37:$BL$37,0),FALSE)/VLOOKUP($C$39,$C$37:$BL$44,MATCH(BY$48,$C$37:$BL$37,0),FALSE),1),
0)),
    IF($T229="Lump Sum Principal and Interest",
        IF(BY$48=($E229+$Q229),
$K229*((1+$P229)^$Q229)*(VLOOKUP($C$39,$C$37:$BL$44,MATCH($E229,$C$37:$BL$37,0),FALSE)/VLOOKUP($L229,$C$37:$BL$44,MATCH($E229,$C$37:$BL$37,0),FALSE))*
IF($B$5="Foreign Currency",VLOOKUP($C$38,$C$37:$BL$44,MATCH(BY$48,$C$37:$BL$37,0),FALSE)/VLOOKUP($C$39,$C$37:$BL$44,MATCH(BY$48,$C$37:$BL$37,0),FALSE),1),
0),
    IF($T229="EPP with Grace Years for Principal",
        IF(AND(BY$48&gt;=$E229, BY$48&lt;($E229+$S229)),
$K229*$P229*(VLOOKUP($C$39,$C$37:$BL$44,MATCH($E229,$C$37:$BL$37,0),FALSE)/VLOOKUP($L229,$C$37:$BL$44,MATCH($E229,$C$37:$BL$37,0),FALSE))*
IF($B$5="Foreign Currency",VLOOKUP($C$38,$C$37:$BL$44,MATCH(BY$48,$C$37:$BL$37,0),FALSE)/VLOOKUP($C$39,$C$37:$BL$44,MATCH(BY$48,$C$37:$BL$37,0),FALSE),1),
        IF(AND(BY$48&gt;=($E229+$S229), BY$48&lt;=($E229+$Q229)),
-PMT($P229,($Q229-$S229+1),($K229*(VLOOKUP($C$39,$C$37:$BL$44,MATCH($E229,$C$37:$BL$37,0),FALSE)/VLOOKUP($L229,$C$37:$BL$44,MATCH($E229,$C$37:$BL$37,0),FALSE))*
IF($B$5="Foreign Currency",VLOOKUP($C$38,$C$37:$BL$44,MATCH(BY$48,$C$37:$BL$37,0),FALSE)/VLOOKUP($C$39,$C$37:$BL$44,MATCH(BY$48,$C$37:$BL$37,0),FALSE),1)),0),
0)),
    IF($T229="Equal Principal Payments (EPP)",
        IF(AND(BY$48&gt;=$E229, BY$48&lt;=($E229+$Q229)),
-PMT($P229,($Q229-$S229+1),($K229*(VLOOKUP($C$39,$C$37:$BL$44,MATCH($E229,$C$37:$BL$37,0),FALSE)/VLOOKUP($L229,$C$37:$BL$44,MATCH($E229,$C$37:$BL$37,0),FALSE))*
IF($B$5="Foreign Currency",VLOOKUP($C$38,$C$37:$BL$44,MATCH(BY$48,$C$37:$BL$37,0),FALSE)/VLOOKUP($C$39,$C$37:$BL$44,MATCH(BY$48,$C$37:$BL$37,0),FALSE),1)),0), 0),
    IF($T229="EPP with Grace Years for Principal and on Interest",
        IF(AND(BY$48&gt;=($E229+$S229), BY$48&lt;=($E229+$Q229)),
-PMT($P229,($Q229-$S229+1),($K229*(VLOOKUP($C$39,$C$37:$BL$44,MATCH($E229,$C$37:$BL$37,0),FALSE)/VLOOKUP($L229,$C$37:$BL$44,MATCH($E229,$C$37:$BL$37,0),FALSE))*
IF($B$5="Foreign Currency",VLOOKUP($C$38,$C$37:$BL$44,MATCH(BY$48,$C$37:$BL$37,0),FALSE)/VLOOKUP($C$39,$C$37:$BL$44,MATCH(BY$48,$C$37:$BL$37,0),FALSE),1))*((1+$P229)^$S229),0), 0),
    0)))))),"")</f>
        <v>0</v>
      </c>
      <c r="BZ229" s="171">
        <f t="shared" si="330"/>
        <v>0</v>
      </c>
      <c r="CA229" s="171">
        <f t="shared" si="330"/>
        <v>0</v>
      </c>
      <c r="CB229" s="171">
        <f t="shared" si="330"/>
        <v>0</v>
      </c>
      <c r="CC229" s="171">
        <f t="shared" si="330"/>
        <v>0</v>
      </c>
      <c r="CD229" s="171">
        <f t="shared" si="330"/>
        <v>0</v>
      </c>
      <c r="CE229" s="171">
        <f t="shared" si="330"/>
        <v>0</v>
      </c>
      <c r="CF229" s="171">
        <f t="shared" si="330"/>
        <v>0</v>
      </c>
      <c r="CG229" s="171">
        <f t="shared" si="330"/>
        <v>0</v>
      </c>
      <c r="CH229" s="171">
        <f t="shared" si="330"/>
        <v>0</v>
      </c>
      <c r="CI229" s="171">
        <f t="shared" si="330"/>
        <v>0</v>
      </c>
      <c r="CJ229" s="243"/>
      <c r="CK229" s="171">
        <f t="shared" si="233"/>
        <v>0</v>
      </c>
      <c r="CL229" s="171">
        <f t="shared" si="234"/>
        <v>0</v>
      </c>
      <c r="CM229" s="171">
        <f t="shared" si="235"/>
        <v>0</v>
      </c>
      <c r="CN229" s="171">
        <f t="shared" si="236"/>
        <v>7.8178604583768978</v>
      </c>
      <c r="CO229" s="171">
        <f t="shared" si="237"/>
        <v>7.8178604583768978</v>
      </c>
      <c r="CP229" s="171">
        <f t="shared" si="238"/>
        <v>7.8178604583768978</v>
      </c>
      <c r="CQ229" s="171">
        <f t="shared" si="239"/>
        <v>7.8178604583768978</v>
      </c>
      <c r="CR229" s="171">
        <f t="shared" si="240"/>
        <v>7.8178604583768978</v>
      </c>
      <c r="CS229" s="171">
        <f t="shared" si="241"/>
        <v>7.8178604583768978</v>
      </c>
      <c r="CT229" s="171">
        <f t="shared" si="242"/>
        <v>7.8178604583768978</v>
      </c>
      <c r="CU229" s="171">
        <f t="shared" si="243"/>
        <v>7.8178604583768978</v>
      </c>
      <c r="CV229" s="171">
        <f t="shared" si="244"/>
        <v>7.8178604583768978</v>
      </c>
      <c r="CW229" s="171">
        <f t="shared" si="245"/>
        <v>7.8178604583768978</v>
      </c>
      <c r="CX229" s="171">
        <f t="shared" si="246"/>
        <v>7.8178604583768978</v>
      </c>
      <c r="CY229" s="171">
        <f t="shared" ca="1" si="247"/>
        <v>7.4220200569667112</v>
      </c>
      <c r="CZ229" s="171">
        <f t="shared" ca="1" si="248"/>
        <v>7.0462221754023062</v>
      </c>
      <c r="DA229" s="171">
        <f t="shared" ca="1" si="249"/>
        <v>6.6894520041787988</v>
      </c>
      <c r="DB229" s="171">
        <f t="shared" ca="1" si="250"/>
        <v>6.3507461164686889</v>
      </c>
      <c r="DC229" s="171">
        <f t="shared" ca="1" si="251"/>
        <v>6.0291898664714774</v>
      </c>
      <c r="DD229" s="171">
        <f t="shared" ca="1" si="252"/>
        <v>5.7239149194922119</v>
      </c>
      <c r="DE229" s="171">
        <f t="shared" ca="1" si="253"/>
        <v>5.4340969070791383</v>
      </c>
      <c r="DF229" s="171">
        <f t="shared" ca="1" si="254"/>
        <v>5.1589532008883721</v>
      </c>
      <c r="DG229" s="171">
        <f t="shared" ca="1" si="255"/>
        <v>4.8977407992641053</v>
      </c>
      <c r="DH229" s="171">
        <f t="shared" ca="1" si="256"/>
        <v>4.6497543208272338</v>
      </c>
      <c r="DI229" s="171">
        <f t="shared" ca="1" si="257"/>
        <v>0</v>
      </c>
      <c r="DJ229" s="171">
        <f t="shared" ca="1" si="258"/>
        <v>0</v>
      </c>
      <c r="DK229" s="171">
        <f t="shared" ca="1" si="259"/>
        <v>0</v>
      </c>
      <c r="DL229" s="171">
        <f t="shared" ca="1" si="260"/>
        <v>0</v>
      </c>
      <c r="DM229" s="171">
        <f t="shared" ca="1" si="261"/>
        <v>0</v>
      </c>
      <c r="DN229" s="171">
        <f t="shared" ca="1" si="262"/>
        <v>0</v>
      </c>
      <c r="DO229" s="171">
        <f t="shared" ca="1" si="263"/>
        <v>0</v>
      </c>
      <c r="DP229" s="171">
        <f t="shared" ca="1" si="264"/>
        <v>0</v>
      </c>
      <c r="DQ229" s="171">
        <f t="shared" ca="1" si="265"/>
        <v>0</v>
      </c>
      <c r="DR229" s="171">
        <f t="shared" ca="1" si="266"/>
        <v>0</v>
      </c>
      <c r="DS229" s="171">
        <f t="shared" ca="1" si="267"/>
        <v>0</v>
      </c>
      <c r="DT229" s="171">
        <f t="shared" ca="1" si="268"/>
        <v>0</v>
      </c>
      <c r="DU229" s="171">
        <f t="shared" ca="1" si="269"/>
        <v>0</v>
      </c>
      <c r="DV229" s="171">
        <f t="shared" ca="1" si="270"/>
        <v>0</v>
      </c>
      <c r="DW229" s="171">
        <f t="shared" ca="1" si="271"/>
        <v>0</v>
      </c>
      <c r="DX229" s="171">
        <f t="shared" ca="1" si="272"/>
        <v>0</v>
      </c>
      <c r="DY229" s="171">
        <f t="shared" ca="1" si="273"/>
        <v>0</v>
      </c>
      <c r="DZ229" s="171">
        <f t="shared" ca="1" si="274"/>
        <v>0</v>
      </c>
      <c r="EA229" s="171">
        <f t="shared" ca="1" si="275"/>
        <v>0</v>
      </c>
      <c r="EB229" s="171">
        <f t="shared" ca="1" si="276"/>
        <v>0</v>
      </c>
      <c r="EC229" s="171">
        <f t="shared" ca="1" si="277"/>
        <v>0</v>
      </c>
      <c r="ED229" s="171">
        <f t="shared" ca="1" si="278"/>
        <v>0</v>
      </c>
      <c r="EE229" s="171">
        <f t="shared" ca="1" si="279"/>
        <v>0</v>
      </c>
      <c r="EF229" s="171">
        <f t="shared" ca="1" si="280"/>
        <v>0</v>
      </c>
      <c r="EG229" s="171">
        <f t="shared" ca="1" si="281"/>
        <v>0</v>
      </c>
      <c r="EH229" s="171">
        <f t="shared" ca="1" si="282"/>
        <v>0</v>
      </c>
      <c r="EI229" s="171">
        <f t="shared" ca="1" si="283"/>
        <v>0</v>
      </c>
      <c r="EJ229" s="171">
        <f t="shared" ca="1" si="284"/>
        <v>0</v>
      </c>
      <c r="EK229" s="171">
        <f t="shared" ca="1" si="285"/>
        <v>0</v>
      </c>
      <c r="EL229" s="171">
        <f t="shared" ca="1" si="286"/>
        <v>0</v>
      </c>
      <c r="EM229" s="171">
        <f t="shared" ca="1" si="287"/>
        <v>0</v>
      </c>
      <c r="EN229" s="171">
        <f t="shared" ca="1" si="288"/>
        <v>0</v>
      </c>
      <c r="EO229" s="171">
        <f t="shared" ca="1" si="289"/>
        <v>0</v>
      </c>
      <c r="EP229" s="171">
        <f t="shared" ca="1" si="290"/>
        <v>0</v>
      </c>
      <c r="EQ229" s="171">
        <f t="shared" ca="1" si="291"/>
        <v>0</v>
      </c>
      <c r="ER229" s="171">
        <f t="shared" ca="1" si="292"/>
        <v>0</v>
      </c>
      <c r="ES229" s="171">
        <f t="shared" ca="1" si="293"/>
        <v>0</v>
      </c>
    </row>
    <row r="230" spans="1:149">
      <c r="A230" s="139" t="s">
        <v>571</v>
      </c>
      <c r="B230" s="160" t="s">
        <v>574</v>
      </c>
      <c r="C230" s="160" t="s">
        <v>435</v>
      </c>
      <c r="D230" s="160" t="s">
        <v>417</v>
      </c>
      <c r="E230" s="160">
        <v>2013</v>
      </c>
      <c r="F230" s="194" t="s">
        <v>424</v>
      </c>
      <c r="G230" s="160" t="s">
        <v>289</v>
      </c>
      <c r="H230" s="194" t="s">
        <v>406</v>
      </c>
      <c r="I230" s="194" t="s">
        <v>365</v>
      </c>
      <c r="J230" s="194" t="s">
        <v>401</v>
      </c>
      <c r="K230" s="187">
        <v>2.9</v>
      </c>
      <c r="L230" s="163" t="s">
        <v>110</v>
      </c>
      <c r="M230" s="164">
        <f t="shared" si="223"/>
        <v>2.9</v>
      </c>
      <c r="N230" s="164">
        <f t="shared" si="224"/>
        <v>2.9</v>
      </c>
      <c r="O230" s="165">
        <f t="shared" si="225"/>
        <v>1</v>
      </c>
      <c r="P230" s="190">
        <v>0.14699999999999999</v>
      </c>
      <c r="Q230" s="177">
        <v>25</v>
      </c>
      <c r="R230" s="168">
        <f t="shared" si="312"/>
        <v>14</v>
      </c>
      <c r="S230" s="178">
        <v>0</v>
      </c>
      <c r="T230" s="160" t="s">
        <v>289</v>
      </c>
      <c r="U230" s="171">
        <f t="shared" si="227"/>
        <v>0.44335199999999991</v>
      </c>
      <c r="V230" s="171">
        <f t="shared" ca="1" si="228"/>
        <v>0.36064470318846303</v>
      </c>
      <c r="W230" s="171">
        <f t="shared" ca="1" si="229"/>
        <v>9.016117579711576</v>
      </c>
      <c r="X230" s="172" t="str">
        <f t="shared" si="230"/>
        <v>Equity</v>
      </c>
      <c r="Y230" s="172" t="str">
        <f t="shared" si="231"/>
        <v>Equity</v>
      </c>
      <c r="Z230" s="173">
        <f t="shared" si="232"/>
        <v>11.083799999999998</v>
      </c>
      <c r="AA230" s="171">
        <f t="shared" si="325"/>
        <v>0</v>
      </c>
      <c r="AB230" s="171">
        <f t="shared" si="325"/>
        <v>0</v>
      </c>
      <c r="AC230" s="171">
        <f t="shared" si="325"/>
        <v>0</v>
      </c>
      <c r="AD230" s="171">
        <f t="shared" si="325"/>
        <v>0.42629999999999996</v>
      </c>
      <c r="AE230" s="171">
        <f t="shared" si="325"/>
        <v>0.42629999999999996</v>
      </c>
      <c r="AF230" s="171">
        <f t="shared" si="325"/>
        <v>0.42629999999999996</v>
      </c>
      <c r="AG230" s="171">
        <f t="shared" si="325"/>
        <v>0.42629999999999996</v>
      </c>
      <c r="AH230" s="171">
        <f t="shared" si="325"/>
        <v>0.42629999999999996</v>
      </c>
      <c r="AI230" s="171">
        <f t="shared" si="325"/>
        <v>0.42629999999999996</v>
      </c>
      <c r="AJ230" s="171">
        <f t="shared" si="325"/>
        <v>0.42629999999999996</v>
      </c>
      <c r="AK230" s="171">
        <f t="shared" si="326"/>
        <v>0.42629999999999996</v>
      </c>
      <c r="AL230" s="171">
        <f t="shared" si="326"/>
        <v>0.42629999999999996</v>
      </c>
      <c r="AM230" s="171">
        <f t="shared" si="326"/>
        <v>0.42629999999999996</v>
      </c>
      <c r="AN230" s="171">
        <f t="shared" si="326"/>
        <v>0.42629999999999996</v>
      </c>
      <c r="AO230" s="171">
        <f t="shared" si="326"/>
        <v>0.42629999999999996</v>
      </c>
      <c r="AP230" s="171">
        <f t="shared" si="326"/>
        <v>0.42629999999999996</v>
      </c>
      <c r="AQ230" s="171">
        <f t="shared" si="326"/>
        <v>0.42629999999999996</v>
      </c>
      <c r="AR230" s="171">
        <f t="shared" si="326"/>
        <v>0.42629999999999996</v>
      </c>
      <c r="AS230" s="171">
        <f t="shared" si="326"/>
        <v>0.42629999999999996</v>
      </c>
      <c r="AT230" s="171">
        <f t="shared" si="326"/>
        <v>0.42629999999999996</v>
      </c>
      <c r="AU230" s="171">
        <f t="shared" si="327"/>
        <v>0.42629999999999996</v>
      </c>
      <c r="AV230" s="171">
        <f t="shared" si="327"/>
        <v>0.42629999999999996</v>
      </c>
      <c r="AW230" s="171">
        <f t="shared" si="327"/>
        <v>0.42629999999999996</v>
      </c>
      <c r="AX230" s="171">
        <f t="shared" si="327"/>
        <v>0.42629999999999996</v>
      </c>
      <c r="AY230" s="171">
        <f t="shared" si="327"/>
        <v>0.42629999999999996</v>
      </c>
      <c r="AZ230" s="171">
        <f t="shared" si="327"/>
        <v>0.42629999999999996</v>
      </c>
      <c r="BA230" s="171">
        <f t="shared" si="327"/>
        <v>0.42629999999999996</v>
      </c>
      <c r="BB230" s="171">
        <f t="shared" si="327"/>
        <v>0.42629999999999996</v>
      </c>
      <c r="BC230" s="171">
        <f t="shared" si="327"/>
        <v>0.42629999999999996</v>
      </c>
      <c r="BD230" s="171">
        <f t="shared" si="327"/>
        <v>0</v>
      </c>
      <c r="BE230" s="171">
        <f t="shared" si="328"/>
        <v>0</v>
      </c>
      <c r="BF230" s="171">
        <f t="shared" si="328"/>
        <v>0</v>
      </c>
      <c r="BG230" s="171">
        <f t="shared" si="328"/>
        <v>0</v>
      </c>
      <c r="BH230" s="171">
        <f t="shared" si="328"/>
        <v>0</v>
      </c>
      <c r="BI230" s="171">
        <f t="shared" si="328"/>
        <v>0</v>
      </c>
      <c r="BJ230" s="171">
        <f t="shared" si="328"/>
        <v>0</v>
      </c>
      <c r="BK230" s="171">
        <f t="shared" si="328"/>
        <v>0</v>
      </c>
      <c r="BL230" s="171">
        <f t="shared" si="328"/>
        <v>0</v>
      </c>
      <c r="BM230" s="171">
        <f t="shared" si="328"/>
        <v>0</v>
      </c>
      <c r="BN230" s="171">
        <f t="shared" si="328"/>
        <v>0</v>
      </c>
      <c r="BO230" s="171">
        <f t="shared" si="329"/>
        <v>0</v>
      </c>
      <c r="BP230" s="171">
        <f t="shared" si="329"/>
        <v>0</v>
      </c>
      <c r="BQ230" s="171">
        <f t="shared" si="329"/>
        <v>0</v>
      </c>
      <c r="BR230" s="171">
        <f t="shared" si="329"/>
        <v>0</v>
      </c>
      <c r="BS230" s="171">
        <f t="shared" si="329"/>
        <v>0</v>
      </c>
      <c r="BT230" s="171">
        <f t="shared" si="329"/>
        <v>0</v>
      </c>
      <c r="BU230" s="171">
        <f t="shared" si="329"/>
        <v>0</v>
      </c>
      <c r="BV230" s="171">
        <f t="shared" si="329"/>
        <v>0</v>
      </c>
      <c r="BW230" s="171">
        <f t="shared" si="329"/>
        <v>0</v>
      </c>
      <c r="BX230" s="171">
        <f t="shared" si="329"/>
        <v>0</v>
      </c>
      <c r="BY230" s="171">
        <f t="shared" si="330"/>
        <v>0</v>
      </c>
      <c r="BZ230" s="171">
        <f t="shared" si="330"/>
        <v>0</v>
      </c>
      <c r="CA230" s="171">
        <f t="shared" si="330"/>
        <v>0</v>
      </c>
      <c r="CB230" s="171">
        <f t="shared" si="330"/>
        <v>0</v>
      </c>
      <c r="CC230" s="171">
        <f t="shared" si="330"/>
        <v>0</v>
      </c>
      <c r="CD230" s="171">
        <f t="shared" si="330"/>
        <v>0</v>
      </c>
      <c r="CE230" s="171">
        <f t="shared" si="330"/>
        <v>0</v>
      </c>
      <c r="CF230" s="171">
        <f t="shared" si="330"/>
        <v>0</v>
      </c>
      <c r="CG230" s="171">
        <f t="shared" si="330"/>
        <v>0</v>
      </c>
      <c r="CH230" s="171">
        <f t="shared" si="330"/>
        <v>0</v>
      </c>
      <c r="CI230" s="171">
        <f t="shared" si="330"/>
        <v>0</v>
      </c>
      <c r="CJ230" s="243"/>
      <c r="CK230" s="171">
        <f t="shared" si="233"/>
        <v>0</v>
      </c>
      <c r="CL230" s="171">
        <f t="shared" si="234"/>
        <v>0</v>
      </c>
      <c r="CM230" s="171">
        <f t="shared" si="235"/>
        <v>0</v>
      </c>
      <c r="CN230" s="171">
        <f t="shared" si="236"/>
        <v>0.42629999999999996</v>
      </c>
      <c r="CO230" s="171">
        <f t="shared" si="237"/>
        <v>0.42629999999999996</v>
      </c>
      <c r="CP230" s="171">
        <f t="shared" si="238"/>
        <v>0.42629999999999996</v>
      </c>
      <c r="CQ230" s="171">
        <f t="shared" si="239"/>
        <v>0.42629999999999996</v>
      </c>
      <c r="CR230" s="171">
        <f t="shared" si="240"/>
        <v>0.42629999999999996</v>
      </c>
      <c r="CS230" s="171">
        <f t="shared" si="241"/>
        <v>0.42629999999999996</v>
      </c>
      <c r="CT230" s="171">
        <f t="shared" si="242"/>
        <v>0.42629999999999996</v>
      </c>
      <c r="CU230" s="171">
        <f t="shared" si="243"/>
        <v>0.42629999999999996</v>
      </c>
      <c r="CV230" s="171">
        <f t="shared" si="244"/>
        <v>0.42629999999999996</v>
      </c>
      <c r="CW230" s="171">
        <f t="shared" si="245"/>
        <v>0.42629999999999996</v>
      </c>
      <c r="CX230" s="171">
        <f t="shared" si="246"/>
        <v>0.42629999999999996</v>
      </c>
      <c r="CY230" s="171">
        <f t="shared" ca="1" si="247"/>
        <v>0.40471522446971414</v>
      </c>
      <c r="CZ230" s="171">
        <f t="shared" ca="1" si="248"/>
        <v>0.38422334721456985</v>
      </c>
      <c r="DA230" s="171">
        <f t="shared" ca="1" si="249"/>
        <v>0.36476903170173486</v>
      </c>
      <c r="DB230" s="171">
        <f t="shared" ca="1" si="250"/>
        <v>0.34629974324364976</v>
      </c>
      <c r="DC230" s="171">
        <f t="shared" ca="1" si="251"/>
        <v>0.32876560713267206</v>
      </c>
      <c r="DD230" s="171">
        <f t="shared" ca="1" si="252"/>
        <v>0.31211927395876432</v>
      </c>
      <c r="DE230" s="171">
        <f t="shared" ca="1" si="253"/>
        <v>0.2963157917465295</v>
      </c>
      <c r="DF230" s="171">
        <f t="shared" ca="1" si="254"/>
        <v>0.28131248456630958</v>
      </c>
      <c r="DG230" s="171">
        <f t="shared" ca="1" si="255"/>
        <v>0.26706883729154818</v>
      </c>
      <c r="DH230" s="171">
        <f t="shared" ca="1" si="256"/>
        <v>0.25354638619121389</v>
      </c>
      <c r="DI230" s="171">
        <f t="shared" ca="1" si="257"/>
        <v>0.24070861506183902</v>
      </c>
      <c r="DJ230" s="171">
        <f t="shared" ca="1" si="258"/>
        <v>0.22852085661868685</v>
      </c>
      <c r="DK230" s="171">
        <f t="shared" ca="1" si="259"/>
        <v>0.21695019887976358</v>
      </c>
      <c r="DL230" s="171">
        <f t="shared" ca="1" si="260"/>
        <v>0.20596539628987251</v>
      </c>
      <c r="DM230" s="171">
        <f t="shared" ca="1" si="261"/>
        <v>0.19553678534470886</v>
      </c>
      <c r="DN230" s="171">
        <f t="shared" ca="1" si="262"/>
        <v>0</v>
      </c>
      <c r="DO230" s="171">
        <f t="shared" ca="1" si="263"/>
        <v>0</v>
      </c>
      <c r="DP230" s="171">
        <f t="shared" ca="1" si="264"/>
        <v>0</v>
      </c>
      <c r="DQ230" s="171">
        <f t="shared" ca="1" si="265"/>
        <v>0</v>
      </c>
      <c r="DR230" s="171">
        <f t="shared" ca="1" si="266"/>
        <v>0</v>
      </c>
      <c r="DS230" s="171">
        <f t="shared" ca="1" si="267"/>
        <v>0</v>
      </c>
      <c r="DT230" s="171">
        <f t="shared" ca="1" si="268"/>
        <v>0</v>
      </c>
      <c r="DU230" s="171">
        <f t="shared" ca="1" si="269"/>
        <v>0</v>
      </c>
      <c r="DV230" s="171">
        <f t="shared" ca="1" si="270"/>
        <v>0</v>
      </c>
      <c r="DW230" s="171">
        <f t="shared" ca="1" si="271"/>
        <v>0</v>
      </c>
      <c r="DX230" s="171">
        <f t="shared" ca="1" si="272"/>
        <v>0</v>
      </c>
      <c r="DY230" s="171">
        <f t="shared" ca="1" si="273"/>
        <v>0</v>
      </c>
      <c r="DZ230" s="171">
        <f t="shared" ca="1" si="274"/>
        <v>0</v>
      </c>
      <c r="EA230" s="171">
        <f t="shared" ca="1" si="275"/>
        <v>0</v>
      </c>
      <c r="EB230" s="171">
        <f t="shared" ca="1" si="276"/>
        <v>0</v>
      </c>
      <c r="EC230" s="171">
        <f t="shared" ca="1" si="277"/>
        <v>0</v>
      </c>
      <c r="ED230" s="171">
        <f t="shared" ca="1" si="278"/>
        <v>0</v>
      </c>
      <c r="EE230" s="171">
        <f t="shared" ca="1" si="279"/>
        <v>0</v>
      </c>
      <c r="EF230" s="171">
        <f t="shared" ca="1" si="280"/>
        <v>0</v>
      </c>
      <c r="EG230" s="171">
        <f t="shared" ca="1" si="281"/>
        <v>0</v>
      </c>
      <c r="EH230" s="171">
        <f t="shared" ca="1" si="282"/>
        <v>0</v>
      </c>
      <c r="EI230" s="171">
        <f t="shared" ca="1" si="283"/>
        <v>0</v>
      </c>
      <c r="EJ230" s="171">
        <f t="shared" ca="1" si="284"/>
        <v>0</v>
      </c>
      <c r="EK230" s="171">
        <f t="shared" ca="1" si="285"/>
        <v>0</v>
      </c>
      <c r="EL230" s="171">
        <f t="shared" ca="1" si="286"/>
        <v>0</v>
      </c>
      <c r="EM230" s="171">
        <f t="shared" ca="1" si="287"/>
        <v>0</v>
      </c>
      <c r="EN230" s="171">
        <f t="shared" ca="1" si="288"/>
        <v>0</v>
      </c>
      <c r="EO230" s="171">
        <f t="shared" ca="1" si="289"/>
        <v>0</v>
      </c>
      <c r="EP230" s="171">
        <f t="shared" ca="1" si="290"/>
        <v>0</v>
      </c>
      <c r="EQ230" s="171">
        <f t="shared" ca="1" si="291"/>
        <v>0</v>
      </c>
      <c r="ER230" s="171">
        <f t="shared" ca="1" si="292"/>
        <v>0</v>
      </c>
      <c r="ES230" s="171">
        <f t="shared" ca="1" si="293"/>
        <v>0</v>
      </c>
    </row>
    <row r="231" spans="1:149">
      <c r="C231" s="214"/>
      <c r="L231" s="163"/>
      <c r="M231" s="164" t="str">
        <f t="shared" si="223"/>
        <v/>
      </c>
      <c r="N231" s="164" t="str">
        <f t="shared" si="224"/>
        <v/>
      </c>
      <c r="O231" s="165" t="str">
        <f t="shared" si="225"/>
        <v/>
      </c>
      <c r="R231" s="168" t="str">
        <f t="shared" si="312"/>
        <v/>
      </c>
      <c r="U231" s="171">
        <f t="shared" si="227"/>
        <v>0</v>
      </c>
      <c r="V231" s="171">
        <f t="shared" ca="1" si="228"/>
        <v>0</v>
      </c>
      <c r="W231" s="171">
        <f t="shared" ca="1" si="229"/>
        <v>0</v>
      </c>
      <c r="X231" s="172">
        <f t="shared" si="230"/>
        <v>0</v>
      </c>
      <c r="Y231" s="172" t="str">
        <f t="shared" si="231"/>
        <v/>
      </c>
      <c r="Z231" s="173">
        <f t="shared" si="232"/>
        <v>0</v>
      </c>
      <c r="AA231" s="171">
        <f t="shared" si="325"/>
        <v>0</v>
      </c>
      <c r="AB231" s="171">
        <f t="shared" si="325"/>
        <v>0</v>
      </c>
      <c r="AC231" s="171">
        <f t="shared" si="325"/>
        <v>0</v>
      </c>
      <c r="AD231" s="171">
        <f t="shared" si="325"/>
        <v>0</v>
      </c>
      <c r="AE231" s="171">
        <f t="shared" si="325"/>
        <v>0</v>
      </c>
      <c r="AF231" s="171">
        <f t="shared" si="325"/>
        <v>0</v>
      </c>
      <c r="AG231" s="171">
        <f t="shared" si="325"/>
        <v>0</v>
      </c>
      <c r="AH231" s="171">
        <f t="shared" si="325"/>
        <v>0</v>
      </c>
      <c r="AI231" s="171">
        <f t="shared" si="325"/>
        <v>0</v>
      </c>
      <c r="AJ231" s="171">
        <f t="shared" si="325"/>
        <v>0</v>
      </c>
      <c r="AK231" s="171">
        <f t="shared" si="326"/>
        <v>0</v>
      </c>
      <c r="AL231" s="171">
        <f t="shared" si="326"/>
        <v>0</v>
      </c>
      <c r="AM231" s="171">
        <f t="shared" si="326"/>
        <v>0</v>
      </c>
      <c r="AN231" s="171">
        <f t="shared" si="326"/>
        <v>0</v>
      </c>
      <c r="AO231" s="171">
        <f t="shared" si="326"/>
        <v>0</v>
      </c>
      <c r="AP231" s="171">
        <f t="shared" si="326"/>
        <v>0</v>
      </c>
      <c r="AQ231" s="171">
        <f t="shared" si="326"/>
        <v>0</v>
      </c>
      <c r="AR231" s="171">
        <f t="shared" si="326"/>
        <v>0</v>
      </c>
      <c r="AS231" s="171">
        <f t="shared" si="326"/>
        <v>0</v>
      </c>
      <c r="AT231" s="171">
        <f t="shared" si="326"/>
        <v>0</v>
      </c>
      <c r="AU231" s="171">
        <f t="shared" si="327"/>
        <v>0</v>
      </c>
      <c r="AV231" s="171">
        <f t="shared" si="327"/>
        <v>0</v>
      </c>
      <c r="AW231" s="171">
        <f t="shared" si="327"/>
        <v>0</v>
      </c>
      <c r="AX231" s="171">
        <f t="shared" si="327"/>
        <v>0</v>
      </c>
      <c r="AY231" s="171">
        <f t="shared" si="327"/>
        <v>0</v>
      </c>
      <c r="AZ231" s="171">
        <f t="shared" si="327"/>
        <v>0</v>
      </c>
      <c r="BA231" s="171">
        <f t="shared" si="327"/>
        <v>0</v>
      </c>
      <c r="BB231" s="171">
        <f t="shared" si="327"/>
        <v>0</v>
      </c>
      <c r="BC231" s="171">
        <f t="shared" si="327"/>
        <v>0</v>
      </c>
      <c r="BD231" s="171">
        <f t="shared" si="327"/>
        <v>0</v>
      </c>
      <c r="BE231" s="171">
        <f t="shared" si="328"/>
        <v>0</v>
      </c>
      <c r="BF231" s="171">
        <f t="shared" si="328"/>
        <v>0</v>
      </c>
      <c r="BG231" s="171">
        <f t="shared" si="328"/>
        <v>0</v>
      </c>
      <c r="BH231" s="171">
        <f t="shared" si="328"/>
        <v>0</v>
      </c>
      <c r="BI231" s="171">
        <f t="shared" si="328"/>
        <v>0</v>
      </c>
      <c r="BJ231" s="171">
        <f t="shared" si="328"/>
        <v>0</v>
      </c>
      <c r="BK231" s="171">
        <f t="shared" si="328"/>
        <v>0</v>
      </c>
      <c r="BL231" s="171">
        <f t="shared" si="328"/>
        <v>0</v>
      </c>
      <c r="BM231" s="171">
        <f t="shared" si="328"/>
        <v>0</v>
      </c>
      <c r="BN231" s="171">
        <f t="shared" si="328"/>
        <v>0</v>
      </c>
      <c r="BO231" s="171">
        <f t="shared" si="329"/>
        <v>0</v>
      </c>
      <c r="BP231" s="171">
        <f t="shared" si="329"/>
        <v>0</v>
      </c>
      <c r="BQ231" s="171">
        <f t="shared" si="329"/>
        <v>0</v>
      </c>
      <c r="BR231" s="171">
        <f t="shared" si="329"/>
        <v>0</v>
      </c>
      <c r="BS231" s="171">
        <f t="shared" si="329"/>
        <v>0</v>
      </c>
      <c r="BT231" s="171">
        <f t="shared" si="329"/>
        <v>0</v>
      </c>
      <c r="BU231" s="171">
        <f t="shared" si="329"/>
        <v>0</v>
      </c>
      <c r="BV231" s="171">
        <f t="shared" si="329"/>
        <v>0</v>
      </c>
      <c r="BW231" s="171">
        <f t="shared" si="329"/>
        <v>0</v>
      </c>
      <c r="BX231" s="171">
        <f t="shared" si="329"/>
        <v>0</v>
      </c>
      <c r="BY231" s="171">
        <f t="shared" si="330"/>
        <v>0</v>
      </c>
      <c r="BZ231" s="171">
        <f t="shared" si="330"/>
        <v>0</v>
      </c>
      <c r="CA231" s="171">
        <f t="shared" si="330"/>
        <v>0</v>
      </c>
      <c r="CB231" s="171">
        <f t="shared" si="330"/>
        <v>0</v>
      </c>
      <c r="CC231" s="171">
        <f t="shared" si="330"/>
        <v>0</v>
      </c>
      <c r="CD231" s="171">
        <f t="shared" si="330"/>
        <v>0</v>
      </c>
      <c r="CE231" s="171">
        <f t="shared" si="330"/>
        <v>0</v>
      </c>
      <c r="CF231" s="171">
        <f t="shared" si="330"/>
        <v>0</v>
      </c>
      <c r="CG231" s="171">
        <f t="shared" si="330"/>
        <v>0</v>
      </c>
      <c r="CH231" s="171">
        <f t="shared" si="330"/>
        <v>0</v>
      </c>
      <c r="CI231" s="171">
        <f t="shared" si="330"/>
        <v>0</v>
      </c>
      <c r="CJ231" s="243"/>
      <c r="CK231" s="171">
        <f t="shared" si="233"/>
        <v>0</v>
      </c>
      <c r="CL231" s="171">
        <f t="shared" si="234"/>
        <v>0</v>
      </c>
      <c r="CM231" s="171">
        <f t="shared" si="235"/>
        <v>0</v>
      </c>
      <c r="CN231" s="171">
        <f t="shared" si="236"/>
        <v>0</v>
      </c>
      <c r="CO231" s="171">
        <f t="shared" si="237"/>
        <v>0</v>
      </c>
      <c r="CP231" s="171">
        <f t="shared" si="238"/>
        <v>0</v>
      </c>
      <c r="CQ231" s="171">
        <f t="shared" si="239"/>
        <v>0</v>
      </c>
      <c r="CR231" s="171">
        <f t="shared" si="240"/>
        <v>0</v>
      </c>
      <c r="CS231" s="171">
        <f t="shared" si="241"/>
        <v>0</v>
      </c>
      <c r="CT231" s="171">
        <f t="shared" si="242"/>
        <v>0</v>
      </c>
      <c r="CU231" s="171">
        <f t="shared" si="243"/>
        <v>0</v>
      </c>
      <c r="CV231" s="171">
        <f t="shared" si="244"/>
        <v>0</v>
      </c>
      <c r="CW231" s="171">
        <f t="shared" si="245"/>
        <v>0</v>
      </c>
      <c r="CX231" s="171">
        <f t="shared" si="246"/>
        <v>0</v>
      </c>
      <c r="CY231" s="171">
        <f t="shared" ca="1" si="247"/>
        <v>0</v>
      </c>
      <c r="CZ231" s="171">
        <f t="shared" ca="1" si="248"/>
        <v>0</v>
      </c>
      <c r="DA231" s="171">
        <f t="shared" ca="1" si="249"/>
        <v>0</v>
      </c>
      <c r="DB231" s="171">
        <f t="shared" ca="1" si="250"/>
        <v>0</v>
      </c>
      <c r="DC231" s="171">
        <f t="shared" ca="1" si="251"/>
        <v>0</v>
      </c>
      <c r="DD231" s="171">
        <f t="shared" ca="1" si="252"/>
        <v>0</v>
      </c>
      <c r="DE231" s="171">
        <f t="shared" ca="1" si="253"/>
        <v>0</v>
      </c>
      <c r="DF231" s="171">
        <f t="shared" ca="1" si="254"/>
        <v>0</v>
      </c>
      <c r="DG231" s="171">
        <f t="shared" ca="1" si="255"/>
        <v>0</v>
      </c>
      <c r="DH231" s="171">
        <f t="shared" ca="1" si="256"/>
        <v>0</v>
      </c>
      <c r="DI231" s="171">
        <f t="shared" ca="1" si="257"/>
        <v>0</v>
      </c>
      <c r="DJ231" s="171">
        <f t="shared" ca="1" si="258"/>
        <v>0</v>
      </c>
      <c r="DK231" s="171">
        <f t="shared" ca="1" si="259"/>
        <v>0</v>
      </c>
      <c r="DL231" s="171">
        <f t="shared" ca="1" si="260"/>
        <v>0</v>
      </c>
      <c r="DM231" s="171">
        <f t="shared" ca="1" si="261"/>
        <v>0</v>
      </c>
      <c r="DN231" s="171">
        <f t="shared" ca="1" si="262"/>
        <v>0</v>
      </c>
      <c r="DO231" s="171">
        <f t="shared" ca="1" si="263"/>
        <v>0</v>
      </c>
      <c r="DP231" s="171">
        <f t="shared" ca="1" si="264"/>
        <v>0</v>
      </c>
      <c r="DQ231" s="171">
        <f t="shared" ca="1" si="265"/>
        <v>0</v>
      </c>
      <c r="DR231" s="171">
        <f t="shared" ca="1" si="266"/>
        <v>0</v>
      </c>
      <c r="DS231" s="171">
        <f t="shared" ca="1" si="267"/>
        <v>0</v>
      </c>
      <c r="DT231" s="171">
        <f t="shared" ca="1" si="268"/>
        <v>0</v>
      </c>
      <c r="DU231" s="171">
        <f t="shared" ca="1" si="269"/>
        <v>0</v>
      </c>
      <c r="DV231" s="171">
        <f t="shared" ca="1" si="270"/>
        <v>0</v>
      </c>
      <c r="DW231" s="171">
        <f t="shared" ca="1" si="271"/>
        <v>0</v>
      </c>
      <c r="DX231" s="171">
        <f t="shared" ca="1" si="272"/>
        <v>0</v>
      </c>
      <c r="DY231" s="171">
        <f t="shared" ca="1" si="273"/>
        <v>0</v>
      </c>
      <c r="DZ231" s="171">
        <f t="shared" ca="1" si="274"/>
        <v>0</v>
      </c>
      <c r="EA231" s="171">
        <f t="shared" ca="1" si="275"/>
        <v>0</v>
      </c>
      <c r="EB231" s="171">
        <f t="shared" ca="1" si="276"/>
        <v>0</v>
      </c>
      <c r="EC231" s="171">
        <f t="shared" ca="1" si="277"/>
        <v>0</v>
      </c>
      <c r="ED231" s="171">
        <f t="shared" ca="1" si="278"/>
        <v>0</v>
      </c>
      <c r="EE231" s="171">
        <f t="shared" ca="1" si="279"/>
        <v>0</v>
      </c>
      <c r="EF231" s="171">
        <f t="shared" ca="1" si="280"/>
        <v>0</v>
      </c>
      <c r="EG231" s="171">
        <f t="shared" ca="1" si="281"/>
        <v>0</v>
      </c>
      <c r="EH231" s="171">
        <f t="shared" ca="1" si="282"/>
        <v>0</v>
      </c>
      <c r="EI231" s="171">
        <f t="shared" ca="1" si="283"/>
        <v>0</v>
      </c>
      <c r="EJ231" s="171">
        <f t="shared" ca="1" si="284"/>
        <v>0</v>
      </c>
      <c r="EK231" s="171">
        <f t="shared" ca="1" si="285"/>
        <v>0</v>
      </c>
      <c r="EL231" s="171">
        <f t="shared" ca="1" si="286"/>
        <v>0</v>
      </c>
      <c r="EM231" s="171">
        <f t="shared" ca="1" si="287"/>
        <v>0</v>
      </c>
      <c r="EN231" s="171">
        <f t="shared" ca="1" si="288"/>
        <v>0</v>
      </c>
      <c r="EO231" s="171">
        <f t="shared" ca="1" si="289"/>
        <v>0</v>
      </c>
      <c r="EP231" s="171">
        <f t="shared" ca="1" si="290"/>
        <v>0</v>
      </c>
      <c r="EQ231" s="171">
        <f t="shared" ca="1" si="291"/>
        <v>0</v>
      </c>
      <c r="ER231" s="171">
        <f t="shared" ca="1" si="292"/>
        <v>0</v>
      </c>
      <c r="ES231" s="171">
        <f t="shared" ca="1" si="293"/>
        <v>0</v>
      </c>
    </row>
    <row r="232" spans="1:149">
      <c r="C232" s="214"/>
      <c r="L232" s="163"/>
      <c r="M232" s="164" t="str">
        <f t="shared" si="223"/>
        <v/>
      </c>
      <c r="N232" s="164" t="str">
        <f t="shared" si="224"/>
        <v/>
      </c>
      <c r="O232" s="165" t="str">
        <f t="shared" si="225"/>
        <v/>
      </c>
      <c r="R232" s="168"/>
      <c r="U232" s="171">
        <f t="shared" si="227"/>
        <v>0</v>
      </c>
      <c r="V232" s="171">
        <f t="shared" ca="1" si="228"/>
        <v>0</v>
      </c>
      <c r="W232" s="171">
        <f t="shared" ca="1" si="229"/>
        <v>0</v>
      </c>
      <c r="X232" s="172">
        <f t="shared" si="230"/>
        <v>0</v>
      </c>
      <c r="Y232" s="172" t="str">
        <f t="shared" si="231"/>
        <v/>
      </c>
      <c r="Z232" s="173">
        <f t="shared" si="232"/>
        <v>0</v>
      </c>
      <c r="AA232" s="171">
        <f t="shared" si="325"/>
        <v>0</v>
      </c>
      <c r="AB232" s="171">
        <f t="shared" si="325"/>
        <v>0</v>
      </c>
      <c r="AC232" s="171">
        <f t="shared" si="325"/>
        <v>0</v>
      </c>
      <c r="AD232" s="171">
        <f t="shared" si="325"/>
        <v>0</v>
      </c>
      <c r="AE232" s="171">
        <f t="shared" si="325"/>
        <v>0</v>
      </c>
      <c r="AF232" s="171">
        <f t="shared" si="325"/>
        <v>0</v>
      </c>
      <c r="AG232" s="171">
        <f t="shared" si="325"/>
        <v>0</v>
      </c>
      <c r="AH232" s="171">
        <f t="shared" si="325"/>
        <v>0</v>
      </c>
      <c r="AI232" s="171">
        <f t="shared" si="325"/>
        <v>0</v>
      </c>
      <c r="AJ232" s="171">
        <f t="shared" si="325"/>
        <v>0</v>
      </c>
      <c r="AK232" s="171">
        <f t="shared" si="326"/>
        <v>0</v>
      </c>
      <c r="AL232" s="171">
        <f t="shared" si="326"/>
        <v>0</v>
      </c>
      <c r="AM232" s="171">
        <f t="shared" si="326"/>
        <v>0</v>
      </c>
      <c r="AN232" s="171">
        <f t="shared" si="326"/>
        <v>0</v>
      </c>
      <c r="AO232" s="171">
        <f t="shared" si="326"/>
        <v>0</v>
      </c>
      <c r="AP232" s="171">
        <f t="shared" si="326"/>
        <v>0</v>
      </c>
      <c r="AQ232" s="171">
        <f t="shared" si="326"/>
        <v>0</v>
      </c>
      <c r="AR232" s="171">
        <f t="shared" si="326"/>
        <v>0</v>
      </c>
      <c r="AS232" s="171">
        <f t="shared" si="326"/>
        <v>0</v>
      </c>
      <c r="AT232" s="171">
        <f t="shared" si="326"/>
        <v>0</v>
      </c>
      <c r="AU232" s="171">
        <f t="shared" si="327"/>
        <v>0</v>
      </c>
      <c r="AV232" s="171">
        <f t="shared" si="327"/>
        <v>0</v>
      </c>
      <c r="AW232" s="171">
        <f t="shared" si="327"/>
        <v>0</v>
      </c>
      <c r="AX232" s="171">
        <f t="shared" si="327"/>
        <v>0</v>
      </c>
      <c r="AY232" s="171">
        <f t="shared" si="327"/>
        <v>0</v>
      </c>
      <c r="AZ232" s="171">
        <f t="shared" si="327"/>
        <v>0</v>
      </c>
      <c r="BA232" s="171">
        <f t="shared" si="327"/>
        <v>0</v>
      </c>
      <c r="BB232" s="171">
        <f t="shared" si="327"/>
        <v>0</v>
      </c>
      <c r="BC232" s="171">
        <f t="shared" si="327"/>
        <v>0</v>
      </c>
      <c r="BD232" s="171">
        <f t="shared" si="327"/>
        <v>0</v>
      </c>
      <c r="BE232" s="171">
        <f t="shared" si="328"/>
        <v>0</v>
      </c>
      <c r="BF232" s="171">
        <f t="shared" si="328"/>
        <v>0</v>
      </c>
      <c r="BG232" s="171">
        <f t="shared" si="328"/>
        <v>0</v>
      </c>
      <c r="BH232" s="171">
        <f t="shared" si="328"/>
        <v>0</v>
      </c>
      <c r="BI232" s="171">
        <f t="shared" si="328"/>
        <v>0</v>
      </c>
      <c r="BJ232" s="171">
        <f t="shared" si="328"/>
        <v>0</v>
      </c>
      <c r="BK232" s="171">
        <f t="shared" si="328"/>
        <v>0</v>
      </c>
      <c r="BL232" s="171">
        <f t="shared" si="328"/>
        <v>0</v>
      </c>
      <c r="BM232" s="171">
        <f t="shared" si="328"/>
        <v>0</v>
      </c>
      <c r="BN232" s="171">
        <f t="shared" si="328"/>
        <v>0</v>
      </c>
      <c r="BO232" s="171">
        <f t="shared" si="329"/>
        <v>0</v>
      </c>
      <c r="BP232" s="171">
        <f t="shared" si="329"/>
        <v>0</v>
      </c>
      <c r="BQ232" s="171">
        <f t="shared" si="329"/>
        <v>0</v>
      </c>
      <c r="BR232" s="171">
        <f t="shared" si="329"/>
        <v>0</v>
      </c>
      <c r="BS232" s="171">
        <f t="shared" si="329"/>
        <v>0</v>
      </c>
      <c r="BT232" s="171">
        <f t="shared" si="329"/>
        <v>0</v>
      </c>
      <c r="BU232" s="171">
        <f t="shared" si="329"/>
        <v>0</v>
      </c>
      <c r="BV232" s="171">
        <f t="shared" si="329"/>
        <v>0</v>
      </c>
      <c r="BW232" s="171">
        <f t="shared" si="329"/>
        <v>0</v>
      </c>
      <c r="BX232" s="171">
        <f t="shared" si="329"/>
        <v>0</v>
      </c>
      <c r="BY232" s="171">
        <f t="shared" si="330"/>
        <v>0</v>
      </c>
      <c r="BZ232" s="171">
        <f t="shared" si="330"/>
        <v>0</v>
      </c>
      <c r="CA232" s="171">
        <f t="shared" si="330"/>
        <v>0</v>
      </c>
      <c r="CB232" s="171">
        <f t="shared" si="330"/>
        <v>0</v>
      </c>
      <c r="CC232" s="171">
        <f t="shared" si="330"/>
        <v>0</v>
      </c>
      <c r="CD232" s="171">
        <f t="shared" si="330"/>
        <v>0</v>
      </c>
      <c r="CE232" s="171">
        <f t="shared" si="330"/>
        <v>0</v>
      </c>
      <c r="CF232" s="171">
        <f t="shared" si="330"/>
        <v>0</v>
      </c>
      <c r="CG232" s="171">
        <f t="shared" si="330"/>
        <v>0</v>
      </c>
      <c r="CH232" s="171">
        <f t="shared" si="330"/>
        <v>0</v>
      </c>
      <c r="CI232" s="171">
        <f t="shared" si="330"/>
        <v>0</v>
      </c>
      <c r="CJ232" s="243"/>
      <c r="CK232" s="171">
        <f t="shared" si="233"/>
        <v>0</v>
      </c>
      <c r="CL232" s="171">
        <f t="shared" si="234"/>
        <v>0</v>
      </c>
      <c r="CM232" s="171">
        <f t="shared" si="235"/>
        <v>0</v>
      </c>
      <c r="CN232" s="171">
        <f t="shared" si="236"/>
        <v>0</v>
      </c>
      <c r="CO232" s="171">
        <f t="shared" si="237"/>
        <v>0</v>
      </c>
      <c r="CP232" s="171">
        <f t="shared" si="238"/>
        <v>0</v>
      </c>
      <c r="CQ232" s="171">
        <f t="shared" si="239"/>
        <v>0</v>
      </c>
      <c r="CR232" s="171">
        <f t="shared" si="240"/>
        <v>0</v>
      </c>
      <c r="CS232" s="171">
        <f t="shared" si="241"/>
        <v>0</v>
      </c>
      <c r="CT232" s="171">
        <f t="shared" si="242"/>
        <v>0</v>
      </c>
      <c r="CU232" s="171">
        <f t="shared" si="243"/>
        <v>0</v>
      </c>
      <c r="CV232" s="171">
        <f t="shared" si="244"/>
        <v>0</v>
      </c>
      <c r="CW232" s="171">
        <f t="shared" si="245"/>
        <v>0</v>
      </c>
      <c r="CX232" s="171">
        <f t="shared" si="246"/>
        <v>0</v>
      </c>
      <c r="CY232" s="171">
        <f t="shared" ca="1" si="247"/>
        <v>0</v>
      </c>
      <c r="CZ232" s="171">
        <f t="shared" ca="1" si="248"/>
        <v>0</v>
      </c>
      <c r="DA232" s="171">
        <f t="shared" ca="1" si="249"/>
        <v>0</v>
      </c>
      <c r="DB232" s="171">
        <f t="shared" ca="1" si="250"/>
        <v>0</v>
      </c>
      <c r="DC232" s="171">
        <f t="shared" ca="1" si="251"/>
        <v>0</v>
      </c>
      <c r="DD232" s="171">
        <f t="shared" ca="1" si="252"/>
        <v>0</v>
      </c>
      <c r="DE232" s="171">
        <f t="shared" ca="1" si="253"/>
        <v>0</v>
      </c>
      <c r="DF232" s="171">
        <f t="shared" ca="1" si="254"/>
        <v>0</v>
      </c>
      <c r="DG232" s="171">
        <f t="shared" ca="1" si="255"/>
        <v>0</v>
      </c>
      <c r="DH232" s="171">
        <f t="shared" ca="1" si="256"/>
        <v>0</v>
      </c>
      <c r="DI232" s="171">
        <f t="shared" ca="1" si="257"/>
        <v>0</v>
      </c>
      <c r="DJ232" s="171">
        <f t="shared" ca="1" si="258"/>
        <v>0</v>
      </c>
      <c r="DK232" s="171">
        <f t="shared" ca="1" si="259"/>
        <v>0</v>
      </c>
      <c r="DL232" s="171">
        <f t="shared" ca="1" si="260"/>
        <v>0</v>
      </c>
      <c r="DM232" s="171">
        <f t="shared" ca="1" si="261"/>
        <v>0</v>
      </c>
      <c r="DN232" s="171">
        <f t="shared" ca="1" si="262"/>
        <v>0</v>
      </c>
      <c r="DO232" s="171">
        <f t="shared" ca="1" si="263"/>
        <v>0</v>
      </c>
      <c r="DP232" s="171">
        <f t="shared" ca="1" si="264"/>
        <v>0</v>
      </c>
      <c r="DQ232" s="171">
        <f t="shared" ca="1" si="265"/>
        <v>0</v>
      </c>
      <c r="DR232" s="171">
        <f t="shared" ca="1" si="266"/>
        <v>0</v>
      </c>
      <c r="DS232" s="171">
        <f t="shared" ca="1" si="267"/>
        <v>0</v>
      </c>
      <c r="DT232" s="171">
        <f t="shared" ca="1" si="268"/>
        <v>0</v>
      </c>
      <c r="DU232" s="171">
        <f t="shared" ca="1" si="269"/>
        <v>0</v>
      </c>
      <c r="DV232" s="171">
        <f t="shared" ca="1" si="270"/>
        <v>0</v>
      </c>
      <c r="DW232" s="171">
        <f t="shared" ca="1" si="271"/>
        <v>0</v>
      </c>
      <c r="DX232" s="171">
        <f t="shared" ca="1" si="272"/>
        <v>0</v>
      </c>
      <c r="DY232" s="171">
        <f t="shared" ca="1" si="273"/>
        <v>0</v>
      </c>
      <c r="DZ232" s="171">
        <f t="shared" ca="1" si="274"/>
        <v>0</v>
      </c>
      <c r="EA232" s="171">
        <f t="shared" ca="1" si="275"/>
        <v>0</v>
      </c>
      <c r="EB232" s="171">
        <f t="shared" ca="1" si="276"/>
        <v>0</v>
      </c>
      <c r="EC232" s="171">
        <f t="shared" ca="1" si="277"/>
        <v>0</v>
      </c>
      <c r="ED232" s="171">
        <f t="shared" ca="1" si="278"/>
        <v>0</v>
      </c>
      <c r="EE232" s="171">
        <f t="shared" ca="1" si="279"/>
        <v>0</v>
      </c>
      <c r="EF232" s="171">
        <f t="shared" ca="1" si="280"/>
        <v>0</v>
      </c>
      <c r="EG232" s="171">
        <f t="shared" ca="1" si="281"/>
        <v>0</v>
      </c>
      <c r="EH232" s="171">
        <f t="shared" ca="1" si="282"/>
        <v>0</v>
      </c>
      <c r="EI232" s="171">
        <f t="shared" ca="1" si="283"/>
        <v>0</v>
      </c>
      <c r="EJ232" s="171">
        <f t="shared" ca="1" si="284"/>
        <v>0</v>
      </c>
      <c r="EK232" s="171">
        <f t="shared" ca="1" si="285"/>
        <v>0</v>
      </c>
      <c r="EL232" s="171">
        <f t="shared" ca="1" si="286"/>
        <v>0</v>
      </c>
      <c r="EM232" s="171">
        <f t="shared" ca="1" si="287"/>
        <v>0</v>
      </c>
      <c r="EN232" s="171">
        <f t="shared" ca="1" si="288"/>
        <v>0</v>
      </c>
      <c r="EO232" s="171">
        <f t="shared" ca="1" si="289"/>
        <v>0</v>
      </c>
      <c r="EP232" s="171">
        <f t="shared" ca="1" si="290"/>
        <v>0</v>
      </c>
      <c r="EQ232" s="171">
        <f t="shared" ca="1" si="291"/>
        <v>0</v>
      </c>
      <c r="ER232" s="171">
        <f t="shared" ca="1" si="292"/>
        <v>0</v>
      </c>
      <c r="ES232" s="171">
        <f t="shared" ca="1" si="293"/>
        <v>0</v>
      </c>
    </row>
    <row r="233" spans="1:149">
      <c r="C233" s="214"/>
      <c r="E233" s="139">
        <v>2010</v>
      </c>
      <c r="L233" s="163"/>
      <c r="M233" s="164" t="str">
        <f t="shared" si="223"/>
        <v/>
      </c>
      <c r="N233" s="164" t="str">
        <f t="shared" si="224"/>
        <v/>
      </c>
      <c r="O233" s="165" t="str">
        <f t="shared" si="225"/>
        <v/>
      </c>
      <c r="R233" s="168"/>
      <c r="U233" s="171">
        <f t="shared" si="227"/>
        <v>0</v>
      </c>
      <c r="V233" s="171">
        <f t="shared" ca="1" si="228"/>
        <v>0</v>
      </c>
      <c r="W233" s="171">
        <f t="shared" ca="1" si="229"/>
        <v>0</v>
      </c>
      <c r="X233" s="172">
        <f t="shared" si="230"/>
        <v>0</v>
      </c>
      <c r="Y233" s="172" t="str">
        <f t="shared" si="231"/>
        <v/>
      </c>
      <c r="Z233" s="173">
        <f t="shared" si="232"/>
        <v>0</v>
      </c>
      <c r="AA233" s="171">
        <f t="shared" si="325"/>
        <v>0</v>
      </c>
      <c r="AB233" s="171">
        <f t="shared" si="325"/>
        <v>0</v>
      </c>
      <c r="AC233" s="171">
        <f t="shared" si="325"/>
        <v>0</v>
      </c>
      <c r="AD233" s="171">
        <f t="shared" si="325"/>
        <v>0</v>
      </c>
      <c r="AE233" s="171">
        <f t="shared" si="325"/>
        <v>0</v>
      </c>
      <c r="AF233" s="171">
        <f t="shared" si="325"/>
        <v>0</v>
      </c>
      <c r="AG233" s="171">
        <f t="shared" si="325"/>
        <v>0</v>
      </c>
      <c r="AH233" s="171">
        <f t="shared" si="325"/>
        <v>0</v>
      </c>
      <c r="AI233" s="171">
        <f t="shared" si="325"/>
        <v>0</v>
      </c>
      <c r="AJ233" s="171">
        <f t="shared" si="325"/>
        <v>0</v>
      </c>
      <c r="AK233" s="171">
        <f t="shared" si="326"/>
        <v>0</v>
      </c>
      <c r="AL233" s="171">
        <f t="shared" si="326"/>
        <v>0</v>
      </c>
      <c r="AM233" s="171">
        <f t="shared" si="326"/>
        <v>0</v>
      </c>
      <c r="AN233" s="171">
        <f t="shared" si="326"/>
        <v>0</v>
      </c>
      <c r="AO233" s="171">
        <f t="shared" si="326"/>
        <v>0</v>
      </c>
      <c r="AP233" s="171">
        <f t="shared" si="326"/>
        <v>0</v>
      </c>
      <c r="AQ233" s="171">
        <f t="shared" si="326"/>
        <v>0</v>
      </c>
      <c r="AR233" s="171">
        <f t="shared" si="326"/>
        <v>0</v>
      </c>
      <c r="AS233" s="171">
        <f t="shared" si="326"/>
        <v>0</v>
      </c>
      <c r="AT233" s="171">
        <f t="shared" si="326"/>
        <v>0</v>
      </c>
      <c r="AU233" s="171">
        <f t="shared" si="327"/>
        <v>0</v>
      </c>
      <c r="AV233" s="171">
        <f t="shared" si="327"/>
        <v>0</v>
      </c>
      <c r="AW233" s="171">
        <f t="shared" si="327"/>
        <v>0</v>
      </c>
      <c r="AX233" s="171">
        <f t="shared" si="327"/>
        <v>0</v>
      </c>
      <c r="AY233" s="171">
        <f t="shared" si="327"/>
        <v>0</v>
      </c>
      <c r="AZ233" s="171">
        <f t="shared" si="327"/>
        <v>0</v>
      </c>
      <c r="BA233" s="171">
        <f t="shared" si="327"/>
        <v>0</v>
      </c>
      <c r="BB233" s="171">
        <f t="shared" si="327"/>
        <v>0</v>
      </c>
      <c r="BC233" s="171">
        <f t="shared" si="327"/>
        <v>0</v>
      </c>
      <c r="BD233" s="171">
        <f t="shared" si="327"/>
        <v>0</v>
      </c>
      <c r="BE233" s="171">
        <f t="shared" si="328"/>
        <v>0</v>
      </c>
      <c r="BF233" s="171">
        <f t="shared" si="328"/>
        <v>0</v>
      </c>
      <c r="BG233" s="171">
        <f t="shared" si="328"/>
        <v>0</v>
      </c>
      <c r="BH233" s="171">
        <f t="shared" si="328"/>
        <v>0</v>
      </c>
      <c r="BI233" s="171">
        <f t="shared" si="328"/>
        <v>0</v>
      </c>
      <c r="BJ233" s="171">
        <f t="shared" si="328"/>
        <v>0</v>
      </c>
      <c r="BK233" s="171">
        <f t="shared" si="328"/>
        <v>0</v>
      </c>
      <c r="BL233" s="171">
        <f t="shared" si="328"/>
        <v>0</v>
      </c>
      <c r="BM233" s="171">
        <f t="shared" si="328"/>
        <v>0</v>
      </c>
      <c r="BN233" s="171">
        <f t="shared" si="328"/>
        <v>0</v>
      </c>
      <c r="BO233" s="171">
        <f t="shared" si="329"/>
        <v>0</v>
      </c>
      <c r="BP233" s="171">
        <f t="shared" si="329"/>
        <v>0</v>
      </c>
      <c r="BQ233" s="171">
        <f t="shared" si="329"/>
        <v>0</v>
      </c>
      <c r="BR233" s="171">
        <f t="shared" si="329"/>
        <v>0</v>
      </c>
      <c r="BS233" s="171">
        <f t="shared" si="329"/>
        <v>0</v>
      </c>
      <c r="BT233" s="171">
        <f t="shared" si="329"/>
        <v>0</v>
      </c>
      <c r="BU233" s="171">
        <f t="shared" si="329"/>
        <v>0</v>
      </c>
      <c r="BV233" s="171">
        <f t="shared" si="329"/>
        <v>0</v>
      </c>
      <c r="BW233" s="171">
        <f t="shared" si="329"/>
        <v>0</v>
      </c>
      <c r="BX233" s="171">
        <f t="shared" si="329"/>
        <v>0</v>
      </c>
      <c r="BY233" s="171">
        <f t="shared" si="330"/>
        <v>0</v>
      </c>
      <c r="BZ233" s="171">
        <f t="shared" si="330"/>
        <v>0</v>
      </c>
      <c r="CA233" s="171">
        <f t="shared" si="330"/>
        <v>0</v>
      </c>
      <c r="CB233" s="171">
        <f t="shared" si="330"/>
        <v>0</v>
      </c>
      <c r="CC233" s="171">
        <f t="shared" si="330"/>
        <v>0</v>
      </c>
      <c r="CD233" s="171">
        <f t="shared" si="330"/>
        <v>0</v>
      </c>
      <c r="CE233" s="171">
        <f t="shared" si="330"/>
        <v>0</v>
      </c>
      <c r="CF233" s="171">
        <f t="shared" si="330"/>
        <v>0</v>
      </c>
      <c r="CG233" s="171">
        <f t="shared" si="330"/>
        <v>0</v>
      </c>
      <c r="CH233" s="171">
        <f t="shared" si="330"/>
        <v>0</v>
      </c>
      <c r="CI233" s="171">
        <f t="shared" si="330"/>
        <v>0</v>
      </c>
      <c r="CJ233" s="243"/>
      <c r="CK233" s="171">
        <f t="shared" si="233"/>
        <v>0</v>
      </c>
      <c r="CL233" s="171">
        <f t="shared" si="234"/>
        <v>0</v>
      </c>
      <c r="CM233" s="171">
        <f t="shared" si="235"/>
        <v>0</v>
      </c>
      <c r="CN233" s="171">
        <f t="shared" si="236"/>
        <v>0</v>
      </c>
      <c r="CO233" s="171">
        <f t="shared" si="237"/>
        <v>0</v>
      </c>
      <c r="CP233" s="171">
        <f t="shared" si="238"/>
        <v>0</v>
      </c>
      <c r="CQ233" s="171">
        <f t="shared" si="239"/>
        <v>0</v>
      </c>
      <c r="CR233" s="171">
        <f t="shared" si="240"/>
        <v>0</v>
      </c>
      <c r="CS233" s="171">
        <f t="shared" si="241"/>
        <v>0</v>
      </c>
      <c r="CT233" s="171">
        <f t="shared" si="242"/>
        <v>0</v>
      </c>
      <c r="CU233" s="171">
        <f t="shared" si="243"/>
        <v>0</v>
      </c>
      <c r="CV233" s="171">
        <f t="shared" si="244"/>
        <v>0</v>
      </c>
      <c r="CW233" s="171">
        <f t="shared" si="245"/>
        <v>0</v>
      </c>
      <c r="CX233" s="171">
        <f t="shared" si="246"/>
        <v>0</v>
      </c>
      <c r="CY233" s="171">
        <f t="shared" ca="1" si="247"/>
        <v>0</v>
      </c>
      <c r="CZ233" s="171">
        <f t="shared" ca="1" si="248"/>
        <v>0</v>
      </c>
      <c r="DA233" s="171">
        <f t="shared" ca="1" si="249"/>
        <v>0</v>
      </c>
      <c r="DB233" s="171">
        <f t="shared" ca="1" si="250"/>
        <v>0</v>
      </c>
      <c r="DC233" s="171">
        <f t="shared" ca="1" si="251"/>
        <v>0</v>
      </c>
      <c r="DD233" s="171">
        <f t="shared" ca="1" si="252"/>
        <v>0</v>
      </c>
      <c r="DE233" s="171">
        <f t="shared" ca="1" si="253"/>
        <v>0</v>
      </c>
      <c r="DF233" s="171">
        <f t="shared" ca="1" si="254"/>
        <v>0</v>
      </c>
      <c r="DG233" s="171">
        <f t="shared" ca="1" si="255"/>
        <v>0</v>
      </c>
      <c r="DH233" s="171">
        <f t="shared" ca="1" si="256"/>
        <v>0</v>
      </c>
      <c r="DI233" s="171">
        <f t="shared" ca="1" si="257"/>
        <v>0</v>
      </c>
      <c r="DJ233" s="171">
        <f t="shared" ca="1" si="258"/>
        <v>0</v>
      </c>
      <c r="DK233" s="171">
        <f t="shared" ca="1" si="259"/>
        <v>0</v>
      </c>
      <c r="DL233" s="171">
        <f t="shared" ca="1" si="260"/>
        <v>0</v>
      </c>
      <c r="DM233" s="171">
        <f t="shared" ca="1" si="261"/>
        <v>0</v>
      </c>
      <c r="DN233" s="171">
        <f t="shared" ca="1" si="262"/>
        <v>0</v>
      </c>
      <c r="DO233" s="171">
        <f t="shared" ca="1" si="263"/>
        <v>0</v>
      </c>
      <c r="DP233" s="171">
        <f t="shared" ca="1" si="264"/>
        <v>0</v>
      </c>
      <c r="DQ233" s="171">
        <f t="shared" ca="1" si="265"/>
        <v>0</v>
      </c>
      <c r="DR233" s="171">
        <f t="shared" ca="1" si="266"/>
        <v>0</v>
      </c>
      <c r="DS233" s="171">
        <f t="shared" ca="1" si="267"/>
        <v>0</v>
      </c>
      <c r="DT233" s="171">
        <f t="shared" ca="1" si="268"/>
        <v>0</v>
      </c>
      <c r="DU233" s="171">
        <f t="shared" ca="1" si="269"/>
        <v>0</v>
      </c>
      <c r="DV233" s="171">
        <f t="shared" ca="1" si="270"/>
        <v>0</v>
      </c>
      <c r="DW233" s="171">
        <f t="shared" ca="1" si="271"/>
        <v>0</v>
      </c>
      <c r="DX233" s="171">
        <f t="shared" ca="1" si="272"/>
        <v>0</v>
      </c>
      <c r="DY233" s="171">
        <f t="shared" ca="1" si="273"/>
        <v>0</v>
      </c>
      <c r="DZ233" s="171">
        <f t="shared" ca="1" si="274"/>
        <v>0</v>
      </c>
      <c r="EA233" s="171">
        <f t="shared" ca="1" si="275"/>
        <v>0</v>
      </c>
      <c r="EB233" s="171">
        <f t="shared" ca="1" si="276"/>
        <v>0</v>
      </c>
      <c r="EC233" s="171">
        <f t="shared" ca="1" si="277"/>
        <v>0</v>
      </c>
      <c r="ED233" s="171">
        <f t="shared" ca="1" si="278"/>
        <v>0</v>
      </c>
      <c r="EE233" s="171">
        <f t="shared" ca="1" si="279"/>
        <v>0</v>
      </c>
      <c r="EF233" s="171">
        <f t="shared" ca="1" si="280"/>
        <v>0</v>
      </c>
      <c r="EG233" s="171">
        <f t="shared" ca="1" si="281"/>
        <v>0</v>
      </c>
      <c r="EH233" s="171">
        <f t="shared" ca="1" si="282"/>
        <v>0</v>
      </c>
      <c r="EI233" s="171">
        <f t="shared" ca="1" si="283"/>
        <v>0</v>
      </c>
      <c r="EJ233" s="171">
        <f t="shared" ca="1" si="284"/>
        <v>0</v>
      </c>
      <c r="EK233" s="171">
        <f t="shared" ca="1" si="285"/>
        <v>0</v>
      </c>
      <c r="EL233" s="171">
        <f t="shared" ca="1" si="286"/>
        <v>0</v>
      </c>
      <c r="EM233" s="171">
        <f t="shared" ca="1" si="287"/>
        <v>0</v>
      </c>
      <c r="EN233" s="171">
        <f t="shared" ca="1" si="288"/>
        <v>0</v>
      </c>
      <c r="EO233" s="171">
        <f t="shared" ca="1" si="289"/>
        <v>0</v>
      </c>
      <c r="EP233" s="171">
        <f t="shared" ca="1" si="290"/>
        <v>0</v>
      </c>
      <c r="EQ233" s="171">
        <f t="shared" ca="1" si="291"/>
        <v>0</v>
      </c>
      <c r="ER233" s="171">
        <f t="shared" ca="1" si="292"/>
        <v>0</v>
      </c>
      <c r="ES233" s="171">
        <f t="shared" ca="1" si="293"/>
        <v>0</v>
      </c>
    </row>
    <row r="234" spans="1:149">
      <c r="C234" s="214"/>
      <c r="L234" s="163"/>
      <c r="M234" s="164" t="str">
        <f t="shared" si="223"/>
        <v/>
      </c>
      <c r="N234" s="164" t="str">
        <f t="shared" si="224"/>
        <v/>
      </c>
      <c r="O234" s="165" t="str">
        <f t="shared" si="225"/>
        <v/>
      </c>
      <c r="R234" s="168"/>
      <c r="U234" s="171">
        <f t="shared" si="227"/>
        <v>0</v>
      </c>
      <c r="V234" s="171">
        <f t="shared" ca="1" si="228"/>
        <v>0</v>
      </c>
      <c r="W234" s="171">
        <f t="shared" ca="1" si="229"/>
        <v>0</v>
      </c>
      <c r="X234" s="172">
        <f t="shared" si="230"/>
        <v>0</v>
      </c>
      <c r="Y234" s="172" t="str">
        <f t="shared" si="231"/>
        <v/>
      </c>
      <c r="Z234" s="173">
        <f t="shared" si="232"/>
        <v>0</v>
      </c>
      <c r="AA234" s="171">
        <f t="shared" si="325"/>
        <v>0</v>
      </c>
      <c r="AB234" s="171">
        <f t="shared" si="325"/>
        <v>0</v>
      </c>
      <c r="AC234" s="171">
        <f t="shared" si="325"/>
        <v>0</v>
      </c>
      <c r="AD234" s="171">
        <f t="shared" si="325"/>
        <v>0</v>
      </c>
      <c r="AE234" s="171">
        <f t="shared" si="325"/>
        <v>0</v>
      </c>
      <c r="AF234" s="171">
        <f t="shared" si="325"/>
        <v>0</v>
      </c>
      <c r="AG234" s="171">
        <f t="shared" si="325"/>
        <v>0</v>
      </c>
      <c r="AH234" s="171">
        <f t="shared" si="325"/>
        <v>0</v>
      </c>
      <c r="AI234" s="171">
        <f t="shared" si="325"/>
        <v>0</v>
      </c>
      <c r="AJ234" s="171">
        <f t="shared" si="325"/>
        <v>0</v>
      </c>
      <c r="AK234" s="171">
        <f t="shared" si="326"/>
        <v>0</v>
      </c>
      <c r="AL234" s="171">
        <f t="shared" si="326"/>
        <v>0</v>
      </c>
      <c r="AM234" s="171">
        <f t="shared" si="326"/>
        <v>0</v>
      </c>
      <c r="AN234" s="171">
        <f t="shared" si="326"/>
        <v>0</v>
      </c>
      <c r="AO234" s="171">
        <f t="shared" si="326"/>
        <v>0</v>
      </c>
      <c r="AP234" s="171">
        <f t="shared" si="326"/>
        <v>0</v>
      </c>
      <c r="AQ234" s="171">
        <f t="shared" si="326"/>
        <v>0</v>
      </c>
      <c r="AR234" s="171">
        <f t="shared" si="326"/>
        <v>0</v>
      </c>
      <c r="AS234" s="171">
        <f t="shared" si="326"/>
        <v>0</v>
      </c>
      <c r="AT234" s="171">
        <f t="shared" si="326"/>
        <v>0</v>
      </c>
      <c r="AU234" s="171">
        <f t="shared" si="327"/>
        <v>0</v>
      </c>
      <c r="AV234" s="171">
        <f t="shared" si="327"/>
        <v>0</v>
      </c>
      <c r="AW234" s="171">
        <f t="shared" si="327"/>
        <v>0</v>
      </c>
      <c r="AX234" s="171">
        <f t="shared" si="327"/>
        <v>0</v>
      </c>
      <c r="AY234" s="171">
        <f t="shared" si="327"/>
        <v>0</v>
      </c>
      <c r="AZ234" s="171">
        <f t="shared" si="327"/>
        <v>0</v>
      </c>
      <c r="BA234" s="171">
        <f t="shared" si="327"/>
        <v>0</v>
      </c>
      <c r="BB234" s="171">
        <f t="shared" si="327"/>
        <v>0</v>
      </c>
      <c r="BC234" s="171">
        <f t="shared" si="327"/>
        <v>0</v>
      </c>
      <c r="BD234" s="171">
        <f t="shared" si="327"/>
        <v>0</v>
      </c>
      <c r="BE234" s="171">
        <f t="shared" si="328"/>
        <v>0</v>
      </c>
      <c r="BF234" s="171">
        <f t="shared" si="328"/>
        <v>0</v>
      </c>
      <c r="BG234" s="171">
        <f t="shared" si="328"/>
        <v>0</v>
      </c>
      <c r="BH234" s="171">
        <f t="shared" si="328"/>
        <v>0</v>
      </c>
      <c r="BI234" s="171">
        <f t="shared" si="328"/>
        <v>0</v>
      </c>
      <c r="BJ234" s="171">
        <f t="shared" si="328"/>
        <v>0</v>
      </c>
      <c r="BK234" s="171">
        <f t="shared" si="328"/>
        <v>0</v>
      </c>
      <c r="BL234" s="171">
        <f t="shared" si="328"/>
        <v>0</v>
      </c>
      <c r="BM234" s="171">
        <f t="shared" si="328"/>
        <v>0</v>
      </c>
      <c r="BN234" s="171">
        <f t="shared" si="328"/>
        <v>0</v>
      </c>
      <c r="BO234" s="171">
        <f t="shared" si="329"/>
        <v>0</v>
      </c>
      <c r="BP234" s="171">
        <f t="shared" si="329"/>
        <v>0</v>
      </c>
      <c r="BQ234" s="171">
        <f t="shared" si="329"/>
        <v>0</v>
      </c>
      <c r="BR234" s="171">
        <f t="shared" si="329"/>
        <v>0</v>
      </c>
      <c r="BS234" s="171">
        <f t="shared" si="329"/>
        <v>0</v>
      </c>
      <c r="BT234" s="171">
        <f t="shared" si="329"/>
        <v>0</v>
      </c>
      <c r="BU234" s="171">
        <f t="shared" si="329"/>
        <v>0</v>
      </c>
      <c r="BV234" s="171">
        <f t="shared" si="329"/>
        <v>0</v>
      </c>
      <c r="BW234" s="171">
        <f t="shared" si="329"/>
        <v>0</v>
      </c>
      <c r="BX234" s="171">
        <f t="shared" si="329"/>
        <v>0</v>
      </c>
      <c r="BY234" s="171">
        <f t="shared" si="330"/>
        <v>0</v>
      </c>
      <c r="BZ234" s="171">
        <f t="shared" si="330"/>
        <v>0</v>
      </c>
      <c r="CA234" s="171">
        <f t="shared" si="330"/>
        <v>0</v>
      </c>
      <c r="CB234" s="171">
        <f t="shared" si="330"/>
        <v>0</v>
      </c>
      <c r="CC234" s="171">
        <f t="shared" si="330"/>
        <v>0</v>
      </c>
      <c r="CD234" s="171">
        <f t="shared" si="330"/>
        <v>0</v>
      </c>
      <c r="CE234" s="171">
        <f t="shared" si="330"/>
        <v>0</v>
      </c>
      <c r="CF234" s="171">
        <f t="shared" si="330"/>
        <v>0</v>
      </c>
      <c r="CG234" s="171">
        <f t="shared" si="330"/>
        <v>0</v>
      </c>
      <c r="CH234" s="171">
        <f t="shared" si="330"/>
        <v>0</v>
      </c>
      <c r="CI234" s="171">
        <f t="shared" si="330"/>
        <v>0</v>
      </c>
      <c r="CJ234" s="243"/>
      <c r="CK234" s="171">
        <f t="shared" si="233"/>
        <v>0</v>
      </c>
      <c r="CL234" s="171">
        <f t="shared" si="234"/>
        <v>0</v>
      </c>
      <c r="CM234" s="171">
        <f t="shared" si="235"/>
        <v>0</v>
      </c>
      <c r="CN234" s="171">
        <f t="shared" si="236"/>
        <v>0</v>
      </c>
      <c r="CO234" s="171">
        <f t="shared" si="237"/>
        <v>0</v>
      </c>
      <c r="CP234" s="171">
        <f t="shared" si="238"/>
        <v>0</v>
      </c>
      <c r="CQ234" s="171">
        <f t="shared" si="239"/>
        <v>0</v>
      </c>
      <c r="CR234" s="171">
        <f t="shared" si="240"/>
        <v>0</v>
      </c>
      <c r="CS234" s="171">
        <f t="shared" si="241"/>
        <v>0</v>
      </c>
      <c r="CT234" s="171">
        <f t="shared" si="242"/>
        <v>0</v>
      </c>
      <c r="CU234" s="171">
        <f t="shared" si="243"/>
        <v>0</v>
      </c>
      <c r="CV234" s="171">
        <f t="shared" si="244"/>
        <v>0</v>
      </c>
      <c r="CW234" s="171">
        <f t="shared" si="245"/>
        <v>0</v>
      </c>
      <c r="CX234" s="171">
        <f t="shared" si="246"/>
        <v>0</v>
      </c>
      <c r="CY234" s="171">
        <f t="shared" ca="1" si="247"/>
        <v>0</v>
      </c>
      <c r="CZ234" s="171">
        <f t="shared" ca="1" si="248"/>
        <v>0</v>
      </c>
      <c r="DA234" s="171">
        <f t="shared" ca="1" si="249"/>
        <v>0</v>
      </c>
      <c r="DB234" s="171">
        <f t="shared" ca="1" si="250"/>
        <v>0</v>
      </c>
      <c r="DC234" s="171">
        <f t="shared" ca="1" si="251"/>
        <v>0</v>
      </c>
      <c r="DD234" s="171">
        <f t="shared" ca="1" si="252"/>
        <v>0</v>
      </c>
      <c r="DE234" s="171">
        <f t="shared" ca="1" si="253"/>
        <v>0</v>
      </c>
      <c r="DF234" s="171">
        <f t="shared" ca="1" si="254"/>
        <v>0</v>
      </c>
      <c r="DG234" s="171">
        <f t="shared" ca="1" si="255"/>
        <v>0</v>
      </c>
      <c r="DH234" s="171">
        <f t="shared" ca="1" si="256"/>
        <v>0</v>
      </c>
      <c r="DI234" s="171">
        <f t="shared" ca="1" si="257"/>
        <v>0</v>
      </c>
      <c r="DJ234" s="171">
        <f t="shared" ca="1" si="258"/>
        <v>0</v>
      </c>
      <c r="DK234" s="171">
        <f t="shared" ca="1" si="259"/>
        <v>0</v>
      </c>
      <c r="DL234" s="171">
        <f t="shared" ca="1" si="260"/>
        <v>0</v>
      </c>
      <c r="DM234" s="171">
        <f t="shared" ca="1" si="261"/>
        <v>0</v>
      </c>
      <c r="DN234" s="171">
        <f t="shared" ca="1" si="262"/>
        <v>0</v>
      </c>
      <c r="DO234" s="171">
        <f t="shared" ca="1" si="263"/>
        <v>0</v>
      </c>
      <c r="DP234" s="171">
        <f t="shared" ca="1" si="264"/>
        <v>0</v>
      </c>
      <c r="DQ234" s="171">
        <f t="shared" ca="1" si="265"/>
        <v>0</v>
      </c>
      <c r="DR234" s="171">
        <f t="shared" ca="1" si="266"/>
        <v>0</v>
      </c>
      <c r="DS234" s="171">
        <f t="shared" ca="1" si="267"/>
        <v>0</v>
      </c>
      <c r="DT234" s="171">
        <f t="shared" ca="1" si="268"/>
        <v>0</v>
      </c>
      <c r="DU234" s="171">
        <f t="shared" ca="1" si="269"/>
        <v>0</v>
      </c>
      <c r="DV234" s="171">
        <f t="shared" ca="1" si="270"/>
        <v>0</v>
      </c>
      <c r="DW234" s="171">
        <f t="shared" ca="1" si="271"/>
        <v>0</v>
      </c>
      <c r="DX234" s="171">
        <f t="shared" ca="1" si="272"/>
        <v>0</v>
      </c>
      <c r="DY234" s="171">
        <f t="shared" ca="1" si="273"/>
        <v>0</v>
      </c>
      <c r="DZ234" s="171">
        <f t="shared" ca="1" si="274"/>
        <v>0</v>
      </c>
      <c r="EA234" s="171">
        <f t="shared" ca="1" si="275"/>
        <v>0</v>
      </c>
      <c r="EB234" s="171">
        <f t="shared" ca="1" si="276"/>
        <v>0</v>
      </c>
      <c r="EC234" s="171">
        <f t="shared" ca="1" si="277"/>
        <v>0</v>
      </c>
      <c r="ED234" s="171">
        <f t="shared" ca="1" si="278"/>
        <v>0</v>
      </c>
      <c r="EE234" s="171">
        <f t="shared" ca="1" si="279"/>
        <v>0</v>
      </c>
      <c r="EF234" s="171">
        <f t="shared" ca="1" si="280"/>
        <v>0</v>
      </c>
      <c r="EG234" s="171">
        <f t="shared" ca="1" si="281"/>
        <v>0</v>
      </c>
      <c r="EH234" s="171">
        <f t="shared" ca="1" si="282"/>
        <v>0</v>
      </c>
      <c r="EI234" s="171">
        <f t="shared" ca="1" si="283"/>
        <v>0</v>
      </c>
      <c r="EJ234" s="171">
        <f t="shared" ca="1" si="284"/>
        <v>0</v>
      </c>
      <c r="EK234" s="171">
        <f t="shared" ca="1" si="285"/>
        <v>0</v>
      </c>
      <c r="EL234" s="171">
        <f t="shared" ca="1" si="286"/>
        <v>0</v>
      </c>
      <c r="EM234" s="171">
        <f t="shared" ca="1" si="287"/>
        <v>0</v>
      </c>
      <c r="EN234" s="171">
        <f t="shared" ca="1" si="288"/>
        <v>0</v>
      </c>
      <c r="EO234" s="171">
        <f t="shared" ca="1" si="289"/>
        <v>0</v>
      </c>
      <c r="EP234" s="171">
        <f t="shared" ca="1" si="290"/>
        <v>0</v>
      </c>
      <c r="EQ234" s="171">
        <f t="shared" ca="1" si="291"/>
        <v>0</v>
      </c>
      <c r="ER234" s="171">
        <f t="shared" ca="1" si="292"/>
        <v>0</v>
      </c>
      <c r="ES234" s="171">
        <f t="shared" ca="1" si="293"/>
        <v>0</v>
      </c>
    </row>
    <row r="235" spans="1:149">
      <c r="C235" s="214"/>
      <c r="L235" s="163"/>
      <c r="M235" s="164" t="str">
        <f t="shared" si="223"/>
        <v/>
      </c>
      <c r="N235" s="164" t="str">
        <f t="shared" si="224"/>
        <v/>
      </c>
      <c r="O235" s="165" t="str">
        <f t="shared" si="225"/>
        <v/>
      </c>
      <c r="R235" s="168"/>
      <c r="U235" s="171">
        <f t="shared" si="227"/>
        <v>0</v>
      </c>
      <c r="V235" s="171">
        <f t="shared" ca="1" si="228"/>
        <v>0</v>
      </c>
      <c r="W235" s="171">
        <f t="shared" ca="1" si="229"/>
        <v>0</v>
      </c>
      <c r="X235" s="172">
        <f t="shared" si="230"/>
        <v>0</v>
      </c>
      <c r="Y235" s="172" t="str">
        <f t="shared" si="231"/>
        <v/>
      </c>
      <c r="Z235" s="173">
        <f t="shared" si="232"/>
        <v>0</v>
      </c>
      <c r="AA235" s="171">
        <f t="shared" si="325"/>
        <v>0</v>
      </c>
      <c r="AB235" s="171">
        <f t="shared" si="325"/>
        <v>0</v>
      </c>
      <c r="AC235" s="171">
        <f t="shared" si="325"/>
        <v>0</v>
      </c>
      <c r="AD235" s="171">
        <f t="shared" si="325"/>
        <v>0</v>
      </c>
      <c r="AE235" s="171">
        <f t="shared" si="325"/>
        <v>0</v>
      </c>
      <c r="AF235" s="171">
        <f t="shared" si="325"/>
        <v>0</v>
      </c>
      <c r="AG235" s="171">
        <f t="shared" si="325"/>
        <v>0</v>
      </c>
      <c r="AH235" s="171">
        <f t="shared" si="325"/>
        <v>0</v>
      </c>
      <c r="AI235" s="171">
        <f t="shared" si="325"/>
        <v>0</v>
      </c>
      <c r="AJ235" s="171">
        <f t="shared" si="325"/>
        <v>0</v>
      </c>
      <c r="AK235" s="171">
        <f t="shared" si="326"/>
        <v>0</v>
      </c>
      <c r="AL235" s="171">
        <f t="shared" si="326"/>
        <v>0</v>
      </c>
      <c r="AM235" s="171">
        <f t="shared" si="326"/>
        <v>0</v>
      </c>
      <c r="AN235" s="171">
        <f t="shared" si="326"/>
        <v>0</v>
      </c>
      <c r="AO235" s="171">
        <f t="shared" si="326"/>
        <v>0</v>
      </c>
      <c r="AP235" s="171">
        <f t="shared" si="326"/>
        <v>0</v>
      </c>
      <c r="AQ235" s="171">
        <f t="shared" si="326"/>
        <v>0</v>
      </c>
      <c r="AR235" s="171">
        <f t="shared" si="326"/>
        <v>0</v>
      </c>
      <c r="AS235" s="171">
        <f t="shared" si="326"/>
        <v>0</v>
      </c>
      <c r="AT235" s="171">
        <f t="shared" si="326"/>
        <v>0</v>
      </c>
      <c r="AU235" s="171">
        <f t="shared" si="327"/>
        <v>0</v>
      </c>
      <c r="AV235" s="171">
        <f t="shared" si="327"/>
        <v>0</v>
      </c>
      <c r="AW235" s="171">
        <f t="shared" si="327"/>
        <v>0</v>
      </c>
      <c r="AX235" s="171">
        <f t="shared" si="327"/>
        <v>0</v>
      </c>
      <c r="AY235" s="171">
        <f t="shared" si="327"/>
        <v>0</v>
      </c>
      <c r="AZ235" s="171">
        <f t="shared" si="327"/>
        <v>0</v>
      </c>
      <c r="BA235" s="171">
        <f t="shared" si="327"/>
        <v>0</v>
      </c>
      <c r="BB235" s="171">
        <f t="shared" si="327"/>
        <v>0</v>
      </c>
      <c r="BC235" s="171">
        <f t="shared" si="327"/>
        <v>0</v>
      </c>
      <c r="BD235" s="171">
        <f t="shared" si="327"/>
        <v>0</v>
      </c>
      <c r="BE235" s="171">
        <f t="shared" si="328"/>
        <v>0</v>
      </c>
      <c r="BF235" s="171">
        <f t="shared" si="328"/>
        <v>0</v>
      </c>
      <c r="BG235" s="171">
        <f t="shared" si="328"/>
        <v>0</v>
      </c>
      <c r="BH235" s="171">
        <f t="shared" si="328"/>
        <v>0</v>
      </c>
      <c r="BI235" s="171">
        <f t="shared" si="328"/>
        <v>0</v>
      </c>
      <c r="BJ235" s="171">
        <f t="shared" si="328"/>
        <v>0</v>
      </c>
      <c r="BK235" s="171">
        <f t="shared" si="328"/>
        <v>0</v>
      </c>
      <c r="BL235" s="171">
        <f t="shared" si="328"/>
        <v>0</v>
      </c>
      <c r="BM235" s="171">
        <f t="shared" si="328"/>
        <v>0</v>
      </c>
      <c r="BN235" s="171">
        <f t="shared" si="328"/>
        <v>0</v>
      </c>
      <c r="BO235" s="171">
        <f t="shared" si="329"/>
        <v>0</v>
      </c>
      <c r="BP235" s="171">
        <f t="shared" si="329"/>
        <v>0</v>
      </c>
      <c r="BQ235" s="171">
        <f t="shared" si="329"/>
        <v>0</v>
      </c>
      <c r="BR235" s="171">
        <f t="shared" si="329"/>
        <v>0</v>
      </c>
      <c r="BS235" s="171">
        <f t="shared" si="329"/>
        <v>0</v>
      </c>
      <c r="BT235" s="171">
        <f t="shared" si="329"/>
        <v>0</v>
      </c>
      <c r="BU235" s="171">
        <f t="shared" si="329"/>
        <v>0</v>
      </c>
      <c r="BV235" s="171">
        <f t="shared" si="329"/>
        <v>0</v>
      </c>
      <c r="BW235" s="171">
        <f t="shared" si="329"/>
        <v>0</v>
      </c>
      <c r="BX235" s="171">
        <f t="shared" si="329"/>
        <v>0</v>
      </c>
      <c r="BY235" s="171">
        <f t="shared" si="330"/>
        <v>0</v>
      </c>
      <c r="BZ235" s="171">
        <f t="shared" si="330"/>
        <v>0</v>
      </c>
      <c r="CA235" s="171">
        <f t="shared" si="330"/>
        <v>0</v>
      </c>
      <c r="CB235" s="171">
        <f t="shared" si="330"/>
        <v>0</v>
      </c>
      <c r="CC235" s="171">
        <f t="shared" si="330"/>
        <v>0</v>
      </c>
      <c r="CD235" s="171">
        <f t="shared" si="330"/>
        <v>0</v>
      </c>
      <c r="CE235" s="171">
        <f t="shared" si="330"/>
        <v>0</v>
      </c>
      <c r="CF235" s="171">
        <f t="shared" si="330"/>
        <v>0</v>
      </c>
      <c r="CG235" s="171">
        <f t="shared" si="330"/>
        <v>0</v>
      </c>
      <c r="CH235" s="171">
        <f t="shared" si="330"/>
        <v>0</v>
      </c>
      <c r="CI235" s="171">
        <f t="shared" si="330"/>
        <v>0</v>
      </c>
      <c r="CJ235" s="243"/>
      <c r="CK235" s="171">
        <f t="shared" si="233"/>
        <v>0</v>
      </c>
      <c r="CL235" s="171">
        <f t="shared" si="234"/>
        <v>0</v>
      </c>
      <c r="CM235" s="171">
        <f t="shared" si="235"/>
        <v>0</v>
      </c>
      <c r="CN235" s="171">
        <f t="shared" si="236"/>
        <v>0</v>
      </c>
      <c r="CO235" s="171">
        <f t="shared" si="237"/>
        <v>0</v>
      </c>
      <c r="CP235" s="171">
        <f t="shared" si="238"/>
        <v>0</v>
      </c>
      <c r="CQ235" s="171">
        <f t="shared" si="239"/>
        <v>0</v>
      </c>
      <c r="CR235" s="171">
        <f t="shared" si="240"/>
        <v>0</v>
      </c>
      <c r="CS235" s="171">
        <f t="shared" si="241"/>
        <v>0</v>
      </c>
      <c r="CT235" s="171">
        <f t="shared" si="242"/>
        <v>0</v>
      </c>
      <c r="CU235" s="171">
        <f t="shared" si="243"/>
        <v>0</v>
      </c>
      <c r="CV235" s="171">
        <f t="shared" si="244"/>
        <v>0</v>
      </c>
      <c r="CW235" s="171">
        <f t="shared" si="245"/>
        <v>0</v>
      </c>
      <c r="CX235" s="171">
        <f t="shared" si="246"/>
        <v>0</v>
      </c>
      <c r="CY235" s="171">
        <f t="shared" ca="1" si="247"/>
        <v>0</v>
      </c>
      <c r="CZ235" s="171">
        <f t="shared" ca="1" si="248"/>
        <v>0</v>
      </c>
      <c r="DA235" s="171">
        <f t="shared" ca="1" si="249"/>
        <v>0</v>
      </c>
      <c r="DB235" s="171">
        <f t="shared" ca="1" si="250"/>
        <v>0</v>
      </c>
      <c r="DC235" s="171">
        <f t="shared" ca="1" si="251"/>
        <v>0</v>
      </c>
      <c r="DD235" s="171">
        <f t="shared" ca="1" si="252"/>
        <v>0</v>
      </c>
      <c r="DE235" s="171">
        <f t="shared" ca="1" si="253"/>
        <v>0</v>
      </c>
      <c r="DF235" s="171">
        <f t="shared" ca="1" si="254"/>
        <v>0</v>
      </c>
      <c r="DG235" s="171">
        <f t="shared" ca="1" si="255"/>
        <v>0</v>
      </c>
      <c r="DH235" s="171">
        <f t="shared" ca="1" si="256"/>
        <v>0</v>
      </c>
      <c r="DI235" s="171">
        <f t="shared" ca="1" si="257"/>
        <v>0</v>
      </c>
      <c r="DJ235" s="171">
        <f t="shared" ca="1" si="258"/>
        <v>0</v>
      </c>
      <c r="DK235" s="171">
        <f t="shared" ca="1" si="259"/>
        <v>0</v>
      </c>
      <c r="DL235" s="171">
        <f t="shared" ca="1" si="260"/>
        <v>0</v>
      </c>
      <c r="DM235" s="171">
        <f t="shared" ca="1" si="261"/>
        <v>0</v>
      </c>
      <c r="DN235" s="171">
        <f t="shared" ca="1" si="262"/>
        <v>0</v>
      </c>
      <c r="DO235" s="171">
        <f t="shared" ca="1" si="263"/>
        <v>0</v>
      </c>
      <c r="DP235" s="171">
        <f t="shared" ca="1" si="264"/>
        <v>0</v>
      </c>
      <c r="DQ235" s="171">
        <f t="shared" ca="1" si="265"/>
        <v>0</v>
      </c>
      <c r="DR235" s="171">
        <f t="shared" ca="1" si="266"/>
        <v>0</v>
      </c>
      <c r="DS235" s="171">
        <f t="shared" ca="1" si="267"/>
        <v>0</v>
      </c>
      <c r="DT235" s="171">
        <f t="shared" ca="1" si="268"/>
        <v>0</v>
      </c>
      <c r="DU235" s="171">
        <f t="shared" ca="1" si="269"/>
        <v>0</v>
      </c>
      <c r="DV235" s="171">
        <f t="shared" ca="1" si="270"/>
        <v>0</v>
      </c>
      <c r="DW235" s="171">
        <f t="shared" ca="1" si="271"/>
        <v>0</v>
      </c>
      <c r="DX235" s="171">
        <f t="shared" ca="1" si="272"/>
        <v>0</v>
      </c>
      <c r="DY235" s="171">
        <f t="shared" ca="1" si="273"/>
        <v>0</v>
      </c>
      <c r="DZ235" s="171">
        <f t="shared" ca="1" si="274"/>
        <v>0</v>
      </c>
      <c r="EA235" s="171">
        <f t="shared" ca="1" si="275"/>
        <v>0</v>
      </c>
      <c r="EB235" s="171">
        <f t="shared" ca="1" si="276"/>
        <v>0</v>
      </c>
      <c r="EC235" s="171">
        <f t="shared" ca="1" si="277"/>
        <v>0</v>
      </c>
      <c r="ED235" s="171">
        <f t="shared" ca="1" si="278"/>
        <v>0</v>
      </c>
      <c r="EE235" s="171">
        <f t="shared" ca="1" si="279"/>
        <v>0</v>
      </c>
      <c r="EF235" s="171">
        <f t="shared" ca="1" si="280"/>
        <v>0</v>
      </c>
      <c r="EG235" s="171">
        <f t="shared" ca="1" si="281"/>
        <v>0</v>
      </c>
      <c r="EH235" s="171">
        <f t="shared" ca="1" si="282"/>
        <v>0</v>
      </c>
      <c r="EI235" s="171">
        <f t="shared" ca="1" si="283"/>
        <v>0</v>
      </c>
      <c r="EJ235" s="171">
        <f t="shared" ca="1" si="284"/>
        <v>0</v>
      </c>
      <c r="EK235" s="171">
        <f t="shared" ca="1" si="285"/>
        <v>0</v>
      </c>
      <c r="EL235" s="171">
        <f t="shared" ca="1" si="286"/>
        <v>0</v>
      </c>
      <c r="EM235" s="171">
        <f t="shared" ca="1" si="287"/>
        <v>0</v>
      </c>
      <c r="EN235" s="171">
        <f t="shared" ca="1" si="288"/>
        <v>0</v>
      </c>
      <c r="EO235" s="171">
        <f t="shared" ca="1" si="289"/>
        <v>0</v>
      </c>
      <c r="EP235" s="171">
        <f t="shared" ca="1" si="290"/>
        <v>0</v>
      </c>
      <c r="EQ235" s="171">
        <f t="shared" ca="1" si="291"/>
        <v>0</v>
      </c>
      <c r="ER235" s="171">
        <f t="shared" ca="1" si="292"/>
        <v>0</v>
      </c>
      <c r="ES235" s="171">
        <f t="shared" ca="1" si="293"/>
        <v>0</v>
      </c>
    </row>
    <row r="236" spans="1:149">
      <c r="C236" s="214"/>
      <c r="L236" s="163"/>
      <c r="M236" s="164" t="str">
        <f t="shared" si="223"/>
        <v/>
      </c>
      <c r="N236" s="164" t="str">
        <f t="shared" si="224"/>
        <v/>
      </c>
      <c r="O236" s="165" t="str">
        <f t="shared" si="225"/>
        <v/>
      </c>
      <c r="R236" s="168"/>
      <c r="U236" s="171">
        <f t="shared" si="227"/>
        <v>0</v>
      </c>
      <c r="V236" s="171">
        <f t="shared" ca="1" si="228"/>
        <v>0</v>
      </c>
      <c r="W236" s="171">
        <f t="shared" ca="1" si="229"/>
        <v>0</v>
      </c>
      <c r="X236" s="172">
        <f t="shared" si="230"/>
        <v>0</v>
      </c>
      <c r="Y236" s="172" t="str">
        <f t="shared" si="231"/>
        <v/>
      </c>
      <c r="Z236" s="173">
        <f t="shared" si="232"/>
        <v>0</v>
      </c>
      <c r="AA236" s="171">
        <f t="shared" si="325"/>
        <v>0</v>
      </c>
      <c r="AB236" s="171">
        <f t="shared" si="325"/>
        <v>0</v>
      </c>
      <c r="AC236" s="171">
        <f t="shared" si="325"/>
        <v>0</v>
      </c>
      <c r="AD236" s="171">
        <f t="shared" si="325"/>
        <v>0</v>
      </c>
      <c r="AE236" s="171">
        <f t="shared" si="325"/>
        <v>0</v>
      </c>
      <c r="AF236" s="171">
        <f t="shared" si="325"/>
        <v>0</v>
      </c>
      <c r="AG236" s="171">
        <f t="shared" si="325"/>
        <v>0</v>
      </c>
      <c r="AH236" s="171">
        <f t="shared" si="325"/>
        <v>0</v>
      </c>
      <c r="AI236" s="171">
        <f t="shared" si="325"/>
        <v>0</v>
      </c>
      <c r="AJ236" s="171">
        <f t="shared" si="325"/>
        <v>0</v>
      </c>
      <c r="AK236" s="171">
        <f t="shared" si="326"/>
        <v>0</v>
      </c>
      <c r="AL236" s="171">
        <f t="shared" si="326"/>
        <v>0</v>
      </c>
      <c r="AM236" s="171">
        <f t="shared" si="326"/>
        <v>0</v>
      </c>
      <c r="AN236" s="171">
        <f t="shared" si="326"/>
        <v>0</v>
      </c>
      <c r="AO236" s="171">
        <f t="shared" si="326"/>
        <v>0</v>
      </c>
      <c r="AP236" s="171">
        <f t="shared" si="326"/>
        <v>0</v>
      </c>
      <c r="AQ236" s="171">
        <f t="shared" si="326"/>
        <v>0</v>
      </c>
      <c r="AR236" s="171">
        <f t="shared" si="326"/>
        <v>0</v>
      </c>
      <c r="AS236" s="171">
        <f t="shared" si="326"/>
        <v>0</v>
      </c>
      <c r="AT236" s="171">
        <f t="shared" si="326"/>
        <v>0</v>
      </c>
      <c r="AU236" s="171">
        <f t="shared" si="327"/>
        <v>0</v>
      </c>
      <c r="AV236" s="171">
        <f t="shared" si="327"/>
        <v>0</v>
      </c>
      <c r="AW236" s="171">
        <f t="shared" si="327"/>
        <v>0</v>
      </c>
      <c r="AX236" s="171">
        <f t="shared" si="327"/>
        <v>0</v>
      </c>
      <c r="AY236" s="171">
        <f t="shared" si="327"/>
        <v>0</v>
      </c>
      <c r="AZ236" s="171">
        <f t="shared" si="327"/>
        <v>0</v>
      </c>
      <c r="BA236" s="171">
        <f t="shared" si="327"/>
        <v>0</v>
      </c>
      <c r="BB236" s="171">
        <f t="shared" si="327"/>
        <v>0</v>
      </c>
      <c r="BC236" s="171">
        <f t="shared" si="327"/>
        <v>0</v>
      </c>
      <c r="BD236" s="171">
        <f t="shared" si="327"/>
        <v>0</v>
      </c>
      <c r="BE236" s="171">
        <f t="shared" si="328"/>
        <v>0</v>
      </c>
      <c r="BF236" s="171">
        <f t="shared" si="328"/>
        <v>0</v>
      </c>
      <c r="BG236" s="171">
        <f t="shared" si="328"/>
        <v>0</v>
      </c>
      <c r="BH236" s="171">
        <f t="shared" si="328"/>
        <v>0</v>
      </c>
      <c r="BI236" s="171">
        <f t="shared" si="328"/>
        <v>0</v>
      </c>
      <c r="BJ236" s="171">
        <f t="shared" si="328"/>
        <v>0</v>
      </c>
      <c r="BK236" s="171">
        <f t="shared" si="328"/>
        <v>0</v>
      </c>
      <c r="BL236" s="171">
        <f t="shared" si="328"/>
        <v>0</v>
      </c>
      <c r="BM236" s="171">
        <f t="shared" si="328"/>
        <v>0</v>
      </c>
      <c r="BN236" s="171">
        <f t="shared" si="328"/>
        <v>0</v>
      </c>
      <c r="BO236" s="171">
        <f t="shared" si="329"/>
        <v>0</v>
      </c>
      <c r="BP236" s="171">
        <f t="shared" si="329"/>
        <v>0</v>
      </c>
      <c r="BQ236" s="171">
        <f t="shared" si="329"/>
        <v>0</v>
      </c>
      <c r="BR236" s="171">
        <f t="shared" si="329"/>
        <v>0</v>
      </c>
      <c r="BS236" s="171">
        <f t="shared" si="329"/>
        <v>0</v>
      </c>
      <c r="BT236" s="171">
        <f t="shared" si="329"/>
        <v>0</v>
      </c>
      <c r="BU236" s="171">
        <f t="shared" si="329"/>
        <v>0</v>
      </c>
      <c r="BV236" s="171">
        <f t="shared" si="329"/>
        <v>0</v>
      </c>
      <c r="BW236" s="171">
        <f t="shared" si="329"/>
        <v>0</v>
      </c>
      <c r="BX236" s="171">
        <f t="shared" si="329"/>
        <v>0</v>
      </c>
      <c r="BY236" s="171">
        <f t="shared" si="330"/>
        <v>0</v>
      </c>
      <c r="BZ236" s="171">
        <f t="shared" si="330"/>
        <v>0</v>
      </c>
      <c r="CA236" s="171">
        <f t="shared" si="330"/>
        <v>0</v>
      </c>
      <c r="CB236" s="171">
        <f t="shared" si="330"/>
        <v>0</v>
      </c>
      <c r="CC236" s="171">
        <f t="shared" si="330"/>
        <v>0</v>
      </c>
      <c r="CD236" s="171">
        <f t="shared" si="330"/>
        <v>0</v>
      </c>
      <c r="CE236" s="171">
        <f t="shared" si="330"/>
        <v>0</v>
      </c>
      <c r="CF236" s="171">
        <f t="shared" si="330"/>
        <v>0</v>
      </c>
      <c r="CG236" s="171">
        <f t="shared" si="330"/>
        <v>0</v>
      </c>
      <c r="CH236" s="171">
        <f t="shared" si="330"/>
        <v>0</v>
      </c>
      <c r="CI236" s="171">
        <f t="shared" si="330"/>
        <v>0</v>
      </c>
      <c r="CJ236" s="243"/>
      <c r="CK236" s="171">
        <f t="shared" si="233"/>
        <v>0</v>
      </c>
      <c r="CL236" s="171">
        <f t="shared" si="234"/>
        <v>0</v>
      </c>
      <c r="CM236" s="171">
        <f t="shared" si="235"/>
        <v>0</v>
      </c>
      <c r="CN236" s="171">
        <f t="shared" si="236"/>
        <v>0</v>
      </c>
      <c r="CO236" s="171">
        <f t="shared" si="237"/>
        <v>0</v>
      </c>
      <c r="CP236" s="171">
        <f t="shared" si="238"/>
        <v>0</v>
      </c>
      <c r="CQ236" s="171">
        <f t="shared" si="239"/>
        <v>0</v>
      </c>
      <c r="CR236" s="171">
        <f t="shared" si="240"/>
        <v>0</v>
      </c>
      <c r="CS236" s="171">
        <f t="shared" si="241"/>
        <v>0</v>
      </c>
      <c r="CT236" s="171">
        <f t="shared" si="242"/>
        <v>0</v>
      </c>
      <c r="CU236" s="171">
        <f t="shared" si="243"/>
        <v>0</v>
      </c>
      <c r="CV236" s="171">
        <f t="shared" si="244"/>
        <v>0</v>
      </c>
      <c r="CW236" s="171">
        <f t="shared" si="245"/>
        <v>0</v>
      </c>
      <c r="CX236" s="171">
        <f t="shared" si="246"/>
        <v>0</v>
      </c>
      <c r="CY236" s="171">
        <f t="shared" ca="1" si="247"/>
        <v>0</v>
      </c>
      <c r="CZ236" s="171">
        <f t="shared" ca="1" si="248"/>
        <v>0</v>
      </c>
      <c r="DA236" s="171">
        <f t="shared" ca="1" si="249"/>
        <v>0</v>
      </c>
      <c r="DB236" s="171">
        <f t="shared" ca="1" si="250"/>
        <v>0</v>
      </c>
      <c r="DC236" s="171">
        <f t="shared" ca="1" si="251"/>
        <v>0</v>
      </c>
      <c r="DD236" s="171">
        <f t="shared" ca="1" si="252"/>
        <v>0</v>
      </c>
      <c r="DE236" s="171">
        <f t="shared" ca="1" si="253"/>
        <v>0</v>
      </c>
      <c r="DF236" s="171">
        <f t="shared" ca="1" si="254"/>
        <v>0</v>
      </c>
      <c r="DG236" s="171">
        <f t="shared" ca="1" si="255"/>
        <v>0</v>
      </c>
      <c r="DH236" s="171">
        <f t="shared" ca="1" si="256"/>
        <v>0</v>
      </c>
      <c r="DI236" s="171">
        <f t="shared" ca="1" si="257"/>
        <v>0</v>
      </c>
      <c r="DJ236" s="171">
        <f t="shared" ca="1" si="258"/>
        <v>0</v>
      </c>
      <c r="DK236" s="171">
        <f t="shared" ca="1" si="259"/>
        <v>0</v>
      </c>
      <c r="DL236" s="171">
        <f t="shared" ca="1" si="260"/>
        <v>0</v>
      </c>
      <c r="DM236" s="171">
        <f t="shared" ca="1" si="261"/>
        <v>0</v>
      </c>
      <c r="DN236" s="171">
        <f t="shared" ca="1" si="262"/>
        <v>0</v>
      </c>
      <c r="DO236" s="171">
        <f t="shared" ca="1" si="263"/>
        <v>0</v>
      </c>
      <c r="DP236" s="171">
        <f t="shared" ca="1" si="264"/>
        <v>0</v>
      </c>
      <c r="DQ236" s="171">
        <f t="shared" ca="1" si="265"/>
        <v>0</v>
      </c>
      <c r="DR236" s="171">
        <f t="shared" ca="1" si="266"/>
        <v>0</v>
      </c>
      <c r="DS236" s="171">
        <f t="shared" ca="1" si="267"/>
        <v>0</v>
      </c>
      <c r="DT236" s="171">
        <f t="shared" ca="1" si="268"/>
        <v>0</v>
      </c>
      <c r="DU236" s="171">
        <f t="shared" ca="1" si="269"/>
        <v>0</v>
      </c>
      <c r="DV236" s="171">
        <f t="shared" ca="1" si="270"/>
        <v>0</v>
      </c>
      <c r="DW236" s="171">
        <f t="shared" ca="1" si="271"/>
        <v>0</v>
      </c>
      <c r="DX236" s="171">
        <f t="shared" ca="1" si="272"/>
        <v>0</v>
      </c>
      <c r="DY236" s="171">
        <f t="shared" ca="1" si="273"/>
        <v>0</v>
      </c>
      <c r="DZ236" s="171">
        <f t="shared" ca="1" si="274"/>
        <v>0</v>
      </c>
      <c r="EA236" s="171">
        <f t="shared" ca="1" si="275"/>
        <v>0</v>
      </c>
      <c r="EB236" s="171">
        <f t="shared" ca="1" si="276"/>
        <v>0</v>
      </c>
      <c r="EC236" s="171">
        <f t="shared" ca="1" si="277"/>
        <v>0</v>
      </c>
      <c r="ED236" s="171">
        <f t="shared" ca="1" si="278"/>
        <v>0</v>
      </c>
      <c r="EE236" s="171">
        <f t="shared" ca="1" si="279"/>
        <v>0</v>
      </c>
      <c r="EF236" s="171">
        <f t="shared" ca="1" si="280"/>
        <v>0</v>
      </c>
      <c r="EG236" s="171">
        <f t="shared" ca="1" si="281"/>
        <v>0</v>
      </c>
      <c r="EH236" s="171">
        <f t="shared" ca="1" si="282"/>
        <v>0</v>
      </c>
      <c r="EI236" s="171">
        <f t="shared" ca="1" si="283"/>
        <v>0</v>
      </c>
      <c r="EJ236" s="171">
        <f t="shared" ca="1" si="284"/>
        <v>0</v>
      </c>
      <c r="EK236" s="171">
        <f t="shared" ca="1" si="285"/>
        <v>0</v>
      </c>
      <c r="EL236" s="171">
        <f t="shared" ca="1" si="286"/>
        <v>0</v>
      </c>
      <c r="EM236" s="171">
        <f t="shared" ca="1" si="287"/>
        <v>0</v>
      </c>
      <c r="EN236" s="171">
        <f t="shared" ca="1" si="288"/>
        <v>0</v>
      </c>
      <c r="EO236" s="171">
        <f t="shared" ca="1" si="289"/>
        <v>0</v>
      </c>
      <c r="EP236" s="171">
        <f t="shared" ca="1" si="290"/>
        <v>0</v>
      </c>
      <c r="EQ236" s="171">
        <f t="shared" ca="1" si="291"/>
        <v>0</v>
      </c>
      <c r="ER236" s="171">
        <f t="shared" ca="1" si="292"/>
        <v>0</v>
      </c>
      <c r="ES236" s="171">
        <f t="shared" ca="1" si="293"/>
        <v>0</v>
      </c>
    </row>
    <row r="237" spans="1:149">
      <c r="C237" s="214"/>
      <c r="L237" s="163"/>
      <c r="M237" s="164" t="str">
        <f t="shared" si="223"/>
        <v/>
      </c>
      <c r="N237" s="164" t="str">
        <f t="shared" si="224"/>
        <v/>
      </c>
      <c r="O237" s="165" t="str">
        <f t="shared" si="225"/>
        <v/>
      </c>
      <c r="R237" s="168"/>
      <c r="U237" s="171">
        <f t="shared" si="227"/>
        <v>0</v>
      </c>
      <c r="V237" s="171">
        <f t="shared" ca="1" si="228"/>
        <v>0</v>
      </c>
      <c r="W237" s="171">
        <f t="shared" ca="1" si="229"/>
        <v>0</v>
      </c>
      <c r="X237" s="172">
        <f t="shared" si="230"/>
        <v>0</v>
      </c>
      <c r="Y237" s="172" t="str">
        <f t="shared" si="231"/>
        <v/>
      </c>
      <c r="Z237" s="173">
        <f t="shared" si="232"/>
        <v>0</v>
      </c>
      <c r="AA237" s="171">
        <f t="shared" si="325"/>
        <v>0</v>
      </c>
      <c r="AB237" s="171">
        <f t="shared" si="325"/>
        <v>0</v>
      </c>
      <c r="AC237" s="171">
        <f t="shared" si="325"/>
        <v>0</v>
      </c>
      <c r="AD237" s="171">
        <f t="shared" si="325"/>
        <v>0</v>
      </c>
      <c r="AE237" s="171">
        <f t="shared" si="325"/>
        <v>0</v>
      </c>
      <c r="AF237" s="171">
        <f t="shared" si="325"/>
        <v>0</v>
      </c>
      <c r="AG237" s="171">
        <f t="shared" si="325"/>
        <v>0</v>
      </c>
      <c r="AH237" s="171">
        <f t="shared" si="325"/>
        <v>0</v>
      </c>
      <c r="AI237" s="171">
        <f t="shared" si="325"/>
        <v>0</v>
      </c>
      <c r="AJ237" s="171">
        <f t="shared" si="325"/>
        <v>0</v>
      </c>
      <c r="AK237" s="171">
        <f t="shared" si="326"/>
        <v>0</v>
      </c>
      <c r="AL237" s="171">
        <f t="shared" si="326"/>
        <v>0</v>
      </c>
      <c r="AM237" s="171">
        <f t="shared" si="326"/>
        <v>0</v>
      </c>
      <c r="AN237" s="171">
        <f t="shared" si="326"/>
        <v>0</v>
      </c>
      <c r="AO237" s="171">
        <f t="shared" si="326"/>
        <v>0</v>
      </c>
      <c r="AP237" s="171">
        <f t="shared" si="326"/>
        <v>0</v>
      </c>
      <c r="AQ237" s="171">
        <f t="shared" si="326"/>
        <v>0</v>
      </c>
      <c r="AR237" s="171">
        <f t="shared" si="326"/>
        <v>0</v>
      </c>
      <c r="AS237" s="171">
        <f t="shared" si="326"/>
        <v>0</v>
      </c>
      <c r="AT237" s="171">
        <f t="shared" si="326"/>
        <v>0</v>
      </c>
      <c r="AU237" s="171">
        <f t="shared" si="327"/>
        <v>0</v>
      </c>
      <c r="AV237" s="171">
        <f t="shared" si="327"/>
        <v>0</v>
      </c>
      <c r="AW237" s="171">
        <f t="shared" si="327"/>
        <v>0</v>
      </c>
      <c r="AX237" s="171">
        <f t="shared" si="327"/>
        <v>0</v>
      </c>
      <c r="AY237" s="171">
        <f t="shared" si="327"/>
        <v>0</v>
      </c>
      <c r="AZ237" s="171">
        <f t="shared" si="327"/>
        <v>0</v>
      </c>
      <c r="BA237" s="171">
        <f t="shared" si="327"/>
        <v>0</v>
      </c>
      <c r="BB237" s="171">
        <f t="shared" si="327"/>
        <v>0</v>
      </c>
      <c r="BC237" s="171">
        <f t="shared" si="327"/>
        <v>0</v>
      </c>
      <c r="BD237" s="171">
        <f t="shared" si="327"/>
        <v>0</v>
      </c>
      <c r="BE237" s="171">
        <f t="shared" si="328"/>
        <v>0</v>
      </c>
      <c r="BF237" s="171">
        <f t="shared" si="328"/>
        <v>0</v>
      </c>
      <c r="BG237" s="171">
        <f t="shared" si="328"/>
        <v>0</v>
      </c>
      <c r="BH237" s="171">
        <f t="shared" si="328"/>
        <v>0</v>
      </c>
      <c r="BI237" s="171">
        <f t="shared" si="328"/>
        <v>0</v>
      </c>
      <c r="BJ237" s="171">
        <f t="shared" si="328"/>
        <v>0</v>
      </c>
      <c r="BK237" s="171">
        <f t="shared" si="328"/>
        <v>0</v>
      </c>
      <c r="BL237" s="171">
        <f t="shared" si="328"/>
        <v>0</v>
      </c>
      <c r="BM237" s="171">
        <f t="shared" si="328"/>
        <v>0</v>
      </c>
      <c r="BN237" s="171">
        <f t="shared" si="328"/>
        <v>0</v>
      </c>
      <c r="BO237" s="171">
        <f t="shared" si="329"/>
        <v>0</v>
      </c>
      <c r="BP237" s="171">
        <f t="shared" si="329"/>
        <v>0</v>
      </c>
      <c r="BQ237" s="171">
        <f t="shared" si="329"/>
        <v>0</v>
      </c>
      <c r="BR237" s="171">
        <f t="shared" si="329"/>
        <v>0</v>
      </c>
      <c r="BS237" s="171">
        <f t="shared" si="329"/>
        <v>0</v>
      </c>
      <c r="BT237" s="171">
        <f t="shared" si="329"/>
        <v>0</v>
      </c>
      <c r="BU237" s="171">
        <f t="shared" si="329"/>
        <v>0</v>
      </c>
      <c r="BV237" s="171">
        <f t="shared" si="329"/>
        <v>0</v>
      </c>
      <c r="BW237" s="171">
        <f t="shared" si="329"/>
        <v>0</v>
      </c>
      <c r="BX237" s="171">
        <f t="shared" si="329"/>
        <v>0</v>
      </c>
      <c r="BY237" s="171">
        <f t="shared" si="330"/>
        <v>0</v>
      </c>
      <c r="BZ237" s="171">
        <f t="shared" si="330"/>
        <v>0</v>
      </c>
      <c r="CA237" s="171">
        <f t="shared" si="330"/>
        <v>0</v>
      </c>
      <c r="CB237" s="171">
        <f t="shared" si="330"/>
        <v>0</v>
      </c>
      <c r="CC237" s="171">
        <f t="shared" si="330"/>
        <v>0</v>
      </c>
      <c r="CD237" s="171">
        <f t="shared" si="330"/>
        <v>0</v>
      </c>
      <c r="CE237" s="171">
        <f t="shared" si="330"/>
        <v>0</v>
      </c>
      <c r="CF237" s="171">
        <f t="shared" si="330"/>
        <v>0</v>
      </c>
      <c r="CG237" s="171">
        <f t="shared" si="330"/>
        <v>0</v>
      </c>
      <c r="CH237" s="171">
        <f t="shared" si="330"/>
        <v>0</v>
      </c>
      <c r="CI237" s="171">
        <f t="shared" si="330"/>
        <v>0</v>
      </c>
      <c r="CJ237" s="243"/>
      <c r="CK237" s="171">
        <f t="shared" si="233"/>
        <v>0</v>
      </c>
      <c r="CL237" s="171">
        <f t="shared" si="234"/>
        <v>0</v>
      </c>
      <c r="CM237" s="171">
        <f t="shared" si="235"/>
        <v>0</v>
      </c>
      <c r="CN237" s="171">
        <f t="shared" si="236"/>
        <v>0</v>
      </c>
      <c r="CO237" s="171">
        <f t="shared" si="237"/>
        <v>0</v>
      </c>
      <c r="CP237" s="171">
        <f t="shared" si="238"/>
        <v>0</v>
      </c>
      <c r="CQ237" s="171">
        <f t="shared" si="239"/>
        <v>0</v>
      </c>
      <c r="CR237" s="171">
        <f t="shared" si="240"/>
        <v>0</v>
      </c>
      <c r="CS237" s="171">
        <f t="shared" si="241"/>
        <v>0</v>
      </c>
      <c r="CT237" s="171">
        <f t="shared" si="242"/>
        <v>0</v>
      </c>
      <c r="CU237" s="171">
        <f t="shared" si="243"/>
        <v>0</v>
      </c>
      <c r="CV237" s="171">
        <f t="shared" si="244"/>
        <v>0</v>
      </c>
      <c r="CW237" s="171">
        <f t="shared" si="245"/>
        <v>0</v>
      </c>
      <c r="CX237" s="171">
        <f t="shared" si="246"/>
        <v>0</v>
      </c>
      <c r="CY237" s="171">
        <f t="shared" ca="1" si="247"/>
        <v>0</v>
      </c>
      <c r="CZ237" s="171">
        <f t="shared" ca="1" si="248"/>
        <v>0</v>
      </c>
      <c r="DA237" s="171">
        <f t="shared" ca="1" si="249"/>
        <v>0</v>
      </c>
      <c r="DB237" s="171">
        <f t="shared" ca="1" si="250"/>
        <v>0</v>
      </c>
      <c r="DC237" s="171">
        <f t="shared" ca="1" si="251"/>
        <v>0</v>
      </c>
      <c r="DD237" s="171">
        <f t="shared" ca="1" si="252"/>
        <v>0</v>
      </c>
      <c r="DE237" s="171">
        <f t="shared" ca="1" si="253"/>
        <v>0</v>
      </c>
      <c r="DF237" s="171">
        <f t="shared" ca="1" si="254"/>
        <v>0</v>
      </c>
      <c r="DG237" s="171">
        <f t="shared" ca="1" si="255"/>
        <v>0</v>
      </c>
      <c r="DH237" s="171">
        <f t="shared" ca="1" si="256"/>
        <v>0</v>
      </c>
      <c r="DI237" s="171">
        <f t="shared" ca="1" si="257"/>
        <v>0</v>
      </c>
      <c r="DJ237" s="171">
        <f t="shared" ca="1" si="258"/>
        <v>0</v>
      </c>
      <c r="DK237" s="171">
        <f t="shared" ca="1" si="259"/>
        <v>0</v>
      </c>
      <c r="DL237" s="171">
        <f t="shared" ca="1" si="260"/>
        <v>0</v>
      </c>
      <c r="DM237" s="171">
        <f t="shared" ca="1" si="261"/>
        <v>0</v>
      </c>
      <c r="DN237" s="171">
        <f t="shared" ca="1" si="262"/>
        <v>0</v>
      </c>
      <c r="DO237" s="171">
        <f t="shared" ca="1" si="263"/>
        <v>0</v>
      </c>
      <c r="DP237" s="171">
        <f t="shared" ca="1" si="264"/>
        <v>0</v>
      </c>
      <c r="DQ237" s="171">
        <f t="shared" ca="1" si="265"/>
        <v>0</v>
      </c>
      <c r="DR237" s="171">
        <f t="shared" ca="1" si="266"/>
        <v>0</v>
      </c>
      <c r="DS237" s="171">
        <f t="shared" ca="1" si="267"/>
        <v>0</v>
      </c>
      <c r="DT237" s="171">
        <f t="shared" ca="1" si="268"/>
        <v>0</v>
      </c>
      <c r="DU237" s="171">
        <f t="shared" ca="1" si="269"/>
        <v>0</v>
      </c>
      <c r="DV237" s="171">
        <f t="shared" ca="1" si="270"/>
        <v>0</v>
      </c>
      <c r="DW237" s="171">
        <f t="shared" ca="1" si="271"/>
        <v>0</v>
      </c>
      <c r="DX237" s="171">
        <f t="shared" ca="1" si="272"/>
        <v>0</v>
      </c>
      <c r="DY237" s="171">
        <f t="shared" ca="1" si="273"/>
        <v>0</v>
      </c>
      <c r="DZ237" s="171">
        <f t="shared" ca="1" si="274"/>
        <v>0</v>
      </c>
      <c r="EA237" s="171">
        <f t="shared" ca="1" si="275"/>
        <v>0</v>
      </c>
      <c r="EB237" s="171">
        <f t="shared" ca="1" si="276"/>
        <v>0</v>
      </c>
      <c r="EC237" s="171">
        <f t="shared" ca="1" si="277"/>
        <v>0</v>
      </c>
      <c r="ED237" s="171">
        <f t="shared" ca="1" si="278"/>
        <v>0</v>
      </c>
      <c r="EE237" s="171">
        <f t="shared" ca="1" si="279"/>
        <v>0</v>
      </c>
      <c r="EF237" s="171">
        <f t="shared" ca="1" si="280"/>
        <v>0</v>
      </c>
      <c r="EG237" s="171">
        <f t="shared" ca="1" si="281"/>
        <v>0</v>
      </c>
      <c r="EH237" s="171">
        <f t="shared" ca="1" si="282"/>
        <v>0</v>
      </c>
      <c r="EI237" s="171">
        <f t="shared" ca="1" si="283"/>
        <v>0</v>
      </c>
      <c r="EJ237" s="171">
        <f t="shared" ca="1" si="284"/>
        <v>0</v>
      </c>
      <c r="EK237" s="171">
        <f t="shared" ca="1" si="285"/>
        <v>0</v>
      </c>
      <c r="EL237" s="171">
        <f t="shared" ca="1" si="286"/>
        <v>0</v>
      </c>
      <c r="EM237" s="171">
        <f t="shared" ca="1" si="287"/>
        <v>0</v>
      </c>
      <c r="EN237" s="171">
        <f t="shared" ca="1" si="288"/>
        <v>0</v>
      </c>
      <c r="EO237" s="171">
        <f t="shared" ca="1" si="289"/>
        <v>0</v>
      </c>
      <c r="EP237" s="171">
        <f t="shared" ca="1" si="290"/>
        <v>0</v>
      </c>
      <c r="EQ237" s="171">
        <f t="shared" ca="1" si="291"/>
        <v>0</v>
      </c>
      <c r="ER237" s="171">
        <f t="shared" ca="1" si="292"/>
        <v>0</v>
      </c>
      <c r="ES237" s="171">
        <f t="shared" ca="1" si="293"/>
        <v>0</v>
      </c>
    </row>
    <row r="238" spans="1:149">
      <c r="C238" s="214"/>
      <c r="L238" s="163"/>
      <c r="M238" s="164" t="str">
        <f t="shared" si="223"/>
        <v/>
      </c>
      <c r="N238" s="164" t="str">
        <f t="shared" si="224"/>
        <v/>
      </c>
      <c r="O238" s="165" t="str">
        <f t="shared" si="225"/>
        <v/>
      </c>
      <c r="R238" s="168"/>
      <c r="U238" s="171">
        <f t="shared" si="227"/>
        <v>0</v>
      </c>
      <c r="V238" s="171">
        <f t="shared" ca="1" si="228"/>
        <v>0</v>
      </c>
      <c r="W238" s="171">
        <f t="shared" ca="1" si="229"/>
        <v>0</v>
      </c>
      <c r="X238" s="172">
        <f t="shared" si="230"/>
        <v>0</v>
      </c>
      <c r="Y238" s="172" t="str">
        <f t="shared" si="231"/>
        <v/>
      </c>
      <c r="Z238" s="173">
        <f t="shared" si="232"/>
        <v>0</v>
      </c>
      <c r="AA238" s="171">
        <f t="shared" si="325"/>
        <v>0</v>
      </c>
      <c r="AB238" s="171">
        <f t="shared" si="325"/>
        <v>0</v>
      </c>
      <c r="AC238" s="171">
        <f t="shared" si="325"/>
        <v>0</v>
      </c>
      <c r="AD238" s="171">
        <f t="shared" si="325"/>
        <v>0</v>
      </c>
      <c r="AE238" s="171">
        <f t="shared" si="325"/>
        <v>0</v>
      </c>
      <c r="AF238" s="171">
        <f t="shared" si="325"/>
        <v>0</v>
      </c>
      <c r="AG238" s="171">
        <f t="shared" si="325"/>
        <v>0</v>
      </c>
      <c r="AH238" s="171">
        <f t="shared" si="325"/>
        <v>0</v>
      </c>
      <c r="AI238" s="171">
        <f t="shared" si="325"/>
        <v>0</v>
      </c>
      <c r="AJ238" s="171">
        <f t="shared" si="325"/>
        <v>0</v>
      </c>
      <c r="AK238" s="171">
        <f t="shared" si="326"/>
        <v>0</v>
      </c>
      <c r="AL238" s="171">
        <f t="shared" si="326"/>
        <v>0</v>
      </c>
      <c r="AM238" s="171">
        <f t="shared" si="326"/>
        <v>0</v>
      </c>
      <c r="AN238" s="171">
        <f t="shared" si="326"/>
        <v>0</v>
      </c>
      <c r="AO238" s="171">
        <f t="shared" si="326"/>
        <v>0</v>
      </c>
      <c r="AP238" s="171">
        <f t="shared" si="326"/>
        <v>0</v>
      </c>
      <c r="AQ238" s="171">
        <f t="shared" si="326"/>
        <v>0</v>
      </c>
      <c r="AR238" s="171">
        <f t="shared" si="326"/>
        <v>0</v>
      </c>
      <c r="AS238" s="171">
        <f t="shared" si="326"/>
        <v>0</v>
      </c>
      <c r="AT238" s="171">
        <f t="shared" si="326"/>
        <v>0</v>
      </c>
      <c r="AU238" s="171">
        <f t="shared" si="327"/>
        <v>0</v>
      </c>
      <c r="AV238" s="171">
        <f t="shared" si="327"/>
        <v>0</v>
      </c>
      <c r="AW238" s="171">
        <f t="shared" si="327"/>
        <v>0</v>
      </c>
      <c r="AX238" s="171">
        <f t="shared" si="327"/>
        <v>0</v>
      </c>
      <c r="AY238" s="171">
        <f t="shared" si="327"/>
        <v>0</v>
      </c>
      <c r="AZ238" s="171">
        <f t="shared" si="327"/>
        <v>0</v>
      </c>
      <c r="BA238" s="171">
        <f t="shared" si="327"/>
        <v>0</v>
      </c>
      <c r="BB238" s="171">
        <f t="shared" si="327"/>
        <v>0</v>
      </c>
      <c r="BC238" s="171">
        <f t="shared" si="327"/>
        <v>0</v>
      </c>
      <c r="BD238" s="171">
        <f t="shared" si="327"/>
        <v>0</v>
      </c>
      <c r="BE238" s="171">
        <f t="shared" si="328"/>
        <v>0</v>
      </c>
      <c r="BF238" s="171">
        <f t="shared" si="328"/>
        <v>0</v>
      </c>
      <c r="BG238" s="171">
        <f t="shared" si="328"/>
        <v>0</v>
      </c>
      <c r="BH238" s="171">
        <f t="shared" si="328"/>
        <v>0</v>
      </c>
      <c r="BI238" s="171">
        <f t="shared" si="328"/>
        <v>0</v>
      </c>
      <c r="BJ238" s="171">
        <f t="shared" si="328"/>
        <v>0</v>
      </c>
      <c r="BK238" s="171">
        <f t="shared" si="328"/>
        <v>0</v>
      </c>
      <c r="BL238" s="171">
        <f t="shared" si="328"/>
        <v>0</v>
      </c>
      <c r="BM238" s="171">
        <f t="shared" si="328"/>
        <v>0</v>
      </c>
      <c r="BN238" s="171">
        <f t="shared" si="328"/>
        <v>0</v>
      </c>
      <c r="BO238" s="171">
        <f t="shared" si="329"/>
        <v>0</v>
      </c>
      <c r="BP238" s="171">
        <f t="shared" si="329"/>
        <v>0</v>
      </c>
      <c r="BQ238" s="171">
        <f t="shared" si="329"/>
        <v>0</v>
      </c>
      <c r="BR238" s="171">
        <f t="shared" si="329"/>
        <v>0</v>
      </c>
      <c r="BS238" s="171">
        <f t="shared" si="329"/>
        <v>0</v>
      </c>
      <c r="BT238" s="171">
        <f t="shared" si="329"/>
        <v>0</v>
      </c>
      <c r="BU238" s="171">
        <f t="shared" si="329"/>
        <v>0</v>
      </c>
      <c r="BV238" s="171">
        <f t="shared" si="329"/>
        <v>0</v>
      </c>
      <c r="BW238" s="171">
        <f t="shared" si="329"/>
        <v>0</v>
      </c>
      <c r="BX238" s="171">
        <f t="shared" si="329"/>
        <v>0</v>
      </c>
      <c r="BY238" s="171">
        <f t="shared" si="330"/>
        <v>0</v>
      </c>
      <c r="BZ238" s="171">
        <f t="shared" si="330"/>
        <v>0</v>
      </c>
      <c r="CA238" s="171">
        <f t="shared" si="330"/>
        <v>0</v>
      </c>
      <c r="CB238" s="171">
        <f t="shared" si="330"/>
        <v>0</v>
      </c>
      <c r="CC238" s="171">
        <f t="shared" si="330"/>
        <v>0</v>
      </c>
      <c r="CD238" s="171">
        <f t="shared" si="330"/>
        <v>0</v>
      </c>
      <c r="CE238" s="171">
        <f t="shared" si="330"/>
        <v>0</v>
      </c>
      <c r="CF238" s="171">
        <f t="shared" si="330"/>
        <v>0</v>
      </c>
      <c r="CG238" s="171">
        <f t="shared" si="330"/>
        <v>0</v>
      </c>
      <c r="CH238" s="171">
        <f t="shared" si="330"/>
        <v>0</v>
      </c>
      <c r="CI238" s="171">
        <f t="shared" si="330"/>
        <v>0</v>
      </c>
      <c r="CJ238" s="243"/>
      <c r="CK238" s="171">
        <f t="shared" si="233"/>
        <v>0</v>
      </c>
      <c r="CL238" s="171">
        <f t="shared" si="234"/>
        <v>0</v>
      </c>
      <c r="CM238" s="171">
        <f t="shared" si="235"/>
        <v>0</v>
      </c>
      <c r="CN238" s="171">
        <f t="shared" si="236"/>
        <v>0</v>
      </c>
      <c r="CO238" s="171">
        <f t="shared" si="237"/>
        <v>0</v>
      </c>
      <c r="CP238" s="171">
        <f t="shared" si="238"/>
        <v>0</v>
      </c>
      <c r="CQ238" s="171">
        <f t="shared" si="239"/>
        <v>0</v>
      </c>
      <c r="CR238" s="171">
        <f t="shared" si="240"/>
        <v>0</v>
      </c>
      <c r="CS238" s="171">
        <f t="shared" si="241"/>
        <v>0</v>
      </c>
      <c r="CT238" s="171">
        <f t="shared" si="242"/>
        <v>0</v>
      </c>
      <c r="CU238" s="171">
        <f t="shared" si="243"/>
        <v>0</v>
      </c>
      <c r="CV238" s="171">
        <f t="shared" si="244"/>
        <v>0</v>
      </c>
      <c r="CW238" s="171">
        <f t="shared" si="245"/>
        <v>0</v>
      </c>
      <c r="CX238" s="171">
        <f t="shared" si="246"/>
        <v>0</v>
      </c>
      <c r="CY238" s="171">
        <f t="shared" ca="1" si="247"/>
        <v>0</v>
      </c>
      <c r="CZ238" s="171">
        <f t="shared" ca="1" si="248"/>
        <v>0</v>
      </c>
      <c r="DA238" s="171">
        <f t="shared" ca="1" si="249"/>
        <v>0</v>
      </c>
      <c r="DB238" s="171">
        <f t="shared" ca="1" si="250"/>
        <v>0</v>
      </c>
      <c r="DC238" s="171">
        <f t="shared" ca="1" si="251"/>
        <v>0</v>
      </c>
      <c r="DD238" s="171">
        <f t="shared" ca="1" si="252"/>
        <v>0</v>
      </c>
      <c r="DE238" s="171">
        <f t="shared" ca="1" si="253"/>
        <v>0</v>
      </c>
      <c r="DF238" s="171">
        <f t="shared" ca="1" si="254"/>
        <v>0</v>
      </c>
      <c r="DG238" s="171">
        <f t="shared" ca="1" si="255"/>
        <v>0</v>
      </c>
      <c r="DH238" s="171">
        <f t="shared" ca="1" si="256"/>
        <v>0</v>
      </c>
      <c r="DI238" s="171">
        <f t="shared" ca="1" si="257"/>
        <v>0</v>
      </c>
      <c r="DJ238" s="171">
        <f t="shared" ca="1" si="258"/>
        <v>0</v>
      </c>
      <c r="DK238" s="171">
        <f t="shared" ca="1" si="259"/>
        <v>0</v>
      </c>
      <c r="DL238" s="171">
        <f t="shared" ca="1" si="260"/>
        <v>0</v>
      </c>
      <c r="DM238" s="171">
        <f t="shared" ca="1" si="261"/>
        <v>0</v>
      </c>
      <c r="DN238" s="171">
        <f t="shared" ca="1" si="262"/>
        <v>0</v>
      </c>
      <c r="DO238" s="171">
        <f t="shared" ca="1" si="263"/>
        <v>0</v>
      </c>
      <c r="DP238" s="171">
        <f t="shared" ca="1" si="264"/>
        <v>0</v>
      </c>
      <c r="DQ238" s="171">
        <f t="shared" ca="1" si="265"/>
        <v>0</v>
      </c>
      <c r="DR238" s="171">
        <f t="shared" ca="1" si="266"/>
        <v>0</v>
      </c>
      <c r="DS238" s="171">
        <f t="shared" ca="1" si="267"/>
        <v>0</v>
      </c>
      <c r="DT238" s="171">
        <f t="shared" ca="1" si="268"/>
        <v>0</v>
      </c>
      <c r="DU238" s="171">
        <f t="shared" ca="1" si="269"/>
        <v>0</v>
      </c>
      <c r="DV238" s="171">
        <f t="shared" ca="1" si="270"/>
        <v>0</v>
      </c>
      <c r="DW238" s="171">
        <f t="shared" ca="1" si="271"/>
        <v>0</v>
      </c>
      <c r="DX238" s="171">
        <f t="shared" ca="1" si="272"/>
        <v>0</v>
      </c>
      <c r="DY238" s="171">
        <f t="shared" ca="1" si="273"/>
        <v>0</v>
      </c>
      <c r="DZ238" s="171">
        <f t="shared" ca="1" si="274"/>
        <v>0</v>
      </c>
      <c r="EA238" s="171">
        <f t="shared" ca="1" si="275"/>
        <v>0</v>
      </c>
      <c r="EB238" s="171">
        <f t="shared" ca="1" si="276"/>
        <v>0</v>
      </c>
      <c r="EC238" s="171">
        <f t="shared" ca="1" si="277"/>
        <v>0</v>
      </c>
      <c r="ED238" s="171">
        <f t="shared" ca="1" si="278"/>
        <v>0</v>
      </c>
      <c r="EE238" s="171">
        <f t="shared" ca="1" si="279"/>
        <v>0</v>
      </c>
      <c r="EF238" s="171">
        <f t="shared" ca="1" si="280"/>
        <v>0</v>
      </c>
      <c r="EG238" s="171">
        <f t="shared" ca="1" si="281"/>
        <v>0</v>
      </c>
      <c r="EH238" s="171">
        <f t="shared" ca="1" si="282"/>
        <v>0</v>
      </c>
      <c r="EI238" s="171">
        <f t="shared" ca="1" si="283"/>
        <v>0</v>
      </c>
      <c r="EJ238" s="171">
        <f t="shared" ca="1" si="284"/>
        <v>0</v>
      </c>
      <c r="EK238" s="171">
        <f t="shared" ca="1" si="285"/>
        <v>0</v>
      </c>
      <c r="EL238" s="171">
        <f t="shared" ca="1" si="286"/>
        <v>0</v>
      </c>
      <c r="EM238" s="171">
        <f t="shared" ca="1" si="287"/>
        <v>0</v>
      </c>
      <c r="EN238" s="171">
        <f t="shared" ca="1" si="288"/>
        <v>0</v>
      </c>
      <c r="EO238" s="171">
        <f t="shared" ca="1" si="289"/>
        <v>0</v>
      </c>
      <c r="EP238" s="171">
        <f t="shared" ca="1" si="290"/>
        <v>0</v>
      </c>
      <c r="EQ238" s="171">
        <f t="shared" ca="1" si="291"/>
        <v>0</v>
      </c>
      <c r="ER238" s="171">
        <f t="shared" ca="1" si="292"/>
        <v>0</v>
      </c>
      <c r="ES238" s="171">
        <f t="shared" ca="1" si="293"/>
        <v>0</v>
      </c>
    </row>
    <row r="239" spans="1:149">
      <c r="C239" s="214"/>
      <c r="L239" s="163"/>
      <c r="M239" s="164" t="str">
        <f t="shared" si="223"/>
        <v/>
      </c>
      <c r="N239" s="164" t="str">
        <f t="shared" si="224"/>
        <v/>
      </c>
      <c r="O239" s="165" t="str">
        <f t="shared" si="225"/>
        <v/>
      </c>
      <c r="R239" s="168"/>
      <c r="U239" s="171">
        <f t="shared" si="227"/>
        <v>0</v>
      </c>
      <c r="V239" s="171">
        <f t="shared" ca="1" si="228"/>
        <v>0</v>
      </c>
      <c r="W239" s="171">
        <f t="shared" ca="1" si="229"/>
        <v>0</v>
      </c>
      <c r="X239" s="172">
        <f t="shared" si="230"/>
        <v>0</v>
      </c>
      <c r="Y239" s="172" t="str">
        <f t="shared" si="231"/>
        <v/>
      </c>
      <c r="Z239" s="173">
        <f t="shared" si="232"/>
        <v>0</v>
      </c>
      <c r="AA239" s="171">
        <f t="shared" ref="AA239:AJ248" si="331">IFERROR(
    IF($T239="Equity",
        IF(AND(AA$48&gt;=$E239, AA$48&lt;=($E239+$Q239)),
$K239*$P239*(VLOOKUP($C$39,$C$37:$BL$44,MATCH($E239,$C$37:$BL$37,0),FALSE)/VLOOKUP($L239,$C$37:$BL$44,MATCH($E239,$C$37:$BL$37,0),FALSE))*
IF($B$5="Foreign Currency",VLOOKUP($C$38,$C$37:$BL$44,MATCH(AA$48,$C$37:$BL$37,0),FALSE)/VLOOKUP($C$39,$C$37:$BL$44,MATCH(AA$48,$C$37:$BL$37,0),FALSE),1),
0),
    IF($T239="Lump Sum Principal",
        IF(AND(AA$48&gt;=$E239, AA$48&lt;($E239+$Q239)),
$K239*$P239*(VLOOKUP($C$39,$C$37:$BL$44,MATCH($E239,$C$37:$BL$37,0),FALSE)/VLOOKUP($L239,$C$37:$BL$44,MATCH($E239,$C$37:$BL$37,0),FALSE))*
IF($B$5="Foreign Currency",VLOOKUP($C$38,$C$37:$BL$44,MATCH(AA$48,$C$37:$BL$37,0),FALSE)/VLOOKUP($C$39,$C$37:$BL$44,MATCH(AA$48,$C$37:$BL$37,0),FALSE),1),
        IF(AA$48=($E239+$Q239),
$K239*(1+$P239)*(VLOOKUP($C$39,$C$37:$BL$44,MATCH($E239,$C$37:$BL$37,0),FALSE)/VLOOKUP($L239,$C$37:$BL$44,MATCH($E239,$C$37:$BL$37,0),FALSE))*
IF($B$5="Foreign Currency",VLOOKUP($C$38,$C$37:$BL$44,MATCH(AA$48,$C$37:$BL$37,0),FALSE)/VLOOKUP($C$39,$C$37:$BL$44,MATCH(AA$48,$C$37:$BL$37,0),FALSE),1),
0)),
    IF($T239="Lump Sum Principal and Interest",
        IF(AA$48=($E239+$Q239),
$K239*((1+$P239)^$Q239)*(VLOOKUP($C$39,$C$37:$BL$44,MATCH($E239,$C$37:$BL$37,0),FALSE)/VLOOKUP($L239,$C$37:$BL$44,MATCH($E239,$C$37:$BL$37,0),FALSE))*
IF($B$5="Foreign Currency",VLOOKUP($C$38,$C$37:$BL$44,MATCH(AA$48,$C$37:$BL$37,0),FALSE)/VLOOKUP($C$39,$C$37:$BL$44,MATCH(AA$48,$C$37:$BL$37,0),FALSE),1),
0),
    IF($T239="EPP with Grace Years for Principal",
        IF(AND(AA$48&gt;=$E239, AA$48&lt;($E239+$S239)),
$K239*$P239*(VLOOKUP($C$39,$C$37:$BL$44,MATCH($E239,$C$37:$BL$37,0),FALSE)/VLOOKUP($L239,$C$37:$BL$44,MATCH($E239,$C$37:$BL$37,0),FALSE))*
IF($B$5="Foreign Currency",VLOOKUP($C$38,$C$37:$BL$44,MATCH(AA$48,$C$37:$BL$37,0),FALSE)/VLOOKUP($C$39,$C$37:$BL$44,MATCH(AA$48,$C$37:$BL$37,0),FALSE),1),
        IF(AND(AA$48&gt;=($E239+$S239), AA$48&lt;=($E239+$Q239)),
-PMT($P239,($Q239-$S239+1),($K239*(VLOOKUP($C$39,$C$37:$BL$44,MATCH($E239,$C$37:$BL$37,0),FALSE)/VLOOKUP($L239,$C$37:$BL$44,MATCH($E239,$C$37:$BL$37,0),FALSE))*
IF($B$5="Foreign Currency",VLOOKUP($C$38,$C$37:$BL$44,MATCH(AA$48,$C$37:$BL$37,0),FALSE)/VLOOKUP($C$39,$C$37:$BL$44,MATCH(AA$48,$C$37:$BL$37,0),FALSE),1)),0),
0)),
    IF($T239="Equal Principal Payments (EPP)",
        IF(AND(AA$48&gt;=$E239, AA$48&lt;=($E239+$Q239)),
-PMT($P239,($Q239-$S239+1),($K239*(VLOOKUP($C$39,$C$37:$BL$44,MATCH($E239,$C$37:$BL$37,0),FALSE)/VLOOKUP($L239,$C$37:$BL$44,MATCH($E239,$C$37:$BL$37,0),FALSE))*
IF($B$5="Foreign Currency",VLOOKUP($C$38,$C$37:$BL$44,MATCH(AA$48,$C$37:$BL$37,0),FALSE)/VLOOKUP($C$39,$C$37:$BL$44,MATCH(AA$48,$C$37:$BL$37,0),FALSE),1)),0), 0),
    IF($T239="EPP with Grace Years for Principal and on Interest",
        IF(AND(AA$48&gt;=($E239+$S239), AA$48&lt;=($E239+$Q239)),
-PMT($P239,($Q239-$S239+1),($K239*(VLOOKUP($C$39,$C$37:$BL$44,MATCH($E239,$C$37:$BL$37,0),FALSE)/VLOOKUP($L239,$C$37:$BL$44,MATCH($E239,$C$37:$BL$37,0),FALSE))*
IF($B$5="Foreign Currency",VLOOKUP($C$38,$C$37:$BL$44,MATCH(AA$48,$C$37:$BL$37,0),FALSE)/VLOOKUP($C$39,$C$37:$BL$44,MATCH(AA$48,$C$37:$BL$37,0),FALSE),1))*((1+$P239)^$S239),0), 0),
    0)))))),"")</f>
        <v>0</v>
      </c>
      <c r="AB239" s="171">
        <f t="shared" si="331"/>
        <v>0</v>
      </c>
      <c r="AC239" s="171">
        <f t="shared" si="331"/>
        <v>0</v>
      </c>
      <c r="AD239" s="171">
        <f t="shared" si="331"/>
        <v>0</v>
      </c>
      <c r="AE239" s="171">
        <f t="shared" si="331"/>
        <v>0</v>
      </c>
      <c r="AF239" s="171">
        <f t="shared" si="331"/>
        <v>0</v>
      </c>
      <c r="AG239" s="171">
        <f t="shared" si="331"/>
        <v>0</v>
      </c>
      <c r="AH239" s="171">
        <f t="shared" si="331"/>
        <v>0</v>
      </c>
      <c r="AI239" s="171">
        <f t="shared" si="331"/>
        <v>0</v>
      </c>
      <c r="AJ239" s="171">
        <f t="shared" si="331"/>
        <v>0</v>
      </c>
      <c r="AK239" s="171">
        <f t="shared" ref="AK239:AT248" si="332">IFERROR(
    IF($T239="Equity",
        IF(AND(AK$48&gt;=$E239, AK$48&lt;=($E239+$Q239)),
$K239*$P239*(VLOOKUP($C$39,$C$37:$BL$44,MATCH($E239,$C$37:$BL$37,0),FALSE)/VLOOKUP($L239,$C$37:$BL$44,MATCH($E239,$C$37:$BL$37,0),FALSE))*
IF($B$5="Foreign Currency",VLOOKUP($C$38,$C$37:$BL$44,MATCH(AK$48,$C$37:$BL$37,0),FALSE)/VLOOKUP($C$39,$C$37:$BL$44,MATCH(AK$48,$C$37:$BL$37,0),FALSE),1),
0),
    IF($T239="Lump Sum Principal",
        IF(AND(AK$48&gt;=$E239, AK$48&lt;($E239+$Q239)),
$K239*$P239*(VLOOKUP($C$39,$C$37:$BL$44,MATCH($E239,$C$37:$BL$37,0),FALSE)/VLOOKUP($L239,$C$37:$BL$44,MATCH($E239,$C$37:$BL$37,0),FALSE))*
IF($B$5="Foreign Currency",VLOOKUP($C$38,$C$37:$BL$44,MATCH(AK$48,$C$37:$BL$37,0),FALSE)/VLOOKUP($C$39,$C$37:$BL$44,MATCH(AK$48,$C$37:$BL$37,0),FALSE),1),
        IF(AK$48=($E239+$Q239),
$K239*(1+$P239)*(VLOOKUP($C$39,$C$37:$BL$44,MATCH($E239,$C$37:$BL$37,0),FALSE)/VLOOKUP($L239,$C$37:$BL$44,MATCH($E239,$C$37:$BL$37,0),FALSE))*
IF($B$5="Foreign Currency",VLOOKUP($C$38,$C$37:$BL$44,MATCH(AK$48,$C$37:$BL$37,0),FALSE)/VLOOKUP($C$39,$C$37:$BL$44,MATCH(AK$48,$C$37:$BL$37,0),FALSE),1),
0)),
    IF($T239="Lump Sum Principal and Interest",
        IF(AK$48=($E239+$Q239),
$K239*((1+$P239)^$Q239)*(VLOOKUP($C$39,$C$37:$BL$44,MATCH($E239,$C$37:$BL$37,0),FALSE)/VLOOKUP($L239,$C$37:$BL$44,MATCH($E239,$C$37:$BL$37,0),FALSE))*
IF($B$5="Foreign Currency",VLOOKUP($C$38,$C$37:$BL$44,MATCH(AK$48,$C$37:$BL$37,0),FALSE)/VLOOKUP($C$39,$C$37:$BL$44,MATCH(AK$48,$C$37:$BL$37,0),FALSE),1),
0),
    IF($T239="EPP with Grace Years for Principal",
        IF(AND(AK$48&gt;=$E239, AK$48&lt;($E239+$S239)),
$K239*$P239*(VLOOKUP($C$39,$C$37:$BL$44,MATCH($E239,$C$37:$BL$37,0),FALSE)/VLOOKUP($L239,$C$37:$BL$44,MATCH($E239,$C$37:$BL$37,0),FALSE))*
IF($B$5="Foreign Currency",VLOOKUP($C$38,$C$37:$BL$44,MATCH(AK$48,$C$37:$BL$37,0),FALSE)/VLOOKUP($C$39,$C$37:$BL$44,MATCH(AK$48,$C$37:$BL$37,0),FALSE),1),
        IF(AND(AK$48&gt;=($E239+$S239), AK$48&lt;=($E239+$Q239)),
-PMT($P239,($Q239-$S239+1),($K239*(VLOOKUP($C$39,$C$37:$BL$44,MATCH($E239,$C$37:$BL$37,0),FALSE)/VLOOKUP($L239,$C$37:$BL$44,MATCH($E239,$C$37:$BL$37,0),FALSE))*
IF($B$5="Foreign Currency",VLOOKUP($C$38,$C$37:$BL$44,MATCH(AK$48,$C$37:$BL$37,0),FALSE)/VLOOKUP($C$39,$C$37:$BL$44,MATCH(AK$48,$C$37:$BL$37,0),FALSE),1)),0),
0)),
    IF($T239="Equal Principal Payments (EPP)",
        IF(AND(AK$48&gt;=$E239, AK$48&lt;=($E239+$Q239)),
-PMT($P239,($Q239-$S239+1),($K239*(VLOOKUP($C$39,$C$37:$BL$44,MATCH($E239,$C$37:$BL$37,0),FALSE)/VLOOKUP($L239,$C$37:$BL$44,MATCH($E239,$C$37:$BL$37,0),FALSE))*
IF($B$5="Foreign Currency",VLOOKUP($C$38,$C$37:$BL$44,MATCH(AK$48,$C$37:$BL$37,0),FALSE)/VLOOKUP($C$39,$C$37:$BL$44,MATCH(AK$48,$C$37:$BL$37,0),FALSE),1)),0), 0),
    IF($T239="EPP with Grace Years for Principal and on Interest",
        IF(AND(AK$48&gt;=($E239+$S239), AK$48&lt;=($E239+$Q239)),
-PMT($P239,($Q239-$S239+1),($K239*(VLOOKUP($C$39,$C$37:$BL$44,MATCH($E239,$C$37:$BL$37,0),FALSE)/VLOOKUP($L239,$C$37:$BL$44,MATCH($E239,$C$37:$BL$37,0),FALSE))*
IF($B$5="Foreign Currency",VLOOKUP($C$38,$C$37:$BL$44,MATCH(AK$48,$C$37:$BL$37,0),FALSE)/VLOOKUP($C$39,$C$37:$BL$44,MATCH(AK$48,$C$37:$BL$37,0),FALSE),1))*((1+$P239)^$S239),0), 0),
    0)))))),"")</f>
        <v>0</v>
      </c>
      <c r="AL239" s="171">
        <f t="shared" si="332"/>
        <v>0</v>
      </c>
      <c r="AM239" s="171">
        <f t="shared" si="332"/>
        <v>0</v>
      </c>
      <c r="AN239" s="171">
        <f t="shared" si="332"/>
        <v>0</v>
      </c>
      <c r="AO239" s="171">
        <f t="shared" si="332"/>
        <v>0</v>
      </c>
      <c r="AP239" s="171">
        <f t="shared" si="332"/>
        <v>0</v>
      </c>
      <c r="AQ239" s="171">
        <f t="shared" si="332"/>
        <v>0</v>
      </c>
      <c r="AR239" s="171">
        <f t="shared" si="332"/>
        <v>0</v>
      </c>
      <c r="AS239" s="171">
        <f t="shared" si="332"/>
        <v>0</v>
      </c>
      <c r="AT239" s="171">
        <f t="shared" si="332"/>
        <v>0</v>
      </c>
      <c r="AU239" s="171">
        <f t="shared" ref="AU239:BD248" si="333">IFERROR(
    IF($T239="Equity",
        IF(AND(AU$48&gt;=$E239, AU$48&lt;=($E239+$Q239)),
$K239*$P239*(VLOOKUP($C$39,$C$37:$BL$44,MATCH($E239,$C$37:$BL$37,0),FALSE)/VLOOKUP($L239,$C$37:$BL$44,MATCH($E239,$C$37:$BL$37,0),FALSE))*
IF($B$5="Foreign Currency",VLOOKUP($C$38,$C$37:$BL$44,MATCH(AU$48,$C$37:$BL$37,0),FALSE)/VLOOKUP($C$39,$C$37:$BL$44,MATCH(AU$48,$C$37:$BL$37,0),FALSE),1),
0),
    IF($T239="Lump Sum Principal",
        IF(AND(AU$48&gt;=$E239, AU$48&lt;($E239+$Q239)),
$K239*$P239*(VLOOKUP($C$39,$C$37:$BL$44,MATCH($E239,$C$37:$BL$37,0),FALSE)/VLOOKUP($L239,$C$37:$BL$44,MATCH($E239,$C$37:$BL$37,0),FALSE))*
IF($B$5="Foreign Currency",VLOOKUP($C$38,$C$37:$BL$44,MATCH(AU$48,$C$37:$BL$37,0),FALSE)/VLOOKUP($C$39,$C$37:$BL$44,MATCH(AU$48,$C$37:$BL$37,0),FALSE),1),
        IF(AU$48=($E239+$Q239),
$K239*(1+$P239)*(VLOOKUP($C$39,$C$37:$BL$44,MATCH($E239,$C$37:$BL$37,0),FALSE)/VLOOKUP($L239,$C$37:$BL$44,MATCH($E239,$C$37:$BL$37,0),FALSE))*
IF($B$5="Foreign Currency",VLOOKUP($C$38,$C$37:$BL$44,MATCH(AU$48,$C$37:$BL$37,0),FALSE)/VLOOKUP($C$39,$C$37:$BL$44,MATCH(AU$48,$C$37:$BL$37,0),FALSE),1),
0)),
    IF($T239="Lump Sum Principal and Interest",
        IF(AU$48=($E239+$Q239),
$K239*((1+$P239)^$Q239)*(VLOOKUP($C$39,$C$37:$BL$44,MATCH($E239,$C$37:$BL$37,0),FALSE)/VLOOKUP($L239,$C$37:$BL$44,MATCH($E239,$C$37:$BL$37,0),FALSE))*
IF($B$5="Foreign Currency",VLOOKUP($C$38,$C$37:$BL$44,MATCH(AU$48,$C$37:$BL$37,0),FALSE)/VLOOKUP($C$39,$C$37:$BL$44,MATCH(AU$48,$C$37:$BL$37,0),FALSE),1),
0),
    IF($T239="EPP with Grace Years for Principal",
        IF(AND(AU$48&gt;=$E239, AU$48&lt;($E239+$S239)),
$K239*$P239*(VLOOKUP($C$39,$C$37:$BL$44,MATCH($E239,$C$37:$BL$37,0),FALSE)/VLOOKUP($L239,$C$37:$BL$44,MATCH($E239,$C$37:$BL$37,0),FALSE))*
IF($B$5="Foreign Currency",VLOOKUP($C$38,$C$37:$BL$44,MATCH(AU$48,$C$37:$BL$37,0),FALSE)/VLOOKUP($C$39,$C$37:$BL$44,MATCH(AU$48,$C$37:$BL$37,0),FALSE),1),
        IF(AND(AU$48&gt;=($E239+$S239), AU$48&lt;=($E239+$Q239)),
-PMT($P239,($Q239-$S239+1),($K239*(VLOOKUP($C$39,$C$37:$BL$44,MATCH($E239,$C$37:$BL$37,0),FALSE)/VLOOKUP($L239,$C$37:$BL$44,MATCH($E239,$C$37:$BL$37,0),FALSE))*
IF($B$5="Foreign Currency",VLOOKUP($C$38,$C$37:$BL$44,MATCH(AU$48,$C$37:$BL$37,0),FALSE)/VLOOKUP($C$39,$C$37:$BL$44,MATCH(AU$48,$C$37:$BL$37,0),FALSE),1)),0),
0)),
    IF($T239="Equal Principal Payments (EPP)",
        IF(AND(AU$48&gt;=$E239, AU$48&lt;=($E239+$Q239)),
-PMT($P239,($Q239-$S239+1),($K239*(VLOOKUP($C$39,$C$37:$BL$44,MATCH($E239,$C$37:$BL$37,0),FALSE)/VLOOKUP($L239,$C$37:$BL$44,MATCH($E239,$C$37:$BL$37,0),FALSE))*
IF($B$5="Foreign Currency",VLOOKUP($C$38,$C$37:$BL$44,MATCH(AU$48,$C$37:$BL$37,0),FALSE)/VLOOKUP($C$39,$C$37:$BL$44,MATCH(AU$48,$C$37:$BL$37,0),FALSE),1)),0), 0),
    IF($T239="EPP with Grace Years for Principal and on Interest",
        IF(AND(AU$48&gt;=($E239+$S239), AU$48&lt;=($E239+$Q239)),
-PMT($P239,($Q239-$S239+1),($K239*(VLOOKUP($C$39,$C$37:$BL$44,MATCH($E239,$C$37:$BL$37,0),FALSE)/VLOOKUP($L239,$C$37:$BL$44,MATCH($E239,$C$37:$BL$37,0),FALSE))*
IF($B$5="Foreign Currency",VLOOKUP($C$38,$C$37:$BL$44,MATCH(AU$48,$C$37:$BL$37,0),FALSE)/VLOOKUP($C$39,$C$37:$BL$44,MATCH(AU$48,$C$37:$BL$37,0),FALSE),1))*((1+$P239)^$S239),0), 0),
    0)))))),"")</f>
        <v>0</v>
      </c>
      <c r="AV239" s="171">
        <f t="shared" si="333"/>
        <v>0</v>
      </c>
      <c r="AW239" s="171">
        <f t="shared" si="333"/>
        <v>0</v>
      </c>
      <c r="AX239" s="171">
        <f t="shared" si="333"/>
        <v>0</v>
      </c>
      <c r="AY239" s="171">
        <f t="shared" si="333"/>
        <v>0</v>
      </c>
      <c r="AZ239" s="171">
        <f t="shared" si="333"/>
        <v>0</v>
      </c>
      <c r="BA239" s="171">
        <f t="shared" si="333"/>
        <v>0</v>
      </c>
      <c r="BB239" s="171">
        <f t="shared" si="333"/>
        <v>0</v>
      </c>
      <c r="BC239" s="171">
        <f t="shared" si="333"/>
        <v>0</v>
      </c>
      <c r="BD239" s="171">
        <f t="shared" si="333"/>
        <v>0</v>
      </c>
      <c r="BE239" s="171">
        <f t="shared" ref="BE239:BN248" si="334">IFERROR(
    IF($T239="Equity",
        IF(AND(BE$48&gt;=$E239, BE$48&lt;=($E239+$Q239)),
$K239*$P239*(VLOOKUP($C$39,$C$37:$BL$44,MATCH($E239,$C$37:$BL$37,0),FALSE)/VLOOKUP($L239,$C$37:$BL$44,MATCH($E239,$C$37:$BL$37,0),FALSE))*
IF($B$5="Foreign Currency",VLOOKUP($C$38,$C$37:$BL$44,MATCH(BE$48,$C$37:$BL$37,0),FALSE)/VLOOKUP($C$39,$C$37:$BL$44,MATCH(BE$48,$C$37:$BL$37,0),FALSE),1),
0),
    IF($T239="Lump Sum Principal",
        IF(AND(BE$48&gt;=$E239, BE$48&lt;($E239+$Q239)),
$K239*$P239*(VLOOKUP($C$39,$C$37:$BL$44,MATCH($E239,$C$37:$BL$37,0),FALSE)/VLOOKUP($L239,$C$37:$BL$44,MATCH($E239,$C$37:$BL$37,0),FALSE))*
IF($B$5="Foreign Currency",VLOOKUP($C$38,$C$37:$BL$44,MATCH(BE$48,$C$37:$BL$37,0),FALSE)/VLOOKUP($C$39,$C$37:$BL$44,MATCH(BE$48,$C$37:$BL$37,0),FALSE),1),
        IF(BE$48=($E239+$Q239),
$K239*(1+$P239)*(VLOOKUP($C$39,$C$37:$BL$44,MATCH($E239,$C$37:$BL$37,0),FALSE)/VLOOKUP($L239,$C$37:$BL$44,MATCH($E239,$C$37:$BL$37,0),FALSE))*
IF($B$5="Foreign Currency",VLOOKUP($C$38,$C$37:$BL$44,MATCH(BE$48,$C$37:$BL$37,0),FALSE)/VLOOKUP($C$39,$C$37:$BL$44,MATCH(BE$48,$C$37:$BL$37,0),FALSE),1),
0)),
    IF($T239="Lump Sum Principal and Interest",
        IF(BE$48=($E239+$Q239),
$K239*((1+$P239)^$Q239)*(VLOOKUP($C$39,$C$37:$BL$44,MATCH($E239,$C$37:$BL$37,0),FALSE)/VLOOKUP($L239,$C$37:$BL$44,MATCH($E239,$C$37:$BL$37,0),FALSE))*
IF($B$5="Foreign Currency",VLOOKUP($C$38,$C$37:$BL$44,MATCH(BE$48,$C$37:$BL$37,0),FALSE)/VLOOKUP($C$39,$C$37:$BL$44,MATCH(BE$48,$C$37:$BL$37,0),FALSE),1),
0),
    IF($T239="EPP with Grace Years for Principal",
        IF(AND(BE$48&gt;=$E239, BE$48&lt;($E239+$S239)),
$K239*$P239*(VLOOKUP($C$39,$C$37:$BL$44,MATCH($E239,$C$37:$BL$37,0),FALSE)/VLOOKUP($L239,$C$37:$BL$44,MATCH($E239,$C$37:$BL$37,0),FALSE))*
IF($B$5="Foreign Currency",VLOOKUP($C$38,$C$37:$BL$44,MATCH(BE$48,$C$37:$BL$37,0),FALSE)/VLOOKUP($C$39,$C$37:$BL$44,MATCH(BE$48,$C$37:$BL$37,0),FALSE),1),
        IF(AND(BE$48&gt;=($E239+$S239), BE$48&lt;=($E239+$Q239)),
-PMT($P239,($Q239-$S239+1),($K239*(VLOOKUP($C$39,$C$37:$BL$44,MATCH($E239,$C$37:$BL$37,0),FALSE)/VLOOKUP($L239,$C$37:$BL$44,MATCH($E239,$C$37:$BL$37,0),FALSE))*
IF($B$5="Foreign Currency",VLOOKUP($C$38,$C$37:$BL$44,MATCH(BE$48,$C$37:$BL$37,0),FALSE)/VLOOKUP($C$39,$C$37:$BL$44,MATCH(BE$48,$C$37:$BL$37,0),FALSE),1)),0),
0)),
    IF($T239="Equal Principal Payments (EPP)",
        IF(AND(BE$48&gt;=$E239, BE$48&lt;=($E239+$Q239)),
-PMT($P239,($Q239-$S239+1),($K239*(VLOOKUP($C$39,$C$37:$BL$44,MATCH($E239,$C$37:$BL$37,0),FALSE)/VLOOKUP($L239,$C$37:$BL$44,MATCH($E239,$C$37:$BL$37,0),FALSE))*
IF($B$5="Foreign Currency",VLOOKUP($C$38,$C$37:$BL$44,MATCH(BE$48,$C$37:$BL$37,0),FALSE)/VLOOKUP($C$39,$C$37:$BL$44,MATCH(BE$48,$C$37:$BL$37,0),FALSE),1)),0), 0),
    IF($T239="EPP with Grace Years for Principal and on Interest",
        IF(AND(BE$48&gt;=($E239+$S239), BE$48&lt;=($E239+$Q239)),
-PMT($P239,($Q239-$S239+1),($K239*(VLOOKUP($C$39,$C$37:$BL$44,MATCH($E239,$C$37:$BL$37,0),FALSE)/VLOOKUP($L239,$C$37:$BL$44,MATCH($E239,$C$37:$BL$37,0),FALSE))*
IF($B$5="Foreign Currency",VLOOKUP($C$38,$C$37:$BL$44,MATCH(BE$48,$C$37:$BL$37,0),FALSE)/VLOOKUP($C$39,$C$37:$BL$44,MATCH(BE$48,$C$37:$BL$37,0),FALSE),1))*((1+$P239)^$S239),0), 0),
    0)))))),"")</f>
        <v>0</v>
      </c>
      <c r="BF239" s="171">
        <f t="shared" si="334"/>
        <v>0</v>
      </c>
      <c r="BG239" s="171">
        <f t="shared" si="334"/>
        <v>0</v>
      </c>
      <c r="BH239" s="171">
        <f t="shared" si="334"/>
        <v>0</v>
      </c>
      <c r="BI239" s="171">
        <f t="shared" si="334"/>
        <v>0</v>
      </c>
      <c r="BJ239" s="171">
        <f t="shared" si="334"/>
        <v>0</v>
      </c>
      <c r="BK239" s="171">
        <f t="shared" si="334"/>
        <v>0</v>
      </c>
      <c r="BL239" s="171">
        <f t="shared" si="334"/>
        <v>0</v>
      </c>
      <c r="BM239" s="171">
        <f t="shared" si="334"/>
        <v>0</v>
      </c>
      <c r="BN239" s="171">
        <f t="shared" si="334"/>
        <v>0</v>
      </c>
      <c r="BO239" s="171">
        <f t="shared" ref="BO239:BX248" si="335">IFERROR(
    IF($T239="Equity",
        IF(AND(BO$48&gt;=$E239, BO$48&lt;=($E239+$Q239)),
$K239*$P239*(VLOOKUP($C$39,$C$37:$BL$44,MATCH($E239,$C$37:$BL$37,0),FALSE)/VLOOKUP($L239,$C$37:$BL$44,MATCH($E239,$C$37:$BL$37,0),FALSE))*
IF($B$5="Foreign Currency",VLOOKUP($C$38,$C$37:$BL$44,MATCH(BO$48,$C$37:$BL$37,0),FALSE)/VLOOKUP($C$39,$C$37:$BL$44,MATCH(BO$48,$C$37:$BL$37,0),FALSE),1),
0),
    IF($T239="Lump Sum Principal",
        IF(AND(BO$48&gt;=$E239, BO$48&lt;($E239+$Q239)),
$K239*$P239*(VLOOKUP($C$39,$C$37:$BL$44,MATCH($E239,$C$37:$BL$37,0),FALSE)/VLOOKUP($L239,$C$37:$BL$44,MATCH($E239,$C$37:$BL$37,0),FALSE))*
IF($B$5="Foreign Currency",VLOOKUP($C$38,$C$37:$BL$44,MATCH(BO$48,$C$37:$BL$37,0),FALSE)/VLOOKUP($C$39,$C$37:$BL$44,MATCH(BO$48,$C$37:$BL$37,0),FALSE),1),
        IF(BO$48=($E239+$Q239),
$K239*(1+$P239)*(VLOOKUP($C$39,$C$37:$BL$44,MATCH($E239,$C$37:$BL$37,0),FALSE)/VLOOKUP($L239,$C$37:$BL$44,MATCH($E239,$C$37:$BL$37,0),FALSE))*
IF($B$5="Foreign Currency",VLOOKUP($C$38,$C$37:$BL$44,MATCH(BO$48,$C$37:$BL$37,0),FALSE)/VLOOKUP($C$39,$C$37:$BL$44,MATCH(BO$48,$C$37:$BL$37,0),FALSE),1),
0)),
    IF($T239="Lump Sum Principal and Interest",
        IF(BO$48=($E239+$Q239),
$K239*((1+$P239)^$Q239)*(VLOOKUP($C$39,$C$37:$BL$44,MATCH($E239,$C$37:$BL$37,0),FALSE)/VLOOKUP($L239,$C$37:$BL$44,MATCH($E239,$C$37:$BL$37,0),FALSE))*
IF($B$5="Foreign Currency",VLOOKUP($C$38,$C$37:$BL$44,MATCH(BO$48,$C$37:$BL$37,0),FALSE)/VLOOKUP($C$39,$C$37:$BL$44,MATCH(BO$48,$C$37:$BL$37,0),FALSE),1),
0),
    IF($T239="EPP with Grace Years for Principal",
        IF(AND(BO$48&gt;=$E239, BO$48&lt;($E239+$S239)),
$K239*$P239*(VLOOKUP($C$39,$C$37:$BL$44,MATCH($E239,$C$37:$BL$37,0),FALSE)/VLOOKUP($L239,$C$37:$BL$44,MATCH($E239,$C$37:$BL$37,0),FALSE))*
IF($B$5="Foreign Currency",VLOOKUP($C$38,$C$37:$BL$44,MATCH(BO$48,$C$37:$BL$37,0),FALSE)/VLOOKUP($C$39,$C$37:$BL$44,MATCH(BO$48,$C$37:$BL$37,0),FALSE),1),
        IF(AND(BO$48&gt;=($E239+$S239), BO$48&lt;=($E239+$Q239)),
-PMT($P239,($Q239-$S239+1),($K239*(VLOOKUP($C$39,$C$37:$BL$44,MATCH($E239,$C$37:$BL$37,0),FALSE)/VLOOKUP($L239,$C$37:$BL$44,MATCH($E239,$C$37:$BL$37,0),FALSE))*
IF($B$5="Foreign Currency",VLOOKUP($C$38,$C$37:$BL$44,MATCH(BO$48,$C$37:$BL$37,0),FALSE)/VLOOKUP($C$39,$C$37:$BL$44,MATCH(BO$48,$C$37:$BL$37,0),FALSE),1)),0),
0)),
    IF($T239="Equal Principal Payments (EPP)",
        IF(AND(BO$48&gt;=$E239, BO$48&lt;=($E239+$Q239)),
-PMT($P239,($Q239-$S239+1),($K239*(VLOOKUP($C$39,$C$37:$BL$44,MATCH($E239,$C$37:$BL$37,0),FALSE)/VLOOKUP($L239,$C$37:$BL$44,MATCH($E239,$C$37:$BL$37,0),FALSE))*
IF($B$5="Foreign Currency",VLOOKUP($C$38,$C$37:$BL$44,MATCH(BO$48,$C$37:$BL$37,0),FALSE)/VLOOKUP($C$39,$C$37:$BL$44,MATCH(BO$48,$C$37:$BL$37,0),FALSE),1)),0), 0),
    IF($T239="EPP with Grace Years for Principal and on Interest",
        IF(AND(BO$48&gt;=($E239+$S239), BO$48&lt;=($E239+$Q239)),
-PMT($P239,($Q239-$S239+1),($K239*(VLOOKUP($C$39,$C$37:$BL$44,MATCH($E239,$C$37:$BL$37,0),FALSE)/VLOOKUP($L239,$C$37:$BL$44,MATCH($E239,$C$37:$BL$37,0),FALSE))*
IF($B$5="Foreign Currency",VLOOKUP($C$38,$C$37:$BL$44,MATCH(BO$48,$C$37:$BL$37,0),FALSE)/VLOOKUP($C$39,$C$37:$BL$44,MATCH(BO$48,$C$37:$BL$37,0),FALSE),1))*((1+$P239)^$S239),0), 0),
    0)))))),"")</f>
        <v>0</v>
      </c>
      <c r="BP239" s="171">
        <f t="shared" si="335"/>
        <v>0</v>
      </c>
      <c r="BQ239" s="171">
        <f t="shared" si="335"/>
        <v>0</v>
      </c>
      <c r="BR239" s="171">
        <f t="shared" si="335"/>
        <v>0</v>
      </c>
      <c r="BS239" s="171">
        <f t="shared" si="335"/>
        <v>0</v>
      </c>
      <c r="BT239" s="171">
        <f t="shared" si="335"/>
        <v>0</v>
      </c>
      <c r="BU239" s="171">
        <f t="shared" si="335"/>
        <v>0</v>
      </c>
      <c r="BV239" s="171">
        <f t="shared" si="335"/>
        <v>0</v>
      </c>
      <c r="BW239" s="171">
        <f t="shared" si="335"/>
        <v>0</v>
      </c>
      <c r="BX239" s="171">
        <f t="shared" si="335"/>
        <v>0</v>
      </c>
      <c r="BY239" s="171">
        <f t="shared" ref="BY239:CI248" si="336">IFERROR(
    IF($T239="Equity",
        IF(AND(BY$48&gt;=$E239, BY$48&lt;=($E239+$Q239)),
$K239*$P239*(VLOOKUP($C$39,$C$37:$BL$44,MATCH($E239,$C$37:$BL$37,0),FALSE)/VLOOKUP($L239,$C$37:$BL$44,MATCH($E239,$C$37:$BL$37,0),FALSE))*
IF($B$5="Foreign Currency",VLOOKUP($C$38,$C$37:$BL$44,MATCH(BY$48,$C$37:$BL$37,0),FALSE)/VLOOKUP($C$39,$C$37:$BL$44,MATCH(BY$48,$C$37:$BL$37,0),FALSE),1),
0),
    IF($T239="Lump Sum Principal",
        IF(AND(BY$48&gt;=$E239, BY$48&lt;($E239+$Q239)),
$K239*$P239*(VLOOKUP($C$39,$C$37:$BL$44,MATCH($E239,$C$37:$BL$37,0),FALSE)/VLOOKUP($L239,$C$37:$BL$44,MATCH($E239,$C$37:$BL$37,0),FALSE))*
IF($B$5="Foreign Currency",VLOOKUP($C$38,$C$37:$BL$44,MATCH(BY$48,$C$37:$BL$37,0),FALSE)/VLOOKUP($C$39,$C$37:$BL$44,MATCH(BY$48,$C$37:$BL$37,0),FALSE),1),
        IF(BY$48=($E239+$Q239),
$K239*(1+$P239)*(VLOOKUP($C$39,$C$37:$BL$44,MATCH($E239,$C$37:$BL$37,0),FALSE)/VLOOKUP($L239,$C$37:$BL$44,MATCH($E239,$C$37:$BL$37,0),FALSE))*
IF($B$5="Foreign Currency",VLOOKUP($C$38,$C$37:$BL$44,MATCH(BY$48,$C$37:$BL$37,0),FALSE)/VLOOKUP($C$39,$C$37:$BL$44,MATCH(BY$48,$C$37:$BL$37,0),FALSE),1),
0)),
    IF($T239="Lump Sum Principal and Interest",
        IF(BY$48=($E239+$Q239),
$K239*((1+$P239)^$Q239)*(VLOOKUP($C$39,$C$37:$BL$44,MATCH($E239,$C$37:$BL$37,0),FALSE)/VLOOKUP($L239,$C$37:$BL$44,MATCH($E239,$C$37:$BL$37,0),FALSE))*
IF($B$5="Foreign Currency",VLOOKUP($C$38,$C$37:$BL$44,MATCH(BY$48,$C$37:$BL$37,0),FALSE)/VLOOKUP($C$39,$C$37:$BL$44,MATCH(BY$48,$C$37:$BL$37,0),FALSE),1),
0),
    IF($T239="EPP with Grace Years for Principal",
        IF(AND(BY$48&gt;=$E239, BY$48&lt;($E239+$S239)),
$K239*$P239*(VLOOKUP($C$39,$C$37:$BL$44,MATCH($E239,$C$37:$BL$37,0),FALSE)/VLOOKUP($L239,$C$37:$BL$44,MATCH($E239,$C$37:$BL$37,0),FALSE))*
IF($B$5="Foreign Currency",VLOOKUP($C$38,$C$37:$BL$44,MATCH(BY$48,$C$37:$BL$37,0),FALSE)/VLOOKUP($C$39,$C$37:$BL$44,MATCH(BY$48,$C$37:$BL$37,0),FALSE),1),
        IF(AND(BY$48&gt;=($E239+$S239), BY$48&lt;=($E239+$Q239)),
-PMT($P239,($Q239-$S239+1),($K239*(VLOOKUP($C$39,$C$37:$BL$44,MATCH($E239,$C$37:$BL$37,0),FALSE)/VLOOKUP($L239,$C$37:$BL$44,MATCH($E239,$C$37:$BL$37,0),FALSE))*
IF($B$5="Foreign Currency",VLOOKUP($C$38,$C$37:$BL$44,MATCH(BY$48,$C$37:$BL$37,0),FALSE)/VLOOKUP($C$39,$C$37:$BL$44,MATCH(BY$48,$C$37:$BL$37,0),FALSE),1)),0),
0)),
    IF($T239="Equal Principal Payments (EPP)",
        IF(AND(BY$48&gt;=$E239, BY$48&lt;=($E239+$Q239)),
-PMT($P239,($Q239-$S239+1),($K239*(VLOOKUP($C$39,$C$37:$BL$44,MATCH($E239,$C$37:$BL$37,0),FALSE)/VLOOKUP($L239,$C$37:$BL$44,MATCH($E239,$C$37:$BL$37,0),FALSE))*
IF($B$5="Foreign Currency",VLOOKUP($C$38,$C$37:$BL$44,MATCH(BY$48,$C$37:$BL$37,0),FALSE)/VLOOKUP($C$39,$C$37:$BL$44,MATCH(BY$48,$C$37:$BL$37,0),FALSE),1)),0), 0),
    IF($T239="EPP with Grace Years for Principal and on Interest",
        IF(AND(BY$48&gt;=($E239+$S239), BY$48&lt;=($E239+$Q239)),
-PMT($P239,($Q239-$S239+1),($K239*(VLOOKUP($C$39,$C$37:$BL$44,MATCH($E239,$C$37:$BL$37,0),FALSE)/VLOOKUP($L239,$C$37:$BL$44,MATCH($E239,$C$37:$BL$37,0),FALSE))*
IF($B$5="Foreign Currency",VLOOKUP($C$38,$C$37:$BL$44,MATCH(BY$48,$C$37:$BL$37,0),FALSE)/VLOOKUP($C$39,$C$37:$BL$44,MATCH(BY$48,$C$37:$BL$37,0),FALSE),1))*((1+$P239)^$S239),0), 0),
    0)))))),"")</f>
        <v>0</v>
      </c>
      <c r="BZ239" s="171">
        <f t="shared" si="336"/>
        <v>0</v>
      </c>
      <c r="CA239" s="171">
        <f t="shared" si="336"/>
        <v>0</v>
      </c>
      <c r="CB239" s="171">
        <f t="shared" si="336"/>
        <v>0</v>
      </c>
      <c r="CC239" s="171">
        <f t="shared" si="336"/>
        <v>0</v>
      </c>
      <c r="CD239" s="171">
        <f t="shared" si="336"/>
        <v>0</v>
      </c>
      <c r="CE239" s="171">
        <f t="shared" si="336"/>
        <v>0</v>
      </c>
      <c r="CF239" s="171">
        <f t="shared" si="336"/>
        <v>0</v>
      </c>
      <c r="CG239" s="171">
        <f t="shared" si="336"/>
        <v>0</v>
      </c>
      <c r="CH239" s="171">
        <f t="shared" si="336"/>
        <v>0</v>
      </c>
      <c r="CI239" s="171">
        <f t="shared" si="336"/>
        <v>0</v>
      </c>
      <c r="CJ239" s="243"/>
      <c r="CK239" s="171">
        <f t="shared" si="233"/>
        <v>0</v>
      </c>
      <c r="CL239" s="171">
        <f t="shared" si="234"/>
        <v>0</v>
      </c>
      <c r="CM239" s="171">
        <f t="shared" si="235"/>
        <v>0</v>
      </c>
      <c r="CN239" s="171">
        <f t="shared" si="236"/>
        <v>0</v>
      </c>
      <c r="CO239" s="171">
        <f t="shared" si="237"/>
        <v>0</v>
      </c>
      <c r="CP239" s="171">
        <f t="shared" si="238"/>
        <v>0</v>
      </c>
      <c r="CQ239" s="171">
        <f t="shared" si="239"/>
        <v>0</v>
      </c>
      <c r="CR239" s="171">
        <f t="shared" si="240"/>
        <v>0</v>
      </c>
      <c r="CS239" s="171">
        <f t="shared" si="241"/>
        <v>0</v>
      </c>
      <c r="CT239" s="171">
        <f t="shared" si="242"/>
        <v>0</v>
      </c>
      <c r="CU239" s="171">
        <f t="shared" si="243"/>
        <v>0</v>
      </c>
      <c r="CV239" s="171">
        <f t="shared" si="244"/>
        <v>0</v>
      </c>
      <c r="CW239" s="171">
        <f t="shared" si="245"/>
        <v>0</v>
      </c>
      <c r="CX239" s="171">
        <f t="shared" si="246"/>
        <v>0</v>
      </c>
      <c r="CY239" s="171">
        <f t="shared" ca="1" si="247"/>
        <v>0</v>
      </c>
      <c r="CZ239" s="171">
        <f t="shared" ca="1" si="248"/>
        <v>0</v>
      </c>
      <c r="DA239" s="171">
        <f t="shared" ca="1" si="249"/>
        <v>0</v>
      </c>
      <c r="DB239" s="171">
        <f t="shared" ca="1" si="250"/>
        <v>0</v>
      </c>
      <c r="DC239" s="171">
        <f t="shared" ca="1" si="251"/>
        <v>0</v>
      </c>
      <c r="DD239" s="171">
        <f t="shared" ca="1" si="252"/>
        <v>0</v>
      </c>
      <c r="DE239" s="171">
        <f t="shared" ca="1" si="253"/>
        <v>0</v>
      </c>
      <c r="DF239" s="171">
        <f t="shared" ca="1" si="254"/>
        <v>0</v>
      </c>
      <c r="DG239" s="171">
        <f t="shared" ca="1" si="255"/>
        <v>0</v>
      </c>
      <c r="DH239" s="171">
        <f t="shared" ca="1" si="256"/>
        <v>0</v>
      </c>
      <c r="DI239" s="171">
        <f t="shared" ca="1" si="257"/>
        <v>0</v>
      </c>
      <c r="DJ239" s="171">
        <f t="shared" ca="1" si="258"/>
        <v>0</v>
      </c>
      <c r="DK239" s="171">
        <f t="shared" ca="1" si="259"/>
        <v>0</v>
      </c>
      <c r="DL239" s="171">
        <f t="shared" ca="1" si="260"/>
        <v>0</v>
      </c>
      <c r="DM239" s="171">
        <f t="shared" ca="1" si="261"/>
        <v>0</v>
      </c>
      <c r="DN239" s="171">
        <f t="shared" ca="1" si="262"/>
        <v>0</v>
      </c>
      <c r="DO239" s="171">
        <f t="shared" ca="1" si="263"/>
        <v>0</v>
      </c>
      <c r="DP239" s="171">
        <f t="shared" ca="1" si="264"/>
        <v>0</v>
      </c>
      <c r="DQ239" s="171">
        <f t="shared" ca="1" si="265"/>
        <v>0</v>
      </c>
      <c r="DR239" s="171">
        <f t="shared" ca="1" si="266"/>
        <v>0</v>
      </c>
      <c r="DS239" s="171">
        <f t="shared" ca="1" si="267"/>
        <v>0</v>
      </c>
      <c r="DT239" s="171">
        <f t="shared" ca="1" si="268"/>
        <v>0</v>
      </c>
      <c r="DU239" s="171">
        <f t="shared" ca="1" si="269"/>
        <v>0</v>
      </c>
      <c r="DV239" s="171">
        <f t="shared" ca="1" si="270"/>
        <v>0</v>
      </c>
      <c r="DW239" s="171">
        <f t="shared" ca="1" si="271"/>
        <v>0</v>
      </c>
      <c r="DX239" s="171">
        <f t="shared" ca="1" si="272"/>
        <v>0</v>
      </c>
      <c r="DY239" s="171">
        <f t="shared" ca="1" si="273"/>
        <v>0</v>
      </c>
      <c r="DZ239" s="171">
        <f t="shared" ca="1" si="274"/>
        <v>0</v>
      </c>
      <c r="EA239" s="171">
        <f t="shared" ca="1" si="275"/>
        <v>0</v>
      </c>
      <c r="EB239" s="171">
        <f t="shared" ca="1" si="276"/>
        <v>0</v>
      </c>
      <c r="EC239" s="171">
        <f t="shared" ca="1" si="277"/>
        <v>0</v>
      </c>
      <c r="ED239" s="171">
        <f t="shared" ca="1" si="278"/>
        <v>0</v>
      </c>
      <c r="EE239" s="171">
        <f t="shared" ca="1" si="279"/>
        <v>0</v>
      </c>
      <c r="EF239" s="171">
        <f t="shared" ca="1" si="280"/>
        <v>0</v>
      </c>
      <c r="EG239" s="171">
        <f t="shared" ca="1" si="281"/>
        <v>0</v>
      </c>
      <c r="EH239" s="171">
        <f t="shared" ca="1" si="282"/>
        <v>0</v>
      </c>
      <c r="EI239" s="171">
        <f t="shared" ca="1" si="283"/>
        <v>0</v>
      </c>
      <c r="EJ239" s="171">
        <f t="shared" ca="1" si="284"/>
        <v>0</v>
      </c>
      <c r="EK239" s="171">
        <f t="shared" ca="1" si="285"/>
        <v>0</v>
      </c>
      <c r="EL239" s="171">
        <f t="shared" ca="1" si="286"/>
        <v>0</v>
      </c>
      <c r="EM239" s="171">
        <f t="shared" ca="1" si="287"/>
        <v>0</v>
      </c>
      <c r="EN239" s="171">
        <f t="shared" ca="1" si="288"/>
        <v>0</v>
      </c>
      <c r="EO239" s="171">
        <f t="shared" ca="1" si="289"/>
        <v>0</v>
      </c>
      <c r="EP239" s="171">
        <f t="shared" ca="1" si="290"/>
        <v>0</v>
      </c>
      <c r="EQ239" s="171">
        <f t="shared" ca="1" si="291"/>
        <v>0</v>
      </c>
      <c r="ER239" s="171">
        <f t="shared" ca="1" si="292"/>
        <v>0</v>
      </c>
      <c r="ES239" s="171">
        <f t="shared" ca="1" si="293"/>
        <v>0</v>
      </c>
    </row>
    <row r="240" spans="1:149">
      <c r="C240" s="214"/>
      <c r="L240" s="163"/>
      <c r="M240" s="164" t="str">
        <f t="shared" si="223"/>
        <v/>
      </c>
      <c r="N240" s="164" t="str">
        <f t="shared" si="224"/>
        <v/>
      </c>
      <c r="O240" s="165" t="str">
        <f t="shared" si="225"/>
        <v/>
      </c>
      <c r="R240" s="168"/>
      <c r="U240" s="171">
        <f t="shared" si="227"/>
        <v>0</v>
      </c>
      <c r="V240" s="171">
        <f t="shared" ca="1" si="228"/>
        <v>0</v>
      </c>
      <c r="W240" s="171">
        <f t="shared" ca="1" si="229"/>
        <v>0</v>
      </c>
      <c r="X240" s="172">
        <f t="shared" si="230"/>
        <v>0</v>
      </c>
      <c r="Y240" s="172" t="str">
        <f t="shared" si="231"/>
        <v/>
      </c>
      <c r="Z240" s="173">
        <f t="shared" si="232"/>
        <v>0</v>
      </c>
      <c r="AA240" s="171">
        <f t="shared" si="331"/>
        <v>0</v>
      </c>
      <c r="AB240" s="171">
        <f t="shared" si="331"/>
        <v>0</v>
      </c>
      <c r="AC240" s="171">
        <f t="shared" si="331"/>
        <v>0</v>
      </c>
      <c r="AD240" s="171">
        <f t="shared" si="331"/>
        <v>0</v>
      </c>
      <c r="AE240" s="171">
        <f t="shared" si="331"/>
        <v>0</v>
      </c>
      <c r="AF240" s="171">
        <f t="shared" si="331"/>
        <v>0</v>
      </c>
      <c r="AG240" s="171">
        <f t="shared" si="331"/>
        <v>0</v>
      </c>
      <c r="AH240" s="171">
        <f t="shared" si="331"/>
        <v>0</v>
      </c>
      <c r="AI240" s="171">
        <f t="shared" si="331"/>
        <v>0</v>
      </c>
      <c r="AJ240" s="171">
        <f t="shared" si="331"/>
        <v>0</v>
      </c>
      <c r="AK240" s="171">
        <f t="shared" si="332"/>
        <v>0</v>
      </c>
      <c r="AL240" s="171">
        <f t="shared" si="332"/>
        <v>0</v>
      </c>
      <c r="AM240" s="171">
        <f t="shared" si="332"/>
        <v>0</v>
      </c>
      <c r="AN240" s="171">
        <f t="shared" si="332"/>
        <v>0</v>
      </c>
      <c r="AO240" s="171">
        <f t="shared" si="332"/>
        <v>0</v>
      </c>
      <c r="AP240" s="171">
        <f t="shared" si="332"/>
        <v>0</v>
      </c>
      <c r="AQ240" s="171">
        <f t="shared" si="332"/>
        <v>0</v>
      </c>
      <c r="AR240" s="171">
        <f t="shared" si="332"/>
        <v>0</v>
      </c>
      <c r="AS240" s="171">
        <f t="shared" si="332"/>
        <v>0</v>
      </c>
      <c r="AT240" s="171">
        <f t="shared" si="332"/>
        <v>0</v>
      </c>
      <c r="AU240" s="171">
        <f t="shared" si="333"/>
        <v>0</v>
      </c>
      <c r="AV240" s="171">
        <f t="shared" si="333"/>
        <v>0</v>
      </c>
      <c r="AW240" s="171">
        <f t="shared" si="333"/>
        <v>0</v>
      </c>
      <c r="AX240" s="171">
        <f t="shared" si="333"/>
        <v>0</v>
      </c>
      <c r="AY240" s="171">
        <f t="shared" si="333"/>
        <v>0</v>
      </c>
      <c r="AZ240" s="171">
        <f t="shared" si="333"/>
        <v>0</v>
      </c>
      <c r="BA240" s="171">
        <f t="shared" si="333"/>
        <v>0</v>
      </c>
      <c r="BB240" s="171">
        <f t="shared" si="333"/>
        <v>0</v>
      </c>
      <c r="BC240" s="171">
        <f t="shared" si="333"/>
        <v>0</v>
      </c>
      <c r="BD240" s="171">
        <f t="shared" si="333"/>
        <v>0</v>
      </c>
      <c r="BE240" s="171">
        <f t="shared" si="334"/>
        <v>0</v>
      </c>
      <c r="BF240" s="171">
        <f t="shared" si="334"/>
        <v>0</v>
      </c>
      <c r="BG240" s="171">
        <f t="shared" si="334"/>
        <v>0</v>
      </c>
      <c r="BH240" s="171">
        <f t="shared" si="334"/>
        <v>0</v>
      </c>
      <c r="BI240" s="171">
        <f t="shared" si="334"/>
        <v>0</v>
      </c>
      <c r="BJ240" s="171">
        <f t="shared" si="334"/>
        <v>0</v>
      </c>
      <c r="BK240" s="171">
        <f t="shared" si="334"/>
        <v>0</v>
      </c>
      <c r="BL240" s="171">
        <f t="shared" si="334"/>
        <v>0</v>
      </c>
      <c r="BM240" s="171">
        <f t="shared" si="334"/>
        <v>0</v>
      </c>
      <c r="BN240" s="171">
        <f t="shared" si="334"/>
        <v>0</v>
      </c>
      <c r="BO240" s="171">
        <f t="shared" si="335"/>
        <v>0</v>
      </c>
      <c r="BP240" s="171">
        <f t="shared" si="335"/>
        <v>0</v>
      </c>
      <c r="BQ240" s="171">
        <f t="shared" si="335"/>
        <v>0</v>
      </c>
      <c r="BR240" s="171">
        <f t="shared" si="335"/>
        <v>0</v>
      </c>
      <c r="BS240" s="171">
        <f t="shared" si="335"/>
        <v>0</v>
      </c>
      <c r="BT240" s="171">
        <f t="shared" si="335"/>
        <v>0</v>
      </c>
      <c r="BU240" s="171">
        <f t="shared" si="335"/>
        <v>0</v>
      </c>
      <c r="BV240" s="171">
        <f t="shared" si="335"/>
        <v>0</v>
      </c>
      <c r="BW240" s="171">
        <f t="shared" si="335"/>
        <v>0</v>
      </c>
      <c r="BX240" s="171">
        <f t="shared" si="335"/>
        <v>0</v>
      </c>
      <c r="BY240" s="171">
        <f t="shared" si="336"/>
        <v>0</v>
      </c>
      <c r="BZ240" s="171">
        <f t="shared" si="336"/>
        <v>0</v>
      </c>
      <c r="CA240" s="171">
        <f t="shared" si="336"/>
        <v>0</v>
      </c>
      <c r="CB240" s="171">
        <f t="shared" si="336"/>
        <v>0</v>
      </c>
      <c r="CC240" s="171">
        <f t="shared" si="336"/>
        <v>0</v>
      </c>
      <c r="CD240" s="171">
        <f t="shared" si="336"/>
        <v>0</v>
      </c>
      <c r="CE240" s="171">
        <f t="shared" si="336"/>
        <v>0</v>
      </c>
      <c r="CF240" s="171">
        <f t="shared" si="336"/>
        <v>0</v>
      </c>
      <c r="CG240" s="171">
        <f t="shared" si="336"/>
        <v>0</v>
      </c>
      <c r="CH240" s="171">
        <f t="shared" si="336"/>
        <v>0</v>
      </c>
      <c r="CI240" s="171">
        <f t="shared" si="336"/>
        <v>0</v>
      </c>
      <c r="CJ240" s="243"/>
      <c r="CK240" s="171">
        <f t="shared" si="233"/>
        <v>0</v>
      </c>
      <c r="CL240" s="171">
        <f t="shared" si="234"/>
        <v>0</v>
      </c>
      <c r="CM240" s="171">
        <f t="shared" si="235"/>
        <v>0</v>
      </c>
      <c r="CN240" s="171">
        <f t="shared" si="236"/>
        <v>0</v>
      </c>
      <c r="CO240" s="171">
        <f t="shared" si="237"/>
        <v>0</v>
      </c>
      <c r="CP240" s="171">
        <f t="shared" si="238"/>
        <v>0</v>
      </c>
      <c r="CQ240" s="171">
        <f t="shared" si="239"/>
        <v>0</v>
      </c>
      <c r="CR240" s="171">
        <f t="shared" si="240"/>
        <v>0</v>
      </c>
      <c r="CS240" s="171">
        <f t="shared" si="241"/>
        <v>0</v>
      </c>
      <c r="CT240" s="171">
        <f t="shared" si="242"/>
        <v>0</v>
      </c>
      <c r="CU240" s="171">
        <f t="shared" si="243"/>
        <v>0</v>
      </c>
      <c r="CV240" s="171">
        <f t="shared" si="244"/>
        <v>0</v>
      </c>
      <c r="CW240" s="171">
        <f t="shared" si="245"/>
        <v>0</v>
      </c>
      <c r="CX240" s="171">
        <f t="shared" si="246"/>
        <v>0</v>
      </c>
      <c r="CY240" s="171">
        <f t="shared" ca="1" si="247"/>
        <v>0</v>
      </c>
      <c r="CZ240" s="171">
        <f t="shared" ca="1" si="248"/>
        <v>0</v>
      </c>
      <c r="DA240" s="171">
        <f t="shared" ca="1" si="249"/>
        <v>0</v>
      </c>
      <c r="DB240" s="171">
        <f t="shared" ca="1" si="250"/>
        <v>0</v>
      </c>
      <c r="DC240" s="171">
        <f t="shared" ca="1" si="251"/>
        <v>0</v>
      </c>
      <c r="DD240" s="171">
        <f t="shared" ca="1" si="252"/>
        <v>0</v>
      </c>
      <c r="DE240" s="171">
        <f t="shared" ca="1" si="253"/>
        <v>0</v>
      </c>
      <c r="DF240" s="171">
        <f t="shared" ca="1" si="254"/>
        <v>0</v>
      </c>
      <c r="DG240" s="171">
        <f t="shared" ca="1" si="255"/>
        <v>0</v>
      </c>
      <c r="DH240" s="171">
        <f t="shared" ca="1" si="256"/>
        <v>0</v>
      </c>
      <c r="DI240" s="171">
        <f t="shared" ca="1" si="257"/>
        <v>0</v>
      </c>
      <c r="DJ240" s="171">
        <f t="shared" ca="1" si="258"/>
        <v>0</v>
      </c>
      <c r="DK240" s="171">
        <f t="shared" ca="1" si="259"/>
        <v>0</v>
      </c>
      <c r="DL240" s="171">
        <f t="shared" ca="1" si="260"/>
        <v>0</v>
      </c>
      <c r="DM240" s="171">
        <f t="shared" ca="1" si="261"/>
        <v>0</v>
      </c>
      <c r="DN240" s="171">
        <f t="shared" ca="1" si="262"/>
        <v>0</v>
      </c>
      <c r="DO240" s="171">
        <f t="shared" ca="1" si="263"/>
        <v>0</v>
      </c>
      <c r="DP240" s="171">
        <f t="shared" ca="1" si="264"/>
        <v>0</v>
      </c>
      <c r="DQ240" s="171">
        <f t="shared" ca="1" si="265"/>
        <v>0</v>
      </c>
      <c r="DR240" s="171">
        <f t="shared" ca="1" si="266"/>
        <v>0</v>
      </c>
      <c r="DS240" s="171">
        <f t="shared" ca="1" si="267"/>
        <v>0</v>
      </c>
      <c r="DT240" s="171">
        <f t="shared" ca="1" si="268"/>
        <v>0</v>
      </c>
      <c r="DU240" s="171">
        <f t="shared" ca="1" si="269"/>
        <v>0</v>
      </c>
      <c r="DV240" s="171">
        <f t="shared" ca="1" si="270"/>
        <v>0</v>
      </c>
      <c r="DW240" s="171">
        <f t="shared" ca="1" si="271"/>
        <v>0</v>
      </c>
      <c r="DX240" s="171">
        <f t="shared" ca="1" si="272"/>
        <v>0</v>
      </c>
      <c r="DY240" s="171">
        <f t="shared" ca="1" si="273"/>
        <v>0</v>
      </c>
      <c r="DZ240" s="171">
        <f t="shared" ca="1" si="274"/>
        <v>0</v>
      </c>
      <c r="EA240" s="171">
        <f t="shared" ca="1" si="275"/>
        <v>0</v>
      </c>
      <c r="EB240" s="171">
        <f t="shared" ca="1" si="276"/>
        <v>0</v>
      </c>
      <c r="EC240" s="171">
        <f t="shared" ca="1" si="277"/>
        <v>0</v>
      </c>
      <c r="ED240" s="171">
        <f t="shared" ca="1" si="278"/>
        <v>0</v>
      </c>
      <c r="EE240" s="171">
        <f t="shared" ca="1" si="279"/>
        <v>0</v>
      </c>
      <c r="EF240" s="171">
        <f t="shared" ca="1" si="280"/>
        <v>0</v>
      </c>
      <c r="EG240" s="171">
        <f t="shared" ca="1" si="281"/>
        <v>0</v>
      </c>
      <c r="EH240" s="171">
        <f t="shared" ca="1" si="282"/>
        <v>0</v>
      </c>
      <c r="EI240" s="171">
        <f t="shared" ca="1" si="283"/>
        <v>0</v>
      </c>
      <c r="EJ240" s="171">
        <f t="shared" ca="1" si="284"/>
        <v>0</v>
      </c>
      <c r="EK240" s="171">
        <f t="shared" ca="1" si="285"/>
        <v>0</v>
      </c>
      <c r="EL240" s="171">
        <f t="shared" ca="1" si="286"/>
        <v>0</v>
      </c>
      <c r="EM240" s="171">
        <f t="shared" ca="1" si="287"/>
        <v>0</v>
      </c>
      <c r="EN240" s="171">
        <f t="shared" ca="1" si="288"/>
        <v>0</v>
      </c>
      <c r="EO240" s="171">
        <f t="shared" ca="1" si="289"/>
        <v>0</v>
      </c>
      <c r="EP240" s="171">
        <f t="shared" ca="1" si="290"/>
        <v>0</v>
      </c>
      <c r="EQ240" s="171">
        <f t="shared" ca="1" si="291"/>
        <v>0</v>
      </c>
      <c r="ER240" s="171">
        <f t="shared" ca="1" si="292"/>
        <v>0</v>
      </c>
      <c r="ES240" s="171">
        <f t="shared" ca="1" si="293"/>
        <v>0</v>
      </c>
    </row>
    <row r="241" spans="3:149">
      <c r="C241" s="214"/>
      <c r="L241" s="163"/>
      <c r="M241" s="164" t="str">
        <f t="shared" ref="M241:M304" si="337">IFERROR(K241*HLOOKUP(E241,$C$37:$BL$39,3,FALSE)/VLOOKUP(L241,$C$37:$BJ$44,MATCH(E241,$C$37:$BL$37,0),FALSE),"")</f>
        <v/>
      </c>
      <c r="N241" s="164" t="str">
        <f t="shared" ref="N241:N304" si="338">IFERROR(K241*HLOOKUP(E241,$C$37:$BL$39,2,FALSE)/VLOOKUP(L241,$C$37:$BJ$44,MATCH(E241,$C$37:$BL$37,0),FALSE),"")</f>
        <v/>
      </c>
      <c r="O241" s="165" t="str">
        <f t="shared" ref="O241:O304" si="339">IFERROR(IF($B$5="Foreign Currency",HLOOKUP(E241,$D$37:$BL$39,2,FALSE)/VLOOKUP(L241,$C$38:$BJ$44,MATCH(E241,$C$37:$BL$37,0),FALSE),HLOOKUP(E241,$D$37:$BL$39,3,FALSE)/VLOOKUP(L241,$C$38:$BJ$44,MATCH(E241,$C$37:$BL$37,0),FALSE)),"")</f>
        <v/>
      </c>
      <c r="R241" s="168"/>
      <c r="U241" s="171">
        <f t="shared" ref="U241:U304" si="340">IFERROR(SUM(AA241:CI241)/(Q241), 0)</f>
        <v>0</v>
      </c>
      <c r="V241" s="171">
        <f t="shared" ref="V241:V304" ca="1" si="341">IFERROR(SUM(CK241:ES241)/(Q241),0)</f>
        <v>0</v>
      </c>
      <c r="W241" s="171">
        <f t="shared" ref="W241:W304" ca="1" si="342">SUM(CK241:ES241)</f>
        <v>0</v>
      </c>
      <c r="X241" s="172">
        <f t="shared" ref="X241:X304" si="343">IFERROR(IF(T241="Equity", "Equity", 1-Y241), 0)</f>
        <v>0</v>
      </c>
      <c r="Y241" s="172" t="str">
        <f t="shared" ref="Y241:Y304" si="344">IFERROR(IF(ISNUMBER(SEARCH("EPP",T241)),(1-((P241/$B$12)/(((1+$B$11)^(1/$B$12))-1)))  *  (1-  (((1/((1+((((1+$B$11)^(1/$B$12))-1)))^($B$12*S241)))-(1/((1+((((1+$B$11)^(1/$B$12))-1)))^($B$12*(Q241+S241)))))/(((((1+$B$11)^(1/$B$12))-1))*(($B$12*(Q241+S241))-($B$12*S241))))),IF(ISNUMBER(SEARCH("Lump",T241)),(1-((1+P241*(Q241+S241))/((1+$B$11)^(Q241+S241)))),IF((T241="Equity"),"Equity",""))),"ERROR")</f>
        <v/>
      </c>
      <c r="Z241" s="173">
        <f t="shared" ref="Z241:Z304" si="345">SUM(AA241:CI241)</f>
        <v>0</v>
      </c>
      <c r="AA241" s="171">
        <f t="shared" si="331"/>
        <v>0</v>
      </c>
      <c r="AB241" s="171">
        <f t="shared" si="331"/>
        <v>0</v>
      </c>
      <c r="AC241" s="171">
        <f t="shared" si="331"/>
        <v>0</v>
      </c>
      <c r="AD241" s="171">
        <f t="shared" si="331"/>
        <v>0</v>
      </c>
      <c r="AE241" s="171">
        <f t="shared" si="331"/>
        <v>0</v>
      </c>
      <c r="AF241" s="171">
        <f t="shared" si="331"/>
        <v>0</v>
      </c>
      <c r="AG241" s="171">
        <f t="shared" si="331"/>
        <v>0</v>
      </c>
      <c r="AH241" s="171">
        <f t="shared" si="331"/>
        <v>0</v>
      </c>
      <c r="AI241" s="171">
        <f t="shared" si="331"/>
        <v>0</v>
      </c>
      <c r="AJ241" s="171">
        <f t="shared" si="331"/>
        <v>0</v>
      </c>
      <c r="AK241" s="171">
        <f t="shared" si="332"/>
        <v>0</v>
      </c>
      <c r="AL241" s="171">
        <f t="shared" si="332"/>
        <v>0</v>
      </c>
      <c r="AM241" s="171">
        <f t="shared" si="332"/>
        <v>0</v>
      </c>
      <c r="AN241" s="171">
        <f t="shared" si="332"/>
        <v>0</v>
      </c>
      <c r="AO241" s="171">
        <f t="shared" si="332"/>
        <v>0</v>
      </c>
      <c r="AP241" s="171">
        <f t="shared" si="332"/>
        <v>0</v>
      </c>
      <c r="AQ241" s="171">
        <f t="shared" si="332"/>
        <v>0</v>
      </c>
      <c r="AR241" s="171">
        <f t="shared" si="332"/>
        <v>0</v>
      </c>
      <c r="AS241" s="171">
        <f t="shared" si="332"/>
        <v>0</v>
      </c>
      <c r="AT241" s="171">
        <f t="shared" si="332"/>
        <v>0</v>
      </c>
      <c r="AU241" s="171">
        <f t="shared" si="333"/>
        <v>0</v>
      </c>
      <c r="AV241" s="171">
        <f t="shared" si="333"/>
        <v>0</v>
      </c>
      <c r="AW241" s="171">
        <f t="shared" si="333"/>
        <v>0</v>
      </c>
      <c r="AX241" s="171">
        <f t="shared" si="333"/>
        <v>0</v>
      </c>
      <c r="AY241" s="171">
        <f t="shared" si="333"/>
        <v>0</v>
      </c>
      <c r="AZ241" s="171">
        <f t="shared" si="333"/>
        <v>0</v>
      </c>
      <c r="BA241" s="171">
        <f t="shared" si="333"/>
        <v>0</v>
      </c>
      <c r="BB241" s="171">
        <f t="shared" si="333"/>
        <v>0</v>
      </c>
      <c r="BC241" s="171">
        <f t="shared" si="333"/>
        <v>0</v>
      </c>
      <c r="BD241" s="171">
        <f t="shared" si="333"/>
        <v>0</v>
      </c>
      <c r="BE241" s="171">
        <f t="shared" si="334"/>
        <v>0</v>
      </c>
      <c r="BF241" s="171">
        <f t="shared" si="334"/>
        <v>0</v>
      </c>
      <c r="BG241" s="171">
        <f t="shared" si="334"/>
        <v>0</v>
      </c>
      <c r="BH241" s="171">
        <f t="shared" si="334"/>
        <v>0</v>
      </c>
      <c r="BI241" s="171">
        <f t="shared" si="334"/>
        <v>0</v>
      </c>
      <c r="BJ241" s="171">
        <f t="shared" si="334"/>
        <v>0</v>
      </c>
      <c r="BK241" s="171">
        <f t="shared" si="334"/>
        <v>0</v>
      </c>
      <c r="BL241" s="171">
        <f t="shared" si="334"/>
        <v>0</v>
      </c>
      <c r="BM241" s="171">
        <f t="shared" si="334"/>
        <v>0</v>
      </c>
      <c r="BN241" s="171">
        <f t="shared" si="334"/>
        <v>0</v>
      </c>
      <c r="BO241" s="171">
        <f t="shared" si="335"/>
        <v>0</v>
      </c>
      <c r="BP241" s="171">
        <f t="shared" si="335"/>
        <v>0</v>
      </c>
      <c r="BQ241" s="171">
        <f t="shared" si="335"/>
        <v>0</v>
      </c>
      <c r="BR241" s="171">
        <f t="shared" si="335"/>
        <v>0</v>
      </c>
      <c r="BS241" s="171">
        <f t="shared" si="335"/>
        <v>0</v>
      </c>
      <c r="BT241" s="171">
        <f t="shared" si="335"/>
        <v>0</v>
      </c>
      <c r="BU241" s="171">
        <f t="shared" si="335"/>
        <v>0</v>
      </c>
      <c r="BV241" s="171">
        <f t="shared" si="335"/>
        <v>0</v>
      </c>
      <c r="BW241" s="171">
        <f t="shared" si="335"/>
        <v>0</v>
      </c>
      <c r="BX241" s="171">
        <f t="shared" si="335"/>
        <v>0</v>
      </c>
      <c r="BY241" s="171">
        <f t="shared" si="336"/>
        <v>0</v>
      </c>
      <c r="BZ241" s="171">
        <f t="shared" si="336"/>
        <v>0</v>
      </c>
      <c r="CA241" s="171">
        <f t="shared" si="336"/>
        <v>0</v>
      </c>
      <c r="CB241" s="171">
        <f t="shared" si="336"/>
        <v>0</v>
      </c>
      <c r="CC241" s="171">
        <f t="shared" si="336"/>
        <v>0</v>
      </c>
      <c r="CD241" s="171">
        <f t="shared" si="336"/>
        <v>0</v>
      </c>
      <c r="CE241" s="171">
        <f t="shared" si="336"/>
        <v>0</v>
      </c>
      <c r="CF241" s="171">
        <f t="shared" si="336"/>
        <v>0</v>
      </c>
      <c r="CG241" s="171">
        <f t="shared" si="336"/>
        <v>0</v>
      </c>
      <c r="CH241" s="171">
        <f t="shared" si="336"/>
        <v>0</v>
      </c>
      <c r="CI241" s="171">
        <f t="shared" si="336"/>
        <v>0</v>
      </c>
      <c r="CJ241" s="243"/>
      <c r="CK241" s="171">
        <f t="shared" ref="CK241:CK304" si="346">IF(CK$48&lt;$B$9,AA241,AA241*((1/(1+$B$10))^(CK$48-$B$9+1)))</f>
        <v>0</v>
      </c>
      <c r="CL241" s="171">
        <f t="shared" ref="CL241:CL304" si="347">IF(CL$48&lt;$B$9,AB241,AB241*((1/(1+$B$10))^(CL$48-$B$9+1)))</f>
        <v>0</v>
      </c>
      <c r="CM241" s="171">
        <f t="shared" ref="CM241:CM304" si="348">IF(CM$48&lt;$B$9,AC241,AC241*((1/(1+$B$10))^(CM$48-$B$9+1)))</f>
        <v>0</v>
      </c>
      <c r="CN241" s="171">
        <f t="shared" ref="CN241:CN304" si="349">IF(CN$48&lt;$B$9,AD241,AD241*((1/(1+$B$10))^(CN$48-$B$9+1)))</f>
        <v>0</v>
      </c>
      <c r="CO241" s="171">
        <f t="shared" ref="CO241:CO304" si="350">IF(CO$48&lt;$B$9,AE241,AE241*((1/(1+$B$10))^(CO$48-$B$9+1)))</f>
        <v>0</v>
      </c>
      <c r="CP241" s="171">
        <f t="shared" ref="CP241:CP304" si="351">IF(CP$48&lt;$B$9,AF241,AF241*((1/(1+$B$10))^(CP$48-$B$9+1)))</f>
        <v>0</v>
      </c>
      <c r="CQ241" s="171">
        <f t="shared" ref="CQ241:CQ304" si="352">IF(CQ$48&lt;$B$9,AG241,AG241*((1/(1+$B$10))^(CQ$48-$B$9+1)))</f>
        <v>0</v>
      </c>
      <c r="CR241" s="171">
        <f t="shared" ref="CR241:CR304" si="353">IF(CR$48&lt;$B$9,AH241,AH241*((1/(1+$B$10))^(CR$48-$B$9+1)))</f>
        <v>0</v>
      </c>
      <c r="CS241" s="171">
        <f t="shared" ref="CS241:CS304" si="354">IF(CS$48&lt;$B$9,AI241,AI241*((1/(1+$B$10))^(CS$48-$B$9+1)))</f>
        <v>0</v>
      </c>
      <c r="CT241" s="171">
        <f t="shared" ref="CT241:CT304" si="355">IF(CT$48&lt;$B$9,AJ241,AJ241*((1/(1+$B$10))^(CT$48-$B$9+1)))</f>
        <v>0</v>
      </c>
      <c r="CU241" s="171">
        <f t="shared" ref="CU241:CU304" si="356">IF(CU$48&lt;$B$9,AK241,AK241*((1/(1+$B$10))^(CU$48-$B$9+1)))</f>
        <v>0</v>
      </c>
      <c r="CV241" s="171">
        <f t="shared" ref="CV241:CV304" si="357">IF(CV$48&lt;$B$9,AL241,AL241*((1/(1+$B$10))^(CV$48-$B$9+1)))</f>
        <v>0</v>
      </c>
      <c r="CW241" s="171">
        <f t="shared" ref="CW241:CW304" si="358">IF(CW$48&lt;$B$9,AM241,AM241*((1/(1+$B$10))^(CW$48-$B$9+1)))</f>
        <v>0</v>
      </c>
      <c r="CX241" s="171">
        <f t="shared" ref="CX241:CX304" si="359">IF(CX$48&lt;$B$9,AN241,AN241*((1/(1+$B$10))^(CX$48-$B$9+1)))</f>
        <v>0</v>
      </c>
      <c r="CY241" s="171">
        <f t="shared" ref="CY241:CY304" ca="1" si="360">IF(CY$48&lt;$B$9,AO241,AO241*((1/(1+$B$10))^(CY$48-$B$9+1)))</f>
        <v>0</v>
      </c>
      <c r="CZ241" s="171">
        <f t="shared" ref="CZ241:CZ304" ca="1" si="361">IF(CZ$48&lt;$B$9,AP241,AP241*((1/(1+$B$10))^(CZ$48-$B$9+1)))</f>
        <v>0</v>
      </c>
      <c r="DA241" s="171">
        <f t="shared" ref="DA241:DA304" ca="1" si="362">IF(DA$48&lt;$B$9,AQ241,AQ241*((1/(1+$B$10))^(DA$48-$B$9+1)))</f>
        <v>0</v>
      </c>
      <c r="DB241" s="171">
        <f t="shared" ref="DB241:DB304" ca="1" si="363">IF(DB$48&lt;$B$9,AR241,AR241*((1/(1+$B$10))^(DB$48-$B$9+1)))</f>
        <v>0</v>
      </c>
      <c r="DC241" s="171">
        <f t="shared" ref="DC241:DC304" ca="1" si="364">IF(DC$48&lt;$B$9,AS241,AS241*((1/(1+$B$10))^(DC$48-$B$9+1)))</f>
        <v>0</v>
      </c>
      <c r="DD241" s="171">
        <f t="shared" ref="DD241:DD304" ca="1" si="365">IF(DD$48&lt;$B$9,AT241,AT241*((1/(1+$B$10))^(DD$48-$B$9+1)))</f>
        <v>0</v>
      </c>
      <c r="DE241" s="171">
        <f t="shared" ref="DE241:DE304" ca="1" si="366">IF(DE$48&lt;$B$9,AU241,AU241*((1/(1+$B$10))^(DE$48-$B$9+1)))</f>
        <v>0</v>
      </c>
      <c r="DF241" s="171">
        <f t="shared" ref="DF241:DF304" ca="1" si="367">IF(DF$48&lt;$B$9,AV241,AV241*((1/(1+$B$10))^(DF$48-$B$9+1)))</f>
        <v>0</v>
      </c>
      <c r="DG241" s="171">
        <f t="shared" ref="DG241:DG304" ca="1" si="368">IF(DG$48&lt;$B$9,AW241,AW241*((1/(1+$B$10))^(DG$48-$B$9+1)))</f>
        <v>0</v>
      </c>
      <c r="DH241" s="171">
        <f t="shared" ref="DH241:DH304" ca="1" si="369">IF(DH$48&lt;$B$9,AX241,AX241*((1/(1+$B$10))^(DH$48-$B$9+1)))</f>
        <v>0</v>
      </c>
      <c r="DI241" s="171">
        <f t="shared" ref="DI241:DI304" ca="1" si="370">IF(DI$48&lt;$B$9,AY241,AY241*((1/(1+$B$10))^(DI$48-$B$9+1)))</f>
        <v>0</v>
      </c>
      <c r="DJ241" s="171">
        <f t="shared" ref="DJ241:DJ304" ca="1" si="371">IF(DJ$48&lt;$B$9,AZ241,AZ241*((1/(1+$B$10))^(DJ$48-$B$9+1)))</f>
        <v>0</v>
      </c>
      <c r="DK241" s="171">
        <f t="shared" ref="DK241:DK304" ca="1" si="372">IF(DK$48&lt;$B$9,BA241,BA241*((1/(1+$B$10))^(DK$48-$B$9+1)))</f>
        <v>0</v>
      </c>
      <c r="DL241" s="171">
        <f t="shared" ref="DL241:DL304" ca="1" si="373">IF(DL$48&lt;$B$9,BB241,BB241*((1/(1+$B$10))^(DL$48-$B$9+1)))</f>
        <v>0</v>
      </c>
      <c r="DM241" s="171">
        <f t="shared" ref="DM241:DM304" ca="1" si="374">IF(DM$48&lt;$B$9,BC241,BC241*((1/(1+$B$10))^(DM$48-$B$9+1)))</f>
        <v>0</v>
      </c>
      <c r="DN241" s="171">
        <f t="shared" ref="DN241:DN304" ca="1" si="375">IF(DN$48&lt;$B$9,BD241,BD241*((1/(1+$B$10))^(DN$48-$B$9+1)))</f>
        <v>0</v>
      </c>
      <c r="DO241" s="171">
        <f t="shared" ref="DO241:DO304" ca="1" si="376">IF(DO$48&lt;$B$9,BE241,BE241*((1/(1+$B$10))^(DO$48-$B$9+1)))</f>
        <v>0</v>
      </c>
      <c r="DP241" s="171">
        <f t="shared" ref="DP241:DP304" ca="1" si="377">IF(DP$48&lt;$B$9,BF241,BF241*((1/(1+$B$10))^(DP$48-$B$9+1)))</f>
        <v>0</v>
      </c>
      <c r="DQ241" s="171">
        <f t="shared" ref="DQ241:DQ304" ca="1" si="378">IF(DQ$48&lt;$B$9,BG241,BG241*((1/(1+$B$10))^(DQ$48-$B$9+1)))</f>
        <v>0</v>
      </c>
      <c r="DR241" s="171">
        <f t="shared" ref="DR241:DR304" ca="1" si="379">IF(DR$48&lt;$B$9,BH241,BH241*((1/(1+$B$10))^(DR$48-$B$9+1)))</f>
        <v>0</v>
      </c>
      <c r="DS241" s="171">
        <f t="shared" ref="DS241:DS304" ca="1" si="380">IF(DS$48&lt;$B$9,BI241,BI241*((1/(1+$B$10))^(DS$48-$B$9+1)))</f>
        <v>0</v>
      </c>
      <c r="DT241" s="171">
        <f t="shared" ref="DT241:DT304" ca="1" si="381">IF(DT$48&lt;$B$9,BJ241,BJ241*((1/(1+$B$10))^(DT$48-$B$9+1)))</f>
        <v>0</v>
      </c>
      <c r="DU241" s="171">
        <f t="shared" ref="DU241:DU304" ca="1" si="382">IF(DU$48&lt;$B$9,BK241,BK241*((1/(1+$B$10))^(DU$48-$B$9+1)))</f>
        <v>0</v>
      </c>
      <c r="DV241" s="171">
        <f t="shared" ref="DV241:DV304" ca="1" si="383">IF(DV$48&lt;$B$9,BL241,BL241*((1/(1+$B$10))^(DV$48-$B$9+1)))</f>
        <v>0</v>
      </c>
      <c r="DW241" s="171">
        <f t="shared" ref="DW241:DW304" ca="1" si="384">IF(DW$48&lt;$B$9,BM241,BM241*((1/(1+$B$10))^(DW$48-$B$9+1)))</f>
        <v>0</v>
      </c>
      <c r="DX241" s="171">
        <f t="shared" ref="DX241:DX304" ca="1" si="385">IF(DX$48&lt;$B$9,BN241,BN241*((1/(1+$B$10))^(DX$48-$B$9+1)))</f>
        <v>0</v>
      </c>
      <c r="DY241" s="171">
        <f t="shared" ref="DY241:DY304" ca="1" si="386">IF(DY$48&lt;$B$9,BO241,BO241*((1/(1+$B$10))^(DY$48-$B$9+1)))</f>
        <v>0</v>
      </c>
      <c r="DZ241" s="171">
        <f t="shared" ref="DZ241:DZ304" ca="1" si="387">IF(DZ$48&lt;$B$9,BP241,BP241*((1/(1+$B$10))^(DZ$48-$B$9+1)))</f>
        <v>0</v>
      </c>
      <c r="EA241" s="171">
        <f t="shared" ref="EA241:EA304" ca="1" si="388">IF(EA$48&lt;$B$9,BQ241,BQ241*((1/(1+$B$10))^(EA$48-$B$9+1)))</f>
        <v>0</v>
      </c>
      <c r="EB241" s="171">
        <f t="shared" ref="EB241:EB304" ca="1" si="389">IF(EB$48&lt;$B$9,BR241,BR241*((1/(1+$B$10))^(EB$48-$B$9+1)))</f>
        <v>0</v>
      </c>
      <c r="EC241" s="171">
        <f t="shared" ref="EC241:EC304" ca="1" si="390">IF(EC$48&lt;$B$9,BS241,BS241*((1/(1+$B$10))^(EC$48-$B$9+1)))</f>
        <v>0</v>
      </c>
      <c r="ED241" s="171">
        <f t="shared" ref="ED241:ED304" ca="1" si="391">IF(ED$48&lt;$B$9,BT241,BT241*((1/(1+$B$10))^(ED$48-$B$9+1)))</f>
        <v>0</v>
      </c>
      <c r="EE241" s="171">
        <f t="shared" ref="EE241:EE304" ca="1" si="392">IF(EE$48&lt;$B$9,BU241,BU241*((1/(1+$B$10))^(EE$48-$B$9+1)))</f>
        <v>0</v>
      </c>
      <c r="EF241" s="171">
        <f t="shared" ref="EF241:EF304" ca="1" si="393">IF(EF$48&lt;$B$9,BV241,BV241*((1/(1+$B$10))^(EF$48-$B$9+1)))</f>
        <v>0</v>
      </c>
      <c r="EG241" s="171">
        <f t="shared" ref="EG241:EG304" ca="1" si="394">IF(EG$48&lt;$B$9,BW241,BW241*((1/(1+$B$10))^(EG$48-$B$9+1)))</f>
        <v>0</v>
      </c>
      <c r="EH241" s="171">
        <f t="shared" ref="EH241:EH304" ca="1" si="395">IF(EH$48&lt;$B$9,BX241,BX241*((1/(1+$B$10))^(EH$48-$B$9+1)))</f>
        <v>0</v>
      </c>
      <c r="EI241" s="171">
        <f t="shared" ref="EI241:EI304" ca="1" si="396">IF(EI$48&lt;$B$9,BY241,BY241*((1/(1+$B$10))^(EI$48-$B$9+1)))</f>
        <v>0</v>
      </c>
      <c r="EJ241" s="171">
        <f t="shared" ref="EJ241:EJ304" ca="1" si="397">IF(EJ$48&lt;$B$9,BZ241,BZ241*((1/(1+$B$10))^(EJ$48-$B$9+1)))</f>
        <v>0</v>
      </c>
      <c r="EK241" s="171">
        <f t="shared" ref="EK241:EK304" ca="1" si="398">IF(EK$48&lt;$B$9,CA241,CA241*((1/(1+$B$10))^(EK$48-$B$9+1)))</f>
        <v>0</v>
      </c>
      <c r="EL241" s="171">
        <f t="shared" ref="EL241:EL304" ca="1" si="399">IF(EL$48&lt;$B$9,CB241,CB241*((1/(1+$B$10))^(EL$48-$B$9+1)))</f>
        <v>0</v>
      </c>
      <c r="EM241" s="171">
        <f t="shared" ref="EM241:EM304" ca="1" si="400">IF(EM$48&lt;$B$9,CC241,CC241*((1/(1+$B$10))^(EM$48-$B$9+1)))</f>
        <v>0</v>
      </c>
      <c r="EN241" s="171">
        <f t="shared" ref="EN241:EN304" ca="1" si="401">IF(EN$48&lt;$B$9,CD241,CD241*((1/(1+$B$10))^(EN$48-$B$9+1)))</f>
        <v>0</v>
      </c>
      <c r="EO241" s="171">
        <f t="shared" ref="EO241:EO304" ca="1" si="402">IF(EO$48&lt;$B$9,CE241,CE241*((1/(1+$B$10))^(EO$48-$B$9+1)))</f>
        <v>0</v>
      </c>
      <c r="EP241" s="171">
        <f t="shared" ref="EP241:EP304" ca="1" si="403">IF(EP$48&lt;$B$9,CF241,CF241*((1/(1+$B$10))^(EP$48-$B$9+1)))</f>
        <v>0</v>
      </c>
      <c r="EQ241" s="171">
        <f t="shared" ref="EQ241:EQ304" ca="1" si="404">IF(EQ$48&lt;$B$9,CG241,CG241*((1/(1+$B$10))^(EQ$48-$B$9+1)))</f>
        <v>0</v>
      </c>
      <c r="ER241" s="171">
        <f t="shared" ref="ER241:ER304" ca="1" si="405">IF(ER$48&lt;$B$9,CH241,CH241*((1/(1+$B$10))^(ER$48-$B$9+1)))</f>
        <v>0</v>
      </c>
      <c r="ES241" s="171">
        <f t="shared" ref="ES241:ES304" ca="1" si="406">IF(ES$48&lt;$B$9,CI241,CI241*((1/(1+$B$10))^(ES$48-$B$9+1)))</f>
        <v>0</v>
      </c>
    </row>
    <row r="242" spans="3:149">
      <c r="C242" s="214"/>
      <c r="L242" s="163"/>
      <c r="M242" s="164" t="str">
        <f t="shared" si="337"/>
        <v/>
      </c>
      <c r="N242" s="164" t="str">
        <f t="shared" si="338"/>
        <v/>
      </c>
      <c r="O242" s="165" t="str">
        <f t="shared" si="339"/>
        <v/>
      </c>
      <c r="R242" s="168"/>
      <c r="U242" s="171">
        <f t="shared" si="340"/>
        <v>0</v>
      </c>
      <c r="V242" s="171">
        <f t="shared" ca="1" si="341"/>
        <v>0</v>
      </c>
      <c r="W242" s="171">
        <f t="shared" ca="1" si="342"/>
        <v>0</v>
      </c>
      <c r="X242" s="172">
        <f t="shared" si="343"/>
        <v>0</v>
      </c>
      <c r="Y242" s="172" t="str">
        <f t="shared" si="344"/>
        <v/>
      </c>
      <c r="Z242" s="173">
        <f t="shared" si="345"/>
        <v>0</v>
      </c>
      <c r="AA242" s="171">
        <f t="shared" si="331"/>
        <v>0</v>
      </c>
      <c r="AB242" s="171">
        <f t="shared" si="331"/>
        <v>0</v>
      </c>
      <c r="AC242" s="171">
        <f t="shared" si="331"/>
        <v>0</v>
      </c>
      <c r="AD242" s="171">
        <f t="shared" si="331"/>
        <v>0</v>
      </c>
      <c r="AE242" s="171">
        <f t="shared" si="331"/>
        <v>0</v>
      </c>
      <c r="AF242" s="171">
        <f t="shared" si="331"/>
        <v>0</v>
      </c>
      <c r="AG242" s="171">
        <f t="shared" si="331"/>
        <v>0</v>
      </c>
      <c r="AH242" s="171">
        <f t="shared" si="331"/>
        <v>0</v>
      </c>
      <c r="AI242" s="171">
        <f t="shared" si="331"/>
        <v>0</v>
      </c>
      <c r="AJ242" s="171">
        <f t="shared" si="331"/>
        <v>0</v>
      </c>
      <c r="AK242" s="171">
        <f t="shared" si="332"/>
        <v>0</v>
      </c>
      <c r="AL242" s="171">
        <f t="shared" si="332"/>
        <v>0</v>
      </c>
      <c r="AM242" s="171">
        <f t="shared" si="332"/>
        <v>0</v>
      </c>
      <c r="AN242" s="171">
        <f t="shared" si="332"/>
        <v>0</v>
      </c>
      <c r="AO242" s="171">
        <f t="shared" si="332"/>
        <v>0</v>
      </c>
      <c r="AP242" s="171">
        <f t="shared" si="332"/>
        <v>0</v>
      </c>
      <c r="AQ242" s="171">
        <f t="shared" si="332"/>
        <v>0</v>
      </c>
      <c r="AR242" s="171">
        <f t="shared" si="332"/>
        <v>0</v>
      </c>
      <c r="AS242" s="171">
        <f t="shared" si="332"/>
        <v>0</v>
      </c>
      <c r="AT242" s="171">
        <f t="shared" si="332"/>
        <v>0</v>
      </c>
      <c r="AU242" s="171">
        <f t="shared" si="333"/>
        <v>0</v>
      </c>
      <c r="AV242" s="171">
        <f t="shared" si="333"/>
        <v>0</v>
      </c>
      <c r="AW242" s="171">
        <f t="shared" si="333"/>
        <v>0</v>
      </c>
      <c r="AX242" s="171">
        <f t="shared" si="333"/>
        <v>0</v>
      </c>
      <c r="AY242" s="171">
        <f t="shared" si="333"/>
        <v>0</v>
      </c>
      <c r="AZ242" s="171">
        <f t="shared" si="333"/>
        <v>0</v>
      </c>
      <c r="BA242" s="171">
        <f t="shared" si="333"/>
        <v>0</v>
      </c>
      <c r="BB242" s="171">
        <f t="shared" si="333"/>
        <v>0</v>
      </c>
      <c r="BC242" s="171">
        <f t="shared" si="333"/>
        <v>0</v>
      </c>
      <c r="BD242" s="171">
        <f t="shared" si="333"/>
        <v>0</v>
      </c>
      <c r="BE242" s="171">
        <f t="shared" si="334"/>
        <v>0</v>
      </c>
      <c r="BF242" s="171">
        <f t="shared" si="334"/>
        <v>0</v>
      </c>
      <c r="BG242" s="171">
        <f t="shared" si="334"/>
        <v>0</v>
      </c>
      <c r="BH242" s="171">
        <f t="shared" si="334"/>
        <v>0</v>
      </c>
      <c r="BI242" s="171">
        <f t="shared" si="334"/>
        <v>0</v>
      </c>
      <c r="BJ242" s="171">
        <f t="shared" si="334"/>
        <v>0</v>
      </c>
      <c r="BK242" s="171">
        <f t="shared" si="334"/>
        <v>0</v>
      </c>
      <c r="BL242" s="171">
        <f t="shared" si="334"/>
        <v>0</v>
      </c>
      <c r="BM242" s="171">
        <f t="shared" si="334"/>
        <v>0</v>
      </c>
      <c r="BN242" s="171">
        <f t="shared" si="334"/>
        <v>0</v>
      </c>
      <c r="BO242" s="171">
        <f t="shared" si="335"/>
        <v>0</v>
      </c>
      <c r="BP242" s="171">
        <f t="shared" si="335"/>
        <v>0</v>
      </c>
      <c r="BQ242" s="171">
        <f t="shared" si="335"/>
        <v>0</v>
      </c>
      <c r="BR242" s="171">
        <f t="shared" si="335"/>
        <v>0</v>
      </c>
      <c r="BS242" s="171">
        <f t="shared" si="335"/>
        <v>0</v>
      </c>
      <c r="BT242" s="171">
        <f t="shared" si="335"/>
        <v>0</v>
      </c>
      <c r="BU242" s="171">
        <f t="shared" si="335"/>
        <v>0</v>
      </c>
      <c r="BV242" s="171">
        <f t="shared" si="335"/>
        <v>0</v>
      </c>
      <c r="BW242" s="171">
        <f t="shared" si="335"/>
        <v>0</v>
      </c>
      <c r="BX242" s="171">
        <f t="shared" si="335"/>
        <v>0</v>
      </c>
      <c r="BY242" s="171">
        <f t="shared" si="336"/>
        <v>0</v>
      </c>
      <c r="BZ242" s="171">
        <f t="shared" si="336"/>
        <v>0</v>
      </c>
      <c r="CA242" s="171">
        <f t="shared" si="336"/>
        <v>0</v>
      </c>
      <c r="CB242" s="171">
        <f t="shared" si="336"/>
        <v>0</v>
      </c>
      <c r="CC242" s="171">
        <f t="shared" si="336"/>
        <v>0</v>
      </c>
      <c r="CD242" s="171">
        <f t="shared" si="336"/>
        <v>0</v>
      </c>
      <c r="CE242" s="171">
        <f t="shared" si="336"/>
        <v>0</v>
      </c>
      <c r="CF242" s="171">
        <f t="shared" si="336"/>
        <v>0</v>
      </c>
      <c r="CG242" s="171">
        <f t="shared" si="336"/>
        <v>0</v>
      </c>
      <c r="CH242" s="171">
        <f t="shared" si="336"/>
        <v>0</v>
      </c>
      <c r="CI242" s="171">
        <f t="shared" si="336"/>
        <v>0</v>
      </c>
      <c r="CJ242" s="243"/>
      <c r="CK242" s="171">
        <f t="shared" si="346"/>
        <v>0</v>
      </c>
      <c r="CL242" s="171">
        <f t="shared" si="347"/>
        <v>0</v>
      </c>
      <c r="CM242" s="171">
        <f t="shared" si="348"/>
        <v>0</v>
      </c>
      <c r="CN242" s="171">
        <f t="shared" si="349"/>
        <v>0</v>
      </c>
      <c r="CO242" s="171">
        <f t="shared" si="350"/>
        <v>0</v>
      </c>
      <c r="CP242" s="171">
        <f t="shared" si="351"/>
        <v>0</v>
      </c>
      <c r="CQ242" s="171">
        <f t="shared" si="352"/>
        <v>0</v>
      </c>
      <c r="CR242" s="171">
        <f t="shared" si="353"/>
        <v>0</v>
      </c>
      <c r="CS242" s="171">
        <f t="shared" si="354"/>
        <v>0</v>
      </c>
      <c r="CT242" s="171">
        <f t="shared" si="355"/>
        <v>0</v>
      </c>
      <c r="CU242" s="171">
        <f t="shared" si="356"/>
        <v>0</v>
      </c>
      <c r="CV242" s="171">
        <f t="shared" si="357"/>
        <v>0</v>
      </c>
      <c r="CW242" s="171">
        <f t="shared" si="358"/>
        <v>0</v>
      </c>
      <c r="CX242" s="171">
        <f t="shared" si="359"/>
        <v>0</v>
      </c>
      <c r="CY242" s="171">
        <f t="shared" ca="1" si="360"/>
        <v>0</v>
      </c>
      <c r="CZ242" s="171">
        <f t="shared" ca="1" si="361"/>
        <v>0</v>
      </c>
      <c r="DA242" s="171">
        <f t="shared" ca="1" si="362"/>
        <v>0</v>
      </c>
      <c r="DB242" s="171">
        <f t="shared" ca="1" si="363"/>
        <v>0</v>
      </c>
      <c r="DC242" s="171">
        <f t="shared" ca="1" si="364"/>
        <v>0</v>
      </c>
      <c r="DD242" s="171">
        <f t="shared" ca="1" si="365"/>
        <v>0</v>
      </c>
      <c r="DE242" s="171">
        <f t="shared" ca="1" si="366"/>
        <v>0</v>
      </c>
      <c r="DF242" s="171">
        <f t="shared" ca="1" si="367"/>
        <v>0</v>
      </c>
      <c r="DG242" s="171">
        <f t="shared" ca="1" si="368"/>
        <v>0</v>
      </c>
      <c r="DH242" s="171">
        <f t="shared" ca="1" si="369"/>
        <v>0</v>
      </c>
      <c r="DI242" s="171">
        <f t="shared" ca="1" si="370"/>
        <v>0</v>
      </c>
      <c r="DJ242" s="171">
        <f t="shared" ca="1" si="371"/>
        <v>0</v>
      </c>
      <c r="DK242" s="171">
        <f t="shared" ca="1" si="372"/>
        <v>0</v>
      </c>
      <c r="DL242" s="171">
        <f t="shared" ca="1" si="373"/>
        <v>0</v>
      </c>
      <c r="DM242" s="171">
        <f t="shared" ca="1" si="374"/>
        <v>0</v>
      </c>
      <c r="DN242" s="171">
        <f t="shared" ca="1" si="375"/>
        <v>0</v>
      </c>
      <c r="DO242" s="171">
        <f t="shared" ca="1" si="376"/>
        <v>0</v>
      </c>
      <c r="DP242" s="171">
        <f t="shared" ca="1" si="377"/>
        <v>0</v>
      </c>
      <c r="DQ242" s="171">
        <f t="shared" ca="1" si="378"/>
        <v>0</v>
      </c>
      <c r="DR242" s="171">
        <f t="shared" ca="1" si="379"/>
        <v>0</v>
      </c>
      <c r="DS242" s="171">
        <f t="shared" ca="1" si="380"/>
        <v>0</v>
      </c>
      <c r="DT242" s="171">
        <f t="shared" ca="1" si="381"/>
        <v>0</v>
      </c>
      <c r="DU242" s="171">
        <f t="shared" ca="1" si="382"/>
        <v>0</v>
      </c>
      <c r="DV242" s="171">
        <f t="shared" ca="1" si="383"/>
        <v>0</v>
      </c>
      <c r="DW242" s="171">
        <f t="shared" ca="1" si="384"/>
        <v>0</v>
      </c>
      <c r="DX242" s="171">
        <f t="shared" ca="1" si="385"/>
        <v>0</v>
      </c>
      <c r="DY242" s="171">
        <f t="shared" ca="1" si="386"/>
        <v>0</v>
      </c>
      <c r="DZ242" s="171">
        <f t="shared" ca="1" si="387"/>
        <v>0</v>
      </c>
      <c r="EA242" s="171">
        <f t="shared" ca="1" si="388"/>
        <v>0</v>
      </c>
      <c r="EB242" s="171">
        <f t="shared" ca="1" si="389"/>
        <v>0</v>
      </c>
      <c r="EC242" s="171">
        <f t="shared" ca="1" si="390"/>
        <v>0</v>
      </c>
      <c r="ED242" s="171">
        <f t="shared" ca="1" si="391"/>
        <v>0</v>
      </c>
      <c r="EE242" s="171">
        <f t="shared" ca="1" si="392"/>
        <v>0</v>
      </c>
      <c r="EF242" s="171">
        <f t="shared" ca="1" si="393"/>
        <v>0</v>
      </c>
      <c r="EG242" s="171">
        <f t="shared" ca="1" si="394"/>
        <v>0</v>
      </c>
      <c r="EH242" s="171">
        <f t="shared" ca="1" si="395"/>
        <v>0</v>
      </c>
      <c r="EI242" s="171">
        <f t="shared" ca="1" si="396"/>
        <v>0</v>
      </c>
      <c r="EJ242" s="171">
        <f t="shared" ca="1" si="397"/>
        <v>0</v>
      </c>
      <c r="EK242" s="171">
        <f t="shared" ca="1" si="398"/>
        <v>0</v>
      </c>
      <c r="EL242" s="171">
        <f t="shared" ca="1" si="399"/>
        <v>0</v>
      </c>
      <c r="EM242" s="171">
        <f t="shared" ca="1" si="400"/>
        <v>0</v>
      </c>
      <c r="EN242" s="171">
        <f t="shared" ca="1" si="401"/>
        <v>0</v>
      </c>
      <c r="EO242" s="171">
        <f t="shared" ca="1" si="402"/>
        <v>0</v>
      </c>
      <c r="EP242" s="171">
        <f t="shared" ca="1" si="403"/>
        <v>0</v>
      </c>
      <c r="EQ242" s="171">
        <f t="shared" ca="1" si="404"/>
        <v>0</v>
      </c>
      <c r="ER242" s="171">
        <f t="shared" ca="1" si="405"/>
        <v>0</v>
      </c>
      <c r="ES242" s="171">
        <f t="shared" ca="1" si="406"/>
        <v>0</v>
      </c>
    </row>
    <row r="243" spans="3:149">
      <c r="C243" s="214"/>
      <c r="L243" s="163"/>
      <c r="M243" s="164" t="str">
        <f t="shared" si="337"/>
        <v/>
      </c>
      <c r="N243" s="164" t="str">
        <f t="shared" si="338"/>
        <v/>
      </c>
      <c r="O243" s="165" t="str">
        <f t="shared" si="339"/>
        <v/>
      </c>
      <c r="R243" s="168"/>
      <c r="U243" s="171">
        <f t="shared" si="340"/>
        <v>0</v>
      </c>
      <c r="V243" s="171">
        <f t="shared" ca="1" si="341"/>
        <v>0</v>
      </c>
      <c r="W243" s="171">
        <f t="shared" ca="1" si="342"/>
        <v>0</v>
      </c>
      <c r="X243" s="172">
        <f t="shared" si="343"/>
        <v>0</v>
      </c>
      <c r="Y243" s="172" t="str">
        <f t="shared" si="344"/>
        <v/>
      </c>
      <c r="Z243" s="173">
        <f t="shared" si="345"/>
        <v>0</v>
      </c>
      <c r="AA243" s="171">
        <f t="shared" si="331"/>
        <v>0</v>
      </c>
      <c r="AB243" s="171">
        <f t="shared" si="331"/>
        <v>0</v>
      </c>
      <c r="AC243" s="171">
        <f t="shared" si="331"/>
        <v>0</v>
      </c>
      <c r="AD243" s="171">
        <f t="shared" si="331"/>
        <v>0</v>
      </c>
      <c r="AE243" s="171">
        <f t="shared" si="331"/>
        <v>0</v>
      </c>
      <c r="AF243" s="171">
        <f t="shared" si="331"/>
        <v>0</v>
      </c>
      <c r="AG243" s="171">
        <f t="shared" si="331"/>
        <v>0</v>
      </c>
      <c r="AH243" s="171">
        <f t="shared" si="331"/>
        <v>0</v>
      </c>
      <c r="AI243" s="171">
        <f t="shared" si="331"/>
        <v>0</v>
      </c>
      <c r="AJ243" s="171">
        <f t="shared" si="331"/>
        <v>0</v>
      </c>
      <c r="AK243" s="171">
        <f t="shared" si="332"/>
        <v>0</v>
      </c>
      <c r="AL243" s="171">
        <f t="shared" si="332"/>
        <v>0</v>
      </c>
      <c r="AM243" s="171">
        <f t="shared" si="332"/>
        <v>0</v>
      </c>
      <c r="AN243" s="171">
        <f t="shared" si="332"/>
        <v>0</v>
      </c>
      <c r="AO243" s="171">
        <f t="shared" si="332"/>
        <v>0</v>
      </c>
      <c r="AP243" s="171">
        <f t="shared" si="332"/>
        <v>0</v>
      </c>
      <c r="AQ243" s="171">
        <f t="shared" si="332"/>
        <v>0</v>
      </c>
      <c r="AR243" s="171">
        <f t="shared" si="332"/>
        <v>0</v>
      </c>
      <c r="AS243" s="171">
        <f t="shared" si="332"/>
        <v>0</v>
      </c>
      <c r="AT243" s="171">
        <f t="shared" si="332"/>
        <v>0</v>
      </c>
      <c r="AU243" s="171">
        <f t="shared" si="333"/>
        <v>0</v>
      </c>
      <c r="AV243" s="171">
        <f t="shared" si="333"/>
        <v>0</v>
      </c>
      <c r="AW243" s="171">
        <f t="shared" si="333"/>
        <v>0</v>
      </c>
      <c r="AX243" s="171">
        <f t="shared" si="333"/>
        <v>0</v>
      </c>
      <c r="AY243" s="171">
        <f t="shared" si="333"/>
        <v>0</v>
      </c>
      <c r="AZ243" s="171">
        <f t="shared" si="333"/>
        <v>0</v>
      </c>
      <c r="BA243" s="171">
        <f t="shared" si="333"/>
        <v>0</v>
      </c>
      <c r="BB243" s="171">
        <f t="shared" si="333"/>
        <v>0</v>
      </c>
      <c r="BC243" s="171">
        <f t="shared" si="333"/>
        <v>0</v>
      </c>
      <c r="BD243" s="171">
        <f t="shared" si="333"/>
        <v>0</v>
      </c>
      <c r="BE243" s="171">
        <f t="shared" si="334"/>
        <v>0</v>
      </c>
      <c r="BF243" s="171">
        <f t="shared" si="334"/>
        <v>0</v>
      </c>
      <c r="BG243" s="171">
        <f t="shared" si="334"/>
        <v>0</v>
      </c>
      <c r="BH243" s="171">
        <f t="shared" si="334"/>
        <v>0</v>
      </c>
      <c r="BI243" s="171">
        <f t="shared" si="334"/>
        <v>0</v>
      </c>
      <c r="BJ243" s="171">
        <f t="shared" si="334"/>
        <v>0</v>
      </c>
      <c r="BK243" s="171">
        <f t="shared" si="334"/>
        <v>0</v>
      </c>
      <c r="BL243" s="171">
        <f t="shared" si="334"/>
        <v>0</v>
      </c>
      <c r="BM243" s="171">
        <f t="shared" si="334"/>
        <v>0</v>
      </c>
      <c r="BN243" s="171">
        <f t="shared" si="334"/>
        <v>0</v>
      </c>
      <c r="BO243" s="171">
        <f t="shared" si="335"/>
        <v>0</v>
      </c>
      <c r="BP243" s="171">
        <f t="shared" si="335"/>
        <v>0</v>
      </c>
      <c r="BQ243" s="171">
        <f t="shared" si="335"/>
        <v>0</v>
      </c>
      <c r="BR243" s="171">
        <f t="shared" si="335"/>
        <v>0</v>
      </c>
      <c r="BS243" s="171">
        <f t="shared" si="335"/>
        <v>0</v>
      </c>
      <c r="BT243" s="171">
        <f t="shared" si="335"/>
        <v>0</v>
      </c>
      <c r="BU243" s="171">
        <f t="shared" si="335"/>
        <v>0</v>
      </c>
      <c r="BV243" s="171">
        <f t="shared" si="335"/>
        <v>0</v>
      </c>
      <c r="BW243" s="171">
        <f t="shared" si="335"/>
        <v>0</v>
      </c>
      <c r="BX243" s="171">
        <f t="shared" si="335"/>
        <v>0</v>
      </c>
      <c r="BY243" s="171">
        <f t="shared" si="336"/>
        <v>0</v>
      </c>
      <c r="BZ243" s="171">
        <f t="shared" si="336"/>
        <v>0</v>
      </c>
      <c r="CA243" s="171">
        <f t="shared" si="336"/>
        <v>0</v>
      </c>
      <c r="CB243" s="171">
        <f t="shared" si="336"/>
        <v>0</v>
      </c>
      <c r="CC243" s="171">
        <f t="shared" si="336"/>
        <v>0</v>
      </c>
      <c r="CD243" s="171">
        <f t="shared" si="336"/>
        <v>0</v>
      </c>
      <c r="CE243" s="171">
        <f t="shared" si="336"/>
        <v>0</v>
      </c>
      <c r="CF243" s="171">
        <f t="shared" si="336"/>
        <v>0</v>
      </c>
      <c r="CG243" s="171">
        <f t="shared" si="336"/>
        <v>0</v>
      </c>
      <c r="CH243" s="171">
        <f t="shared" si="336"/>
        <v>0</v>
      </c>
      <c r="CI243" s="171">
        <f t="shared" si="336"/>
        <v>0</v>
      </c>
      <c r="CJ243" s="243"/>
      <c r="CK243" s="171">
        <f t="shared" si="346"/>
        <v>0</v>
      </c>
      <c r="CL243" s="171">
        <f t="shared" si="347"/>
        <v>0</v>
      </c>
      <c r="CM243" s="171">
        <f t="shared" si="348"/>
        <v>0</v>
      </c>
      <c r="CN243" s="171">
        <f t="shared" si="349"/>
        <v>0</v>
      </c>
      <c r="CO243" s="171">
        <f t="shared" si="350"/>
        <v>0</v>
      </c>
      <c r="CP243" s="171">
        <f t="shared" si="351"/>
        <v>0</v>
      </c>
      <c r="CQ243" s="171">
        <f t="shared" si="352"/>
        <v>0</v>
      </c>
      <c r="CR243" s="171">
        <f t="shared" si="353"/>
        <v>0</v>
      </c>
      <c r="CS243" s="171">
        <f t="shared" si="354"/>
        <v>0</v>
      </c>
      <c r="CT243" s="171">
        <f t="shared" si="355"/>
        <v>0</v>
      </c>
      <c r="CU243" s="171">
        <f t="shared" si="356"/>
        <v>0</v>
      </c>
      <c r="CV243" s="171">
        <f t="shared" si="357"/>
        <v>0</v>
      </c>
      <c r="CW243" s="171">
        <f t="shared" si="358"/>
        <v>0</v>
      </c>
      <c r="CX243" s="171">
        <f t="shared" si="359"/>
        <v>0</v>
      </c>
      <c r="CY243" s="171">
        <f t="shared" ca="1" si="360"/>
        <v>0</v>
      </c>
      <c r="CZ243" s="171">
        <f t="shared" ca="1" si="361"/>
        <v>0</v>
      </c>
      <c r="DA243" s="171">
        <f t="shared" ca="1" si="362"/>
        <v>0</v>
      </c>
      <c r="DB243" s="171">
        <f t="shared" ca="1" si="363"/>
        <v>0</v>
      </c>
      <c r="DC243" s="171">
        <f t="shared" ca="1" si="364"/>
        <v>0</v>
      </c>
      <c r="DD243" s="171">
        <f t="shared" ca="1" si="365"/>
        <v>0</v>
      </c>
      <c r="DE243" s="171">
        <f t="shared" ca="1" si="366"/>
        <v>0</v>
      </c>
      <c r="DF243" s="171">
        <f t="shared" ca="1" si="367"/>
        <v>0</v>
      </c>
      <c r="DG243" s="171">
        <f t="shared" ca="1" si="368"/>
        <v>0</v>
      </c>
      <c r="DH243" s="171">
        <f t="shared" ca="1" si="369"/>
        <v>0</v>
      </c>
      <c r="DI243" s="171">
        <f t="shared" ca="1" si="370"/>
        <v>0</v>
      </c>
      <c r="DJ243" s="171">
        <f t="shared" ca="1" si="371"/>
        <v>0</v>
      </c>
      <c r="DK243" s="171">
        <f t="shared" ca="1" si="372"/>
        <v>0</v>
      </c>
      <c r="DL243" s="171">
        <f t="shared" ca="1" si="373"/>
        <v>0</v>
      </c>
      <c r="DM243" s="171">
        <f t="shared" ca="1" si="374"/>
        <v>0</v>
      </c>
      <c r="DN243" s="171">
        <f t="shared" ca="1" si="375"/>
        <v>0</v>
      </c>
      <c r="DO243" s="171">
        <f t="shared" ca="1" si="376"/>
        <v>0</v>
      </c>
      <c r="DP243" s="171">
        <f t="shared" ca="1" si="377"/>
        <v>0</v>
      </c>
      <c r="DQ243" s="171">
        <f t="shared" ca="1" si="378"/>
        <v>0</v>
      </c>
      <c r="DR243" s="171">
        <f t="shared" ca="1" si="379"/>
        <v>0</v>
      </c>
      <c r="DS243" s="171">
        <f t="shared" ca="1" si="380"/>
        <v>0</v>
      </c>
      <c r="DT243" s="171">
        <f t="shared" ca="1" si="381"/>
        <v>0</v>
      </c>
      <c r="DU243" s="171">
        <f t="shared" ca="1" si="382"/>
        <v>0</v>
      </c>
      <c r="DV243" s="171">
        <f t="shared" ca="1" si="383"/>
        <v>0</v>
      </c>
      <c r="DW243" s="171">
        <f t="shared" ca="1" si="384"/>
        <v>0</v>
      </c>
      <c r="DX243" s="171">
        <f t="shared" ca="1" si="385"/>
        <v>0</v>
      </c>
      <c r="DY243" s="171">
        <f t="shared" ca="1" si="386"/>
        <v>0</v>
      </c>
      <c r="DZ243" s="171">
        <f t="shared" ca="1" si="387"/>
        <v>0</v>
      </c>
      <c r="EA243" s="171">
        <f t="shared" ca="1" si="388"/>
        <v>0</v>
      </c>
      <c r="EB243" s="171">
        <f t="shared" ca="1" si="389"/>
        <v>0</v>
      </c>
      <c r="EC243" s="171">
        <f t="shared" ca="1" si="390"/>
        <v>0</v>
      </c>
      <c r="ED243" s="171">
        <f t="shared" ca="1" si="391"/>
        <v>0</v>
      </c>
      <c r="EE243" s="171">
        <f t="shared" ca="1" si="392"/>
        <v>0</v>
      </c>
      <c r="EF243" s="171">
        <f t="shared" ca="1" si="393"/>
        <v>0</v>
      </c>
      <c r="EG243" s="171">
        <f t="shared" ca="1" si="394"/>
        <v>0</v>
      </c>
      <c r="EH243" s="171">
        <f t="shared" ca="1" si="395"/>
        <v>0</v>
      </c>
      <c r="EI243" s="171">
        <f t="shared" ca="1" si="396"/>
        <v>0</v>
      </c>
      <c r="EJ243" s="171">
        <f t="shared" ca="1" si="397"/>
        <v>0</v>
      </c>
      <c r="EK243" s="171">
        <f t="shared" ca="1" si="398"/>
        <v>0</v>
      </c>
      <c r="EL243" s="171">
        <f t="shared" ca="1" si="399"/>
        <v>0</v>
      </c>
      <c r="EM243" s="171">
        <f t="shared" ca="1" si="400"/>
        <v>0</v>
      </c>
      <c r="EN243" s="171">
        <f t="shared" ca="1" si="401"/>
        <v>0</v>
      </c>
      <c r="EO243" s="171">
        <f t="shared" ca="1" si="402"/>
        <v>0</v>
      </c>
      <c r="EP243" s="171">
        <f t="shared" ca="1" si="403"/>
        <v>0</v>
      </c>
      <c r="EQ243" s="171">
        <f t="shared" ca="1" si="404"/>
        <v>0</v>
      </c>
      <c r="ER243" s="171">
        <f t="shared" ca="1" si="405"/>
        <v>0</v>
      </c>
      <c r="ES243" s="171">
        <f t="shared" ca="1" si="406"/>
        <v>0</v>
      </c>
    </row>
    <row r="244" spans="3:149">
      <c r="C244" s="214"/>
      <c r="L244" s="163"/>
      <c r="M244" s="164" t="str">
        <f t="shared" si="337"/>
        <v/>
      </c>
      <c r="N244" s="164" t="str">
        <f t="shared" si="338"/>
        <v/>
      </c>
      <c r="O244" s="165" t="str">
        <f t="shared" si="339"/>
        <v/>
      </c>
      <c r="R244" s="168"/>
      <c r="U244" s="171">
        <f t="shared" si="340"/>
        <v>0</v>
      </c>
      <c r="V244" s="171">
        <f t="shared" ca="1" si="341"/>
        <v>0</v>
      </c>
      <c r="W244" s="171">
        <f t="shared" ca="1" si="342"/>
        <v>0</v>
      </c>
      <c r="X244" s="172">
        <f t="shared" si="343"/>
        <v>0</v>
      </c>
      <c r="Y244" s="172" t="str">
        <f t="shared" si="344"/>
        <v/>
      </c>
      <c r="Z244" s="173">
        <f t="shared" si="345"/>
        <v>0</v>
      </c>
      <c r="AA244" s="171">
        <f t="shared" si="331"/>
        <v>0</v>
      </c>
      <c r="AB244" s="171">
        <f t="shared" si="331"/>
        <v>0</v>
      </c>
      <c r="AC244" s="171">
        <f t="shared" si="331"/>
        <v>0</v>
      </c>
      <c r="AD244" s="171">
        <f t="shared" si="331"/>
        <v>0</v>
      </c>
      <c r="AE244" s="171">
        <f t="shared" si="331"/>
        <v>0</v>
      </c>
      <c r="AF244" s="171">
        <f t="shared" si="331"/>
        <v>0</v>
      </c>
      <c r="AG244" s="171">
        <f t="shared" si="331"/>
        <v>0</v>
      </c>
      <c r="AH244" s="171">
        <f t="shared" si="331"/>
        <v>0</v>
      </c>
      <c r="AI244" s="171">
        <f t="shared" si="331"/>
        <v>0</v>
      </c>
      <c r="AJ244" s="171">
        <f t="shared" si="331"/>
        <v>0</v>
      </c>
      <c r="AK244" s="171">
        <f t="shared" si="332"/>
        <v>0</v>
      </c>
      <c r="AL244" s="171">
        <f t="shared" si="332"/>
        <v>0</v>
      </c>
      <c r="AM244" s="171">
        <f t="shared" si="332"/>
        <v>0</v>
      </c>
      <c r="AN244" s="171">
        <f t="shared" si="332"/>
        <v>0</v>
      </c>
      <c r="AO244" s="171">
        <f t="shared" si="332"/>
        <v>0</v>
      </c>
      <c r="AP244" s="171">
        <f t="shared" si="332"/>
        <v>0</v>
      </c>
      <c r="AQ244" s="171">
        <f t="shared" si="332"/>
        <v>0</v>
      </c>
      <c r="AR244" s="171">
        <f t="shared" si="332"/>
        <v>0</v>
      </c>
      <c r="AS244" s="171">
        <f t="shared" si="332"/>
        <v>0</v>
      </c>
      <c r="AT244" s="171">
        <f t="shared" si="332"/>
        <v>0</v>
      </c>
      <c r="AU244" s="171">
        <f t="shared" si="333"/>
        <v>0</v>
      </c>
      <c r="AV244" s="171">
        <f t="shared" si="333"/>
        <v>0</v>
      </c>
      <c r="AW244" s="171">
        <f t="shared" si="333"/>
        <v>0</v>
      </c>
      <c r="AX244" s="171">
        <f t="shared" si="333"/>
        <v>0</v>
      </c>
      <c r="AY244" s="171">
        <f t="shared" si="333"/>
        <v>0</v>
      </c>
      <c r="AZ244" s="171">
        <f t="shared" si="333"/>
        <v>0</v>
      </c>
      <c r="BA244" s="171">
        <f t="shared" si="333"/>
        <v>0</v>
      </c>
      <c r="BB244" s="171">
        <f t="shared" si="333"/>
        <v>0</v>
      </c>
      <c r="BC244" s="171">
        <f t="shared" si="333"/>
        <v>0</v>
      </c>
      <c r="BD244" s="171">
        <f t="shared" si="333"/>
        <v>0</v>
      </c>
      <c r="BE244" s="171">
        <f t="shared" si="334"/>
        <v>0</v>
      </c>
      <c r="BF244" s="171">
        <f t="shared" si="334"/>
        <v>0</v>
      </c>
      <c r="BG244" s="171">
        <f t="shared" si="334"/>
        <v>0</v>
      </c>
      <c r="BH244" s="171">
        <f t="shared" si="334"/>
        <v>0</v>
      </c>
      <c r="BI244" s="171">
        <f t="shared" si="334"/>
        <v>0</v>
      </c>
      <c r="BJ244" s="171">
        <f t="shared" si="334"/>
        <v>0</v>
      </c>
      <c r="BK244" s="171">
        <f t="shared" si="334"/>
        <v>0</v>
      </c>
      <c r="BL244" s="171">
        <f t="shared" si="334"/>
        <v>0</v>
      </c>
      <c r="BM244" s="171">
        <f t="shared" si="334"/>
        <v>0</v>
      </c>
      <c r="BN244" s="171">
        <f t="shared" si="334"/>
        <v>0</v>
      </c>
      <c r="BO244" s="171">
        <f t="shared" si="335"/>
        <v>0</v>
      </c>
      <c r="BP244" s="171">
        <f t="shared" si="335"/>
        <v>0</v>
      </c>
      <c r="BQ244" s="171">
        <f t="shared" si="335"/>
        <v>0</v>
      </c>
      <c r="BR244" s="171">
        <f t="shared" si="335"/>
        <v>0</v>
      </c>
      <c r="BS244" s="171">
        <f t="shared" si="335"/>
        <v>0</v>
      </c>
      <c r="BT244" s="171">
        <f t="shared" si="335"/>
        <v>0</v>
      </c>
      <c r="BU244" s="171">
        <f t="shared" si="335"/>
        <v>0</v>
      </c>
      <c r="BV244" s="171">
        <f t="shared" si="335"/>
        <v>0</v>
      </c>
      <c r="BW244" s="171">
        <f t="shared" si="335"/>
        <v>0</v>
      </c>
      <c r="BX244" s="171">
        <f t="shared" si="335"/>
        <v>0</v>
      </c>
      <c r="BY244" s="171">
        <f t="shared" si="336"/>
        <v>0</v>
      </c>
      <c r="BZ244" s="171">
        <f t="shared" si="336"/>
        <v>0</v>
      </c>
      <c r="CA244" s="171">
        <f t="shared" si="336"/>
        <v>0</v>
      </c>
      <c r="CB244" s="171">
        <f t="shared" si="336"/>
        <v>0</v>
      </c>
      <c r="CC244" s="171">
        <f t="shared" si="336"/>
        <v>0</v>
      </c>
      <c r="CD244" s="171">
        <f t="shared" si="336"/>
        <v>0</v>
      </c>
      <c r="CE244" s="171">
        <f t="shared" si="336"/>
        <v>0</v>
      </c>
      <c r="CF244" s="171">
        <f t="shared" si="336"/>
        <v>0</v>
      </c>
      <c r="CG244" s="171">
        <f t="shared" si="336"/>
        <v>0</v>
      </c>
      <c r="CH244" s="171">
        <f t="shared" si="336"/>
        <v>0</v>
      </c>
      <c r="CI244" s="171">
        <f t="shared" si="336"/>
        <v>0</v>
      </c>
      <c r="CJ244" s="243"/>
      <c r="CK244" s="171">
        <f t="shared" si="346"/>
        <v>0</v>
      </c>
      <c r="CL244" s="171">
        <f t="shared" si="347"/>
        <v>0</v>
      </c>
      <c r="CM244" s="171">
        <f t="shared" si="348"/>
        <v>0</v>
      </c>
      <c r="CN244" s="171">
        <f t="shared" si="349"/>
        <v>0</v>
      </c>
      <c r="CO244" s="171">
        <f t="shared" si="350"/>
        <v>0</v>
      </c>
      <c r="CP244" s="171">
        <f t="shared" si="351"/>
        <v>0</v>
      </c>
      <c r="CQ244" s="171">
        <f t="shared" si="352"/>
        <v>0</v>
      </c>
      <c r="CR244" s="171">
        <f t="shared" si="353"/>
        <v>0</v>
      </c>
      <c r="CS244" s="171">
        <f t="shared" si="354"/>
        <v>0</v>
      </c>
      <c r="CT244" s="171">
        <f t="shared" si="355"/>
        <v>0</v>
      </c>
      <c r="CU244" s="171">
        <f t="shared" si="356"/>
        <v>0</v>
      </c>
      <c r="CV244" s="171">
        <f t="shared" si="357"/>
        <v>0</v>
      </c>
      <c r="CW244" s="171">
        <f t="shared" si="358"/>
        <v>0</v>
      </c>
      <c r="CX244" s="171">
        <f t="shared" si="359"/>
        <v>0</v>
      </c>
      <c r="CY244" s="171">
        <f t="shared" ca="1" si="360"/>
        <v>0</v>
      </c>
      <c r="CZ244" s="171">
        <f t="shared" ca="1" si="361"/>
        <v>0</v>
      </c>
      <c r="DA244" s="171">
        <f t="shared" ca="1" si="362"/>
        <v>0</v>
      </c>
      <c r="DB244" s="171">
        <f t="shared" ca="1" si="363"/>
        <v>0</v>
      </c>
      <c r="DC244" s="171">
        <f t="shared" ca="1" si="364"/>
        <v>0</v>
      </c>
      <c r="DD244" s="171">
        <f t="shared" ca="1" si="365"/>
        <v>0</v>
      </c>
      <c r="DE244" s="171">
        <f t="shared" ca="1" si="366"/>
        <v>0</v>
      </c>
      <c r="DF244" s="171">
        <f t="shared" ca="1" si="367"/>
        <v>0</v>
      </c>
      <c r="DG244" s="171">
        <f t="shared" ca="1" si="368"/>
        <v>0</v>
      </c>
      <c r="DH244" s="171">
        <f t="shared" ca="1" si="369"/>
        <v>0</v>
      </c>
      <c r="DI244" s="171">
        <f t="shared" ca="1" si="370"/>
        <v>0</v>
      </c>
      <c r="DJ244" s="171">
        <f t="shared" ca="1" si="371"/>
        <v>0</v>
      </c>
      <c r="DK244" s="171">
        <f t="shared" ca="1" si="372"/>
        <v>0</v>
      </c>
      <c r="DL244" s="171">
        <f t="shared" ca="1" si="373"/>
        <v>0</v>
      </c>
      <c r="DM244" s="171">
        <f t="shared" ca="1" si="374"/>
        <v>0</v>
      </c>
      <c r="DN244" s="171">
        <f t="shared" ca="1" si="375"/>
        <v>0</v>
      </c>
      <c r="DO244" s="171">
        <f t="shared" ca="1" si="376"/>
        <v>0</v>
      </c>
      <c r="DP244" s="171">
        <f t="shared" ca="1" si="377"/>
        <v>0</v>
      </c>
      <c r="DQ244" s="171">
        <f t="shared" ca="1" si="378"/>
        <v>0</v>
      </c>
      <c r="DR244" s="171">
        <f t="shared" ca="1" si="379"/>
        <v>0</v>
      </c>
      <c r="DS244" s="171">
        <f t="shared" ca="1" si="380"/>
        <v>0</v>
      </c>
      <c r="DT244" s="171">
        <f t="shared" ca="1" si="381"/>
        <v>0</v>
      </c>
      <c r="DU244" s="171">
        <f t="shared" ca="1" si="382"/>
        <v>0</v>
      </c>
      <c r="DV244" s="171">
        <f t="shared" ca="1" si="383"/>
        <v>0</v>
      </c>
      <c r="DW244" s="171">
        <f t="shared" ca="1" si="384"/>
        <v>0</v>
      </c>
      <c r="DX244" s="171">
        <f t="shared" ca="1" si="385"/>
        <v>0</v>
      </c>
      <c r="DY244" s="171">
        <f t="shared" ca="1" si="386"/>
        <v>0</v>
      </c>
      <c r="DZ244" s="171">
        <f t="shared" ca="1" si="387"/>
        <v>0</v>
      </c>
      <c r="EA244" s="171">
        <f t="shared" ca="1" si="388"/>
        <v>0</v>
      </c>
      <c r="EB244" s="171">
        <f t="shared" ca="1" si="389"/>
        <v>0</v>
      </c>
      <c r="EC244" s="171">
        <f t="shared" ca="1" si="390"/>
        <v>0</v>
      </c>
      <c r="ED244" s="171">
        <f t="shared" ca="1" si="391"/>
        <v>0</v>
      </c>
      <c r="EE244" s="171">
        <f t="shared" ca="1" si="392"/>
        <v>0</v>
      </c>
      <c r="EF244" s="171">
        <f t="shared" ca="1" si="393"/>
        <v>0</v>
      </c>
      <c r="EG244" s="171">
        <f t="shared" ca="1" si="394"/>
        <v>0</v>
      </c>
      <c r="EH244" s="171">
        <f t="shared" ca="1" si="395"/>
        <v>0</v>
      </c>
      <c r="EI244" s="171">
        <f t="shared" ca="1" si="396"/>
        <v>0</v>
      </c>
      <c r="EJ244" s="171">
        <f t="shared" ca="1" si="397"/>
        <v>0</v>
      </c>
      <c r="EK244" s="171">
        <f t="shared" ca="1" si="398"/>
        <v>0</v>
      </c>
      <c r="EL244" s="171">
        <f t="shared" ca="1" si="399"/>
        <v>0</v>
      </c>
      <c r="EM244" s="171">
        <f t="shared" ca="1" si="400"/>
        <v>0</v>
      </c>
      <c r="EN244" s="171">
        <f t="shared" ca="1" si="401"/>
        <v>0</v>
      </c>
      <c r="EO244" s="171">
        <f t="shared" ca="1" si="402"/>
        <v>0</v>
      </c>
      <c r="EP244" s="171">
        <f t="shared" ca="1" si="403"/>
        <v>0</v>
      </c>
      <c r="EQ244" s="171">
        <f t="shared" ca="1" si="404"/>
        <v>0</v>
      </c>
      <c r="ER244" s="171">
        <f t="shared" ca="1" si="405"/>
        <v>0</v>
      </c>
      <c r="ES244" s="171">
        <f t="shared" ca="1" si="406"/>
        <v>0</v>
      </c>
    </row>
    <row r="245" spans="3:149">
      <c r="C245" s="214"/>
      <c r="L245" s="163"/>
      <c r="M245" s="164" t="str">
        <f t="shared" si="337"/>
        <v/>
      </c>
      <c r="N245" s="164" t="str">
        <f t="shared" si="338"/>
        <v/>
      </c>
      <c r="O245" s="165" t="str">
        <f t="shared" si="339"/>
        <v/>
      </c>
      <c r="R245" s="168"/>
      <c r="U245" s="171">
        <f t="shared" si="340"/>
        <v>0</v>
      </c>
      <c r="V245" s="171">
        <f t="shared" ca="1" si="341"/>
        <v>0</v>
      </c>
      <c r="W245" s="171">
        <f t="shared" ca="1" si="342"/>
        <v>0</v>
      </c>
      <c r="X245" s="172">
        <f t="shared" si="343"/>
        <v>0</v>
      </c>
      <c r="Y245" s="172" t="str">
        <f t="shared" si="344"/>
        <v/>
      </c>
      <c r="Z245" s="173">
        <f t="shared" si="345"/>
        <v>0</v>
      </c>
      <c r="AA245" s="171">
        <f t="shared" si="331"/>
        <v>0</v>
      </c>
      <c r="AB245" s="171">
        <f t="shared" si="331"/>
        <v>0</v>
      </c>
      <c r="AC245" s="171">
        <f t="shared" si="331"/>
        <v>0</v>
      </c>
      <c r="AD245" s="171">
        <f t="shared" si="331"/>
        <v>0</v>
      </c>
      <c r="AE245" s="171">
        <f t="shared" si="331"/>
        <v>0</v>
      </c>
      <c r="AF245" s="171">
        <f t="shared" si="331"/>
        <v>0</v>
      </c>
      <c r="AG245" s="171">
        <f t="shared" si="331"/>
        <v>0</v>
      </c>
      <c r="AH245" s="171">
        <f t="shared" si="331"/>
        <v>0</v>
      </c>
      <c r="AI245" s="171">
        <f t="shared" si="331"/>
        <v>0</v>
      </c>
      <c r="AJ245" s="171">
        <f t="shared" si="331"/>
        <v>0</v>
      </c>
      <c r="AK245" s="171">
        <f t="shared" si="332"/>
        <v>0</v>
      </c>
      <c r="AL245" s="171">
        <f t="shared" si="332"/>
        <v>0</v>
      </c>
      <c r="AM245" s="171">
        <f t="shared" si="332"/>
        <v>0</v>
      </c>
      <c r="AN245" s="171">
        <f t="shared" si="332"/>
        <v>0</v>
      </c>
      <c r="AO245" s="171">
        <f t="shared" si="332"/>
        <v>0</v>
      </c>
      <c r="AP245" s="171">
        <f t="shared" si="332"/>
        <v>0</v>
      </c>
      <c r="AQ245" s="171">
        <f t="shared" si="332"/>
        <v>0</v>
      </c>
      <c r="AR245" s="171">
        <f t="shared" si="332"/>
        <v>0</v>
      </c>
      <c r="AS245" s="171">
        <f t="shared" si="332"/>
        <v>0</v>
      </c>
      <c r="AT245" s="171">
        <f t="shared" si="332"/>
        <v>0</v>
      </c>
      <c r="AU245" s="171">
        <f t="shared" si="333"/>
        <v>0</v>
      </c>
      <c r="AV245" s="171">
        <f t="shared" si="333"/>
        <v>0</v>
      </c>
      <c r="AW245" s="171">
        <f t="shared" si="333"/>
        <v>0</v>
      </c>
      <c r="AX245" s="171">
        <f t="shared" si="333"/>
        <v>0</v>
      </c>
      <c r="AY245" s="171">
        <f t="shared" si="333"/>
        <v>0</v>
      </c>
      <c r="AZ245" s="171">
        <f t="shared" si="333"/>
        <v>0</v>
      </c>
      <c r="BA245" s="171">
        <f t="shared" si="333"/>
        <v>0</v>
      </c>
      <c r="BB245" s="171">
        <f t="shared" si="333"/>
        <v>0</v>
      </c>
      <c r="BC245" s="171">
        <f t="shared" si="333"/>
        <v>0</v>
      </c>
      <c r="BD245" s="171">
        <f t="shared" si="333"/>
        <v>0</v>
      </c>
      <c r="BE245" s="171">
        <f t="shared" si="334"/>
        <v>0</v>
      </c>
      <c r="BF245" s="171">
        <f t="shared" si="334"/>
        <v>0</v>
      </c>
      <c r="BG245" s="171">
        <f t="shared" si="334"/>
        <v>0</v>
      </c>
      <c r="BH245" s="171">
        <f t="shared" si="334"/>
        <v>0</v>
      </c>
      <c r="BI245" s="171">
        <f t="shared" si="334"/>
        <v>0</v>
      </c>
      <c r="BJ245" s="171">
        <f t="shared" si="334"/>
        <v>0</v>
      </c>
      <c r="BK245" s="171">
        <f t="shared" si="334"/>
        <v>0</v>
      </c>
      <c r="BL245" s="171">
        <f t="shared" si="334"/>
        <v>0</v>
      </c>
      <c r="BM245" s="171">
        <f t="shared" si="334"/>
        <v>0</v>
      </c>
      <c r="BN245" s="171">
        <f t="shared" si="334"/>
        <v>0</v>
      </c>
      <c r="BO245" s="171">
        <f t="shared" si="335"/>
        <v>0</v>
      </c>
      <c r="BP245" s="171">
        <f t="shared" si="335"/>
        <v>0</v>
      </c>
      <c r="BQ245" s="171">
        <f t="shared" si="335"/>
        <v>0</v>
      </c>
      <c r="BR245" s="171">
        <f t="shared" si="335"/>
        <v>0</v>
      </c>
      <c r="BS245" s="171">
        <f t="shared" si="335"/>
        <v>0</v>
      </c>
      <c r="BT245" s="171">
        <f t="shared" si="335"/>
        <v>0</v>
      </c>
      <c r="BU245" s="171">
        <f t="shared" si="335"/>
        <v>0</v>
      </c>
      <c r="BV245" s="171">
        <f t="shared" si="335"/>
        <v>0</v>
      </c>
      <c r="BW245" s="171">
        <f t="shared" si="335"/>
        <v>0</v>
      </c>
      <c r="BX245" s="171">
        <f t="shared" si="335"/>
        <v>0</v>
      </c>
      <c r="BY245" s="171">
        <f t="shared" si="336"/>
        <v>0</v>
      </c>
      <c r="BZ245" s="171">
        <f t="shared" si="336"/>
        <v>0</v>
      </c>
      <c r="CA245" s="171">
        <f t="shared" si="336"/>
        <v>0</v>
      </c>
      <c r="CB245" s="171">
        <f t="shared" si="336"/>
        <v>0</v>
      </c>
      <c r="CC245" s="171">
        <f t="shared" si="336"/>
        <v>0</v>
      </c>
      <c r="CD245" s="171">
        <f t="shared" si="336"/>
        <v>0</v>
      </c>
      <c r="CE245" s="171">
        <f t="shared" si="336"/>
        <v>0</v>
      </c>
      <c r="CF245" s="171">
        <f t="shared" si="336"/>
        <v>0</v>
      </c>
      <c r="CG245" s="171">
        <f t="shared" si="336"/>
        <v>0</v>
      </c>
      <c r="CH245" s="171">
        <f t="shared" si="336"/>
        <v>0</v>
      </c>
      <c r="CI245" s="171">
        <f t="shared" si="336"/>
        <v>0</v>
      </c>
      <c r="CJ245" s="243"/>
      <c r="CK245" s="171">
        <f t="shared" si="346"/>
        <v>0</v>
      </c>
      <c r="CL245" s="171">
        <f t="shared" si="347"/>
        <v>0</v>
      </c>
      <c r="CM245" s="171">
        <f t="shared" si="348"/>
        <v>0</v>
      </c>
      <c r="CN245" s="171">
        <f t="shared" si="349"/>
        <v>0</v>
      </c>
      <c r="CO245" s="171">
        <f t="shared" si="350"/>
        <v>0</v>
      </c>
      <c r="CP245" s="171">
        <f t="shared" si="351"/>
        <v>0</v>
      </c>
      <c r="CQ245" s="171">
        <f t="shared" si="352"/>
        <v>0</v>
      </c>
      <c r="CR245" s="171">
        <f t="shared" si="353"/>
        <v>0</v>
      </c>
      <c r="CS245" s="171">
        <f t="shared" si="354"/>
        <v>0</v>
      </c>
      <c r="CT245" s="171">
        <f t="shared" si="355"/>
        <v>0</v>
      </c>
      <c r="CU245" s="171">
        <f t="shared" si="356"/>
        <v>0</v>
      </c>
      <c r="CV245" s="171">
        <f t="shared" si="357"/>
        <v>0</v>
      </c>
      <c r="CW245" s="171">
        <f t="shared" si="358"/>
        <v>0</v>
      </c>
      <c r="CX245" s="171">
        <f t="shared" si="359"/>
        <v>0</v>
      </c>
      <c r="CY245" s="171">
        <f t="shared" ca="1" si="360"/>
        <v>0</v>
      </c>
      <c r="CZ245" s="171">
        <f t="shared" ca="1" si="361"/>
        <v>0</v>
      </c>
      <c r="DA245" s="171">
        <f t="shared" ca="1" si="362"/>
        <v>0</v>
      </c>
      <c r="DB245" s="171">
        <f t="shared" ca="1" si="363"/>
        <v>0</v>
      </c>
      <c r="DC245" s="171">
        <f t="shared" ca="1" si="364"/>
        <v>0</v>
      </c>
      <c r="DD245" s="171">
        <f t="shared" ca="1" si="365"/>
        <v>0</v>
      </c>
      <c r="DE245" s="171">
        <f t="shared" ca="1" si="366"/>
        <v>0</v>
      </c>
      <c r="DF245" s="171">
        <f t="shared" ca="1" si="367"/>
        <v>0</v>
      </c>
      <c r="DG245" s="171">
        <f t="shared" ca="1" si="368"/>
        <v>0</v>
      </c>
      <c r="DH245" s="171">
        <f t="shared" ca="1" si="369"/>
        <v>0</v>
      </c>
      <c r="DI245" s="171">
        <f t="shared" ca="1" si="370"/>
        <v>0</v>
      </c>
      <c r="DJ245" s="171">
        <f t="shared" ca="1" si="371"/>
        <v>0</v>
      </c>
      <c r="DK245" s="171">
        <f t="shared" ca="1" si="372"/>
        <v>0</v>
      </c>
      <c r="DL245" s="171">
        <f t="shared" ca="1" si="373"/>
        <v>0</v>
      </c>
      <c r="DM245" s="171">
        <f t="shared" ca="1" si="374"/>
        <v>0</v>
      </c>
      <c r="DN245" s="171">
        <f t="shared" ca="1" si="375"/>
        <v>0</v>
      </c>
      <c r="DO245" s="171">
        <f t="shared" ca="1" si="376"/>
        <v>0</v>
      </c>
      <c r="DP245" s="171">
        <f t="shared" ca="1" si="377"/>
        <v>0</v>
      </c>
      <c r="DQ245" s="171">
        <f t="shared" ca="1" si="378"/>
        <v>0</v>
      </c>
      <c r="DR245" s="171">
        <f t="shared" ca="1" si="379"/>
        <v>0</v>
      </c>
      <c r="DS245" s="171">
        <f t="shared" ca="1" si="380"/>
        <v>0</v>
      </c>
      <c r="DT245" s="171">
        <f t="shared" ca="1" si="381"/>
        <v>0</v>
      </c>
      <c r="DU245" s="171">
        <f t="shared" ca="1" si="382"/>
        <v>0</v>
      </c>
      <c r="DV245" s="171">
        <f t="shared" ca="1" si="383"/>
        <v>0</v>
      </c>
      <c r="DW245" s="171">
        <f t="shared" ca="1" si="384"/>
        <v>0</v>
      </c>
      <c r="DX245" s="171">
        <f t="shared" ca="1" si="385"/>
        <v>0</v>
      </c>
      <c r="DY245" s="171">
        <f t="shared" ca="1" si="386"/>
        <v>0</v>
      </c>
      <c r="DZ245" s="171">
        <f t="shared" ca="1" si="387"/>
        <v>0</v>
      </c>
      <c r="EA245" s="171">
        <f t="shared" ca="1" si="388"/>
        <v>0</v>
      </c>
      <c r="EB245" s="171">
        <f t="shared" ca="1" si="389"/>
        <v>0</v>
      </c>
      <c r="EC245" s="171">
        <f t="shared" ca="1" si="390"/>
        <v>0</v>
      </c>
      <c r="ED245" s="171">
        <f t="shared" ca="1" si="391"/>
        <v>0</v>
      </c>
      <c r="EE245" s="171">
        <f t="shared" ca="1" si="392"/>
        <v>0</v>
      </c>
      <c r="EF245" s="171">
        <f t="shared" ca="1" si="393"/>
        <v>0</v>
      </c>
      <c r="EG245" s="171">
        <f t="shared" ca="1" si="394"/>
        <v>0</v>
      </c>
      <c r="EH245" s="171">
        <f t="shared" ca="1" si="395"/>
        <v>0</v>
      </c>
      <c r="EI245" s="171">
        <f t="shared" ca="1" si="396"/>
        <v>0</v>
      </c>
      <c r="EJ245" s="171">
        <f t="shared" ca="1" si="397"/>
        <v>0</v>
      </c>
      <c r="EK245" s="171">
        <f t="shared" ca="1" si="398"/>
        <v>0</v>
      </c>
      <c r="EL245" s="171">
        <f t="shared" ca="1" si="399"/>
        <v>0</v>
      </c>
      <c r="EM245" s="171">
        <f t="shared" ca="1" si="400"/>
        <v>0</v>
      </c>
      <c r="EN245" s="171">
        <f t="shared" ca="1" si="401"/>
        <v>0</v>
      </c>
      <c r="EO245" s="171">
        <f t="shared" ca="1" si="402"/>
        <v>0</v>
      </c>
      <c r="EP245" s="171">
        <f t="shared" ca="1" si="403"/>
        <v>0</v>
      </c>
      <c r="EQ245" s="171">
        <f t="shared" ca="1" si="404"/>
        <v>0</v>
      </c>
      <c r="ER245" s="171">
        <f t="shared" ca="1" si="405"/>
        <v>0</v>
      </c>
      <c r="ES245" s="171">
        <f t="shared" ca="1" si="406"/>
        <v>0</v>
      </c>
    </row>
    <row r="246" spans="3:149">
      <c r="C246" s="214"/>
      <c r="L246" s="163"/>
      <c r="M246" s="164" t="str">
        <f t="shared" si="337"/>
        <v/>
      </c>
      <c r="N246" s="164" t="str">
        <f t="shared" si="338"/>
        <v/>
      </c>
      <c r="O246" s="165" t="str">
        <f t="shared" si="339"/>
        <v/>
      </c>
      <c r="R246" s="168"/>
      <c r="U246" s="171">
        <f t="shared" si="340"/>
        <v>0</v>
      </c>
      <c r="V246" s="171">
        <f t="shared" ca="1" si="341"/>
        <v>0</v>
      </c>
      <c r="W246" s="171">
        <f t="shared" ca="1" si="342"/>
        <v>0</v>
      </c>
      <c r="X246" s="172">
        <f t="shared" si="343"/>
        <v>0</v>
      </c>
      <c r="Y246" s="172" t="str">
        <f t="shared" si="344"/>
        <v/>
      </c>
      <c r="Z246" s="173">
        <f t="shared" si="345"/>
        <v>0</v>
      </c>
      <c r="AA246" s="171">
        <f t="shared" si="331"/>
        <v>0</v>
      </c>
      <c r="AB246" s="171">
        <f t="shared" si="331"/>
        <v>0</v>
      </c>
      <c r="AC246" s="171">
        <f t="shared" si="331"/>
        <v>0</v>
      </c>
      <c r="AD246" s="171">
        <f t="shared" si="331"/>
        <v>0</v>
      </c>
      <c r="AE246" s="171">
        <f t="shared" si="331"/>
        <v>0</v>
      </c>
      <c r="AF246" s="171">
        <f t="shared" si="331"/>
        <v>0</v>
      </c>
      <c r="AG246" s="171">
        <f t="shared" si="331"/>
        <v>0</v>
      </c>
      <c r="AH246" s="171">
        <f t="shared" si="331"/>
        <v>0</v>
      </c>
      <c r="AI246" s="171">
        <f t="shared" si="331"/>
        <v>0</v>
      </c>
      <c r="AJ246" s="171">
        <f t="shared" si="331"/>
        <v>0</v>
      </c>
      <c r="AK246" s="171">
        <f t="shared" si="332"/>
        <v>0</v>
      </c>
      <c r="AL246" s="171">
        <f t="shared" si="332"/>
        <v>0</v>
      </c>
      <c r="AM246" s="171">
        <f t="shared" si="332"/>
        <v>0</v>
      </c>
      <c r="AN246" s="171">
        <f t="shared" si="332"/>
        <v>0</v>
      </c>
      <c r="AO246" s="171">
        <f t="shared" si="332"/>
        <v>0</v>
      </c>
      <c r="AP246" s="171">
        <f t="shared" si="332"/>
        <v>0</v>
      </c>
      <c r="AQ246" s="171">
        <f t="shared" si="332"/>
        <v>0</v>
      </c>
      <c r="AR246" s="171">
        <f t="shared" si="332"/>
        <v>0</v>
      </c>
      <c r="AS246" s="171">
        <f t="shared" si="332"/>
        <v>0</v>
      </c>
      <c r="AT246" s="171">
        <f t="shared" si="332"/>
        <v>0</v>
      </c>
      <c r="AU246" s="171">
        <f t="shared" si="333"/>
        <v>0</v>
      </c>
      <c r="AV246" s="171">
        <f t="shared" si="333"/>
        <v>0</v>
      </c>
      <c r="AW246" s="171">
        <f t="shared" si="333"/>
        <v>0</v>
      </c>
      <c r="AX246" s="171">
        <f t="shared" si="333"/>
        <v>0</v>
      </c>
      <c r="AY246" s="171">
        <f t="shared" si="333"/>
        <v>0</v>
      </c>
      <c r="AZ246" s="171">
        <f t="shared" si="333"/>
        <v>0</v>
      </c>
      <c r="BA246" s="171">
        <f t="shared" si="333"/>
        <v>0</v>
      </c>
      <c r="BB246" s="171">
        <f t="shared" si="333"/>
        <v>0</v>
      </c>
      <c r="BC246" s="171">
        <f t="shared" si="333"/>
        <v>0</v>
      </c>
      <c r="BD246" s="171">
        <f t="shared" si="333"/>
        <v>0</v>
      </c>
      <c r="BE246" s="171">
        <f t="shared" si="334"/>
        <v>0</v>
      </c>
      <c r="BF246" s="171">
        <f t="shared" si="334"/>
        <v>0</v>
      </c>
      <c r="BG246" s="171">
        <f t="shared" si="334"/>
        <v>0</v>
      </c>
      <c r="BH246" s="171">
        <f t="shared" si="334"/>
        <v>0</v>
      </c>
      <c r="BI246" s="171">
        <f t="shared" si="334"/>
        <v>0</v>
      </c>
      <c r="BJ246" s="171">
        <f t="shared" si="334"/>
        <v>0</v>
      </c>
      <c r="BK246" s="171">
        <f t="shared" si="334"/>
        <v>0</v>
      </c>
      <c r="BL246" s="171">
        <f t="shared" si="334"/>
        <v>0</v>
      </c>
      <c r="BM246" s="171">
        <f t="shared" si="334"/>
        <v>0</v>
      </c>
      <c r="BN246" s="171">
        <f t="shared" si="334"/>
        <v>0</v>
      </c>
      <c r="BO246" s="171">
        <f t="shared" si="335"/>
        <v>0</v>
      </c>
      <c r="BP246" s="171">
        <f t="shared" si="335"/>
        <v>0</v>
      </c>
      <c r="BQ246" s="171">
        <f t="shared" si="335"/>
        <v>0</v>
      </c>
      <c r="BR246" s="171">
        <f t="shared" si="335"/>
        <v>0</v>
      </c>
      <c r="BS246" s="171">
        <f t="shared" si="335"/>
        <v>0</v>
      </c>
      <c r="BT246" s="171">
        <f t="shared" si="335"/>
        <v>0</v>
      </c>
      <c r="BU246" s="171">
        <f t="shared" si="335"/>
        <v>0</v>
      </c>
      <c r="BV246" s="171">
        <f t="shared" si="335"/>
        <v>0</v>
      </c>
      <c r="BW246" s="171">
        <f t="shared" si="335"/>
        <v>0</v>
      </c>
      <c r="BX246" s="171">
        <f t="shared" si="335"/>
        <v>0</v>
      </c>
      <c r="BY246" s="171">
        <f t="shared" si="336"/>
        <v>0</v>
      </c>
      <c r="BZ246" s="171">
        <f t="shared" si="336"/>
        <v>0</v>
      </c>
      <c r="CA246" s="171">
        <f t="shared" si="336"/>
        <v>0</v>
      </c>
      <c r="CB246" s="171">
        <f t="shared" si="336"/>
        <v>0</v>
      </c>
      <c r="CC246" s="171">
        <f t="shared" si="336"/>
        <v>0</v>
      </c>
      <c r="CD246" s="171">
        <f t="shared" si="336"/>
        <v>0</v>
      </c>
      <c r="CE246" s="171">
        <f t="shared" si="336"/>
        <v>0</v>
      </c>
      <c r="CF246" s="171">
        <f t="shared" si="336"/>
        <v>0</v>
      </c>
      <c r="CG246" s="171">
        <f t="shared" si="336"/>
        <v>0</v>
      </c>
      <c r="CH246" s="171">
        <f t="shared" si="336"/>
        <v>0</v>
      </c>
      <c r="CI246" s="171">
        <f t="shared" si="336"/>
        <v>0</v>
      </c>
      <c r="CJ246" s="243"/>
      <c r="CK246" s="171">
        <f t="shared" si="346"/>
        <v>0</v>
      </c>
      <c r="CL246" s="171">
        <f t="shared" si="347"/>
        <v>0</v>
      </c>
      <c r="CM246" s="171">
        <f t="shared" si="348"/>
        <v>0</v>
      </c>
      <c r="CN246" s="171">
        <f t="shared" si="349"/>
        <v>0</v>
      </c>
      <c r="CO246" s="171">
        <f t="shared" si="350"/>
        <v>0</v>
      </c>
      <c r="CP246" s="171">
        <f t="shared" si="351"/>
        <v>0</v>
      </c>
      <c r="CQ246" s="171">
        <f t="shared" si="352"/>
        <v>0</v>
      </c>
      <c r="CR246" s="171">
        <f t="shared" si="353"/>
        <v>0</v>
      </c>
      <c r="CS246" s="171">
        <f t="shared" si="354"/>
        <v>0</v>
      </c>
      <c r="CT246" s="171">
        <f t="shared" si="355"/>
        <v>0</v>
      </c>
      <c r="CU246" s="171">
        <f t="shared" si="356"/>
        <v>0</v>
      </c>
      <c r="CV246" s="171">
        <f t="shared" si="357"/>
        <v>0</v>
      </c>
      <c r="CW246" s="171">
        <f t="shared" si="358"/>
        <v>0</v>
      </c>
      <c r="CX246" s="171">
        <f t="shared" si="359"/>
        <v>0</v>
      </c>
      <c r="CY246" s="171">
        <f t="shared" ca="1" si="360"/>
        <v>0</v>
      </c>
      <c r="CZ246" s="171">
        <f t="shared" ca="1" si="361"/>
        <v>0</v>
      </c>
      <c r="DA246" s="171">
        <f t="shared" ca="1" si="362"/>
        <v>0</v>
      </c>
      <c r="DB246" s="171">
        <f t="shared" ca="1" si="363"/>
        <v>0</v>
      </c>
      <c r="DC246" s="171">
        <f t="shared" ca="1" si="364"/>
        <v>0</v>
      </c>
      <c r="DD246" s="171">
        <f t="shared" ca="1" si="365"/>
        <v>0</v>
      </c>
      <c r="DE246" s="171">
        <f t="shared" ca="1" si="366"/>
        <v>0</v>
      </c>
      <c r="DF246" s="171">
        <f t="shared" ca="1" si="367"/>
        <v>0</v>
      </c>
      <c r="DG246" s="171">
        <f t="shared" ca="1" si="368"/>
        <v>0</v>
      </c>
      <c r="DH246" s="171">
        <f t="shared" ca="1" si="369"/>
        <v>0</v>
      </c>
      <c r="DI246" s="171">
        <f t="shared" ca="1" si="370"/>
        <v>0</v>
      </c>
      <c r="DJ246" s="171">
        <f t="shared" ca="1" si="371"/>
        <v>0</v>
      </c>
      <c r="DK246" s="171">
        <f t="shared" ca="1" si="372"/>
        <v>0</v>
      </c>
      <c r="DL246" s="171">
        <f t="shared" ca="1" si="373"/>
        <v>0</v>
      </c>
      <c r="DM246" s="171">
        <f t="shared" ca="1" si="374"/>
        <v>0</v>
      </c>
      <c r="DN246" s="171">
        <f t="shared" ca="1" si="375"/>
        <v>0</v>
      </c>
      <c r="DO246" s="171">
        <f t="shared" ca="1" si="376"/>
        <v>0</v>
      </c>
      <c r="DP246" s="171">
        <f t="shared" ca="1" si="377"/>
        <v>0</v>
      </c>
      <c r="DQ246" s="171">
        <f t="shared" ca="1" si="378"/>
        <v>0</v>
      </c>
      <c r="DR246" s="171">
        <f t="shared" ca="1" si="379"/>
        <v>0</v>
      </c>
      <c r="DS246" s="171">
        <f t="shared" ca="1" si="380"/>
        <v>0</v>
      </c>
      <c r="DT246" s="171">
        <f t="shared" ca="1" si="381"/>
        <v>0</v>
      </c>
      <c r="DU246" s="171">
        <f t="shared" ca="1" si="382"/>
        <v>0</v>
      </c>
      <c r="DV246" s="171">
        <f t="shared" ca="1" si="383"/>
        <v>0</v>
      </c>
      <c r="DW246" s="171">
        <f t="shared" ca="1" si="384"/>
        <v>0</v>
      </c>
      <c r="DX246" s="171">
        <f t="shared" ca="1" si="385"/>
        <v>0</v>
      </c>
      <c r="DY246" s="171">
        <f t="shared" ca="1" si="386"/>
        <v>0</v>
      </c>
      <c r="DZ246" s="171">
        <f t="shared" ca="1" si="387"/>
        <v>0</v>
      </c>
      <c r="EA246" s="171">
        <f t="shared" ca="1" si="388"/>
        <v>0</v>
      </c>
      <c r="EB246" s="171">
        <f t="shared" ca="1" si="389"/>
        <v>0</v>
      </c>
      <c r="EC246" s="171">
        <f t="shared" ca="1" si="390"/>
        <v>0</v>
      </c>
      <c r="ED246" s="171">
        <f t="shared" ca="1" si="391"/>
        <v>0</v>
      </c>
      <c r="EE246" s="171">
        <f t="shared" ca="1" si="392"/>
        <v>0</v>
      </c>
      <c r="EF246" s="171">
        <f t="shared" ca="1" si="393"/>
        <v>0</v>
      </c>
      <c r="EG246" s="171">
        <f t="shared" ca="1" si="394"/>
        <v>0</v>
      </c>
      <c r="EH246" s="171">
        <f t="shared" ca="1" si="395"/>
        <v>0</v>
      </c>
      <c r="EI246" s="171">
        <f t="shared" ca="1" si="396"/>
        <v>0</v>
      </c>
      <c r="EJ246" s="171">
        <f t="shared" ca="1" si="397"/>
        <v>0</v>
      </c>
      <c r="EK246" s="171">
        <f t="shared" ca="1" si="398"/>
        <v>0</v>
      </c>
      <c r="EL246" s="171">
        <f t="shared" ca="1" si="399"/>
        <v>0</v>
      </c>
      <c r="EM246" s="171">
        <f t="shared" ca="1" si="400"/>
        <v>0</v>
      </c>
      <c r="EN246" s="171">
        <f t="shared" ca="1" si="401"/>
        <v>0</v>
      </c>
      <c r="EO246" s="171">
        <f t="shared" ca="1" si="402"/>
        <v>0</v>
      </c>
      <c r="EP246" s="171">
        <f t="shared" ca="1" si="403"/>
        <v>0</v>
      </c>
      <c r="EQ246" s="171">
        <f t="shared" ca="1" si="404"/>
        <v>0</v>
      </c>
      <c r="ER246" s="171">
        <f t="shared" ca="1" si="405"/>
        <v>0</v>
      </c>
      <c r="ES246" s="171">
        <f t="shared" ca="1" si="406"/>
        <v>0</v>
      </c>
    </row>
    <row r="247" spans="3:149">
      <c r="C247" s="214"/>
      <c r="L247" s="163"/>
      <c r="M247" s="164" t="str">
        <f t="shared" si="337"/>
        <v/>
      </c>
      <c r="N247" s="164" t="str">
        <f t="shared" si="338"/>
        <v/>
      </c>
      <c r="O247" s="165" t="str">
        <f t="shared" si="339"/>
        <v/>
      </c>
      <c r="R247" s="168"/>
      <c r="U247" s="171">
        <f t="shared" si="340"/>
        <v>0</v>
      </c>
      <c r="V247" s="171">
        <f t="shared" ca="1" si="341"/>
        <v>0</v>
      </c>
      <c r="W247" s="171">
        <f t="shared" ca="1" si="342"/>
        <v>0</v>
      </c>
      <c r="X247" s="172">
        <f t="shared" si="343"/>
        <v>0</v>
      </c>
      <c r="Y247" s="172" t="str">
        <f t="shared" si="344"/>
        <v/>
      </c>
      <c r="Z247" s="173">
        <f t="shared" si="345"/>
        <v>0</v>
      </c>
      <c r="AA247" s="171">
        <f t="shared" si="331"/>
        <v>0</v>
      </c>
      <c r="AB247" s="171">
        <f t="shared" si="331"/>
        <v>0</v>
      </c>
      <c r="AC247" s="171">
        <f t="shared" si="331"/>
        <v>0</v>
      </c>
      <c r="AD247" s="171">
        <f t="shared" si="331"/>
        <v>0</v>
      </c>
      <c r="AE247" s="171">
        <f t="shared" si="331"/>
        <v>0</v>
      </c>
      <c r="AF247" s="171">
        <f t="shared" si="331"/>
        <v>0</v>
      </c>
      <c r="AG247" s="171">
        <f t="shared" si="331"/>
        <v>0</v>
      </c>
      <c r="AH247" s="171">
        <f t="shared" si="331"/>
        <v>0</v>
      </c>
      <c r="AI247" s="171">
        <f t="shared" si="331"/>
        <v>0</v>
      </c>
      <c r="AJ247" s="171">
        <f t="shared" si="331"/>
        <v>0</v>
      </c>
      <c r="AK247" s="171">
        <f t="shared" si="332"/>
        <v>0</v>
      </c>
      <c r="AL247" s="171">
        <f t="shared" si="332"/>
        <v>0</v>
      </c>
      <c r="AM247" s="171">
        <f t="shared" si="332"/>
        <v>0</v>
      </c>
      <c r="AN247" s="171">
        <f t="shared" si="332"/>
        <v>0</v>
      </c>
      <c r="AO247" s="171">
        <f t="shared" si="332"/>
        <v>0</v>
      </c>
      <c r="AP247" s="171">
        <f t="shared" si="332"/>
        <v>0</v>
      </c>
      <c r="AQ247" s="171">
        <f t="shared" si="332"/>
        <v>0</v>
      </c>
      <c r="AR247" s="171">
        <f t="shared" si="332"/>
        <v>0</v>
      </c>
      <c r="AS247" s="171">
        <f t="shared" si="332"/>
        <v>0</v>
      </c>
      <c r="AT247" s="171">
        <f t="shared" si="332"/>
        <v>0</v>
      </c>
      <c r="AU247" s="171">
        <f t="shared" si="333"/>
        <v>0</v>
      </c>
      <c r="AV247" s="171">
        <f t="shared" si="333"/>
        <v>0</v>
      </c>
      <c r="AW247" s="171">
        <f t="shared" si="333"/>
        <v>0</v>
      </c>
      <c r="AX247" s="171">
        <f t="shared" si="333"/>
        <v>0</v>
      </c>
      <c r="AY247" s="171">
        <f t="shared" si="333"/>
        <v>0</v>
      </c>
      <c r="AZ247" s="171">
        <f t="shared" si="333"/>
        <v>0</v>
      </c>
      <c r="BA247" s="171">
        <f t="shared" si="333"/>
        <v>0</v>
      </c>
      <c r="BB247" s="171">
        <f t="shared" si="333"/>
        <v>0</v>
      </c>
      <c r="BC247" s="171">
        <f t="shared" si="333"/>
        <v>0</v>
      </c>
      <c r="BD247" s="171">
        <f t="shared" si="333"/>
        <v>0</v>
      </c>
      <c r="BE247" s="171">
        <f t="shared" si="334"/>
        <v>0</v>
      </c>
      <c r="BF247" s="171">
        <f t="shared" si="334"/>
        <v>0</v>
      </c>
      <c r="BG247" s="171">
        <f t="shared" si="334"/>
        <v>0</v>
      </c>
      <c r="BH247" s="171">
        <f t="shared" si="334"/>
        <v>0</v>
      </c>
      <c r="BI247" s="171">
        <f t="shared" si="334"/>
        <v>0</v>
      </c>
      <c r="BJ247" s="171">
        <f t="shared" si="334"/>
        <v>0</v>
      </c>
      <c r="BK247" s="171">
        <f t="shared" si="334"/>
        <v>0</v>
      </c>
      <c r="BL247" s="171">
        <f t="shared" si="334"/>
        <v>0</v>
      </c>
      <c r="BM247" s="171">
        <f t="shared" si="334"/>
        <v>0</v>
      </c>
      <c r="BN247" s="171">
        <f t="shared" si="334"/>
        <v>0</v>
      </c>
      <c r="BO247" s="171">
        <f t="shared" si="335"/>
        <v>0</v>
      </c>
      <c r="BP247" s="171">
        <f t="shared" si="335"/>
        <v>0</v>
      </c>
      <c r="BQ247" s="171">
        <f t="shared" si="335"/>
        <v>0</v>
      </c>
      <c r="BR247" s="171">
        <f t="shared" si="335"/>
        <v>0</v>
      </c>
      <c r="BS247" s="171">
        <f t="shared" si="335"/>
        <v>0</v>
      </c>
      <c r="BT247" s="171">
        <f t="shared" si="335"/>
        <v>0</v>
      </c>
      <c r="BU247" s="171">
        <f t="shared" si="335"/>
        <v>0</v>
      </c>
      <c r="BV247" s="171">
        <f t="shared" si="335"/>
        <v>0</v>
      </c>
      <c r="BW247" s="171">
        <f t="shared" si="335"/>
        <v>0</v>
      </c>
      <c r="BX247" s="171">
        <f t="shared" si="335"/>
        <v>0</v>
      </c>
      <c r="BY247" s="171">
        <f t="shared" si="336"/>
        <v>0</v>
      </c>
      <c r="BZ247" s="171">
        <f t="shared" si="336"/>
        <v>0</v>
      </c>
      <c r="CA247" s="171">
        <f t="shared" si="336"/>
        <v>0</v>
      </c>
      <c r="CB247" s="171">
        <f t="shared" si="336"/>
        <v>0</v>
      </c>
      <c r="CC247" s="171">
        <f t="shared" si="336"/>
        <v>0</v>
      </c>
      <c r="CD247" s="171">
        <f t="shared" si="336"/>
        <v>0</v>
      </c>
      <c r="CE247" s="171">
        <f t="shared" si="336"/>
        <v>0</v>
      </c>
      <c r="CF247" s="171">
        <f t="shared" si="336"/>
        <v>0</v>
      </c>
      <c r="CG247" s="171">
        <f t="shared" si="336"/>
        <v>0</v>
      </c>
      <c r="CH247" s="171">
        <f t="shared" si="336"/>
        <v>0</v>
      </c>
      <c r="CI247" s="171">
        <f t="shared" si="336"/>
        <v>0</v>
      </c>
      <c r="CJ247" s="243"/>
      <c r="CK247" s="171">
        <f t="shared" si="346"/>
        <v>0</v>
      </c>
      <c r="CL247" s="171">
        <f t="shared" si="347"/>
        <v>0</v>
      </c>
      <c r="CM247" s="171">
        <f t="shared" si="348"/>
        <v>0</v>
      </c>
      <c r="CN247" s="171">
        <f t="shared" si="349"/>
        <v>0</v>
      </c>
      <c r="CO247" s="171">
        <f t="shared" si="350"/>
        <v>0</v>
      </c>
      <c r="CP247" s="171">
        <f t="shared" si="351"/>
        <v>0</v>
      </c>
      <c r="CQ247" s="171">
        <f t="shared" si="352"/>
        <v>0</v>
      </c>
      <c r="CR247" s="171">
        <f t="shared" si="353"/>
        <v>0</v>
      </c>
      <c r="CS247" s="171">
        <f t="shared" si="354"/>
        <v>0</v>
      </c>
      <c r="CT247" s="171">
        <f t="shared" si="355"/>
        <v>0</v>
      </c>
      <c r="CU247" s="171">
        <f t="shared" si="356"/>
        <v>0</v>
      </c>
      <c r="CV247" s="171">
        <f t="shared" si="357"/>
        <v>0</v>
      </c>
      <c r="CW247" s="171">
        <f t="shared" si="358"/>
        <v>0</v>
      </c>
      <c r="CX247" s="171">
        <f t="shared" si="359"/>
        <v>0</v>
      </c>
      <c r="CY247" s="171">
        <f t="shared" ca="1" si="360"/>
        <v>0</v>
      </c>
      <c r="CZ247" s="171">
        <f t="shared" ca="1" si="361"/>
        <v>0</v>
      </c>
      <c r="DA247" s="171">
        <f t="shared" ca="1" si="362"/>
        <v>0</v>
      </c>
      <c r="DB247" s="171">
        <f t="shared" ca="1" si="363"/>
        <v>0</v>
      </c>
      <c r="DC247" s="171">
        <f t="shared" ca="1" si="364"/>
        <v>0</v>
      </c>
      <c r="DD247" s="171">
        <f t="shared" ca="1" si="365"/>
        <v>0</v>
      </c>
      <c r="DE247" s="171">
        <f t="shared" ca="1" si="366"/>
        <v>0</v>
      </c>
      <c r="DF247" s="171">
        <f t="shared" ca="1" si="367"/>
        <v>0</v>
      </c>
      <c r="DG247" s="171">
        <f t="shared" ca="1" si="368"/>
        <v>0</v>
      </c>
      <c r="DH247" s="171">
        <f t="shared" ca="1" si="369"/>
        <v>0</v>
      </c>
      <c r="DI247" s="171">
        <f t="shared" ca="1" si="370"/>
        <v>0</v>
      </c>
      <c r="DJ247" s="171">
        <f t="shared" ca="1" si="371"/>
        <v>0</v>
      </c>
      <c r="DK247" s="171">
        <f t="shared" ca="1" si="372"/>
        <v>0</v>
      </c>
      <c r="DL247" s="171">
        <f t="shared" ca="1" si="373"/>
        <v>0</v>
      </c>
      <c r="DM247" s="171">
        <f t="shared" ca="1" si="374"/>
        <v>0</v>
      </c>
      <c r="DN247" s="171">
        <f t="shared" ca="1" si="375"/>
        <v>0</v>
      </c>
      <c r="DO247" s="171">
        <f t="shared" ca="1" si="376"/>
        <v>0</v>
      </c>
      <c r="DP247" s="171">
        <f t="shared" ca="1" si="377"/>
        <v>0</v>
      </c>
      <c r="DQ247" s="171">
        <f t="shared" ca="1" si="378"/>
        <v>0</v>
      </c>
      <c r="DR247" s="171">
        <f t="shared" ca="1" si="379"/>
        <v>0</v>
      </c>
      <c r="DS247" s="171">
        <f t="shared" ca="1" si="380"/>
        <v>0</v>
      </c>
      <c r="DT247" s="171">
        <f t="shared" ca="1" si="381"/>
        <v>0</v>
      </c>
      <c r="DU247" s="171">
        <f t="shared" ca="1" si="382"/>
        <v>0</v>
      </c>
      <c r="DV247" s="171">
        <f t="shared" ca="1" si="383"/>
        <v>0</v>
      </c>
      <c r="DW247" s="171">
        <f t="shared" ca="1" si="384"/>
        <v>0</v>
      </c>
      <c r="DX247" s="171">
        <f t="shared" ca="1" si="385"/>
        <v>0</v>
      </c>
      <c r="DY247" s="171">
        <f t="shared" ca="1" si="386"/>
        <v>0</v>
      </c>
      <c r="DZ247" s="171">
        <f t="shared" ca="1" si="387"/>
        <v>0</v>
      </c>
      <c r="EA247" s="171">
        <f t="shared" ca="1" si="388"/>
        <v>0</v>
      </c>
      <c r="EB247" s="171">
        <f t="shared" ca="1" si="389"/>
        <v>0</v>
      </c>
      <c r="EC247" s="171">
        <f t="shared" ca="1" si="390"/>
        <v>0</v>
      </c>
      <c r="ED247" s="171">
        <f t="shared" ca="1" si="391"/>
        <v>0</v>
      </c>
      <c r="EE247" s="171">
        <f t="shared" ca="1" si="392"/>
        <v>0</v>
      </c>
      <c r="EF247" s="171">
        <f t="shared" ca="1" si="393"/>
        <v>0</v>
      </c>
      <c r="EG247" s="171">
        <f t="shared" ca="1" si="394"/>
        <v>0</v>
      </c>
      <c r="EH247" s="171">
        <f t="shared" ca="1" si="395"/>
        <v>0</v>
      </c>
      <c r="EI247" s="171">
        <f t="shared" ca="1" si="396"/>
        <v>0</v>
      </c>
      <c r="EJ247" s="171">
        <f t="shared" ca="1" si="397"/>
        <v>0</v>
      </c>
      <c r="EK247" s="171">
        <f t="shared" ca="1" si="398"/>
        <v>0</v>
      </c>
      <c r="EL247" s="171">
        <f t="shared" ca="1" si="399"/>
        <v>0</v>
      </c>
      <c r="EM247" s="171">
        <f t="shared" ca="1" si="400"/>
        <v>0</v>
      </c>
      <c r="EN247" s="171">
        <f t="shared" ca="1" si="401"/>
        <v>0</v>
      </c>
      <c r="EO247" s="171">
        <f t="shared" ca="1" si="402"/>
        <v>0</v>
      </c>
      <c r="EP247" s="171">
        <f t="shared" ca="1" si="403"/>
        <v>0</v>
      </c>
      <c r="EQ247" s="171">
        <f t="shared" ca="1" si="404"/>
        <v>0</v>
      </c>
      <c r="ER247" s="171">
        <f t="shared" ca="1" si="405"/>
        <v>0</v>
      </c>
      <c r="ES247" s="171">
        <f t="shared" ca="1" si="406"/>
        <v>0</v>
      </c>
    </row>
    <row r="248" spans="3:149">
      <c r="C248" s="214"/>
      <c r="L248" s="163"/>
      <c r="M248" s="164" t="str">
        <f t="shared" si="337"/>
        <v/>
      </c>
      <c r="N248" s="164" t="str">
        <f t="shared" si="338"/>
        <v/>
      </c>
      <c r="O248" s="165" t="str">
        <f t="shared" si="339"/>
        <v/>
      </c>
      <c r="R248" s="168"/>
      <c r="U248" s="171">
        <f t="shared" si="340"/>
        <v>0</v>
      </c>
      <c r="V248" s="171">
        <f t="shared" ca="1" si="341"/>
        <v>0</v>
      </c>
      <c r="W248" s="171">
        <f t="shared" ca="1" si="342"/>
        <v>0</v>
      </c>
      <c r="X248" s="172">
        <f t="shared" si="343"/>
        <v>0</v>
      </c>
      <c r="Y248" s="172" t="str">
        <f t="shared" si="344"/>
        <v/>
      </c>
      <c r="Z248" s="173">
        <f t="shared" si="345"/>
        <v>0</v>
      </c>
      <c r="AA248" s="171">
        <f t="shared" si="331"/>
        <v>0</v>
      </c>
      <c r="AB248" s="171">
        <f t="shared" si="331"/>
        <v>0</v>
      </c>
      <c r="AC248" s="171">
        <f t="shared" si="331"/>
        <v>0</v>
      </c>
      <c r="AD248" s="171">
        <f t="shared" si="331"/>
        <v>0</v>
      </c>
      <c r="AE248" s="171">
        <f t="shared" si="331"/>
        <v>0</v>
      </c>
      <c r="AF248" s="171">
        <f t="shared" si="331"/>
        <v>0</v>
      </c>
      <c r="AG248" s="171">
        <f t="shared" si="331"/>
        <v>0</v>
      </c>
      <c r="AH248" s="171">
        <f t="shared" si="331"/>
        <v>0</v>
      </c>
      <c r="AI248" s="171">
        <f t="shared" si="331"/>
        <v>0</v>
      </c>
      <c r="AJ248" s="171">
        <f t="shared" si="331"/>
        <v>0</v>
      </c>
      <c r="AK248" s="171">
        <f t="shared" si="332"/>
        <v>0</v>
      </c>
      <c r="AL248" s="171">
        <f t="shared" si="332"/>
        <v>0</v>
      </c>
      <c r="AM248" s="171">
        <f t="shared" si="332"/>
        <v>0</v>
      </c>
      <c r="AN248" s="171">
        <f t="shared" si="332"/>
        <v>0</v>
      </c>
      <c r="AO248" s="171">
        <f t="shared" si="332"/>
        <v>0</v>
      </c>
      <c r="AP248" s="171">
        <f t="shared" si="332"/>
        <v>0</v>
      </c>
      <c r="AQ248" s="171">
        <f t="shared" si="332"/>
        <v>0</v>
      </c>
      <c r="AR248" s="171">
        <f t="shared" si="332"/>
        <v>0</v>
      </c>
      <c r="AS248" s="171">
        <f t="shared" si="332"/>
        <v>0</v>
      </c>
      <c r="AT248" s="171">
        <f t="shared" si="332"/>
        <v>0</v>
      </c>
      <c r="AU248" s="171">
        <f t="shared" si="333"/>
        <v>0</v>
      </c>
      <c r="AV248" s="171">
        <f t="shared" si="333"/>
        <v>0</v>
      </c>
      <c r="AW248" s="171">
        <f t="shared" si="333"/>
        <v>0</v>
      </c>
      <c r="AX248" s="171">
        <f t="shared" si="333"/>
        <v>0</v>
      </c>
      <c r="AY248" s="171">
        <f t="shared" si="333"/>
        <v>0</v>
      </c>
      <c r="AZ248" s="171">
        <f t="shared" si="333"/>
        <v>0</v>
      </c>
      <c r="BA248" s="171">
        <f t="shared" si="333"/>
        <v>0</v>
      </c>
      <c r="BB248" s="171">
        <f t="shared" si="333"/>
        <v>0</v>
      </c>
      <c r="BC248" s="171">
        <f t="shared" si="333"/>
        <v>0</v>
      </c>
      <c r="BD248" s="171">
        <f t="shared" si="333"/>
        <v>0</v>
      </c>
      <c r="BE248" s="171">
        <f t="shared" si="334"/>
        <v>0</v>
      </c>
      <c r="BF248" s="171">
        <f t="shared" si="334"/>
        <v>0</v>
      </c>
      <c r="BG248" s="171">
        <f t="shared" si="334"/>
        <v>0</v>
      </c>
      <c r="BH248" s="171">
        <f t="shared" si="334"/>
        <v>0</v>
      </c>
      <c r="BI248" s="171">
        <f t="shared" si="334"/>
        <v>0</v>
      </c>
      <c r="BJ248" s="171">
        <f t="shared" si="334"/>
        <v>0</v>
      </c>
      <c r="BK248" s="171">
        <f t="shared" si="334"/>
        <v>0</v>
      </c>
      <c r="BL248" s="171">
        <f t="shared" si="334"/>
        <v>0</v>
      </c>
      <c r="BM248" s="171">
        <f t="shared" si="334"/>
        <v>0</v>
      </c>
      <c r="BN248" s="171">
        <f t="shared" si="334"/>
        <v>0</v>
      </c>
      <c r="BO248" s="171">
        <f t="shared" si="335"/>
        <v>0</v>
      </c>
      <c r="BP248" s="171">
        <f t="shared" si="335"/>
        <v>0</v>
      </c>
      <c r="BQ248" s="171">
        <f t="shared" si="335"/>
        <v>0</v>
      </c>
      <c r="BR248" s="171">
        <f t="shared" si="335"/>
        <v>0</v>
      </c>
      <c r="BS248" s="171">
        <f t="shared" si="335"/>
        <v>0</v>
      </c>
      <c r="BT248" s="171">
        <f t="shared" si="335"/>
        <v>0</v>
      </c>
      <c r="BU248" s="171">
        <f t="shared" si="335"/>
        <v>0</v>
      </c>
      <c r="BV248" s="171">
        <f t="shared" si="335"/>
        <v>0</v>
      </c>
      <c r="BW248" s="171">
        <f t="shared" si="335"/>
        <v>0</v>
      </c>
      <c r="BX248" s="171">
        <f t="shared" si="335"/>
        <v>0</v>
      </c>
      <c r="BY248" s="171">
        <f t="shared" si="336"/>
        <v>0</v>
      </c>
      <c r="BZ248" s="171">
        <f t="shared" si="336"/>
        <v>0</v>
      </c>
      <c r="CA248" s="171">
        <f t="shared" si="336"/>
        <v>0</v>
      </c>
      <c r="CB248" s="171">
        <f t="shared" si="336"/>
        <v>0</v>
      </c>
      <c r="CC248" s="171">
        <f t="shared" si="336"/>
        <v>0</v>
      </c>
      <c r="CD248" s="171">
        <f t="shared" si="336"/>
        <v>0</v>
      </c>
      <c r="CE248" s="171">
        <f t="shared" si="336"/>
        <v>0</v>
      </c>
      <c r="CF248" s="171">
        <f t="shared" si="336"/>
        <v>0</v>
      </c>
      <c r="CG248" s="171">
        <f t="shared" si="336"/>
        <v>0</v>
      </c>
      <c r="CH248" s="171">
        <f t="shared" si="336"/>
        <v>0</v>
      </c>
      <c r="CI248" s="171">
        <f t="shared" si="336"/>
        <v>0</v>
      </c>
      <c r="CJ248" s="243"/>
      <c r="CK248" s="171">
        <f t="shared" si="346"/>
        <v>0</v>
      </c>
      <c r="CL248" s="171">
        <f t="shared" si="347"/>
        <v>0</v>
      </c>
      <c r="CM248" s="171">
        <f t="shared" si="348"/>
        <v>0</v>
      </c>
      <c r="CN248" s="171">
        <f t="shared" si="349"/>
        <v>0</v>
      </c>
      <c r="CO248" s="171">
        <f t="shared" si="350"/>
        <v>0</v>
      </c>
      <c r="CP248" s="171">
        <f t="shared" si="351"/>
        <v>0</v>
      </c>
      <c r="CQ248" s="171">
        <f t="shared" si="352"/>
        <v>0</v>
      </c>
      <c r="CR248" s="171">
        <f t="shared" si="353"/>
        <v>0</v>
      </c>
      <c r="CS248" s="171">
        <f t="shared" si="354"/>
        <v>0</v>
      </c>
      <c r="CT248" s="171">
        <f t="shared" si="355"/>
        <v>0</v>
      </c>
      <c r="CU248" s="171">
        <f t="shared" si="356"/>
        <v>0</v>
      </c>
      <c r="CV248" s="171">
        <f t="shared" si="357"/>
        <v>0</v>
      </c>
      <c r="CW248" s="171">
        <f t="shared" si="358"/>
        <v>0</v>
      </c>
      <c r="CX248" s="171">
        <f t="shared" si="359"/>
        <v>0</v>
      </c>
      <c r="CY248" s="171">
        <f t="shared" ca="1" si="360"/>
        <v>0</v>
      </c>
      <c r="CZ248" s="171">
        <f t="shared" ca="1" si="361"/>
        <v>0</v>
      </c>
      <c r="DA248" s="171">
        <f t="shared" ca="1" si="362"/>
        <v>0</v>
      </c>
      <c r="DB248" s="171">
        <f t="shared" ca="1" si="363"/>
        <v>0</v>
      </c>
      <c r="DC248" s="171">
        <f t="shared" ca="1" si="364"/>
        <v>0</v>
      </c>
      <c r="DD248" s="171">
        <f t="shared" ca="1" si="365"/>
        <v>0</v>
      </c>
      <c r="DE248" s="171">
        <f t="shared" ca="1" si="366"/>
        <v>0</v>
      </c>
      <c r="DF248" s="171">
        <f t="shared" ca="1" si="367"/>
        <v>0</v>
      </c>
      <c r="DG248" s="171">
        <f t="shared" ca="1" si="368"/>
        <v>0</v>
      </c>
      <c r="DH248" s="171">
        <f t="shared" ca="1" si="369"/>
        <v>0</v>
      </c>
      <c r="DI248" s="171">
        <f t="shared" ca="1" si="370"/>
        <v>0</v>
      </c>
      <c r="DJ248" s="171">
        <f t="shared" ca="1" si="371"/>
        <v>0</v>
      </c>
      <c r="DK248" s="171">
        <f t="shared" ca="1" si="372"/>
        <v>0</v>
      </c>
      <c r="DL248" s="171">
        <f t="shared" ca="1" si="373"/>
        <v>0</v>
      </c>
      <c r="DM248" s="171">
        <f t="shared" ca="1" si="374"/>
        <v>0</v>
      </c>
      <c r="DN248" s="171">
        <f t="shared" ca="1" si="375"/>
        <v>0</v>
      </c>
      <c r="DO248" s="171">
        <f t="shared" ca="1" si="376"/>
        <v>0</v>
      </c>
      <c r="DP248" s="171">
        <f t="shared" ca="1" si="377"/>
        <v>0</v>
      </c>
      <c r="DQ248" s="171">
        <f t="shared" ca="1" si="378"/>
        <v>0</v>
      </c>
      <c r="DR248" s="171">
        <f t="shared" ca="1" si="379"/>
        <v>0</v>
      </c>
      <c r="DS248" s="171">
        <f t="shared" ca="1" si="380"/>
        <v>0</v>
      </c>
      <c r="DT248" s="171">
        <f t="shared" ca="1" si="381"/>
        <v>0</v>
      </c>
      <c r="DU248" s="171">
        <f t="shared" ca="1" si="382"/>
        <v>0</v>
      </c>
      <c r="DV248" s="171">
        <f t="shared" ca="1" si="383"/>
        <v>0</v>
      </c>
      <c r="DW248" s="171">
        <f t="shared" ca="1" si="384"/>
        <v>0</v>
      </c>
      <c r="DX248" s="171">
        <f t="shared" ca="1" si="385"/>
        <v>0</v>
      </c>
      <c r="DY248" s="171">
        <f t="shared" ca="1" si="386"/>
        <v>0</v>
      </c>
      <c r="DZ248" s="171">
        <f t="shared" ca="1" si="387"/>
        <v>0</v>
      </c>
      <c r="EA248" s="171">
        <f t="shared" ca="1" si="388"/>
        <v>0</v>
      </c>
      <c r="EB248" s="171">
        <f t="shared" ca="1" si="389"/>
        <v>0</v>
      </c>
      <c r="EC248" s="171">
        <f t="shared" ca="1" si="390"/>
        <v>0</v>
      </c>
      <c r="ED248" s="171">
        <f t="shared" ca="1" si="391"/>
        <v>0</v>
      </c>
      <c r="EE248" s="171">
        <f t="shared" ca="1" si="392"/>
        <v>0</v>
      </c>
      <c r="EF248" s="171">
        <f t="shared" ca="1" si="393"/>
        <v>0</v>
      </c>
      <c r="EG248" s="171">
        <f t="shared" ca="1" si="394"/>
        <v>0</v>
      </c>
      <c r="EH248" s="171">
        <f t="shared" ca="1" si="395"/>
        <v>0</v>
      </c>
      <c r="EI248" s="171">
        <f t="shared" ca="1" si="396"/>
        <v>0</v>
      </c>
      <c r="EJ248" s="171">
        <f t="shared" ca="1" si="397"/>
        <v>0</v>
      </c>
      <c r="EK248" s="171">
        <f t="shared" ca="1" si="398"/>
        <v>0</v>
      </c>
      <c r="EL248" s="171">
        <f t="shared" ca="1" si="399"/>
        <v>0</v>
      </c>
      <c r="EM248" s="171">
        <f t="shared" ca="1" si="400"/>
        <v>0</v>
      </c>
      <c r="EN248" s="171">
        <f t="shared" ca="1" si="401"/>
        <v>0</v>
      </c>
      <c r="EO248" s="171">
        <f t="shared" ca="1" si="402"/>
        <v>0</v>
      </c>
      <c r="EP248" s="171">
        <f t="shared" ca="1" si="403"/>
        <v>0</v>
      </c>
      <c r="EQ248" s="171">
        <f t="shared" ca="1" si="404"/>
        <v>0</v>
      </c>
      <c r="ER248" s="171">
        <f t="shared" ca="1" si="405"/>
        <v>0</v>
      </c>
      <c r="ES248" s="171">
        <f t="shared" ca="1" si="406"/>
        <v>0</v>
      </c>
    </row>
    <row r="249" spans="3:149">
      <c r="C249" s="214"/>
      <c r="L249" s="163"/>
      <c r="M249" s="164" t="str">
        <f t="shared" si="337"/>
        <v/>
      </c>
      <c r="N249" s="164" t="str">
        <f t="shared" si="338"/>
        <v/>
      </c>
      <c r="O249" s="165" t="str">
        <f t="shared" si="339"/>
        <v/>
      </c>
      <c r="R249" s="168"/>
      <c r="U249" s="171">
        <f t="shared" si="340"/>
        <v>0</v>
      </c>
      <c r="V249" s="171">
        <f t="shared" ca="1" si="341"/>
        <v>0</v>
      </c>
      <c r="W249" s="171">
        <f t="shared" ca="1" si="342"/>
        <v>0</v>
      </c>
      <c r="X249" s="172">
        <f t="shared" si="343"/>
        <v>0</v>
      </c>
      <c r="Y249" s="172" t="str">
        <f t="shared" si="344"/>
        <v/>
      </c>
      <c r="Z249" s="173">
        <f t="shared" si="345"/>
        <v>0</v>
      </c>
      <c r="AA249" s="171">
        <f t="shared" ref="AA249:AJ258" si="407">IFERROR(
    IF($T249="Equity",
        IF(AND(AA$48&gt;=$E249, AA$48&lt;=($E249+$Q249)),
$K249*$P249*(VLOOKUP($C$39,$C$37:$BL$44,MATCH($E249,$C$37:$BL$37,0),FALSE)/VLOOKUP($L249,$C$37:$BL$44,MATCH($E249,$C$37:$BL$37,0),FALSE))*
IF($B$5="Foreign Currency",VLOOKUP($C$38,$C$37:$BL$44,MATCH(AA$48,$C$37:$BL$37,0),FALSE)/VLOOKUP($C$39,$C$37:$BL$44,MATCH(AA$48,$C$37:$BL$37,0),FALSE),1),
0),
    IF($T249="Lump Sum Principal",
        IF(AND(AA$48&gt;=$E249, AA$48&lt;($E249+$Q249)),
$K249*$P249*(VLOOKUP($C$39,$C$37:$BL$44,MATCH($E249,$C$37:$BL$37,0),FALSE)/VLOOKUP($L249,$C$37:$BL$44,MATCH($E249,$C$37:$BL$37,0),FALSE))*
IF($B$5="Foreign Currency",VLOOKUP($C$38,$C$37:$BL$44,MATCH(AA$48,$C$37:$BL$37,0),FALSE)/VLOOKUP($C$39,$C$37:$BL$44,MATCH(AA$48,$C$37:$BL$37,0),FALSE),1),
        IF(AA$48=($E249+$Q249),
$K249*(1+$P249)*(VLOOKUP($C$39,$C$37:$BL$44,MATCH($E249,$C$37:$BL$37,0),FALSE)/VLOOKUP($L249,$C$37:$BL$44,MATCH($E249,$C$37:$BL$37,0),FALSE))*
IF($B$5="Foreign Currency",VLOOKUP($C$38,$C$37:$BL$44,MATCH(AA$48,$C$37:$BL$37,0),FALSE)/VLOOKUP($C$39,$C$37:$BL$44,MATCH(AA$48,$C$37:$BL$37,0),FALSE),1),
0)),
    IF($T249="Lump Sum Principal and Interest",
        IF(AA$48=($E249+$Q249),
$K249*((1+$P249)^$Q249)*(VLOOKUP($C$39,$C$37:$BL$44,MATCH($E249,$C$37:$BL$37,0),FALSE)/VLOOKUP($L249,$C$37:$BL$44,MATCH($E249,$C$37:$BL$37,0),FALSE))*
IF($B$5="Foreign Currency",VLOOKUP($C$38,$C$37:$BL$44,MATCH(AA$48,$C$37:$BL$37,0),FALSE)/VLOOKUP($C$39,$C$37:$BL$44,MATCH(AA$48,$C$37:$BL$37,0),FALSE),1),
0),
    IF($T249="EPP with Grace Years for Principal",
        IF(AND(AA$48&gt;=$E249, AA$48&lt;($E249+$S249)),
$K249*$P249*(VLOOKUP($C$39,$C$37:$BL$44,MATCH($E249,$C$37:$BL$37,0),FALSE)/VLOOKUP($L249,$C$37:$BL$44,MATCH($E249,$C$37:$BL$37,0),FALSE))*
IF($B$5="Foreign Currency",VLOOKUP($C$38,$C$37:$BL$44,MATCH(AA$48,$C$37:$BL$37,0),FALSE)/VLOOKUP($C$39,$C$37:$BL$44,MATCH(AA$48,$C$37:$BL$37,0),FALSE),1),
        IF(AND(AA$48&gt;=($E249+$S249), AA$48&lt;=($E249+$Q249)),
-PMT($P249,($Q249-$S249+1),($K249*(VLOOKUP($C$39,$C$37:$BL$44,MATCH($E249,$C$37:$BL$37,0),FALSE)/VLOOKUP($L249,$C$37:$BL$44,MATCH($E249,$C$37:$BL$37,0),FALSE))*
IF($B$5="Foreign Currency",VLOOKUP($C$38,$C$37:$BL$44,MATCH(AA$48,$C$37:$BL$37,0),FALSE)/VLOOKUP($C$39,$C$37:$BL$44,MATCH(AA$48,$C$37:$BL$37,0),FALSE),1)),0),
0)),
    IF($T249="Equal Principal Payments (EPP)",
        IF(AND(AA$48&gt;=$E249, AA$48&lt;=($E249+$Q249)),
-PMT($P249,($Q249-$S249+1),($K249*(VLOOKUP($C$39,$C$37:$BL$44,MATCH($E249,$C$37:$BL$37,0),FALSE)/VLOOKUP($L249,$C$37:$BL$44,MATCH($E249,$C$37:$BL$37,0),FALSE))*
IF($B$5="Foreign Currency",VLOOKUP($C$38,$C$37:$BL$44,MATCH(AA$48,$C$37:$BL$37,0),FALSE)/VLOOKUP($C$39,$C$37:$BL$44,MATCH(AA$48,$C$37:$BL$37,0),FALSE),1)),0), 0),
    IF($T249="EPP with Grace Years for Principal and on Interest",
        IF(AND(AA$48&gt;=($E249+$S249), AA$48&lt;=($E249+$Q249)),
-PMT($P249,($Q249-$S249+1),($K249*(VLOOKUP($C$39,$C$37:$BL$44,MATCH($E249,$C$37:$BL$37,0),FALSE)/VLOOKUP($L249,$C$37:$BL$44,MATCH($E249,$C$37:$BL$37,0),FALSE))*
IF($B$5="Foreign Currency",VLOOKUP($C$38,$C$37:$BL$44,MATCH(AA$48,$C$37:$BL$37,0),FALSE)/VLOOKUP($C$39,$C$37:$BL$44,MATCH(AA$48,$C$37:$BL$37,0),FALSE),1))*((1+$P249)^$S249),0), 0),
    0)))))),"")</f>
        <v>0</v>
      </c>
      <c r="AB249" s="171">
        <f t="shared" si="407"/>
        <v>0</v>
      </c>
      <c r="AC249" s="171">
        <f t="shared" si="407"/>
        <v>0</v>
      </c>
      <c r="AD249" s="171">
        <f t="shared" si="407"/>
        <v>0</v>
      </c>
      <c r="AE249" s="171">
        <f t="shared" si="407"/>
        <v>0</v>
      </c>
      <c r="AF249" s="171">
        <f t="shared" si="407"/>
        <v>0</v>
      </c>
      <c r="AG249" s="171">
        <f t="shared" si="407"/>
        <v>0</v>
      </c>
      <c r="AH249" s="171">
        <f t="shared" si="407"/>
        <v>0</v>
      </c>
      <c r="AI249" s="171">
        <f t="shared" si="407"/>
        <v>0</v>
      </c>
      <c r="AJ249" s="171">
        <f t="shared" si="407"/>
        <v>0</v>
      </c>
      <c r="AK249" s="171">
        <f t="shared" ref="AK249:AT258" si="408">IFERROR(
    IF($T249="Equity",
        IF(AND(AK$48&gt;=$E249, AK$48&lt;=($E249+$Q249)),
$K249*$P249*(VLOOKUP($C$39,$C$37:$BL$44,MATCH($E249,$C$37:$BL$37,0),FALSE)/VLOOKUP($L249,$C$37:$BL$44,MATCH($E249,$C$37:$BL$37,0),FALSE))*
IF($B$5="Foreign Currency",VLOOKUP($C$38,$C$37:$BL$44,MATCH(AK$48,$C$37:$BL$37,0),FALSE)/VLOOKUP($C$39,$C$37:$BL$44,MATCH(AK$48,$C$37:$BL$37,0),FALSE),1),
0),
    IF($T249="Lump Sum Principal",
        IF(AND(AK$48&gt;=$E249, AK$48&lt;($E249+$Q249)),
$K249*$P249*(VLOOKUP($C$39,$C$37:$BL$44,MATCH($E249,$C$37:$BL$37,0),FALSE)/VLOOKUP($L249,$C$37:$BL$44,MATCH($E249,$C$37:$BL$37,0),FALSE))*
IF($B$5="Foreign Currency",VLOOKUP($C$38,$C$37:$BL$44,MATCH(AK$48,$C$37:$BL$37,0),FALSE)/VLOOKUP($C$39,$C$37:$BL$44,MATCH(AK$48,$C$37:$BL$37,0),FALSE),1),
        IF(AK$48=($E249+$Q249),
$K249*(1+$P249)*(VLOOKUP($C$39,$C$37:$BL$44,MATCH($E249,$C$37:$BL$37,0),FALSE)/VLOOKUP($L249,$C$37:$BL$44,MATCH($E249,$C$37:$BL$37,0),FALSE))*
IF($B$5="Foreign Currency",VLOOKUP($C$38,$C$37:$BL$44,MATCH(AK$48,$C$37:$BL$37,0),FALSE)/VLOOKUP($C$39,$C$37:$BL$44,MATCH(AK$48,$C$37:$BL$37,0),FALSE),1),
0)),
    IF($T249="Lump Sum Principal and Interest",
        IF(AK$48=($E249+$Q249),
$K249*((1+$P249)^$Q249)*(VLOOKUP($C$39,$C$37:$BL$44,MATCH($E249,$C$37:$BL$37,0),FALSE)/VLOOKUP($L249,$C$37:$BL$44,MATCH($E249,$C$37:$BL$37,0),FALSE))*
IF($B$5="Foreign Currency",VLOOKUP($C$38,$C$37:$BL$44,MATCH(AK$48,$C$37:$BL$37,0),FALSE)/VLOOKUP($C$39,$C$37:$BL$44,MATCH(AK$48,$C$37:$BL$37,0),FALSE),1),
0),
    IF($T249="EPP with Grace Years for Principal",
        IF(AND(AK$48&gt;=$E249, AK$48&lt;($E249+$S249)),
$K249*$P249*(VLOOKUP($C$39,$C$37:$BL$44,MATCH($E249,$C$37:$BL$37,0),FALSE)/VLOOKUP($L249,$C$37:$BL$44,MATCH($E249,$C$37:$BL$37,0),FALSE))*
IF($B$5="Foreign Currency",VLOOKUP($C$38,$C$37:$BL$44,MATCH(AK$48,$C$37:$BL$37,0),FALSE)/VLOOKUP($C$39,$C$37:$BL$44,MATCH(AK$48,$C$37:$BL$37,0),FALSE),1),
        IF(AND(AK$48&gt;=($E249+$S249), AK$48&lt;=($E249+$Q249)),
-PMT($P249,($Q249-$S249+1),($K249*(VLOOKUP($C$39,$C$37:$BL$44,MATCH($E249,$C$37:$BL$37,0),FALSE)/VLOOKUP($L249,$C$37:$BL$44,MATCH($E249,$C$37:$BL$37,0),FALSE))*
IF($B$5="Foreign Currency",VLOOKUP($C$38,$C$37:$BL$44,MATCH(AK$48,$C$37:$BL$37,0),FALSE)/VLOOKUP($C$39,$C$37:$BL$44,MATCH(AK$48,$C$37:$BL$37,0),FALSE),1)),0),
0)),
    IF($T249="Equal Principal Payments (EPP)",
        IF(AND(AK$48&gt;=$E249, AK$48&lt;=($E249+$Q249)),
-PMT($P249,($Q249-$S249+1),($K249*(VLOOKUP($C$39,$C$37:$BL$44,MATCH($E249,$C$37:$BL$37,0),FALSE)/VLOOKUP($L249,$C$37:$BL$44,MATCH($E249,$C$37:$BL$37,0),FALSE))*
IF($B$5="Foreign Currency",VLOOKUP($C$38,$C$37:$BL$44,MATCH(AK$48,$C$37:$BL$37,0),FALSE)/VLOOKUP($C$39,$C$37:$BL$44,MATCH(AK$48,$C$37:$BL$37,0),FALSE),1)),0), 0),
    IF($T249="EPP with Grace Years for Principal and on Interest",
        IF(AND(AK$48&gt;=($E249+$S249), AK$48&lt;=($E249+$Q249)),
-PMT($P249,($Q249-$S249+1),($K249*(VLOOKUP($C$39,$C$37:$BL$44,MATCH($E249,$C$37:$BL$37,0),FALSE)/VLOOKUP($L249,$C$37:$BL$44,MATCH($E249,$C$37:$BL$37,0),FALSE))*
IF($B$5="Foreign Currency",VLOOKUP($C$38,$C$37:$BL$44,MATCH(AK$48,$C$37:$BL$37,0),FALSE)/VLOOKUP($C$39,$C$37:$BL$44,MATCH(AK$48,$C$37:$BL$37,0),FALSE),1))*((1+$P249)^$S249),0), 0),
    0)))))),"")</f>
        <v>0</v>
      </c>
      <c r="AL249" s="171">
        <f t="shared" si="408"/>
        <v>0</v>
      </c>
      <c r="AM249" s="171">
        <f t="shared" si="408"/>
        <v>0</v>
      </c>
      <c r="AN249" s="171">
        <f t="shared" si="408"/>
        <v>0</v>
      </c>
      <c r="AO249" s="171">
        <f t="shared" si="408"/>
        <v>0</v>
      </c>
      <c r="AP249" s="171">
        <f t="shared" si="408"/>
        <v>0</v>
      </c>
      <c r="AQ249" s="171">
        <f t="shared" si="408"/>
        <v>0</v>
      </c>
      <c r="AR249" s="171">
        <f t="shared" si="408"/>
        <v>0</v>
      </c>
      <c r="AS249" s="171">
        <f t="shared" si="408"/>
        <v>0</v>
      </c>
      <c r="AT249" s="171">
        <f t="shared" si="408"/>
        <v>0</v>
      </c>
      <c r="AU249" s="171">
        <f t="shared" ref="AU249:BD258" si="409">IFERROR(
    IF($T249="Equity",
        IF(AND(AU$48&gt;=$E249, AU$48&lt;=($E249+$Q249)),
$K249*$P249*(VLOOKUP($C$39,$C$37:$BL$44,MATCH($E249,$C$37:$BL$37,0),FALSE)/VLOOKUP($L249,$C$37:$BL$44,MATCH($E249,$C$37:$BL$37,0),FALSE))*
IF($B$5="Foreign Currency",VLOOKUP($C$38,$C$37:$BL$44,MATCH(AU$48,$C$37:$BL$37,0),FALSE)/VLOOKUP($C$39,$C$37:$BL$44,MATCH(AU$48,$C$37:$BL$37,0),FALSE),1),
0),
    IF($T249="Lump Sum Principal",
        IF(AND(AU$48&gt;=$E249, AU$48&lt;($E249+$Q249)),
$K249*$P249*(VLOOKUP($C$39,$C$37:$BL$44,MATCH($E249,$C$37:$BL$37,0),FALSE)/VLOOKUP($L249,$C$37:$BL$44,MATCH($E249,$C$37:$BL$37,0),FALSE))*
IF($B$5="Foreign Currency",VLOOKUP($C$38,$C$37:$BL$44,MATCH(AU$48,$C$37:$BL$37,0),FALSE)/VLOOKUP($C$39,$C$37:$BL$44,MATCH(AU$48,$C$37:$BL$37,0),FALSE),1),
        IF(AU$48=($E249+$Q249),
$K249*(1+$P249)*(VLOOKUP($C$39,$C$37:$BL$44,MATCH($E249,$C$37:$BL$37,0),FALSE)/VLOOKUP($L249,$C$37:$BL$44,MATCH($E249,$C$37:$BL$37,0),FALSE))*
IF($B$5="Foreign Currency",VLOOKUP($C$38,$C$37:$BL$44,MATCH(AU$48,$C$37:$BL$37,0),FALSE)/VLOOKUP($C$39,$C$37:$BL$44,MATCH(AU$48,$C$37:$BL$37,0),FALSE),1),
0)),
    IF($T249="Lump Sum Principal and Interest",
        IF(AU$48=($E249+$Q249),
$K249*((1+$P249)^$Q249)*(VLOOKUP($C$39,$C$37:$BL$44,MATCH($E249,$C$37:$BL$37,0),FALSE)/VLOOKUP($L249,$C$37:$BL$44,MATCH($E249,$C$37:$BL$37,0),FALSE))*
IF($B$5="Foreign Currency",VLOOKUP($C$38,$C$37:$BL$44,MATCH(AU$48,$C$37:$BL$37,0),FALSE)/VLOOKUP($C$39,$C$37:$BL$44,MATCH(AU$48,$C$37:$BL$37,0),FALSE),1),
0),
    IF($T249="EPP with Grace Years for Principal",
        IF(AND(AU$48&gt;=$E249, AU$48&lt;($E249+$S249)),
$K249*$P249*(VLOOKUP($C$39,$C$37:$BL$44,MATCH($E249,$C$37:$BL$37,0),FALSE)/VLOOKUP($L249,$C$37:$BL$44,MATCH($E249,$C$37:$BL$37,0),FALSE))*
IF($B$5="Foreign Currency",VLOOKUP($C$38,$C$37:$BL$44,MATCH(AU$48,$C$37:$BL$37,0),FALSE)/VLOOKUP($C$39,$C$37:$BL$44,MATCH(AU$48,$C$37:$BL$37,0),FALSE),1),
        IF(AND(AU$48&gt;=($E249+$S249), AU$48&lt;=($E249+$Q249)),
-PMT($P249,($Q249-$S249+1),($K249*(VLOOKUP($C$39,$C$37:$BL$44,MATCH($E249,$C$37:$BL$37,0),FALSE)/VLOOKUP($L249,$C$37:$BL$44,MATCH($E249,$C$37:$BL$37,0),FALSE))*
IF($B$5="Foreign Currency",VLOOKUP($C$38,$C$37:$BL$44,MATCH(AU$48,$C$37:$BL$37,0),FALSE)/VLOOKUP($C$39,$C$37:$BL$44,MATCH(AU$48,$C$37:$BL$37,0),FALSE),1)),0),
0)),
    IF($T249="Equal Principal Payments (EPP)",
        IF(AND(AU$48&gt;=$E249, AU$48&lt;=($E249+$Q249)),
-PMT($P249,($Q249-$S249+1),($K249*(VLOOKUP($C$39,$C$37:$BL$44,MATCH($E249,$C$37:$BL$37,0),FALSE)/VLOOKUP($L249,$C$37:$BL$44,MATCH($E249,$C$37:$BL$37,0),FALSE))*
IF($B$5="Foreign Currency",VLOOKUP($C$38,$C$37:$BL$44,MATCH(AU$48,$C$37:$BL$37,0),FALSE)/VLOOKUP($C$39,$C$37:$BL$44,MATCH(AU$48,$C$37:$BL$37,0),FALSE),1)),0), 0),
    IF($T249="EPP with Grace Years for Principal and on Interest",
        IF(AND(AU$48&gt;=($E249+$S249), AU$48&lt;=($E249+$Q249)),
-PMT($P249,($Q249-$S249+1),($K249*(VLOOKUP($C$39,$C$37:$BL$44,MATCH($E249,$C$37:$BL$37,0),FALSE)/VLOOKUP($L249,$C$37:$BL$44,MATCH($E249,$C$37:$BL$37,0),FALSE))*
IF($B$5="Foreign Currency",VLOOKUP($C$38,$C$37:$BL$44,MATCH(AU$48,$C$37:$BL$37,0),FALSE)/VLOOKUP($C$39,$C$37:$BL$44,MATCH(AU$48,$C$37:$BL$37,0),FALSE),1))*((1+$P249)^$S249),0), 0),
    0)))))),"")</f>
        <v>0</v>
      </c>
      <c r="AV249" s="171">
        <f t="shared" si="409"/>
        <v>0</v>
      </c>
      <c r="AW249" s="171">
        <f t="shared" si="409"/>
        <v>0</v>
      </c>
      <c r="AX249" s="171">
        <f t="shared" si="409"/>
        <v>0</v>
      </c>
      <c r="AY249" s="171">
        <f t="shared" si="409"/>
        <v>0</v>
      </c>
      <c r="AZ249" s="171">
        <f t="shared" si="409"/>
        <v>0</v>
      </c>
      <c r="BA249" s="171">
        <f t="shared" si="409"/>
        <v>0</v>
      </c>
      <c r="BB249" s="171">
        <f t="shared" si="409"/>
        <v>0</v>
      </c>
      <c r="BC249" s="171">
        <f t="shared" si="409"/>
        <v>0</v>
      </c>
      <c r="BD249" s="171">
        <f t="shared" si="409"/>
        <v>0</v>
      </c>
      <c r="BE249" s="171">
        <f t="shared" ref="BE249:BN258" si="410">IFERROR(
    IF($T249="Equity",
        IF(AND(BE$48&gt;=$E249, BE$48&lt;=($E249+$Q249)),
$K249*$P249*(VLOOKUP($C$39,$C$37:$BL$44,MATCH($E249,$C$37:$BL$37,0),FALSE)/VLOOKUP($L249,$C$37:$BL$44,MATCH($E249,$C$37:$BL$37,0),FALSE))*
IF($B$5="Foreign Currency",VLOOKUP($C$38,$C$37:$BL$44,MATCH(BE$48,$C$37:$BL$37,0),FALSE)/VLOOKUP($C$39,$C$37:$BL$44,MATCH(BE$48,$C$37:$BL$37,0),FALSE),1),
0),
    IF($T249="Lump Sum Principal",
        IF(AND(BE$48&gt;=$E249, BE$48&lt;($E249+$Q249)),
$K249*$P249*(VLOOKUP($C$39,$C$37:$BL$44,MATCH($E249,$C$37:$BL$37,0),FALSE)/VLOOKUP($L249,$C$37:$BL$44,MATCH($E249,$C$37:$BL$37,0),FALSE))*
IF($B$5="Foreign Currency",VLOOKUP($C$38,$C$37:$BL$44,MATCH(BE$48,$C$37:$BL$37,0),FALSE)/VLOOKUP($C$39,$C$37:$BL$44,MATCH(BE$48,$C$37:$BL$37,0),FALSE),1),
        IF(BE$48=($E249+$Q249),
$K249*(1+$P249)*(VLOOKUP($C$39,$C$37:$BL$44,MATCH($E249,$C$37:$BL$37,0),FALSE)/VLOOKUP($L249,$C$37:$BL$44,MATCH($E249,$C$37:$BL$37,0),FALSE))*
IF($B$5="Foreign Currency",VLOOKUP($C$38,$C$37:$BL$44,MATCH(BE$48,$C$37:$BL$37,0),FALSE)/VLOOKUP($C$39,$C$37:$BL$44,MATCH(BE$48,$C$37:$BL$37,0),FALSE),1),
0)),
    IF($T249="Lump Sum Principal and Interest",
        IF(BE$48=($E249+$Q249),
$K249*((1+$P249)^$Q249)*(VLOOKUP($C$39,$C$37:$BL$44,MATCH($E249,$C$37:$BL$37,0),FALSE)/VLOOKUP($L249,$C$37:$BL$44,MATCH($E249,$C$37:$BL$37,0),FALSE))*
IF($B$5="Foreign Currency",VLOOKUP($C$38,$C$37:$BL$44,MATCH(BE$48,$C$37:$BL$37,0),FALSE)/VLOOKUP($C$39,$C$37:$BL$44,MATCH(BE$48,$C$37:$BL$37,0),FALSE),1),
0),
    IF($T249="EPP with Grace Years for Principal",
        IF(AND(BE$48&gt;=$E249, BE$48&lt;($E249+$S249)),
$K249*$P249*(VLOOKUP($C$39,$C$37:$BL$44,MATCH($E249,$C$37:$BL$37,0),FALSE)/VLOOKUP($L249,$C$37:$BL$44,MATCH($E249,$C$37:$BL$37,0),FALSE))*
IF($B$5="Foreign Currency",VLOOKUP($C$38,$C$37:$BL$44,MATCH(BE$48,$C$37:$BL$37,0),FALSE)/VLOOKUP($C$39,$C$37:$BL$44,MATCH(BE$48,$C$37:$BL$37,0),FALSE),1),
        IF(AND(BE$48&gt;=($E249+$S249), BE$48&lt;=($E249+$Q249)),
-PMT($P249,($Q249-$S249+1),($K249*(VLOOKUP($C$39,$C$37:$BL$44,MATCH($E249,$C$37:$BL$37,0),FALSE)/VLOOKUP($L249,$C$37:$BL$44,MATCH($E249,$C$37:$BL$37,0),FALSE))*
IF($B$5="Foreign Currency",VLOOKUP($C$38,$C$37:$BL$44,MATCH(BE$48,$C$37:$BL$37,0),FALSE)/VLOOKUP($C$39,$C$37:$BL$44,MATCH(BE$48,$C$37:$BL$37,0),FALSE),1)),0),
0)),
    IF($T249="Equal Principal Payments (EPP)",
        IF(AND(BE$48&gt;=$E249, BE$48&lt;=($E249+$Q249)),
-PMT($P249,($Q249-$S249+1),($K249*(VLOOKUP($C$39,$C$37:$BL$44,MATCH($E249,$C$37:$BL$37,0),FALSE)/VLOOKUP($L249,$C$37:$BL$44,MATCH($E249,$C$37:$BL$37,0),FALSE))*
IF($B$5="Foreign Currency",VLOOKUP($C$38,$C$37:$BL$44,MATCH(BE$48,$C$37:$BL$37,0),FALSE)/VLOOKUP($C$39,$C$37:$BL$44,MATCH(BE$48,$C$37:$BL$37,0),FALSE),1)),0), 0),
    IF($T249="EPP with Grace Years for Principal and on Interest",
        IF(AND(BE$48&gt;=($E249+$S249), BE$48&lt;=($E249+$Q249)),
-PMT($P249,($Q249-$S249+1),($K249*(VLOOKUP($C$39,$C$37:$BL$44,MATCH($E249,$C$37:$BL$37,0),FALSE)/VLOOKUP($L249,$C$37:$BL$44,MATCH($E249,$C$37:$BL$37,0),FALSE))*
IF($B$5="Foreign Currency",VLOOKUP($C$38,$C$37:$BL$44,MATCH(BE$48,$C$37:$BL$37,0),FALSE)/VLOOKUP($C$39,$C$37:$BL$44,MATCH(BE$48,$C$37:$BL$37,0),FALSE),1))*((1+$P249)^$S249),0), 0),
    0)))))),"")</f>
        <v>0</v>
      </c>
      <c r="BF249" s="171">
        <f t="shared" si="410"/>
        <v>0</v>
      </c>
      <c r="BG249" s="171">
        <f t="shared" si="410"/>
        <v>0</v>
      </c>
      <c r="BH249" s="171">
        <f t="shared" si="410"/>
        <v>0</v>
      </c>
      <c r="BI249" s="171">
        <f t="shared" si="410"/>
        <v>0</v>
      </c>
      <c r="BJ249" s="171">
        <f t="shared" si="410"/>
        <v>0</v>
      </c>
      <c r="BK249" s="171">
        <f t="shared" si="410"/>
        <v>0</v>
      </c>
      <c r="BL249" s="171">
        <f t="shared" si="410"/>
        <v>0</v>
      </c>
      <c r="BM249" s="171">
        <f t="shared" si="410"/>
        <v>0</v>
      </c>
      <c r="BN249" s="171">
        <f t="shared" si="410"/>
        <v>0</v>
      </c>
      <c r="BO249" s="171">
        <f t="shared" ref="BO249:BX258" si="411">IFERROR(
    IF($T249="Equity",
        IF(AND(BO$48&gt;=$E249, BO$48&lt;=($E249+$Q249)),
$K249*$P249*(VLOOKUP($C$39,$C$37:$BL$44,MATCH($E249,$C$37:$BL$37,0),FALSE)/VLOOKUP($L249,$C$37:$BL$44,MATCH($E249,$C$37:$BL$37,0),FALSE))*
IF($B$5="Foreign Currency",VLOOKUP($C$38,$C$37:$BL$44,MATCH(BO$48,$C$37:$BL$37,0),FALSE)/VLOOKUP($C$39,$C$37:$BL$44,MATCH(BO$48,$C$37:$BL$37,0),FALSE),1),
0),
    IF($T249="Lump Sum Principal",
        IF(AND(BO$48&gt;=$E249, BO$48&lt;($E249+$Q249)),
$K249*$P249*(VLOOKUP($C$39,$C$37:$BL$44,MATCH($E249,$C$37:$BL$37,0),FALSE)/VLOOKUP($L249,$C$37:$BL$44,MATCH($E249,$C$37:$BL$37,0),FALSE))*
IF($B$5="Foreign Currency",VLOOKUP($C$38,$C$37:$BL$44,MATCH(BO$48,$C$37:$BL$37,0),FALSE)/VLOOKUP($C$39,$C$37:$BL$44,MATCH(BO$48,$C$37:$BL$37,0),FALSE),1),
        IF(BO$48=($E249+$Q249),
$K249*(1+$P249)*(VLOOKUP($C$39,$C$37:$BL$44,MATCH($E249,$C$37:$BL$37,0),FALSE)/VLOOKUP($L249,$C$37:$BL$44,MATCH($E249,$C$37:$BL$37,0),FALSE))*
IF($B$5="Foreign Currency",VLOOKUP($C$38,$C$37:$BL$44,MATCH(BO$48,$C$37:$BL$37,0),FALSE)/VLOOKUP($C$39,$C$37:$BL$44,MATCH(BO$48,$C$37:$BL$37,0),FALSE),1),
0)),
    IF($T249="Lump Sum Principal and Interest",
        IF(BO$48=($E249+$Q249),
$K249*((1+$P249)^$Q249)*(VLOOKUP($C$39,$C$37:$BL$44,MATCH($E249,$C$37:$BL$37,0),FALSE)/VLOOKUP($L249,$C$37:$BL$44,MATCH($E249,$C$37:$BL$37,0),FALSE))*
IF($B$5="Foreign Currency",VLOOKUP($C$38,$C$37:$BL$44,MATCH(BO$48,$C$37:$BL$37,0),FALSE)/VLOOKUP($C$39,$C$37:$BL$44,MATCH(BO$48,$C$37:$BL$37,0),FALSE),1),
0),
    IF($T249="EPP with Grace Years for Principal",
        IF(AND(BO$48&gt;=$E249, BO$48&lt;($E249+$S249)),
$K249*$P249*(VLOOKUP($C$39,$C$37:$BL$44,MATCH($E249,$C$37:$BL$37,0),FALSE)/VLOOKUP($L249,$C$37:$BL$44,MATCH($E249,$C$37:$BL$37,0),FALSE))*
IF($B$5="Foreign Currency",VLOOKUP($C$38,$C$37:$BL$44,MATCH(BO$48,$C$37:$BL$37,0),FALSE)/VLOOKUP($C$39,$C$37:$BL$44,MATCH(BO$48,$C$37:$BL$37,0),FALSE),1),
        IF(AND(BO$48&gt;=($E249+$S249), BO$48&lt;=($E249+$Q249)),
-PMT($P249,($Q249-$S249+1),($K249*(VLOOKUP($C$39,$C$37:$BL$44,MATCH($E249,$C$37:$BL$37,0),FALSE)/VLOOKUP($L249,$C$37:$BL$44,MATCH($E249,$C$37:$BL$37,0),FALSE))*
IF($B$5="Foreign Currency",VLOOKUP($C$38,$C$37:$BL$44,MATCH(BO$48,$C$37:$BL$37,0),FALSE)/VLOOKUP($C$39,$C$37:$BL$44,MATCH(BO$48,$C$37:$BL$37,0),FALSE),1)),0),
0)),
    IF($T249="Equal Principal Payments (EPP)",
        IF(AND(BO$48&gt;=$E249, BO$48&lt;=($E249+$Q249)),
-PMT($P249,($Q249-$S249+1),($K249*(VLOOKUP($C$39,$C$37:$BL$44,MATCH($E249,$C$37:$BL$37,0),FALSE)/VLOOKUP($L249,$C$37:$BL$44,MATCH($E249,$C$37:$BL$37,0),FALSE))*
IF($B$5="Foreign Currency",VLOOKUP($C$38,$C$37:$BL$44,MATCH(BO$48,$C$37:$BL$37,0),FALSE)/VLOOKUP($C$39,$C$37:$BL$44,MATCH(BO$48,$C$37:$BL$37,0),FALSE),1)),0), 0),
    IF($T249="EPP with Grace Years for Principal and on Interest",
        IF(AND(BO$48&gt;=($E249+$S249), BO$48&lt;=($E249+$Q249)),
-PMT($P249,($Q249-$S249+1),($K249*(VLOOKUP($C$39,$C$37:$BL$44,MATCH($E249,$C$37:$BL$37,0),FALSE)/VLOOKUP($L249,$C$37:$BL$44,MATCH($E249,$C$37:$BL$37,0),FALSE))*
IF($B$5="Foreign Currency",VLOOKUP($C$38,$C$37:$BL$44,MATCH(BO$48,$C$37:$BL$37,0),FALSE)/VLOOKUP($C$39,$C$37:$BL$44,MATCH(BO$48,$C$37:$BL$37,0),FALSE),1))*((1+$P249)^$S249),0), 0),
    0)))))),"")</f>
        <v>0</v>
      </c>
      <c r="BP249" s="171">
        <f t="shared" si="411"/>
        <v>0</v>
      </c>
      <c r="BQ249" s="171">
        <f t="shared" si="411"/>
        <v>0</v>
      </c>
      <c r="BR249" s="171">
        <f t="shared" si="411"/>
        <v>0</v>
      </c>
      <c r="BS249" s="171">
        <f t="shared" si="411"/>
        <v>0</v>
      </c>
      <c r="BT249" s="171">
        <f t="shared" si="411"/>
        <v>0</v>
      </c>
      <c r="BU249" s="171">
        <f t="shared" si="411"/>
        <v>0</v>
      </c>
      <c r="BV249" s="171">
        <f t="shared" si="411"/>
        <v>0</v>
      </c>
      <c r="BW249" s="171">
        <f t="shared" si="411"/>
        <v>0</v>
      </c>
      <c r="BX249" s="171">
        <f t="shared" si="411"/>
        <v>0</v>
      </c>
      <c r="BY249" s="171">
        <f t="shared" ref="BY249:CI258" si="412">IFERROR(
    IF($T249="Equity",
        IF(AND(BY$48&gt;=$E249, BY$48&lt;=($E249+$Q249)),
$K249*$P249*(VLOOKUP($C$39,$C$37:$BL$44,MATCH($E249,$C$37:$BL$37,0),FALSE)/VLOOKUP($L249,$C$37:$BL$44,MATCH($E249,$C$37:$BL$37,0),FALSE))*
IF($B$5="Foreign Currency",VLOOKUP($C$38,$C$37:$BL$44,MATCH(BY$48,$C$37:$BL$37,0),FALSE)/VLOOKUP($C$39,$C$37:$BL$44,MATCH(BY$48,$C$37:$BL$37,0),FALSE),1),
0),
    IF($T249="Lump Sum Principal",
        IF(AND(BY$48&gt;=$E249, BY$48&lt;($E249+$Q249)),
$K249*$P249*(VLOOKUP($C$39,$C$37:$BL$44,MATCH($E249,$C$37:$BL$37,0),FALSE)/VLOOKUP($L249,$C$37:$BL$44,MATCH($E249,$C$37:$BL$37,0),FALSE))*
IF($B$5="Foreign Currency",VLOOKUP($C$38,$C$37:$BL$44,MATCH(BY$48,$C$37:$BL$37,0),FALSE)/VLOOKUP($C$39,$C$37:$BL$44,MATCH(BY$48,$C$37:$BL$37,0),FALSE),1),
        IF(BY$48=($E249+$Q249),
$K249*(1+$P249)*(VLOOKUP($C$39,$C$37:$BL$44,MATCH($E249,$C$37:$BL$37,0),FALSE)/VLOOKUP($L249,$C$37:$BL$44,MATCH($E249,$C$37:$BL$37,0),FALSE))*
IF($B$5="Foreign Currency",VLOOKUP($C$38,$C$37:$BL$44,MATCH(BY$48,$C$37:$BL$37,0),FALSE)/VLOOKUP($C$39,$C$37:$BL$44,MATCH(BY$48,$C$37:$BL$37,0),FALSE),1),
0)),
    IF($T249="Lump Sum Principal and Interest",
        IF(BY$48=($E249+$Q249),
$K249*((1+$P249)^$Q249)*(VLOOKUP($C$39,$C$37:$BL$44,MATCH($E249,$C$37:$BL$37,0),FALSE)/VLOOKUP($L249,$C$37:$BL$44,MATCH($E249,$C$37:$BL$37,0),FALSE))*
IF($B$5="Foreign Currency",VLOOKUP($C$38,$C$37:$BL$44,MATCH(BY$48,$C$37:$BL$37,0),FALSE)/VLOOKUP($C$39,$C$37:$BL$44,MATCH(BY$48,$C$37:$BL$37,0),FALSE),1),
0),
    IF($T249="EPP with Grace Years for Principal",
        IF(AND(BY$48&gt;=$E249, BY$48&lt;($E249+$S249)),
$K249*$P249*(VLOOKUP($C$39,$C$37:$BL$44,MATCH($E249,$C$37:$BL$37,0),FALSE)/VLOOKUP($L249,$C$37:$BL$44,MATCH($E249,$C$37:$BL$37,0),FALSE))*
IF($B$5="Foreign Currency",VLOOKUP($C$38,$C$37:$BL$44,MATCH(BY$48,$C$37:$BL$37,0),FALSE)/VLOOKUP($C$39,$C$37:$BL$44,MATCH(BY$48,$C$37:$BL$37,0),FALSE),1),
        IF(AND(BY$48&gt;=($E249+$S249), BY$48&lt;=($E249+$Q249)),
-PMT($P249,($Q249-$S249+1),($K249*(VLOOKUP($C$39,$C$37:$BL$44,MATCH($E249,$C$37:$BL$37,0),FALSE)/VLOOKUP($L249,$C$37:$BL$44,MATCH($E249,$C$37:$BL$37,0),FALSE))*
IF($B$5="Foreign Currency",VLOOKUP($C$38,$C$37:$BL$44,MATCH(BY$48,$C$37:$BL$37,0),FALSE)/VLOOKUP($C$39,$C$37:$BL$44,MATCH(BY$48,$C$37:$BL$37,0),FALSE),1)),0),
0)),
    IF($T249="Equal Principal Payments (EPP)",
        IF(AND(BY$48&gt;=$E249, BY$48&lt;=($E249+$Q249)),
-PMT($P249,($Q249-$S249+1),($K249*(VLOOKUP($C$39,$C$37:$BL$44,MATCH($E249,$C$37:$BL$37,0),FALSE)/VLOOKUP($L249,$C$37:$BL$44,MATCH($E249,$C$37:$BL$37,0),FALSE))*
IF($B$5="Foreign Currency",VLOOKUP($C$38,$C$37:$BL$44,MATCH(BY$48,$C$37:$BL$37,0),FALSE)/VLOOKUP($C$39,$C$37:$BL$44,MATCH(BY$48,$C$37:$BL$37,0),FALSE),1)),0), 0),
    IF($T249="EPP with Grace Years for Principal and on Interest",
        IF(AND(BY$48&gt;=($E249+$S249), BY$48&lt;=($E249+$Q249)),
-PMT($P249,($Q249-$S249+1),($K249*(VLOOKUP($C$39,$C$37:$BL$44,MATCH($E249,$C$37:$BL$37,0),FALSE)/VLOOKUP($L249,$C$37:$BL$44,MATCH($E249,$C$37:$BL$37,0),FALSE))*
IF($B$5="Foreign Currency",VLOOKUP($C$38,$C$37:$BL$44,MATCH(BY$48,$C$37:$BL$37,0),FALSE)/VLOOKUP($C$39,$C$37:$BL$44,MATCH(BY$48,$C$37:$BL$37,0),FALSE),1))*((1+$P249)^$S249),0), 0),
    0)))))),"")</f>
        <v>0</v>
      </c>
      <c r="BZ249" s="171">
        <f t="shared" si="412"/>
        <v>0</v>
      </c>
      <c r="CA249" s="171">
        <f t="shared" si="412"/>
        <v>0</v>
      </c>
      <c r="CB249" s="171">
        <f t="shared" si="412"/>
        <v>0</v>
      </c>
      <c r="CC249" s="171">
        <f t="shared" si="412"/>
        <v>0</v>
      </c>
      <c r="CD249" s="171">
        <f t="shared" si="412"/>
        <v>0</v>
      </c>
      <c r="CE249" s="171">
        <f t="shared" si="412"/>
        <v>0</v>
      </c>
      <c r="CF249" s="171">
        <f t="shared" si="412"/>
        <v>0</v>
      </c>
      <c r="CG249" s="171">
        <f t="shared" si="412"/>
        <v>0</v>
      </c>
      <c r="CH249" s="171">
        <f t="shared" si="412"/>
        <v>0</v>
      </c>
      <c r="CI249" s="171">
        <f t="shared" si="412"/>
        <v>0</v>
      </c>
      <c r="CJ249" s="243"/>
      <c r="CK249" s="171">
        <f t="shared" si="346"/>
        <v>0</v>
      </c>
      <c r="CL249" s="171">
        <f t="shared" si="347"/>
        <v>0</v>
      </c>
      <c r="CM249" s="171">
        <f t="shared" si="348"/>
        <v>0</v>
      </c>
      <c r="CN249" s="171">
        <f t="shared" si="349"/>
        <v>0</v>
      </c>
      <c r="CO249" s="171">
        <f t="shared" si="350"/>
        <v>0</v>
      </c>
      <c r="CP249" s="171">
        <f t="shared" si="351"/>
        <v>0</v>
      </c>
      <c r="CQ249" s="171">
        <f t="shared" si="352"/>
        <v>0</v>
      </c>
      <c r="CR249" s="171">
        <f t="shared" si="353"/>
        <v>0</v>
      </c>
      <c r="CS249" s="171">
        <f t="shared" si="354"/>
        <v>0</v>
      </c>
      <c r="CT249" s="171">
        <f t="shared" si="355"/>
        <v>0</v>
      </c>
      <c r="CU249" s="171">
        <f t="shared" si="356"/>
        <v>0</v>
      </c>
      <c r="CV249" s="171">
        <f t="shared" si="357"/>
        <v>0</v>
      </c>
      <c r="CW249" s="171">
        <f t="shared" si="358"/>
        <v>0</v>
      </c>
      <c r="CX249" s="171">
        <f t="shared" si="359"/>
        <v>0</v>
      </c>
      <c r="CY249" s="171">
        <f t="shared" ca="1" si="360"/>
        <v>0</v>
      </c>
      <c r="CZ249" s="171">
        <f t="shared" ca="1" si="361"/>
        <v>0</v>
      </c>
      <c r="DA249" s="171">
        <f t="shared" ca="1" si="362"/>
        <v>0</v>
      </c>
      <c r="DB249" s="171">
        <f t="shared" ca="1" si="363"/>
        <v>0</v>
      </c>
      <c r="DC249" s="171">
        <f t="shared" ca="1" si="364"/>
        <v>0</v>
      </c>
      <c r="DD249" s="171">
        <f t="shared" ca="1" si="365"/>
        <v>0</v>
      </c>
      <c r="DE249" s="171">
        <f t="shared" ca="1" si="366"/>
        <v>0</v>
      </c>
      <c r="DF249" s="171">
        <f t="shared" ca="1" si="367"/>
        <v>0</v>
      </c>
      <c r="DG249" s="171">
        <f t="shared" ca="1" si="368"/>
        <v>0</v>
      </c>
      <c r="DH249" s="171">
        <f t="shared" ca="1" si="369"/>
        <v>0</v>
      </c>
      <c r="DI249" s="171">
        <f t="shared" ca="1" si="370"/>
        <v>0</v>
      </c>
      <c r="DJ249" s="171">
        <f t="shared" ca="1" si="371"/>
        <v>0</v>
      </c>
      <c r="DK249" s="171">
        <f t="shared" ca="1" si="372"/>
        <v>0</v>
      </c>
      <c r="DL249" s="171">
        <f t="shared" ca="1" si="373"/>
        <v>0</v>
      </c>
      <c r="DM249" s="171">
        <f t="shared" ca="1" si="374"/>
        <v>0</v>
      </c>
      <c r="DN249" s="171">
        <f t="shared" ca="1" si="375"/>
        <v>0</v>
      </c>
      <c r="DO249" s="171">
        <f t="shared" ca="1" si="376"/>
        <v>0</v>
      </c>
      <c r="DP249" s="171">
        <f t="shared" ca="1" si="377"/>
        <v>0</v>
      </c>
      <c r="DQ249" s="171">
        <f t="shared" ca="1" si="378"/>
        <v>0</v>
      </c>
      <c r="DR249" s="171">
        <f t="shared" ca="1" si="379"/>
        <v>0</v>
      </c>
      <c r="DS249" s="171">
        <f t="shared" ca="1" si="380"/>
        <v>0</v>
      </c>
      <c r="DT249" s="171">
        <f t="shared" ca="1" si="381"/>
        <v>0</v>
      </c>
      <c r="DU249" s="171">
        <f t="shared" ca="1" si="382"/>
        <v>0</v>
      </c>
      <c r="DV249" s="171">
        <f t="shared" ca="1" si="383"/>
        <v>0</v>
      </c>
      <c r="DW249" s="171">
        <f t="shared" ca="1" si="384"/>
        <v>0</v>
      </c>
      <c r="DX249" s="171">
        <f t="shared" ca="1" si="385"/>
        <v>0</v>
      </c>
      <c r="DY249" s="171">
        <f t="shared" ca="1" si="386"/>
        <v>0</v>
      </c>
      <c r="DZ249" s="171">
        <f t="shared" ca="1" si="387"/>
        <v>0</v>
      </c>
      <c r="EA249" s="171">
        <f t="shared" ca="1" si="388"/>
        <v>0</v>
      </c>
      <c r="EB249" s="171">
        <f t="shared" ca="1" si="389"/>
        <v>0</v>
      </c>
      <c r="EC249" s="171">
        <f t="shared" ca="1" si="390"/>
        <v>0</v>
      </c>
      <c r="ED249" s="171">
        <f t="shared" ca="1" si="391"/>
        <v>0</v>
      </c>
      <c r="EE249" s="171">
        <f t="shared" ca="1" si="392"/>
        <v>0</v>
      </c>
      <c r="EF249" s="171">
        <f t="shared" ca="1" si="393"/>
        <v>0</v>
      </c>
      <c r="EG249" s="171">
        <f t="shared" ca="1" si="394"/>
        <v>0</v>
      </c>
      <c r="EH249" s="171">
        <f t="shared" ca="1" si="395"/>
        <v>0</v>
      </c>
      <c r="EI249" s="171">
        <f t="shared" ca="1" si="396"/>
        <v>0</v>
      </c>
      <c r="EJ249" s="171">
        <f t="shared" ca="1" si="397"/>
        <v>0</v>
      </c>
      <c r="EK249" s="171">
        <f t="shared" ca="1" si="398"/>
        <v>0</v>
      </c>
      <c r="EL249" s="171">
        <f t="shared" ca="1" si="399"/>
        <v>0</v>
      </c>
      <c r="EM249" s="171">
        <f t="shared" ca="1" si="400"/>
        <v>0</v>
      </c>
      <c r="EN249" s="171">
        <f t="shared" ca="1" si="401"/>
        <v>0</v>
      </c>
      <c r="EO249" s="171">
        <f t="shared" ca="1" si="402"/>
        <v>0</v>
      </c>
      <c r="EP249" s="171">
        <f t="shared" ca="1" si="403"/>
        <v>0</v>
      </c>
      <c r="EQ249" s="171">
        <f t="shared" ca="1" si="404"/>
        <v>0</v>
      </c>
      <c r="ER249" s="171">
        <f t="shared" ca="1" si="405"/>
        <v>0</v>
      </c>
      <c r="ES249" s="171">
        <f t="shared" ca="1" si="406"/>
        <v>0</v>
      </c>
    </row>
    <row r="250" spans="3:149">
      <c r="C250" s="214"/>
      <c r="L250" s="163"/>
      <c r="M250" s="164" t="str">
        <f t="shared" si="337"/>
        <v/>
      </c>
      <c r="N250" s="164" t="str">
        <f t="shared" si="338"/>
        <v/>
      </c>
      <c r="O250" s="165" t="str">
        <f t="shared" si="339"/>
        <v/>
      </c>
      <c r="R250" s="168"/>
      <c r="U250" s="171">
        <f t="shared" si="340"/>
        <v>0</v>
      </c>
      <c r="V250" s="171">
        <f t="shared" ca="1" si="341"/>
        <v>0</v>
      </c>
      <c r="W250" s="171">
        <f t="shared" ca="1" si="342"/>
        <v>0</v>
      </c>
      <c r="X250" s="172">
        <f t="shared" si="343"/>
        <v>0</v>
      </c>
      <c r="Y250" s="172" t="str">
        <f t="shared" si="344"/>
        <v/>
      </c>
      <c r="Z250" s="173">
        <f t="shared" si="345"/>
        <v>0</v>
      </c>
      <c r="AA250" s="171">
        <f t="shared" si="407"/>
        <v>0</v>
      </c>
      <c r="AB250" s="171">
        <f t="shared" si="407"/>
        <v>0</v>
      </c>
      <c r="AC250" s="171">
        <f t="shared" si="407"/>
        <v>0</v>
      </c>
      <c r="AD250" s="171">
        <f t="shared" si="407"/>
        <v>0</v>
      </c>
      <c r="AE250" s="171">
        <f t="shared" si="407"/>
        <v>0</v>
      </c>
      <c r="AF250" s="171">
        <f t="shared" si="407"/>
        <v>0</v>
      </c>
      <c r="AG250" s="171">
        <f t="shared" si="407"/>
        <v>0</v>
      </c>
      <c r="AH250" s="171">
        <f t="shared" si="407"/>
        <v>0</v>
      </c>
      <c r="AI250" s="171">
        <f t="shared" si="407"/>
        <v>0</v>
      </c>
      <c r="AJ250" s="171">
        <f t="shared" si="407"/>
        <v>0</v>
      </c>
      <c r="AK250" s="171">
        <f t="shared" si="408"/>
        <v>0</v>
      </c>
      <c r="AL250" s="171">
        <f t="shared" si="408"/>
        <v>0</v>
      </c>
      <c r="AM250" s="171">
        <f t="shared" si="408"/>
        <v>0</v>
      </c>
      <c r="AN250" s="171">
        <f t="shared" si="408"/>
        <v>0</v>
      </c>
      <c r="AO250" s="171">
        <f t="shared" si="408"/>
        <v>0</v>
      </c>
      <c r="AP250" s="171">
        <f t="shared" si="408"/>
        <v>0</v>
      </c>
      <c r="AQ250" s="171">
        <f t="shared" si="408"/>
        <v>0</v>
      </c>
      <c r="AR250" s="171">
        <f t="shared" si="408"/>
        <v>0</v>
      </c>
      <c r="AS250" s="171">
        <f t="shared" si="408"/>
        <v>0</v>
      </c>
      <c r="AT250" s="171">
        <f t="shared" si="408"/>
        <v>0</v>
      </c>
      <c r="AU250" s="171">
        <f t="shared" si="409"/>
        <v>0</v>
      </c>
      <c r="AV250" s="171">
        <f t="shared" si="409"/>
        <v>0</v>
      </c>
      <c r="AW250" s="171">
        <f t="shared" si="409"/>
        <v>0</v>
      </c>
      <c r="AX250" s="171">
        <f t="shared" si="409"/>
        <v>0</v>
      </c>
      <c r="AY250" s="171">
        <f t="shared" si="409"/>
        <v>0</v>
      </c>
      <c r="AZ250" s="171">
        <f t="shared" si="409"/>
        <v>0</v>
      </c>
      <c r="BA250" s="171">
        <f t="shared" si="409"/>
        <v>0</v>
      </c>
      <c r="BB250" s="171">
        <f t="shared" si="409"/>
        <v>0</v>
      </c>
      <c r="BC250" s="171">
        <f t="shared" si="409"/>
        <v>0</v>
      </c>
      <c r="BD250" s="171">
        <f t="shared" si="409"/>
        <v>0</v>
      </c>
      <c r="BE250" s="171">
        <f t="shared" si="410"/>
        <v>0</v>
      </c>
      <c r="BF250" s="171">
        <f t="shared" si="410"/>
        <v>0</v>
      </c>
      <c r="BG250" s="171">
        <f t="shared" si="410"/>
        <v>0</v>
      </c>
      <c r="BH250" s="171">
        <f t="shared" si="410"/>
        <v>0</v>
      </c>
      <c r="BI250" s="171">
        <f t="shared" si="410"/>
        <v>0</v>
      </c>
      <c r="BJ250" s="171">
        <f t="shared" si="410"/>
        <v>0</v>
      </c>
      <c r="BK250" s="171">
        <f t="shared" si="410"/>
        <v>0</v>
      </c>
      <c r="BL250" s="171">
        <f t="shared" si="410"/>
        <v>0</v>
      </c>
      <c r="BM250" s="171">
        <f t="shared" si="410"/>
        <v>0</v>
      </c>
      <c r="BN250" s="171">
        <f t="shared" si="410"/>
        <v>0</v>
      </c>
      <c r="BO250" s="171">
        <f t="shared" si="411"/>
        <v>0</v>
      </c>
      <c r="BP250" s="171">
        <f t="shared" si="411"/>
        <v>0</v>
      </c>
      <c r="BQ250" s="171">
        <f t="shared" si="411"/>
        <v>0</v>
      </c>
      <c r="BR250" s="171">
        <f t="shared" si="411"/>
        <v>0</v>
      </c>
      <c r="BS250" s="171">
        <f t="shared" si="411"/>
        <v>0</v>
      </c>
      <c r="BT250" s="171">
        <f t="shared" si="411"/>
        <v>0</v>
      </c>
      <c r="BU250" s="171">
        <f t="shared" si="411"/>
        <v>0</v>
      </c>
      <c r="BV250" s="171">
        <f t="shared" si="411"/>
        <v>0</v>
      </c>
      <c r="BW250" s="171">
        <f t="shared" si="411"/>
        <v>0</v>
      </c>
      <c r="BX250" s="171">
        <f t="shared" si="411"/>
        <v>0</v>
      </c>
      <c r="BY250" s="171">
        <f t="shared" si="412"/>
        <v>0</v>
      </c>
      <c r="BZ250" s="171">
        <f t="shared" si="412"/>
        <v>0</v>
      </c>
      <c r="CA250" s="171">
        <f t="shared" si="412"/>
        <v>0</v>
      </c>
      <c r="CB250" s="171">
        <f t="shared" si="412"/>
        <v>0</v>
      </c>
      <c r="CC250" s="171">
        <f t="shared" si="412"/>
        <v>0</v>
      </c>
      <c r="CD250" s="171">
        <f t="shared" si="412"/>
        <v>0</v>
      </c>
      <c r="CE250" s="171">
        <f t="shared" si="412"/>
        <v>0</v>
      </c>
      <c r="CF250" s="171">
        <f t="shared" si="412"/>
        <v>0</v>
      </c>
      <c r="CG250" s="171">
        <f t="shared" si="412"/>
        <v>0</v>
      </c>
      <c r="CH250" s="171">
        <f t="shared" si="412"/>
        <v>0</v>
      </c>
      <c r="CI250" s="171">
        <f t="shared" si="412"/>
        <v>0</v>
      </c>
      <c r="CJ250" s="243"/>
      <c r="CK250" s="171">
        <f t="shared" si="346"/>
        <v>0</v>
      </c>
      <c r="CL250" s="171">
        <f t="shared" si="347"/>
        <v>0</v>
      </c>
      <c r="CM250" s="171">
        <f t="shared" si="348"/>
        <v>0</v>
      </c>
      <c r="CN250" s="171">
        <f t="shared" si="349"/>
        <v>0</v>
      </c>
      <c r="CO250" s="171">
        <f t="shared" si="350"/>
        <v>0</v>
      </c>
      <c r="CP250" s="171">
        <f t="shared" si="351"/>
        <v>0</v>
      </c>
      <c r="CQ250" s="171">
        <f t="shared" si="352"/>
        <v>0</v>
      </c>
      <c r="CR250" s="171">
        <f t="shared" si="353"/>
        <v>0</v>
      </c>
      <c r="CS250" s="171">
        <f t="shared" si="354"/>
        <v>0</v>
      </c>
      <c r="CT250" s="171">
        <f t="shared" si="355"/>
        <v>0</v>
      </c>
      <c r="CU250" s="171">
        <f t="shared" si="356"/>
        <v>0</v>
      </c>
      <c r="CV250" s="171">
        <f t="shared" si="357"/>
        <v>0</v>
      </c>
      <c r="CW250" s="171">
        <f t="shared" si="358"/>
        <v>0</v>
      </c>
      <c r="CX250" s="171">
        <f t="shared" si="359"/>
        <v>0</v>
      </c>
      <c r="CY250" s="171">
        <f t="shared" ca="1" si="360"/>
        <v>0</v>
      </c>
      <c r="CZ250" s="171">
        <f t="shared" ca="1" si="361"/>
        <v>0</v>
      </c>
      <c r="DA250" s="171">
        <f t="shared" ca="1" si="362"/>
        <v>0</v>
      </c>
      <c r="DB250" s="171">
        <f t="shared" ca="1" si="363"/>
        <v>0</v>
      </c>
      <c r="DC250" s="171">
        <f t="shared" ca="1" si="364"/>
        <v>0</v>
      </c>
      <c r="DD250" s="171">
        <f t="shared" ca="1" si="365"/>
        <v>0</v>
      </c>
      <c r="DE250" s="171">
        <f t="shared" ca="1" si="366"/>
        <v>0</v>
      </c>
      <c r="DF250" s="171">
        <f t="shared" ca="1" si="367"/>
        <v>0</v>
      </c>
      <c r="DG250" s="171">
        <f t="shared" ca="1" si="368"/>
        <v>0</v>
      </c>
      <c r="DH250" s="171">
        <f t="shared" ca="1" si="369"/>
        <v>0</v>
      </c>
      <c r="DI250" s="171">
        <f t="shared" ca="1" si="370"/>
        <v>0</v>
      </c>
      <c r="DJ250" s="171">
        <f t="shared" ca="1" si="371"/>
        <v>0</v>
      </c>
      <c r="DK250" s="171">
        <f t="shared" ca="1" si="372"/>
        <v>0</v>
      </c>
      <c r="DL250" s="171">
        <f t="shared" ca="1" si="373"/>
        <v>0</v>
      </c>
      <c r="DM250" s="171">
        <f t="shared" ca="1" si="374"/>
        <v>0</v>
      </c>
      <c r="DN250" s="171">
        <f t="shared" ca="1" si="375"/>
        <v>0</v>
      </c>
      <c r="DO250" s="171">
        <f t="shared" ca="1" si="376"/>
        <v>0</v>
      </c>
      <c r="DP250" s="171">
        <f t="shared" ca="1" si="377"/>
        <v>0</v>
      </c>
      <c r="DQ250" s="171">
        <f t="shared" ca="1" si="378"/>
        <v>0</v>
      </c>
      <c r="DR250" s="171">
        <f t="shared" ca="1" si="379"/>
        <v>0</v>
      </c>
      <c r="DS250" s="171">
        <f t="shared" ca="1" si="380"/>
        <v>0</v>
      </c>
      <c r="DT250" s="171">
        <f t="shared" ca="1" si="381"/>
        <v>0</v>
      </c>
      <c r="DU250" s="171">
        <f t="shared" ca="1" si="382"/>
        <v>0</v>
      </c>
      <c r="DV250" s="171">
        <f t="shared" ca="1" si="383"/>
        <v>0</v>
      </c>
      <c r="DW250" s="171">
        <f t="shared" ca="1" si="384"/>
        <v>0</v>
      </c>
      <c r="DX250" s="171">
        <f t="shared" ca="1" si="385"/>
        <v>0</v>
      </c>
      <c r="DY250" s="171">
        <f t="shared" ca="1" si="386"/>
        <v>0</v>
      </c>
      <c r="DZ250" s="171">
        <f t="shared" ca="1" si="387"/>
        <v>0</v>
      </c>
      <c r="EA250" s="171">
        <f t="shared" ca="1" si="388"/>
        <v>0</v>
      </c>
      <c r="EB250" s="171">
        <f t="shared" ca="1" si="389"/>
        <v>0</v>
      </c>
      <c r="EC250" s="171">
        <f t="shared" ca="1" si="390"/>
        <v>0</v>
      </c>
      <c r="ED250" s="171">
        <f t="shared" ca="1" si="391"/>
        <v>0</v>
      </c>
      <c r="EE250" s="171">
        <f t="shared" ca="1" si="392"/>
        <v>0</v>
      </c>
      <c r="EF250" s="171">
        <f t="shared" ca="1" si="393"/>
        <v>0</v>
      </c>
      <c r="EG250" s="171">
        <f t="shared" ca="1" si="394"/>
        <v>0</v>
      </c>
      <c r="EH250" s="171">
        <f t="shared" ca="1" si="395"/>
        <v>0</v>
      </c>
      <c r="EI250" s="171">
        <f t="shared" ca="1" si="396"/>
        <v>0</v>
      </c>
      <c r="EJ250" s="171">
        <f t="shared" ca="1" si="397"/>
        <v>0</v>
      </c>
      <c r="EK250" s="171">
        <f t="shared" ca="1" si="398"/>
        <v>0</v>
      </c>
      <c r="EL250" s="171">
        <f t="shared" ca="1" si="399"/>
        <v>0</v>
      </c>
      <c r="EM250" s="171">
        <f t="shared" ca="1" si="400"/>
        <v>0</v>
      </c>
      <c r="EN250" s="171">
        <f t="shared" ca="1" si="401"/>
        <v>0</v>
      </c>
      <c r="EO250" s="171">
        <f t="shared" ca="1" si="402"/>
        <v>0</v>
      </c>
      <c r="EP250" s="171">
        <f t="shared" ca="1" si="403"/>
        <v>0</v>
      </c>
      <c r="EQ250" s="171">
        <f t="shared" ca="1" si="404"/>
        <v>0</v>
      </c>
      <c r="ER250" s="171">
        <f t="shared" ca="1" si="405"/>
        <v>0</v>
      </c>
      <c r="ES250" s="171">
        <f t="shared" ca="1" si="406"/>
        <v>0</v>
      </c>
    </row>
    <row r="251" spans="3:149">
      <c r="C251" s="214"/>
      <c r="L251" s="163"/>
      <c r="M251" s="164" t="str">
        <f t="shared" si="337"/>
        <v/>
      </c>
      <c r="N251" s="164" t="str">
        <f t="shared" si="338"/>
        <v/>
      </c>
      <c r="O251" s="165" t="str">
        <f t="shared" si="339"/>
        <v/>
      </c>
      <c r="R251" s="168"/>
      <c r="U251" s="171">
        <f t="shared" si="340"/>
        <v>0</v>
      </c>
      <c r="V251" s="171">
        <f t="shared" ca="1" si="341"/>
        <v>0</v>
      </c>
      <c r="W251" s="171">
        <f t="shared" ca="1" si="342"/>
        <v>0</v>
      </c>
      <c r="X251" s="172">
        <f t="shared" si="343"/>
        <v>0</v>
      </c>
      <c r="Y251" s="172" t="str">
        <f t="shared" si="344"/>
        <v/>
      </c>
      <c r="Z251" s="173">
        <f t="shared" si="345"/>
        <v>0</v>
      </c>
      <c r="AA251" s="171">
        <f t="shared" si="407"/>
        <v>0</v>
      </c>
      <c r="AB251" s="171">
        <f t="shared" si="407"/>
        <v>0</v>
      </c>
      <c r="AC251" s="171">
        <f t="shared" si="407"/>
        <v>0</v>
      </c>
      <c r="AD251" s="171">
        <f t="shared" si="407"/>
        <v>0</v>
      </c>
      <c r="AE251" s="171">
        <f t="shared" si="407"/>
        <v>0</v>
      </c>
      <c r="AF251" s="171">
        <f t="shared" si="407"/>
        <v>0</v>
      </c>
      <c r="AG251" s="171">
        <f t="shared" si="407"/>
        <v>0</v>
      </c>
      <c r="AH251" s="171">
        <f t="shared" si="407"/>
        <v>0</v>
      </c>
      <c r="AI251" s="171">
        <f t="shared" si="407"/>
        <v>0</v>
      </c>
      <c r="AJ251" s="171">
        <f t="shared" si="407"/>
        <v>0</v>
      </c>
      <c r="AK251" s="171">
        <f t="shared" si="408"/>
        <v>0</v>
      </c>
      <c r="AL251" s="171">
        <f t="shared" si="408"/>
        <v>0</v>
      </c>
      <c r="AM251" s="171">
        <f t="shared" si="408"/>
        <v>0</v>
      </c>
      <c r="AN251" s="171">
        <f t="shared" si="408"/>
        <v>0</v>
      </c>
      <c r="AO251" s="171">
        <f t="shared" si="408"/>
        <v>0</v>
      </c>
      <c r="AP251" s="171">
        <f t="shared" si="408"/>
        <v>0</v>
      </c>
      <c r="AQ251" s="171">
        <f t="shared" si="408"/>
        <v>0</v>
      </c>
      <c r="AR251" s="171">
        <f t="shared" si="408"/>
        <v>0</v>
      </c>
      <c r="AS251" s="171">
        <f t="shared" si="408"/>
        <v>0</v>
      </c>
      <c r="AT251" s="171">
        <f t="shared" si="408"/>
        <v>0</v>
      </c>
      <c r="AU251" s="171">
        <f t="shared" si="409"/>
        <v>0</v>
      </c>
      <c r="AV251" s="171">
        <f t="shared" si="409"/>
        <v>0</v>
      </c>
      <c r="AW251" s="171">
        <f t="shared" si="409"/>
        <v>0</v>
      </c>
      <c r="AX251" s="171">
        <f t="shared" si="409"/>
        <v>0</v>
      </c>
      <c r="AY251" s="171">
        <f t="shared" si="409"/>
        <v>0</v>
      </c>
      <c r="AZ251" s="171">
        <f t="shared" si="409"/>
        <v>0</v>
      </c>
      <c r="BA251" s="171">
        <f t="shared" si="409"/>
        <v>0</v>
      </c>
      <c r="BB251" s="171">
        <f t="shared" si="409"/>
        <v>0</v>
      </c>
      <c r="BC251" s="171">
        <f t="shared" si="409"/>
        <v>0</v>
      </c>
      <c r="BD251" s="171">
        <f t="shared" si="409"/>
        <v>0</v>
      </c>
      <c r="BE251" s="171">
        <f t="shared" si="410"/>
        <v>0</v>
      </c>
      <c r="BF251" s="171">
        <f t="shared" si="410"/>
        <v>0</v>
      </c>
      <c r="BG251" s="171">
        <f t="shared" si="410"/>
        <v>0</v>
      </c>
      <c r="BH251" s="171">
        <f t="shared" si="410"/>
        <v>0</v>
      </c>
      <c r="BI251" s="171">
        <f t="shared" si="410"/>
        <v>0</v>
      </c>
      <c r="BJ251" s="171">
        <f t="shared" si="410"/>
        <v>0</v>
      </c>
      <c r="BK251" s="171">
        <f t="shared" si="410"/>
        <v>0</v>
      </c>
      <c r="BL251" s="171">
        <f t="shared" si="410"/>
        <v>0</v>
      </c>
      <c r="BM251" s="171">
        <f t="shared" si="410"/>
        <v>0</v>
      </c>
      <c r="BN251" s="171">
        <f t="shared" si="410"/>
        <v>0</v>
      </c>
      <c r="BO251" s="171">
        <f t="shared" si="411"/>
        <v>0</v>
      </c>
      <c r="BP251" s="171">
        <f t="shared" si="411"/>
        <v>0</v>
      </c>
      <c r="BQ251" s="171">
        <f t="shared" si="411"/>
        <v>0</v>
      </c>
      <c r="BR251" s="171">
        <f t="shared" si="411"/>
        <v>0</v>
      </c>
      <c r="BS251" s="171">
        <f t="shared" si="411"/>
        <v>0</v>
      </c>
      <c r="BT251" s="171">
        <f t="shared" si="411"/>
        <v>0</v>
      </c>
      <c r="BU251" s="171">
        <f t="shared" si="411"/>
        <v>0</v>
      </c>
      <c r="BV251" s="171">
        <f t="shared" si="411"/>
        <v>0</v>
      </c>
      <c r="BW251" s="171">
        <f t="shared" si="411"/>
        <v>0</v>
      </c>
      <c r="BX251" s="171">
        <f t="shared" si="411"/>
        <v>0</v>
      </c>
      <c r="BY251" s="171">
        <f t="shared" si="412"/>
        <v>0</v>
      </c>
      <c r="BZ251" s="171">
        <f t="shared" si="412"/>
        <v>0</v>
      </c>
      <c r="CA251" s="171">
        <f t="shared" si="412"/>
        <v>0</v>
      </c>
      <c r="CB251" s="171">
        <f t="shared" si="412"/>
        <v>0</v>
      </c>
      <c r="CC251" s="171">
        <f t="shared" si="412"/>
        <v>0</v>
      </c>
      <c r="CD251" s="171">
        <f t="shared" si="412"/>
        <v>0</v>
      </c>
      <c r="CE251" s="171">
        <f t="shared" si="412"/>
        <v>0</v>
      </c>
      <c r="CF251" s="171">
        <f t="shared" si="412"/>
        <v>0</v>
      </c>
      <c r="CG251" s="171">
        <f t="shared" si="412"/>
        <v>0</v>
      </c>
      <c r="CH251" s="171">
        <f t="shared" si="412"/>
        <v>0</v>
      </c>
      <c r="CI251" s="171">
        <f t="shared" si="412"/>
        <v>0</v>
      </c>
      <c r="CJ251" s="243"/>
      <c r="CK251" s="171">
        <f t="shared" si="346"/>
        <v>0</v>
      </c>
      <c r="CL251" s="171">
        <f t="shared" si="347"/>
        <v>0</v>
      </c>
      <c r="CM251" s="171">
        <f t="shared" si="348"/>
        <v>0</v>
      </c>
      <c r="CN251" s="171">
        <f t="shared" si="349"/>
        <v>0</v>
      </c>
      <c r="CO251" s="171">
        <f t="shared" si="350"/>
        <v>0</v>
      </c>
      <c r="CP251" s="171">
        <f t="shared" si="351"/>
        <v>0</v>
      </c>
      <c r="CQ251" s="171">
        <f t="shared" si="352"/>
        <v>0</v>
      </c>
      <c r="CR251" s="171">
        <f t="shared" si="353"/>
        <v>0</v>
      </c>
      <c r="CS251" s="171">
        <f t="shared" si="354"/>
        <v>0</v>
      </c>
      <c r="CT251" s="171">
        <f t="shared" si="355"/>
        <v>0</v>
      </c>
      <c r="CU251" s="171">
        <f t="shared" si="356"/>
        <v>0</v>
      </c>
      <c r="CV251" s="171">
        <f t="shared" si="357"/>
        <v>0</v>
      </c>
      <c r="CW251" s="171">
        <f t="shared" si="358"/>
        <v>0</v>
      </c>
      <c r="CX251" s="171">
        <f t="shared" si="359"/>
        <v>0</v>
      </c>
      <c r="CY251" s="171">
        <f t="shared" ca="1" si="360"/>
        <v>0</v>
      </c>
      <c r="CZ251" s="171">
        <f t="shared" ca="1" si="361"/>
        <v>0</v>
      </c>
      <c r="DA251" s="171">
        <f t="shared" ca="1" si="362"/>
        <v>0</v>
      </c>
      <c r="DB251" s="171">
        <f t="shared" ca="1" si="363"/>
        <v>0</v>
      </c>
      <c r="DC251" s="171">
        <f t="shared" ca="1" si="364"/>
        <v>0</v>
      </c>
      <c r="DD251" s="171">
        <f t="shared" ca="1" si="365"/>
        <v>0</v>
      </c>
      <c r="DE251" s="171">
        <f t="shared" ca="1" si="366"/>
        <v>0</v>
      </c>
      <c r="DF251" s="171">
        <f t="shared" ca="1" si="367"/>
        <v>0</v>
      </c>
      <c r="DG251" s="171">
        <f t="shared" ca="1" si="368"/>
        <v>0</v>
      </c>
      <c r="DH251" s="171">
        <f t="shared" ca="1" si="369"/>
        <v>0</v>
      </c>
      <c r="DI251" s="171">
        <f t="shared" ca="1" si="370"/>
        <v>0</v>
      </c>
      <c r="DJ251" s="171">
        <f t="shared" ca="1" si="371"/>
        <v>0</v>
      </c>
      <c r="DK251" s="171">
        <f t="shared" ca="1" si="372"/>
        <v>0</v>
      </c>
      <c r="DL251" s="171">
        <f t="shared" ca="1" si="373"/>
        <v>0</v>
      </c>
      <c r="DM251" s="171">
        <f t="shared" ca="1" si="374"/>
        <v>0</v>
      </c>
      <c r="DN251" s="171">
        <f t="shared" ca="1" si="375"/>
        <v>0</v>
      </c>
      <c r="DO251" s="171">
        <f t="shared" ca="1" si="376"/>
        <v>0</v>
      </c>
      <c r="DP251" s="171">
        <f t="shared" ca="1" si="377"/>
        <v>0</v>
      </c>
      <c r="DQ251" s="171">
        <f t="shared" ca="1" si="378"/>
        <v>0</v>
      </c>
      <c r="DR251" s="171">
        <f t="shared" ca="1" si="379"/>
        <v>0</v>
      </c>
      <c r="DS251" s="171">
        <f t="shared" ca="1" si="380"/>
        <v>0</v>
      </c>
      <c r="DT251" s="171">
        <f t="shared" ca="1" si="381"/>
        <v>0</v>
      </c>
      <c r="DU251" s="171">
        <f t="shared" ca="1" si="382"/>
        <v>0</v>
      </c>
      <c r="DV251" s="171">
        <f t="shared" ca="1" si="383"/>
        <v>0</v>
      </c>
      <c r="DW251" s="171">
        <f t="shared" ca="1" si="384"/>
        <v>0</v>
      </c>
      <c r="DX251" s="171">
        <f t="shared" ca="1" si="385"/>
        <v>0</v>
      </c>
      <c r="DY251" s="171">
        <f t="shared" ca="1" si="386"/>
        <v>0</v>
      </c>
      <c r="DZ251" s="171">
        <f t="shared" ca="1" si="387"/>
        <v>0</v>
      </c>
      <c r="EA251" s="171">
        <f t="shared" ca="1" si="388"/>
        <v>0</v>
      </c>
      <c r="EB251" s="171">
        <f t="shared" ca="1" si="389"/>
        <v>0</v>
      </c>
      <c r="EC251" s="171">
        <f t="shared" ca="1" si="390"/>
        <v>0</v>
      </c>
      <c r="ED251" s="171">
        <f t="shared" ca="1" si="391"/>
        <v>0</v>
      </c>
      <c r="EE251" s="171">
        <f t="shared" ca="1" si="392"/>
        <v>0</v>
      </c>
      <c r="EF251" s="171">
        <f t="shared" ca="1" si="393"/>
        <v>0</v>
      </c>
      <c r="EG251" s="171">
        <f t="shared" ca="1" si="394"/>
        <v>0</v>
      </c>
      <c r="EH251" s="171">
        <f t="shared" ca="1" si="395"/>
        <v>0</v>
      </c>
      <c r="EI251" s="171">
        <f t="shared" ca="1" si="396"/>
        <v>0</v>
      </c>
      <c r="EJ251" s="171">
        <f t="shared" ca="1" si="397"/>
        <v>0</v>
      </c>
      <c r="EK251" s="171">
        <f t="shared" ca="1" si="398"/>
        <v>0</v>
      </c>
      <c r="EL251" s="171">
        <f t="shared" ca="1" si="399"/>
        <v>0</v>
      </c>
      <c r="EM251" s="171">
        <f t="shared" ca="1" si="400"/>
        <v>0</v>
      </c>
      <c r="EN251" s="171">
        <f t="shared" ca="1" si="401"/>
        <v>0</v>
      </c>
      <c r="EO251" s="171">
        <f t="shared" ca="1" si="402"/>
        <v>0</v>
      </c>
      <c r="EP251" s="171">
        <f t="shared" ca="1" si="403"/>
        <v>0</v>
      </c>
      <c r="EQ251" s="171">
        <f t="shared" ca="1" si="404"/>
        <v>0</v>
      </c>
      <c r="ER251" s="171">
        <f t="shared" ca="1" si="405"/>
        <v>0</v>
      </c>
      <c r="ES251" s="171">
        <f t="shared" ca="1" si="406"/>
        <v>0</v>
      </c>
    </row>
    <row r="252" spans="3:149">
      <c r="C252" s="214"/>
      <c r="L252" s="163"/>
      <c r="M252" s="164" t="str">
        <f t="shared" si="337"/>
        <v/>
      </c>
      <c r="N252" s="164" t="str">
        <f t="shared" si="338"/>
        <v/>
      </c>
      <c r="O252" s="165" t="str">
        <f t="shared" si="339"/>
        <v/>
      </c>
      <c r="R252" s="168"/>
      <c r="U252" s="171">
        <f t="shared" si="340"/>
        <v>0</v>
      </c>
      <c r="V252" s="171">
        <f t="shared" ca="1" si="341"/>
        <v>0</v>
      </c>
      <c r="W252" s="171">
        <f t="shared" ca="1" si="342"/>
        <v>0</v>
      </c>
      <c r="X252" s="172">
        <f t="shared" si="343"/>
        <v>0</v>
      </c>
      <c r="Y252" s="172" t="str">
        <f t="shared" si="344"/>
        <v/>
      </c>
      <c r="Z252" s="173">
        <f t="shared" si="345"/>
        <v>0</v>
      </c>
      <c r="AA252" s="171">
        <f t="shared" si="407"/>
        <v>0</v>
      </c>
      <c r="AB252" s="171">
        <f t="shared" si="407"/>
        <v>0</v>
      </c>
      <c r="AC252" s="171">
        <f t="shared" si="407"/>
        <v>0</v>
      </c>
      <c r="AD252" s="171">
        <f t="shared" si="407"/>
        <v>0</v>
      </c>
      <c r="AE252" s="171">
        <f t="shared" si="407"/>
        <v>0</v>
      </c>
      <c r="AF252" s="171">
        <f t="shared" si="407"/>
        <v>0</v>
      </c>
      <c r="AG252" s="171">
        <f t="shared" si="407"/>
        <v>0</v>
      </c>
      <c r="AH252" s="171">
        <f t="shared" si="407"/>
        <v>0</v>
      </c>
      <c r="AI252" s="171">
        <f t="shared" si="407"/>
        <v>0</v>
      </c>
      <c r="AJ252" s="171">
        <f t="shared" si="407"/>
        <v>0</v>
      </c>
      <c r="AK252" s="171">
        <f t="shared" si="408"/>
        <v>0</v>
      </c>
      <c r="AL252" s="171">
        <f t="shared" si="408"/>
        <v>0</v>
      </c>
      <c r="AM252" s="171">
        <f t="shared" si="408"/>
        <v>0</v>
      </c>
      <c r="AN252" s="171">
        <f t="shared" si="408"/>
        <v>0</v>
      </c>
      <c r="AO252" s="171">
        <f t="shared" si="408"/>
        <v>0</v>
      </c>
      <c r="AP252" s="171">
        <f t="shared" si="408"/>
        <v>0</v>
      </c>
      <c r="AQ252" s="171">
        <f t="shared" si="408"/>
        <v>0</v>
      </c>
      <c r="AR252" s="171">
        <f t="shared" si="408"/>
        <v>0</v>
      </c>
      <c r="AS252" s="171">
        <f t="shared" si="408"/>
        <v>0</v>
      </c>
      <c r="AT252" s="171">
        <f t="shared" si="408"/>
        <v>0</v>
      </c>
      <c r="AU252" s="171">
        <f t="shared" si="409"/>
        <v>0</v>
      </c>
      <c r="AV252" s="171">
        <f t="shared" si="409"/>
        <v>0</v>
      </c>
      <c r="AW252" s="171">
        <f t="shared" si="409"/>
        <v>0</v>
      </c>
      <c r="AX252" s="171">
        <f t="shared" si="409"/>
        <v>0</v>
      </c>
      <c r="AY252" s="171">
        <f t="shared" si="409"/>
        <v>0</v>
      </c>
      <c r="AZ252" s="171">
        <f t="shared" si="409"/>
        <v>0</v>
      </c>
      <c r="BA252" s="171">
        <f t="shared" si="409"/>
        <v>0</v>
      </c>
      <c r="BB252" s="171">
        <f t="shared" si="409"/>
        <v>0</v>
      </c>
      <c r="BC252" s="171">
        <f t="shared" si="409"/>
        <v>0</v>
      </c>
      <c r="BD252" s="171">
        <f t="shared" si="409"/>
        <v>0</v>
      </c>
      <c r="BE252" s="171">
        <f t="shared" si="410"/>
        <v>0</v>
      </c>
      <c r="BF252" s="171">
        <f t="shared" si="410"/>
        <v>0</v>
      </c>
      <c r="BG252" s="171">
        <f t="shared" si="410"/>
        <v>0</v>
      </c>
      <c r="BH252" s="171">
        <f t="shared" si="410"/>
        <v>0</v>
      </c>
      <c r="BI252" s="171">
        <f t="shared" si="410"/>
        <v>0</v>
      </c>
      <c r="BJ252" s="171">
        <f t="shared" si="410"/>
        <v>0</v>
      </c>
      <c r="BK252" s="171">
        <f t="shared" si="410"/>
        <v>0</v>
      </c>
      <c r="BL252" s="171">
        <f t="shared" si="410"/>
        <v>0</v>
      </c>
      <c r="BM252" s="171">
        <f t="shared" si="410"/>
        <v>0</v>
      </c>
      <c r="BN252" s="171">
        <f t="shared" si="410"/>
        <v>0</v>
      </c>
      <c r="BO252" s="171">
        <f t="shared" si="411"/>
        <v>0</v>
      </c>
      <c r="BP252" s="171">
        <f t="shared" si="411"/>
        <v>0</v>
      </c>
      <c r="BQ252" s="171">
        <f t="shared" si="411"/>
        <v>0</v>
      </c>
      <c r="BR252" s="171">
        <f t="shared" si="411"/>
        <v>0</v>
      </c>
      <c r="BS252" s="171">
        <f t="shared" si="411"/>
        <v>0</v>
      </c>
      <c r="BT252" s="171">
        <f t="shared" si="411"/>
        <v>0</v>
      </c>
      <c r="BU252" s="171">
        <f t="shared" si="411"/>
        <v>0</v>
      </c>
      <c r="BV252" s="171">
        <f t="shared" si="411"/>
        <v>0</v>
      </c>
      <c r="BW252" s="171">
        <f t="shared" si="411"/>
        <v>0</v>
      </c>
      <c r="BX252" s="171">
        <f t="shared" si="411"/>
        <v>0</v>
      </c>
      <c r="BY252" s="171">
        <f t="shared" si="412"/>
        <v>0</v>
      </c>
      <c r="BZ252" s="171">
        <f t="shared" si="412"/>
        <v>0</v>
      </c>
      <c r="CA252" s="171">
        <f t="shared" si="412"/>
        <v>0</v>
      </c>
      <c r="CB252" s="171">
        <f t="shared" si="412"/>
        <v>0</v>
      </c>
      <c r="CC252" s="171">
        <f t="shared" si="412"/>
        <v>0</v>
      </c>
      <c r="CD252" s="171">
        <f t="shared" si="412"/>
        <v>0</v>
      </c>
      <c r="CE252" s="171">
        <f t="shared" si="412"/>
        <v>0</v>
      </c>
      <c r="CF252" s="171">
        <f t="shared" si="412"/>
        <v>0</v>
      </c>
      <c r="CG252" s="171">
        <f t="shared" si="412"/>
        <v>0</v>
      </c>
      <c r="CH252" s="171">
        <f t="shared" si="412"/>
        <v>0</v>
      </c>
      <c r="CI252" s="171">
        <f t="shared" si="412"/>
        <v>0</v>
      </c>
      <c r="CJ252" s="243"/>
      <c r="CK252" s="171">
        <f t="shared" si="346"/>
        <v>0</v>
      </c>
      <c r="CL252" s="171">
        <f t="shared" si="347"/>
        <v>0</v>
      </c>
      <c r="CM252" s="171">
        <f t="shared" si="348"/>
        <v>0</v>
      </c>
      <c r="CN252" s="171">
        <f t="shared" si="349"/>
        <v>0</v>
      </c>
      <c r="CO252" s="171">
        <f t="shared" si="350"/>
        <v>0</v>
      </c>
      <c r="CP252" s="171">
        <f t="shared" si="351"/>
        <v>0</v>
      </c>
      <c r="CQ252" s="171">
        <f t="shared" si="352"/>
        <v>0</v>
      </c>
      <c r="CR252" s="171">
        <f t="shared" si="353"/>
        <v>0</v>
      </c>
      <c r="CS252" s="171">
        <f t="shared" si="354"/>
        <v>0</v>
      </c>
      <c r="CT252" s="171">
        <f t="shared" si="355"/>
        <v>0</v>
      </c>
      <c r="CU252" s="171">
        <f t="shared" si="356"/>
        <v>0</v>
      </c>
      <c r="CV252" s="171">
        <f t="shared" si="357"/>
        <v>0</v>
      </c>
      <c r="CW252" s="171">
        <f t="shared" si="358"/>
        <v>0</v>
      </c>
      <c r="CX252" s="171">
        <f t="shared" si="359"/>
        <v>0</v>
      </c>
      <c r="CY252" s="171">
        <f t="shared" ca="1" si="360"/>
        <v>0</v>
      </c>
      <c r="CZ252" s="171">
        <f t="shared" ca="1" si="361"/>
        <v>0</v>
      </c>
      <c r="DA252" s="171">
        <f t="shared" ca="1" si="362"/>
        <v>0</v>
      </c>
      <c r="DB252" s="171">
        <f t="shared" ca="1" si="363"/>
        <v>0</v>
      </c>
      <c r="DC252" s="171">
        <f t="shared" ca="1" si="364"/>
        <v>0</v>
      </c>
      <c r="DD252" s="171">
        <f t="shared" ca="1" si="365"/>
        <v>0</v>
      </c>
      <c r="DE252" s="171">
        <f t="shared" ca="1" si="366"/>
        <v>0</v>
      </c>
      <c r="DF252" s="171">
        <f t="shared" ca="1" si="367"/>
        <v>0</v>
      </c>
      <c r="DG252" s="171">
        <f t="shared" ca="1" si="368"/>
        <v>0</v>
      </c>
      <c r="DH252" s="171">
        <f t="shared" ca="1" si="369"/>
        <v>0</v>
      </c>
      <c r="DI252" s="171">
        <f t="shared" ca="1" si="370"/>
        <v>0</v>
      </c>
      <c r="DJ252" s="171">
        <f t="shared" ca="1" si="371"/>
        <v>0</v>
      </c>
      <c r="DK252" s="171">
        <f t="shared" ca="1" si="372"/>
        <v>0</v>
      </c>
      <c r="DL252" s="171">
        <f t="shared" ca="1" si="373"/>
        <v>0</v>
      </c>
      <c r="DM252" s="171">
        <f t="shared" ca="1" si="374"/>
        <v>0</v>
      </c>
      <c r="DN252" s="171">
        <f t="shared" ca="1" si="375"/>
        <v>0</v>
      </c>
      <c r="DO252" s="171">
        <f t="shared" ca="1" si="376"/>
        <v>0</v>
      </c>
      <c r="DP252" s="171">
        <f t="shared" ca="1" si="377"/>
        <v>0</v>
      </c>
      <c r="DQ252" s="171">
        <f t="shared" ca="1" si="378"/>
        <v>0</v>
      </c>
      <c r="DR252" s="171">
        <f t="shared" ca="1" si="379"/>
        <v>0</v>
      </c>
      <c r="DS252" s="171">
        <f t="shared" ca="1" si="380"/>
        <v>0</v>
      </c>
      <c r="DT252" s="171">
        <f t="shared" ca="1" si="381"/>
        <v>0</v>
      </c>
      <c r="DU252" s="171">
        <f t="shared" ca="1" si="382"/>
        <v>0</v>
      </c>
      <c r="DV252" s="171">
        <f t="shared" ca="1" si="383"/>
        <v>0</v>
      </c>
      <c r="DW252" s="171">
        <f t="shared" ca="1" si="384"/>
        <v>0</v>
      </c>
      <c r="DX252" s="171">
        <f t="shared" ca="1" si="385"/>
        <v>0</v>
      </c>
      <c r="DY252" s="171">
        <f t="shared" ca="1" si="386"/>
        <v>0</v>
      </c>
      <c r="DZ252" s="171">
        <f t="shared" ca="1" si="387"/>
        <v>0</v>
      </c>
      <c r="EA252" s="171">
        <f t="shared" ca="1" si="388"/>
        <v>0</v>
      </c>
      <c r="EB252" s="171">
        <f t="shared" ca="1" si="389"/>
        <v>0</v>
      </c>
      <c r="EC252" s="171">
        <f t="shared" ca="1" si="390"/>
        <v>0</v>
      </c>
      <c r="ED252" s="171">
        <f t="shared" ca="1" si="391"/>
        <v>0</v>
      </c>
      <c r="EE252" s="171">
        <f t="shared" ca="1" si="392"/>
        <v>0</v>
      </c>
      <c r="EF252" s="171">
        <f t="shared" ca="1" si="393"/>
        <v>0</v>
      </c>
      <c r="EG252" s="171">
        <f t="shared" ca="1" si="394"/>
        <v>0</v>
      </c>
      <c r="EH252" s="171">
        <f t="shared" ca="1" si="395"/>
        <v>0</v>
      </c>
      <c r="EI252" s="171">
        <f t="shared" ca="1" si="396"/>
        <v>0</v>
      </c>
      <c r="EJ252" s="171">
        <f t="shared" ca="1" si="397"/>
        <v>0</v>
      </c>
      <c r="EK252" s="171">
        <f t="shared" ca="1" si="398"/>
        <v>0</v>
      </c>
      <c r="EL252" s="171">
        <f t="shared" ca="1" si="399"/>
        <v>0</v>
      </c>
      <c r="EM252" s="171">
        <f t="shared" ca="1" si="400"/>
        <v>0</v>
      </c>
      <c r="EN252" s="171">
        <f t="shared" ca="1" si="401"/>
        <v>0</v>
      </c>
      <c r="EO252" s="171">
        <f t="shared" ca="1" si="402"/>
        <v>0</v>
      </c>
      <c r="EP252" s="171">
        <f t="shared" ca="1" si="403"/>
        <v>0</v>
      </c>
      <c r="EQ252" s="171">
        <f t="shared" ca="1" si="404"/>
        <v>0</v>
      </c>
      <c r="ER252" s="171">
        <f t="shared" ca="1" si="405"/>
        <v>0</v>
      </c>
      <c r="ES252" s="171">
        <f t="shared" ca="1" si="406"/>
        <v>0</v>
      </c>
    </row>
    <row r="253" spans="3:149">
      <c r="C253" s="214"/>
      <c r="L253" s="163"/>
      <c r="M253" s="164" t="str">
        <f t="shared" si="337"/>
        <v/>
      </c>
      <c r="N253" s="164" t="str">
        <f t="shared" si="338"/>
        <v/>
      </c>
      <c r="O253" s="165" t="str">
        <f t="shared" si="339"/>
        <v/>
      </c>
      <c r="R253" s="168"/>
      <c r="U253" s="171">
        <f t="shared" si="340"/>
        <v>0</v>
      </c>
      <c r="V253" s="171">
        <f t="shared" ca="1" si="341"/>
        <v>0</v>
      </c>
      <c r="W253" s="171">
        <f t="shared" ca="1" si="342"/>
        <v>0</v>
      </c>
      <c r="X253" s="172">
        <f t="shared" si="343"/>
        <v>0</v>
      </c>
      <c r="Y253" s="172" t="str">
        <f t="shared" si="344"/>
        <v/>
      </c>
      <c r="Z253" s="173">
        <f t="shared" si="345"/>
        <v>0</v>
      </c>
      <c r="AA253" s="171">
        <f t="shared" si="407"/>
        <v>0</v>
      </c>
      <c r="AB253" s="171">
        <f t="shared" si="407"/>
        <v>0</v>
      </c>
      <c r="AC253" s="171">
        <f t="shared" si="407"/>
        <v>0</v>
      </c>
      <c r="AD253" s="171">
        <f t="shared" si="407"/>
        <v>0</v>
      </c>
      <c r="AE253" s="171">
        <f t="shared" si="407"/>
        <v>0</v>
      </c>
      <c r="AF253" s="171">
        <f t="shared" si="407"/>
        <v>0</v>
      </c>
      <c r="AG253" s="171">
        <f t="shared" si="407"/>
        <v>0</v>
      </c>
      <c r="AH253" s="171">
        <f t="shared" si="407"/>
        <v>0</v>
      </c>
      <c r="AI253" s="171">
        <f t="shared" si="407"/>
        <v>0</v>
      </c>
      <c r="AJ253" s="171">
        <f t="shared" si="407"/>
        <v>0</v>
      </c>
      <c r="AK253" s="171">
        <f t="shared" si="408"/>
        <v>0</v>
      </c>
      <c r="AL253" s="171">
        <f t="shared" si="408"/>
        <v>0</v>
      </c>
      <c r="AM253" s="171">
        <f t="shared" si="408"/>
        <v>0</v>
      </c>
      <c r="AN253" s="171">
        <f t="shared" si="408"/>
        <v>0</v>
      </c>
      <c r="AO253" s="171">
        <f t="shared" si="408"/>
        <v>0</v>
      </c>
      <c r="AP253" s="171">
        <f t="shared" si="408"/>
        <v>0</v>
      </c>
      <c r="AQ253" s="171">
        <f t="shared" si="408"/>
        <v>0</v>
      </c>
      <c r="AR253" s="171">
        <f t="shared" si="408"/>
        <v>0</v>
      </c>
      <c r="AS253" s="171">
        <f t="shared" si="408"/>
        <v>0</v>
      </c>
      <c r="AT253" s="171">
        <f t="shared" si="408"/>
        <v>0</v>
      </c>
      <c r="AU253" s="171">
        <f t="shared" si="409"/>
        <v>0</v>
      </c>
      <c r="AV253" s="171">
        <f t="shared" si="409"/>
        <v>0</v>
      </c>
      <c r="AW253" s="171">
        <f t="shared" si="409"/>
        <v>0</v>
      </c>
      <c r="AX253" s="171">
        <f t="shared" si="409"/>
        <v>0</v>
      </c>
      <c r="AY253" s="171">
        <f t="shared" si="409"/>
        <v>0</v>
      </c>
      <c r="AZ253" s="171">
        <f t="shared" si="409"/>
        <v>0</v>
      </c>
      <c r="BA253" s="171">
        <f t="shared" si="409"/>
        <v>0</v>
      </c>
      <c r="BB253" s="171">
        <f t="shared" si="409"/>
        <v>0</v>
      </c>
      <c r="BC253" s="171">
        <f t="shared" si="409"/>
        <v>0</v>
      </c>
      <c r="BD253" s="171">
        <f t="shared" si="409"/>
        <v>0</v>
      </c>
      <c r="BE253" s="171">
        <f t="shared" si="410"/>
        <v>0</v>
      </c>
      <c r="BF253" s="171">
        <f t="shared" si="410"/>
        <v>0</v>
      </c>
      <c r="BG253" s="171">
        <f t="shared" si="410"/>
        <v>0</v>
      </c>
      <c r="BH253" s="171">
        <f t="shared" si="410"/>
        <v>0</v>
      </c>
      <c r="BI253" s="171">
        <f t="shared" si="410"/>
        <v>0</v>
      </c>
      <c r="BJ253" s="171">
        <f t="shared" si="410"/>
        <v>0</v>
      </c>
      <c r="BK253" s="171">
        <f t="shared" si="410"/>
        <v>0</v>
      </c>
      <c r="BL253" s="171">
        <f t="shared" si="410"/>
        <v>0</v>
      </c>
      <c r="BM253" s="171">
        <f t="shared" si="410"/>
        <v>0</v>
      </c>
      <c r="BN253" s="171">
        <f t="shared" si="410"/>
        <v>0</v>
      </c>
      <c r="BO253" s="171">
        <f t="shared" si="411"/>
        <v>0</v>
      </c>
      <c r="BP253" s="171">
        <f t="shared" si="411"/>
        <v>0</v>
      </c>
      <c r="BQ253" s="171">
        <f t="shared" si="411"/>
        <v>0</v>
      </c>
      <c r="BR253" s="171">
        <f t="shared" si="411"/>
        <v>0</v>
      </c>
      <c r="BS253" s="171">
        <f t="shared" si="411"/>
        <v>0</v>
      </c>
      <c r="BT253" s="171">
        <f t="shared" si="411"/>
        <v>0</v>
      </c>
      <c r="BU253" s="171">
        <f t="shared" si="411"/>
        <v>0</v>
      </c>
      <c r="BV253" s="171">
        <f t="shared" si="411"/>
        <v>0</v>
      </c>
      <c r="BW253" s="171">
        <f t="shared" si="411"/>
        <v>0</v>
      </c>
      <c r="BX253" s="171">
        <f t="shared" si="411"/>
        <v>0</v>
      </c>
      <c r="BY253" s="171">
        <f t="shared" si="412"/>
        <v>0</v>
      </c>
      <c r="BZ253" s="171">
        <f t="shared" si="412"/>
        <v>0</v>
      </c>
      <c r="CA253" s="171">
        <f t="shared" si="412"/>
        <v>0</v>
      </c>
      <c r="CB253" s="171">
        <f t="shared" si="412"/>
        <v>0</v>
      </c>
      <c r="CC253" s="171">
        <f t="shared" si="412"/>
        <v>0</v>
      </c>
      <c r="CD253" s="171">
        <f t="shared" si="412"/>
        <v>0</v>
      </c>
      <c r="CE253" s="171">
        <f t="shared" si="412"/>
        <v>0</v>
      </c>
      <c r="CF253" s="171">
        <f t="shared" si="412"/>
        <v>0</v>
      </c>
      <c r="CG253" s="171">
        <f t="shared" si="412"/>
        <v>0</v>
      </c>
      <c r="CH253" s="171">
        <f t="shared" si="412"/>
        <v>0</v>
      </c>
      <c r="CI253" s="171">
        <f t="shared" si="412"/>
        <v>0</v>
      </c>
      <c r="CJ253" s="243"/>
      <c r="CK253" s="171">
        <f t="shared" si="346"/>
        <v>0</v>
      </c>
      <c r="CL253" s="171">
        <f t="shared" si="347"/>
        <v>0</v>
      </c>
      <c r="CM253" s="171">
        <f t="shared" si="348"/>
        <v>0</v>
      </c>
      <c r="CN253" s="171">
        <f t="shared" si="349"/>
        <v>0</v>
      </c>
      <c r="CO253" s="171">
        <f t="shared" si="350"/>
        <v>0</v>
      </c>
      <c r="CP253" s="171">
        <f t="shared" si="351"/>
        <v>0</v>
      </c>
      <c r="CQ253" s="171">
        <f t="shared" si="352"/>
        <v>0</v>
      </c>
      <c r="CR253" s="171">
        <f t="shared" si="353"/>
        <v>0</v>
      </c>
      <c r="CS253" s="171">
        <f t="shared" si="354"/>
        <v>0</v>
      </c>
      <c r="CT253" s="171">
        <f t="shared" si="355"/>
        <v>0</v>
      </c>
      <c r="CU253" s="171">
        <f t="shared" si="356"/>
        <v>0</v>
      </c>
      <c r="CV253" s="171">
        <f t="shared" si="357"/>
        <v>0</v>
      </c>
      <c r="CW253" s="171">
        <f t="shared" si="358"/>
        <v>0</v>
      </c>
      <c r="CX253" s="171">
        <f t="shared" si="359"/>
        <v>0</v>
      </c>
      <c r="CY253" s="171">
        <f t="shared" ca="1" si="360"/>
        <v>0</v>
      </c>
      <c r="CZ253" s="171">
        <f t="shared" ca="1" si="361"/>
        <v>0</v>
      </c>
      <c r="DA253" s="171">
        <f t="shared" ca="1" si="362"/>
        <v>0</v>
      </c>
      <c r="DB253" s="171">
        <f t="shared" ca="1" si="363"/>
        <v>0</v>
      </c>
      <c r="DC253" s="171">
        <f t="shared" ca="1" si="364"/>
        <v>0</v>
      </c>
      <c r="DD253" s="171">
        <f t="shared" ca="1" si="365"/>
        <v>0</v>
      </c>
      <c r="DE253" s="171">
        <f t="shared" ca="1" si="366"/>
        <v>0</v>
      </c>
      <c r="DF253" s="171">
        <f t="shared" ca="1" si="367"/>
        <v>0</v>
      </c>
      <c r="DG253" s="171">
        <f t="shared" ca="1" si="368"/>
        <v>0</v>
      </c>
      <c r="DH253" s="171">
        <f t="shared" ca="1" si="369"/>
        <v>0</v>
      </c>
      <c r="DI253" s="171">
        <f t="shared" ca="1" si="370"/>
        <v>0</v>
      </c>
      <c r="DJ253" s="171">
        <f t="shared" ca="1" si="371"/>
        <v>0</v>
      </c>
      <c r="DK253" s="171">
        <f t="shared" ca="1" si="372"/>
        <v>0</v>
      </c>
      <c r="DL253" s="171">
        <f t="shared" ca="1" si="373"/>
        <v>0</v>
      </c>
      <c r="DM253" s="171">
        <f t="shared" ca="1" si="374"/>
        <v>0</v>
      </c>
      <c r="DN253" s="171">
        <f t="shared" ca="1" si="375"/>
        <v>0</v>
      </c>
      <c r="DO253" s="171">
        <f t="shared" ca="1" si="376"/>
        <v>0</v>
      </c>
      <c r="DP253" s="171">
        <f t="shared" ca="1" si="377"/>
        <v>0</v>
      </c>
      <c r="DQ253" s="171">
        <f t="shared" ca="1" si="378"/>
        <v>0</v>
      </c>
      <c r="DR253" s="171">
        <f t="shared" ca="1" si="379"/>
        <v>0</v>
      </c>
      <c r="DS253" s="171">
        <f t="shared" ca="1" si="380"/>
        <v>0</v>
      </c>
      <c r="DT253" s="171">
        <f t="shared" ca="1" si="381"/>
        <v>0</v>
      </c>
      <c r="DU253" s="171">
        <f t="shared" ca="1" si="382"/>
        <v>0</v>
      </c>
      <c r="DV253" s="171">
        <f t="shared" ca="1" si="383"/>
        <v>0</v>
      </c>
      <c r="DW253" s="171">
        <f t="shared" ca="1" si="384"/>
        <v>0</v>
      </c>
      <c r="DX253" s="171">
        <f t="shared" ca="1" si="385"/>
        <v>0</v>
      </c>
      <c r="DY253" s="171">
        <f t="shared" ca="1" si="386"/>
        <v>0</v>
      </c>
      <c r="DZ253" s="171">
        <f t="shared" ca="1" si="387"/>
        <v>0</v>
      </c>
      <c r="EA253" s="171">
        <f t="shared" ca="1" si="388"/>
        <v>0</v>
      </c>
      <c r="EB253" s="171">
        <f t="shared" ca="1" si="389"/>
        <v>0</v>
      </c>
      <c r="EC253" s="171">
        <f t="shared" ca="1" si="390"/>
        <v>0</v>
      </c>
      <c r="ED253" s="171">
        <f t="shared" ca="1" si="391"/>
        <v>0</v>
      </c>
      <c r="EE253" s="171">
        <f t="shared" ca="1" si="392"/>
        <v>0</v>
      </c>
      <c r="EF253" s="171">
        <f t="shared" ca="1" si="393"/>
        <v>0</v>
      </c>
      <c r="EG253" s="171">
        <f t="shared" ca="1" si="394"/>
        <v>0</v>
      </c>
      <c r="EH253" s="171">
        <f t="shared" ca="1" si="395"/>
        <v>0</v>
      </c>
      <c r="EI253" s="171">
        <f t="shared" ca="1" si="396"/>
        <v>0</v>
      </c>
      <c r="EJ253" s="171">
        <f t="shared" ca="1" si="397"/>
        <v>0</v>
      </c>
      <c r="EK253" s="171">
        <f t="shared" ca="1" si="398"/>
        <v>0</v>
      </c>
      <c r="EL253" s="171">
        <f t="shared" ca="1" si="399"/>
        <v>0</v>
      </c>
      <c r="EM253" s="171">
        <f t="shared" ca="1" si="400"/>
        <v>0</v>
      </c>
      <c r="EN253" s="171">
        <f t="shared" ca="1" si="401"/>
        <v>0</v>
      </c>
      <c r="EO253" s="171">
        <f t="shared" ca="1" si="402"/>
        <v>0</v>
      </c>
      <c r="EP253" s="171">
        <f t="shared" ca="1" si="403"/>
        <v>0</v>
      </c>
      <c r="EQ253" s="171">
        <f t="shared" ca="1" si="404"/>
        <v>0</v>
      </c>
      <c r="ER253" s="171">
        <f t="shared" ca="1" si="405"/>
        <v>0</v>
      </c>
      <c r="ES253" s="171">
        <f t="shared" ca="1" si="406"/>
        <v>0</v>
      </c>
    </row>
    <row r="254" spans="3:149">
      <c r="C254" s="214"/>
      <c r="L254" s="163"/>
      <c r="M254" s="164" t="str">
        <f t="shared" si="337"/>
        <v/>
      </c>
      <c r="N254" s="164" t="str">
        <f t="shared" si="338"/>
        <v/>
      </c>
      <c r="O254" s="165" t="str">
        <f t="shared" si="339"/>
        <v/>
      </c>
      <c r="R254" s="168"/>
      <c r="U254" s="171">
        <f t="shared" si="340"/>
        <v>0</v>
      </c>
      <c r="V254" s="171">
        <f t="shared" ca="1" si="341"/>
        <v>0</v>
      </c>
      <c r="W254" s="171">
        <f t="shared" ca="1" si="342"/>
        <v>0</v>
      </c>
      <c r="X254" s="172">
        <f t="shared" si="343"/>
        <v>0</v>
      </c>
      <c r="Y254" s="172" t="str">
        <f t="shared" si="344"/>
        <v/>
      </c>
      <c r="Z254" s="173">
        <f t="shared" si="345"/>
        <v>0</v>
      </c>
      <c r="AA254" s="171">
        <f t="shared" si="407"/>
        <v>0</v>
      </c>
      <c r="AB254" s="171">
        <f t="shared" si="407"/>
        <v>0</v>
      </c>
      <c r="AC254" s="171">
        <f t="shared" si="407"/>
        <v>0</v>
      </c>
      <c r="AD254" s="171">
        <f t="shared" si="407"/>
        <v>0</v>
      </c>
      <c r="AE254" s="171">
        <f t="shared" si="407"/>
        <v>0</v>
      </c>
      <c r="AF254" s="171">
        <f t="shared" si="407"/>
        <v>0</v>
      </c>
      <c r="AG254" s="171">
        <f t="shared" si="407"/>
        <v>0</v>
      </c>
      <c r="AH254" s="171">
        <f t="shared" si="407"/>
        <v>0</v>
      </c>
      <c r="AI254" s="171">
        <f t="shared" si="407"/>
        <v>0</v>
      </c>
      <c r="AJ254" s="171">
        <f t="shared" si="407"/>
        <v>0</v>
      </c>
      <c r="AK254" s="171">
        <f t="shared" si="408"/>
        <v>0</v>
      </c>
      <c r="AL254" s="171">
        <f t="shared" si="408"/>
        <v>0</v>
      </c>
      <c r="AM254" s="171">
        <f t="shared" si="408"/>
        <v>0</v>
      </c>
      <c r="AN254" s="171">
        <f t="shared" si="408"/>
        <v>0</v>
      </c>
      <c r="AO254" s="171">
        <f t="shared" si="408"/>
        <v>0</v>
      </c>
      <c r="AP254" s="171">
        <f t="shared" si="408"/>
        <v>0</v>
      </c>
      <c r="AQ254" s="171">
        <f t="shared" si="408"/>
        <v>0</v>
      </c>
      <c r="AR254" s="171">
        <f t="shared" si="408"/>
        <v>0</v>
      </c>
      <c r="AS254" s="171">
        <f t="shared" si="408"/>
        <v>0</v>
      </c>
      <c r="AT254" s="171">
        <f t="shared" si="408"/>
        <v>0</v>
      </c>
      <c r="AU254" s="171">
        <f t="shared" si="409"/>
        <v>0</v>
      </c>
      <c r="AV254" s="171">
        <f t="shared" si="409"/>
        <v>0</v>
      </c>
      <c r="AW254" s="171">
        <f t="shared" si="409"/>
        <v>0</v>
      </c>
      <c r="AX254" s="171">
        <f t="shared" si="409"/>
        <v>0</v>
      </c>
      <c r="AY254" s="171">
        <f t="shared" si="409"/>
        <v>0</v>
      </c>
      <c r="AZ254" s="171">
        <f t="shared" si="409"/>
        <v>0</v>
      </c>
      <c r="BA254" s="171">
        <f t="shared" si="409"/>
        <v>0</v>
      </c>
      <c r="BB254" s="171">
        <f t="shared" si="409"/>
        <v>0</v>
      </c>
      <c r="BC254" s="171">
        <f t="shared" si="409"/>
        <v>0</v>
      </c>
      <c r="BD254" s="171">
        <f t="shared" si="409"/>
        <v>0</v>
      </c>
      <c r="BE254" s="171">
        <f t="shared" si="410"/>
        <v>0</v>
      </c>
      <c r="BF254" s="171">
        <f t="shared" si="410"/>
        <v>0</v>
      </c>
      <c r="BG254" s="171">
        <f t="shared" si="410"/>
        <v>0</v>
      </c>
      <c r="BH254" s="171">
        <f t="shared" si="410"/>
        <v>0</v>
      </c>
      <c r="BI254" s="171">
        <f t="shared" si="410"/>
        <v>0</v>
      </c>
      <c r="BJ254" s="171">
        <f t="shared" si="410"/>
        <v>0</v>
      </c>
      <c r="BK254" s="171">
        <f t="shared" si="410"/>
        <v>0</v>
      </c>
      <c r="BL254" s="171">
        <f t="shared" si="410"/>
        <v>0</v>
      </c>
      <c r="BM254" s="171">
        <f t="shared" si="410"/>
        <v>0</v>
      </c>
      <c r="BN254" s="171">
        <f t="shared" si="410"/>
        <v>0</v>
      </c>
      <c r="BO254" s="171">
        <f t="shared" si="411"/>
        <v>0</v>
      </c>
      <c r="BP254" s="171">
        <f t="shared" si="411"/>
        <v>0</v>
      </c>
      <c r="BQ254" s="171">
        <f t="shared" si="411"/>
        <v>0</v>
      </c>
      <c r="BR254" s="171">
        <f t="shared" si="411"/>
        <v>0</v>
      </c>
      <c r="BS254" s="171">
        <f t="shared" si="411"/>
        <v>0</v>
      </c>
      <c r="BT254" s="171">
        <f t="shared" si="411"/>
        <v>0</v>
      </c>
      <c r="BU254" s="171">
        <f t="shared" si="411"/>
        <v>0</v>
      </c>
      <c r="BV254" s="171">
        <f t="shared" si="411"/>
        <v>0</v>
      </c>
      <c r="BW254" s="171">
        <f t="shared" si="411"/>
        <v>0</v>
      </c>
      <c r="BX254" s="171">
        <f t="shared" si="411"/>
        <v>0</v>
      </c>
      <c r="BY254" s="171">
        <f t="shared" si="412"/>
        <v>0</v>
      </c>
      <c r="BZ254" s="171">
        <f t="shared" si="412"/>
        <v>0</v>
      </c>
      <c r="CA254" s="171">
        <f t="shared" si="412"/>
        <v>0</v>
      </c>
      <c r="CB254" s="171">
        <f t="shared" si="412"/>
        <v>0</v>
      </c>
      <c r="CC254" s="171">
        <f t="shared" si="412"/>
        <v>0</v>
      </c>
      <c r="CD254" s="171">
        <f t="shared" si="412"/>
        <v>0</v>
      </c>
      <c r="CE254" s="171">
        <f t="shared" si="412"/>
        <v>0</v>
      </c>
      <c r="CF254" s="171">
        <f t="shared" si="412"/>
        <v>0</v>
      </c>
      <c r="CG254" s="171">
        <f t="shared" si="412"/>
        <v>0</v>
      </c>
      <c r="CH254" s="171">
        <f t="shared" si="412"/>
        <v>0</v>
      </c>
      <c r="CI254" s="171">
        <f t="shared" si="412"/>
        <v>0</v>
      </c>
      <c r="CJ254" s="243"/>
      <c r="CK254" s="171">
        <f t="shared" si="346"/>
        <v>0</v>
      </c>
      <c r="CL254" s="171">
        <f t="shared" si="347"/>
        <v>0</v>
      </c>
      <c r="CM254" s="171">
        <f t="shared" si="348"/>
        <v>0</v>
      </c>
      <c r="CN254" s="171">
        <f t="shared" si="349"/>
        <v>0</v>
      </c>
      <c r="CO254" s="171">
        <f t="shared" si="350"/>
        <v>0</v>
      </c>
      <c r="CP254" s="171">
        <f t="shared" si="351"/>
        <v>0</v>
      </c>
      <c r="CQ254" s="171">
        <f t="shared" si="352"/>
        <v>0</v>
      </c>
      <c r="CR254" s="171">
        <f t="shared" si="353"/>
        <v>0</v>
      </c>
      <c r="CS254" s="171">
        <f t="shared" si="354"/>
        <v>0</v>
      </c>
      <c r="CT254" s="171">
        <f t="shared" si="355"/>
        <v>0</v>
      </c>
      <c r="CU254" s="171">
        <f t="shared" si="356"/>
        <v>0</v>
      </c>
      <c r="CV254" s="171">
        <f t="shared" si="357"/>
        <v>0</v>
      </c>
      <c r="CW254" s="171">
        <f t="shared" si="358"/>
        <v>0</v>
      </c>
      <c r="CX254" s="171">
        <f t="shared" si="359"/>
        <v>0</v>
      </c>
      <c r="CY254" s="171">
        <f t="shared" ca="1" si="360"/>
        <v>0</v>
      </c>
      <c r="CZ254" s="171">
        <f t="shared" ca="1" si="361"/>
        <v>0</v>
      </c>
      <c r="DA254" s="171">
        <f t="shared" ca="1" si="362"/>
        <v>0</v>
      </c>
      <c r="DB254" s="171">
        <f t="shared" ca="1" si="363"/>
        <v>0</v>
      </c>
      <c r="DC254" s="171">
        <f t="shared" ca="1" si="364"/>
        <v>0</v>
      </c>
      <c r="DD254" s="171">
        <f t="shared" ca="1" si="365"/>
        <v>0</v>
      </c>
      <c r="DE254" s="171">
        <f t="shared" ca="1" si="366"/>
        <v>0</v>
      </c>
      <c r="DF254" s="171">
        <f t="shared" ca="1" si="367"/>
        <v>0</v>
      </c>
      <c r="DG254" s="171">
        <f t="shared" ca="1" si="368"/>
        <v>0</v>
      </c>
      <c r="DH254" s="171">
        <f t="shared" ca="1" si="369"/>
        <v>0</v>
      </c>
      <c r="DI254" s="171">
        <f t="shared" ca="1" si="370"/>
        <v>0</v>
      </c>
      <c r="DJ254" s="171">
        <f t="shared" ca="1" si="371"/>
        <v>0</v>
      </c>
      <c r="DK254" s="171">
        <f t="shared" ca="1" si="372"/>
        <v>0</v>
      </c>
      <c r="DL254" s="171">
        <f t="shared" ca="1" si="373"/>
        <v>0</v>
      </c>
      <c r="DM254" s="171">
        <f t="shared" ca="1" si="374"/>
        <v>0</v>
      </c>
      <c r="DN254" s="171">
        <f t="shared" ca="1" si="375"/>
        <v>0</v>
      </c>
      <c r="DO254" s="171">
        <f t="shared" ca="1" si="376"/>
        <v>0</v>
      </c>
      <c r="DP254" s="171">
        <f t="shared" ca="1" si="377"/>
        <v>0</v>
      </c>
      <c r="DQ254" s="171">
        <f t="shared" ca="1" si="378"/>
        <v>0</v>
      </c>
      <c r="DR254" s="171">
        <f t="shared" ca="1" si="379"/>
        <v>0</v>
      </c>
      <c r="DS254" s="171">
        <f t="shared" ca="1" si="380"/>
        <v>0</v>
      </c>
      <c r="DT254" s="171">
        <f t="shared" ca="1" si="381"/>
        <v>0</v>
      </c>
      <c r="DU254" s="171">
        <f t="shared" ca="1" si="382"/>
        <v>0</v>
      </c>
      <c r="DV254" s="171">
        <f t="shared" ca="1" si="383"/>
        <v>0</v>
      </c>
      <c r="DW254" s="171">
        <f t="shared" ca="1" si="384"/>
        <v>0</v>
      </c>
      <c r="DX254" s="171">
        <f t="shared" ca="1" si="385"/>
        <v>0</v>
      </c>
      <c r="DY254" s="171">
        <f t="shared" ca="1" si="386"/>
        <v>0</v>
      </c>
      <c r="DZ254" s="171">
        <f t="shared" ca="1" si="387"/>
        <v>0</v>
      </c>
      <c r="EA254" s="171">
        <f t="shared" ca="1" si="388"/>
        <v>0</v>
      </c>
      <c r="EB254" s="171">
        <f t="shared" ca="1" si="389"/>
        <v>0</v>
      </c>
      <c r="EC254" s="171">
        <f t="shared" ca="1" si="390"/>
        <v>0</v>
      </c>
      <c r="ED254" s="171">
        <f t="shared" ca="1" si="391"/>
        <v>0</v>
      </c>
      <c r="EE254" s="171">
        <f t="shared" ca="1" si="392"/>
        <v>0</v>
      </c>
      <c r="EF254" s="171">
        <f t="shared" ca="1" si="393"/>
        <v>0</v>
      </c>
      <c r="EG254" s="171">
        <f t="shared" ca="1" si="394"/>
        <v>0</v>
      </c>
      <c r="EH254" s="171">
        <f t="shared" ca="1" si="395"/>
        <v>0</v>
      </c>
      <c r="EI254" s="171">
        <f t="shared" ca="1" si="396"/>
        <v>0</v>
      </c>
      <c r="EJ254" s="171">
        <f t="shared" ca="1" si="397"/>
        <v>0</v>
      </c>
      <c r="EK254" s="171">
        <f t="shared" ca="1" si="398"/>
        <v>0</v>
      </c>
      <c r="EL254" s="171">
        <f t="shared" ca="1" si="399"/>
        <v>0</v>
      </c>
      <c r="EM254" s="171">
        <f t="shared" ca="1" si="400"/>
        <v>0</v>
      </c>
      <c r="EN254" s="171">
        <f t="shared" ca="1" si="401"/>
        <v>0</v>
      </c>
      <c r="EO254" s="171">
        <f t="shared" ca="1" si="402"/>
        <v>0</v>
      </c>
      <c r="EP254" s="171">
        <f t="shared" ca="1" si="403"/>
        <v>0</v>
      </c>
      <c r="EQ254" s="171">
        <f t="shared" ca="1" si="404"/>
        <v>0</v>
      </c>
      <c r="ER254" s="171">
        <f t="shared" ca="1" si="405"/>
        <v>0</v>
      </c>
      <c r="ES254" s="171">
        <f t="shared" ca="1" si="406"/>
        <v>0</v>
      </c>
    </row>
    <row r="255" spans="3:149">
      <c r="C255" s="214"/>
      <c r="L255" s="163"/>
      <c r="M255" s="164" t="str">
        <f t="shared" si="337"/>
        <v/>
      </c>
      <c r="N255" s="164" t="str">
        <f t="shared" si="338"/>
        <v/>
      </c>
      <c r="O255" s="165" t="str">
        <f t="shared" si="339"/>
        <v/>
      </c>
      <c r="R255" s="168"/>
      <c r="U255" s="171">
        <f t="shared" si="340"/>
        <v>0</v>
      </c>
      <c r="V255" s="171">
        <f t="shared" ca="1" si="341"/>
        <v>0</v>
      </c>
      <c r="W255" s="171">
        <f t="shared" ca="1" si="342"/>
        <v>0</v>
      </c>
      <c r="X255" s="172">
        <f t="shared" si="343"/>
        <v>0</v>
      </c>
      <c r="Y255" s="172" t="str">
        <f t="shared" si="344"/>
        <v/>
      </c>
      <c r="Z255" s="173">
        <f t="shared" si="345"/>
        <v>0</v>
      </c>
      <c r="AA255" s="171">
        <f t="shared" si="407"/>
        <v>0</v>
      </c>
      <c r="AB255" s="171">
        <f t="shared" si="407"/>
        <v>0</v>
      </c>
      <c r="AC255" s="171">
        <f t="shared" si="407"/>
        <v>0</v>
      </c>
      <c r="AD255" s="171">
        <f t="shared" si="407"/>
        <v>0</v>
      </c>
      <c r="AE255" s="171">
        <f t="shared" si="407"/>
        <v>0</v>
      </c>
      <c r="AF255" s="171">
        <f t="shared" si="407"/>
        <v>0</v>
      </c>
      <c r="AG255" s="171">
        <f t="shared" si="407"/>
        <v>0</v>
      </c>
      <c r="AH255" s="171">
        <f t="shared" si="407"/>
        <v>0</v>
      </c>
      <c r="AI255" s="171">
        <f t="shared" si="407"/>
        <v>0</v>
      </c>
      <c r="AJ255" s="171">
        <f t="shared" si="407"/>
        <v>0</v>
      </c>
      <c r="AK255" s="171">
        <f t="shared" si="408"/>
        <v>0</v>
      </c>
      <c r="AL255" s="171">
        <f t="shared" si="408"/>
        <v>0</v>
      </c>
      <c r="AM255" s="171">
        <f t="shared" si="408"/>
        <v>0</v>
      </c>
      <c r="AN255" s="171">
        <f t="shared" si="408"/>
        <v>0</v>
      </c>
      <c r="AO255" s="171">
        <f t="shared" si="408"/>
        <v>0</v>
      </c>
      <c r="AP255" s="171">
        <f t="shared" si="408"/>
        <v>0</v>
      </c>
      <c r="AQ255" s="171">
        <f t="shared" si="408"/>
        <v>0</v>
      </c>
      <c r="AR255" s="171">
        <f t="shared" si="408"/>
        <v>0</v>
      </c>
      <c r="AS255" s="171">
        <f t="shared" si="408"/>
        <v>0</v>
      </c>
      <c r="AT255" s="171">
        <f t="shared" si="408"/>
        <v>0</v>
      </c>
      <c r="AU255" s="171">
        <f t="shared" si="409"/>
        <v>0</v>
      </c>
      <c r="AV255" s="171">
        <f t="shared" si="409"/>
        <v>0</v>
      </c>
      <c r="AW255" s="171">
        <f t="shared" si="409"/>
        <v>0</v>
      </c>
      <c r="AX255" s="171">
        <f t="shared" si="409"/>
        <v>0</v>
      </c>
      <c r="AY255" s="171">
        <f t="shared" si="409"/>
        <v>0</v>
      </c>
      <c r="AZ255" s="171">
        <f t="shared" si="409"/>
        <v>0</v>
      </c>
      <c r="BA255" s="171">
        <f t="shared" si="409"/>
        <v>0</v>
      </c>
      <c r="BB255" s="171">
        <f t="shared" si="409"/>
        <v>0</v>
      </c>
      <c r="BC255" s="171">
        <f t="shared" si="409"/>
        <v>0</v>
      </c>
      <c r="BD255" s="171">
        <f t="shared" si="409"/>
        <v>0</v>
      </c>
      <c r="BE255" s="171">
        <f t="shared" si="410"/>
        <v>0</v>
      </c>
      <c r="BF255" s="171">
        <f t="shared" si="410"/>
        <v>0</v>
      </c>
      <c r="BG255" s="171">
        <f t="shared" si="410"/>
        <v>0</v>
      </c>
      <c r="BH255" s="171">
        <f t="shared" si="410"/>
        <v>0</v>
      </c>
      <c r="BI255" s="171">
        <f t="shared" si="410"/>
        <v>0</v>
      </c>
      <c r="BJ255" s="171">
        <f t="shared" si="410"/>
        <v>0</v>
      </c>
      <c r="BK255" s="171">
        <f t="shared" si="410"/>
        <v>0</v>
      </c>
      <c r="BL255" s="171">
        <f t="shared" si="410"/>
        <v>0</v>
      </c>
      <c r="BM255" s="171">
        <f t="shared" si="410"/>
        <v>0</v>
      </c>
      <c r="BN255" s="171">
        <f t="shared" si="410"/>
        <v>0</v>
      </c>
      <c r="BO255" s="171">
        <f t="shared" si="411"/>
        <v>0</v>
      </c>
      <c r="BP255" s="171">
        <f t="shared" si="411"/>
        <v>0</v>
      </c>
      <c r="BQ255" s="171">
        <f t="shared" si="411"/>
        <v>0</v>
      </c>
      <c r="BR255" s="171">
        <f t="shared" si="411"/>
        <v>0</v>
      </c>
      <c r="BS255" s="171">
        <f t="shared" si="411"/>
        <v>0</v>
      </c>
      <c r="BT255" s="171">
        <f t="shared" si="411"/>
        <v>0</v>
      </c>
      <c r="BU255" s="171">
        <f t="shared" si="411"/>
        <v>0</v>
      </c>
      <c r="BV255" s="171">
        <f t="shared" si="411"/>
        <v>0</v>
      </c>
      <c r="BW255" s="171">
        <f t="shared" si="411"/>
        <v>0</v>
      </c>
      <c r="BX255" s="171">
        <f t="shared" si="411"/>
        <v>0</v>
      </c>
      <c r="BY255" s="171">
        <f t="shared" si="412"/>
        <v>0</v>
      </c>
      <c r="BZ255" s="171">
        <f t="shared" si="412"/>
        <v>0</v>
      </c>
      <c r="CA255" s="171">
        <f t="shared" si="412"/>
        <v>0</v>
      </c>
      <c r="CB255" s="171">
        <f t="shared" si="412"/>
        <v>0</v>
      </c>
      <c r="CC255" s="171">
        <f t="shared" si="412"/>
        <v>0</v>
      </c>
      <c r="CD255" s="171">
        <f t="shared" si="412"/>
        <v>0</v>
      </c>
      <c r="CE255" s="171">
        <f t="shared" si="412"/>
        <v>0</v>
      </c>
      <c r="CF255" s="171">
        <f t="shared" si="412"/>
        <v>0</v>
      </c>
      <c r="CG255" s="171">
        <f t="shared" si="412"/>
        <v>0</v>
      </c>
      <c r="CH255" s="171">
        <f t="shared" si="412"/>
        <v>0</v>
      </c>
      <c r="CI255" s="171">
        <f t="shared" si="412"/>
        <v>0</v>
      </c>
      <c r="CJ255" s="243"/>
      <c r="CK255" s="171">
        <f t="shared" si="346"/>
        <v>0</v>
      </c>
      <c r="CL255" s="171">
        <f t="shared" si="347"/>
        <v>0</v>
      </c>
      <c r="CM255" s="171">
        <f t="shared" si="348"/>
        <v>0</v>
      </c>
      <c r="CN255" s="171">
        <f t="shared" si="349"/>
        <v>0</v>
      </c>
      <c r="CO255" s="171">
        <f t="shared" si="350"/>
        <v>0</v>
      </c>
      <c r="CP255" s="171">
        <f t="shared" si="351"/>
        <v>0</v>
      </c>
      <c r="CQ255" s="171">
        <f t="shared" si="352"/>
        <v>0</v>
      </c>
      <c r="CR255" s="171">
        <f t="shared" si="353"/>
        <v>0</v>
      </c>
      <c r="CS255" s="171">
        <f t="shared" si="354"/>
        <v>0</v>
      </c>
      <c r="CT255" s="171">
        <f t="shared" si="355"/>
        <v>0</v>
      </c>
      <c r="CU255" s="171">
        <f t="shared" si="356"/>
        <v>0</v>
      </c>
      <c r="CV255" s="171">
        <f t="shared" si="357"/>
        <v>0</v>
      </c>
      <c r="CW255" s="171">
        <f t="shared" si="358"/>
        <v>0</v>
      </c>
      <c r="CX255" s="171">
        <f t="shared" si="359"/>
        <v>0</v>
      </c>
      <c r="CY255" s="171">
        <f t="shared" ca="1" si="360"/>
        <v>0</v>
      </c>
      <c r="CZ255" s="171">
        <f t="shared" ca="1" si="361"/>
        <v>0</v>
      </c>
      <c r="DA255" s="171">
        <f t="shared" ca="1" si="362"/>
        <v>0</v>
      </c>
      <c r="DB255" s="171">
        <f t="shared" ca="1" si="363"/>
        <v>0</v>
      </c>
      <c r="DC255" s="171">
        <f t="shared" ca="1" si="364"/>
        <v>0</v>
      </c>
      <c r="DD255" s="171">
        <f t="shared" ca="1" si="365"/>
        <v>0</v>
      </c>
      <c r="DE255" s="171">
        <f t="shared" ca="1" si="366"/>
        <v>0</v>
      </c>
      <c r="DF255" s="171">
        <f t="shared" ca="1" si="367"/>
        <v>0</v>
      </c>
      <c r="DG255" s="171">
        <f t="shared" ca="1" si="368"/>
        <v>0</v>
      </c>
      <c r="DH255" s="171">
        <f t="shared" ca="1" si="369"/>
        <v>0</v>
      </c>
      <c r="DI255" s="171">
        <f t="shared" ca="1" si="370"/>
        <v>0</v>
      </c>
      <c r="DJ255" s="171">
        <f t="shared" ca="1" si="371"/>
        <v>0</v>
      </c>
      <c r="DK255" s="171">
        <f t="shared" ca="1" si="372"/>
        <v>0</v>
      </c>
      <c r="DL255" s="171">
        <f t="shared" ca="1" si="373"/>
        <v>0</v>
      </c>
      <c r="DM255" s="171">
        <f t="shared" ca="1" si="374"/>
        <v>0</v>
      </c>
      <c r="DN255" s="171">
        <f t="shared" ca="1" si="375"/>
        <v>0</v>
      </c>
      <c r="DO255" s="171">
        <f t="shared" ca="1" si="376"/>
        <v>0</v>
      </c>
      <c r="DP255" s="171">
        <f t="shared" ca="1" si="377"/>
        <v>0</v>
      </c>
      <c r="DQ255" s="171">
        <f t="shared" ca="1" si="378"/>
        <v>0</v>
      </c>
      <c r="DR255" s="171">
        <f t="shared" ca="1" si="379"/>
        <v>0</v>
      </c>
      <c r="DS255" s="171">
        <f t="shared" ca="1" si="380"/>
        <v>0</v>
      </c>
      <c r="DT255" s="171">
        <f t="shared" ca="1" si="381"/>
        <v>0</v>
      </c>
      <c r="DU255" s="171">
        <f t="shared" ca="1" si="382"/>
        <v>0</v>
      </c>
      <c r="DV255" s="171">
        <f t="shared" ca="1" si="383"/>
        <v>0</v>
      </c>
      <c r="DW255" s="171">
        <f t="shared" ca="1" si="384"/>
        <v>0</v>
      </c>
      <c r="DX255" s="171">
        <f t="shared" ca="1" si="385"/>
        <v>0</v>
      </c>
      <c r="DY255" s="171">
        <f t="shared" ca="1" si="386"/>
        <v>0</v>
      </c>
      <c r="DZ255" s="171">
        <f t="shared" ca="1" si="387"/>
        <v>0</v>
      </c>
      <c r="EA255" s="171">
        <f t="shared" ca="1" si="388"/>
        <v>0</v>
      </c>
      <c r="EB255" s="171">
        <f t="shared" ca="1" si="389"/>
        <v>0</v>
      </c>
      <c r="EC255" s="171">
        <f t="shared" ca="1" si="390"/>
        <v>0</v>
      </c>
      <c r="ED255" s="171">
        <f t="shared" ca="1" si="391"/>
        <v>0</v>
      </c>
      <c r="EE255" s="171">
        <f t="shared" ca="1" si="392"/>
        <v>0</v>
      </c>
      <c r="EF255" s="171">
        <f t="shared" ca="1" si="393"/>
        <v>0</v>
      </c>
      <c r="EG255" s="171">
        <f t="shared" ca="1" si="394"/>
        <v>0</v>
      </c>
      <c r="EH255" s="171">
        <f t="shared" ca="1" si="395"/>
        <v>0</v>
      </c>
      <c r="EI255" s="171">
        <f t="shared" ca="1" si="396"/>
        <v>0</v>
      </c>
      <c r="EJ255" s="171">
        <f t="shared" ca="1" si="397"/>
        <v>0</v>
      </c>
      <c r="EK255" s="171">
        <f t="shared" ca="1" si="398"/>
        <v>0</v>
      </c>
      <c r="EL255" s="171">
        <f t="shared" ca="1" si="399"/>
        <v>0</v>
      </c>
      <c r="EM255" s="171">
        <f t="shared" ca="1" si="400"/>
        <v>0</v>
      </c>
      <c r="EN255" s="171">
        <f t="shared" ca="1" si="401"/>
        <v>0</v>
      </c>
      <c r="EO255" s="171">
        <f t="shared" ca="1" si="402"/>
        <v>0</v>
      </c>
      <c r="EP255" s="171">
        <f t="shared" ca="1" si="403"/>
        <v>0</v>
      </c>
      <c r="EQ255" s="171">
        <f t="shared" ca="1" si="404"/>
        <v>0</v>
      </c>
      <c r="ER255" s="171">
        <f t="shared" ca="1" si="405"/>
        <v>0</v>
      </c>
      <c r="ES255" s="171">
        <f t="shared" ca="1" si="406"/>
        <v>0</v>
      </c>
    </row>
    <row r="256" spans="3:149">
      <c r="C256" s="214"/>
      <c r="L256" s="163"/>
      <c r="M256" s="164" t="str">
        <f t="shared" si="337"/>
        <v/>
      </c>
      <c r="N256" s="164" t="str">
        <f t="shared" si="338"/>
        <v/>
      </c>
      <c r="O256" s="165" t="str">
        <f t="shared" si="339"/>
        <v/>
      </c>
      <c r="R256" s="168"/>
      <c r="U256" s="171">
        <f t="shared" si="340"/>
        <v>0</v>
      </c>
      <c r="V256" s="171">
        <f t="shared" ca="1" si="341"/>
        <v>0</v>
      </c>
      <c r="W256" s="171">
        <f t="shared" ca="1" si="342"/>
        <v>0</v>
      </c>
      <c r="X256" s="172">
        <f t="shared" si="343"/>
        <v>0</v>
      </c>
      <c r="Y256" s="172" t="str">
        <f t="shared" si="344"/>
        <v/>
      </c>
      <c r="Z256" s="173">
        <f t="shared" si="345"/>
        <v>0</v>
      </c>
      <c r="AA256" s="171">
        <f t="shared" si="407"/>
        <v>0</v>
      </c>
      <c r="AB256" s="171">
        <f t="shared" si="407"/>
        <v>0</v>
      </c>
      <c r="AC256" s="171">
        <f t="shared" si="407"/>
        <v>0</v>
      </c>
      <c r="AD256" s="171">
        <f t="shared" si="407"/>
        <v>0</v>
      </c>
      <c r="AE256" s="171">
        <f t="shared" si="407"/>
        <v>0</v>
      </c>
      <c r="AF256" s="171">
        <f t="shared" si="407"/>
        <v>0</v>
      </c>
      <c r="AG256" s="171">
        <f t="shared" si="407"/>
        <v>0</v>
      </c>
      <c r="AH256" s="171">
        <f t="shared" si="407"/>
        <v>0</v>
      </c>
      <c r="AI256" s="171">
        <f t="shared" si="407"/>
        <v>0</v>
      </c>
      <c r="AJ256" s="171">
        <f t="shared" si="407"/>
        <v>0</v>
      </c>
      <c r="AK256" s="171">
        <f t="shared" si="408"/>
        <v>0</v>
      </c>
      <c r="AL256" s="171">
        <f t="shared" si="408"/>
        <v>0</v>
      </c>
      <c r="AM256" s="171">
        <f t="shared" si="408"/>
        <v>0</v>
      </c>
      <c r="AN256" s="171">
        <f t="shared" si="408"/>
        <v>0</v>
      </c>
      <c r="AO256" s="171">
        <f t="shared" si="408"/>
        <v>0</v>
      </c>
      <c r="AP256" s="171">
        <f t="shared" si="408"/>
        <v>0</v>
      </c>
      <c r="AQ256" s="171">
        <f t="shared" si="408"/>
        <v>0</v>
      </c>
      <c r="AR256" s="171">
        <f t="shared" si="408"/>
        <v>0</v>
      </c>
      <c r="AS256" s="171">
        <f t="shared" si="408"/>
        <v>0</v>
      </c>
      <c r="AT256" s="171">
        <f t="shared" si="408"/>
        <v>0</v>
      </c>
      <c r="AU256" s="171">
        <f t="shared" si="409"/>
        <v>0</v>
      </c>
      <c r="AV256" s="171">
        <f t="shared" si="409"/>
        <v>0</v>
      </c>
      <c r="AW256" s="171">
        <f t="shared" si="409"/>
        <v>0</v>
      </c>
      <c r="AX256" s="171">
        <f t="shared" si="409"/>
        <v>0</v>
      </c>
      <c r="AY256" s="171">
        <f t="shared" si="409"/>
        <v>0</v>
      </c>
      <c r="AZ256" s="171">
        <f t="shared" si="409"/>
        <v>0</v>
      </c>
      <c r="BA256" s="171">
        <f t="shared" si="409"/>
        <v>0</v>
      </c>
      <c r="BB256" s="171">
        <f t="shared" si="409"/>
        <v>0</v>
      </c>
      <c r="BC256" s="171">
        <f t="shared" si="409"/>
        <v>0</v>
      </c>
      <c r="BD256" s="171">
        <f t="shared" si="409"/>
        <v>0</v>
      </c>
      <c r="BE256" s="171">
        <f t="shared" si="410"/>
        <v>0</v>
      </c>
      <c r="BF256" s="171">
        <f t="shared" si="410"/>
        <v>0</v>
      </c>
      <c r="BG256" s="171">
        <f t="shared" si="410"/>
        <v>0</v>
      </c>
      <c r="BH256" s="171">
        <f t="shared" si="410"/>
        <v>0</v>
      </c>
      <c r="BI256" s="171">
        <f t="shared" si="410"/>
        <v>0</v>
      </c>
      <c r="BJ256" s="171">
        <f t="shared" si="410"/>
        <v>0</v>
      </c>
      <c r="BK256" s="171">
        <f t="shared" si="410"/>
        <v>0</v>
      </c>
      <c r="BL256" s="171">
        <f t="shared" si="410"/>
        <v>0</v>
      </c>
      <c r="BM256" s="171">
        <f t="shared" si="410"/>
        <v>0</v>
      </c>
      <c r="BN256" s="171">
        <f t="shared" si="410"/>
        <v>0</v>
      </c>
      <c r="BO256" s="171">
        <f t="shared" si="411"/>
        <v>0</v>
      </c>
      <c r="BP256" s="171">
        <f t="shared" si="411"/>
        <v>0</v>
      </c>
      <c r="BQ256" s="171">
        <f t="shared" si="411"/>
        <v>0</v>
      </c>
      <c r="BR256" s="171">
        <f t="shared" si="411"/>
        <v>0</v>
      </c>
      <c r="BS256" s="171">
        <f t="shared" si="411"/>
        <v>0</v>
      </c>
      <c r="BT256" s="171">
        <f t="shared" si="411"/>
        <v>0</v>
      </c>
      <c r="BU256" s="171">
        <f t="shared" si="411"/>
        <v>0</v>
      </c>
      <c r="BV256" s="171">
        <f t="shared" si="411"/>
        <v>0</v>
      </c>
      <c r="BW256" s="171">
        <f t="shared" si="411"/>
        <v>0</v>
      </c>
      <c r="BX256" s="171">
        <f t="shared" si="411"/>
        <v>0</v>
      </c>
      <c r="BY256" s="171">
        <f t="shared" si="412"/>
        <v>0</v>
      </c>
      <c r="BZ256" s="171">
        <f t="shared" si="412"/>
        <v>0</v>
      </c>
      <c r="CA256" s="171">
        <f t="shared" si="412"/>
        <v>0</v>
      </c>
      <c r="CB256" s="171">
        <f t="shared" si="412"/>
        <v>0</v>
      </c>
      <c r="CC256" s="171">
        <f t="shared" si="412"/>
        <v>0</v>
      </c>
      <c r="CD256" s="171">
        <f t="shared" si="412"/>
        <v>0</v>
      </c>
      <c r="CE256" s="171">
        <f t="shared" si="412"/>
        <v>0</v>
      </c>
      <c r="CF256" s="171">
        <f t="shared" si="412"/>
        <v>0</v>
      </c>
      <c r="CG256" s="171">
        <f t="shared" si="412"/>
        <v>0</v>
      </c>
      <c r="CH256" s="171">
        <f t="shared" si="412"/>
        <v>0</v>
      </c>
      <c r="CI256" s="171">
        <f t="shared" si="412"/>
        <v>0</v>
      </c>
      <c r="CJ256" s="243"/>
      <c r="CK256" s="171">
        <f t="shared" si="346"/>
        <v>0</v>
      </c>
      <c r="CL256" s="171">
        <f t="shared" si="347"/>
        <v>0</v>
      </c>
      <c r="CM256" s="171">
        <f t="shared" si="348"/>
        <v>0</v>
      </c>
      <c r="CN256" s="171">
        <f t="shared" si="349"/>
        <v>0</v>
      </c>
      <c r="CO256" s="171">
        <f t="shared" si="350"/>
        <v>0</v>
      </c>
      <c r="CP256" s="171">
        <f t="shared" si="351"/>
        <v>0</v>
      </c>
      <c r="CQ256" s="171">
        <f t="shared" si="352"/>
        <v>0</v>
      </c>
      <c r="CR256" s="171">
        <f t="shared" si="353"/>
        <v>0</v>
      </c>
      <c r="CS256" s="171">
        <f t="shared" si="354"/>
        <v>0</v>
      </c>
      <c r="CT256" s="171">
        <f t="shared" si="355"/>
        <v>0</v>
      </c>
      <c r="CU256" s="171">
        <f t="shared" si="356"/>
        <v>0</v>
      </c>
      <c r="CV256" s="171">
        <f t="shared" si="357"/>
        <v>0</v>
      </c>
      <c r="CW256" s="171">
        <f t="shared" si="358"/>
        <v>0</v>
      </c>
      <c r="CX256" s="171">
        <f t="shared" si="359"/>
        <v>0</v>
      </c>
      <c r="CY256" s="171">
        <f t="shared" ca="1" si="360"/>
        <v>0</v>
      </c>
      <c r="CZ256" s="171">
        <f t="shared" ca="1" si="361"/>
        <v>0</v>
      </c>
      <c r="DA256" s="171">
        <f t="shared" ca="1" si="362"/>
        <v>0</v>
      </c>
      <c r="DB256" s="171">
        <f t="shared" ca="1" si="363"/>
        <v>0</v>
      </c>
      <c r="DC256" s="171">
        <f t="shared" ca="1" si="364"/>
        <v>0</v>
      </c>
      <c r="DD256" s="171">
        <f t="shared" ca="1" si="365"/>
        <v>0</v>
      </c>
      <c r="DE256" s="171">
        <f t="shared" ca="1" si="366"/>
        <v>0</v>
      </c>
      <c r="DF256" s="171">
        <f t="shared" ca="1" si="367"/>
        <v>0</v>
      </c>
      <c r="DG256" s="171">
        <f t="shared" ca="1" si="368"/>
        <v>0</v>
      </c>
      <c r="DH256" s="171">
        <f t="shared" ca="1" si="369"/>
        <v>0</v>
      </c>
      <c r="DI256" s="171">
        <f t="shared" ca="1" si="370"/>
        <v>0</v>
      </c>
      <c r="DJ256" s="171">
        <f t="shared" ca="1" si="371"/>
        <v>0</v>
      </c>
      <c r="DK256" s="171">
        <f t="shared" ca="1" si="372"/>
        <v>0</v>
      </c>
      <c r="DL256" s="171">
        <f t="shared" ca="1" si="373"/>
        <v>0</v>
      </c>
      <c r="DM256" s="171">
        <f t="shared" ca="1" si="374"/>
        <v>0</v>
      </c>
      <c r="DN256" s="171">
        <f t="shared" ca="1" si="375"/>
        <v>0</v>
      </c>
      <c r="DO256" s="171">
        <f t="shared" ca="1" si="376"/>
        <v>0</v>
      </c>
      <c r="DP256" s="171">
        <f t="shared" ca="1" si="377"/>
        <v>0</v>
      </c>
      <c r="DQ256" s="171">
        <f t="shared" ca="1" si="378"/>
        <v>0</v>
      </c>
      <c r="DR256" s="171">
        <f t="shared" ca="1" si="379"/>
        <v>0</v>
      </c>
      <c r="DS256" s="171">
        <f t="shared" ca="1" si="380"/>
        <v>0</v>
      </c>
      <c r="DT256" s="171">
        <f t="shared" ca="1" si="381"/>
        <v>0</v>
      </c>
      <c r="DU256" s="171">
        <f t="shared" ca="1" si="382"/>
        <v>0</v>
      </c>
      <c r="DV256" s="171">
        <f t="shared" ca="1" si="383"/>
        <v>0</v>
      </c>
      <c r="DW256" s="171">
        <f t="shared" ca="1" si="384"/>
        <v>0</v>
      </c>
      <c r="DX256" s="171">
        <f t="shared" ca="1" si="385"/>
        <v>0</v>
      </c>
      <c r="DY256" s="171">
        <f t="shared" ca="1" si="386"/>
        <v>0</v>
      </c>
      <c r="DZ256" s="171">
        <f t="shared" ca="1" si="387"/>
        <v>0</v>
      </c>
      <c r="EA256" s="171">
        <f t="shared" ca="1" si="388"/>
        <v>0</v>
      </c>
      <c r="EB256" s="171">
        <f t="shared" ca="1" si="389"/>
        <v>0</v>
      </c>
      <c r="EC256" s="171">
        <f t="shared" ca="1" si="390"/>
        <v>0</v>
      </c>
      <c r="ED256" s="171">
        <f t="shared" ca="1" si="391"/>
        <v>0</v>
      </c>
      <c r="EE256" s="171">
        <f t="shared" ca="1" si="392"/>
        <v>0</v>
      </c>
      <c r="EF256" s="171">
        <f t="shared" ca="1" si="393"/>
        <v>0</v>
      </c>
      <c r="EG256" s="171">
        <f t="shared" ca="1" si="394"/>
        <v>0</v>
      </c>
      <c r="EH256" s="171">
        <f t="shared" ca="1" si="395"/>
        <v>0</v>
      </c>
      <c r="EI256" s="171">
        <f t="shared" ca="1" si="396"/>
        <v>0</v>
      </c>
      <c r="EJ256" s="171">
        <f t="shared" ca="1" si="397"/>
        <v>0</v>
      </c>
      <c r="EK256" s="171">
        <f t="shared" ca="1" si="398"/>
        <v>0</v>
      </c>
      <c r="EL256" s="171">
        <f t="shared" ca="1" si="399"/>
        <v>0</v>
      </c>
      <c r="EM256" s="171">
        <f t="shared" ca="1" si="400"/>
        <v>0</v>
      </c>
      <c r="EN256" s="171">
        <f t="shared" ca="1" si="401"/>
        <v>0</v>
      </c>
      <c r="EO256" s="171">
        <f t="shared" ca="1" si="402"/>
        <v>0</v>
      </c>
      <c r="EP256" s="171">
        <f t="shared" ca="1" si="403"/>
        <v>0</v>
      </c>
      <c r="EQ256" s="171">
        <f t="shared" ca="1" si="404"/>
        <v>0</v>
      </c>
      <c r="ER256" s="171">
        <f t="shared" ca="1" si="405"/>
        <v>0</v>
      </c>
      <c r="ES256" s="171">
        <f t="shared" ca="1" si="406"/>
        <v>0</v>
      </c>
    </row>
    <row r="257" spans="3:149">
      <c r="C257" s="214"/>
      <c r="L257" s="163"/>
      <c r="M257" s="164" t="str">
        <f t="shared" si="337"/>
        <v/>
      </c>
      <c r="N257" s="164" t="str">
        <f t="shared" si="338"/>
        <v/>
      </c>
      <c r="O257" s="165" t="str">
        <f t="shared" si="339"/>
        <v/>
      </c>
      <c r="R257" s="168"/>
      <c r="U257" s="171">
        <f t="shared" si="340"/>
        <v>0</v>
      </c>
      <c r="V257" s="171">
        <f t="shared" ca="1" si="341"/>
        <v>0</v>
      </c>
      <c r="W257" s="171">
        <f t="shared" ca="1" si="342"/>
        <v>0</v>
      </c>
      <c r="X257" s="172">
        <f t="shared" si="343"/>
        <v>0</v>
      </c>
      <c r="Y257" s="172" t="str">
        <f t="shared" si="344"/>
        <v/>
      </c>
      <c r="Z257" s="173">
        <f t="shared" si="345"/>
        <v>0</v>
      </c>
      <c r="AA257" s="171">
        <f t="shared" si="407"/>
        <v>0</v>
      </c>
      <c r="AB257" s="171">
        <f t="shared" si="407"/>
        <v>0</v>
      </c>
      <c r="AC257" s="171">
        <f t="shared" si="407"/>
        <v>0</v>
      </c>
      <c r="AD257" s="171">
        <f t="shared" si="407"/>
        <v>0</v>
      </c>
      <c r="AE257" s="171">
        <f t="shared" si="407"/>
        <v>0</v>
      </c>
      <c r="AF257" s="171">
        <f t="shared" si="407"/>
        <v>0</v>
      </c>
      <c r="AG257" s="171">
        <f t="shared" si="407"/>
        <v>0</v>
      </c>
      <c r="AH257" s="171">
        <f t="shared" si="407"/>
        <v>0</v>
      </c>
      <c r="AI257" s="171">
        <f t="shared" si="407"/>
        <v>0</v>
      </c>
      <c r="AJ257" s="171">
        <f t="shared" si="407"/>
        <v>0</v>
      </c>
      <c r="AK257" s="171">
        <f t="shared" si="408"/>
        <v>0</v>
      </c>
      <c r="AL257" s="171">
        <f t="shared" si="408"/>
        <v>0</v>
      </c>
      <c r="AM257" s="171">
        <f t="shared" si="408"/>
        <v>0</v>
      </c>
      <c r="AN257" s="171">
        <f t="shared" si="408"/>
        <v>0</v>
      </c>
      <c r="AO257" s="171">
        <f t="shared" si="408"/>
        <v>0</v>
      </c>
      <c r="AP257" s="171">
        <f t="shared" si="408"/>
        <v>0</v>
      </c>
      <c r="AQ257" s="171">
        <f t="shared" si="408"/>
        <v>0</v>
      </c>
      <c r="AR257" s="171">
        <f t="shared" si="408"/>
        <v>0</v>
      </c>
      <c r="AS257" s="171">
        <f t="shared" si="408"/>
        <v>0</v>
      </c>
      <c r="AT257" s="171">
        <f t="shared" si="408"/>
        <v>0</v>
      </c>
      <c r="AU257" s="171">
        <f t="shared" si="409"/>
        <v>0</v>
      </c>
      <c r="AV257" s="171">
        <f t="shared" si="409"/>
        <v>0</v>
      </c>
      <c r="AW257" s="171">
        <f t="shared" si="409"/>
        <v>0</v>
      </c>
      <c r="AX257" s="171">
        <f t="shared" si="409"/>
        <v>0</v>
      </c>
      <c r="AY257" s="171">
        <f t="shared" si="409"/>
        <v>0</v>
      </c>
      <c r="AZ257" s="171">
        <f t="shared" si="409"/>
        <v>0</v>
      </c>
      <c r="BA257" s="171">
        <f t="shared" si="409"/>
        <v>0</v>
      </c>
      <c r="BB257" s="171">
        <f t="shared" si="409"/>
        <v>0</v>
      </c>
      <c r="BC257" s="171">
        <f t="shared" si="409"/>
        <v>0</v>
      </c>
      <c r="BD257" s="171">
        <f t="shared" si="409"/>
        <v>0</v>
      </c>
      <c r="BE257" s="171">
        <f t="shared" si="410"/>
        <v>0</v>
      </c>
      <c r="BF257" s="171">
        <f t="shared" si="410"/>
        <v>0</v>
      </c>
      <c r="BG257" s="171">
        <f t="shared" si="410"/>
        <v>0</v>
      </c>
      <c r="BH257" s="171">
        <f t="shared" si="410"/>
        <v>0</v>
      </c>
      <c r="BI257" s="171">
        <f t="shared" si="410"/>
        <v>0</v>
      </c>
      <c r="BJ257" s="171">
        <f t="shared" si="410"/>
        <v>0</v>
      </c>
      <c r="BK257" s="171">
        <f t="shared" si="410"/>
        <v>0</v>
      </c>
      <c r="BL257" s="171">
        <f t="shared" si="410"/>
        <v>0</v>
      </c>
      <c r="BM257" s="171">
        <f t="shared" si="410"/>
        <v>0</v>
      </c>
      <c r="BN257" s="171">
        <f t="shared" si="410"/>
        <v>0</v>
      </c>
      <c r="BO257" s="171">
        <f t="shared" si="411"/>
        <v>0</v>
      </c>
      <c r="BP257" s="171">
        <f t="shared" si="411"/>
        <v>0</v>
      </c>
      <c r="BQ257" s="171">
        <f t="shared" si="411"/>
        <v>0</v>
      </c>
      <c r="BR257" s="171">
        <f t="shared" si="411"/>
        <v>0</v>
      </c>
      <c r="BS257" s="171">
        <f t="shared" si="411"/>
        <v>0</v>
      </c>
      <c r="BT257" s="171">
        <f t="shared" si="411"/>
        <v>0</v>
      </c>
      <c r="BU257" s="171">
        <f t="shared" si="411"/>
        <v>0</v>
      </c>
      <c r="BV257" s="171">
        <f t="shared" si="411"/>
        <v>0</v>
      </c>
      <c r="BW257" s="171">
        <f t="shared" si="411"/>
        <v>0</v>
      </c>
      <c r="BX257" s="171">
        <f t="shared" si="411"/>
        <v>0</v>
      </c>
      <c r="BY257" s="171">
        <f t="shared" si="412"/>
        <v>0</v>
      </c>
      <c r="BZ257" s="171">
        <f t="shared" si="412"/>
        <v>0</v>
      </c>
      <c r="CA257" s="171">
        <f t="shared" si="412"/>
        <v>0</v>
      </c>
      <c r="CB257" s="171">
        <f t="shared" si="412"/>
        <v>0</v>
      </c>
      <c r="CC257" s="171">
        <f t="shared" si="412"/>
        <v>0</v>
      </c>
      <c r="CD257" s="171">
        <f t="shared" si="412"/>
        <v>0</v>
      </c>
      <c r="CE257" s="171">
        <f t="shared" si="412"/>
        <v>0</v>
      </c>
      <c r="CF257" s="171">
        <f t="shared" si="412"/>
        <v>0</v>
      </c>
      <c r="CG257" s="171">
        <f t="shared" si="412"/>
        <v>0</v>
      </c>
      <c r="CH257" s="171">
        <f t="shared" si="412"/>
        <v>0</v>
      </c>
      <c r="CI257" s="171">
        <f t="shared" si="412"/>
        <v>0</v>
      </c>
      <c r="CJ257" s="243"/>
      <c r="CK257" s="171">
        <f t="shared" si="346"/>
        <v>0</v>
      </c>
      <c r="CL257" s="171">
        <f t="shared" si="347"/>
        <v>0</v>
      </c>
      <c r="CM257" s="171">
        <f t="shared" si="348"/>
        <v>0</v>
      </c>
      <c r="CN257" s="171">
        <f t="shared" si="349"/>
        <v>0</v>
      </c>
      <c r="CO257" s="171">
        <f t="shared" si="350"/>
        <v>0</v>
      </c>
      <c r="CP257" s="171">
        <f t="shared" si="351"/>
        <v>0</v>
      </c>
      <c r="CQ257" s="171">
        <f t="shared" si="352"/>
        <v>0</v>
      </c>
      <c r="CR257" s="171">
        <f t="shared" si="353"/>
        <v>0</v>
      </c>
      <c r="CS257" s="171">
        <f t="shared" si="354"/>
        <v>0</v>
      </c>
      <c r="CT257" s="171">
        <f t="shared" si="355"/>
        <v>0</v>
      </c>
      <c r="CU257" s="171">
        <f t="shared" si="356"/>
        <v>0</v>
      </c>
      <c r="CV257" s="171">
        <f t="shared" si="357"/>
        <v>0</v>
      </c>
      <c r="CW257" s="171">
        <f t="shared" si="358"/>
        <v>0</v>
      </c>
      <c r="CX257" s="171">
        <f t="shared" si="359"/>
        <v>0</v>
      </c>
      <c r="CY257" s="171">
        <f t="shared" ca="1" si="360"/>
        <v>0</v>
      </c>
      <c r="CZ257" s="171">
        <f t="shared" ca="1" si="361"/>
        <v>0</v>
      </c>
      <c r="DA257" s="171">
        <f t="shared" ca="1" si="362"/>
        <v>0</v>
      </c>
      <c r="DB257" s="171">
        <f t="shared" ca="1" si="363"/>
        <v>0</v>
      </c>
      <c r="DC257" s="171">
        <f t="shared" ca="1" si="364"/>
        <v>0</v>
      </c>
      <c r="DD257" s="171">
        <f t="shared" ca="1" si="365"/>
        <v>0</v>
      </c>
      <c r="DE257" s="171">
        <f t="shared" ca="1" si="366"/>
        <v>0</v>
      </c>
      <c r="DF257" s="171">
        <f t="shared" ca="1" si="367"/>
        <v>0</v>
      </c>
      <c r="DG257" s="171">
        <f t="shared" ca="1" si="368"/>
        <v>0</v>
      </c>
      <c r="DH257" s="171">
        <f t="shared" ca="1" si="369"/>
        <v>0</v>
      </c>
      <c r="DI257" s="171">
        <f t="shared" ca="1" si="370"/>
        <v>0</v>
      </c>
      <c r="DJ257" s="171">
        <f t="shared" ca="1" si="371"/>
        <v>0</v>
      </c>
      <c r="DK257" s="171">
        <f t="shared" ca="1" si="372"/>
        <v>0</v>
      </c>
      <c r="DL257" s="171">
        <f t="shared" ca="1" si="373"/>
        <v>0</v>
      </c>
      <c r="DM257" s="171">
        <f t="shared" ca="1" si="374"/>
        <v>0</v>
      </c>
      <c r="DN257" s="171">
        <f t="shared" ca="1" si="375"/>
        <v>0</v>
      </c>
      <c r="DO257" s="171">
        <f t="shared" ca="1" si="376"/>
        <v>0</v>
      </c>
      <c r="DP257" s="171">
        <f t="shared" ca="1" si="377"/>
        <v>0</v>
      </c>
      <c r="DQ257" s="171">
        <f t="shared" ca="1" si="378"/>
        <v>0</v>
      </c>
      <c r="DR257" s="171">
        <f t="shared" ca="1" si="379"/>
        <v>0</v>
      </c>
      <c r="DS257" s="171">
        <f t="shared" ca="1" si="380"/>
        <v>0</v>
      </c>
      <c r="DT257" s="171">
        <f t="shared" ca="1" si="381"/>
        <v>0</v>
      </c>
      <c r="DU257" s="171">
        <f t="shared" ca="1" si="382"/>
        <v>0</v>
      </c>
      <c r="DV257" s="171">
        <f t="shared" ca="1" si="383"/>
        <v>0</v>
      </c>
      <c r="DW257" s="171">
        <f t="shared" ca="1" si="384"/>
        <v>0</v>
      </c>
      <c r="DX257" s="171">
        <f t="shared" ca="1" si="385"/>
        <v>0</v>
      </c>
      <c r="DY257" s="171">
        <f t="shared" ca="1" si="386"/>
        <v>0</v>
      </c>
      <c r="DZ257" s="171">
        <f t="shared" ca="1" si="387"/>
        <v>0</v>
      </c>
      <c r="EA257" s="171">
        <f t="shared" ca="1" si="388"/>
        <v>0</v>
      </c>
      <c r="EB257" s="171">
        <f t="shared" ca="1" si="389"/>
        <v>0</v>
      </c>
      <c r="EC257" s="171">
        <f t="shared" ca="1" si="390"/>
        <v>0</v>
      </c>
      <c r="ED257" s="171">
        <f t="shared" ca="1" si="391"/>
        <v>0</v>
      </c>
      <c r="EE257" s="171">
        <f t="shared" ca="1" si="392"/>
        <v>0</v>
      </c>
      <c r="EF257" s="171">
        <f t="shared" ca="1" si="393"/>
        <v>0</v>
      </c>
      <c r="EG257" s="171">
        <f t="shared" ca="1" si="394"/>
        <v>0</v>
      </c>
      <c r="EH257" s="171">
        <f t="shared" ca="1" si="395"/>
        <v>0</v>
      </c>
      <c r="EI257" s="171">
        <f t="shared" ca="1" si="396"/>
        <v>0</v>
      </c>
      <c r="EJ257" s="171">
        <f t="shared" ca="1" si="397"/>
        <v>0</v>
      </c>
      <c r="EK257" s="171">
        <f t="shared" ca="1" si="398"/>
        <v>0</v>
      </c>
      <c r="EL257" s="171">
        <f t="shared" ca="1" si="399"/>
        <v>0</v>
      </c>
      <c r="EM257" s="171">
        <f t="shared" ca="1" si="400"/>
        <v>0</v>
      </c>
      <c r="EN257" s="171">
        <f t="shared" ca="1" si="401"/>
        <v>0</v>
      </c>
      <c r="EO257" s="171">
        <f t="shared" ca="1" si="402"/>
        <v>0</v>
      </c>
      <c r="EP257" s="171">
        <f t="shared" ca="1" si="403"/>
        <v>0</v>
      </c>
      <c r="EQ257" s="171">
        <f t="shared" ca="1" si="404"/>
        <v>0</v>
      </c>
      <c r="ER257" s="171">
        <f t="shared" ca="1" si="405"/>
        <v>0</v>
      </c>
      <c r="ES257" s="171">
        <f t="shared" ca="1" si="406"/>
        <v>0</v>
      </c>
    </row>
    <row r="258" spans="3:149">
      <c r="C258" s="214"/>
      <c r="L258" s="163"/>
      <c r="M258" s="164" t="str">
        <f t="shared" si="337"/>
        <v/>
      </c>
      <c r="N258" s="164" t="str">
        <f t="shared" si="338"/>
        <v/>
      </c>
      <c r="O258" s="165" t="str">
        <f t="shared" si="339"/>
        <v/>
      </c>
      <c r="R258" s="168"/>
      <c r="U258" s="171">
        <f t="shared" si="340"/>
        <v>0</v>
      </c>
      <c r="V258" s="171">
        <f t="shared" ca="1" si="341"/>
        <v>0</v>
      </c>
      <c r="W258" s="171">
        <f t="shared" ca="1" si="342"/>
        <v>0</v>
      </c>
      <c r="X258" s="172">
        <f t="shared" si="343"/>
        <v>0</v>
      </c>
      <c r="Y258" s="172" t="str">
        <f t="shared" si="344"/>
        <v/>
      </c>
      <c r="Z258" s="173">
        <f t="shared" si="345"/>
        <v>0</v>
      </c>
      <c r="AA258" s="171">
        <f t="shared" si="407"/>
        <v>0</v>
      </c>
      <c r="AB258" s="171">
        <f t="shared" si="407"/>
        <v>0</v>
      </c>
      <c r="AC258" s="171">
        <f t="shared" si="407"/>
        <v>0</v>
      </c>
      <c r="AD258" s="171">
        <f t="shared" si="407"/>
        <v>0</v>
      </c>
      <c r="AE258" s="171">
        <f t="shared" si="407"/>
        <v>0</v>
      </c>
      <c r="AF258" s="171">
        <f t="shared" si="407"/>
        <v>0</v>
      </c>
      <c r="AG258" s="171">
        <f t="shared" si="407"/>
        <v>0</v>
      </c>
      <c r="AH258" s="171">
        <f t="shared" si="407"/>
        <v>0</v>
      </c>
      <c r="AI258" s="171">
        <f t="shared" si="407"/>
        <v>0</v>
      </c>
      <c r="AJ258" s="171">
        <f t="shared" si="407"/>
        <v>0</v>
      </c>
      <c r="AK258" s="171">
        <f t="shared" si="408"/>
        <v>0</v>
      </c>
      <c r="AL258" s="171">
        <f t="shared" si="408"/>
        <v>0</v>
      </c>
      <c r="AM258" s="171">
        <f t="shared" si="408"/>
        <v>0</v>
      </c>
      <c r="AN258" s="171">
        <f t="shared" si="408"/>
        <v>0</v>
      </c>
      <c r="AO258" s="171">
        <f t="shared" si="408"/>
        <v>0</v>
      </c>
      <c r="AP258" s="171">
        <f t="shared" si="408"/>
        <v>0</v>
      </c>
      <c r="AQ258" s="171">
        <f t="shared" si="408"/>
        <v>0</v>
      </c>
      <c r="AR258" s="171">
        <f t="shared" si="408"/>
        <v>0</v>
      </c>
      <c r="AS258" s="171">
        <f t="shared" si="408"/>
        <v>0</v>
      </c>
      <c r="AT258" s="171">
        <f t="shared" si="408"/>
        <v>0</v>
      </c>
      <c r="AU258" s="171">
        <f t="shared" si="409"/>
        <v>0</v>
      </c>
      <c r="AV258" s="171">
        <f t="shared" si="409"/>
        <v>0</v>
      </c>
      <c r="AW258" s="171">
        <f t="shared" si="409"/>
        <v>0</v>
      </c>
      <c r="AX258" s="171">
        <f t="shared" si="409"/>
        <v>0</v>
      </c>
      <c r="AY258" s="171">
        <f t="shared" si="409"/>
        <v>0</v>
      </c>
      <c r="AZ258" s="171">
        <f t="shared" si="409"/>
        <v>0</v>
      </c>
      <c r="BA258" s="171">
        <f t="shared" si="409"/>
        <v>0</v>
      </c>
      <c r="BB258" s="171">
        <f t="shared" si="409"/>
        <v>0</v>
      </c>
      <c r="BC258" s="171">
        <f t="shared" si="409"/>
        <v>0</v>
      </c>
      <c r="BD258" s="171">
        <f t="shared" si="409"/>
        <v>0</v>
      </c>
      <c r="BE258" s="171">
        <f t="shared" si="410"/>
        <v>0</v>
      </c>
      <c r="BF258" s="171">
        <f t="shared" si="410"/>
        <v>0</v>
      </c>
      <c r="BG258" s="171">
        <f t="shared" si="410"/>
        <v>0</v>
      </c>
      <c r="BH258" s="171">
        <f t="shared" si="410"/>
        <v>0</v>
      </c>
      <c r="BI258" s="171">
        <f t="shared" si="410"/>
        <v>0</v>
      </c>
      <c r="BJ258" s="171">
        <f t="shared" si="410"/>
        <v>0</v>
      </c>
      <c r="BK258" s="171">
        <f t="shared" si="410"/>
        <v>0</v>
      </c>
      <c r="BL258" s="171">
        <f t="shared" si="410"/>
        <v>0</v>
      </c>
      <c r="BM258" s="171">
        <f t="shared" si="410"/>
        <v>0</v>
      </c>
      <c r="BN258" s="171">
        <f t="shared" si="410"/>
        <v>0</v>
      </c>
      <c r="BO258" s="171">
        <f t="shared" si="411"/>
        <v>0</v>
      </c>
      <c r="BP258" s="171">
        <f t="shared" si="411"/>
        <v>0</v>
      </c>
      <c r="BQ258" s="171">
        <f t="shared" si="411"/>
        <v>0</v>
      </c>
      <c r="BR258" s="171">
        <f t="shared" si="411"/>
        <v>0</v>
      </c>
      <c r="BS258" s="171">
        <f t="shared" si="411"/>
        <v>0</v>
      </c>
      <c r="BT258" s="171">
        <f t="shared" si="411"/>
        <v>0</v>
      </c>
      <c r="BU258" s="171">
        <f t="shared" si="411"/>
        <v>0</v>
      </c>
      <c r="BV258" s="171">
        <f t="shared" si="411"/>
        <v>0</v>
      </c>
      <c r="BW258" s="171">
        <f t="shared" si="411"/>
        <v>0</v>
      </c>
      <c r="BX258" s="171">
        <f t="shared" si="411"/>
        <v>0</v>
      </c>
      <c r="BY258" s="171">
        <f t="shared" si="412"/>
        <v>0</v>
      </c>
      <c r="BZ258" s="171">
        <f t="shared" si="412"/>
        <v>0</v>
      </c>
      <c r="CA258" s="171">
        <f t="shared" si="412"/>
        <v>0</v>
      </c>
      <c r="CB258" s="171">
        <f t="shared" si="412"/>
        <v>0</v>
      </c>
      <c r="CC258" s="171">
        <f t="shared" si="412"/>
        <v>0</v>
      </c>
      <c r="CD258" s="171">
        <f t="shared" si="412"/>
        <v>0</v>
      </c>
      <c r="CE258" s="171">
        <f t="shared" si="412"/>
        <v>0</v>
      </c>
      <c r="CF258" s="171">
        <f t="shared" si="412"/>
        <v>0</v>
      </c>
      <c r="CG258" s="171">
        <f t="shared" si="412"/>
        <v>0</v>
      </c>
      <c r="CH258" s="171">
        <f t="shared" si="412"/>
        <v>0</v>
      </c>
      <c r="CI258" s="171">
        <f t="shared" si="412"/>
        <v>0</v>
      </c>
      <c r="CJ258" s="243"/>
      <c r="CK258" s="171">
        <f t="shared" si="346"/>
        <v>0</v>
      </c>
      <c r="CL258" s="171">
        <f t="shared" si="347"/>
        <v>0</v>
      </c>
      <c r="CM258" s="171">
        <f t="shared" si="348"/>
        <v>0</v>
      </c>
      <c r="CN258" s="171">
        <f t="shared" si="349"/>
        <v>0</v>
      </c>
      <c r="CO258" s="171">
        <f t="shared" si="350"/>
        <v>0</v>
      </c>
      <c r="CP258" s="171">
        <f t="shared" si="351"/>
        <v>0</v>
      </c>
      <c r="CQ258" s="171">
        <f t="shared" si="352"/>
        <v>0</v>
      </c>
      <c r="CR258" s="171">
        <f t="shared" si="353"/>
        <v>0</v>
      </c>
      <c r="CS258" s="171">
        <f t="shared" si="354"/>
        <v>0</v>
      </c>
      <c r="CT258" s="171">
        <f t="shared" si="355"/>
        <v>0</v>
      </c>
      <c r="CU258" s="171">
        <f t="shared" si="356"/>
        <v>0</v>
      </c>
      <c r="CV258" s="171">
        <f t="shared" si="357"/>
        <v>0</v>
      </c>
      <c r="CW258" s="171">
        <f t="shared" si="358"/>
        <v>0</v>
      </c>
      <c r="CX258" s="171">
        <f t="shared" si="359"/>
        <v>0</v>
      </c>
      <c r="CY258" s="171">
        <f t="shared" ca="1" si="360"/>
        <v>0</v>
      </c>
      <c r="CZ258" s="171">
        <f t="shared" ca="1" si="361"/>
        <v>0</v>
      </c>
      <c r="DA258" s="171">
        <f t="shared" ca="1" si="362"/>
        <v>0</v>
      </c>
      <c r="DB258" s="171">
        <f t="shared" ca="1" si="363"/>
        <v>0</v>
      </c>
      <c r="DC258" s="171">
        <f t="shared" ca="1" si="364"/>
        <v>0</v>
      </c>
      <c r="DD258" s="171">
        <f t="shared" ca="1" si="365"/>
        <v>0</v>
      </c>
      <c r="DE258" s="171">
        <f t="shared" ca="1" si="366"/>
        <v>0</v>
      </c>
      <c r="DF258" s="171">
        <f t="shared" ca="1" si="367"/>
        <v>0</v>
      </c>
      <c r="DG258" s="171">
        <f t="shared" ca="1" si="368"/>
        <v>0</v>
      </c>
      <c r="DH258" s="171">
        <f t="shared" ca="1" si="369"/>
        <v>0</v>
      </c>
      <c r="DI258" s="171">
        <f t="shared" ca="1" si="370"/>
        <v>0</v>
      </c>
      <c r="DJ258" s="171">
        <f t="shared" ca="1" si="371"/>
        <v>0</v>
      </c>
      <c r="DK258" s="171">
        <f t="shared" ca="1" si="372"/>
        <v>0</v>
      </c>
      <c r="DL258" s="171">
        <f t="shared" ca="1" si="373"/>
        <v>0</v>
      </c>
      <c r="DM258" s="171">
        <f t="shared" ca="1" si="374"/>
        <v>0</v>
      </c>
      <c r="DN258" s="171">
        <f t="shared" ca="1" si="375"/>
        <v>0</v>
      </c>
      <c r="DO258" s="171">
        <f t="shared" ca="1" si="376"/>
        <v>0</v>
      </c>
      <c r="DP258" s="171">
        <f t="shared" ca="1" si="377"/>
        <v>0</v>
      </c>
      <c r="DQ258" s="171">
        <f t="shared" ca="1" si="378"/>
        <v>0</v>
      </c>
      <c r="DR258" s="171">
        <f t="shared" ca="1" si="379"/>
        <v>0</v>
      </c>
      <c r="DS258" s="171">
        <f t="shared" ca="1" si="380"/>
        <v>0</v>
      </c>
      <c r="DT258" s="171">
        <f t="shared" ca="1" si="381"/>
        <v>0</v>
      </c>
      <c r="DU258" s="171">
        <f t="shared" ca="1" si="382"/>
        <v>0</v>
      </c>
      <c r="DV258" s="171">
        <f t="shared" ca="1" si="383"/>
        <v>0</v>
      </c>
      <c r="DW258" s="171">
        <f t="shared" ca="1" si="384"/>
        <v>0</v>
      </c>
      <c r="DX258" s="171">
        <f t="shared" ca="1" si="385"/>
        <v>0</v>
      </c>
      <c r="DY258" s="171">
        <f t="shared" ca="1" si="386"/>
        <v>0</v>
      </c>
      <c r="DZ258" s="171">
        <f t="shared" ca="1" si="387"/>
        <v>0</v>
      </c>
      <c r="EA258" s="171">
        <f t="shared" ca="1" si="388"/>
        <v>0</v>
      </c>
      <c r="EB258" s="171">
        <f t="shared" ca="1" si="389"/>
        <v>0</v>
      </c>
      <c r="EC258" s="171">
        <f t="shared" ca="1" si="390"/>
        <v>0</v>
      </c>
      <c r="ED258" s="171">
        <f t="shared" ca="1" si="391"/>
        <v>0</v>
      </c>
      <c r="EE258" s="171">
        <f t="shared" ca="1" si="392"/>
        <v>0</v>
      </c>
      <c r="EF258" s="171">
        <f t="shared" ca="1" si="393"/>
        <v>0</v>
      </c>
      <c r="EG258" s="171">
        <f t="shared" ca="1" si="394"/>
        <v>0</v>
      </c>
      <c r="EH258" s="171">
        <f t="shared" ca="1" si="395"/>
        <v>0</v>
      </c>
      <c r="EI258" s="171">
        <f t="shared" ca="1" si="396"/>
        <v>0</v>
      </c>
      <c r="EJ258" s="171">
        <f t="shared" ca="1" si="397"/>
        <v>0</v>
      </c>
      <c r="EK258" s="171">
        <f t="shared" ca="1" si="398"/>
        <v>0</v>
      </c>
      <c r="EL258" s="171">
        <f t="shared" ca="1" si="399"/>
        <v>0</v>
      </c>
      <c r="EM258" s="171">
        <f t="shared" ca="1" si="400"/>
        <v>0</v>
      </c>
      <c r="EN258" s="171">
        <f t="shared" ca="1" si="401"/>
        <v>0</v>
      </c>
      <c r="EO258" s="171">
        <f t="shared" ca="1" si="402"/>
        <v>0</v>
      </c>
      <c r="EP258" s="171">
        <f t="shared" ca="1" si="403"/>
        <v>0</v>
      </c>
      <c r="EQ258" s="171">
        <f t="shared" ca="1" si="404"/>
        <v>0</v>
      </c>
      <c r="ER258" s="171">
        <f t="shared" ca="1" si="405"/>
        <v>0</v>
      </c>
      <c r="ES258" s="171">
        <f t="shared" ca="1" si="406"/>
        <v>0</v>
      </c>
    </row>
    <row r="259" spans="3:149">
      <c r="C259" s="214"/>
      <c r="L259" s="163"/>
      <c r="M259" s="164" t="str">
        <f t="shared" si="337"/>
        <v/>
      </c>
      <c r="N259" s="164" t="str">
        <f t="shared" si="338"/>
        <v/>
      </c>
      <c r="O259" s="165" t="str">
        <f t="shared" si="339"/>
        <v/>
      </c>
      <c r="R259" s="168"/>
      <c r="U259" s="171">
        <f t="shared" si="340"/>
        <v>0</v>
      </c>
      <c r="V259" s="171">
        <f t="shared" ca="1" si="341"/>
        <v>0</v>
      </c>
      <c r="W259" s="171">
        <f t="shared" ca="1" si="342"/>
        <v>0</v>
      </c>
      <c r="X259" s="172">
        <f t="shared" si="343"/>
        <v>0</v>
      </c>
      <c r="Y259" s="172" t="str">
        <f t="shared" si="344"/>
        <v/>
      </c>
      <c r="Z259" s="173">
        <f t="shared" si="345"/>
        <v>0</v>
      </c>
      <c r="AA259" s="171">
        <f t="shared" ref="AA259:AJ268" si="413">IFERROR(
    IF($T259="Equity",
        IF(AND(AA$48&gt;=$E259, AA$48&lt;=($E259+$Q259)),
$K259*$P259*(VLOOKUP($C$39,$C$37:$BL$44,MATCH($E259,$C$37:$BL$37,0),FALSE)/VLOOKUP($L259,$C$37:$BL$44,MATCH($E259,$C$37:$BL$37,0),FALSE))*
IF($B$5="Foreign Currency",VLOOKUP($C$38,$C$37:$BL$44,MATCH(AA$48,$C$37:$BL$37,0),FALSE)/VLOOKUP($C$39,$C$37:$BL$44,MATCH(AA$48,$C$37:$BL$37,0),FALSE),1),
0),
    IF($T259="Lump Sum Principal",
        IF(AND(AA$48&gt;=$E259, AA$48&lt;($E259+$Q259)),
$K259*$P259*(VLOOKUP($C$39,$C$37:$BL$44,MATCH($E259,$C$37:$BL$37,0),FALSE)/VLOOKUP($L259,$C$37:$BL$44,MATCH($E259,$C$37:$BL$37,0),FALSE))*
IF($B$5="Foreign Currency",VLOOKUP($C$38,$C$37:$BL$44,MATCH(AA$48,$C$37:$BL$37,0),FALSE)/VLOOKUP($C$39,$C$37:$BL$44,MATCH(AA$48,$C$37:$BL$37,0),FALSE),1),
        IF(AA$48=($E259+$Q259),
$K259*(1+$P259)*(VLOOKUP($C$39,$C$37:$BL$44,MATCH($E259,$C$37:$BL$37,0),FALSE)/VLOOKUP($L259,$C$37:$BL$44,MATCH($E259,$C$37:$BL$37,0),FALSE))*
IF($B$5="Foreign Currency",VLOOKUP($C$38,$C$37:$BL$44,MATCH(AA$48,$C$37:$BL$37,0),FALSE)/VLOOKUP($C$39,$C$37:$BL$44,MATCH(AA$48,$C$37:$BL$37,0),FALSE),1),
0)),
    IF($T259="Lump Sum Principal and Interest",
        IF(AA$48=($E259+$Q259),
$K259*((1+$P259)^$Q259)*(VLOOKUP($C$39,$C$37:$BL$44,MATCH($E259,$C$37:$BL$37,0),FALSE)/VLOOKUP($L259,$C$37:$BL$44,MATCH($E259,$C$37:$BL$37,0),FALSE))*
IF($B$5="Foreign Currency",VLOOKUP($C$38,$C$37:$BL$44,MATCH(AA$48,$C$37:$BL$37,0),FALSE)/VLOOKUP($C$39,$C$37:$BL$44,MATCH(AA$48,$C$37:$BL$37,0),FALSE),1),
0),
    IF($T259="EPP with Grace Years for Principal",
        IF(AND(AA$48&gt;=$E259, AA$48&lt;($E259+$S259)),
$K259*$P259*(VLOOKUP($C$39,$C$37:$BL$44,MATCH($E259,$C$37:$BL$37,0),FALSE)/VLOOKUP($L259,$C$37:$BL$44,MATCH($E259,$C$37:$BL$37,0),FALSE))*
IF($B$5="Foreign Currency",VLOOKUP($C$38,$C$37:$BL$44,MATCH(AA$48,$C$37:$BL$37,0),FALSE)/VLOOKUP($C$39,$C$37:$BL$44,MATCH(AA$48,$C$37:$BL$37,0),FALSE),1),
        IF(AND(AA$48&gt;=($E259+$S259), AA$48&lt;=($E259+$Q259)),
-PMT($P259,($Q259-$S259+1),($K259*(VLOOKUP($C$39,$C$37:$BL$44,MATCH($E259,$C$37:$BL$37,0),FALSE)/VLOOKUP($L259,$C$37:$BL$44,MATCH($E259,$C$37:$BL$37,0),FALSE))*
IF($B$5="Foreign Currency",VLOOKUP($C$38,$C$37:$BL$44,MATCH(AA$48,$C$37:$BL$37,0),FALSE)/VLOOKUP($C$39,$C$37:$BL$44,MATCH(AA$48,$C$37:$BL$37,0),FALSE),1)),0),
0)),
    IF($T259="Equal Principal Payments (EPP)",
        IF(AND(AA$48&gt;=$E259, AA$48&lt;=($E259+$Q259)),
-PMT($P259,($Q259-$S259+1),($K259*(VLOOKUP($C$39,$C$37:$BL$44,MATCH($E259,$C$37:$BL$37,0),FALSE)/VLOOKUP($L259,$C$37:$BL$44,MATCH($E259,$C$37:$BL$37,0),FALSE))*
IF($B$5="Foreign Currency",VLOOKUP($C$38,$C$37:$BL$44,MATCH(AA$48,$C$37:$BL$37,0),FALSE)/VLOOKUP($C$39,$C$37:$BL$44,MATCH(AA$48,$C$37:$BL$37,0),FALSE),1)),0), 0),
    IF($T259="EPP with Grace Years for Principal and on Interest",
        IF(AND(AA$48&gt;=($E259+$S259), AA$48&lt;=($E259+$Q259)),
-PMT($P259,($Q259-$S259+1),($K259*(VLOOKUP($C$39,$C$37:$BL$44,MATCH($E259,$C$37:$BL$37,0),FALSE)/VLOOKUP($L259,$C$37:$BL$44,MATCH($E259,$C$37:$BL$37,0),FALSE))*
IF($B$5="Foreign Currency",VLOOKUP($C$38,$C$37:$BL$44,MATCH(AA$48,$C$37:$BL$37,0),FALSE)/VLOOKUP($C$39,$C$37:$BL$44,MATCH(AA$48,$C$37:$BL$37,0),FALSE),1))*((1+$P259)^$S259),0), 0),
    0)))))),"")</f>
        <v>0</v>
      </c>
      <c r="AB259" s="171">
        <f t="shared" si="413"/>
        <v>0</v>
      </c>
      <c r="AC259" s="171">
        <f t="shared" si="413"/>
        <v>0</v>
      </c>
      <c r="AD259" s="171">
        <f t="shared" si="413"/>
        <v>0</v>
      </c>
      <c r="AE259" s="171">
        <f t="shared" si="413"/>
        <v>0</v>
      </c>
      <c r="AF259" s="171">
        <f t="shared" si="413"/>
        <v>0</v>
      </c>
      <c r="AG259" s="171">
        <f t="shared" si="413"/>
        <v>0</v>
      </c>
      <c r="AH259" s="171">
        <f t="shared" si="413"/>
        <v>0</v>
      </c>
      <c r="AI259" s="171">
        <f t="shared" si="413"/>
        <v>0</v>
      </c>
      <c r="AJ259" s="171">
        <f t="shared" si="413"/>
        <v>0</v>
      </c>
      <c r="AK259" s="171">
        <f t="shared" ref="AK259:AT268" si="414">IFERROR(
    IF($T259="Equity",
        IF(AND(AK$48&gt;=$E259, AK$48&lt;=($E259+$Q259)),
$K259*$P259*(VLOOKUP($C$39,$C$37:$BL$44,MATCH($E259,$C$37:$BL$37,0),FALSE)/VLOOKUP($L259,$C$37:$BL$44,MATCH($E259,$C$37:$BL$37,0),FALSE))*
IF($B$5="Foreign Currency",VLOOKUP($C$38,$C$37:$BL$44,MATCH(AK$48,$C$37:$BL$37,0),FALSE)/VLOOKUP($C$39,$C$37:$BL$44,MATCH(AK$48,$C$37:$BL$37,0),FALSE),1),
0),
    IF($T259="Lump Sum Principal",
        IF(AND(AK$48&gt;=$E259, AK$48&lt;($E259+$Q259)),
$K259*$P259*(VLOOKUP($C$39,$C$37:$BL$44,MATCH($E259,$C$37:$BL$37,0),FALSE)/VLOOKUP($L259,$C$37:$BL$44,MATCH($E259,$C$37:$BL$37,0),FALSE))*
IF($B$5="Foreign Currency",VLOOKUP($C$38,$C$37:$BL$44,MATCH(AK$48,$C$37:$BL$37,0),FALSE)/VLOOKUP($C$39,$C$37:$BL$44,MATCH(AK$48,$C$37:$BL$37,0),FALSE),1),
        IF(AK$48=($E259+$Q259),
$K259*(1+$P259)*(VLOOKUP($C$39,$C$37:$BL$44,MATCH($E259,$C$37:$BL$37,0),FALSE)/VLOOKUP($L259,$C$37:$BL$44,MATCH($E259,$C$37:$BL$37,0),FALSE))*
IF($B$5="Foreign Currency",VLOOKUP($C$38,$C$37:$BL$44,MATCH(AK$48,$C$37:$BL$37,0),FALSE)/VLOOKUP($C$39,$C$37:$BL$44,MATCH(AK$48,$C$37:$BL$37,0),FALSE),1),
0)),
    IF($T259="Lump Sum Principal and Interest",
        IF(AK$48=($E259+$Q259),
$K259*((1+$P259)^$Q259)*(VLOOKUP($C$39,$C$37:$BL$44,MATCH($E259,$C$37:$BL$37,0),FALSE)/VLOOKUP($L259,$C$37:$BL$44,MATCH($E259,$C$37:$BL$37,0),FALSE))*
IF($B$5="Foreign Currency",VLOOKUP($C$38,$C$37:$BL$44,MATCH(AK$48,$C$37:$BL$37,0),FALSE)/VLOOKUP($C$39,$C$37:$BL$44,MATCH(AK$48,$C$37:$BL$37,0),FALSE),1),
0),
    IF($T259="EPP with Grace Years for Principal",
        IF(AND(AK$48&gt;=$E259, AK$48&lt;($E259+$S259)),
$K259*$P259*(VLOOKUP($C$39,$C$37:$BL$44,MATCH($E259,$C$37:$BL$37,0),FALSE)/VLOOKUP($L259,$C$37:$BL$44,MATCH($E259,$C$37:$BL$37,0),FALSE))*
IF($B$5="Foreign Currency",VLOOKUP($C$38,$C$37:$BL$44,MATCH(AK$48,$C$37:$BL$37,0),FALSE)/VLOOKUP($C$39,$C$37:$BL$44,MATCH(AK$48,$C$37:$BL$37,0),FALSE),1),
        IF(AND(AK$48&gt;=($E259+$S259), AK$48&lt;=($E259+$Q259)),
-PMT($P259,($Q259-$S259+1),($K259*(VLOOKUP($C$39,$C$37:$BL$44,MATCH($E259,$C$37:$BL$37,0),FALSE)/VLOOKUP($L259,$C$37:$BL$44,MATCH($E259,$C$37:$BL$37,0),FALSE))*
IF($B$5="Foreign Currency",VLOOKUP($C$38,$C$37:$BL$44,MATCH(AK$48,$C$37:$BL$37,0),FALSE)/VLOOKUP($C$39,$C$37:$BL$44,MATCH(AK$48,$C$37:$BL$37,0),FALSE),1)),0),
0)),
    IF($T259="Equal Principal Payments (EPP)",
        IF(AND(AK$48&gt;=$E259, AK$48&lt;=($E259+$Q259)),
-PMT($P259,($Q259-$S259+1),($K259*(VLOOKUP($C$39,$C$37:$BL$44,MATCH($E259,$C$37:$BL$37,0),FALSE)/VLOOKUP($L259,$C$37:$BL$44,MATCH($E259,$C$37:$BL$37,0),FALSE))*
IF($B$5="Foreign Currency",VLOOKUP($C$38,$C$37:$BL$44,MATCH(AK$48,$C$37:$BL$37,0),FALSE)/VLOOKUP($C$39,$C$37:$BL$44,MATCH(AK$48,$C$37:$BL$37,0),FALSE),1)),0), 0),
    IF($T259="EPP with Grace Years for Principal and on Interest",
        IF(AND(AK$48&gt;=($E259+$S259), AK$48&lt;=($E259+$Q259)),
-PMT($P259,($Q259-$S259+1),($K259*(VLOOKUP($C$39,$C$37:$BL$44,MATCH($E259,$C$37:$BL$37,0),FALSE)/VLOOKUP($L259,$C$37:$BL$44,MATCH($E259,$C$37:$BL$37,0),FALSE))*
IF($B$5="Foreign Currency",VLOOKUP($C$38,$C$37:$BL$44,MATCH(AK$48,$C$37:$BL$37,0),FALSE)/VLOOKUP($C$39,$C$37:$BL$44,MATCH(AK$48,$C$37:$BL$37,0),FALSE),1))*((1+$P259)^$S259),0), 0),
    0)))))),"")</f>
        <v>0</v>
      </c>
      <c r="AL259" s="171">
        <f t="shared" si="414"/>
        <v>0</v>
      </c>
      <c r="AM259" s="171">
        <f t="shared" si="414"/>
        <v>0</v>
      </c>
      <c r="AN259" s="171">
        <f t="shared" si="414"/>
        <v>0</v>
      </c>
      <c r="AO259" s="171">
        <f t="shared" si="414"/>
        <v>0</v>
      </c>
      <c r="AP259" s="171">
        <f t="shared" si="414"/>
        <v>0</v>
      </c>
      <c r="AQ259" s="171">
        <f t="shared" si="414"/>
        <v>0</v>
      </c>
      <c r="AR259" s="171">
        <f t="shared" si="414"/>
        <v>0</v>
      </c>
      <c r="AS259" s="171">
        <f t="shared" si="414"/>
        <v>0</v>
      </c>
      <c r="AT259" s="171">
        <f t="shared" si="414"/>
        <v>0</v>
      </c>
      <c r="AU259" s="171">
        <f t="shared" ref="AU259:BD268" si="415">IFERROR(
    IF($T259="Equity",
        IF(AND(AU$48&gt;=$E259, AU$48&lt;=($E259+$Q259)),
$K259*$P259*(VLOOKUP($C$39,$C$37:$BL$44,MATCH($E259,$C$37:$BL$37,0),FALSE)/VLOOKUP($L259,$C$37:$BL$44,MATCH($E259,$C$37:$BL$37,0),FALSE))*
IF($B$5="Foreign Currency",VLOOKUP($C$38,$C$37:$BL$44,MATCH(AU$48,$C$37:$BL$37,0),FALSE)/VLOOKUP($C$39,$C$37:$BL$44,MATCH(AU$48,$C$37:$BL$37,0),FALSE),1),
0),
    IF($T259="Lump Sum Principal",
        IF(AND(AU$48&gt;=$E259, AU$48&lt;($E259+$Q259)),
$K259*$P259*(VLOOKUP($C$39,$C$37:$BL$44,MATCH($E259,$C$37:$BL$37,0),FALSE)/VLOOKUP($L259,$C$37:$BL$44,MATCH($E259,$C$37:$BL$37,0),FALSE))*
IF($B$5="Foreign Currency",VLOOKUP($C$38,$C$37:$BL$44,MATCH(AU$48,$C$37:$BL$37,0),FALSE)/VLOOKUP($C$39,$C$37:$BL$44,MATCH(AU$48,$C$37:$BL$37,0),FALSE),1),
        IF(AU$48=($E259+$Q259),
$K259*(1+$P259)*(VLOOKUP($C$39,$C$37:$BL$44,MATCH($E259,$C$37:$BL$37,0),FALSE)/VLOOKUP($L259,$C$37:$BL$44,MATCH($E259,$C$37:$BL$37,0),FALSE))*
IF($B$5="Foreign Currency",VLOOKUP($C$38,$C$37:$BL$44,MATCH(AU$48,$C$37:$BL$37,0),FALSE)/VLOOKUP($C$39,$C$37:$BL$44,MATCH(AU$48,$C$37:$BL$37,0),FALSE),1),
0)),
    IF($T259="Lump Sum Principal and Interest",
        IF(AU$48=($E259+$Q259),
$K259*((1+$P259)^$Q259)*(VLOOKUP($C$39,$C$37:$BL$44,MATCH($E259,$C$37:$BL$37,0),FALSE)/VLOOKUP($L259,$C$37:$BL$44,MATCH($E259,$C$37:$BL$37,0),FALSE))*
IF($B$5="Foreign Currency",VLOOKUP($C$38,$C$37:$BL$44,MATCH(AU$48,$C$37:$BL$37,0),FALSE)/VLOOKUP($C$39,$C$37:$BL$44,MATCH(AU$48,$C$37:$BL$37,0),FALSE),1),
0),
    IF($T259="EPP with Grace Years for Principal",
        IF(AND(AU$48&gt;=$E259, AU$48&lt;($E259+$S259)),
$K259*$P259*(VLOOKUP($C$39,$C$37:$BL$44,MATCH($E259,$C$37:$BL$37,0),FALSE)/VLOOKUP($L259,$C$37:$BL$44,MATCH($E259,$C$37:$BL$37,0),FALSE))*
IF($B$5="Foreign Currency",VLOOKUP($C$38,$C$37:$BL$44,MATCH(AU$48,$C$37:$BL$37,0),FALSE)/VLOOKUP($C$39,$C$37:$BL$44,MATCH(AU$48,$C$37:$BL$37,0),FALSE),1),
        IF(AND(AU$48&gt;=($E259+$S259), AU$48&lt;=($E259+$Q259)),
-PMT($P259,($Q259-$S259+1),($K259*(VLOOKUP($C$39,$C$37:$BL$44,MATCH($E259,$C$37:$BL$37,0),FALSE)/VLOOKUP($L259,$C$37:$BL$44,MATCH($E259,$C$37:$BL$37,0),FALSE))*
IF($B$5="Foreign Currency",VLOOKUP($C$38,$C$37:$BL$44,MATCH(AU$48,$C$37:$BL$37,0),FALSE)/VLOOKUP($C$39,$C$37:$BL$44,MATCH(AU$48,$C$37:$BL$37,0),FALSE),1)),0),
0)),
    IF($T259="Equal Principal Payments (EPP)",
        IF(AND(AU$48&gt;=$E259, AU$48&lt;=($E259+$Q259)),
-PMT($P259,($Q259-$S259+1),($K259*(VLOOKUP($C$39,$C$37:$BL$44,MATCH($E259,$C$37:$BL$37,0),FALSE)/VLOOKUP($L259,$C$37:$BL$44,MATCH($E259,$C$37:$BL$37,0),FALSE))*
IF($B$5="Foreign Currency",VLOOKUP($C$38,$C$37:$BL$44,MATCH(AU$48,$C$37:$BL$37,0),FALSE)/VLOOKUP($C$39,$C$37:$BL$44,MATCH(AU$48,$C$37:$BL$37,0),FALSE),1)),0), 0),
    IF($T259="EPP with Grace Years for Principal and on Interest",
        IF(AND(AU$48&gt;=($E259+$S259), AU$48&lt;=($E259+$Q259)),
-PMT($P259,($Q259-$S259+1),($K259*(VLOOKUP($C$39,$C$37:$BL$44,MATCH($E259,$C$37:$BL$37,0),FALSE)/VLOOKUP($L259,$C$37:$BL$44,MATCH($E259,$C$37:$BL$37,0),FALSE))*
IF($B$5="Foreign Currency",VLOOKUP($C$38,$C$37:$BL$44,MATCH(AU$48,$C$37:$BL$37,0),FALSE)/VLOOKUP($C$39,$C$37:$BL$44,MATCH(AU$48,$C$37:$BL$37,0),FALSE),1))*((1+$P259)^$S259),0), 0),
    0)))))),"")</f>
        <v>0</v>
      </c>
      <c r="AV259" s="171">
        <f t="shared" si="415"/>
        <v>0</v>
      </c>
      <c r="AW259" s="171">
        <f t="shared" si="415"/>
        <v>0</v>
      </c>
      <c r="AX259" s="171">
        <f t="shared" si="415"/>
        <v>0</v>
      </c>
      <c r="AY259" s="171">
        <f t="shared" si="415"/>
        <v>0</v>
      </c>
      <c r="AZ259" s="171">
        <f t="shared" si="415"/>
        <v>0</v>
      </c>
      <c r="BA259" s="171">
        <f t="shared" si="415"/>
        <v>0</v>
      </c>
      <c r="BB259" s="171">
        <f t="shared" si="415"/>
        <v>0</v>
      </c>
      <c r="BC259" s="171">
        <f t="shared" si="415"/>
        <v>0</v>
      </c>
      <c r="BD259" s="171">
        <f t="shared" si="415"/>
        <v>0</v>
      </c>
      <c r="BE259" s="171">
        <f t="shared" ref="BE259:BN268" si="416">IFERROR(
    IF($T259="Equity",
        IF(AND(BE$48&gt;=$E259, BE$48&lt;=($E259+$Q259)),
$K259*$P259*(VLOOKUP($C$39,$C$37:$BL$44,MATCH($E259,$C$37:$BL$37,0),FALSE)/VLOOKUP($L259,$C$37:$BL$44,MATCH($E259,$C$37:$BL$37,0),FALSE))*
IF($B$5="Foreign Currency",VLOOKUP($C$38,$C$37:$BL$44,MATCH(BE$48,$C$37:$BL$37,0),FALSE)/VLOOKUP($C$39,$C$37:$BL$44,MATCH(BE$48,$C$37:$BL$37,0),FALSE),1),
0),
    IF($T259="Lump Sum Principal",
        IF(AND(BE$48&gt;=$E259, BE$48&lt;($E259+$Q259)),
$K259*$P259*(VLOOKUP($C$39,$C$37:$BL$44,MATCH($E259,$C$37:$BL$37,0),FALSE)/VLOOKUP($L259,$C$37:$BL$44,MATCH($E259,$C$37:$BL$37,0),FALSE))*
IF($B$5="Foreign Currency",VLOOKUP($C$38,$C$37:$BL$44,MATCH(BE$48,$C$37:$BL$37,0),FALSE)/VLOOKUP($C$39,$C$37:$BL$44,MATCH(BE$48,$C$37:$BL$37,0),FALSE),1),
        IF(BE$48=($E259+$Q259),
$K259*(1+$P259)*(VLOOKUP($C$39,$C$37:$BL$44,MATCH($E259,$C$37:$BL$37,0),FALSE)/VLOOKUP($L259,$C$37:$BL$44,MATCH($E259,$C$37:$BL$37,0),FALSE))*
IF($B$5="Foreign Currency",VLOOKUP($C$38,$C$37:$BL$44,MATCH(BE$48,$C$37:$BL$37,0),FALSE)/VLOOKUP($C$39,$C$37:$BL$44,MATCH(BE$48,$C$37:$BL$37,0),FALSE),1),
0)),
    IF($T259="Lump Sum Principal and Interest",
        IF(BE$48=($E259+$Q259),
$K259*((1+$P259)^$Q259)*(VLOOKUP($C$39,$C$37:$BL$44,MATCH($E259,$C$37:$BL$37,0),FALSE)/VLOOKUP($L259,$C$37:$BL$44,MATCH($E259,$C$37:$BL$37,0),FALSE))*
IF($B$5="Foreign Currency",VLOOKUP($C$38,$C$37:$BL$44,MATCH(BE$48,$C$37:$BL$37,0),FALSE)/VLOOKUP($C$39,$C$37:$BL$44,MATCH(BE$48,$C$37:$BL$37,0),FALSE),1),
0),
    IF($T259="EPP with Grace Years for Principal",
        IF(AND(BE$48&gt;=$E259, BE$48&lt;($E259+$S259)),
$K259*$P259*(VLOOKUP($C$39,$C$37:$BL$44,MATCH($E259,$C$37:$BL$37,0),FALSE)/VLOOKUP($L259,$C$37:$BL$44,MATCH($E259,$C$37:$BL$37,0),FALSE))*
IF($B$5="Foreign Currency",VLOOKUP($C$38,$C$37:$BL$44,MATCH(BE$48,$C$37:$BL$37,0),FALSE)/VLOOKUP($C$39,$C$37:$BL$44,MATCH(BE$48,$C$37:$BL$37,0),FALSE),1),
        IF(AND(BE$48&gt;=($E259+$S259), BE$48&lt;=($E259+$Q259)),
-PMT($P259,($Q259-$S259+1),($K259*(VLOOKUP($C$39,$C$37:$BL$44,MATCH($E259,$C$37:$BL$37,0),FALSE)/VLOOKUP($L259,$C$37:$BL$44,MATCH($E259,$C$37:$BL$37,0),FALSE))*
IF($B$5="Foreign Currency",VLOOKUP($C$38,$C$37:$BL$44,MATCH(BE$48,$C$37:$BL$37,0),FALSE)/VLOOKUP($C$39,$C$37:$BL$44,MATCH(BE$48,$C$37:$BL$37,0),FALSE),1)),0),
0)),
    IF($T259="Equal Principal Payments (EPP)",
        IF(AND(BE$48&gt;=$E259, BE$48&lt;=($E259+$Q259)),
-PMT($P259,($Q259-$S259+1),($K259*(VLOOKUP($C$39,$C$37:$BL$44,MATCH($E259,$C$37:$BL$37,0),FALSE)/VLOOKUP($L259,$C$37:$BL$44,MATCH($E259,$C$37:$BL$37,0),FALSE))*
IF($B$5="Foreign Currency",VLOOKUP($C$38,$C$37:$BL$44,MATCH(BE$48,$C$37:$BL$37,0),FALSE)/VLOOKUP($C$39,$C$37:$BL$44,MATCH(BE$48,$C$37:$BL$37,0),FALSE),1)),0), 0),
    IF($T259="EPP with Grace Years for Principal and on Interest",
        IF(AND(BE$48&gt;=($E259+$S259), BE$48&lt;=($E259+$Q259)),
-PMT($P259,($Q259-$S259+1),($K259*(VLOOKUP($C$39,$C$37:$BL$44,MATCH($E259,$C$37:$BL$37,0),FALSE)/VLOOKUP($L259,$C$37:$BL$44,MATCH($E259,$C$37:$BL$37,0),FALSE))*
IF($B$5="Foreign Currency",VLOOKUP($C$38,$C$37:$BL$44,MATCH(BE$48,$C$37:$BL$37,0),FALSE)/VLOOKUP($C$39,$C$37:$BL$44,MATCH(BE$48,$C$37:$BL$37,0),FALSE),1))*((1+$P259)^$S259),0), 0),
    0)))))),"")</f>
        <v>0</v>
      </c>
      <c r="BF259" s="171">
        <f t="shared" si="416"/>
        <v>0</v>
      </c>
      <c r="BG259" s="171">
        <f t="shared" si="416"/>
        <v>0</v>
      </c>
      <c r="BH259" s="171">
        <f t="shared" si="416"/>
        <v>0</v>
      </c>
      <c r="BI259" s="171">
        <f t="shared" si="416"/>
        <v>0</v>
      </c>
      <c r="BJ259" s="171">
        <f t="shared" si="416"/>
        <v>0</v>
      </c>
      <c r="BK259" s="171">
        <f t="shared" si="416"/>
        <v>0</v>
      </c>
      <c r="BL259" s="171">
        <f t="shared" si="416"/>
        <v>0</v>
      </c>
      <c r="BM259" s="171">
        <f t="shared" si="416"/>
        <v>0</v>
      </c>
      <c r="BN259" s="171">
        <f t="shared" si="416"/>
        <v>0</v>
      </c>
      <c r="BO259" s="171">
        <f t="shared" ref="BO259:BX268" si="417">IFERROR(
    IF($T259="Equity",
        IF(AND(BO$48&gt;=$E259, BO$48&lt;=($E259+$Q259)),
$K259*$P259*(VLOOKUP($C$39,$C$37:$BL$44,MATCH($E259,$C$37:$BL$37,0),FALSE)/VLOOKUP($L259,$C$37:$BL$44,MATCH($E259,$C$37:$BL$37,0),FALSE))*
IF($B$5="Foreign Currency",VLOOKUP($C$38,$C$37:$BL$44,MATCH(BO$48,$C$37:$BL$37,0),FALSE)/VLOOKUP($C$39,$C$37:$BL$44,MATCH(BO$48,$C$37:$BL$37,0),FALSE),1),
0),
    IF($T259="Lump Sum Principal",
        IF(AND(BO$48&gt;=$E259, BO$48&lt;($E259+$Q259)),
$K259*$P259*(VLOOKUP($C$39,$C$37:$BL$44,MATCH($E259,$C$37:$BL$37,0),FALSE)/VLOOKUP($L259,$C$37:$BL$44,MATCH($E259,$C$37:$BL$37,0),FALSE))*
IF($B$5="Foreign Currency",VLOOKUP($C$38,$C$37:$BL$44,MATCH(BO$48,$C$37:$BL$37,0),FALSE)/VLOOKUP($C$39,$C$37:$BL$44,MATCH(BO$48,$C$37:$BL$37,0),FALSE),1),
        IF(BO$48=($E259+$Q259),
$K259*(1+$P259)*(VLOOKUP($C$39,$C$37:$BL$44,MATCH($E259,$C$37:$BL$37,0),FALSE)/VLOOKUP($L259,$C$37:$BL$44,MATCH($E259,$C$37:$BL$37,0),FALSE))*
IF($B$5="Foreign Currency",VLOOKUP($C$38,$C$37:$BL$44,MATCH(BO$48,$C$37:$BL$37,0),FALSE)/VLOOKUP($C$39,$C$37:$BL$44,MATCH(BO$48,$C$37:$BL$37,0),FALSE),1),
0)),
    IF($T259="Lump Sum Principal and Interest",
        IF(BO$48=($E259+$Q259),
$K259*((1+$P259)^$Q259)*(VLOOKUP($C$39,$C$37:$BL$44,MATCH($E259,$C$37:$BL$37,0),FALSE)/VLOOKUP($L259,$C$37:$BL$44,MATCH($E259,$C$37:$BL$37,0),FALSE))*
IF($B$5="Foreign Currency",VLOOKUP($C$38,$C$37:$BL$44,MATCH(BO$48,$C$37:$BL$37,0),FALSE)/VLOOKUP($C$39,$C$37:$BL$44,MATCH(BO$48,$C$37:$BL$37,0),FALSE),1),
0),
    IF($T259="EPP with Grace Years for Principal",
        IF(AND(BO$48&gt;=$E259, BO$48&lt;($E259+$S259)),
$K259*$P259*(VLOOKUP($C$39,$C$37:$BL$44,MATCH($E259,$C$37:$BL$37,0),FALSE)/VLOOKUP($L259,$C$37:$BL$44,MATCH($E259,$C$37:$BL$37,0),FALSE))*
IF($B$5="Foreign Currency",VLOOKUP($C$38,$C$37:$BL$44,MATCH(BO$48,$C$37:$BL$37,0),FALSE)/VLOOKUP($C$39,$C$37:$BL$44,MATCH(BO$48,$C$37:$BL$37,0),FALSE),1),
        IF(AND(BO$48&gt;=($E259+$S259), BO$48&lt;=($E259+$Q259)),
-PMT($P259,($Q259-$S259+1),($K259*(VLOOKUP($C$39,$C$37:$BL$44,MATCH($E259,$C$37:$BL$37,0),FALSE)/VLOOKUP($L259,$C$37:$BL$44,MATCH($E259,$C$37:$BL$37,0),FALSE))*
IF($B$5="Foreign Currency",VLOOKUP($C$38,$C$37:$BL$44,MATCH(BO$48,$C$37:$BL$37,0),FALSE)/VLOOKUP($C$39,$C$37:$BL$44,MATCH(BO$48,$C$37:$BL$37,0),FALSE),1)),0),
0)),
    IF($T259="Equal Principal Payments (EPP)",
        IF(AND(BO$48&gt;=$E259, BO$48&lt;=($E259+$Q259)),
-PMT($P259,($Q259-$S259+1),($K259*(VLOOKUP($C$39,$C$37:$BL$44,MATCH($E259,$C$37:$BL$37,0),FALSE)/VLOOKUP($L259,$C$37:$BL$44,MATCH($E259,$C$37:$BL$37,0),FALSE))*
IF($B$5="Foreign Currency",VLOOKUP($C$38,$C$37:$BL$44,MATCH(BO$48,$C$37:$BL$37,0),FALSE)/VLOOKUP($C$39,$C$37:$BL$44,MATCH(BO$48,$C$37:$BL$37,0),FALSE),1)),0), 0),
    IF($T259="EPP with Grace Years for Principal and on Interest",
        IF(AND(BO$48&gt;=($E259+$S259), BO$48&lt;=($E259+$Q259)),
-PMT($P259,($Q259-$S259+1),($K259*(VLOOKUP($C$39,$C$37:$BL$44,MATCH($E259,$C$37:$BL$37,0),FALSE)/VLOOKUP($L259,$C$37:$BL$44,MATCH($E259,$C$37:$BL$37,0),FALSE))*
IF($B$5="Foreign Currency",VLOOKUP($C$38,$C$37:$BL$44,MATCH(BO$48,$C$37:$BL$37,0),FALSE)/VLOOKUP($C$39,$C$37:$BL$44,MATCH(BO$48,$C$37:$BL$37,0),FALSE),1))*((1+$P259)^$S259),0), 0),
    0)))))),"")</f>
        <v>0</v>
      </c>
      <c r="BP259" s="171">
        <f t="shared" si="417"/>
        <v>0</v>
      </c>
      <c r="BQ259" s="171">
        <f t="shared" si="417"/>
        <v>0</v>
      </c>
      <c r="BR259" s="171">
        <f t="shared" si="417"/>
        <v>0</v>
      </c>
      <c r="BS259" s="171">
        <f t="shared" si="417"/>
        <v>0</v>
      </c>
      <c r="BT259" s="171">
        <f t="shared" si="417"/>
        <v>0</v>
      </c>
      <c r="BU259" s="171">
        <f t="shared" si="417"/>
        <v>0</v>
      </c>
      <c r="BV259" s="171">
        <f t="shared" si="417"/>
        <v>0</v>
      </c>
      <c r="BW259" s="171">
        <f t="shared" si="417"/>
        <v>0</v>
      </c>
      <c r="BX259" s="171">
        <f t="shared" si="417"/>
        <v>0</v>
      </c>
      <c r="BY259" s="171">
        <f t="shared" ref="BY259:CI268" si="418">IFERROR(
    IF($T259="Equity",
        IF(AND(BY$48&gt;=$E259, BY$48&lt;=($E259+$Q259)),
$K259*$P259*(VLOOKUP($C$39,$C$37:$BL$44,MATCH($E259,$C$37:$BL$37,0),FALSE)/VLOOKUP($L259,$C$37:$BL$44,MATCH($E259,$C$37:$BL$37,0),FALSE))*
IF($B$5="Foreign Currency",VLOOKUP($C$38,$C$37:$BL$44,MATCH(BY$48,$C$37:$BL$37,0),FALSE)/VLOOKUP($C$39,$C$37:$BL$44,MATCH(BY$48,$C$37:$BL$37,0),FALSE),1),
0),
    IF($T259="Lump Sum Principal",
        IF(AND(BY$48&gt;=$E259, BY$48&lt;($E259+$Q259)),
$K259*$P259*(VLOOKUP($C$39,$C$37:$BL$44,MATCH($E259,$C$37:$BL$37,0),FALSE)/VLOOKUP($L259,$C$37:$BL$44,MATCH($E259,$C$37:$BL$37,0),FALSE))*
IF($B$5="Foreign Currency",VLOOKUP($C$38,$C$37:$BL$44,MATCH(BY$48,$C$37:$BL$37,0),FALSE)/VLOOKUP($C$39,$C$37:$BL$44,MATCH(BY$48,$C$37:$BL$37,0),FALSE),1),
        IF(BY$48=($E259+$Q259),
$K259*(1+$P259)*(VLOOKUP($C$39,$C$37:$BL$44,MATCH($E259,$C$37:$BL$37,0),FALSE)/VLOOKUP($L259,$C$37:$BL$44,MATCH($E259,$C$37:$BL$37,0),FALSE))*
IF($B$5="Foreign Currency",VLOOKUP($C$38,$C$37:$BL$44,MATCH(BY$48,$C$37:$BL$37,0),FALSE)/VLOOKUP($C$39,$C$37:$BL$44,MATCH(BY$48,$C$37:$BL$37,0),FALSE),1),
0)),
    IF($T259="Lump Sum Principal and Interest",
        IF(BY$48=($E259+$Q259),
$K259*((1+$P259)^$Q259)*(VLOOKUP($C$39,$C$37:$BL$44,MATCH($E259,$C$37:$BL$37,0),FALSE)/VLOOKUP($L259,$C$37:$BL$44,MATCH($E259,$C$37:$BL$37,0),FALSE))*
IF($B$5="Foreign Currency",VLOOKUP($C$38,$C$37:$BL$44,MATCH(BY$48,$C$37:$BL$37,0),FALSE)/VLOOKUP($C$39,$C$37:$BL$44,MATCH(BY$48,$C$37:$BL$37,0),FALSE),1),
0),
    IF($T259="EPP with Grace Years for Principal",
        IF(AND(BY$48&gt;=$E259, BY$48&lt;($E259+$S259)),
$K259*$P259*(VLOOKUP($C$39,$C$37:$BL$44,MATCH($E259,$C$37:$BL$37,0),FALSE)/VLOOKUP($L259,$C$37:$BL$44,MATCH($E259,$C$37:$BL$37,0),FALSE))*
IF($B$5="Foreign Currency",VLOOKUP($C$38,$C$37:$BL$44,MATCH(BY$48,$C$37:$BL$37,0),FALSE)/VLOOKUP($C$39,$C$37:$BL$44,MATCH(BY$48,$C$37:$BL$37,0),FALSE),1),
        IF(AND(BY$48&gt;=($E259+$S259), BY$48&lt;=($E259+$Q259)),
-PMT($P259,($Q259-$S259+1),($K259*(VLOOKUP($C$39,$C$37:$BL$44,MATCH($E259,$C$37:$BL$37,0),FALSE)/VLOOKUP($L259,$C$37:$BL$44,MATCH($E259,$C$37:$BL$37,0),FALSE))*
IF($B$5="Foreign Currency",VLOOKUP($C$38,$C$37:$BL$44,MATCH(BY$48,$C$37:$BL$37,0),FALSE)/VLOOKUP($C$39,$C$37:$BL$44,MATCH(BY$48,$C$37:$BL$37,0),FALSE),1)),0),
0)),
    IF($T259="Equal Principal Payments (EPP)",
        IF(AND(BY$48&gt;=$E259, BY$48&lt;=($E259+$Q259)),
-PMT($P259,($Q259-$S259+1),($K259*(VLOOKUP($C$39,$C$37:$BL$44,MATCH($E259,$C$37:$BL$37,0),FALSE)/VLOOKUP($L259,$C$37:$BL$44,MATCH($E259,$C$37:$BL$37,0),FALSE))*
IF($B$5="Foreign Currency",VLOOKUP($C$38,$C$37:$BL$44,MATCH(BY$48,$C$37:$BL$37,0),FALSE)/VLOOKUP($C$39,$C$37:$BL$44,MATCH(BY$48,$C$37:$BL$37,0),FALSE),1)),0), 0),
    IF($T259="EPP with Grace Years for Principal and on Interest",
        IF(AND(BY$48&gt;=($E259+$S259), BY$48&lt;=($E259+$Q259)),
-PMT($P259,($Q259-$S259+1),($K259*(VLOOKUP($C$39,$C$37:$BL$44,MATCH($E259,$C$37:$BL$37,0),FALSE)/VLOOKUP($L259,$C$37:$BL$44,MATCH($E259,$C$37:$BL$37,0),FALSE))*
IF($B$5="Foreign Currency",VLOOKUP($C$38,$C$37:$BL$44,MATCH(BY$48,$C$37:$BL$37,0),FALSE)/VLOOKUP($C$39,$C$37:$BL$44,MATCH(BY$48,$C$37:$BL$37,0),FALSE),1))*((1+$P259)^$S259),0), 0),
    0)))))),"")</f>
        <v>0</v>
      </c>
      <c r="BZ259" s="171">
        <f t="shared" si="418"/>
        <v>0</v>
      </c>
      <c r="CA259" s="171">
        <f t="shared" si="418"/>
        <v>0</v>
      </c>
      <c r="CB259" s="171">
        <f t="shared" si="418"/>
        <v>0</v>
      </c>
      <c r="CC259" s="171">
        <f t="shared" si="418"/>
        <v>0</v>
      </c>
      <c r="CD259" s="171">
        <f t="shared" si="418"/>
        <v>0</v>
      </c>
      <c r="CE259" s="171">
        <f t="shared" si="418"/>
        <v>0</v>
      </c>
      <c r="CF259" s="171">
        <f t="shared" si="418"/>
        <v>0</v>
      </c>
      <c r="CG259" s="171">
        <f t="shared" si="418"/>
        <v>0</v>
      </c>
      <c r="CH259" s="171">
        <f t="shared" si="418"/>
        <v>0</v>
      </c>
      <c r="CI259" s="171">
        <f t="shared" si="418"/>
        <v>0</v>
      </c>
      <c r="CJ259" s="243"/>
      <c r="CK259" s="171">
        <f t="shared" si="346"/>
        <v>0</v>
      </c>
      <c r="CL259" s="171">
        <f t="shared" si="347"/>
        <v>0</v>
      </c>
      <c r="CM259" s="171">
        <f t="shared" si="348"/>
        <v>0</v>
      </c>
      <c r="CN259" s="171">
        <f t="shared" si="349"/>
        <v>0</v>
      </c>
      <c r="CO259" s="171">
        <f t="shared" si="350"/>
        <v>0</v>
      </c>
      <c r="CP259" s="171">
        <f t="shared" si="351"/>
        <v>0</v>
      </c>
      <c r="CQ259" s="171">
        <f t="shared" si="352"/>
        <v>0</v>
      </c>
      <c r="CR259" s="171">
        <f t="shared" si="353"/>
        <v>0</v>
      </c>
      <c r="CS259" s="171">
        <f t="shared" si="354"/>
        <v>0</v>
      </c>
      <c r="CT259" s="171">
        <f t="shared" si="355"/>
        <v>0</v>
      </c>
      <c r="CU259" s="171">
        <f t="shared" si="356"/>
        <v>0</v>
      </c>
      <c r="CV259" s="171">
        <f t="shared" si="357"/>
        <v>0</v>
      </c>
      <c r="CW259" s="171">
        <f t="shared" si="358"/>
        <v>0</v>
      </c>
      <c r="CX259" s="171">
        <f t="shared" si="359"/>
        <v>0</v>
      </c>
      <c r="CY259" s="171">
        <f t="shared" ca="1" si="360"/>
        <v>0</v>
      </c>
      <c r="CZ259" s="171">
        <f t="shared" ca="1" si="361"/>
        <v>0</v>
      </c>
      <c r="DA259" s="171">
        <f t="shared" ca="1" si="362"/>
        <v>0</v>
      </c>
      <c r="DB259" s="171">
        <f t="shared" ca="1" si="363"/>
        <v>0</v>
      </c>
      <c r="DC259" s="171">
        <f t="shared" ca="1" si="364"/>
        <v>0</v>
      </c>
      <c r="DD259" s="171">
        <f t="shared" ca="1" si="365"/>
        <v>0</v>
      </c>
      <c r="DE259" s="171">
        <f t="shared" ca="1" si="366"/>
        <v>0</v>
      </c>
      <c r="DF259" s="171">
        <f t="shared" ca="1" si="367"/>
        <v>0</v>
      </c>
      <c r="DG259" s="171">
        <f t="shared" ca="1" si="368"/>
        <v>0</v>
      </c>
      <c r="DH259" s="171">
        <f t="shared" ca="1" si="369"/>
        <v>0</v>
      </c>
      <c r="DI259" s="171">
        <f t="shared" ca="1" si="370"/>
        <v>0</v>
      </c>
      <c r="DJ259" s="171">
        <f t="shared" ca="1" si="371"/>
        <v>0</v>
      </c>
      <c r="DK259" s="171">
        <f t="shared" ca="1" si="372"/>
        <v>0</v>
      </c>
      <c r="DL259" s="171">
        <f t="shared" ca="1" si="373"/>
        <v>0</v>
      </c>
      <c r="DM259" s="171">
        <f t="shared" ca="1" si="374"/>
        <v>0</v>
      </c>
      <c r="DN259" s="171">
        <f t="shared" ca="1" si="375"/>
        <v>0</v>
      </c>
      <c r="DO259" s="171">
        <f t="shared" ca="1" si="376"/>
        <v>0</v>
      </c>
      <c r="DP259" s="171">
        <f t="shared" ca="1" si="377"/>
        <v>0</v>
      </c>
      <c r="DQ259" s="171">
        <f t="shared" ca="1" si="378"/>
        <v>0</v>
      </c>
      <c r="DR259" s="171">
        <f t="shared" ca="1" si="379"/>
        <v>0</v>
      </c>
      <c r="DS259" s="171">
        <f t="shared" ca="1" si="380"/>
        <v>0</v>
      </c>
      <c r="DT259" s="171">
        <f t="shared" ca="1" si="381"/>
        <v>0</v>
      </c>
      <c r="DU259" s="171">
        <f t="shared" ca="1" si="382"/>
        <v>0</v>
      </c>
      <c r="DV259" s="171">
        <f t="shared" ca="1" si="383"/>
        <v>0</v>
      </c>
      <c r="DW259" s="171">
        <f t="shared" ca="1" si="384"/>
        <v>0</v>
      </c>
      <c r="DX259" s="171">
        <f t="shared" ca="1" si="385"/>
        <v>0</v>
      </c>
      <c r="DY259" s="171">
        <f t="shared" ca="1" si="386"/>
        <v>0</v>
      </c>
      <c r="DZ259" s="171">
        <f t="shared" ca="1" si="387"/>
        <v>0</v>
      </c>
      <c r="EA259" s="171">
        <f t="shared" ca="1" si="388"/>
        <v>0</v>
      </c>
      <c r="EB259" s="171">
        <f t="shared" ca="1" si="389"/>
        <v>0</v>
      </c>
      <c r="EC259" s="171">
        <f t="shared" ca="1" si="390"/>
        <v>0</v>
      </c>
      <c r="ED259" s="171">
        <f t="shared" ca="1" si="391"/>
        <v>0</v>
      </c>
      <c r="EE259" s="171">
        <f t="shared" ca="1" si="392"/>
        <v>0</v>
      </c>
      <c r="EF259" s="171">
        <f t="shared" ca="1" si="393"/>
        <v>0</v>
      </c>
      <c r="EG259" s="171">
        <f t="shared" ca="1" si="394"/>
        <v>0</v>
      </c>
      <c r="EH259" s="171">
        <f t="shared" ca="1" si="395"/>
        <v>0</v>
      </c>
      <c r="EI259" s="171">
        <f t="shared" ca="1" si="396"/>
        <v>0</v>
      </c>
      <c r="EJ259" s="171">
        <f t="shared" ca="1" si="397"/>
        <v>0</v>
      </c>
      <c r="EK259" s="171">
        <f t="shared" ca="1" si="398"/>
        <v>0</v>
      </c>
      <c r="EL259" s="171">
        <f t="shared" ca="1" si="399"/>
        <v>0</v>
      </c>
      <c r="EM259" s="171">
        <f t="shared" ca="1" si="400"/>
        <v>0</v>
      </c>
      <c r="EN259" s="171">
        <f t="shared" ca="1" si="401"/>
        <v>0</v>
      </c>
      <c r="EO259" s="171">
        <f t="shared" ca="1" si="402"/>
        <v>0</v>
      </c>
      <c r="EP259" s="171">
        <f t="shared" ca="1" si="403"/>
        <v>0</v>
      </c>
      <c r="EQ259" s="171">
        <f t="shared" ca="1" si="404"/>
        <v>0</v>
      </c>
      <c r="ER259" s="171">
        <f t="shared" ca="1" si="405"/>
        <v>0</v>
      </c>
      <c r="ES259" s="171">
        <f t="shared" ca="1" si="406"/>
        <v>0</v>
      </c>
    </row>
    <row r="260" spans="3:149">
      <c r="C260" s="214"/>
      <c r="L260" s="163"/>
      <c r="M260" s="164" t="str">
        <f t="shared" si="337"/>
        <v/>
      </c>
      <c r="N260" s="164" t="str">
        <f t="shared" si="338"/>
        <v/>
      </c>
      <c r="O260" s="165" t="str">
        <f t="shared" si="339"/>
        <v/>
      </c>
      <c r="R260" s="168"/>
      <c r="U260" s="171">
        <f t="shared" si="340"/>
        <v>0</v>
      </c>
      <c r="V260" s="171">
        <f t="shared" ca="1" si="341"/>
        <v>0</v>
      </c>
      <c r="W260" s="171">
        <f t="shared" ca="1" si="342"/>
        <v>0</v>
      </c>
      <c r="X260" s="172">
        <f t="shared" si="343"/>
        <v>0</v>
      </c>
      <c r="Y260" s="172" t="str">
        <f t="shared" si="344"/>
        <v/>
      </c>
      <c r="Z260" s="173">
        <f t="shared" si="345"/>
        <v>0</v>
      </c>
      <c r="AA260" s="171">
        <f t="shared" si="413"/>
        <v>0</v>
      </c>
      <c r="AB260" s="171">
        <f t="shared" si="413"/>
        <v>0</v>
      </c>
      <c r="AC260" s="171">
        <f t="shared" si="413"/>
        <v>0</v>
      </c>
      <c r="AD260" s="171">
        <f t="shared" si="413"/>
        <v>0</v>
      </c>
      <c r="AE260" s="171">
        <f t="shared" si="413"/>
        <v>0</v>
      </c>
      <c r="AF260" s="171">
        <f t="shared" si="413"/>
        <v>0</v>
      </c>
      <c r="AG260" s="171">
        <f t="shared" si="413"/>
        <v>0</v>
      </c>
      <c r="AH260" s="171">
        <f t="shared" si="413"/>
        <v>0</v>
      </c>
      <c r="AI260" s="171">
        <f t="shared" si="413"/>
        <v>0</v>
      </c>
      <c r="AJ260" s="171">
        <f t="shared" si="413"/>
        <v>0</v>
      </c>
      <c r="AK260" s="171">
        <f t="shared" si="414"/>
        <v>0</v>
      </c>
      <c r="AL260" s="171">
        <f t="shared" si="414"/>
        <v>0</v>
      </c>
      <c r="AM260" s="171">
        <f t="shared" si="414"/>
        <v>0</v>
      </c>
      <c r="AN260" s="171">
        <f t="shared" si="414"/>
        <v>0</v>
      </c>
      <c r="AO260" s="171">
        <f t="shared" si="414"/>
        <v>0</v>
      </c>
      <c r="AP260" s="171">
        <f t="shared" si="414"/>
        <v>0</v>
      </c>
      <c r="AQ260" s="171">
        <f t="shared" si="414"/>
        <v>0</v>
      </c>
      <c r="AR260" s="171">
        <f t="shared" si="414"/>
        <v>0</v>
      </c>
      <c r="AS260" s="171">
        <f t="shared" si="414"/>
        <v>0</v>
      </c>
      <c r="AT260" s="171">
        <f t="shared" si="414"/>
        <v>0</v>
      </c>
      <c r="AU260" s="171">
        <f t="shared" si="415"/>
        <v>0</v>
      </c>
      <c r="AV260" s="171">
        <f t="shared" si="415"/>
        <v>0</v>
      </c>
      <c r="AW260" s="171">
        <f t="shared" si="415"/>
        <v>0</v>
      </c>
      <c r="AX260" s="171">
        <f t="shared" si="415"/>
        <v>0</v>
      </c>
      <c r="AY260" s="171">
        <f t="shared" si="415"/>
        <v>0</v>
      </c>
      <c r="AZ260" s="171">
        <f t="shared" si="415"/>
        <v>0</v>
      </c>
      <c r="BA260" s="171">
        <f t="shared" si="415"/>
        <v>0</v>
      </c>
      <c r="BB260" s="171">
        <f t="shared" si="415"/>
        <v>0</v>
      </c>
      <c r="BC260" s="171">
        <f t="shared" si="415"/>
        <v>0</v>
      </c>
      <c r="BD260" s="171">
        <f t="shared" si="415"/>
        <v>0</v>
      </c>
      <c r="BE260" s="171">
        <f t="shared" si="416"/>
        <v>0</v>
      </c>
      <c r="BF260" s="171">
        <f t="shared" si="416"/>
        <v>0</v>
      </c>
      <c r="BG260" s="171">
        <f t="shared" si="416"/>
        <v>0</v>
      </c>
      <c r="BH260" s="171">
        <f t="shared" si="416"/>
        <v>0</v>
      </c>
      <c r="BI260" s="171">
        <f t="shared" si="416"/>
        <v>0</v>
      </c>
      <c r="BJ260" s="171">
        <f t="shared" si="416"/>
        <v>0</v>
      </c>
      <c r="BK260" s="171">
        <f t="shared" si="416"/>
        <v>0</v>
      </c>
      <c r="BL260" s="171">
        <f t="shared" si="416"/>
        <v>0</v>
      </c>
      <c r="BM260" s="171">
        <f t="shared" si="416"/>
        <v>0</v>
      </c>
      <c r="BN260" s="171">
        <f t="shared" si="416"/>
        <v>0</v>
      </c>
      <c r="BO260" s="171">
        <f t="shared" si="417"/>
        <v>0</v>
      </c>
      <c r="BP260" s="171">
        <f t="shared" si="417"/>
        <v>0</v>
      </c>
      <c r="BQ260" s="171">
        <f t="shared" si="417"/>
        <v>0</v>
      </c>
      <c r="BR260" s="171">
        <f t="shared" si="417"/>
        <v>0</v>
      </c>
      <c r="BS260" s="171">
        <f t="shared" si="417"/>
        <v>0</v>
      </c>
      <c r="BT260" s="171">
        <f t="shared" si="417"/>
        <v>0</v>
      </c>
      <c r="BU260" s="171">
        <f t="shared" si="417"/>
        <v>0</v>
      </c>
      <c r="BV260" s="171">
        <f t="shared" si="417"/>
        <v>0</v>
      </c>
      <c r="BW260" s="171">
        <f t="shared" si="417"/>
        <v>0</v>
      </c>
      <c r="BX260" s="171">
        <f t="shared" si="417"/>
        <v>0</v>
      </c>
      <c r="BY260" s="171">
        <f t="shared" si="418"/>
        <v>0</v>
      </c>
      <c r="BZ260" s="171">
        <f t="shared" si="418"/>
        <v>0</v>
      </c>
      <c r="CA260" s="171">
        <f t="shared" si="418"/>
        <v>0</v>
      </c>
      <c r="CB260" s="171">
        <f t="shared" si="418"/>
        <v>0</v>
      </c>
      <c r="CC260" s="171">
        <f t="shared" si="418"/>
        <v>0</v>
      </c>
      <c r="CD260" s="171">
        <f t="shared" si="418"/>
        <v>0</v>
      </c>
      <c r="CE260" s="171">
        <f t="shared" si="418"/>
        <v>0</v>
      </c>
      <c r="CF260" s="171">
        <f t="shared" si="418"/>
        <v>0</v>
      </c>
      <c r="CG260" s="171">
        <f t="shared" si="418"/>
        <v>0</v>
      </c>
      <c r="CH260" s="171">
        <f t="shared" si="418"/>
        <v>0</v>
      </c>
      <c r="CI260" s="171">
        <f t="shared" si="418"/>
        <v>0</v>
      </c>
      <c r="CJ260" s="243"/>
      <c r="CK260" s="171">
        <f t="shared" si="346"/>
        <v>0</v>
      </c>
      <c r="CL260" s="171">
        <f t="shared" si="347"/>
        <v>0</v>
      </c>
      <c r="CM260" s="171">
        <f t="shared" si="348"/>
        <v>0</v>
      </c>
      <c r="CN260" s="171">
        <f t="shared" si="349"/>
        <v>0</v>
      </c>
      <c r="CO260" s="171">
        <f t="shared" si="350"/>
        <v>0</v>
      </c>
      <c r="CP260" s="171">
        <f t="shared" si="351"/>
        <v>0</v>
      </c>
      <c r="CQ260" s="171">
        <f t="shared" si="352"/>
        <v>0</v>
      </c>
      <c r="CR260" s="171">
        <f t="shared" si="353"/>
        <v>0</v>
      </c>
      <c r="CS260" s="171">
        <f t="shared" si="354"/>
        <v>0</v>
      </c>
      <c r="CT260" s="171">
        <f t="shared" si="355"/>
        <v>0</v>
      </c>
      <c r="CU260" s="171">
        <f t="shared" si="356"/>
        <v>0</v>
      </c>
      <c r="CV260" s="171">
        <f t="shared" si="357"/>
        <v>0</v>
      </c>
      <c r="CW260" s="171">
        <f t="shared" si="358"/>
        <v>0</v>
      </c>
      <c r="CX260" s="171">
        <f t="shared" si="359"/>
        <v>0</v>
      </c>
      <c r="CY260" s="171">
        <f t="shared" ca="1" si="360"/>
        <v>0</v>
      </c>
      <c r="CZ260" s="171">
        <f t="shared" ca="1" si="361"/>
        <v>0</v>
      </c>
      <c r="DA260" s="171">
        <f t="shared" ca="1" si="362"/>
        <v>0</v>
      </c>
      <c r="DB260" s="171">
        <f t="shared" ca="1" si="363"/>
        <v>0</v>
      </c>
      <c r="DC260" s="171">
        <f t="shared" ca="1" si="364"/>
        <v>0</v>
      </c>
      <c r="DD260" s="171">
        <f t="shared" ca="1" si="365"/>
        <v>0</v>
      </c>
      <c r="DE260" s="171">
        <f t="shared" ca="1" si="366"/>
        <v>0</v>
      </c>
      <c r="DF260" s="171">
        <f t="shared" ca="1" si="367"/>
        <v>0</v>
      </c>
      <c r="DG260" s="171">
        <f t="shared" ca="1" si="368"/>
        <v>0</v>
      </c>
      <c r="DH260" s="171">
        <f t="shared" ca="1" si="369"/>
        <v>0</v>
      </c>
      <c r="DI260" s="171">
        <f t="shared" ca="1" si="370"/>
        <v>0</v>
      </c>
      <c r="DJ260" s="171">
        <f t="shared" ca="1" si="371"/>
        <v>0</v>
      </c>
      <c r="DK260" s="171">
        <f t="shared" ca="1" si="372"/>
        <v>0</v>
      </c>
      <c r="DL260" s="171">
        <f t="shared" ca="1" si="373"/>
        <v>0</v>
      </c>
      <c r="DM260" s="171">
        <f t="shared" ca="1" si="374"/>
        <v>0</v>
      </c>
      <c r="DN260" s="171">
        <f t="shared" ca="1" si="375"/>
        <v>0</v>
      </c>
      <c r="DO260" s="171">
        <f t="shared" ca="1" si="376"/>
        <v>0</v>
      </c>
      <c r="DP260" s="171">
        <f t="shared" ca="1" si="377"/>
        <v>0</v>
      </c>
      <c r="DQ260" s="171">
        <f t="shared" ca="1" si="378"/>
        <v>0</v>
      </c>
      <c r="DR260" s="171">
        <f t="shared" ca="1" si="379"/>
        <v>0</v>
      </c>
      <c r="DS260" s="171">
        <f t="shared" ca="1" si="380"/>
        <v>0</v>
      </c>
      <c r="DT260" s="171">
        <f t="shared" ca="1" si="381"/>
        <v>0</v>
      </c>
      <c r="DU260" s="171">
        <f t="shared" ca="1" si="382"/>
        <v>0</v>
      </c>
      <c r="DV260" s="171">
        <f t="shared" ca="1" si="383"/>
        <v>0</v>
      </c>
      <c r="DW260" s="171">
        <f t="shared" ca="1" si="384"/>
        <v>0</v>
      </c>
      <c r="DX260" s="171">
        <f t="shared" ca="1" si="385"/>
        <v>0</v>
      </c>
      <c r="DY260" s="171">
        <f t="shared" ca="1" si="386"/>
        <v>0</v>
      </c>
      <c r="DZ260" s="171">
        <f t="shared" ca="1" si="387"/>
        <v>0</v>
      </c>
      <c r="EA260" s="171">
        <f t="shared" ca="1" si="388"/>
        <v>0</v>
      </c>
      <c r="EB260" s="171">
        <f t="shared" ca="1" si="389"/>
        <v>0</v>
      </c>
      <c r="EC260" s="171">
        <f t="shared" ca="1" si="390"/>
        <v>0</v>
      </c>
      <c r="ED260" s="171">
        <f t="shared" ca="1" si="391"/>
        <v>0</v>
      </c>
      <c r="EE260" s="171">
        <f t="shared" ca="1" si="392"/>
        <v>0</v>
      </c>
      <c r="EF260" s="171">
        <f t="shared" ca="1" si="393"/>
        <v>0</v>
      </c>
      <c r="EG260" s="171">
        <f t="shared" ca="1" si="394"/>
        <v>0</v>
      </c>
      <c r="EH260" s="171">
        <f t="shared" ca="1" si="395"/>
        <v>0</v>
      </c>
      <c r="EI260" s="171">
        <f t="shared" ca="1" si="396"/>
        <v>0</v>
      </c>
      <c r="EJ260" s="171">
        <f t="shared" ca="1" si="397"/>
        <v>0</v>
      </c>
      <c r="EK260" s="171">
        <f t="shared" ca="1" si="398"/>
        <v>0</v>
      </c>
      <c r="EL260" s="171">
        <f t="shared" ca="1" si="399"/>
        <v>0</v>
      </c>
      <c r="EM260" s="171">
        <f t="shared" ca="1" si="400"/>
        <v>0</v>
      </c>
      <c r="EN260" s="171">
        <f t="shared" ca="1" si="401"/>
        <v>0</v>
      </c>
      <c r="EO260" s="171">
        <f t="shared" ca="1" si="402"/>
        <v>0</v>
      </c>
      <c r="EP260" s="171">
        <f t="shared" ca="1" si="403"/>
        <v>0</v>
      </c>
      <c r="EQ260" s="171">
        <f t="shared" ca="1" si="404"/>
        <v>0</v>
      </c>
      <c r="ER260" s="171">
        <f t="shared" ca="1" si="405"/>
        <v>0</v>
      </c>
      <c r="ES260" s="171">
        <f t="shared" ca="1" si="406"/>
        <v>0</v>
      </c>
    </row>
    <row r="261" spans="3:149">
      <c r="C261" s="214"/>
      <c r="L261" s="163"/>
      <c r="M261" s="164" t="str">
        <f t="shared" si="337"/>
        <v/>
      </c>
      <c r="N261" s="164" t="str">
        <f t="shared" si="338"/>
        <v/>
      </c>
      <c r="O261" s="165" t="str">
        <f t="shared" si="339"/>
        <v/>
      </c>
      <c r="R261" s="168"/>
      <c r="U261" s="171">
        <f t="shared" si="340"/>
        <v>0</v>
      </c>
      <c r="V261" s="171">
        <f t="shared" ca="1" si="341"/>
        <v>0</v>
      </c>
      <c r="W261" s="171">
        <f t="shared" ca="1" si="342"/>
        <v>0</v>
      </c>
      <c r="X261" s="172">
        <f t="shared" si="343"/>
        <v>0</v>
      </c>
      <c r="Y261" s="172" t="str">
        <f t="shared" si="344"/>
        <v/>
      </c>
      <c r="Z261" s="173">
        <f t="shared" si="345"/>
        <v>0</v>
      </c>
      <c r="AA261" s="171">
        <f t="shared" si="413"/>
        <v>0</v>
      </c>
      <c r="AB261" s="171">
        <f t="shared" si="413"/>
        <v>0</v>
      </c>
      <c r="AC261" s="171">
        <f t="shared" si="413"/>
        <v>0</v>
      </c>
      <c r="AD261" s="171">
        <f t="shared" si="413"/>
        <v>0</v>
      </c>
      <c r="AE261" s="171">
        <f t="shared" si="413"/>
        <v>0</v>
      </c>
      <c r="AF261" s="171">
        <f t="shared" si="413"/>
        <v>0</v>
      </c>
      <c r="AG261" s="171">
        <f t="shared" si="413"/>
        <v>0</v>
      </c>
      <c r="AH261" s="171">
        <f t="shared" si="413"/>
        <v>0</v>
      </c>
      <c r="AI261" s="171">
        <f t="shared" si="413"/>
        <v>0</v>
      </c>
      <c r="AJ261" s="171">
        <f t="shared" si="413"/>
        <v>0</v>
      </c>
      <c r="AK261" s="171">
        <f t="shared" si="414"/>
        <v>0</v>
      </c>
      <c r="AL261" s="171">
        <f t="shared" si="414"/>
        <v>0</v>
      </c>
      <c r="AM261" s="171">
        <f t="shared" si="414"/>
        <v>0</v>
      </c>
      <c r="AN261" s="171">
        <f t="shared" si="414"/>
        <v>0</v>
      </c>
      <c r="AO261" s="171">
        <f t="shared" si="414"/>
        <v>0</v>
      </c>
      <c r="AP261" s="171">
        <f t="shared" si="414"/>
        <v>0</v>
      </c>
      <c r="AQ261" s="171">
        <f t="shared" si="414"/>
        <v>0</v>
      </c>
      <c r="AR261" s="171">
        <f t="shared" si="414"/>
        <v>0</v>
      </c>
      <c r="AS261" s="171">
        <f t="shared" si="414"/>
        <v>0</v>
      </c>
      <c r="AT261" s="171">
        <f t="shared" si="414"/>
        <v>0</v>
      </c>
      <c r="AU261" s="171">
        <f t="shared" si="415"/>
        <v>0</v>
      </c>
      <c r="AV261" s="171">
        <f t="shared" si="415"/>
        <v>0</v>
      </c>
      <c r="AW261" s="171">
        <f t="shared" si="415"/>
        <v>0</v>
      </c>
      <c r="AX261" s="171">
        <f t="shared" si="415"/>
        <v>0</v>
      </c>
      <c r="AY261" s="171">
        <f t="shared" si="415"/>
        <v>0</v>
      </c>
      <c r="AZ261" s="171">
        <f t="shared" si="415"/>
        <v>0</v>
      </c>
      <c r="BA261" s="171">
        <f t="shared" si="415"/>
        <v>0</v>
      </c>
      <c r="BB261" s="171">
        <f t="shared" si="415"/>
        <v>0</v>
      </c>
      <c r="BC261" s="171">
        <f t="shared" si="415"/>
        <v>0</v>
      </c>
      <c r="BD261" s="171">
        <f t="shared" si="415"/>
        <v>0</v>
      </c>
      <c r="BE261" s="171">
        <f t="shared" si="416"/>
        <v>0</v>
      </c>
      <c r="BF261" s="171">
        <f t="shared" si="416"/>
        <v>0</v>
      </c>
      <c r="BG261" s="171">
        <f t="shared" si="416"/>
        <v>0</v>
      </c>
      <c r="BH261" s="171">
        <f t="shared" si="416"/>
        <v>0</v>
      </c>
      <c r="BI261" s="171">
        <f t="shared" si="416"/>
        <v>0</v>
      </c>
      <c r="BJ261" s="171">
        <f t="shared" si="416"/>
        <v>0</v>
      </c>
      <c r="BK261" s="171">
        <f t="shared" si="416"/>
        <v>0</v>
      </c>
      <c r="BL261" s="171">
        <f t="shared" si="416"/>
        <v>0</v>
      </c>
      <c r="BM261" s="171">
        <f t="shared" si="416"/>
        <v>0</v>
      </c>
      <c r="BN261" s="171">
        <f t="shared" si="416"/>
        <v>0</v>
      </c>
      <c r="BO261" s="171">
        <f t="shared" si="417"/>
        <v>0</v>
      </c>
      <c r="BP261" s="171">
        <f t="shared" si="417"/>
        <v>0</v>
      </c>
      <c r="BQ261" s="171">
        <f t="shared" si="417"/>
        <v>0</v>
      </c>
      <c r="BR261" s="171">
        <f t="shared" si="417"/>
        <v>0</v>
      </c>
      <c r="BS261" s="171">
        <f t="shared" si="417"/>
        <v>0</v>
      </c>
      <c r="BT261" s="171">
        <f t="shared" si="417"/>
        <v>0</v>
      </c>
      <c r="BU261" s="171">
        <f t="shared" si="417"/>
        <v>0</v>
      </c>
      <c r="BV261" s="171">
        <f t="shared" si="417"/>
        <v>0</v>
      </c>
      <c r="BW261" s="171">
        <f t="shared" si="417"/>
        <v>0</v>
      </c>
      <c r="BX261" s="171">
        <f t="shared" si="417"/>
        <v>0</v>
      </c>
      <c r="BY261" s="171">
        <f t="shared" si="418"/>
        <v>0</v>
      </c>
      <c r="BZ261" s="171">
        <f t="shared" si="418"/>
        <v>0</v>
      </c>
      <c r="CA261" s="171">
        <f t="shared" si="418"/>
        <v>0</v>
      </c>
      <c r="CB261" s="171">
        <f t="shared" si="418"/>
        <v>0</v>
      </c>
      <c r="CC261" s="171">
        <f t="shared" si="418"/>
        <v>0</v>
      </c>
      <c r="CD261" s="171">
        <f t="shared" si="418"/>
        <v>0</v>
      </c>
      <c r="CE261" s="171">
        <f t="shared" si="418"/>
        <v>0</v>
      </c>
      <c r="CF261" s="171">
        <f t="shared" si="418"/>
        <v>0</v>
      </c>
      <c r="CG261" s="171">
        <f t="shared" si="418"/>
        <v>0</v>
      </c>
      <c r="CH261" s="171">
        <f t="shared" si="418"/>
        <v>0</v>
      </c>
      <c r="CI261" s="171">
        <f t="shared" si="418"/>
        <v>0</v>
      </c>
      <c r="CJ261" s="243"/>
      <c r="CK261" s="171">
        <f t="shared" si="346"/>
        <v>0</v>
      </c>
      <c r="CL261" s="171">
        <f t="shared" si="347"/>
        <v>0</v>
      </c>
      <c r="CM261" s="171">
        <f t="shared" si="348"/>
        <v>0</v>
      </c>
      <c r="CN261" s="171">
        <f t="shared" si="349"/>
        <v>0</v>
      </c>
      <c r="CO261" s="171">
        <f t="shared" si="350"/>
        <v>0</v>
      </c>
      <c r="CP261" s="171">
        <f t="shared" si="351"/>
        <v>0</v>
      </c>
      <c r="CQ261" s="171">
        <f t="shared" si="352"/>
        <v>0</v>
      </c>
      <c r="CR261" s="171">
        <f t="shared" si="353"/>
        <v>0</v>
      </c>
      <c r="CS261" s="171">
        <f t="shared" si="354"/>
        <v>0</v>
      </c>
      <c r="CT261" s="171">
        <f t="shared" si="355"/>
        <v>0</v>
      </c>
      <c r="CU261" s="171">
        <f t="shared" si="356"/>
        <v>0</v>
      </c>
      <c r="CV261" s="171">
        <f t="shared" si="357"/>
        <v>0</v>
      </c>
      <c r="CW261" s="171">
        <f t="shared" si="358"/>
        <v>0</v>
      </c>
      <c r="CX261" s="171">
        <f t="shared" si="359"/>
        <v>0</v>
      </c>
      <c r="CY261" s="171">
        <f t="shared" ca="1" si="360"/>
        <v>0</v>
      </c>
      <c r="CZ261" s="171">
        <f t="shared" ca="1" si="361"/>
        <v>0</v>
      </c>
      <c r="DA261" s="171">
        <f t="shared" ca="1" si="362"/>
        <v>0</v>
      </c>
      <c r="DB261" s="171">
        <f t="shared" ca="1" si="363"/>
        <v>0</v>
      </c>
      <c r="DC261" s="171">
        <f t="shared" ca="1" si="364"/>
        <v>0</v>
      </c>
      <c r="DD261" s="171">
        <f t="shared" ca="1" si="365"/>
        <v>0</v>
      </c>
      <c r="DE261" s="171">
        <f t="shared" ca="1" si="366"/>
        <v>0</v>
      </c>
      <c r="DF261" s="171">
        <f t="shared" ca="1" si="367"/>
        <v>0</v>
      </c>
      <c r="DG261" s="171">
        <f t="shared" ca="1" si="368"/>
        <v>0</v>
      </c>
      <c r="DH261" s="171">
        <f t="shared" ca="1" si="369"/>
        <v>0</v>
      </c>
      <c r="DI261" s="171">
        <f t="shared" ca="1" si="370"/>
        <v>0</v>
      </c>
      <c r="DJ261" s="171">
        <f t="shared" ca="1" si="371"/>
        <v>0</v>
      </c>
      <c r="DK261" s="171">
        <f t="shared" ca="1" si="372"/>
        <v>0</v>
      </c>
      <c r="DL261" s="171">
        <f t="shared" ca="1" si="373"/>
        <v>0</v>
      </c>
      <c r="DM261" s="171">
        <f t="shared" ca="1" si="374"/>
        <v>0</v>
      </c>
      <c r="DN261" s="171">
        <f t="shared" ca="1" si="375"/>
        <v>0</v>
      </c>
      <c r="DO261" s="171">
        <f t="shared" ca="1" si="376"/>
        <v>0</v>
      </c>
      <c r="DP261" s="171">
        <f t="shared" ca="1" si="377"/>
        <v>0</v>
      </c>
      <c r="DQ261" s="171">
        <f t="shared" ca="1" si="378"/>
        <v>0</v>
      </c>
      <c r="DR261" s="171">
        <f t="shared" ca="1" si="379"/>
        <v>0</v>
      </c>
      <c r="DS261" s="171">
        <f t="shared" ca="1" si="380"/>
        <v>0</v>
      </c>
      <c r="DT261" s="171">
        <f t="shared" ca="1" si="381"/>
        <v>0</v>
      </c>
      <c r="DU261" s="171">
        <f t="shared" ca="1" si="382"/>
        <v>0</v>
      </c>
      <c r="DV261" s="171">
        <f t="shared" ca="1" si="383"/>
        <v>0</v>
      </c>
      <c r="DW261" s="171">
        <f t="shared" ca="1" si="384"/>
        <v>0</v>
      </c>
      <c r="DX261" s="171">
        <f t="shared" ca="1" si="385"/>
        <v>0</v>
      </c>
      <c r="DY261" s="171">
        <f t="shared" ca="1" si="386"/>
        <v>0</v>
      </c>
      <c r="DZ261" s="171">
        <f t="shared" ca="1" si="387"/>
        <v>0</v>
      </c>
      <c r="EA261" s="171">
        <f t="shared" ca="1" si="388"/>
        <v>0</v>
      </c>
      <c r="EB261" s="171">
        <f t="shared" ca="1" si="389"/>
        <v>0</v>
      </c>
      <c r="EC261" s="171">
        <f t="shared" ca="1" si="390"/>
        <v>0</v>
      </c>
      <c r="ED261" s="171">
        <f t="shared" ca="1" si="391"/>
        <v>0</v>
      </c>
      <c r="EE261" s="171">
        <f t="shared" ca="1" si="392"/>
        <v>0</v>
      </c>
      <c r="EF261" s="171">
        <f t="shared" ca="1" si="393"/>
        <v>0</v>
      </c>
      <c r="EG261" s="171">
        <f t="shared" ca="1" si="394"/>
        <v>0</v>
      </c>
      <c r="EH261" s="171">
        <f t="shared" ca="1" si="395"/>
        <v>0</v>
      </c>
      <c r="EI261" s="171">
        <f t="shared" ca="1" si="396"/>
        <v>0</v>
      </c>
      <c r="EJ261" s="171">
        <f t="shared" ca="1" si="397"/>
        <v>0</v>
      </c>
      <c r="EK261" s="171">
        <f t="shared" ca="1" si="398"/>
        <v>0</v>
      </c>
      <c r="EL261" s="171">
        <f t="shared" ca="1" si="399"/>
        <v>0</v>
      </c>
      <c r="EM261" s="171">
        <f t="shared" ca="1" si="400"/>
        <v>0</v>
      </c>
      <c r="EN261" s="171">
        <f t="shared" ca="1" si="401"/>
        <v>0</v>
      </c>
      <c r="EO261" s="171">
        <f t="shared" ca="1" si="402"/>
        <v>0</v>
      </c>
      <c r="EP261" s="171">
        <f t="shared" ca="1" si="403"/>
        <v>0</v>
      </c>
      <c r="EQ261" s="171">
        <f t="shared" ca="1" si="404"/>
        <v>0</v>
      </c>
      <c r="ER261" s="171">
        <f t="shared" ca="1" si="405"/>
        <v>0</v>
      </c>
      <c r="ES261" s="171">
        <f t="shared" ca="1" si="406"/>
        <v>0</v>
      </c>
    </row>
    <row r="262" spans="3:149">
      <c r="C262" s="214"/>
      <c r="L262" s="163"/>
      <c r="M262" s="164" t="str">
        <f t="shared" si="337"/>
        <v/>
      </c>
      <c r="N262" s="164" t="str">
        <f t="shared" si="338"/>
        <v/>
      </c>
      <c r="O262" s="165" t="str">
        <f t="shared" si="339"/>
        <v/>
      </c>
      <c r="R262" s="168"/>
      <c r="U262" s="171">
        <f t="shared" si="340"/>
        <v>0</v>
      </c>
      <c r="V262" s="171">
        <f t="shared" ca="1" si="341"/>
        <v>0</v>
      </c>
      <c r="W262" s="171">
        <f t="shared" ca="1" si="342"/>
        <v>0</v>
      </c>
      <c r="X262" s="172">
        <f t="shared" si="343"/>
        <v>0</v>
      </c>
      <c r="Y262" s="172" t="str">
        <f t="shared" si="344"/>
        <v/>
      </c>
      <c r="Z262" s="173">
        <f t="shared" si="345"/>
        <v>0</v>
      </c>
      <c r="AA262" s="171">
        <f t="shared" si="413"/>
        <v>0</v>
      </c>
      <c r="AB262" s="171">
        <f t="shared" si="413"/>
        <v>0</v>
      </c>
      <c r="AC262" s="171">
        <f t="shared" si="413"/>
        <v>0</v>
      </c>
      <c r="AD262" s="171">
        <f t="shared" si="413"/>
        <v>0</v>
      </c>
      <c r="AE262" s="171">
        <f t="shared" si="413"/>
        <v>0</v>
      </c>
      <c r="AF262" s="171">
        <f t="shared" si="413"/>
        <v>0</v>
      </c>
      <c r="AG262" s="171">
        <f t="shared" si="413"/>
        <v>0</v>
      </c>
      <c r="AH262" s="171">
        <f t="shared" si="413"/>
        <v>0</v>
      </c>
      <c r="AI262" s="171">
        <f t="shared" si="413"/>
        <v>0</v>
      </c>
      <c r="AJ262" s="171">
        <f t="shared" si="413"/>
        <v>0</v>
      </c>
      <c r="AK262" s="171">
        <f t="shared" si="414"/>
        <v>0</v>
      </c>
      <c r="AL262" s="171">
        <f t="shared" si="414"/>
        <v>0</v>
      </c>
      <c r="AM262" s="171">
        <f t="shared" si="414"/>
        <v>0</v>
      </c>
      <c r="AN262" s="171">
        <f t="shared" si="414"/>
        <v>0</v>
      </c>
      <c r="AO262" s="171">
        <f t="shared" si="414"/>
        <v>0</v>
      </c>
      <c r="AP262" s="171">
        <f t="shared" si="414"/>
        <v>0</v>
      </c>
      <c r="AQ262" s="171">
        <f t="shared" si="414"/>
        <v>0</v>
      </c>
      <c r="AR262" s="171">
        <f t="shared" si="414"/>
        <v>0</v>
      </c>
      <c r="AS262" s="171">
        <f t="shared" si="414"/>
        <v>0</v>
      </c>
      <c r="AT262" s="171">
        <f t="shared" si="414"/>
        <v>0</v>
      </c>
      <c r="AU262" s="171">
        <f t="shared" si="415"/>
        <v>0</v>
      </c>
      <c r="AV262" s="171">
        <f t="shared" si="415"/>
        <v>0</v>
      </c>
      <c r="AW262" s="171">
        <f t="shared" si="415"/>
        <v>0</v>
      </c>
      <c r="AX262" s="171">
        <f t="shared" si="415"/>
        <v>0</v>
      </c>
      <c r="AY262" s="171">
        <f t="shared" si="415"/>
        <v>0</v>
      </c>
      <c r="AZ262" s="171">
        <f t="shared" si="415"/>
        <v>0</v>
      </c>
      <c r="BA262" s="171">
        <f t="shared" si="415"/>
        <v>0</v>
      </c>
      <c r="BB262" s="171">
        <f t="shared" si="415"/>
        <v>0</v>
      </c>
      <c r="BC262" s="171">
        <f t="shared" si="415"/>
        <v>0</v>
      </c>
      <c r="BD262" s="171">
        <f t="shared" si="415"/>
        <v>0</v>
      </c>
      <c r="BE262" s="171">
        <f t="shared" si="416"/>
        <v>0</v>
      </c>
      <c r="BF262" s="171">
        <f t="shared" si="416"/>
        <v>0</v>
      </c>
      <c r="BG262" s="171">
        <f t="shared" si="416"/>
        <v>0</v>
      </c>
      <c r="BH262" s="171">
        <f t="shared" si="416"/>
        <v>0</v>
      </c>
      <c r="BI262" s="171">
        <f t="shared" si="416"/>
        <v>0</v>
      </c>
      <c r="BJ262" s="171">
        <f t="shared" si="416"/>
        <v>0</v>
      </c>
      <c r="BK262" s="171">
        <f t="shared" si="416"/>
        <v>0</v>
      </c>
      <c r="BL262" s="171">
        <f t="shared" si="416"/>
        <v>0</v>
      </c>
      <c r="BM262" s="171">
        <f t="shared" si="416"/>
        <v>0</v>
      </c>
      <c r="BN262" s="171">
        <f t="shared" si="416"/>
        <v>0</v>
      </c>
      <c r="BO262" s="171">
        <f t="shared" si="417"/>
        <v>0</v>
      </c>
      <c r="BP262" s="171">
        <f t="shared" si="417"/>
        <v>0</v>
      </c>
      <c r="BQ262" s="171">
        <f t="shared" si="417"/>
        <v>0</v>
      </c>
      <c r="BR262" s="171">
        <f t="shared" si="417"/>
        <v>0</v>
      </c>
      <c r="BS262" s="171">
        <f t="shared" si="417"/>
        <v>0</v>
      </c>
      <c r="BT262" s="171">
        <f t="shared" si="417"/>
        <v>0</v>
      </c>
      <c r="BU262" s="171">
        <f t="shared" si="417"/>
        <v>0</v>
      </c>
      <c r="BV262" s="171">
        <f t="shared" si="417"/>
        <v>0</v>
      </c>
      <c r="BW262" s="171">
        <f t="shared" si="417"/>
        <v>0</v>
      </c>
      <c r="BX262" s="171">
        <f t="shared" si="417"/>
        <v>0</v>
      </c>
      <c r="BY262" s="171">
        <f t="shared" si="418"/>
        <v>0</v>
      </c>
      <c r="BZ262" s="171">
        <f t="shared" si="418"/>
        <v>0</v>
      </c>
      <c r="CA262" s="171">
        <f t="shared" si="418"/>
        <v>0</v>
      </c>
      <c r="CB262" s="171">
        <f t="shared" si="418"/>
        <v>0</v>
      </c>
      <c r="CC262" s="171">
        <f t="shared" si="418"/>
        <v>0</v>
      </c>
      <c r="CD262" s="171">
        <f t="shared" si="418"/>
        <v>0</v>
      </c>
      <c r="CE262" s="171">
        <f t="shared" si="418"/>
        <v>0</v>
      </c>
      <c r="CF262" s="171">
        <f t="shared" si="418"/>
        <v>0</v>
      </c>
      <c r="CG262" s="171">
        <f t="shared" si="418"/>
        <v>0</v>
      </c>
      <c r="CH262" s="171">
        <f t="shared" si="418"/>
        <v>0</v>
      </c>
      <c r="CI262" s="171">
        <f t="shared" si="418"/>
        <v>0</v>
      </c>
      <c r="CJ262" s="243"/>
      <c r="CK262" s="171">
        <f t="shared" si="346"/>
        <v>0</v>
      </c>
      <c r="CL262" s="171">
        <f t="shared" si="347"/>
        <v>0</v>
      </c>
      <c r="CM262" s="171">
        <f t="shared" si="348"/>
        <v>0</v>
      </c>
      <c r="CN262" s="171">
        <f t="shared" si="349"/>
        <v>0</v>
      </c>
      <c r="CO262" s="171">
        <f t="shared" si="350"/>
        <v>0</v>
      </c>
      <c r="CP262" s="171">
        <f t="shared" si="351"/>
        <v>0</v>
      </c>
      <c r="CQ262" s="171">
        <f t="shared" si="352"/>
        <v>0</v>
      </c>
      <c r="CR262" s="171">
        <f t="shared" si="353"/>
        <v>0</v>
      </c>
      <c r="CS262" s="171">
        <f t="shared" si="354"/>
        <v>0</v>
      </c>
      <c r="CT262" s="171">
        <f t="shared" si="355"/>
        <v>0</v>
      </c>
      <c r="CU262" s="171">
        <f t="shared" si="356"/>
        <v>0</v>
      </c>
      <c r="CV262" s="171">
        <f t="shared" si="357"/>
        <v>0</v>
      </c>
      <c r="CW262" s="171">
        <f t="shared" si="358"/>
        <v>0</v>
      </c>
      <c r="CX262" s="171">
        <f t="shared" si="359"/>
        <v>0</v>
      </c>
      <c r="CY262" s="171">
        <f t="shared" ca="1" si="360"/>
        <v>0</v>
      </c>
      <c r="CZ262" s="171">
        <f t="shared" ca="1" si="361"/>
        <v>0</v>
      </c>
      <c r="DA262" s="171">
        <f t="shared" ca="1" si="362"/>
        <v>0</v>
      </c>
      <c r="DB262" s="171">
        <f t="shared" ca="1" si="363"/>
        <v>0</v>
      </c>
      <c r="DC262" s="171">
        <f t="shared" ca="1" si="364"/>
        <v>0</v>
      </c>
      <c r="DD262" s="171">
        <f t="shared" ca="1" si="365"/>
        <v>0</v>
      </c>
      <c r="DE262" s="171">
        <f t="shared" ca="1" si="366"/>
        <v>0</v>
      </c>
      <c r="DF262" s="171">
        <f t="shared" ca="1" si="367"/>
        <v>0</v>
      </c>
      <c r="DG262" s="171">
        <f t="shared" ca="1" si="368"/>
        <v>0</v>
      </c>
      <c r="DH262" s="171">
        <f t="shared" ca="1" si="369"/>
        <v>0</v>
      </c>
      <c r="DI262" s="171">
        <f t="shared" ca="1" si="370"/>
        <v>0</v>
      </c>
      <c r="DJ262" s="171">
        <f t="shared" ca="1" si="371"/>
        <v>0</v>
      </c>
      <c r="DK262" s="171">
        <f t="shared" ca="1" si="372"/>
        <v>0</v>
      </c>
      <c r="DL262" s="171">
        <f t="shared" ca="1" si="373"/>
        <v>0</v>
      </c>
      <c r="DM262" s="171">
        <f t="shared" ca="1" si="374"/>
        <v>0</v>
      </c>
      <c r="DN262" s="171">
        <f t="shared" ca="1" si="375"/>
        <v>0</v>
      </c>
      <c r="DO262" s="171">
        <f t="shared" ca="1" si="376"/>
        <v>0</v>
      </c>
      <c r="DP262" s="171">
        <f t="shared" ca="1" si="377"/>
        <v>0</v>
      </c>
      <c r="DQ262" s="171">
        <f t="shared" ca="1" si="378"/>
        <v>0</v>
      </c>
      <c r="DR262" s="171">
        <f t="shared" ca="1" si="379"/>
        <v>0</v>
      </c>
      <c r="DS262" s="171">
        <f t="shared" ca="1" si="380"/>
        <v>0</v>
      </c>
      <c r="DT262" s="171">
        <f t="shared" ca="1" si="381"/>
        <v>0</v>
      </c>
      <c r="DU262" s="171">
        <f t="shared" ca="1" si="382"/>
        <v>0</v>
      </c>
      <c r="DV262" s="171">
        <f t="shared" ca="1" si="383"/>
        <v>0</v>
      </c>
      <c r="DW262" s="171">
        <f t="shared" ca="1" si="384"/>
        <v>0</v>
      </c>
      <c r="DX262" s="171">
        <f t="shared" ca="1" si="385"/>
        <v>0</v>
      </c>
      <c r="DY262" s="171">
        <f t="shared" ca="1" si="386"/>
        <v>0</v>
      </c>
      <c r="DZ262" s="171">
        <f t="shared" ca="1" si="387"/>
        <v>0</v>
      </c>
      <c r="EA262" s="171">
        <f t="shared" ca="1" si="388"/>
        <v>0</v>
      </c>
      <c r="EB262" s="171">
        <f t="shared" ca="1" si="389"/>
        <v>0</v>
      </c>
      <c r="EC262" s="171">
        <f t="shared" ca="1" si="390"/>
        <v>0</v>
      </c>
      <c r="ED262" s="171">
        <f t="shared" ca="1" si="391"/>
        <v>0</v>
      </c>
      <c r="EE262" s="171">
        <f t="shared" ca="1" si="392"/>
        <v>0</v>
      </c>
      <c r="EF262" s="171">
        <f t="shared" ca="1" si="393"/>
        <v>0</v>
      </c>
      <c r="EG262" s="171">
        <f t="shared" ca="1" si="394"/>
        <v>0</v>
      </c>
      <c r="EH262" s="171">
        <f t="shared" ca="1" si="395"/>
        <v>0</v>
      </c>
      <c r="EI262" s="171">
        <f t="shared" ca="1" si="396"/>
        <v>0</v>
      </c>
      <c r="EJ262" s="171">
        <f t="shared" ca="1" si="397"/>
        <v>0</v>
      </c>
      <c r="EK262" s="171">
        <f t="shared" ca="1" si="398"/>
        <v>0</v>
      </c>
      <c r="EL262" s="171">
        <f t="shared" ca="1" si="399"/>
        <v>0</v>
      </c>
      <c r="EM262" s="171">
        <f t="shared" ca="1" si="400"/>
        <v>0</v>
      </c>
      <c r="EN262" s="171">
        <f t="shared" ca="1" si="401"/>
        <v>0</v>
      </c>
      <c r="EO262" s="171">
        <f t="shared" ca="1" si="402"/>
        <v>0</v>
      </c>
      <c r="EP262" s="171">
        <f t="shared" ca="1" si="403"/>
        <v>0</v>
      </c>
      <c r="EQ262" s="171">
        <f t="shared" ca="1" si="404"/>
        <v>0</v>
      </c>
      <c r="ER262" s="171">
        <f t="shared" ca="1" si="405"/>
        <v>0</v>
      </c>
      <c r="ES262" s="171">
        <f t="shared" ca="1" si="406"/>
        <v>0</v>
      </c>
    </row>
    <row r="263" spans="3:149">
      <c r="C263" s="214"/>
      <c r="L263" s="163"/>
      <c r="M263" s="164" t="str">
        <f t="shared" si="337"/>
        <v/>
      </c>
      <c r="N263" s="164" t="str">
        <f t="shared" si="338"/>
        <v/>
      </c>
      <c r="O263" s="165" t="str">
        <f t="shared" si="339"/>
        <v/>
      </c>
      <c r="R263" s="168"/>
      <c r="U263" s="171">
        <f t="shared" si="340"/>
        <v>0</v>
      </c>
      <c r="V263" s="171">
        <f t="shared" ca="1" si="341"/>
        <v>0</v>
      </c>
      <c r="W263" s="171">
        <f t="shared" ca="1" si="342"/>
        <v>0</v>
      </c>
      <c r="X263" s="172">
        <f t="shared" si="343"/>
        <v>0</v>
      </c>
      <c r="Y263" s="172" t="str">
        <f t="shared" si="344"/>
        <v/>
      </c>
      <c r="Z263" s="173">
        <f t="shared" si="345"/>
        <v>0</v>
      </c>
      <c r="AA263" s="171">
        <f t="shared" si="413"/>
        <v>0</v>
      </c>
      <c r="AB263" s="171">
        <f t="shared" si="413"/>
        <v>0</v>
      </c>
      <c r="AC263" s="171">
        <f t="shared" si="413"/>
        <v>0</v>
      </c>
      <c r="AD263" s="171">
        <f t="shared" si="413"/>
        <v>0</v>
      </c>
      <c r="AE263" s="171">
        <f t="shared" si="413"/>
        <v>0</v>
      </c>
      <c r="AF263" s="171">
        <f t="shared" si="413"/>
        <v>0</v>
      </c>
      <c r="AG263" s="171">
        <f t="shared" si="413"/>
        <v>0</v>
      </c>
      <c r="AH263" s="171">
        <f t="shared" si="413"/>
        <v>0</v>
      </c>
      <c r="AI263" s="171">
        <f t="shared" si="413"/>
        <v>0</v>
      </c>
      <c r="AJ263" s="171">
        <f t="shared" si="413"/>
        <v>0</v>
      </c>
      <c r="AK263" s="171">
        <f t="shared" si="414"/>
        <v>0</v>
      </c>
      <c r="AL263" s="171">
        <f t="shared" si="414"/>
        <v>0</v>
      </c>
      <c r="AM263" s="171">
        <f t="shared" si="414"/>
        <v>0</v>
      </c>
      <c r="AN263" s="171">
        <f t="shared" si="414"/>
        <v>0</v>
      </c>
      <c r="AO263" s="171">
        <f t="shared" si="414"/>
        <v>0</v>
      </c>
      <c r="AP263" s="171">
        <f t="shared" si="414"/>
        <v>0</v>
      </c>
      <c r="AQ263" s="171">
        <f t="shared" si="414"/>
        <v>0</v>
      </c>
      <c r="AR263" s="171">
        <f t="shared" si="414"/>
        <v>0</v>
      </c>
      <c r="AS263" s="171">
        <f t="shared" si="414"/>
        <v>0</v>
      </c>
      <c r="AT263" s="171">
        <f t="shared" si="414"/>
        <v>0</v>
      </c>
      <c r="AU263" s="171">
        <f t="shared" si="415"/>
        <v>0</v>
      </c>
      <c r="AV263" s="171">
        <f t="shared" si="415"/>
        <v>0</v>
      </c>
      <c r="AW263" s="171">
        <f t="shared" si="415"/>
        <v>0</v>
      </c>
      <c r="AX263" s="171">
        <f t="shared" si="415"/>
        <v>0</v>
      </c>
      <c r="AY263" s="171">
        <f t="shared" si="415"/>
        <v>0</v>
      </c>
      <c r="AZ263" s="171">
        <f t="shared" si="415"/>
        <v>0</v>
      </c>
      <c r="BA263" s="171">
        <f t="shared" si="415"/>
        <v>0</v>
      </c>
      <c r="BB263" s="171">
        <f t="shared" si="415"/>
        <v>0</v>
      </c>
      <c r="BC263" s="171">
        <f t="shared" si="415"/>
        <v>0</v>
      </c>
      <c r="BD263" s="171">
        <f t="shared" si="415"/>
        <v>0</v>
      </c>
      <c r="BE263" s="171">
        <f t="shared" si="416"/>
        <v>0</v>
      </c>
      <c r="BF263" s="171">
        <f t="shared" si="416"/>
        <v>0</v>
      </c>
      <c r="BG263" s="171">
        <f t="shared" si="416"/>
        <v>0</v>
      </c>
      <c r="BH263" s="171">
        <f t="shared" si="416"/>
        <v>0</v>
      </c>
      <c r="BI263" s="171">
        <f t="shared" si="416"/>
        <v>0</v>
      </c>
      <c r="BJ263" s="171">
        <f t="shared" si="416"/>
        <v>0</v>
      </c>
      <c r="BK263" s="171">
        <f t="shared" si="416"/>
        <v>0</v>
      </c>
      <c r="BL263" s="171">
        <f t="shared" si="416"/>
        <v>0</v>
      </c>
      <c r="BM263" s="171">
        <f t="shared" si="416"/>
        <v>0</v>
      </c>
      <c r="BN263" s="171">
        <f t="shared" si="416"/>
        <v>0</v>
      </c>
      <c r="BO263" s="171">
        <f t="shared" si="417"/>
        <v>0</v>
      </c>
      <c r="BP263" s="171">
        <f t="shared" si="417"/>
        <v>0</v>
      </c>
      <c r="BQ263" s="171">
        <f t="shared" si="417"/>
        <v>0</v>
      </c>
      <c r="BR263" s="171">
        <f t="shared" si="417"/>
        <v>0</v>
      </c>
      <c r="BS263" s="171">
        <f t="shared" si="417"/>
        <v>0</v>
      </c>
      <c r="BT263" s="171">
        <f t="shared" si="417"/>
        <v>0</v>
      </c>
      <c r="BU263" s="171">
        <f t="shared" si="417"/>
        <v>0</v>
      </c>
      <c r="BV263" s="171">
        <f t="shared" si="417"/>
        <v>0</v>
      </c>
      <c r="BW263" s="171">
        <f t="shared" si="417"/>
        <v>0</v>
      </c>
      <c r="BX263" s="171">
        <f t="shared" si="417"/>
        <v>0</v>
      </c>
      <c r="BY263" s="171">
        <f t="shared" si="418"/>
        <v>0</v>
      </c>
      <c r="BZ263" s="171">
        <f t="shared" si="418"/>
        <v>0</v>
      </c>
      <c r="CA263" s="171">
        <f t="shared" si="418"/>
        <v>0</v>
      </c>
      <c r="CB263" s="171">
        <f t="shared" si="418"/>
        <v>0</v>
      </c>
      <c r="CC263" s="171">
        <f t="shared" si="418"/>
        <v>0</v>
      </c>
      <c r="CD263" s="171">
        <f t="shared" si="418"/>
        <v>0</v>
      </c>
      <c r="CE263" s="171">
        <f t="shared" si="418"/>
        <v>0</v>
      </c>
      <c r="CF263" s="171">
        <f t="shared" si="418"/>
        <v>0</v>
      </c>
      <c r="CG263" s="171">
        <f t="shared" si="418"/>
        <v>0</v>
      </c>
      <c r="CH263" s="171">
        <f t="shared" si="418"/>
        <v>0</v>
      </c>
      <c r="CI263" s="171">
        <f t="shared" si="418"/>
        <v>0</v>
      </c>
      <c r="CJ263" s="243"/>
      <c r="CK263" s="171">
        <f t="shared" si="346"/>
        <v>0</v>
      </c>
      <c r="CL263" s="171">
        <f t="shared" si="347"/>
        <v>0</v>
      </c>
      <c r="CM263" s="171">
        <f t="shared" si="348"/>
        <v>0</v>
      </c>
      <c r="CN263" s="171">
        <f t="shared" si="349"/>
        <v>0</v>
      </c>
      <c r="CO263" s="171">
        <f t="shared" si="350"/>
        <v>0</v>
      </c>
      <c r="CP263" s="171">
        <f t="shared" si="351"/>
        <v>0</v>
      </c>
      <c r="CQ263" s="171">
        <f t="shared" si="352"/>
        <v>0</v>
      </c>
      <c r="CR263" s="171">
        <f t="shared" si="353"/>
        <v>0</v>
      </c>
      <c r="CS263" s="171">
        <f t="shared" si="354"/>
        <v>0</v>
      </c>
      <c r="CT263" s="171">
        <f t="shared" si="355"/>
        <v>0</v>
      </c>
      <c r="CU263" s="171">
        <f t="shared" si="356"/>
        <v>0</v>
      </c>
      <c r="CV263" s="171">
        <f t="shared" si="357"/>
        <v>0</v>
      </c>
      <c r="CW263" s="171">
        <f t="shared" si="358"/>
        <v>0</v>
      </c>
      <c r="CX263" s="171">
        <f t="shared" si="359"/>
        <v>0</v>
      </c>
      <c r="CY263" s="171">
        <f t="shared" ca="1" si="360"/>
        <v>0</v>
      </c>
      <c r="CZ263" s="171">
        <f t="shared" ca="1" si="361"/>
        <v>0</v>
      </c>
      <c r="DA263" s="171">
        <f t="shared" ca="1" si="362"/>
        <v>0</v>
      </c>
      <c r="DB263" s="171">
        <f t="shared" ca="1" si="363"/>
        <v>0</v>
      </c>
      <c r="DC263" s="171">
        <f t="shared" ca="1" si="364"/>
        <v>0</v>
      </c>
      <c r="DD263" s="171">
        <f t="shared" ca="1" si="365"/>
        <v>0</v>
      </c>
      <c r="DE263" s="171">
        <f t="shared" ca="1" si="366"/>
        <v>0</v>
      </c>
      <c r="DF263" s="171">
        <f t="shared" ca="1" si="367"/>
        <v>0</v>
      </c>
      <c r="DG263" s="171">
        <f t="shared" ca="1" si="368"/>
        <v>0</v>
      </c>
      <c r="DH263" s="171">
        <f t="shared" ca="1" si="369"/>
        <v>0</v>
      </c>
      <c r="DI263" s="171">
        <f t="shared" ca="1" si="370"/>
        <v>0</v>
      </c>
      <c r="DJ263" s="171">
        <f t="shared" ca="1" si="371"/>
        <v>0</v>
      </c>
      <c r="DK263" s="171">
        <f t="shared" ca="1" si="372"/>
        <v>0</v>
      </c>
      <c r="DL263" s="171">
        <f t="shared" ca="1" si="373"/>
        <v>0</v>
      </c>
      <c r="DM263" s="171">
        <f t="shared" ca="1" si="374"/>
        <v>0</v>
      </c>
      <c r="DN263" s="171">
        <f t="shared" ca="1" si="375"/>
        <v>0</v>
      </c>
      <c r="DO263" s="171">
        <f t="shared" ca="1" si="376"/>
        <v>0</v>
      </c>
      <c r="DP263" s="171">
        <f t="shared" ca="1" si="377"/>
        <v>0</v>
      </c>
      <c r="DQ263" s="171">
        <f t="shared" ca="1" si="378"/>
        <v>0</v>
      </c>
      <c r="DR263" s="171">
        <f t="shared" ca="1" si="379"/>
        <v>0</v>
      </c>
      <c r="DS263" s="171">
        <f t="shared" ca="1" si="380"/>
        <v>0</v>
      </c>
      <c r="DT263" s="171">
        <f t="shared" ca="1" si="381"/>
        <v>0</v>
      </c>
      <c r="DU263" s="171">
        <f t="shared" ca="1" si="382"/>
        <v>0</v>
      </c>
      <c r="DV263" s="171">
        <f t="shared" ca="1" si="383"/>
        <v>0</v>
      </c>
      <c r="DW263" s="171">
        <f t="shared" ca="1" si="384"/>
        <v>0</v>
      </c>
      <c r="DX263" s="171">
        <f t="shared" ca="1" si="385"/>
        <v>0</v>
      </c>
      <c r="DY263" s="171">
        <f t="shared" ca="1" si="386"/>
        <v>0</v>
      </c>
      <c r="DZ263" s="171">
        <f t="shared" ca="1" si="387"/>
        <v>0</v>
      </c>
      <c r="EA263" s="171">
        <f t="shared" ca="1" si="388"/>
        <v>0</v>
      </c>
      <c r="EB263" s="171">
        <f t="shared" ca="1" si="389"/>
        <v>0</v>
      </c>
      <c r="EC263" s="171">
        <f t="shared" ca="1" si="390"/>
        <v>0</v>
      </c>
      <c r="ED263" s="171">
        <f t="shared" ca="1" si="391"/>
        <v>0</v>
      </c>
      <c r="EE263" s="171">
        <f t="shared" ca="1" si="392"/>
        <v>0</v>
      </c>
      <c r="EF263" s="171">
        <f t="shared" ca="1" si="393"/>
        <v>0</v>
      </c>
      <c r="EG263" s="171">
        <f t="shared" ca="1" si="394"/>
        <v>0</v>
      </c>
      <c r="EH263" s="171">
        <f t="shared" ca="1" si="395"/>
        <v>0</v>
      </c>
      <c r="EI263" s="171">
        <f t="shared" ca="1" si="396"/>
        <v>0</v>
      </c>
      <c r="EJ263" s="171">
        <f t="shared" ca="1" si="397"/>
        <v>0</v>
      </c>
      <c r="EK263" s="171">
        <f t="shared" ca="1" si="398"/>
        <v>0</v>
      </c>
      <c r="EL263" s="171">
        <f t="shared" ca="1" si="399"/>
        <v>0</v>
      </c>
      <c r="EM263" s="171">
        <f t="shared" ca="1" si="400"/>
        <v>0</v>
      </c>
      <c r="EN263" s="171">
        <f t="shared" ca="1" si="401"/>
        <v>0</v>
      </c>
      <c r="EO263" s="171">
        <f t="shared" ca="1" si="402"/>
        <v>0</v>
      </c>
      <c r="EP263" s="171">
        <f t="shared" ca="1" si="403"/>
        <v>0</v>
      </c>
      <c r="EQ263" s="171">
        <f t="shared" ca="1" si="404"/>
        <v>0</v>
      </c>
      <c r="ER263" s="171">
        <f t="shared" ca="1" si="405"/>
        <v>0</v>
      </c>
      <c r="ES263" s="171">
        <f t="shared" ca="1" si="406"/>
        <v>0</v>
      </c>
    </row>
    <row r="264" spans="3:149">
      <c r="C264" s="214"/>
      <c r="L264" s="163"/>
      <c r="M264" s="164" t="str">
        <f t="shared" si="337"/>
        <v/>
      </c>
      <c r="N264" s="164" t="str">
        <f t="shared" si="338"/>
        <v/>
      </c>
      <c r="O264" s="165" t="str">
        <f t="shared" si="339"/>
        <v/>
      </c>
      <c r="R264" s="168"/>
      <c r="U264" s="171">
        <f t="shared" si="340"/>
        <v>0</v>
      </c>
      <c r="V264" s="171">
        <f t="shared" ca="1" si="341"/>
        <v>0</v>
      </c>
      <c r="W264" s="171">
        <f t="shared" ca="1" si="342"/>
        <v>0</v>
      </c>
      <c r="X264" s="172">
        <f t="shared" si="343"/>
        <v>0</v>
      </c>
      <c r="Y264" s="172" t="str">
        <f t="shared" si="344"/>
        <v/>
      </c>
      <c r="Z264" s="173">
        <f t="shared" si="345"/>
        <v>0</v>
      </c>
      <c r="AA264" s="171">
        <f t="shared" si="413"/>
        <v>0</v>
      </c>
      <c r="AB264" s="171">
        <f t="shared" si="413"/>
        <v>0</v>
      </c>
      <c r="AC264" s="171">
        <f t="shared" si="413"/>
        <v>0</v>
      </c>
      <c r="AD264" s="171">
        <f t="shared" si="413"/>
        <v>0</v>
      </c>
      <c r="AE264" s="171">
        <f t="shared" si="413"/>
        <v>0</v>
      </c>
      <c r="AF264" s="171">
        <f t="shared" si="413"/>
        <v>0</v>
      </c>
      <c r="AG264" s="171">
        <f t="shared" si="413"/>
        <v>0</v>
      </c>
      <c r="AH264" s="171">
        <f t="shared" si="413"/>
        <v>0</v>
      </c>
      <c r="AI264" s="171">
        <f t="shared" si="413"/>
        <v>0</v>
      </c>
      <c r="AJ264" s="171">
        <f t="shared" si="413"/>
        <v>0</v>
      </c>
      <c r="AK264" s="171">
        <f t="shared" si="414"/>
        <v>0</v>
      </c>
      <c r="AL264" s="171">
        <f t="shared" si="414"/>
        <v>0</v>
      </c>
      <c r="AM264" s="171">
        <f t="shared" si="414"/>
        <v>0</v>
      </c>
      <c r="AN264" s="171">
        <f t="shared" si="414"/>
        <v>0</v>
      </c>
      <c r="AO264" s="171">
        <f t="shared" si="414"/>
        <v>0</v>
      </c>
      <c r="AP264" s="171">
        <f t="shared" si="414"/>
        <v>0</v>
      </c>
      <c r="AQ264" s="171">
        <f t="shared" si="414"/>
        <v>0</v>
      </c>
      <c r="AR264" s="171">
        <f t="shared" si="414"/>
        <v>0</v>
      </c>
      <c r="AS264" s="171">
        <f t="shared" si="414"/>
        <v>0</v>
      </c>
      <c r="AT264" s="171">
        <f t="shared" si="414"/>
        <v>0</v>
      </c>
      <c r="AU264" s="171">
        <f t="shared" si="415"/>
        <v>0</v>
      </c>
      <c r="AV264" s="171">
        <f t="shared" si="415"/>
        <v>0</v>
      </c>
      <c r="AW264" s="171">
        <f t="shared" si="415"/>
        <v>0</v>
      </c>
      <c r="AX264" s="171">
        <f t="shared" si="415"/>
        <v>0</v>
      </c>
      <c r="AY264" s="171">
        <f t="shared" si="415"/>
        <v>0</v>
      </c>
      <c r="AZ264" s="171">
        <f t="shared" si="415"/>
        <v>0</v>
      </c>
      <c r="BA264" s="171">
        <f t="shared" si="415"/>
        <v>0</v>
      </c>
      <c r="BB264" s="171">
        <f t="shared" si="415"/>
        <v>0</v>
      </c>
      <c r="BC264" s="171">
        <f t="shared" si="415"/>
        <v>0</v>
      </c>
      <c r="BD264" s="171">
        <f t="shared" si="415"/>
        <v>0</v>
      </c>
      <c r="BE264" s="171">
        <f t="shared" si="416"/>
        <v>0</v>
      </c>
      <c r="BF264" s="171">
        <f t="shared" si="416"/>
        <v>0</v>
      </c>
      <c r="BG264" s="171">
        <f t="shared" si="416"/>
        <v>0</v>
      </c>
      <c r="BH264" s="171">
        <f t="shared" si="416"/>
        <v>0</v>
      </c>
      <c r="BI264" s="171">
        <f t="shared" si="416"/>
        <v>0</v>
      </c>
      <c r="BJ264" s="171">
        <f t="shared" si="416"/>
        <v>0</v>
      </c>
      <c r="BK264" s="171">
        <f t="shared" si="416"/>
        <v>0</v>
      </c>
      <c r="BL264" s="171">
        <f t="shared" si="416"/>
        <v>0</v>
      </c>
      <c r="BM264" s="171">
        <f t="shared" si="416"/>
        <v>0</v>
      </c>
      <c r="BN264" s="171">
        <f t="shared" si="416"/>
        <v>0</v>
      </c>
      <c r="BO264" s="171">
        <f t="shared" si="417"/>
        <v>0</v>
      </c>
      <c r="BP264" s="171">
        <f t="shared" si="417"/>
        <v>0</v>
      </c>
      <c r="BQ264" s="171">
        <f t="shared" si="417"/>
        <v>0</v>
      </c>
      <c r="BR264" s="171">
        <f t="shared" si="417"/>
        <v>0</v>
      </c>
      <c r="BS264" s="171">
        <f t="shared" si="417"/>
        <v>0</v>
      </c>
      <c r="BT264" s="171">
        <f t="shared" si="417"/>
        <v>0</v>
      </c>
      <c r="BU264" s="171">
        <f t="shared" si="417"/>
        <v>0</v>
      </c>
      <c r="BV264" s="171">
        <f t="shared" si="417"/>
        <v>0</v>
      </c>
      <c r="BW264" s="171">
        <f t="shared" si="417"/>
        <v>0</v>
      </c>
      <c r="BX264" s="171">
        <f t="shared" si="417"/>
        <v>0</v>
      </c>
      <c r="BY264" s="171">
        <f t="shared" si="418"/>
        <v>0</v>
      </c>
      <c r="BZ264" s="171">
        <f t="shared" si="418"/>
        <v>0</v>
      </c>
      <c r="CA264" s="171">
        <f t="shared" si="418"/>
        <v>0</v>
      </c>
      <c r="CB264" s="171">
        <f t="shared" si="418"/>
        <v>0</v>
      </c>
      <c r="CC264" s="171">
        <f t="shared" si="418"/>
        <v>0</v>
      </c>
      <c r="CD264" s="171">
        <f t="shared" si="418"/>
        <v>0</v>
      </c>
      <c r="CE264" s="171">
        <f t="shared" si="418"/>
        <v>0</v>
      </c>
      <c r="CF264" s="171">
        <f t="shared" si="418"/>
        <v>0</v>
      </c>
      <c r="CG264" s="171">
        <f t="shared" si="418"/>
        <v>0</v>
      </c>
      <c r="CH264" s="171">
        <f t="shared" si="418"/>
        <v>0</v>
      </c>
      <c r="CI264" s="171">
        <f t="shared" si="418"/>
        <v>0</v>
      </c>
      <c r="CJ264" s="243"/>
      <c r="CK264" s="171">
        <f t="shared" si="346"/>
        <v>0</v>
      </c>
      <c r="CL264" s="171">
        <f t="shared" si="347"/>
        <v>0</v>
      </c>
      <c r="CM264" s="171">
        <f t="shared" si="348"/>
        <v>0</v>
      </c>
      <c r="CN264" s="171">
        <f t="shared" si="349"/>
        <v>0</v>
      </c>
      <c r="CO264" s="171">
        <f t="shared" si="350"/>
        <v>0</v>
      </c>
      <c r="CP264" s="171">
        <f t="shared" si="351"/>
        <v>0</v>
      </c>
      <c r="CQ264" s="171">
        <f t="shared" si="352"/>
        <v>0</v>
      </c>
      <c r="CR264" s="171">
        <f t="shared" si="353"/>
        <v>0</v>
      </c>
      <c r="CS264" s="171">
        <f t="shared" si="354"/>
        <v>0</v>
      </c>
      <c r="CT264" s="171">
        <f t="shared" si="355"/>
        <v>0</v>
      </c>
      <c r="CU264" s="171">
        <f t="shared" si="356"/>
        <v>0</v>
      </c>
      <c r="CV264" s="171">
        <f t="shared" si="357"/>
        <v>0</v>
      </c>
      <c r="CW264" s="171">
        <f t="shared" si="358"/>
        <v>0</v>
      </c>
      <c r="CX264" s="171">
        <f t="shared" si="359"/>
        <v>0</v>
      </c>
      <c r="CY264" s="171">
        <f t="shared" ca="1" si="360"/>
        <v>0</v>
      </c>
      <c r="CZ264" s="171">
        <f t="shared" ca="1" si="361"/>
        <v>0</v>
      </c>
      <c r="DA264" s="171">
        <f t="shared" ca="1" si="362"/>
        <v>0</v>
      </c>
      <c r="DB264" s="171">
        <f t="shared" ca="1" si="363"/>
        <v>0</v>
      </c>
      <c r="DC264" s="171">
        <f t="shared" ca="1" si="364"/>
        <v>0</v>
      </c>
      <c r="DD264" s="171">
        <f t="shared" ca="1" si="365"/>
        <v>0</v>
      </c>
      <c r="DE264" s="171">
        <f t="shared" ca="1" si="366"/>
        <v>0</v>
      </c>
      <c r="DF264" s="171">
        <f t="shared" ca="1" si="367"/>
        <v>0</v>
      </c>
      <c r="DG264" s="171">
        <f t="shared" ca="1" si="368"/>
        <v>0</v>
      </c>
      <c r="DH264" s="171">
        <f t="shared" ca="1" si="369"/>
        <v>0</v>
      </c>
      <c r="DI264" s="171">
        <f t="shared" ca="1" si="370"/>
        <v>0</v>
      </c>
      <c r="DJ264" s="171">
        <f t="shared" ca="1" si="371"/>
        <v>0</v>
      </c>
      <c r="DK264" s="171">
        <f t="shared" ca="1" si="372"/>
        <v>0</v>
      </c>
      <c r="DL264" s="171">
        <f t="shared" ca="1" si="373"/>
        <v>0</v>
      </c>
      <c r="DM264" s="171">
        <f t="shared" ca="1" si="374"/>
        <v>0</v>
      </c>
      <c r="DN264" s="171">
        <f t="shared" ca="1" si="375"/>
        <v>0</v>
      </c>
      <c r="DO264" s="171">
        <f t="shared" ca="1" si="376"/>
        <v>0</v>
      </c>
      <c r="DP264" s="171">
        <f t="shared" ca="1" si="377"/>
        <v>0</v>
      </c>
      <c r="DQ264" s="171">
        <f t="shared" ca="1" si="378"/>
        <v>0</v>
      </c>
      <c r="DR264" s="171">
        <f t="shared" ca="1" si="379"/>
        <v>0</v>
      </c>
      <c r="DS264" s="171">
        <f t="shared" ca="1" si="380"/>
        <v>0</v>
      </c>
      <c r="DT264" s="171">
        <f t="shared" ca="1" si="381"/>
        <v>0</v>
      </c>
      <c r="DU264" s="171">
        <f t="shared" ca="1" si="382"/>
        <v>0</v>
      </c>
      <c r="DV264" s="171">
        <f t="shared" ca="1" si="383"/>
        <v>0</v>
      </c>
      <c r="DW264" s="171">
        <f t="shared" ca="1" si="384"/>
        <v>0</v>
      </c>
      <c r="DX264" s="171">
        <f t="shared" ca="1" si="385"/>
        <v>0</v>
      </c>
      <c r="DY264" s="171">
        <f t="shared" ca="1" si="386"/>
        <v>0</v>
      </c>
      <c r="DZ264" s="171">
        <f t="shared" ca="1" si="387"/>
        <v>0</v>
      </c>
      <c r="EA264" s="171">
        <f t="shared" ca="1" si="388"/>
        <v>0</v>
      </c>
      <c r="EB264" s="171">
        <f t="shared" ca="1" si="389"/>
        <v>0</v>
      </c>
      <c r="EC264" s="171">
        <f t="shared" ca="1" si="390"/>
        <v>0</v>
      </c>
      <c r="ED264" s="171">
        <f t="shared" ca="1" si="391"/>
        <v>0</v>
      </c>
      <c r="EE264" s="171">
        <f t="shared" ca="1" si="392"/>
        <v>0</v>
      </c>
      <c r="EF264" s="171">
        <f t="shared" ca="1" si="393"/>
        <v>0</v>
      </c>
      <c r="EG264" s="171">
        <f t="shared" ca="1" si="394"/>
        <v>0</v>
      </c>
      <c r="EH264" s="171">
        <f t="shared" ca="1" si="395"/>
        <v>0</v>
      </c>
      <c r="EI264" s="171">
        <f t="shared" ca="1" si="396"/>
        <v>0</v>
      </c>
      <c r="EJ264" s="171">
        <f t="shared" ca="1" si="397"/>
        <v>0</v>
      </c>
      <c r="EK264" s="171">
        <f t="shared" ca="1" si="398"/>
        <v>0</v>
      </c>
      <c r="EL264" s="171">
        <f t="shared" ca="1" si="399"/>
        <v>0</v>
      </c>
      <c r="EM264" s="171">
        <f t="shared" ca="1" si="400"/>
        <v>0</v>
      </c>
      <c r="EN264" s="171">
        <f t="shared" ca="1" si="401"/>
        <v>0</v>
      </c>
      <c r="EO264" s="171">
        <f t="shared" ca="1" si="402"/>
        <v>0</v>
      </c>
      <c r="EP264" s="171">
        <f t="shared" ca="1" si="403"/>
        <v>0</v>
      </c>
      <c r="EQ264" s="171">
        <f t="shared" ca="1" si="404"/>
        <v>0</v>
      </c>
      <c r="ER264" s="171">
        <f t="shared" ca="1" si="405"/>
        <v>0</v>
      </c>
      <c r="ES264" s="171">
        <f t="shared" ca="1" si="406"/>
        <v>0</v>
      </c>
    </row>
    <row r="265" spans="3:149">
      <c r="C265" s="214"/>
      <c r="L265" s="163"/>
      <c r="M265" s="164" t="str">
        <f t="shared" si="337"/>
        <v/>
      </c>
      <c r="N265" s="164" t="str">
        <f t="shared" si="338"/>
        <v/>
      </c>
      <c r="O265" s="165" t="str">
        <f t="shared" si="339"/>
        <v/>
      </c>
      <c r="R265" s="168"/>
      <c r="U265" s="171">
        <f t="shared" si="340"/>
        <v>0</v>
      </c>
      <c r="V265" s="171">
        <f t="shared" ca="1" si="341"/>
        <v>0</v>
      </c>
      <c r="W265" s="171">
        <f t="shared" ca="1" si="342"/>
        <v>0</v>
      </c>
      <c r="X265" s="172">
        <f t="shared" si="343"/>
        <v>0</v>
      </c>
      <c r="Y265" s="172" t="str">
        <f t="shared" si="344"/>
        <v/>
      </c>
      <c r="Z265" s="173">
        <f t="shared" si="345"/>
        <v>0</v>
      </c>
      <c r="AA265" s="171">
        <f t="shared" si="413"/>
        <v>0</v>
      </c>
      <c r="AB265" s="171">
        <f t="shared" si="413"/>
        <v>0</v>
      </c>
      <c r="AC265" s="171">
        <f t="shared" si="413"/>
        <v>0</v>
      </c>
      <c r="AD265" s="171">
        <f t="shared" si="413"/>
        <v>0</v>
      </c>
      <c r="AE265" s="171">
        <f t="shared" si="413"/>
        <v>0</v>
      </c>
      <c r="AF265" s="171">
        <f t="shared" si="413"/>
        <v>0</v>
      </c>
      <c r="AG265" s="171">
        <f t="shared" si="413"/>
        <v>0</v>
      </c>
      <c r="AH265" s="171">
        <f t="shared" si="413"/>
        <v>0</v>
      </c>
      <c r="AI265" s="171">
        <f t="shared" si="413"/>
        <v>0</v>
      </c>
      <c r="AJ265" s="171">
        <f t="shared" si="413"/>
        <v>0</v>
      </c>
      <c r="AK265" s="171">
        <f t="shared" si="414"/>
        <v>0</v>
      </c>
      <c r="AL265" s="171">
        <f t="shared" si="414"/>
        <v>0</v>
      </c>
      <c r="AM265" s="171">
        <f t="shared" si="414"/>
        <v>0</v>
      </c>
      <c r="AN265" s="171">
        <f t="shared" si="414"/>
        <v>0</v>
      </c>
      <c r="AO265" s="171">
        <f t="shared" si="414"/>
        <v>0</v>
      </c>
      <c r="AP265" s="171">
        <f t="shared" si="414"/>
        <v>0</v>
      </c>
      <c r="AQ265" s="171">
        <f t="shared" si="414"/>
        <v>0</v>
      </c>
      <c r="AR265" s="171">
        <f t="shared" si="414"/>
        <v>0</v>
      </c>
      <c r="AS265" s="171">
        <f t="shared" si="414"/>
        <v>0</v>
      </c>
      <c r="AT265" s="171">
        <f t="shared" si="414"/>
        <v>0</v>
      </c>
      <c r="AU265" s="171">
        <f t="shared" si="415"/>
        <v>0</v>
      </c>
      <c r="AV265" s="171">
        <f t="shared" si="415"/>
        <v>0</v>
      </c>
      <c r="AW265" s="171">
        <f t="shared" si="415"/>
        <v>0</v>
      </c>
      <c r="AX265" s="171">
        <f t="shared" si="415"/>
        <v>0</v>
      </c>
      <c r="AY265" s="171">
        <f t="shared" si="415"/>
        <v>0</v>
      </c>
      <c r="AZ265" s="171">
        <f t="shared" si="415"/>
        <v>0</v>
      </c>
      <c r="BA265" s="171">
        <f t="shared" si="415"/>
        <v>0</v>
      </c>
      <c r="BB265" s="171">
        <f t="shared" si="415"/>
        <v>0</v>
      </c>
      <c r="BC265" s="171">
        <f t="shared" si="415"/>
        <v>0</v>
      </c>
      <c r="BD265" s="171">
        <f t="shared" si="415"/>
        <v>0</v>
      </c>
      <c r="BE265" s="171">
        <f t="shared" si="416"/>
        <v>0</v>
      </c>
      <c r="BF265" s="171">
        <f t="shared" si="416"/>
        <v>0</v>
      </c>
      <c r="BG265" s="171">
        <f t="shared" si="416"/>
        <v>0</v>
      </c>
      <c r="BH265" s="171">
        <f t="shared" si="416"/>
        <v>0</v>
      </c>
      <c r="BI265" s="171">
        <f t="shared" si="416"/>
        <v>0</v>
      </c>
      <c r="BJ265" s="171">
        <f t="shared" si="416"/>
        <v>0</v>
      </c>
      <c r="BK265" s="171">
        <f t="shared" si="416"/>
        <v>0</v>
      </c>
      <c r="BL265" s="171">
        <f t="shared" si="416"/>
        <v>0</v>
      </c>
      <c r="BM265" s="171">
        <f t="shared" si="416"/>
        <v>0</v>
      </c>
      <c r="BN265" s="171">
        <f t="shared" si="416"/>
        <v>0</v>
      </c>
      <c r="BO265" s="171">
        <f t="shared" si="417"/>
        <v>0</v>
      </c>
      <c r="BP265" s="171">
        <f t="shared" si="417"/>
        <v>0</v>
      </c>
      <c r="BQ265" s="171">
        <f t="shared" si="417"/>
        <v>0</v>
      </c>
      <c r="BR265" s="171">
        <f t="shared" si="417"/>
        <v>0</v>
      </c>
      <c r="BS265" s="171">
        <f t="shared" si="417"/>
        <v>0</v>
      </c>
      <c r="BT265" s="171">
        <f t="shared" si="417"/>
        <v>0</v>
      </c>
      <c r="BU265" s="171">
        <f t="shared" si="417"/>
        <v>0</v>
      </c>
      <c r="BV265" s="171">
        <f t="shared" si="417"/>
        <v>0</v>
      </c>
      <c r="BW265" s="171">
        <f t="shared" si="417"/>
        <v>0</v>
      </c>
      <c r="BX265" s="171">
        <f t="shared" si="417"/>
        <v>0</v>
      </c>
      <c r="BY265" s="171">
        <f t="shared" si="418"/>
        <v>0</v>
      </c>
      <c r="BZ265" s="171">
        <f t="shared" si="418"/>
        <v>0</v>
      </c>
      <c r="CA265" s="171">
        <f t="shared" si="418"/>
        <v>0</v>
      </c>
      <c r="CB265" s="171">
        <f t="shared" si="418"/>
        <v>0</v>
      </c>
      <c r="CC265" s="171">
        <f t="shared" si="418"/>
        <v>0</v>
      </c>
      <c r="CD265" s="171">
        <f t="shared" si="418"/>
        <v>0</v>
      </c>
      <c r="CE265" s="171">
        <f t="shared" si="418"/>
        <v>0</v>
      </c>
      <c r="CF265" s="171">
        <f t="shared" si="418"/>
        <v>0</v>
      </c>
      <c r="CG265" s="171">
        <f t="shared" si="418"/>
        <v>0</v>
      </c>
      <c r="CH265" s="171">
        <f t="shared" si="418"/>
        <v>0</v>
      </c>
      <c r="CI265" s="171">
        <f t="shared" si="418"/>
        <v>0</v>
      </c>
      <c r="CJ265" s="243"/>
      <c r="CK265" s="171">
        <f t="shared" si="346"/>
        <v>0</v>
      </c>
      <c r="CL265" s="171">
        <f t="shared" si="347"/>
        <v>0</v>
      </c>
      <c r="CM265" s="171">
        <f t="shared" si="348"/>
        <v>0</v>
      </c>
      <c r="CN265" s="171">
        <f t="shared" si="349"/>
        <v>0</v>
      </c>
      <c r="CO265" s="171">
        <f t="shared" si="350"/>
        <v>0</v>
      </c>
      <c r="CP265" s="171">
        <f t="shared" si="351"/>
        <v>0</v>
      </c>
      <c r="CQ265" s="171">
        <f t="shared" si="352"/>
        <v>0</v>
      </c>
      <c r="CR265" s="171">
        <f t="shared" si="353"/>
        <v>0</v>
      </c>
      <c r="CS265" s="171">
        <f t="shared" si="354"/>
        <v>0</v>
      </c>
      <c r="CT265" s="171">
        <f t="shared" si="355"/>
        <v>0</v>
      </c>
      <c r="CU265" s="171">
        <f t="shared" si="356"/>
        <v>0</v>
      </c>
      <c r="CV265" s="171">
        <f t="shared" si="357"/>
        <v>0</v>
      </c>
      <c r="CW265" s="171">
        <f t="shared" si="358"/>
        <v>0</v>
      </c>
      <c r="CX265" s="171">
        <f t="shared" si="359"/>
        <v>0</v>
      </c>
      <c r="CY265" s="171">
        <f t="shared" ca="1" si="360"/>
        <v>0</v>
      </c>
      <c r="CZ265" s="171">
        <f t="shared" ca="1" si="361"/>
        <v>0</v>
      </c>
      <c r="DA265" s="171">
        <f t="shared" ca="1" si="362"/>
        <v>0</v>
      </c>
      <c r="DB265" s="171">
        <f t="shared" ca="1" si="363"/>
        <v>0</v>
      </c>
      <c r="DC265" s="171">
        <f t="shared" ca="1" si="364"/>
        <v>0</v>
      </c>
      <c r="DD265" s="171">
        <f t="shared" ca="1" si="365"/>
        <v>0</v>
      </c>
      <c r="DE265" s="171">
        <f t="shared" ca="1" si="366"/>
        <v>0</v>
      </c>
      <c r="DF265" s="171">
        <f t="shared" ca="1" si="367"/>
        <v>0</v>
      </c>
      <c r="DG265" s="171">
        <f t="shared" ca="1" si="368"/>
        <v>0</v>
      </c>
      <c r="DH265" s="171">
        <f t="shared" ca="1" si="369"/>
        <v>0</v>
      </c>
      <c r="DI265" s="171">
        <f t="shared" ca="1" si="370"/>
        <v>0</v>
      </c>
      <c r="DJ265" s="171">
        <f t="shared" ca="1" si="371"/>
        <v>0</v>
      </c>
      <c r="DK265" s="171">
        <f t="shared" ca="1" si="372"/>
        <v>0</v>
      </c>
      <c r="DL265" s="171">
        <f t="shared" ca="1" si="373"/>
        <v>0</v>
      </c>
      <c r="DM265" s="171">
        <f t="shared" ca="1" si="374"/>
        <v>0</v>
      </c>
      <c r="DN265" s="171">
        <f t="shared" ca="1" si="375"/>
        <v>0</v>
      </c>
      <c r="DO265" s="171">
        <f t="shared" ca="1" si="376"/>
        <v>0</v>
      </c>
      <c r="DP265" s="171">
        <f t="shared" ca="1" si="377"/>
        <v>0</v>
      </c>
      <c r="DQ265" s="171">
        <f t="shared" ca="1" si="378"/>
        <v>0</v>
      </c>
      <c r="DR265" s="171">
        <f t="shared" ca="1" si="379"/>
        <v>0</v>
      </c>
      <c r="DS265" s="171">
        <f t="shared" ca="1" si="380"/>
        <v>0</v>
      </c>
      <c r="DT265" s="171">
        <f t="shared" ca="1" si="381"/>
        <v>0</v>
      </c>
      <c r="DU265" s="171">
        <f t="shared" ca="1" si="382"/>
        <v>0</v>
      </c>
      <c r="DV265" s="171">
        <f t="shared" ca="1" si="383"/>
        <v>0</v>
      </c>
      <c r="DW265" s="171">
        <f t="shared" ca="1" si="384"/>
        <v>0</v>
      </c>
      <c r="DX265" s="171">
        <f t="shared" ca="1" si="385"/>
        <v>0</v>
      </c>
      <c r="DY265" s="171">
        <f t="shared" ca="1" si="386"/>
        <v>0</v>
      </c>
      <c r="DZ265" s="171">
        <f t="shared" ca="1" si="387"/>
        <v>0</v>
      </c>
      <c r="EA265" s="171">
        <f t="shared" ca="1" si="388"/>
        <v>0</v>
      </c>
      <c r="EB265" s="171">
        <f t="shared" ca="1" si="389"/>
        <v>0</v>
      </c>
      <c r="EC265" s="171">
        <f t="shared" ca="1" si="390"/>
        <v>0</v>
      </c>
      <c r="ED265" s="171">
        <f t="shared" ca="1" si="391"/>
        <v>0</v>
      </c>
      <c r="EE265" s="171">
        <f t="shared" ca="1" si="392"/>
        <v>0</v>
      </c>
      <c r="EF265" s="171">
        <f t="shared" ca="1" si="393"/>
        <v>0</v>
      </c>
      <c r="EG265" s="171">
        <f t="shared" ca="1" si="394"/>
        <v>0</v>
      </c>
      <c r="EH265" s="171">
        <f t="shared" ca="1" si="395"/>
        <v>0</v>
      </c>
      <c r="EI265" s="171">
        <f t="shared" ca="1" si="396"/>
        <v>0</v>
      </c>
      <c r="EJ265" s="171">
        <f t="shared" ca="1" si="397"/>
        <v>0</v>
      </c>
      <c r="EK265" s="171">
        <f t="shared" ca="1" si="398"/>
        <v>0</v>
      </c>
      <c r="EL265" s="171">
        <f t="shared" ca="1" si="399"/>
        <v>0</v>
      </c>
      <c r="EM265" s="171">
        <f t="shared" ca="1" si="400"/>
        <v>0</v>
      </c>
      <c r="EN265" s="171">
        <f t="shared" ca="1" si="401"/>
        <v>0</v>
      </c>
      <c r="EO265" s="171">
        <f t="shared" ca="1" si="402"/>
        <v>0</v>
      </c>
      <c r="EP265" s="171">
        <f t="shared" ca="1" si="403"/>
        <v>0</v>
      </c>
      <c r="EQ265" s="171">
        <f t="shared" ca="1" si="404"/>
        <v>0</v>
      </c>
      <c r="ER265" s="171">
        <f t="shared" ca="1" si="405"/>
        <v>0</v>
      </c>
      <c r="ES265" s="171">
        <f t="shared" ca="1" si="406"/>
        <v>0</v>
      </c>
    </row>
    <row r="266" spans="3:149">
      <c r="C266" s="214"/>
      <c r="L266" s="163"/>
      <c r="M266" s="164" t="str">
        <f t="shared" si="337"/>
        <v/>
      </c>
      <c r="N266" s="164" t="str">
        <f t="shared" si="338"/>
        <v/>
      </c>
      <c r="O266" s="165" t="str">
        <f t="shared" si="339"/>
        <v/>
      </c>
      <c r="R266" s="168"/>
      <c r="U266" s="171">
        <f t="shared" si="340"/>
        <v>0</v>
      </c>
      <c r="V266" s="171">
        <f t="shared" ca="1" si="341"/>
        <v>0</v>
      </c>
      <c r="W266" s="171">
        <f t="shared" ca="1" si="342"/>
        <v>0</v>
      </c>
      <c r="X266" s="172">
        <f t="shared" si="343"/>
        <v>0</v>
      </c>
      <c r="Y266" s="172" t="str">
        <f t="shared" si="344"/>
        <v/>
      </c>
      <c r="Z266" s="173">
        <f t="shared" si="345"/>
        <v>0</v>
      </c>
      <c r="AA266" s="171">
        <f t="shared" si="413"/>
        <v>0</v>
      </c>
      <c r="AB266" s="171">
        <f t="shared" si="413"/>
        <v>0</v>
      </c>
      <c r="AC266" s="171">
        <f t="shared" si="413"/>
        <v>0</v>
      </c>
      <c r="AD266" s="171">
        <f t="shared" si="413"/>
        <v>0</v>
      </c>
      <c r="AE266" s="171">
        <f t="shared" si="413"/>
        <v>0</v>
      </c>
      <c r="AF266" s="171">
        <f t="shared" si="413"/>
        <v>0</v>
      </c>
      <c r="AG266" s="171">
        <f t="shared" si="413"/>
        <v>0</v>
      </c>
      <c r="AH266" s="171">
        <f t="shared" si="413"/>
        <v>0</v>
      </c>
      <c r="AI266" s="171">
        <f t="shared" si="413"/>
        <v>0</v>
      </c>
      <c r="AJ266" s="171">
        <f t="shared" si="413"/>
        <v>0</v>
      </c>
      <c r="AK266" s="171">
        <f t="shared" si="414"/>
        <v>0</v>
      </c>
      <c r="AL266" s="171">
        <f t="shared" si="414"/>
        <v>0</v>
      </c>
      <c r="AM266" s="171">
        <f t="shared" si="414"/>
        <v>0</v>
      </c>
      <c r="AN266" s="171">
        <f t="shared" si="414"/>
        <v>0</v>
      </c>
      <c r="AO266" s="171">
        <f t="shared" si="414"/>
        <v>0</v>
      </c>
      <c r="AP266" s="171">
        <f t="shared" si="414"/>
        <v>0</v>
      </c>
      <c r="AQ266" s="171">
        <f t="shared" si="414"/>
        <v>0</v>
      </c>
      <c r="AR266" s="171">
        <f t="shared" si="414"/>
        <v>0</v>
      </c>
      <c r="AS266" s="171">
        <f t="shared" si="414"/>
        <v>0</v>
      </c>
      <c r="AT266" s="171">
        <f t="shared" si="414"/>
        <v>0</v>
      </c>
      <c r="AU266" s="171">
        <f t="shared" si="415"/>
        <v>0</v>
      </c>
      <c r="AV266" s="171">
        <f t="shared" si="415"/>
        <v>0</v>
      </c>
      <c r="AW266" s="171">
        <f t="shared" si="415"/>
        <v>0</v>
      </c>
      <c r="AX266" s="171">
        <f t="shared" si="415"/>
        <v>0</v>
      </c>
      <c r="AY266" s="171">
        <f t="shared" si="415"/>
        <v>0</v>
      </c>
      <c r="AZ266" s="171">
        <f t="shared" si="415"/>
        <v>0</v>
      </c>
      <c r="BA266" s="171">
        <f t="shared" si="415"/>
        <v>0</v>
      </c>
      <c r="BB266" s="171">
        <f t="shared" si="415"/>
        <v>0</v>
      </c>
      <c r="BC266" s="171">
        <f t="shared" si="415"/>
        <v>0</v>
      </c>
      <c r="BD266" s="171">
        <f t="shared" si="415"/>
        <v>0</v>
      </c>
      <c r="BE266" s="171">
        <f t="shared" si="416"/>
        <v>0</v>
      </c>
      <c r="BF266" s="171">
        <f t="shared" si="416"/>
        <v>0</v>
      </c>
      <c r="BG266" s="171">
        <f t="shared" si="416"/>
        <v>0</v>
      </c>
      <c r="BH266" s="171">
        <f t="shared" si="416"/>
        <v>0</v>
      </c>
      <c r="BI266" s="171">
        <f t="shared" si="416"/>
        <v>0</v>
      </c>
      <c r="BJ266" s="171">
        <f t="shared" si="416"/>
        <v>0</v>
      </c>
      <c r="BK266" s="171">
        <f t="shared" si="416"/>
        <v>0</v>
      </c>
      <c r="BL266" s="171">
        <f t="shared" si="416"/>
        <v>0</v>
      </c>
      <c r="BM266" s="171">
        <f t="shared" si="416"/>
        <v>0</v>
      </c>
      <c r="BN266" s="171">
        <f t="shared" si="416"/>
        <v>0</v>
      </c>
      <c r="BO266" s="171">
        <f t="shared" si="417"/>
        <v>0</v>
      </c>
      <c r="BP266" s="171">
        <f t="shared" si="417"/>
        <v>0</v>
      </c>
      <c r="BQ266" s="171">
        <f t="shared" si="417"/>
        <v>0</v>
      </c>
      <c r="BR266" s="171">
        <f t="shared" si="417"/>
        <v>0</v>
      </c>
      <c r="BS266" s="171">
        <f t="shared" si="417"/>
        <v>0</v>
      </c>
      <c r="BT266" s="171">
        <f t="shared" si="417"/>
        <v>0</v>
      </c>
      <c r="BU266" s="171">
        <f t="shared" si="417"/>
        <v>0</v>
      </c>
      <c r="BV266" s="171">
        <f t="shared" si="417"/>
        <v>0</v>
      </c>
      <c r="BW266" s="171">
        <f t="shared" si="417"/>
        <v>0</v>
      </c>
      <c r="BX266" s="171">
        <f t="shared" si="417"/>
        <v>0</v>
      </c>
      <c r="BY266" s="171">
        <f t="shared" si="418"/>
        <v>0</v>
      </c>
      <c r="BZ266" s="171">
        <f t="shared" si="418"/>
        <v>0</v>
      </c>
      <c r="CA266" s="171">
        <f t="shared" si="418"/>
        <v>0</v>
      </c>
      <c r="CB266" s="171">
        <f t="shared" si="418"/>
        <v>0</v>
      </c>
      <c r="CC266" s="171">
        <f t="shared" si="418"/>
        <v>0</v>
      </c>
      <c r="CD266" s="171">
        <f t="shared" si="418"/>
        <v>0</v>
      </c>
      <c r="CE266" s="171">
        <f t="shared" si="418"/>
        <v>0</v>
      </c>
      <c r="CF266" s="171">
        <f t="shared" si="418"/>
        <v>0</v>
      </c>
      <c r="CG266" s="171">
        <f t="shared" si="418"/>
        <v>0</v>
      </c>
      <c r="CH266" s="171">
        <f t="shared" si="418"/>
        <v>0</v>
      </c>
      <c r="CI266" s="171">
        <f t="shared" si="418"/>
        <v>0</v>
      </c>
      <c r="CJ266" s="243"/>
      <c r="CK266" s="171">
        <f t="shared" si="346"/>
        <v>0</v>
      </c>
      <c r="CL266" s="171">
        <f t="shared" si="347"/>
        <v>0</v>
      </c>
      <c r="CM266" s="171">
        <f t="shared" si="348"/>
        <v>0</v>
      </c>
      <c r="CN266" s="171">
        <f t="shared" si="349"/>
        <v>0</v>
      </c>
      <c r="CO266" s="171">
        <f t="shared" si="350"/>
        <v>0</v>
      </c>
      <c r="CP266" s="171">
        <f t="shared" si="351"/>
        <v>0</v>
      </c>
      <c r="CQ266" s="171">
        <f t="shared" si="352"/>
        <v>0</v>
      </c>
      <c r="CR266" s="171">
        <f t="shared" si="353"/>
        <v>0</v>
      </c>
      <c r="CS266" s="171">
        <f t="shared" si="354"/>
        <v>0</v>
      </c>
      <c r="CT266" s="171">
        <f t="shared" si="355"/>
        <v>0</v>
      </c>
      <c r="CU266" s="171">
        <f t="shared" si="356"/>
        <v>0</v>
      </c>
      <c r="CV266" s="171">
        <f t="shared" si="357"/>
        <v>0</v>
      </c>
      <c r="CW266" s="171">
        <f t="shared" si="358"/>
        <v>0</v>
      </c>
      <c r="CX266" s="171">
        <f t="shared" si="359"/>
        <v>0</v>
      </c>
      <c r="CY266" s="171">
        <f t="shared" ca="1" si="360"/>
        <v>0</v>
      </c>
      <c r="CZ266" s="171">
        <f t="shared" ca="1" si="361"/>
        <v>0</v>
      </c>
      <c r="DA266" s="171">
        <f t="shared" ca="1" si="362"/>
        <v>0</v>
      </c>
      <c r="DB266" s="171">
        <f t="shared" ca="1" si="363"/>
        <v>0</v>
      </c>
      <c r="DC266" s="171">
        <f t="shared" ca="1" si="364"/>
        <v>0</v>
      </c>
      <c r="DD266" s="171">
        <f t="shared" ca="1" si="365"/>
        <v>0</v>
      </c>
      <c r="DE266" s="171">
        <f t="shared" ca="1" si="366"/>
        <v>0</v>
      </c>
      <c r="DF266" s="171">
        <f t="shared" ca="1" si="367"/>
        <v>0</v>
      </c>
      <c r="DG266" s="171">
        <f t="shared" ca="1" si="368"/>
        <v>0</v>
      </c>
      <c r="DH266" s="171">
        <f t="shared" ca="1" si="369"/>
        <v>0</v>
      </c>
      <c r="DI266" s="171">
        <f t="shared" ca="1" si="370"/>
        <v>0</v>
      </c>
      <c r="DJ266" s="171">
        <f t="shared" ca="1" si="371"/>
        <v>0</v>
      </c>
      <c r="DK266" s="171">
        <f t="shared" ca="1" si="372"/>
        <v>0</v>
      </c>
      <c r="DL266" s="171">
        <f t="shared" ca="1" si="373"/>
        <v>0</v>
      </c>
      <c r="DM266" s="171">
        <f t="shared" ca="1" si="374"/>
        <v>0</v>
      </c>
      <c r="DN266" s="171">
        <f t="shared" ca="1" si="375"/>
        <v>0</v>
      </c>
      <c r="DO266" s="171">
        <f t="shared" ca="1" si="376"/>
        <v>0</v>
      </c>
      <c r="DP266" s="171">
        <f t="shared" ca="1" si="377"/>
        <v>0</v>
      </c>
      <c r="DQ266" s="171">
        <f t="shared" ca="1" si="378"/>
        <v>0</v>
      </c>
      <c r="DR266" s="171">
        <f t="shared" ca="1" si="379"/>
        <v>0</v>
      </c>
      <c r="DS266" s="171">
        <f t="shared" ca="1" si="380"/>
        <v>0</v>
      </c>
      <c r="DT266" s="171">
        <f t="shared" ca="1" si="381"/>
        <v>0</v>
      </c>
      <c r="DU266" s="171">
        <f t="shared" ca="1" si="382"/>
        <v>0</v>
      </c>
      <c r="DV266" s="171">
        <f t="shared" ca="1" si="383"/>
        <v>0</v>
      </c>
      <c r="DW266" s="171">
        <f t="shared" ca="1" si="384"/>
        <v>0</v>
      </c>
      <c r="DX266" s="171">
        <f t="shared" ca="1" si="385"/>
        <v>0</v>
      </c>
      <c r="DY266" s="171">
        <f t="shared" ca="1" si="386"/>
        <v>0</v>
      </c>
      <c r="DZ266" s="171">
        <f t="shared" ca="1" si="387"/>
        <v>0</v>
      </c>
      <c r="EA266" s="171">
        <f t="shared" ca="1" si="388"/>
        <v>0</v>
      </c>
      <c r="EB266" s="171">
        <f t="shared" ca="1" si="389"/>
        <v>0</v>
      </c>
      <c r="EC266" s="171">
        <f t="shared" ca="1" si="390"/>
        <v>0</v>
      </c>
      <c r="ED266" s="171">
        <f t="shared" ca="1" si="391"/>
        <v>0</v>
      </c>
      <c r="EE266" s="171">
        <f t="shared" ca="1" si="392"/>
        <v>0</v>
      </c>
      <c r="EF266" s="171">
        <f t="shared" ca="1" si="393"/>
        <v>0</v>
      </c>
      <c r="EG266" s="171">
        <f t="shared" ca="1" si="394"/>
        <v>0</v>
      </c>
      <c r="EH266" s="171">
        <f t="shared" ca="1" si="395"/>
        <v>0</v>
      </c>
      <c r="EI266" s="171">
        <f t="shared" ca="1" si="396"/>
        <v>0</v>
      </c>
      <c r="EJ266" s="171">
        <f t="shared" ca="1" si="397"/>
        <v>0</v>
      </c>
      <c r="EK266" s="171">
        <f t="shared" ca="1" si="398"/>
        <v>0</v>
      </c>
      <c r="EL266" s="171">
        <f t="shared" ca="1" si="399"/>
        <v>0</v>
      </c>
      <c r="EM266" s="171">
        <f t="shared" ca="1" si="400"/>
        <v>0</v>
      </c>
      <c r="EN266" s="171">
        <f t="shared" ca="1" si="401"/>
        <v>0</v>
      </c>
      <c r="EO266" s="171">
        <f t="shared" ca="1" si="402"/>
        <v>0</v>
      </c>
      <c r="EP266" s="171">
        <f t="shared" ca="1" si="403"/>
        <v>0</v>
      </c>
      <c r="EQ266" s="171">
        <f t="shared" ca="1" si="404"/>
        <v>0</v>
      </c>
      <c r="ER266" s="171">
        <f t="shared" ca="1" si="405"/>
        <v>0</v>
      </c>
      <c r="ES266" s="171">
        <f t="shared" ca="1" si="406"/>
        <v>0</v>
      </c>
    </row>
    <row r="267" spans="3:149">
      <c r="C267" s="214"/>
      <c r="L267" s="163"/>
      <c r="M267" s="164" t="str">
        <f t="shared" si="337"/>
        <v/>
      </c>
      <c r="N267" s="164" t="str">
        <f t="shared" si="338"/>
        <v/>
      </c>
      <c r="O267" s="165" t="str">
        <f t="shared" si="339"/>
        <v/>
      </c>
      <c r="R267" s="168"/>
      <c r="U267" s="171">
        <f t="shared" si="340"/>
        <v>0</v>
      </c>
      <c r="V267" s="171">
        <f t="shared" ca="1" si="341"/>
        <v>0</v>
      </c>
      <c r="W267" s="171">
        <f t="shared" ca="1" si="342"/>
        <v>0</v>
      </c>
      <c r="X267" s="172">
        <f t="shared" si="343"/>
        <v>0</v>
      </c>
      <c r="Y267" s="172" t="str">
        <f t="shared" si="344"/>
        <v/>
      </c>
      <c r="Z267" s="173">
        <f t="shared" si="345"/>
        <v>0</v>
      </c>
      <c r="AA267" s="171">
        <f t="shared" si="413"/>
        <v>0</v>
      </c>
      <c r="AB267" s="171">
        <f t="shared" si="413"/>
        <v>0</v>
      </c>
      <c r="AC267" s="171">
        <f t="shared" si="413"/>
        <v>0</v>
      </c>
      <c r="AD267" s="171">
        <f t="shared" si="413"/>
        <v>0</v>
      </c>
      <c r="AE267" s="171">
        <f t="shared" si="413"/>
        <v>0</v>
      </c>
      <c r="AF267" s="171">
        <f t="shared" si="413"/>
        <v>0</v>
      </c>
      <c r="AG267" s="171">
        <f t="shared" si="413"/>
        <v>0</v>
      </c>
      <c r="AH267" s="171">
        <f t="shared" si="413"/>
        <v>0</v>
      </c>
      <c r="AI267" s="171">
        <f t="shared" si="413"/>
        <v>0</v>
      </c>
      <c r="AJ267" s="171">
        <f t="shared" si="413"/>
        <v>0</v>
      </c>
      <c r="AK267" s="171">
        <f t="shared" si="414"/>
        <v>0</v>
      </c>
      <c r="AL267" s="171">
        <f t="shared" si="414"/>
        <v>0</v>
      </c>
      <c r="AM267" s="171">
        <f t="shared" si="414"/>
        <v>0</v>
      </c>
      <c r="AN267" s="171">
        <f t="shared" si="414"/>
        <v>0</v>
      </c>
      <c r="AO267" s="171">
        <f t="shared" si="414"/>
        <v>0</v>
      </c>
      <c r="AP267" s="171">
        <f t="shared" si="414"/>
        <v>0</v>
      </c>
      <c r="AQ267" s="171">
        <f t="shared" si="414"/>
        <v>0</v>
      </c>
      <c r="AR267" s="171">
        <f t="shared" si="414"/>
        <v>0</v>
      </c>
      <c r="AS267" s="171">
        <f t="shared" si="414"/>
        <v>0</v>
      </c>
      <c r="AT267" s="171">
        <f t="shared" si="414"/>
        <v>0</v>
      </c>
      <c r="AU267" s="171">
        <f t="shared" si="415"/>
        <v>0</v>
      </c>
      <c r="AV267" s="171">
        <f t="shared" si="415"/>
        <v>0</v>
      </c>
      <c r="AW267" s="171">
        <f t="shared" si="415"/>
        <v>0</v>
      </c>
      <c r="AX267" s="171">
        <f t="shared" si="415"/>
        <v>0</v>
      </c>
      <c r="AY267" s="171">
        <f t="shared" si="415"/>
        <v>0</v>
      </c>
      <c r="AZ267" s="171">
        <f t="shared" si="415"/>
        <v>0</v>
      </c>
      <c r="BA267" s="171">
        <f t="shared" si="415"/>
        <v>0</v>
      </c>
      <c r="BB267" s="171">
        <f t="shared" si="415"/>
        <v>0</v>
      </c>
      <c r="BC267" s="171">
        <f t="shared" si="415"/>
        <v>0</v>
      </c>
      <c r="BD267" s="171">
        <f t="shared" si="415"/>
        <v>0</v>
      </c>
      <c r="BE267" s="171">
        <f t="shared" si="416"/>
        <v>0</v>
      </c>
      <c r="BF267" s="171">
        <f t="shared" si="416"/>
        <v>0</v>
      </c>
      <c r="BG267" s="171">
        <f t="shared" si="416"/>
        <v>0</v>
      </c>
      <c r="BH267" s="171">
        <f t="shared" si="416"/>
        <v>0</v>
      </c>
      <c r="BI267" s="171">
        <f t="shared" si="416"/>
        <v>0</v>
      </c>
      <c r="BJ267" s="171">
        <f t="shared" si="416"/>
        <v>0</v>
      </c>
      <c r="BK267" s="171">
        <f t="shared" si="416"/>
        <v>0</v>
      </c>
      <c r="BL267" s="171">
        <f t="shared" si="416"/>
        <v>0</v>
      </c>
      <c r="BM267" s="171">
        <f t="shared" si="416"/>
        <v>0</v>
      </c>
      <c r="BN267" s="171">
        <f t="shared" si="416"/>
        <v>0</v>
      </c>
      <c r="BO267" s="171">
        <f t="shared" si="417"/>
        <v>0</v>
      </c>
      <c r="BP267" s="171">
        <f t="shared" si="417"/>
        <v>0</v>
      </c>
      <c r="BQ267" s="171">
        <f t="shared" si="417"/>
        <v>0</v>
      </c>
      <c r="BR267" s="171">
        <f t="shared" si="417"/>
        <v>0</v>
      </c>
      <c r="BS267" s="171">
        <f t="shared" si="417"/>
        <v>0</v>
      </c>
      <c r="BT267" s="171">
        <f t="shared" si="417"/>
        <v>0</v>
      </c>
      <c r="BU267" s="171">
        <f t="shared" si="417"/>
        <v>0</v>
      </c>
      <c r="BV267" s="171">
        <f t="shared" si="417"/>
        <v>0</v>
      </c>
      <c r="BW267" s="171">
        <f t="shared" si="417"/>
        <v>0</v>
      </c>
      <c r="BX267" s="171">
        <f t="shared" si="417"/>
        <v>0</v>
      </c>
      <c r="BY267" s="171">
        <f t="shared" si="418"/>
        <v>0</v>
      </c>
      <c r="BZ267" s="171">
        <f t="shared" si="418"/>
        <v>0</v>
      </c>
      <c r="CA267" s="171">
        <f t="shared" si="418"/>
        <v>0</v>
      </c>
      <c r="CB267" s="171">
        <f t="shared" si="418"/>
        <v>0</v>
      </c>
      <c r="CC267" s="171">
        <f t="shared" si="418"/>
        <v>0</v>
      </c>
      <c r="CD267" s="171">
        <f t="shared" si="418"/>
        <v>0</v>
      </c>
      <c r="CE267" s="171">
        <f t="shared" si="418"/>
        <v>0</v>
      </c>
      <c r="CF267" s="171">
        <f t="shared" si="418"/>
        <v>0</v>
      </c>
      <c r="CG267" s="171">
        <f t="shared" si="418"/>
        <v>0</v>
      </c>
      <c r="CH267" s="171">
        <f t="shared" si="418"/>
        <v>0</v>
      </c>
      <c r="CI267" s="171">
        <f t="shared" si="418"/>
        <v>0</v>
      </c>
      <c r="CJ267" s="243"/>
      <c r="CK267" s="171">
        <f t="shared" si="346"/>
        <v>0</v>
      </c>
      <c r="CL267" s="171">
        <f t="shared" si="347"/>
        <v>0</v>
      </c>
      <c r="CM267" s="171">
        <f t="shared" si="348"/>
        <v>0</v>
      </c>
      <c r="CN267" s="171">
        <f t="shared" si="349"/>
        <v>0</v>
      </c>
      <c r="CO267" s="171">
        <f t="shared" si="350"/>
        <v>0</v>
      </c>
      <c r="CP267" s="171">
        <f t="shared" si="351"/>
        <v>0</v>
      </c>
      <c r="CQ267" s="171">
        <f t="shared" si="352"/>
        <v>0</v>
      </c>
      <c r="CR267" s="171">
        <f t="shared" si="353"/>
        <v>0</v>
      </c>
      <c r="CS267" s="171">
        <f t="shared" si="354"/>
        <v>0</v>
      </c>
      <c r="CT267" s="171">
        <f t="shared" si="355"/>
        <v>0</v>
      </c>
      <c r="CU267" s="171">
        <f t="shared" si="356"/>
        <v>0</v>
      </c>
      <c r="CV267" s="171">
        <f t="shared" si="357"/>
        <v>0</v>
      </c>
      <c r="CW267" s="171">
        <f t="shared" si="358"/>
        <v>0</v>
      </c>
      <c r="CX267" s="171">
        <f t="shared" si="359"/>
        <v>0</v>
      </c>
      <c r="CY267" s="171">
        <f t="shared" ca="1" si="360"/>
        <v>0</v>
      </c>
      <c r="CZ267" s="171">
        <f t="shared" ca="1" si="361"/>
        <v>0</v>
      </c>
      <c r="DA267" s="171">
        <f t="shared" ca="1" si="362"/>
        <v>0</v>
      </c>
      <c r="DB267" s="171">
        <f t="shared" ca="1" si="363"/>
        <v>0</v>
      </c>
      <c r="DC267" s="171">
        <f t="shared" ca="1" si="364"/>
        <v>0</v>
      </c>
      <c r="DD267" s="171">
        <f t="shared" ca="1" si="365"/>
        <v>0</v>
      </c>
      <c r="DE267" s="171">
        <f t="shared" ca="1" si="366"/>
        <v>0</v>
      </c>
      <c r="DF267" s="171">
        <f t="shared" ca="1" si="367"/>
        <v>0</v>
      </c>
      <c r="DG267" s="171">
        <f t="shared" ca="1" si="368"/>
        <v>0</v>
      </c>
      <c r="DH267" s="171">
        <f t="shared" ca="1" si="369"/>
        <v>0</v>
      </c>
      <c r="DI267" s="171">
        <f t="shared" ca="1" si="370"/>
        <v>0</v>
      </c>
      <c r="DJ267" s="171">
        <f t="shared" ca="1" si="371"/>
        <v>0</v>
      </c>
      <c r="DK267" s="171">
        <f t="shared" ca="1" si="372"/>
        <v>0</v>
      </c>
      <c r="DL267" s="171">
        <f t="shared" ca="1" si="373"/>
        <v>0</v>
      </c>
      <c r="DM267" s="171">
        <f t="shared" ca="1" si="374"/>
        <v>0</v>
      </c>
      <c r="DN267" s="171">
        <f t="shared" ca="1" si="375"/>
        <v>0</v>
      </c>
      <c r="DO267" s="171">
        <f t="shared" ca="1" si="376"/>
        <v>0</v>
      </c>
      <c r="DP267" s="171">
        <f t="shared" ca="1" si="377"/>
        <v>0</v>
      </c>
      <c r="DQ267" s="171">
        <f t="shared" ca="1" si="378"/>
        <v>0</v>
      </c>
      <c r="DR267" s="171">
        <f t="shared" ca="1" si="379"/>
        <v>0</v>
      </c>
      <c r="DS267" s="171">
        <f t="shared" ca="1" si="380"/>
        <v>0</v>
      </c>
      <c r="DT267" s="171">
        <f t="shared" ca="1" si="381"/>
        <v>0</v>
      </c>
      <c r="DU267" s="171">
        <f t="shared" ca="1" si="382"/>
        <v>0</v>
      </c>
      <c r="DV267" s="171">
        <f t="shared" ca="1" si="383"/>
        <v>0</v>
      </c>
      <c r="DW267" s="171">
        <f t="shared" ca="1" si="384"/>
        <v>0</v>
      </c>
      <c r="DX267" s="171">
        <f t="shared" ca="1" si="385"/>
        <v>0</v>
      </c>
      <c r="DY267" s="171">
        <f t="shared" ca="1" si="386"/>
        <v>0</v>
      </c>
      <c r="DZ267" s="171">
        <f t="shared" ca="1" si="387"/>
        <v>0</v>
      </c>
      <c r="EA267" s="171">
        <f t="shared" ca="1" si="388"/>
        <v>0</v>
      </c>
      <c r="EB267" s="171">
        <f t="shared" ca="1" si="389"/>
        <v>0</v>
      </c>
      <c r="EC267" s="171">
        <f t="shared" ca="1" si="390"/>
        <v>0</v>
      </c>
      <c r="ED267" s="171">
        <f t="shared" ca="1" si="391"/>
        <v>0</v>
      </c>
      <c r="EE267" s="171">
        <f t="shared" ca="1" si="392"/>
        <v>0</v>
      </c>
      <c r="EF267" s="171">
        <f t="shared" ca="1" si="393"/>
        <v>0</v>
      </c>
      <c r="EG267" s="171">
        <f t="shared" ca="1" si="394"/>
        <v>0</v>
      </c>
      <c r="EH267" s="171">
        <f t="shared" ca="1" si="395"/>
        <v>0</v>
      </c>
      <c r="EI267" s="171">
        <f t="shared" ca="1" si="396"/>
        <v>0</v>
      </c>
      <c r="EJ267" s="171">
        <f t="shared" ca="1" si="397"/>
        <v>0</v>
      </c>
      <c r="EK267" s="171">
        <f t="shared" ca="1" si="398"/>
        <v>0</v>
      </c>
      <c r="EL267" s="171">
        <f t="shared" ca="1" si="399"/>
        <v>0</v>
      </c>
      <c r="EM267" s="171">
        <f t="shared" ca="1" si="400"/>
        <v>0</v>
      </c>
      <c r="EN267" s="171">
        <f t="shared" ca="1" si="401"/>
        <v>0</v>
      </c>
      <c r="EO267" s="171">
        <f t="shared" ca="1" si="402"/>
        <v>0</v>
      </c>
      <c r="EP267" s="171">
        <f t="shared" ca="1" si="403"/>
        <v>0</v>
      </c>
      <c r="EQ267" s="171">
        <f t="shared" ca="1" si="404"/>
        <v>0</v>
      </c>
      <c r="ER267" s="171">
        <f t="shared" ca="1" si="405"/>
        <v>0</v>
      </c>
      <c r="ES267" s="171">
        <f t="shared" ca="1" si="406"/>
        <v>0</v>
      </c>
    </row>
    <row r="268" spans="3:149">
      <c r="C268" s="214"/>
      <c r="L268" s="163"/>
      <c r="M268" s="164" t="str">
        <f t="shared" si="337"/>
        <v/>
      </c>
      <c r="N268" s="164" t="str">
        <f t="shared" si="338"/>
        <v/>
      </c>
      <c r="O268" s="165" t="str">
        <f t="shared" si="339"/>
        <v/>
      </c>
      <c r="R268" s="168"/>
      <c r="U268" s="171">
        <f t="shared" si="340"/>
        <v>0</v>
      </c>
      <c r="V268" s="171">
        <f t="shared" ca="1" si="341"/>
        <v>0</v>
      </c>
      <c r="W268" s="171">
        <f t="shared" ca="1" si="342"/>
        <v>0</v>
      </c>
      <c r="X268" s="172">
        <f t="shared" si="343"/>
        <v>0</v>
      </c>
      <c r="Y268" s="172" t="str">
        <f t="shared" si="344"/>
        <v/>
      </c>
      <c r="Z268" s="173">
        <f t="shared" si="345"/>
        <v>0</v>
      </c>
      <c r="AA268" s="171">
        <f t="shared" si="413"/>
        <v>0</v>
      </c>
      <c r="AB268" s="171">
        <f t="shared" si="413"/>
        <v>0</v>
      </c>
      <c r="AC268" s="171">
        <f t="shared" si="413"/>
        <v>0</v>
      </c>
      <c r="AD268" s="171">
        <f t="shared" si="413"/>
        <v>0</v>
      </c>
      <c r="AE268" s="171">
        <f t="shared" si="413"/>
        <v>0</v>
      </c>
      <c r="AF268" s="171">
        <f t="shared" si="413"/>
        <v>0</v>
      </c>
      <c r="AG268" s="171">
        <f t="shared" si="413"/>
        <v>0</v>
      </c>
      <c r="AH268" s="171">
        <f t="shared" si="413"/>
        <v>0</v>
      </c>
      <c r="AI268" s="171">
        <f t="shared" si="413"/>
        <v>0</v>
      </c>
      <c r="AJ268" s="171">
        <f t="shared" si="413"/>
        <v>0</v>
      </c>
      <c r="AK268" s="171">
        <f t="shared" si="414"/>
        <v>0</v>
      </c>
      <c r="AL268" s="171">
        <f t="shared" si="414"/>
        <v>0</v>
      </c>
      <c r="AM268" s="171">
        <f t="shared" si="414"/>
        <v>0</v>
      </c>
      <c r="AN268" s="171">
        <f t="shared" si="414"/>
        <v>0</v>
      </c>
      <c r="AO268" s="171">
        <f t="shared" si="414"/>
        <v>0</v>
      </c>
      <c r="AP268" s="171">
        <f t="shared" si="414"/>
        <v>0</v>
      </c>
      <c r="AQ268" s="171">
        <f t="shared" si="414"/>
        <v>0</v>
      </c>
      <c r="AR268" s="171">
        <f t="shared" si="414"/>
        <v>0</v>
      </c>
      <c r="AS268" s="171">
        <f t="shared" si="414"/>
        <v>0</v>
      </c>
      <c r="AT268" s="171">
        <f t="shared" si="414"/>
        <v>0</v>
      </c>
      <c r="AU268" s="171">
        <f t="shared" si="415"/>
        <v>0</v>
      </c>
      <c r="AV268" s="171">
        <f t="shared" si="415"/>
        <v>0</v>
      </c>
      <c r="AW268" s="171">
        <f t="shared" si="415"/>
        <v>0</v>
      </c>
      <c r="AX268" s="171">
        <f t="shared" si="415"/>
        <v>0</v>
      </c>
      <c r="AY268" s="171">
        <f t="shared" si="415"/>
        <v>0</v>
      </c>
      <c r="AZ268" s="171">
        <f t="shared" si="415"/>
        <v>0</v>
      </c>
      <c r="BA268" s="171">
        <f t="shared" si="415"/>
        <v>0</v>
      </c>
      <c r="BB268" s="171">
        <f t="shared" si="415"/>
        <v>0</v>
      </c>
      <c r="BC268" s="171">
        <f t="shared" si="415"/>
        <v>0</v>
      </c>
      <c r="BD268" s="171">
        <f t="shared" si="415"/>
        <v>0</v>
      </c>
      <c r="BE268" s="171">
        <f t="shared" si="416"/>
        <v>0</v>
      </c>
      <c r="BF268" s="171">
        <f t="shared" si="416"/>
        <v>0</v>
      </c>
      <c r="BG268" s="171">
        <f t="shared" si="416"/>
        <v>0</v>
      </c>
      <c r="BH268" s="171">
        <f t="shared" si="416"/>
        <v>0</v>
      </c>
      <c r="BI268" s="171">
        <f t="shared" si="416"/>
        <v>0</v>
      </c>
      <c r="BJ268" s="171">
        <f t="shared" si="416"/>
        <v>0</v>
      </c>
      <c r="BK268" s="171">
        <f t="shared" si="416"/>
        <v>0</v>
      </c>
      <c r="BL268" s="171">
        <f t="shared" si="416"/>
        <v>0</v>
      </c>
      <c r="BM268" s="171">
        <f t="shared" si="416"/>
        <v>0</v>
      </c>
      <c r="BN268" s="171">
        <f t="shared" si="416"/>
        <v>0</v>
      </c>
      <c r="BO268" s="171">
        <f t="shared" si="417"/>
        <v>0</v>
      </c>
      <c r="BP268" s="171">
        <f t="shared" si="417"/>
        <v>0</v>
      </c>
      <c r="BQ268" s="171">
        <f t="shared" si="417"/>
        <v>0</v>
      </c>
      <c r="BR268" s="171">
        <f t="shared" si="417"/>
        <v>0</v>
      </c>
      <c r="BS268" s="171">
        <f t="shared" si="417"/>
        <v>0</v>
      </c>
      <c r="BT268" s="171">
        <f t="shared" si="417"/>
        <v>0</v>
      </c>
      <c r="BU268" s="171">
        <f t="shared" si="417"/>
        <v>0</v>
      </c>
      <c r="BV268" s="171">
        <f t="shared" si="417"/>
        <v>0</v>
      </c>
      <c r="BW268" s="171">
        <f t="shared" si="417"/>
        <v>0</v>
      </c>
      <c r="BX268" s="171">
        <f t="shared" si="417"/>
        <v>0</v>
      </c>
      <c r="BY268" s="171">
        <f t="shared" si="418"/>
        <v>0</v>
      </c>
      <c r="BZ268" s="171">
        <f t="shared" si="418"/>
        <v>0</v>
      </c>
      <c r="CA268" s="171">
        <f t="shared" si="418"/>
        <v>0</v>
      </c>
      <c r="CB268" s="171">
        <f t="shared" si="418"/>
        <v>0</v>
      </c>
      <c r="CC268" s="171">
        <f t="shared" si="418"/>
        <v>0</v>
      </c>
      <c r="CD268" s="171">
        <f t="shared" si="418"/>
        <v>0</v>
      </c>
      <c r="CE268" s="171">
        <f t="shared" si="418"/>
        <v>0</v>
      </c>
      <c r="CF268" s="171">
        <f t="shared" si="418"/>
        <v>0</v>
      </c>
      <c r="CG268" s="171">
        <f t="shared" si="418"/>
        <v>0</v>
      </c>
      <c r="CH268" s="171">
        <f t="shared" si="418"/>
        <v>0</v>
      </c>
      <c r="CI268" s="171">
        <f t="shared" si="418"/>
        <v>0</v>
      </c>
      <c r="CJ268" s="243"/>
      <c r="CK268" s="171">
        <f t="shared" si="346"/>
        <v>0</v>
      </c>
      <c r="CL268" s="171">
        <f t="shared" si="347"/>
        <v>0</v>
      </c>
      <c r="CM268" s="171">
        <f t="shared" si="348"/>
        <v>0</v>
      </c>
      <c r="CN268" s="171">
        <f t="shared" si="349"/>
        <v>0</v>
      </c>
      <c r="CO268" s="171">
        <f t="shared" si="350"/>
        <v>0</v>
      </c>
      <c r="CP268" s="171">
        <f t="shared" si="351"/>
        <v>0</v>
      </c>
      <c r="CQ268" s="171">
        <f t="shared" si="352"/>
        <v>0</v>
      </c>
      <c r="CR268" s="171">
        <f t="shared" si="353"/>
        <v>0</v>
      </c>
      <c r="CS268" s="171">
        <f t="shared" si="354"/>
        <v>0</v>
      </c>
      <c r="CT268" s="171">
        <f t="shared" si="355"/>
        <v>0</v>
      </c>
      <c r="CU268" s="171">
        <f t="shared" si="356"/>
        <v>0</v>
      </c>
      <c r="CV268" s="171">
        <f t="shared" si="357"/>
        <v>0</v>
      </c>
      <c r="CW268" s="171">
        <f t="shared" si="358"/>
        <v>0</v>
      </c>
      <c r="CX268" s="171">
        <f t="shared" si="359"/>
        <v>0</v>
      </c>
      <c r="CY268" s="171">
        <f t="shared" ca="1" si="360"/>
        <v>0</v>
      </c>
      <c r="CZ268" s="171">
        <f t="shared" ca="1" si="361"/>
        <v>0</v>
      </c>
      <c r="DA268" s="171">
        <f t="shared" ca="1" si="362"/>
        <v>0</v>
      </c>
      <c r="DB268" s="171">
        <f t="shared" ca="1" si="363"/>
        <v>0</v>
      </c>
      <c r="DC268" s="171">
        <f t="shared" ca="1" si="364"/>
        <v>0</v>
      </c>
      <c r="DD268" s="171">
        <f t="shared" ca="1" si="365"/>
        <v>0</v>
      </c>
      <c r="DE268" s="171">
        <f t="shared" ca="1" si="366"/>
        <v>0</v>
      </c>
      <c r="DF268" s="171">
        <f t="shared" ca="1" si="367"/>
        <v>0</v>
      </c>
      <c r="DG268" s="171">
        <f t="shared" ca="1" si="368"/>
        <v>0</v>
      </c>
      <c r="DH268" s="171">
        <f t="shared" ca="1" si="369"/>
        <v>0</v>
      </c>
      <c r="DI268" s="171">
        <f t="shared" ca="1" si="370"/>
        <v>0</v>
      </c>
      <c r="DJ268" s="171">
        <f t="shared" ca="1" si="371"/>
        <v>0</v>
      </c>
      <c r="DK268" s="171">
        <f t="shared" ca="1" si="372"/>
        <v>0</v>
      </c>
      <c r="DL268" s="171">
        <f t="shared" ca="1" si="373"/>
        <v>0</v>
      </c>
      <c r="DM268" s="171">
        <f t="shared" ca="1" si="374"/>
        <v>0</v>
      </c>
      <c r="DN268" s="171">
        <f t="shared" ca="1" si="375"/>
        <v>0</v>
      </c>
      <c r="DO268" s="171">
        <f t="shared" ca="1" si="376"/>
        <v>0</v>
      </c>
      <c r="DP268" s="171">
        <f t="shared" ca="1" si="377"/>
        <v>0</v>
      </c>
      <c r="DQ268" s="171">
        <f t="shared" ca="1" si="378"/>
        <v>0</v>
      </c>
      <c r="DR268" s="171">
        <f t="shared" ca="1" si="379"/>
        <v>0</v>
      </c>
      <c r="DS268" s="171">
        <f t="shared" ca="1" si="380"/>
        <v>0</v>
      </c>
      <c r="DT268" s="171">
        <f t="shared" ca="1" si="381"/>
        <v>0</v>
      </c>
      <c r="DU268" s="171">
        <f t="shared" ca="1" si="382"/>
        <v>0</v>
      </c>
      <c r="DV268" s="171">
        <f t="shared" ca="1" si="383"/>
        <v>0</v>
      </c>
      <c r="DW268" s="171">
        <f t="shared" ca="1" si="384"/>
        <v>0</v>
      </c>
      <c r="DX268" s="171">
        <f t="shared" ca="1" si="385"/>
        <v>0</v>
      </c>
      <c r="DY268" s="171">
        <f t="shared" ca="1" si="386"/>
        <v>0</v>
      </c>
      <c r="DZ268" s="171">
        <f t="shared" ca="1" si="387"/>
        <v>0</v>
      </c>
      <c r="EA268" s="171">
        <f t="shared" ca="1" si="388"/>
        <v>0</v>
      </c>
      <c r="EB268" s="171">
        <f t="shared" ca="1" si="389"/>
        <v>0</v>
      </c>
      <c r="EC268" s="171">
        <f t="shared" ca="1" si="390"/>
        <v>0</v>
      </c>
      <c r="ED268" s="171">
        <f t="shared" ca="1" si="391"/>
        <v>0</v>
      </c>
      <c r="EE268" s="171">
        <f t="shared" ca="1" si="392"/>
        <v>0</v>
      </c>
      <c r="EF268" s="171">
        <f t="shared" ca="1" si="393"/>
        <v>0</v>
      </c>
      <c r="EG268" s="171">
        <f t="shared" ca="1" si="394"/>
        <v>0</v>
      </c>
      <c r="EH268" s="171">
        <f t="shared" ca="1" si="395"/>
        <v>0</v>
      </c>
      <c r="EI268" s="171">
        <f t="shared" ca="1" si="396"/>
        <v>0</v>
      </c>
      <c r="EJ268" s="171">
        <f t="shared" ca="1" si="397"/>
        <v>0</v>
      </c>
      <c r="EK268" s="171">
        <f t="shared" ca="1" si="398"/>
        <v>0</v>
      </c>
      <c r="EL268" s="171">
        <f t="shared" ca="1" si="399"/>
        <v>0</v>
      </c>
      <c r="EM268" s="171">
        <f t="shared" ca="1" si="400"/>
        <v>0</v>
      </c>
      <c r="EN268" s="171">
        <f t="shared" ca="1" si="401"/>
        <v>0</v>
      </c>
      <c r="EO268" s="171">
        <f t="shared" ca="1" si="402"/>
        <v>0</v>
      </c>
      <c r="EP268" s="171">
        <f t="shared" ca="1" si="403"/>
        <v>0</v>
      </c>
      <c r="EQ268" s="171">
        <f t="shared" ca="1" si="404"/>
        <v>0</v>
      </c>
      <c r="ER268" s="171">
        <f t="shared" ca="1" si="405"/>
        <v>0</v>
      </c>
      <c r="ES268" s="171">
        <f t="shared" ca="1" si="406"/>
        <v>0</v>
      </c>
    </row>
    <row r="269" spans="3:149">
      <c r="C269" s="214"/>
      <c r="L269" s="163"/>
      <c r="M269" s="164" t="str">
        <f t="shared" si="337"/>
        <v/>
      </c>
      <c r="N269" s="164" t="str">
        <f t="shared" si="338"/>
        <v/>
      </c>
      <c r="O269" s="165" t="str">
        <f t="shared" si="339"/>
        <v/>
      </c>
      <c r="R269" s="168"/>
      <c r="U269" s="171">
        <f t="shared" si="340"/>
        <v>0</v>
      </c>
      <c r="V269" s="171">
        <f t="shared" ca="1" si="341"/>
        <v>0</v>
      </c>
      <c r="W269" s="171">
        <f t="shared" ca="1" si="342"/>
        <v>0</v>
      </c>
      <c r="X269" s="172">
        <f t="shared" si="343"/>
        <v>0</v>
      </c>
      <c r="Y269" s="172" t="str">
        <f t="shared" si="344"/>
        <v/>
      </c>
      <c r="Z269" s="173">
        <f t="shared" si="345"/>
        <v>0</v>
      </c>
      <c r="AA269" s="171">
        <f t="shared" ref="AA269:AJ278" si="419">IFERROR(
    IF($T269="Equity",
        IF(AND(AA$48&gt;=$E269, AA$48&lt;=($E269+$Q269)),
$K269*$P269*(VLOOKUP($C$39,$C$37:$BL$44,MATCH($E269,$C$37:$BL$37,0),FALSE)/VLOOKUP($L269,$C$37:$BL$44,MATCH($E269,$C$37:$BL$37,0),FALSE))*
IF($B$5="Foreign Currency",VLOOKUP($C$38,$C$37:$BL$44,MATCH(AA$48,$C$37:$BL$37,0),FALSE)/VLOOKUP($C$39,$C$37:$BL$44,MATCH(AA$48,$C$37:$BL$37,0),FALSE),1),
0),
    IF($T269="Lump Sum Principal",
        IF(AND(AA$48&gt;=$E269, AA$48&lt;($E269+$Q269)),
$K269*$P269*(VLOOKUP($C$39,$C$37:$BL$44,MATCH($E269,$C$37:$BL$37,0),FALSE)/VLOOKUP($L269,$C$37:$BL$44,MATCH($E269,$C$37:$BL$37,0),FALSE))*
IF($B$5="Foreign Currency",VLOOKUP($C$38,$C$37:$BL$44,MATCH(AA$48,$C$37:$BL$37,0),FALSE)/VLOOKUP($C$39,$C$37:$BL$44,MATCH(AA$48,$C$37:$BL$37,0),FALSE),1),
        IF(AA$48=($E269+$Q269),
$K269*(1+$P269)*(VLOOKUP($C$39,$C$37:$BL$44,MATCH($E269,$C$37:$BL$37,0),FALSE)/VLOOKUP($L269,$C$37:$BL$44,MATCH($E269,$C$37:$BL$37,0),FALSE))*
IF($B$5="Foreign Currency",VLOOKUP($C$38,$C$37:$BL$44,MATCH(AA$48,$C$37:$BL$37,0),FALSE)/VLOOKUP($C$39,$C$37:$BL$44,MATCH(AA$48,$C$37:$BL$37,0),FALSE),1),
0)),
    IF($T269="Lump Sum Principal and Interest",
        IF(AA$48=($E269+$Q269),
$K269*((1+$P269)^$Q269)*(VLOOKUP($C$39,$C$37:$BL$44,MATCH($E269,$C$37:$BL$37,0),FALSE)/VLOOKUP($L269,$C$37:$BL$44,MATCH($E269,$C$37:$BL$37,0),FALSE))*
IF($B$5="Foreign Currency",VLOOKUP($C$38,$C$37:$BL$44,MATCH(AA$48,$C$37:$BL$37,0),FALSE)/VLOOKUP($C$39,$C$37:$BL$44,MATCH(AA$48,$C$37:$BL$37,0),FALSE),1),
0),
    IF($T269="EPP with Grace Years for Principal",
        IF(AND(AA$48&gt;=$E269, AA$48&lt;($E269+$S269)),
$K269*$P269*(VLOOKUP($C$39,$C$37:$BL$44,MATCH($E269,$C$37:$BL$37,0),FALSE)/VLOOKUP($L269,$C$37:$BL$44,MATCH($E269,$C$37:$BL$37,0),FALSE))*
IF($B$5="Foreign Currency",VLOOKUP($C$38,$C$37:$BL$44,MATCH(AA$48,$C$37:$BL$37,0),FALSE)/VLOOKUP($C$39,$C$37:$BL$44,MATCH(AA$48,$C$37:$BL$37,0),FALSE),1),
        IF(AND(AA$48&gt;=($E269+$S269), AA$48&lt;=($E269+$Q269)),
-PMT($P269,($Q269-$S269+1),($K269*(VLOOKUP($C$39,$C$37:$BL$44,MATCH($E269,$C$37:$BL$37,0),FALSE)/VLOOKUP($L269,$C$37:$BL$44,MATCH($E269,$C$37:$BL$37,0),FALSE))*
IF($B$5="Foreign Currency",VLOOKUP($C$38,$C$37:$BL$44,MATCH(AA$48,$C$37:$BL$37,0),FALSE)/VLOOKUP($C$39,$C$37:$BL$44,MATCH(AA$48,$C$37:$BL$37,0),FALSE),1)),0),
0)),
    IF($T269="Equal Principal Payments (EPP)",
        IF(AND(AA$48&gt;=$E269, AA$48&lt;=($E269+$Q269)),
-PMT($P269,($Q269-$S269+1),($K269*(VLOOKUP($C$39,$C$37:$BL$44,MATCH($E269,$C$37:$BL$37,0),FALSE)/VLOOKUP($L269,$C$37:$BL$44,MATCH($E269,$C$37:$BL$37,0),FALSE))*
IF($B$5="Foreign Currency",VLOOKUP($C$38,$C$37:$BL$44,MATCH(AA$48,$C$37:$BL$37,0),FALSE)/VLOOKUP($C$39,$C$37:$BL$44,MATCH(AA$48,$C$37:$BL$37,0),FALSE),1)),0), 0),
    IF($T269="EPP with Grace Years for Principal and on Interest",
        IF(AND(AA$48&gt;=($E269+$S269), AA$48&lt;=($E269+$Q269)),
-PMT($P269,($Q269-$S269+1),($K269*(VLOOKUP($C$39,$C$37:$BL$44,MATCH($E269,$C$37:$BL$37,0),FALSE)/VLOOKUP($L269,$C$37:$BL$44,MATCH($E269,$C$37:$BL$37,0),FALSE))*
IF($B$5="Foreign Currency",VLOOKUP($C$38,$C$37:$BL$44,MATCH(AA$48,$C$37:$BL$37,0),FALSE)/VLOOKUP($C$39,$C$37:$BL$44,MATCH(AA$48,$C$37:$BL$37,0),FALSE),1))*((1+$P269)^$S269),0), 0),
    0)))))),"")</f>
        <v>0</v>
      </c>
      <c r="AB269" s="171">
        <f t="shared" si="419"/>
        <v>0</v>
      </c>
      <c r="AC269" s="171">
        <f t="shared" si="419"/>
        <v>0</v>
      </c>
      <c r="AD269" s="171">
        <f t="shared" si="419"/>
        <v>0</v>
      </c>
      <c r="AE269" s="171">
        <f t="shared" si="419"/>
        <v>0</v>
      </c>
      <c r="AF269" s="171">
        <f t="shared" si="419"/>
        <v>0</v>
      </c>
      <c r="AG269" s="171">
        <f t="shared" si="419"/>
        <v>0</v>
      </c>
      <c r="AH269" s="171">
        <f t="shared" si="419"/>
        <v>0</v>
      </c>
      <c r="AI269" s="171">
        <f t="shared" si="419"/>
        <v>0</v>
      </c>
      <c r="AJ269" s="171">
        <f t="shared" si="419"/>
        <v>0</v>
      </c>
      <c r="AK269" s="171">
        <f t="shared" ref="AK269:AT278" si="420">IFERROR(
    IF($T269="Equity",
        IF(AND(AK$48&gt;=$E269, AK$48&lt;=($E269+$Q269)),
$K269*$P269*(VLOOKUP($C$39,$C$37:$BL$44,MATCH($E269,$C$37:$BL$37,0),FALSE)/VLOOKUP($L269,$C$37:$BL$44,MATCH($E269,$C$37:$BL$37,0),FALSE))*
IF($B$5="Foreign Currency",VLOOKUP($C$38,$C$37:$BL$44,MATCH(AK$48,$C$37:$BL$37,0),FALSE)/VLOOKUP($C$39,$C$37:$BL$44,MATCH(AK$48,$C$37:$BL$37,0),FALSE),1),
0),
    IF($T269="Lump Sum Principal",
        IF(AND(AK$48&gt;=$E269, AK$48&lt;($E269+$Q269)),
$K269*$P269*(VLOOKUP($C$39,$C$37:$BL$44,MATCH($E269,$C$37:$BL$37,0),FALSE)/VLOOKUP($L269,$C$37:$BL$44,MATCH($E269,$C$37:$BL$37,0),FALSE))*
IF($B$5="Foreign Currency",VLOOKUP($C$38,$C$37:$BL$44,MATCH(AK$48,$C$37:$BL$37,0),FALSE)/VLOOKUP($C$39,$C$37:$BL$44,MATCH(AK$48,$C$37:$BL$37,0),FALSE),1),
        IF(AK$48=($E269+$Q269),
$K269*(1+$P269)*(VLOOKUP($C$39,$C$37:$BL$44,MATCH($E269,$C$37:$BL$37,0),FALSE)/VLOOKUP($L269,$C$37:$BL$44,MATCH($E269,$C$37:$BL$37,0),FALSE))*
IF($B$5="Foreign Currency",VLOOKUP($C$38,$C$37:$BL$44,MATCH(AK$48,$C$37:$BL$37,0),FALSE)/VLOOKUP($C$39,$C$37:$BL$44,MATCH(AK$48,$C$37:$BL$37,0),FALSE),1),
0)),
    IF($T269="Lump Sum Principal and Interest",
        IF(AK$48=($E269+$Q269),
$K269*((1+$P269)^$Q269)*(VLOOKUP($C$39,$C$37:$BL$44,MATCH($E269,$C$37:$BL$37,0),FALSE)/VLOOKUP($L269,$C$37:$BL$44,MATCH($E269,$C$37:$BL$37,0),FALSE))*
IF($B$5="Foreign Currency",VLOOKUP($C$38,$C$37:$BL$44,MATCH(AK$48,$C$37:$BL$37,0),FALSE)/VLOOKUP($C$39,$C$37:$BL$44,MATCH(AK$48,$C$37:$BL$37,0),FALSE),1),
0),
    IF($T269="EPP with Grace Years for Principal",
        IF(AND(AK$48&gt;=$E269, AK$48&lt;($E269+$S269)),
$K269*$P269*(VLOOKUP($C$39,$C$37:$BL$44,MATCH($E269,$C$37:$BL$37,0),FALSE)/VLOOKUP($L269,$C$37:$BL$44,MATCH($E269,$C$37:$BL$37,0),FALSE))*
IF($B$5="Foreign Currency",VLOOKUP($C$38,$C$37:$BL$44,MATCH(AK$48,$C$37:$BL$37,0),FALSE)/VLOOKUP($C$39,$C$37:$BL$44,MATCH(AK$48,$C$37:$BL$37,0),FALSE),1),
        IF(AND(AK$48&gt;=($E269+$S269), AK$48&lt;=($E269+$Q269)),
-PMT($P269,($Q269-$S269+1),($K269*(VLOOKUP($C$39,$C$37:$BL$44,MATCH($E269,$C$37:$BL$37,0),FALSE)/VLOOKUP($L269,$C$37:$BL$44,MATCH($E269,$C$37:$BL$37,0),FALSE))*
IF($B$5="Foreign Currency",VLOOKUP($C$38,$C$37:$BL$44,MATCH(AK$48,$C$37:$BL$37,0),FALSE)/VLOOKUP($C$39,$C$37:$BL$44,MATCH(AK$48,$C$37:$BL$37,0),FALSE),1)),0),
0)),
    IF($T269="Equal Principal Payments (EPP)",
        IF(AND(AK$48&gt;=$E269, AK$48&lt;=($E269+$Q269)),
-PMT($P269,($Q269-$S269+1),($K269*(VLOOKUP($C$39,$C$37:$BL$44,MATCH($E269,$C$37:$BL$37,0),FALSE)/VLOOKUP($L269,$C$37:$BL$44,MATCH($E269,$C$37:$BL$37,0),FALSE))*
IF($B$5="Foreign Currency",VLOOKUP($C$38,$C$37:$BL$44,MATCH(AK$48,$C$37:$BL$37,0),FALSE)/VLOOKUP($C$39,$C$37:$BL$44,MATCH(AK$48,$C$37:$BL$37,0),FALSE),1)),0), 0),
    IF($T269="EPP with Grace Years for Principal and on Interest",
        IF(AND(AK$48&gt;=($E269+$S269), AK$48&lt;=($E269+$Q269)),
-PMT($P269,($Q269-$S269+1),($K269*(VLOOKUP($C$39,$C$37:$BL$44,MATCH($E269,$C$37:$BL$37,0),FALSE)/VLOOKUP($L269,$C$37:$BL$44,MATCH($E269,$C$37:$BL$37,0),FALSE))*
IF($B$5="Foreign Currency",VLOOKUP($C$38,$C$37:$BL$44,MATCH(AK$48,$C$37:$BL$37,0),FALSE)/VLOOKUP($C$39,$C$37:$BL$44,MATCH(AK$48,$C$37:$BL$37,0),FALSE),1))*((1+$P269)^$S269),0), 0),
    0)))))),"")</f>
        <v>0</v>
      </c>
      <c r="AL269" s="171">
        <f t="shared" si="420"/>
        <v>0</v>
      </c>
      <c r="AM269" s="171">
        <f t="shared" si="420"/>
        <v>0</v>
      </c>
      <c r="AN269" s="171">
        <f t="shared" si="420"/>
        <v>0</v>
      </c>
      <c r="AO269" s="171">
        <f t="shared" si="420"/>
        <v>0</v>
      </c>
      <c r="AP269" s="171">
        <f t="shared" si="420"/>
        <v>0</v>
      </c>
      <c r="AQ269" s="171">
        <f t="shared" si="420"/>
        <v>0</v>
      </c>
      <c r="AR269" s="171">
        <f t="shared" si="420"/>
        <v>0</v>
      </c>
      <c r="AS269" s="171">
        <f t="shared" si="420"/>
        <v>0</v>
      </c>
      <c r="AT269" s="171">
        <f t="shared" si="420"/>
        <v>0</v>
      </c>
      <c r="AU269" s="171">
        <f t="shared" ref="AU269:BD278" si="421">IFERROR(
    IF($T269="Equity",
        IF(AND(AU$48&gt;=$E269, AU$48&lt;=($E269+$Q269)),
$K269*$P269*(VLOOKUP($C$39,$C$37:$BL$44,MATCH($E269,$C$37:$BL$37,0),FALSE)/VLOOKUP($L269,$C$37:$BL$44,MATCH($E269,$C$37:$BL$37,0),FALSE))*
IF($B$5="Foreign Currency",VLOOKUP($C$38,$C$37:$BL$44,MATCH(AU$48,$C$37:$BL$37,0),FALSE)/VLOOKUP($C$39,$C$37:$BL$44,MATCH(AU$48,$C$37:$BL$37,0),FALSE),1),
0),
    IF($T269="Lump Sum Principal",
        IF(AND(AU$48&gt;=$E269, AU$48&lt;($E269+$Q269)),
$K269*$P269*(VLOOKUP($C$39,$C$37:$BL$44,MATCH($E269,$C$37:$BL$37,0),FALSE)/VLOOKUP($L269,$C$37:$BL$44,MATCH($E269,$C$37:$BL$37,0),FALSE))*
IF($B$5="Foreign Currency",VLOOKUP($C$38,$C$37:$BL$44,MATCH(AU$48,$C$37:$BL$37,0),FALSE)/VLOOKUP($C$39,$C$37:$BL$44,MATCH(AU$48,$C$37:$BL$37,0),FALSE),1),
        IF(AU$48=($E269+$Q269),
$K269*(1+$P269)*(VLOOKUP($C$39,$C$37:$BL$44,MATCH($E269,$C$37:$BL$37,0),FALSE)/VLOOKUP($L269,$C$37:$BL$44,MATCH($E269,$C$37:$BL$37,0),FALSE))*
IF($B$5="Foreign Currency",VLOOKUP($C$38,$C$37:$BL$44,MATCH(AU$48,$C$37:$BL$37,0),FALSE)/VLOOKUP($C$39,$C$37:$BL$44,MATCH(AU$48,$C$37:$BL$37,0),FALSE),1),
0)),
    IF($T269="Lump Sum Principal and Interest",
        IF(AU$48=($E269+$Q269),
$K269*((1+$P269)^$Q269)*(VLOOKUP($C$39,$C$37:$BL$44,MATCH($E269,$C$37:$BL$37,0),FALSE)/VLOOKUP($L269,$C$37:$BL$44,MATCH($E269,$C$37:$BL$37,0),FALSE))*
IF($B$5="Foreign Currency",VLOOKUP($C$38,$C$37:$BL$44,MATCH(AU$48,$C$37:$BL$37,0),FALSE)/VLOOKUP($C$39,$C$37:$BL$44,MATCH(AU$48,$C$37:$BL$37,0),FALSE),1),
0),
    IF($T269="EPP with Grace Years for Principal",
        IF(AND(AU$48&gt;=$E269, AU$48&lt;($E269+$S269)),
$K269*$P269*(VLOOKUP($C$39,$C$37:$BL$44,MATCH($E269,$C$37:$BL$37,0),FALSE)/VLOOKUP($L269,$C$37:$BL$44,MATCH($E269,$C$37:$BL$37,0),FALSE))*
IF($B$5="Foreign Currency",VLOOKUP($C$38,$C$37:$BL$44,MATCH(AU$48,$C$37:$BL$37,0),FALSE)/VLOOKUP($C$39,$C$37:$BL$44,MATCH(AU$48,$C$37:$BL$37,0),FALSE),1),
        IF(AND(AU$48&gt;=($E269+$S269), AU$48&lt;=($E269+$Q269)),
-PMT($P269,($Q269-$S269+1),($K269*(VLOOKUP($C$39,$C$37:$BL$44,MATCH($E269,$C$37:$BL$37,0),FALSE)/VLOOKUP($L269,$C$37:$BL$44,MATCH($E269,$C$37:$BL$37,0),FALSE))*
IF($B$5="Foreign Currency",VLOOKUP($C$38,$C$37:$BL$44,MATCH(AU$48,$C$37:$BL$37,0),FALSE)/VLOOKUP($C$39,$C$37:$BL$44,MATCH(AU$48,$C$37:$BL$37,0),FALSE),1)),0),
0)),
    IF($T269="Equal Principal Payments (EPP)",
        IF(AND(AU$48&gt;=$E269, AU$48&lt;=($E269+$Q269)),
-PMT($P269,($Q269-$S269+1),($K269*(VLOOKUP($C$39,$C$37:$BL$44,MATCH($E269,$C$37:$BL$37,0),FALSE)/VLOOKUP($L269,$C$37:$BL$44,MATCH($E269,$C$37:$BL$37,0),FALSE))*
IF($B$5="Foreign Currency",VLOOKUP($C$38,$C$37:$BL$44,MATCH(AU$48,$C$37:$BL$37,0),FALSE)/VLOOKUP($C$39,$C$37:$BL$44,MATCH(AU$48,$C$37:$BL$37,0),FALSE),1)),0), 0),
    IF($T269="EPP with Grace Years for Principal and on Interest",
        IF(AND(AU$48&gt;=($E269+$S269), AU$48&lt;=($E269+$Q269)),
-PMT($P269,($Q269-$S269+1),($K269*(VLOOKUP($C$39,$C$37:$BL$44,MATCH($E269,$C$37:$BL$37,0),FALSE)/VLOOKUP($L269,$C$37:$BL$44,MATCH($E269,$C$37:$BL$37,0),FALSE))*
IF($B$5="Foreign Currency",VLOOKUP($C$38,$C$37:$BL$44,MATCH(AU$48,$C$37:$BL$37,0),FALSE)/VLOOKUP($C$39,$C$37:$BL$44,MATCH(AU$48,$C$37:$BL$37,0),FALSE),1))*((1+$P269)^$S269),0), 0),
    0)))))),"")</f>
        <v>0</v>
      </c>
      <c r="AV269" s="171">
        <f t="shared" si="421"/>
        <v>0</v>
      </c>
      <c r="AW269" s="171">
        <f t="shared" si="421"/>
        <v>0</v>
      </c>
      <c r="AX269" s="171">
        <f t="shared" si="421"/>
        <v>0</v>
      </c>
      <c r="AY269" s="171">
        <f t="shared" si="421"/>
        <v>0</v>
      </c>
      <c r="AZ269" s="171">
        <f t="shared" si="421"/>
        <v>0</v>
      </c>
      <c r="BA269" s="171">
        <f t="shared" si="421"/>
        <v>0</v>
      </c>
      <c r="BB269" s="171">
        <f t="shared" si="421"/>
        <v>0</v>
      </c>
      <c r="BC269" s="171">
        <f t="shared" si="421"/>
        <v>0</v>
      </c>
      <c r="BD269" s="171">
        <f t="shared" si="421"/>
        <v>0</v>
      </c>
      <c r="BE269" s="171">
        <f t="shared" ref="BE269:BN278" si="422">IFERROR(
    IF($T269="Equity",
        IF(AND(BE$48&gt;=$E269, BE$48&lt;=($E269+$Q269)),
$K269*$P269*(VLOOKUP($C$39,$C$37:$BL$44,MATCH($E269,$C$37:$BL$37,0),FALSE)/VLOOKUP($L269,$C$37:$BL$44,MATCH($E269,$C$37:$BL$37,0),FALSE))*
IF($B$5="Foreign Currency",VLOOKUP($C$38,$C$37:$BL$44,MATCH(BE$48,$C$37:$BL$37,0),FALSE)/VLOOKUP($C$39,$C$37:$BL$44,MATCH(BE$48,$C$37:$BL$37,0),FALSE),1),
0),
    IF($T269="Lump Sum Principal",
        IF(AND(BE$48&gt;=$E269, BE$48&lt;($E269+$Q269)),
$K269*$P269*(VLOOKUP($C$39,$C$37:$BL$44,MATCH($E269,$C$37:$BL$37,0),FALSE)/VLOOKUP($L269,$C$37:$BL$44,MATCH($E269,$C$37:$BL$37,0),FALSE))*
IF($B$5="Foreign Currency",VLOOKUP($C$38,$C$37:$BL$44,MATCH(BE$48,$C$37:$BL$37,0),FALSE)/VLOOKUP($C$39,$C$37:$BL$44,MATCH(BE$48,$C$37:$BL$37,0),FALSE),1),
        IF(BE$48=($E269+$Q269),
$K269*(1+$P269)*(VLOOKUP($C$39,$C$37:$BL$44,MATCH($E269,$C$37:$BL$37,0),FALSE)/VLOOKUP($L269,$C$37:$BL$44,MATCH($E269,$C$37:$BL$37,0),FALSE))*
IF($B$5="Foreign Currency",VLOOKUP($C$38,$C$37:$BL$44,MATCH(BE$48,$C$37:$BL$37,0),FALSE)/VLOOKUP($C$39,$C$37:$BL$44,MATCH(BE$48,$C$37:$BL$37,0),FALSE),1),
0)),
    IF($T269="Lump Sum Principal and Interest",
        IF(BE$48=($E269+$Q269),
$K269*((1+$P269)^$Q269)*(VLOOKUP($C$39,$C$37:$BL$44,MATCH($E269,$C$37:$BL$37,0),FALSE)/VLOOKUP($L269,$C$37:$BL$44,MATCH($E269,$C$37:$BL$37,0),FALSE))*
IF($B$5="Foreign Currency",VLOOKUP($C$38,$C$37:$BL$44,MATCH(BE$48,$C$37:$BL$37,0),FALSE)/VLOOKUP($C$39,$C$37:$BL$44,MATCH(BE$48,$C$37:$BL$37,0),FALSE),1),
0),
    IF($T269="EPP with Grace Years for Principal",
        IF(AND(BE$48&gt;=$E269, BE$48&lt;($E269+$S269)),
$K269*$P269*(VLOOKUP($C$39,$C$37:$BL$44,MATCH($E269,$C$37:$BL$37,0),FALSE)/VLOOKUP($L269,$C$37:$BL$44,MATCH($E269,$C$37:$BL$37,0),FALSE))*
IF($B$5="Foreign Currency",VLOOKUP($C$38,$C$37:$BL$44,MATCH(BE$48,$C$37:$BL$37,0),FALSE)/VLOOKUP($C$39,$C$37:$BL$44,MATCH(BE$48,$C$37:$BL$37,0),FALSE),1),
        IF(AND(BE$48&gt;=($E269+$S269), BE$48&lt;=($E269+$Q269)),
-PMT($P269,($Q269-$S269+1),($K269*(VLOOKUP($C$39,$C$37:$BL$44,MATCH($E269,$C$37:$BL$37,0),FALSE)/VLOOKUP($L269,$C$37:$BL$44,MATCH($E269,$C$37:$BL$37,0),FALSE))*
IF($B$5="Foreign Currency",VLOOKUP($C$38,$C$37:$BL$44,MATCH(BE$48,$C$37:$BL$37,0),FALSE)/VLOOKUP($C$39,$C$37:$BL$44,MATCH(BE$48,$C$37:$BL$37,0),FALSE),1)),0),
0)),
    IF($T269="Equal Principal Payments (EPP)",
        IF(AND(BE$48&gt;=$E269, BE$48&lt;=($E269+$Q269)),
-PMT($P269,($Q269-$S269+1),($K269*(VLOOKUP($C$39,$C$37:$BL$44,MATCH($E269,$C$37:$BL$37,0),FALSE)/VLOOKUP($L269,$C$37:$BL$44,MATCH($E269,$C$37:$BL$37,0),FALSE))*
IF($B$5="Foreign Currency",VLOOKUP($C$38,$C$37:$BL$44,MATCH(BE$48,$C$37:$BL$37,0),FALSE)/VLOOKUP($C$39,$C$37:$BL$44,MATCH(BE$48,$C$37:$BL$37,0),FALSE),1)),0), 0),
    IF($T269="EPP with Grace Years for Principal and on Interest",
        IF(AND(BE$48&gt;=($E269+$S269), BE$48&lt;=($E269+$Q269)),
-PMT($P269,($Q269-$S269+1),($K269*(VLOOKUP($C$39,$C$37:$BL$44,MATCH($E269,$C$37:$BL$37,0),FALSE)/VLOOKUP($L269,$C$37:$BL$44,MATCH($E269,$C$37:$BL$37,0),FALSE))*
IF($B$5="Foreign Currency",VLOOKUP($C$38,$C$37:$BL$44,MATCH(BE$48,$C$37:$BL$37,0),FALSE)/VLOOKUP($C$39,$C$37:$BL$44,MATCH(BE$48,$C$37:$BL$37,0),FALSE),1))*((1+$P269)^$S269),0), 0),
    0)))))),"")</f>
        <v>0</v>
      </c>
      <c r="BF269" s="171">
        <f t="shared" si="422"/>
        <v>0</v>
      </c>
      <c r="BG269" s="171">
        <f t="shared" si="422"/>
        <v>0</v>
      </c>
      <c r="BH269" s="171">
        <f t="shared" si="422"/>
        <v>0</v>
      </c>
      <c r="BI269" s="171">
        <f t="shared" si="422"/>
        <v>0</v>
      </c>
      <c r="BJ269" s="171">
        <f t="shared" si="422"/>
        <v>0</v>
      </c>
      <c r="BK269" s="171">
        <f t="shared" si="422"/>
        <v>0</v>
      </c>
      <c r="BL269" s="171">
        <f t="shared" si="422"/>
        <v>0</v>
      </c>
      <c r="BM269" s="171">
        <f t="shared" si="422"/>
        <v>0</v>
      </c>
      <c r="BN269" s="171">
        <f t="shared" si="422"/>
        <v>0</v>
      </c>
      <c r="BO269" s="171">
        <f t="shared" ref="BO269:BX278" si="423">IFERROR(
    IF($T269="Equity",
        IF(AND(BO$48&gt;=$E269, BO$48&lt;=($E269+$Q269)),
$K269*$P269*(VLOOKUP($C$39,$C$37:$BL$44,MATCH($E269,$C$37:$BL$37,0),FALSE)/VLOOKUP($L269,$C$37:$BL$44,MATCH($E269,$C$37:$BL$37,0),FALSE))*
IF($B$5="Foreign Currency",VLOOKUP($C$38,$C$37:$BL$44,MATCH(BO$48,$C$37:$BL$37,0),FALSE)/VLOOKUP($C$39,$C$37:$BL$44,MATCH(BO$48,$C$37:$BL$37,0),FALSE),1),
0),
    IF($T269="Lump Sum Principal",
        IF(AND(BO$48&gt;=$E269, BO$48&lt;($E269+$Q269)),
$K269*$P269*(VLOOKUP($C$39,$C$37:$BL$44,MATCH($E269,$C$37:$BL$37,0),FALSE)/VLOOKUP($L269,$C$37:$BL$44,MATCH($E269,$C$37:$BL$37,0),FALSE))*
IF($B$5="Foreign Currency",VLOOKUP($C$38,$C$37:$BL$44,MATCH(BO$48,$C$37:$BL$37,0),FALSE)/VLOOKUP($C$39,$C$37:$BL$44,MATCH(BO$48,$C$37:$BL$37,0),FALSE),1),
        IF(BO$48=($E269+$Q269),
$K269*(1+$P269)*(VLOOKUP($C$39,$C$37:$BL$44,MATCH($E269,$C$37:$BL$37,0),FALSE)/VLOOKUP($L269,$C$37:$BL$44,MATCH($E269,$C$37:$BL$37,0),FALSE))*
IF($B$5="Foreign Currency",VLOOKUP($C$38,$C$37:$BL$44,MATCH(BO$48,$C$37:$BL$37,0),FALSE)/VLOOKUP($C$39,$C$37:$BL$44,MATCH(BO$48,$C$37:$BL$37,0),FALSE),1),
0)),
    IF($T269="Lump Sum Principal and Interest",
        IF(BO$48=($E269+$Q269),
$K269*((1+$P269)^$Q269)*(VLOOKUP($C$39,$C$37:$BL$44,MATCH($E269,$C$37:$BL$37,0),FALSE)/VLOOKUP($L269,$C$37:$BL$44,MATCH($E269,$C$37:$BL$37,0),FALSE))*
IF($B$5="Foreign Currency",VLOOKUP($C$38,$C$37:$BL$44,MATCH(BO$48,$C$37:$BL$37,0),FALSE)/VLOOKUP($C$39,$C$37:$BL$44,MATCH(BO$48,$C$37:$BL$37,0),FALSE),1),
0),
    IF($T269="EPP with Grace Years for Principal",
        IF(AND(BO$48&gt;=$E269, BO$48&lt;($E269+$S269)),
$K269*$P269*(VLOOKUP($C$39,$C$37:$BL$44,MATCH($E269,$C$37:$BL$37,0),FALSE)/VLOOKUP($L269,$C$37:$BL$44,MATCH($E269,$C$37:$BL$37,0),FALSE))*
IF($B$5="Foreign Currency",VLOOKUP($C$38,$C$37:$BL$44,MATCH(BO$48,$C$37:$BL$37,0),FALSE)/VLOOKUP($C$39,$C$37:$BL$44,MATCH(BO$48,$C$37:$BL$37,0),FALSE),1),
        IF(AND(BO$48&gt;=($E269+$S269), BO$48&lt;=($E269+$Q269)),
-PMT($P269,($Q269-$S269+1),($K269*(VLOOKUP($C$39,$C$37:$BL$44,MATCH($E269,$C$37:$BL$37,0),FALSE)/VLOOKUP($L269,$C$37:$BL$44,MATCH($E269,$C$37:$BL$37,0),FALSE))*
IF($B$5="Foreign Currency",VLOOKUP($C$38,$C$37:$BL$44,MATCH(BO$48,$C$37:$BL$37,0),FALSE)/VLOOKUP($C$39,$C$37:$BL$44,MATCH(BO$48,$C$37:$BL$37,0),FALSE),1)),0),
0)),
    IF($T269="Equal Principal Payments (EPP)",
        IF(AND(BO$48&gt;=$E269, BO$48&lt;=($E269+$Q269)),
-PMT($P269,($Q269-$S269+1),($K269*(VLOOKUP($C$39,$C$37:$BL$44,MATCH($E269,$C$37:$BL$37,0),FALSE)/VLOOKUP($L269,$C$37:$BL$44,MATCH($E269,$C$37:$BL$37,0),FALSE))*
IF($B$5="Foreign Currency",VLOOKUP($C$38,$C$37:$BL$44,MATCH(BO$48,$C$37:$BL$37,0),FALSE)/VLOOKUP($C$39,$C$37:$BL$44,MATCH(BO$48,$C$37:$BL$37,0),FALSE),1)),0), 0),
    IF($T269="EPP with Grace Years for Principal and on Interest",
        IF(AND(BO$48&gt;=($E269+$S269), BO$48&lt;=($E269+$Q269)),
-PMT($P269,($Q269-$S269+1),($K269*(VLOOKUP($C$39,$C$37:$BL$44,MATCH($E269,$C$37:$BL$37,0),FALSE)/VLOOKUP($L269,$C$37:$BL$44,MATCH($E269,$C$37:$BL$37,0),FALSE))*
IF($B$5="Foreign Currency",VLOOKUP($C$38,$C$37:$BL$44,MATCH(BO$48,$C$37:$BL$37,0),FALSE)/VLOOKUP($C$39,$C$37:$BL$44,MATCH(BO$48,$C$37:$BL$37,0),FALSE),1))*((1+$P269)^$S269),0), 0),
    0)))))),"")</f>
        <v>0</v>
      </c>
      <c r="BP269" s="171">
        <f t="shared" si="423"/>
        <v>0</v>
      </c>
      <c r="BQ269" s="171">
        <f t="shared" si="423"/>
        <v>0</v>
      </c>
      <c r="BR269" s="171">
        <f t="shared" si="423"/>
        <v>0</v>
      </c>
      <c r="BS269" s="171">
        <f t="shared" si="423"/>
        <v>0</v>
      </c>
      <c r="BT269" s="171">
        <f t="shared" si="423"/>
        <v>0</v>
      </c>
      <c r="BU269" s="171">
        <f t="shared" si="423"/>
        <v>0</v>
      </c>
      <c r="BV269" s="171">
        <f t="shared" si="423"/>
        <v>0</v>
      </c>
      <c r="BW269" s="171">
        <f t="shared" si="423"/>
        <v>0</v>
      </c>
      <c r="BX269" s="171">
        <f t="shared" si="423"/>
        <v>0</v>
      </c>
      <c r="BY269" s="171">
        <f t="shared" ref="BY269:CI278" si="424">IFERROR(
    IF($T269="Equity",
        IF(AND(BY$48&gt;=$E269, BY$48&lt;=($E269+$Q269)),
$K269*$P269*(VLOOKUP($C$39,$C$37:$BL$44,MATCH($E269,$C$37:$BL$37,0),FALSE)/VLOOKUP($L269,$C$37:$BL$44,MATCH($E269,$C$37:$BL$37,0),FALSE))*
IF($B$5="Foreign Currency",VLOOKUP($C$38,$C$37:$BL$44,MATCH(BY$48,$C$37:$BL$37,0),FALSE)/VLOOKUP($C$39,$C$37:$BL$44,MATCH(BY$48,$C$37:$BL$37,0),FALSE),1),
0),
    IF($T269="Lump Sum Principal",
        IF(AND(BY$48&gt;=$E269, BY$48&lt;($E269+$Q269)),
$K269*$P269*(VLOOKUP($C$39,$C$37:$BL$44,MATCH($E269,$C$37:$BL$37,0),FALSE)/VLOOKUP($L269,$C$37:$BL$44,MATCH($E269,$C$37:$BL$37,0),FALSE))*
IF($B$5="Foreign Currency",VLOOKUP($C$38,$C$37:$BL$44,MATCH(BY$48,$C$37:$BL$37,0),FALSE)/VLOOKUP($C$39,$C$37:$BL$44,MATCH(BY$48,$C$37:$BL$37,0),FALSE),1),
        IF(BY$48=($E269+$Q269),
$K269*(1+$P269)*(VLOOKUP($C$39,$C$37:$BL$44,MATCH($E269,$C$37:$BL$37,0),FALSE)/VLOOKUP($L269,$C$37:$BL$44,MATCH($E269,$C$37:$BL$37,0),FALSE))*
IF($B$5="Foreign Currency",VLOOKUP($C$38,$C$37:$BL$44,MATCH(BY$48,$C$37:$BL$37,0),FALSE)/VLOOKUP($C$39,$C$37:$BL$44,MATCH(BY$48,$C$37:$BL$37,0),FALSE),1),
0)),
    IF($T269="Lump Sum Principal and Interest",
        IF(BY$48=($E269+$Q269),
$K269*((1+$P269)^$Q269)*(VLOOKUP($C$39,$C$37:$BL$44,MATCH($E269,$C$37:$BL$37,0),FALSE)/VLOOKUP($L269,$C$37:$BL$44,MATCH($E269,$C$37:$BL$37,0),FALSE))*
IF($B$5="Foreign Currency",VLOOKUP($C$38,$C$37:$BL$44,MATCH(BY$48,$C$37:$BL$37,0),FALSE)/VLOOKUP($C$39,$C$37:$BL$44,MATCH(BY$48,$C$37:$BL$37,0),FALSE),1),
0),
    IF($T269="EPP with Grace Years for Principal",
        IF(AND(BY$48&gt;=$E269, BY$48&lt;($E269+$S269)),
$K269*$P269*(VLOOKUP($C$39,$C$37:$BL$44,MATCH($E269,$C$37:$BL$37,0),FALSE)/VLOOKUP($L269,$C$37:$BL$44,MATCH($E269,$C$37:$BL$37,0),FALSE))*
IF($B$5="Foreign Currency",VLOOKUP($C$38,$C$37:$BL$44,MATCH(BY$48,$C$37:$BL$37,0),FALSE)/VLOOKUP($C$39,$C$37:$BL$44,MATCH(BY$48,$C$37:$BL$37,0),FALSE),1),
        IF(AND(BY$48&gt;=($E269+$S269), BY$48&lt;=($E269+$Q269)),
-PMT($P269,($Q269-$S269+1),($K269*(VLOOKUP($C$39,$C$37:$BL$44,MATCH($E269,$C$37:$BL$37,0),FALSE)/VLOOKUP($L269,$C$37:$BL$44,MATCH($E269,$C$37:$BL$37,0),FALSE))*
IF($B$5="Foreign Currency",VLOOKUP($C$38,$C$37:$BL$44,MATCH(BY$48,$C$37:$BL$37,0),FALSE)/VLOOKUP($C$39,$C$37:$BL$44,MATCH(BY$48,$C$37:$BL$37,0),FALSE),1)),0),
0)),
    IF($T269="Equal Principal Payments (EPP)",
        IF(AND(BY$48&gt;=$E269, BY$48&lt;=($E269+$Q269)),
-PMT($P269,($Q269-$S269+1),($K269*(VLOOKUP($C$39,$C$37:$BL$44,MATCH($E269,$C$37:$BL$37,0),FALSE)/VLOOKUP($L269,$C$37:$BL$44,MATCH($E269,$C$37:$BL$37,0),FALSE))*
IF($B$5="Foreign Currency",VLOOKUP($C$38,$C$37:$BL$44,MATCH(BY$48,$C$37:$BL$37,0),FALSE)/VLOOKUP($C$39,$C$37:$BL$44,MATCH(BY$48,$C$37:$BL$37,0),FALSE),1)),0), 0),
    IF($T269="EPP with Grace Years for Principal and on Interest",
        IF(AND(BY$48&gt;=($E269+$S269), BY$48&lt;=($E269+$Q269)),
-PMT($P269,($Q269-$S269+1),($K269*(VLOOKUP($C$39,$C$37:$BL$44,MATCH($E269,$C$37:$BL$37,0),FALSE)/VLOOKUP($L269,$C$37:$BL$44,MATCH($E269,$C$37:$BL$37,0),FALSE))*
IF($B$5="Foreign Currency",VLOOKUP($C$38,$C$37:$BL$44,MATCH(BY$48,$C$37:$BL$37,0),FALSE)/VLOOKUP($C$39,$C$37:$BL$44,MATCH(BY$48,$C$37:$BL$37,0),FALSE),1))*((1+$P269)^$S269),0), 0),
    0)))))),"")</f>
        <v>0</v>
      </c>
      <c r="BZ269" s="171">
        <f t="shared" si="424"/>
        <v>0</v>
      </c>
      <c r="CA269" s="171">
        <f t="shared" si="424"/>
        <v>0</v>
      </c>
      <c r="CB269" s="171">
        <f t="shared" si="424"/>
        <v>0</v>
      </c>
      <c r="CC269" s="171">
        <f t="shared" si="424"/>
        <v>0</v>
      </c>
      <c r="CD269" s="171">
        <f t="shared" si="424"/>
        <v>0</v>
      </c>
      <c r="CE269" s="171">
        <f t="shared" si="424"/>
        <v>0</v>
      </c>
      <c r="CF269" s="171">
        <f t="shared" si="424"/>
        <v>0</v>
      </c>
      <c r="CG269" s="171">
        <f t="shared" si="424"/>
        <v>0</v>
      </c>
      <c r="CH269" s="171">
        <f t="shared" si="424"/>
        <v>0</v>
      </c>
      <c r="CI269" s="171">
        <f t="shared" si="424"/>
        <v>0</v>
      </c>
      <c r="CJ269" s="243"/>
      <c r="CK269" s="171">
        <f t="shared" si="346"/>
        <v>0</v>
      </c>
      <c r="CL269" s="171">
        <f t="shared" si="347"/>
        <v>0</v>
      </c>
      <c r="CM269" s="171">
        <f t="shared" si="348"/>
        <v>0</v>
      </c>
      <c r="CN269" s="171">
        <f t="shared" si="349"/>
        <v>0</v>
      </c>
      <c r="CO269" s="171">
        <f t="shared" si="350"/>
        <v>0</v>
      </c>
      <c r="CP269" s="171">
        <f t="shared" si="351"/>
        <v>0</v>
      </c>
      <c r="CQ269" s="171">
        <f t="shared" si="352"/>
        <v>0</v>
      </c>
      <c r="CR269" s="171">
        <f t="shared" si="353"/>
        <v>0</v>
      </c>
      <c r="CS269" s="171">
        <f t="shared" si="354"/>
        <v>0</v>
      </c>
      <c r="CT269" s="171">
        <f t="shared" si="355"/>
        <v>0</v>
      </c>
      <c r="CU269" s="171">
        <f t="shared" si="356"/>
        <v>0</v>
      </c>
      <c r="CV269" s="171">
        <f t="shared" si="357"/>
        <v>0</v>
      </c>
      <c r="CW269" s="171">
        <f t="shared" si="358"/>
        <v>0</v>
      </c>
      <c r="CX269" s="171">
        <f t="shared" si="359"/>
        <v>0</v>
      </c>
      <c r="CY269" s="171">
        <f t="shared" ca="1" si="360"/>
        <v>0</v>
      </c>
      <c r="CZ269" s="171">
        <f t="shared" ca="1" si="361"/>
        <v>0</v>
      </c>
      <c r="DA269" s="171">
        <f t="shared" ca="1" si="362"/>
        <v>0</v>
      </c>
      <c r="DB269" s="171">
        <f t="shared" ca="1" si="363"/>
        <v>0</v>
      </c>
      <c r="DC269" s="171">
        <f t="shared" ca="1" si="364"/>
        <v>0</v>
      </c>
      <c r="DD269" s="171">
        <f t="shared" ca="1" si="365"/>
        <v>0</v>
      </c>
      <c r="DE269" s="171">
        <f t="shared" ca="1" si="366"/>
        <v>0</v>
      </c>
      <c r="DF269" s="171">
        <f t="shared" ca="1" si="367"/>
        <v>0</v>
      </c>
      <c r="DG269" s="171">
        <f t="shared" ca="1" si="368"/>
        <v>0</v>
      </c>
      <c r="DH269" s="171">
        <f t="shared" ca="1" si="369"/>
        <v>0</v>
      </c>
      <c r="DI269" s="171">
        <f t="shared" ca="1" si="370"/>
        <v>0</v>
      </c>
      <c r="DJ269" s="171">
        <f t="shared" ca="1" si="371"/>
        <v>0</v>
      </c>
      <c r="DK269" s="171">
        <f t="shared" ca="1" si="372"/>
        <v>0</v>
      </c>
      <c r="DL269" s="171">
        <f t="shared" ca="1" si="373"/>
        <v>0</v>
      </c>
      <c r="DM269" s="171">
        <f t="shared" ca="1" si="374"/>
        <v>0</v>
      </c>
      <c r="DN269" s="171">
        <f t="shared" ca="1" si="375"/>
        <v>0</v>
      </c>
      <c r="DO269" s="171">
        <f t="shared" ca="1" si="376"/>
        <v>0</v>
      </c>
      <c r="DP269" s="171">
        <f t="shared" ca="1" si="377"/>
        <v>0</v>
      </c>
      <c r="DQ269" s="171">
        <f t="shared" ca="1" si="378"/>
        <v>0</v>
      </c>
      <c r="DR269" s="171">
        <f t="shared" ca="1" si="379"/>
        <v>0</v>
      </c>
      <c r="DS269" s="171">
        <f t="shared" ca="1" si="380"/>
        <v>0</v>
      </c>
      <c r="DT269" s="171">
        <f t="shared" ca="1" si="381"/>
        <v>0</v>
      </c>
      <c r="DU269" s="171">
        <f t="shared" ca="1" si="382"/>
        <v>0</v>
      </c>
      <c r="DV269" s="171">
        <f t="shared" ca="1" si="383"/>
        <v>0</v>
      </c>
      <c r="DW269" s="171">
        <f t="shared" ca="1" si="384"/>
        <v>0</v>
      </c>
      <c r="DX269" s="171">
        <f t="shared" ca="1" si="385"/>
        <v>0</v>
      </c>
      <c r="DY269" s="171">
        <f t="shared" ca="1" si="386"/>
        <v>0</v>
      </c>
      <c r="DZ269" s="171">
        <f t="shared" ca="1" si="387"/>
        <v>0</v>
      </c>
      <c r="EA269" s="171">
        <f t="shared" ca="1" si="388"/>
        <v>0</v>
      </c>
      <c r="EB269" s="171">
        <f t="shared" ca="1" si="389"/>
        <v>0</v>
      </c>
      <c r="EC269" s="171">
        <f t="shared" ca="1" si="390"/>
        <v>0</v>
      </c>
      <c r="ED269" s="171">
        <f t="shared" ca="1" si="391"/>
        <v>0</v>
      </c>
      <c r="EE269" s="171">
        <f t="shared" ca="1" si="392"/>
        <v>0</v>
      </c>
      <c r="EF269" s="171">
        <f t="shared" ca="1" si="393"/>
        <v>0</v>
      </c>
      <c r="EG269" s="171">
        <f t="shared" ca="1" si="394"/>
        <v>0</v>
      </c>
      <c r="EH269" s="171">
        <f t="shared" ca="1" si="395"/>
        <v>0</v>
      </c>
      <c r="EI269" s="171">
        <f t="shared" ca="1" si="396"/>
        <v>0</v>
      </c>
      <c r="EJ269" s="171">
        <f t="shared" ca="1" si="397"/>
        <v>0</v>
      </c>
      <c r="EK269" s="171">
        <f t="shared" ca="1" si="398"/>
        <v>0</v>
      </c>
      <c r="EL269" s="171">
        <f t="shared" ca="1" si="399"/>
        <v>0</v>
      </c>
      <c r="EM269" s="171">
        <f t="shared" ca="1" si="400"/>
        <v>0</v>
      </c>
      <c r="EN269" s="171">
        <f t="shared" ca="1" si="401"/>
        <v>0</v>
      </c>
      <c r="EO269" s="171">
        <f t="shared" ca="1" si="402"/>
        <v>0</v>
      </c>
      <c r="EP269" s="171">
        <f t="shared" ca="1" si="403"/>
        <v>0</v>
      </c>
      <c r="EQ269" s="171">
        <f t="shared" ca="1" si="404"/>
        <v>0</v>
      </c>
      <c r="ER269" s="171">
        <f t="shared" ca="1" si="405"/>
        <v>0</v>
      </c>
      <c r="ES269" s="171">
        <f t="shared" ca="1" si="406"/>
        <v>0</v>
      </c>
    </row>
    <row r="270" spans="3:149">
      <c r="C270" s="214"/>
      <c r="L270" s="163"/>
      <c r="M270" s="164" t="str">
        <f t="shared" si="337"/>
        <v/>
      </c>
      <c r="N270" s="164" t="str">
        <f t="shared" si="338"/>
        <v/>
      </c>
      <c r="O270" s="165" t="str">
        <f t="shared" si="339"/>
        <v/>
      </c>
      <c r="R270" s="168"/>
      <c r="U270" s="171">
        <f t="shared" si="340"/>
        <v>0</v>
      </c>
      <c r="V270" s="171">
        <f t="shared" ca="1" si="341"/>
        <v>0</v>
      </c>
      <c r="W270" s="171">
        <f t="shared" ca="1" si="342"/>
        <v>0</v>
      </c>
      <c r="X270" s="172">
        <f t="shared" si="343"/>
        <v>0</v>
      </c>
      <c r="Y270" s="172" t="str">
        <f t="shared" si="344"/>
        <v/>
      </c>
      <c r="Z270" s="173">
        <f t="shared" si="345"/>
        <v>0</v>
      </c>
      <c r="AA270" s="171">
        <f t="shared" si="419"/>
        <v>0</v>
      </c>
      <c r="AB270" s="171">
        <f t="shared" si="419"/>
        <v>0</v>
      </c>
      <c r="AC270" s="171">
        <f t="shared" si="419"/>
        <v>0</v>
      </c>
      <c r="AD270" s="171">
        <f t="shared" si="419"/>
        <v>0</v>
      </c>
      <c r="AE270" s="171">
        <f t="shared" si="419"/>
        <v>0</v>
      </c>
      <c r="AF270" s="171">
        <f t="shared" si="419"/>
        <v>0</v>
      </c>
      <c r="AG270" s="171">
        <f t="shared" si="419"/>
        <v>0</v>
      </c>
      <c r="AH270" s="171">
        <f t="shared" si="419"/>
        <v>0</v>
      </c>
      <c r="AI270" s="171">
        <f t="shared" si="419"/>
        <v>0</v>
      </c>
      <c r="AJ270" s="171">
        <f t="shared" si="419"/>
        <v>0</v>
      </c>
      <c r="AK270" s="171">
        <f t="shared" si="420"/>
        <v>0</v>
      </c>
      <c r="AL270" s="171">
        <f t="shared" si="420"/>
        <v>0</v>
      </c>
      <c r="AM270" s="171">
        <f t="shared" si="420"/>
        <v>0</v>
      </c>
      <c r="AN270" s="171">
        <f t="shared" si="420"/>
        <v>0</v>
      </c>
      <c r="AO270" s="171">
        <f t="shared" si="420"/>
        <v>0</v>
      </c>
      <c r="AP270" s="171">
        <f t="shared" si="420"/>
        <v>0</v>
      </c>
      <c r="AQ270" s="171">
        <f t="shared" si="420"/>
        <v>0</v>
      </c>
      <c r="AR270" s="171">
        <f t="shared" si="420"/>
        <v>0</v>
      </c>
      <c r="AS270" s="171">
        <f t="shared" si="420"/>
        <v>0</v>
      </c>
      <c r="AT270" s="171">
        <f t="shared" si="420"/>
        <v>0</v>
      </c>
      <c r="AU270" s="171">
        <f t="shared" si="421"/>
        <v>0</v>
      </c>
      <c r="AV270" s="171">
        <f t="shared" si="421"/>
        <v>0</v>
      </c>
      <c r="AW270" s="171">
        <f t="shared" si="421"/>
        <v>0</v>
      </c>
      <c r="AX270" s="171">
        <f t="shared" si="421"/>
        <v>0</v>
      </c>
      <c r="AY270" s="171">
        <f t="shared" si="421"/>
        <v>0</v>
      </c>
      <c r="AZ270" s="171">
        <f t="shared" si="421"/>
        <v>0</v>
      </c>
      <c r="BA270" s="171">
        <f t="shared" si="421"/>
        <v>0</v>
      </c>
      <c r="BB270" s="171">
        <f t="shared" si="421"/>
        <v>0</v>
      </c>
      <c r="BC270" s="171">
        <f t="shared" si="421"/>
        <v>0</v>
      </c>
      <c r="BD270" s="171">
        <f t="shared" si="421"/>
        <v>0</v>
      </c>
      <c r="BE270" s="171">
        <f t="shared" si="422"/>
        <v>0</v>
      </c>
      <c r="BF270" s="171">
        <f t="shared" si="422"/>
        <v>0</v>
      </c>
      <c r="BG270" s="171">
        <f t="shared" si="422"/>
        <v>0</v>
      </c>
      <c r="BH270" s="171">
        <f t="shared" si="422"/>
        <v>0</v>
      </c>
      <c r="BI270" s="171">
        <f t="shared" si="422"/>
        <v>0</v>
      </c>
      <c r="BJ270" s="171">
        <f t="shared" si="422"/>
        <v>0</v>
      </c>
      <c r="BK270" s="171">
        <f t="shared" si="422"/>
        <v>0</v>
      </c>
      <c r="BL270" s="171">
        <f t="shared" si="422"/>
        <v>0</v>
      </c>
      <c r="BM270" s="171">
        <f t="shared" si="422"/>
        <v>0</v>
      </c>
      <c r="BN270" s="171">
        <f t="shared" si="422"/>
        <v>0</v>
      </c>
      <c r="BO270" s="171">
        <f t="shared" si="423"/>
        <v>0</v>
      </c>
      <c r="BP270" s="171">
        <f t="shared" si="423"/>
        <v>0</v>
      </c>
      <c r="BQ270" s="171">
        <f t="shared" si="423"/>
        <v>0</v>
      </c>
      <c r="BR270" s="171">
        <f t="shared" si="423"/>
        <v>0</v>
      </c>
      <c r="BS270" s="171">
        <f t="shared" si="423"/>
        <v>0</v>
      </c>
      <c r="BT270" s="171">
        <f t="shared" si="423"/>
        <v>0</v>
      </c>
      <c r="BU270" s="171">
        <f t="shared" si="423"/>
        <v>0</v>
      </c>
      <c r="BV270" s="171">
        <f t="shared" si="423"/>
        <v>0</v>
      </c>
      <c r="BW270" s="171">
        <f t="shared" si="423"/>
        <v>0</v>
      </c>
      <c r="BX270" s="171">
        <f t="shared" si="423"/>
        <v>0</v>
      </c>
      <c r="BY270" s="171">
        <f t="shared" si="424"/>
        <v>0</v>
      </c>
      <c r="BZ270" s="171">
        <f t="shared" si="424"/>
        <v>0</v>
      </c>
      <c r="CA270" s="171">
        <f t="shared" si="424"/>
        <v>0</v>
      </c>
      <c r="CB270" s="171">
        <f t="shared" si="424"/>
        <v>0</v>
      </c>
      <c r="CC270" s="171">
        <f t="shared" si="424"/>
        <v>0</v>
      </c>
      <c r="CD270" s="171">
        <f t="shared" si="424"/>
        <v>0</v>
      </c>
      <c r="CE270" s="171">
        <f t="shared" si="424"/>
        <v>0</v>
      </c>
      <c r="CF270" s="171">
        <f t="shared" si="424"/>
        <v>0</v>
      </c>
      <c r="CG270" s="171">
        <f t="shared" si="424"/>
        <v>0</v>
      </c>
      <c r="CH270" s="171">
        <f t="shared" si="424"/>
        <v>0</v>
      </c>
      <c r="CI270" s="171">
        <f t="shared" si="424"/>
        <v>0</v>
      </c>
      <c r="CJ270" s="243"/>
      <c r="CK270" s="171">
        <f t="shared" si="346"/>
        <v>0</v>
      </c>
      <c r="CL270" s="171">
        <f t="shared" si="347"/>
        <v>0</v>
      </c>
      <c r="CM270" s="171">
        <f t="shared" si="348"/>
        <v>0</v>
      </c>
      <c r="CN270" s="171">
        <f t="shared" si="349"/>
        <v>0</v>
      </c>
      <c r="CO270" s="171">
        <f t="shared" si="350"/>
        <v>0</v>
      </c>
      <c r="CP270" s="171">
        <f t="shared" si="351"/>
        <v>0</v>
      </c>
      <c r="CQ270" s="171">
        <f t="shared" si="352"/>
        <v>0</v>
      </c>
      <c r="CR270" s="171">
        <f t="shared" si="353"/>
        <v>0</v>
      </c>
      <c r="CS270" s="171">
        <f t="shared" si="354"/>
        <v>0</v>
      </c>
      <c r="CT270" s="171">
        <f t="shared" si="355"/>
        <v>0</v>
      </c>
      <c r="CU270" s="171">
        <f t="shared" si="356"/>
        <v>0</v>
      </c>
      <c r="CV270" s="171">
        <f t="shared" si="357"/>
        <v>0</v>
      </c>
      <c r="CW270" s="171">
        <f t="shared" si="358"/>
        <v>0</v>
      </c>
      <c r="CX270" s="171">
        <f t="shared" si="359"/>
        <v>0</v>
      </c>
      <c r="CY270" s="171">
        <f t="shared" ca="1" si="360"/>
        <v>0</v>
      </c>
      <c r="CZ270" s="171">
        <f t="shared" ca="1" si="361"/>
        <v>0</v>
      </c>
      <c r="DA270" s="171">
        <f t="shared" ca="1" si="362"/>
        <v>0</v>
      </c>
      <c r="DB270" s="171">
        <f t="shared" ca="1" si="363"/>
        <v>0</v>
      </c>
      <c r="DC270" s="171">
        <f t="shared" ca="1" si="364"/>
        <v>0</v>
      </c>
      <c r="DD270" s="171">
        <f t="shared" ca="1" si="365"/>
        <v>0</v>
      </c>
      <c r="DE270" s="171">
        <f t="shared" ca="1" si="366"/>
        <v>0</v>
      </c>
      <c r="DF270" s="171">
        <f t="shared" ca="1" si="367"/>
        <v>0</v>
      </c>
      <c r="DG270" s="171">
        <f t="shared" ca="1" si="368"/>
        <v>0</v>
      </c>
      <c r="DH270" s="171">
        <f t="shared" ca="1" si="369"/>
        <v>0</v>
      </c>
      <c r="DI270" s="171">
        <f t="shared" ca="1" si="370"/>
        <v>0</v>
      </c>
      <c r="DJ270" s="171">
        <f t="shared" ca="1" si="371"/>
        <v>0</v>
      </c>
      <c r="DK270" s="171">
        <f t="shared" ca="1" si="372"/>
        <v>0</v>
      </c>
      <c r="DL270" s="171">
        <f t="shared" ca="1" si="373"/>
        <v>0</v>
      </c>
      <c r="DM270" s="171">
        <f t="shared" ca="1" si="374"/>
        <v>0</v>
      </c>
      <c r="DN270" s="171">
        <f t="shared" ca="1" si="375"/>
        <v>0</v>
      </c>
      <c r="DO270" s="171">
        <f t="shared" ca="1" si="376"/>
        <v>0</v>
      </c>
      <c r="DP270" s="171">
        <f t="shared" ca="1" si="377"/>
        <v>0</v>
      </c>
      <c r="DQ270" s="171">
        <f t="shared" ca="1" si="378"/>
        <v>0</v>
      </c>
      <c r="DR270" s="171">
        <f t="shared" ca="1" si="379"/>
        <v>0</v>
      </c>
      <c r="DS270" s="171">
        <f t="shared" ca="1" si="380"/>
        <v>0</v>
      </c>
      <c r="DT270" s="171">
        <f t="shared" ca="1" si="381"/>
        <v>0</v>
      </c>
      <c r="DU270" s="171">
        <f t="shared" ca="1" si="382"/>
        <v>0</v>
      </c>
      <c r="DV270" s="171">
        <f t="shared" ca="1" si="383"/>
        <v>0</v>
      </c>
      <c r="DW270" s="171">
        <f t="shared" ca="1" si="384"/>
        <v>0</v>
      </c>
      <c r="DX270" s="171">
        <f t="shared" ca="1" si="385"/>
        <v>0</v>
      </c>
      <c r="DY270" s="171">
        <f t="shared" ca="1" si="386"/>
        <v>0</v>
      </c>
      <c r="DZ270" s="171">
        <f t="shared" ca="1" si="387"/>
        <v>0</v>
      </c>
      <c r="EA270" s="171">
        <f t="shared" ca="1" si="388"/>
        <v>0</v>
      </c>
      <c r="EB270" s="171">
        <f t="shared" ca="1" si="389"/>
        <v>0</v>
      </c>
      <c r="EC270" s="171">
        <f t="shared" ca="1" si="390"/>
        <v>0</v>
      </c>
      <c r="ED270" s="171">
        <f t="shared" ca="1" si="391"/>
        <v>0</v>
      </c>
      <c r="EE270" s="171">
        <f t="shared" ca="1" si="392"/>
        <v>0</v>
      </c>
      <c r="EF270" s="171">
        <f t="shared" ca="1" si="393"/>
        <v>0</v>
      </c>
      <c r="EG270" s="171">
        <f t="shared" ca="1" si="394"/>
        <v>0</v>
      </c>
      <c r="EH270" s="171">
        <f t="shared" ca="1" si="395"/>
        <v>0</v>
      </c>
      <c r="EI270" s="171">
        <f t="shared" ca="1" si="396"/>
        <v>0</v>
      </c>
      <c r="EJ270" s="171">
        <f t="shared" ca="1" si="397"/>
        <v>0</v>
      </c>
      <c r="EK270" s="171">
        <f t="shared" ca="1" si="398"/>
        <v>0</v>
      </c>
      <c r="EL270" s="171">
        <f t="shared" ca="1" si="399"/>
        <v>0</v>
      </c>
      <c r="EM270" s="171">
        <f t="shared" ca="1" si="400"/>
        <v>0</v>
      </c>
      <c r="EN270" s="171">
        <f t="shared" ca="1" si="401"/>
        <v>0</v>
      </c>
      <c r="EO270" s="171">
        <f t="shared" ca="1" si="402"/>
        <v>0</v>
      </c>
      <c r="EP270" s="171">
        <f t="shared" ca="1" si="403"/>
        <v>0</v>
      </c>
      <c r="EQ270" s="171">
        <f t="shared" ca="1" si="404"/>
        <v>0</v>
      </c>
      <c r="ER270" s="171">
        <f t="shared" ca="1" si="405"/>
        <v>0</v>
      </c>
      <c r="ES270" s="171">
        <f t="shared" ca="1" si="406"/>
        <v>0</v>
      </c>
    </row>
    <row r="271" spans="3:149">
      <c r="C271" s="214"/>
      <c r="L271" s="163"/>
      <c r="M271" s="164" t="str">
        <f t="shared" si="337"/>
        <v/>
      </c>
      <c r="N271" s="164" t="str">
        <f t="shared" si="338"/>
        <v/>
      </c>
      <c r="O271" s="165" t="str">
        <f t="shared" si="339"/>
        <v/>
      </c>
      <c r="R271" s="168"/>
      <c r="U271" s="171">
        <f t="shared" si="340"/>
        <v>0</v>
      </c>
      <c r="V271" s="171">
        <f t="shared" ca="1" si="341"/>
        <v>0</v>
      </c>
      <c r="W271" s="171">
        <f t="shared" ca="1" si="342"/>
        <v>0</v>
      </c>
      <c r="X271" s="172">
        <f t="shared" si="343"/>
        <v>0</v>
      </c>
      <c r="Y271" s="172" t="str">
        <f t="shared" si="344"/>
        <v/>
      </c>
      <c r="Z271" s="173">
        <f t="shared" si="345"/>
        <v>0</v>
      </c>
      <c r="AA271" s="171">
        <f t="shared" si="419"/>
        <v>0</v>
      </c>
      <c r="AB271" s="171">
        <f t="shared" si="419"/>
        <v>0</v>
      </c>
      <c r="AC271" s="171">
        <f t="shared" si="419"/>
        <v>0</v>
      </c>
      <c r="AD271" s="171">
        <f t="shared" si="419"/>
        <v>0</v>
      </c>
      <c r="AE271" s="171">
        <f t="shared" si="419"/>
        <v>0</v>
      </c>
      <c r="AF271" s="171">
        <f t="shared" si="419"/>
        <v>0</v>
      </c>
      <c r="AG271" s="171">
        <f t="shared" si="419"/>
        <v>0</v>
      </c>
      <c r="AH271" s="171">
        <f t="shared" si="419"/>
        <v>0</v>
      </c>
      <c r="AI271" s="171">
        <f t="shared" si="419"/>
        <v>0</v>
      </c>
      <c r="AJ271" s="171">
        <f t="shared" si="419"/>
        <v>0</v>
      </c>
      <c r="AK271" s="171">
        <f t="shared" si="420"/>
        <v>0</v>
      </c>
      <c r="AL271" s="171">
        <f t="shared" si="420"/>
        <v>0</v>
      </c>
      <c r="AM271" s="171">
        <f t="shared" si="420"/>
        <v>0</v>
      </c>
      <c r="AN271" s="171">
        <f t="shared" si="420"/>
        <v>0</v>
      </c>
      <c r="AO271" s="171">
        <f t="shared" si="420"/>
        <v>0</v>
      </c>
      <c r="AP271" s="171">
        <f t="shared" si="420"/>
        <v>0</v>
      </c>
      <c r="AQ271" s="171">
        <f t="shared" si="420"/>
        <v>0</v>
      </c>
      <c r="AR271" s="171">
        <f t="shared" si="420"/>
        <v>0</v>
      </c>
      <c r="AS271" s="171">
        <f t="shared" si="420"/>
        <v>0</v>
      </c>
      <c r="AT271" s="171">
        <f t="shared" si="420"/>
        <v>0</v>
      </c>
      <c r="AU271" s="171">
        <f t="shared" si="421"/>
        <v>0</v>
      </c>
      <c r="AV271" s="171">
        <f t="shared" si="421"/>
        <v>0</v>
      </c>
      <c r="AW271" s="171">
        <f t="shared" si="421"/>
        <v>0</v>
      </c>
      <c r="AX271" s="171">
        <f t="shared" si="421"/>
        <v>0</v>
      </c>
      <c r="AY271" s="171">
        <f t="shared" si="421"/>
        <v>0</v>
      </c>
      <c r="AZ271" s="171">
        <f t="shared" si="421"/>
        <v>0</v>
      </c>
      <c r="BA271" s="171">
        <f t="shared" si="421"/>
        <v>0</v>
      </c>
      <c r="BB271" s="171">
        <f t="shared" si="421"/>
        <v>0</v>
      </c>
      <c r="BC271" s="171">
        <f t="shared" si="421"/>
        <v>0</v>
      </c>
      <c r="BD271" s="171">
        <f t="shared" si="421"/>
        <v>0</v>
      </c>
      <c r="BE271" s="171">
        <f t="shared" si="422"/>
        <v>0</v>
      </c>
      <c r="BF271" s="171">
        <f t="shared" si="422"/>
        <v>0</v>
      </c>
      <c r="BG271" s="171">
        <f t="shared" si="422"/>
        <v>0</v>
      </c>
      <c r="BH271" s="171">
        <f t="shared" si="422"/>
        <v>0</v>
      </c>
      <c r="BI271" s="171">
        <f t="shared" si="422"/>
        <v>0</v>
      </c>
      <c r="BJ271" s="171">
        <f t="shared" si="422"/>
        <v>0</v>
      </c>
      <c r="BK271" s="171">
        <f t="shared" si="422"/>
        <v>0</v>
      </c>
      <c r="BL271" s="171">
        <f t="shared" si="422"/>
        <v>0</v>
      </c>
      <c r="BM271" s="171">
        <f t="shared" si="422"/>
        <v>0</v>
      </c>
      <c r="BN271" s="171">
        <f t="shared" si="422"/>
        <v>0</v>
      </c>
      <c r="BO271" s="171">
        <f t="shared" si="423"/>
        <v>0</v>
      </c>
      <c r="BP271" s="171">
        <f t="shared" si="423"/>
        <v>0</v>
      </c>
      <c r="BQ271" s="171">
        <f t="shared" si="423"/>
        <v>0</v>
      </c>
      <c r="BR271" s="171">
        <f t="shared" si="423"/>
        <v>0</v>
      </c>
      <c r="BS271" s="171">
        <f t="shared" si="423"/>
        <v>0</v>
      </c>
      <c r="BT271" s="171">
        <f t="shared" si="423"/>
        <v>0</v>
      </c>
      <c r="BU271" s="171">
        <f t="shared" si="423"/>
        <v>0</v>
      </c>
      <c r="BV271" s="171">
        <f t="shared" si="423"/>
        <v>0</v>
      </c>
      <c r="BW271" s="171">
        <f t="shared" si="423"/>
        <v>0</v>
      </c>
      <c r="BX271" s="171">
        <f t="shared" si="423"/>
        <v>0</v>
      </c>
      <c r="BY271" s="171">
        <f t="shared" si="424"/>
        <v>0</v>
      </c>
      <c r="BZ271" s="171">
        <f t="shared" si="424"/>
        <v>0</v>
      </c>
      <c r="CA271" s="171">
        <f t="shared" si="424"/>
        <v>0</v>
      </c>
      <c r="CB271" s="171">
        <f t="shared" si="424"/>
        <v>0</v>
      </c>
      <c r="CC271" s="171">
        <f t="shared" si="424"/>
        <v>0</v>
      </c>
      <c r="CD271" s="171">
        <f t="shared" si="424"/>
        <v>0</v>
      </c>
      <c r="CE271" s="171">
        <f t="shared" si="424"/>
        <v>0</v>
      </c>
      <c r="CF271" s="171">
        <f t="shared" si="424"/>
        <v>0</v>
      </c>
      <c r="CG271" s="171">
        <f t="shared" si="424"/>
        <v>0</v>
      </c>
      <c r="CH271" s="171">
        <f t="shared" si="424"/>
        <v>0</v>
      </c>
      <c r="CI271" s="171">
        <f t="shared" si="424"/>
        <v>0</v>
      </c>
      <c r="CJ271" s="243"/>
      <c r="CK271" s="171">
        <f t="shared" si="346"/>
        <v>0</v>
      </c>
      <c r="CL271" s="171">
        <f t="shared" si="347"/>
        <v>0</v>
      </c>
      <c r="CM271" s="171">
        <f t="shared" si="348"/>
        <v>0</v>
      </c>
      <c r="CN271" s="171">
        <f t="shared" si="349"/>
        <v>0</v>
      </c>
      <c r="CO271" s="171">
        <f t="shared" si="350"/>
        <v>0</v>
      </c>
      <c r="CP271" s="171">
        <f t="shared" si="351"/>
        <v>0</v>
      </c>
      <c r="CQ271" s="171">
        <f t="shared" si="352"/>
        <v>0</v>
      </c>
      <c r="CR271" s="171">
        <f t="shared" si="353"/>
        <v>0</v>
      </c>
      <c r="CS271" s="171">
        <f t="shared" si="354"/>
        <v>0</v>
      </c>
      <c r="CT271" s="171">
        <f t="shared" si="355"/>
        <v>0</v>
      </c>
      <c r="CU271" s="171">
        <f t="shared" si="356"/>
        <v>0</v>
      </c>
      <c r="CV271" s="171">
        <f t="shared" si="357"/>
        <v>0</v>
      </c>
      <c r="CW271" s="171">
        <f t="shared" si="358"/>
        <v>0</v>
      </c>
      <c r="CX271" s="171">
        <f t="shared" si="359"/>
        <v>0</v>
      </c>
      <c r="CY271" s="171">
        <f t="shared" ca="1" si="360"/>
        <v>0</v>
      </c>
      <c r="CZ271" s="171">
        <f t="shared" ca="1" si="361"/>
        <v>0</v>
      </c>
      <c r="DA271" s="171">
        <f t="shared" ca="1" si="362"/>
        <v>0</v>
      </c>
      <c r="DB271" s="171">
        <f t="shared" ca="1" si="363"/>
        <v>0</v>
      </c>
      <c r="DC271" s="171">
        <f t="shared" ca="1" si="364"/>
        <v>0</v>
      </c>
      <c r="DD271" s="171">
        <f t="shared" ca="1" si="365"/>
        <v>0</v>
      </c>
      <c r="DE271" s="171">
        <f t="shared" ca="1" si="366"/>
        <v>0</v>
      </c>
      <c r="DF271" s="171">
        <f t="shared" ca="1" si="367"/>
        <v>0</v>
      </c>
      <c r="DG271" s="171">
        <f t="shared" ca="1" si="368"/>
        <v>0</v>
      </c>
      <c r="DH271" s="171">
        <f t="shared" ca="1" si="369"/>
        <v>0</v>
      </c>
      <c r="DI271" s="171">
        <f t="shared" ca="1" si="370"/>
        <v>0</v>
      </c>
      <c r="DJ271" s="171">
        <f t="shared" ca="1" si="371"/>
        <v>0</v>
      </c>
      <c r="DK271" s="171">
        <f t="shared" ca="1" si="372"/>
        <v>0</v>
      </c>
      <c r="DL271" s="171">
        <f t="shared" ca="1" si="373"/>
        <v>0</v>
      </c>
      <c r="DM271" s="171">
        <f t="shared" ca="1" si="374"/>
        <v>0</v>
      </c>
      <c r="DN271" s="171">
        <f t="shared" ca="1" si="375"/>
        <v>0</v>
      </c>
      <c r="DO271" s="171">
        <f t="shared" ca="1" si="376"/>
        <v>0</v>
      </c>
      <c r="DP271" s="171">
        <f t="shared" ca="1" si="377"/>
        <v>0</v>
      </c>
      <c r="DQ271" s="171">
        <f t="shared" ca="1" si="378"/>
        <v>0</v>
      </c>
      <c r="DR271" s="171">
        <f t="shared" ca="1" si="379"/>
        <v>0</v>
      </c>
      <c r="DS271" s="171">
        <f t="shared" ca="1" si="380"/>
        <v>0</v>
      </c>
      <c r="DT271" s="171">
        <f t="shared" ca="1" si="381"/>
        <v>0</v>
      </c>
      <c r="DU271" s="171">
        <f t="shared" ca="1" si="382"/>
        <v>0</v>
      </c>
      <c r="DV271" s="171">
        <f t="shared" ca="1" si="383"/>
        <v>0</v>
      </c>
      <c r="DW271" s="171">
        <f t="shared" ca="1" si="384"/>
        <v>0</v>
      </c>
      <c r="DX271" s="171">
        <f t="shared" ca="1" si="385"/>
        <v>0</v>
      </c>
      <c r="DY271" s="171">
        <f t="shared" ca="1" si="386"/>
        <v>0</v>
      </c>
      <c r="DZ271" s="171">
        <f t="shared" ca="1" si="387"/>
        <v>0</v>
      </c>
      <c r="EA271" s="171">
        <f t="shared" ca="1" si="388"/>
        <v>0</v>
      </c>
      <c r="EB271" s="171">
        <f t="shared" ca="1" si="389"/>
        <v>0</v>
      </c>
      <c r="EC271" s="171">
        <f t="shared" ca="1" si="390"/>
        <v>0</v>
      </c>
      <c r="ED271" s="171">
        <f t="shared" ca="1" si="391"/>
        <v>0</v>
      </c>
      <c r="EE271" s="171">
        <f t="shared" ca="1" si="392"/>
        <v>0</v>
      </c>
      <c r="EF271" s="171">
        <f t="shared" ca="1" si="393"/>
        <v>0</v>
      </c>
      <c r="EG271" s="171">
        <f t="shared" ca="1" si="394"/>
        <v>0</v>
      </c>
      <c r="EH271" s="171">
        <f t="shared" ca="1" si="395"/>
        <v>0</v>
      </c>
      <c r="EI271" s="171">
        <f t="shared" ca="1" si="396"/>
        <v>0</v>
      </c>
      <c r="EJ271" s="171">
        <f t="shared" ca="1" si="397"/>
        <v>0</v>
      </c>
      <c r="EK271" s="171">
        <f t="shared" ca="1" si="398"/>
        <v>0</v>
      </c>
      <c r="EL271" s="171">
        <f t="shared" ca="1" si="399"/>
        <v>0</v>
      </c>
      <c r="EM271" s="171">
        <f t="shared" ca="1" si="400"/>
        <v>0</v>
      </c>
      <c r="EN271" s="171">
        <f t="shared" ca="1" si="401"/>
        <v>0</v>
      </c>
      <c r="EO271" s="171">
        <f t="shared" ca="1" si="402"/>
        <v>0</v>
      </c>
      <c r="EP271" s="171">
        <f t="shared" ca="1" si="403"/>
        <v>0</v>
      </c>
      <c r="EQ271" s="171">
        <f t="shared" ca="1" si="404"/>
        <v>0</v>
      </c>
      <c r="ER271" s="171">
        <f t="shared" ca="1" si="405"/>
        <v>0</v>
      </c>
      <c r="ES271" s="171">
        <f t="shared" ca="1" si="406"/>
        <v>0</v>
      </c>
    </row>
    <row r="272" spans="3:149">
      <c r="C272" s="214"/>
      <c r="L272" s="163"/>
      <c r="M272" s="164" t="str">
        <f t="shared" si="337"/>
        <v/>
      </c>
      <c r="N272" s="164" t="str">
        <f t="shared" si="338"/>
        <v/>
      </c>
      <c r="O272" s="165" t="str">
        <f t="shared" si="339"/>
        <v/>
      </c>
      <c r="R272" s="168"/>
      <c r="U272" s="171">
        <f t="shared" si="340"/>
        <v>0</v>
      </c>
      <c r="V272" s="171">
        <f t="shared" ca="1" si="341"/>
        <v>0</v>
      </c>
      <c r="W272" s="171">
        <f t="shared" ca="1" si="342"/>
        <v>0</v>
      </c>
      <c r="X272" s="172">
        <f t="shared" si="343"/>
        <v>0</v>
      </c>
      <c r="Y272" s="172" t="str">
        <f t="shared" si="344"/>
        <v/>
      </c>
      <c r="Z272" s="173">
        <f t="shared" si="345"/>
        <v>0</v>
      </c>
      <c r="AA272" s="171">
        <f t="shared" si="419"/>
        <v>0</v>
      </c>
      <c r="AB272" s="171">
        <f t="shared" si="419"/>
        <v>0</v>
      </c>
      <c r="AC272" s="171">
        <f t="shared" si="419"/>
        <v>0</v>
      </c>
      <c r="AD272" s="171">
        <f t="shared" si="419"/>
        <v>0</v>
      </c>
      <c r="AE272" s="171">
        <f t="shared" si="419"/>
        <v>0</v>
      </c>
      <c r="AF272" s="171">
        <f t="shared" si="419"/>
        <v>0</v>
      </c>
      <c r="AG272" s="171">
        <f t="shared" si="419"/>
        <v>0</v>
      </c>
      <c r="AH272" s="171">
        <f t="shared" si="419"/>
        <v>0</v>
      </c>
      <c r="AI272" s="171">
        <f t="shared" si="419"/>
        <v>0</v>
      </c>
      <c r="AJ272" s="171">
        <f t="shared" si="419"/>
        <v>0</v>
      </c>
      <c r="AK272" s="171">
        <f t="shared" si="420"/>
        <v>0</v>
      </c>
      <c r="AL272" s="171">
        <f t="shared" si="420"/>
        <v>0</v>
      </c>
      <c r="AM272" s="171">
        <f t="shared" si="420"/>
        <v>0</v>
      </c>
      <c r="AN272" s="171">
        <f t="shared" si="420"/>
        <v>0</v>
      </c>
      <c r="AO272" s="171">
        <f t="shared" si="420"/>
        <v>0</v>
      </c>
      <c r="AP272" s="171">
        <f t="shared" si="420"/>
        <v>0</v>
      </c>
      <c r="AQ272" s="171">
        <f t="shared" si="420"/>
        <v>0</v>
      </c>
      <c r="AR272" s="171">
        <f t="shared" si="420"/>
        <v>0</v>
      </c>
      <c r="AS272" s="171">
        <f t="shared" si="420"/>
        <v>0</v>
      </c>
      <c r="AT272" s="171">
        <f t="shared" si="420"/>
        <v>0</v>
      </c>
      <c r="AU272" s="171">
        <f t="shared" si="421"/>
        <v>0</v>
      </c>
      <c r="AV272" s="171">
        <f t="shared" si="421"/>
        <v>0</v>
      </c>
      <c r="AW272" s="171">
        <f t="shared" si="421"/>
        <v>0</v>
      </c>
      <c r="AX272" s="171">
        <f t="shared" si="421"/>
        <v>0</v>
      </c>
      <c r="AY272" s="171">
        <f t="shared" si="421"/>
        <v>0</v>
      </c>
      <c r="AZ272" s="171">
        <f t="shared" si="421"/>
        <v>0</v>
      </c>
      <c r="BA272" s="171">
        <f t="shared" si="421"/>
        <v>0</v>
      </c>
      <c r="BB272" s="171">
        <f t="shared" si="421"/>
        <v>0</v>
      </c>
      <c r="BC272" s="171">
        <f t="shared" si="421"/>
        <v>0</v>
      </c>
      <c r="BD272" s="171">
        <f t="shared" si="421"/>
        <v>0</v>
      </c>
      <c r="BE272" s="171">
        <f t="shared" si="422"/>
        <v>0</v>
      </c>
      <c r="BF272" s="171">
        <f t="shared" si="422"/>
        <v>0</v>
      </c>
      <c r="BG272" s="171">
        <f t="shared" si="422"/>
        <v>0</v>
      </c>
      <c r="BH272" s="171">
        <f t="shared" si="422"/>
        <v>0</v>
      </c>
      <c r="BI272" s="171">
        <f t="shared" si="422"/>
        <v>0</v>
      </c>
      <c r="BJ272" s="171">
        <f t="shared" si="422"/>
        <v>0</v>
      </c>
      <c r="BK272" s="171">
        <f t="shared" si="422"/>
        <v>0</v>
      </c>
      <c r="BL272" s="171">
        <f t="shared" si="422"/>
        <v>0</v>
      </c>
      <c r="BM272" s="171">
        <f t="shared" si="422"/>
        <v>0</v>
      </c>
      <c r="BN272" s="171">
        <f t="shared" si="422"/>
        <v>0</v>
      </c>
      <c r="BO272" s="171">
        <f t="shared" si="423"/>
        <v>0</v>
      </c>
      <c r="BP272" s="171">
        <f t="shared" si="423"/>
        <v>0</v>
      </c>
      <c r="BQ272" s="171">
        <f t="shared" si="423"/>
        <v>0</v>
      </c>
      <c r="BR272" s="171">
        <f t="shared" si="423"/>
        <v>0</v>
      </c>
      <c r="BS272" s="171">
        <f t="shared" si="423"/>
        <v>0</v>
      </c>
      <c r="BT272" s="171">
        <f t="shared" si="423"/>
        <v>0</v>
      </c>
      <c r="BU272" s="171">
        <f t="shared" si="423"/>
        <v>0</v>
      </c>
      <c r="BV272" s="171">
        <f t="shared" si="423"/>
        <v>0</v>
      </c>
      <c r="BW272" s="171">
        <f t="shared" si="423"/>
        <v>0</v>
      </c>
      <c r="BX272" s="171">
        <f t="shared" si="423"/>
        <v>0</v>
      </c>
      <c r="BY272" s="171">
        <f t="shared" si="424"/>
        <v>0</v>
      </c>
      <c r="BZ272" s="171">
        <f t="shared" si="424"/>
        <v>0</v>
      </c>
      <c r="CA272" s="171">
        <f t="shared" si="424"/>
        <v>0</v>
      </c>
      <c r="CB272" s="171">
        <f t="shared" si="424"/>
        <v>0</v>
      </c>
      <c r="CC272" s="171">
        <f t="shared" si="424"/>
        <v>0</v>
      </c>
      <c r="CD272" s="171">
        <f t="shared" si="424"/>
        <v>0</v>
      </c>
      <c r="CE272" s="171">
        <f t="shared" si="424"/>
        <v>0</v>
      </c>
      <c r="CF272" s="171">
        <f t="shared" si="424"/>
        <v>0</v>
      </c>
      <c r="CG272" s="171">
        <f t="shared" si="424"/>
        <v>0</v>
      </c>
      <c r="CH272" s="171">
        <f t="shared" si="424"/>
        <v>0</v>
      </c>
      <c r="CI272" s="171">
        <f t="shared" si="424"/>
        <v>0</v>
      </c>
      <c r="CJ272" s="243"/>
      <c r="CK272" s="171">
        <f t="shared" si="346"/>
        <v>0</v>
      </c>
      <c r="CL272" s="171">
        <f t="shared" si="347"/>
        <v>0</v>
      </c>
      <c r="CM272" s="171">
        <f t="shared" si="348"/>
        <v>0</v>
      </c>
      <c r="CN272" s="171">
        <f t="shared" si="349"/>
        <v>0</v>
      </c>
      <c r="CO272" s="171">
        <f t="shared" si="350"/>
        <v>0</v>
      </c>
      <c r="CP272" s="171">
        <f t="shared" si="351"/>
        <v>0</v>
      </c>
      <c r="CQ272" s="171">
        <f t="shared" si="352"/>
        <v>0</v>
      </c>
      <c r="CR272" s="171">
        <f t="shared" si="353"/>
        <v>0</v>
      </c>
      <c r="CS272" s="171">
        <f t="shared" si="354"/>
        <v>0</v>
      </c>
      <c r="CT272" s="171">
        <f t="shared" si="355"/>
        <v>0</v>
      </c>
      <c r="CU272" s="171">
        <f t="shared" si="356"/>
        <v>0</v>
      </c>
      <c r="CV272" s="171">
        <f t="shared" si="357"/>
        <v>0</v>
      </c>
      <c r="CW272" s="171">
        <f t="shared" si="358"/>
        <v>0</v>
      </c>
      <c r="CX272" s="171">
        <f t="shared" si="359"/>
        <v>0</v>
      </c>
      <c r="CY272" s="171">
        <f t="shared" ca="1" si="360"/>
        <v>0</v>
      </c>
      <c r="CZ272" s="171">
        <f t="shared" ca="1" si="361"/>
        <v>0</v>
      </c>
      <c r="DA272" s="171">
        <f t="shared" ca="1" si="362"/>
        <v>0</v>
      </c>
      <c r="DB272" s="171">
        <f t="shared" ca="1" si="363"/>
        <v>0</v>
      </c>
      <c r="DC272" s="171">
        <f t="shared" ca="1" si="364"/>
        <v>0</v>
      </c>
      <c r="DD272" s="171">
        <f t="shared" ca="1" si="365"/>
        <v>0</v>
      </c>
      <c r="DE272" s="171">
        <f t="shared" ca="1" si="366"/>
        <v>0</v>
      </c>
      <c r="DF272" s="171">
        <f t="shared" ca="1" si="367"/>
        <v>0</v>
      </c>
      <c r="DG272" s="171">
        <f t="shared" ca="1" si="368"/>
        <v>0</v>
      </c>
      <c r="DH272" s="171">
        <f t="shared" ca="1" si="369"/>
        <v>0</v>
      </c>
      <c r="DI272" s="171">
        <f t="shared" ca="1" si="370"/>
        <v>0</v>
      </c>
      <c r="DJ272" s="171">
        <f t="shared" ca="1" si="371"/>
        <v>0</v>
      </c>
      <c r="DK272" s="171">
        <f t="shared" ca="1" si="372"/>
        <v>0</v>
      </c>
      <c r="DL272" s="171">
        <f t="shared" ca="1" si="373"/>
        <v>0</v>
      </c>
      <c r="DM272" s="171">
        <f t="shared" ca="1" si="374"/>
        <v>0</v>
      </c>
      <c r="DN272" s="171">
        <f t="shared" ca="1" si="375"/>
        <v>0</v>
      </c>
      <c r="DO272" s="171">
        <f t="shared" ca="1" si="376"/>
        <v>0</v>
      </c>
      <c r="DP272" s="171">
        <f t="shared" ca="1" si="377"/>
        <v>0</v>
      </c>
      <c r="DQ272" s="171">
        <f t="shared" ca="1" si="378"/>
        <v>0</v>
      </c>
      <c r="DR272" s="171">
        <f t="shared" ca="1" si="379"/>
        <v>0</v>
      </c>
      <c r="DS272" s="171">
        <f t="shared" ca="1" si="380"/>
        <v>0</v>
      </c>
      <c r="DT272" s="171">
        <f t="shared" ca="1" si="381"/>
        <v>0</v>
      </c>
      <c r="DU272" s="171">
        <f t="shared" ca="1" si="382"/>
        <v>0</v>
      </c>
      <c r="DV272" s="171">
        <f t="shared" ca="1" si="383"/>
        <v>0</v>
      </c>
      <c r="DW272" s="171">
        <f t="shared" ca="1" si="384"/>
        <v>0</v>
      </c>
      <c r="DX272" s="171">
        <f t="shared" ca="1" si="385"/>
        <v>0</v>
      </c>
      <c r="DY272" s="171">
        <f t="shared" ca="1" si="386"/>
        <v>0</v>
      </c>
      <c r="DZ272" s="171">
        <f t="shared" ca="1" si="387"/>
        <v>0</v>
      </c>
      <c r="EA272" s="171">
        <f t="shared" ca="1" si="388"/>
        <v>0</v>
      </c>
      <c r="EB272" s="171">
        <f t="shared" ca="1" si="389"/>
        <v>0</v>
      </c>
      <c r="EC272" s="171">
        <f t="shared" ca="1" si="390"/>
        <v>0</v>
      </c>
      <c r="ED272" s="171">
        <f t="shared" ca="1" si="391"/>
        <v>0</v>
      </c>
      <c r="EE272" s="171">
        <f t="shared" ca="1" si="392"/>
        <v>0</v>
      </c>
      <c r="EF272" s="171">
        <f t="shared" ca="1" si="393"/>
        <v>0</v>
      </c>
      <c r="EG272" s="171">
        <f t="shared" ca="1" si="394"/>
        <v>0</v>
      </c>
      <c r="EH272" s="171">
        <f t="shared" ca="1" si="395"/>
        <v>0</v>
      </c>
      <c r="EI272" s="171">
        <f t="shared" ca="1" si="396"/>
        <v>0</v>
      </c>
      <c r="EJ272" s="171">
        <f t="shared" ca="1" si="397"/>
        <v>0</v>
      </c>
      <c r="EK272" s="171">
        <f t="shared" ca="1" si="398"/>
        <v>0</v>
      </c>
      <c r="EL272" s="171">
        <f t="shared" ca="1" si="399"/>
        <v>0</v>
      </c>
      <c r="EM272" s="171">
        <f t="shared" ca="1" si="400"/>
        <v>0</v>
      </c>
      <c r="EN272" s="171">
        <f t="shared" ca="1" si="401"/>
        <v>0</v>
      </c>
      <c r="EO272" s="171">
        <f t="shared" ca="1" si="402"/>
        <v>0</v>
      </c>
      <c r="EP272" s="171">
        <f t="shared" ca="1" si="403"/>
        <v>0</v>
      </c>
      <c r="EQ272" s="171">
        <f t="shared" ca="1" si="404"/>
        <v>0</v>
      </c>
      <c r="ER272" s="171">
        <f t="shared" ca="1" si="405"/>
        <v>0</v>
      </c>
      <c r="ES272" s="171">
        <f t="shared" ca="1" si="406"/>
        <v>0</v>
      </c>
    </row>
    <row r="273" spans="3:149">
      <c r="C273" s="214"/>
      <c r="L273" s="163"/>
      <c r="M273" s="164" t="str">
        <f t="shared" si="337"/>
        <v/>
      </c>
      <c r="N273" s="164" t="str">
        <f t="shared" si="338"/>
        <v/>
      </c>
      <c r="O273" s="165" t="str">
        <f t="shared" si="339"/>
        <v/>
      </c>
      <c r="R273" s="168"/>
      <c r="U273" s="171">
        <f t="shared" si="340"/>
        <v>0</v>
      </c>
      <c r="V273" s="171">
        <f t="shared" ca="1" si="341"/>
        <v>0</v>
      </c>
      <c r="W273" s="171">
        <f t="shared" ca="1" si="342"/>
        <v>0</v>
      </c>
      <c r="X273" s="172">
        <f t="shared" si="343"/>
        <v>0</v>
      </c>
      <c r="Y273" s="172" t="str">
        <f t="shared" si="344"/>
        <v/>
      </c>
      <c r="Z273" s="173">
        <f t="shared" si="345"/>
        <v>0</v>
      </c>
      <c r="AA273" s="171">
        <f t="shared" si="419"/>
        <v>0</v>
      </c>
      <c r="AB273" s="171">
        <f t="shared" si="419"/>
        <v>0</v>
      </c>
      <c r="AC273" s="171">
        <f t="shared" si="419"/>
        <v>0</v>
      </c>
      <c r="AD273" s="171">
        <f t="shared" si="419"/>
        <v>0</v>
      </c>
      <c r="AE273" s="171">
        <f t="shared" si="419"/>
        <v>0</v>
      </c>
      <c r="AF273" s="171">
        <f t="shared" si="419"/>
        <v>0</v>
      </c>
      <c r="AG273" s="171">
        <f t="shared" si="419"/>
        <v>0</v>
      </c>
      <c r="AH273" s="171">
        <f t="shared" si="419"/>
        <v>0</v>
      </c>
      <c r="AI273" s="171">
        <f t="shared" si="419"/>
        <v>0</v>
      </c>
      <c r="AJ273" s="171">
        <f t="shared" si="419"/>
        <v>0</v>
      </c>
      <c r="AK273" s="171">
        <f t="shared" si="420"/>
        <v>0</v>
      </c>
      <c r="AL273" s="171">
        <f t="shared" si="420"/>
        <v>0</v>
      </c>
      <c r="AM273" s="171">
        <f t="shared" si="420"/>
        <v>0</v>
      </c>
      <c r="AN273" s="171">
        <f t="shared" si="420"/>
        <v>0</v>
      </c>
      <c r="AO273" s="171">
        <f t="shared" si="420"/>
        <v>0</v>
      </c>
      <c r="AP273" s="171">
        <f t="shared" si="420"/>
        <v>0</v>
      </c>
      <c r="AQ273" s="171">
        <f t="shared" si="420"/>
        <v>0</v>
      </c>
      <c r="AR273" s="171">
        <f t="shared" si="420"/>
        <v>0</v>
      </c>
      <c r="AS273" s="171">
        <f t="shared" si="420"/>
        <v>0</v>
      </c>
      <c r="AT273" s="171">
        <f t="shared" si="420"/>
        <v>0</v>
      </c>
      <c r="AU273" s="171">
        <f t="shared" si="421"/>
        <v>0</v>
      </c>
      <c r="AV273" s="171">
        <f t="shared" si="421"/>
        <v>0</v>
      </c>
      <c r="AW273" s="171">
        <f t="shared" si="421"/>
        <v>0</v>
      </c>
      <c r="AX273" s="171">
        <f t="shared" si="421"/>
        <v>0</v>
      </c>
      <c r="AY273" s="171">
        <f t="shared" si="421"/>
        <v>0</v>
      </c>
      <c r="AZ273" s="171">
        <f t="shared" si="421"/>
        <v>0</v>
      </c>
      <c r="BA273" s="171">
        <f t="shared" si="421"/>
        <v>0</v>
      </c>
      <c r="BB273" s="171">
        <f t="shared" si="421"/>
        <v>0</v>
      </c>
      <c r="BC273" s="171">
        <f t="shared" si="421"/>
        <v>0</v>
      </c>
      <c r="BD273" s="171">
        <f t="shared" si="421"/>
        <v>0</v>
      </c>
      <c r="BE273" s="171">
        <f t="shared" si="422"/>
        <v>0</v>
      </c>
      <c r="BF273" s="171">
        <f t="shared" si="422"/>
        <v>0</v>
      </c>
      <c r="BG273" s="171">
        <f t="shared" si="422"/>
        <v>0</v>
      </c>
      <c r="BH273" s="171">
        <f t="shared" si="422"/>
        <v>0</v>
      </c>
      <c r="BI273" s="171">
        <f t="shared" si="422"/>
        <v>0</v>
      </c>
      <c r="BJ273" s="171">
        <f t="shared" si="422"/>
        <v>0</v>
      </c>
      <c r="BK273" s="171">
        <f t="shared" si="422"/>
        <v>0</v>
      </c>
      <c r="BL273" s="171">
        <f t="shared" si="422"/>
        <v>0</v>
      </c>
      <c r="BM273" s="171">
        <f t="shared" si="422"/>
        <v>0</v>
      </c>
      <c r="BN273" s="171">
        <f t="shared" si="422"/>
        <v>0</v>
      </c>
      <c r="BO273" s="171">
        <f t="shared" si="423"/>
        <v>0</v>
      </c>
      <c r="BP273" s="171">
        <f t="shared" si="423"/>
        <v>0</v>
      </c>
      <c r="BQ273" s="171">
        <f t="shared" si="423"/>
        <v>0</v>
      </c>
      <c r="BR273" s="171">
        <f t="shared" si="423"/>
        <v>0</v>
      </c>
      <c r="BS273" s="171">
        <f t="shared" si="423"/>
        <v>0</v>
      </c>
      <c r="BT273" s="171">
        <f t="shared" si="423"/>
        <v>0</v>
      </c>
      <c r="BU273" s="171">
        <f t="shared" si="423"/>
        <v>0</v>
      </c>
      <c r="BV273" s="171">
        <f t="shared" si="423"/>
        <v>0</v>
      </c>
      <c r="BW273" s="171">
        <f t="shared" si="423"/>
        <v>0</v>
      </c>
      <c r="BX273" s="171">
        <f t="shared" si="423"/>
        <v>0</v>
      </c>
      <c r="BY273" s="171">
        <f t="shared" si="424"/>
        <v>0</v>
      </c>
      <c r="BZ273" s="171">
        <f t="shared" si="424"/>
        <v>0</v>
      </c>
      <c r="CA273" s="171">
        <f t="shared" si="424"/>
        <v>0</v>
      </c>
      <c r="CB273" s="171">
        <f t="shared" si="424"/>
        <v>0</v>
      </c>
      <c r="CC273" s="171">
        <f t="shared" si="424"/>
        <v>0</v>
      </c>
      <c r="CD273" s="171">
        <f t="shared" si="424"/>
        <v>0</v>
      </c>
      <c r="CE273" s="171">
        <f t="shared" si="424"/>
        <v>0</v>
      </c>
      <c r="CF273" s="171">
        <f t="shared" si="424"/>
        <v>0</v>
      </c>
      <c r="CG273" s="171">
        <f t="shared" si="424"/>
        <v>0</v>
      </c>
      <c r="CH273" s="171">
        <f t="shared" si="424"/>
        <v>0</v>
      </c>
      <c r="CI273" s="171">
        <f t="shared" si="424"/>
        <v>0</v>
      </c>
      <c r="CJ273" s="243"/>
      <c r="CK273" s="171">
        <f t="shared" si="346"/>
        <v>0</v>
      </c>
      <c r="CL273" s="171">
        <f t="shared" si="347"/>
        <v>0</v>
      </c>
      <c r="CM273" s="171">
        <f t="shared" si="348"/>
        <v>0</v>
      </c>
      <c r="CN273" s="171">
        <f t="shared" si="349"/>
        <v>0</v>
      </c>
      <c r="CO273" s="171">
        <f t="shared" si="350"/>
        <v>0</v>
      </c>
      <c r="CP273" s="171">
        <f t="shared" si="351"/>
        <v>0</v>
      </c>
      <c r="CQ273" s="171">
        <f t="shared" si="352"/>
        <v>0</v>
      </c>
      <c r="CR273" s="171">
        <f t="shared" si="353"/>
        <v>0</v>
      </c>
      <c r="CS273" s="171">
        <f t="shared" si="354"/>
        <v>0</v>
      </c>
      <c r="CT273" s="171">
        <f t="shared" si="355"/>
        <v>0</v>
      </c>
      <c r="CU273" s="171">
        <f t="shared" si="356"/>
        <v>0</v>
      </c>
      <c r="CV273" s="171">
        <f t="shared" si="357"/>
        <v>0</v>
      </c>
      <c r="CW273" s="171">
        <f t="shared" si="358"/>
        <v>0</v>
      </c>
      <c r="CX273" s="171">
        <f t="shared" si="359"/>
        <v>0</v>
      </c>
      <c r="CY273" s="171">
        <f t="shared" ca="1" si="360"/>
        <v>0</v>
      </c>
      <c r="CZ273" s="171">
        <f t="shared" ca="1" si="361"/>
        <v>0</v>
      </c>
      <c r="DA273" s="171">
        <f t="shared" ca="1" si="362"/>
        <v>0</v>
      </c>
      <c r="DB273" s="171">
        <f t="shared" ca="1" si="363"/>
        <v>0</v>
      </c>
      <c r="DC273" s="171">
        <f t="shared" ca="1" si="364"/>
        <v>0</v>
      </c>
      <c r="DD273" s="171">
        <f t="shared" ca="1" si="365"/>
        <v>0</v>
      </c>
      <c r="DE273" s="171">
        <f t="shared" ca="1" si="366"/>
        <v>0</v>
      </c>
      <c r="DF273" s="171">
        <f t="shared" ca="1" si="367"/>
        <v>0</v>
      </c>
      <c r="DG273" s="171">
        <f t="shared" ca="1" si="368"/>
        <v>0</v>
      </c>
      <c r="DH273" s="171">
        <f t="shared" ca="1" si="369"/>
        <v>0</v>
      </c>
      <c r="DI273" s="171">
        <f t="shared" ca="1" si="370"/>
        <v>0</v>
      </c>
      <c r="DJ273" s="171">
        <f t="shared" ca="1" si="371"/>
        <v>0</v>
      </c>
      <c r="DK273" s="171">
        <f t="shared" ca="1" si="372"/>
        <v>0</v>
      </c>
      <c r="DL273" s="171">
        <f t="shared" ca="1" si="373"/>
        <v>0</v>
      </c>
      <c r="DM273" s="171">
        <f t="shared" ca="1" si="374"/>
        <v>0</v>
      </c>
      <c r="DN273" s="171">
        <f t="shared" ca="1" si="375"/>
        <v>0</v>
      </c>
      <c r="DO273" s="171">
        <f t="shared" ca="1" si="376"/>
        <v>0</v>
      </c>
      <c r="DP273" s="171">
        <f t="shared" ca="1" si="377"/>
        <v>0</v>
      </c>
      <c r="DQ273" s="171">
        <f t="shared" ca="1" si="378"/>
        <v>0</v>
      </c>
      <c r="DR273" s="171">
        <f t="shared" ca="1" si="379"/>
        <v>0</v>
      </c>
      <c r="DS273" s="171">
        <f t="shared" ca="1" si="380"/>
        <v>0</v>
      </c>
      <c r="DT273" s="171">
        <f t="shared" ca="1" si="381"/>
        <v>0</v>
      </c>
      <c r="DU273" s="171">
        <f t="shared" ca="1" si="382"/>
        <v>0</v>
      </c>
      <c r="DV273" s="171">
        <f t="shared" ca="1" si="383"/>
        <v>0</v>
      </c>
      <c r="DW273" s="171">
        <f t="shared" ca="1" si="384"/>
        <v>0</v>
      </c>
      <c r="DX273" s="171">
        <f t="shared" ca="1" si="385"/>
        <v>0</v>
      </c>
      <c r="DY273" s="171">
        <f t="shared" ca="1" si="386"/>
        <v>0</v>
      </c>
      <c r="DZ273" s="171">
        <f t="shared" ca="1" si="387"/>
        <v>0</v>
      </c>
      <c r="EA273" s="171">
        <f t="shared" ca="1" si="388"/>
        <v>0</v>
      </c>
      <c r="EB273" s="171">
        <f t="shared" ca="1" si="389"/>
        <v>0</v>
      </c>
      <c r="EC273" s="171">
        <f t="shared" ca="1" si="390"/>
        <v>0</v>
      </c>
      <c r="ED273" s="171">
        <f t="shared" ca="1" si="391"/>
        <v>0</v>
      </c>
      <c r="EE273" s="171">
        <f t="shared" ca="1" si="392"/>
        <v>0</v>
      </c>
      <c r="EF273" s="171">
        <f t="shared" ca="1" si="393"/>
        <v>0</v>
      </c>
      <c r="EG273" s="171">
        <f t="shared" ca="1" si="394"/>
        <v>0</v>
      </c>
      <c r="EH273" s="171">
        <f t="shared" ca="1" si="395"/>
        <v>0</v>
      </c>
      <c r="EI273" s="171">
        <f t="shared" ca="1" si="396"/>
        <v>0</v>
      </c>
      <c r="EJ273" s="171">
        <f t="shared" ca="1" si="397"/>
        <v>0</v>
      </c>
      <c r="EK273" s="171">
        <f t="shared" ca="1" si="398"/>
        <v>0</v>
      </c>
      <c r="EL273" s="171">
        <f t="shared" ca="1" si="399"/>
        <v>0</v>
      </c>
      <c r="EM273" s="171">
        <f t="shared" ca="1" si="400"/>
        <v>0</v>
      </c>
      <c r="EN273" s="171">
        <f t="shared" ca="1" si="401"/>
        <v>0</v>
      </c>
      <c r="EO273" s="171">
        <f t="shared" ca="1" si="402"/>
        <v>0</v>
      </c>
      <c r="EP273" s="171">
        <f t="shared" ca="1" si="403"/>
        <v>0</v>
      </c>
      <c r="EQ273" s="171">
        <f t="shared" ca="1" si="404"/>
        <v>0</v>
      </c>
      <c r="ER273" s="171">
        <f t="shared" ca="1" si="405"/>
        <v>0</v>
      </c>
      <c r="ES273" s="171">
        <f t="shared" ca="1" si="406"/>
        <v>0</v>
      </c>
    </row>
    <row r="274" spans="3:149">
      <c r="C274" s="214"/>
      <c r="L274" s="163"/>
      <c r="M274" s="164" t="str">
        <f t="shared" si="337"/>
        <v/>
      </c>
      <c r="N274" s="164" t="str">
        <f t="shared" si="338"/>
        <v/>
      </c>
      <c r="O274" s="165" t="str">
        <f t="shared" si="339"/>
        <v/>
      </c>
      <c r="R274" s="168"/>
      <c r="U274" s="171">
        <f t="shared" si="340"/>
        <v>0</v>
      </c>
      <c r="V274" s="171">
        <f t="shared" ca="1" si="341"/>
        <v>0</v>
      </c>
      <c r="W274" s="171">
        <f t="shared" ca="1" si="342"/>
        <v>0</v>
      </c>
      <c r="X274" s="172">
        <f t="shared" si="343"/>
        <v>0</v>
      </c>
      <c r="Y274" s="172" t="str">
        <f t="shared" si="344"/>
        <v/>
      </c>
      <c r="Z274" s="173">
        <f t="shared" si="345"/>
        <v>0</v>
      </c>
      <c r="AA274" s="171">
        <f t="shared" si="419"/>
        <v>0</v>
      </c>
      <c r="AB274" s="171">
        <f t="shared" si="419"/>
        <v>0</v>
      </c>
      <c r="AC274" s="171">
        <f t="shared" si="419"/>
        <v>0</v>
      </c>
      <c r="AD274" s="171">
        <f t="shared" si="419"/>
        <v>0</v>
      </c>
      <c r="AE274" s="171">
        <f t="shared" si="419"/>
        <v>0</v>
      </c>
      <c r="AF274" s="171">
        <f t="shared" si="419"/>
        <v>0</v>
      </c>
      <c r="AG274" s="171">
        <f t="shared" si="419"/>
        <v>0</v>
      </c>
      <c r="AH274" s="171">
        <f t="shared" si="419"/>
        <v>0</v>
      </c>
      <c r="AI274" s="171">
        <f t="shared" si="419"/>
        <v>0</v>
      </c>
      <c r="AJ274" s="171">
        <f t="shared" si="419"/>
        <v>0</v>
      </c>
      <c r="AK274" s="171">
        <f t="shared" si="420"/>
        <v>0</v>
      </c>
      <c r="AL274" s="171">
        <f t="shared" si="420"/>
        <v>0</v>
      </c>
      <c r="AM274" s="171">
        <f t="shared" si="420"/>
        <v>0</v>
      </c>
      <c r="AN274" s="171">
        <f t="shared" si="420"/>
        <v>0</v>
      </c>
      <c r="AO274" s="171">
        <f t="shared" si="420"/>
        <v>0</v>
      </c>
      <c r="AP274" s="171">
        <f t="shared" si="420"/>
        <v>0</v>
      </c>
      <c r="AQ274" s="171">
        <f t="shared" si="420"/>
        <v>0</v>
      </c>
      <c r="AR274" s="171">
        <f t="shared" si="420"/>
        <v>0</v>
      </c>
      <c r="AS274" s="171">
        <f t="shared" si="420"/>
        <v>0</v>
      </c>
      <c r="AT274" s="171">
        <f t="shared" si="420"/>
        <v>0</v>
      </c>
      <c r="AU274" s="171">
        <f t="shared" si="421"/>
        <v>0</v>
      </c>
      <c r="AV274" s="171">
        <f t="shared" si="421"/>
        <v>0</v>
      </c>
      <c r="AW274" s="171">
        <f t="shared" si="421"/>
        <v>0</v>
      </c>
      <c r="AX274" s="171">
        <f t="shared" si="421"/>
        <v>0</v>
      </c>
      <c r="AY274" s="171">
        <f t="shared" si="421"/>
        <v>0</v>
      </c>
      <c r="AZ274" s="171">
        <f t="shared" si="421"/>
        <v>0</v>
      </c>
      <c r="BA274" s="171">
        <f t="shared" si="421"/>
        <v>0</v>
      </c>
      <c r="BB274" s="171">
        <f t="shared" si="421"/>
        <v>0</v>
      </c>
      <c r="BC274" s="171">
        <f t="shared" si="421"/>
        <v>0</v>
      </c>
      <c r="BD274" s="171">
        <f t="shared" si="421"/>
        <v>0</v>
      </c>
      <c r="BE274" s="171">
        <f t="shared" si="422"/>
        <v>0</v>
      </c>
      <c r="BF274" s="171">
        <f t="shared" si="422"/>
        <v>0</v>
      </c>
      <c r="BG274" s="171">
        <f t="shared" si="422"/>
        <v>0</v>
      </c>
      <c r="BH274" s="171">
        <f t="shared" si="422"/>
        <v>0</v>
      </c>
      <c r="BI274" s="171">
        <f t="shared" si="422"/>
        <v>0</v>
      </c>
      <c r="BJ274" s="171">
        <f t="shared" si="422"/>
        <v>0</v>
      </c>
      <c r="BK274" s="171">
        <f t="shared" si="422"/>
        <v>0</v>
      </c>
      <c r="BL274" s="171">
        <f t="shared" si="422"/>
        <v>0</v>
      </c>
      <c r="BM274" s="171">
        <f t="shared" si="422"/>
        <v>0</v>
      </c>
      <c r="BN274" s="171">
        <f t="shared" si="422"/>
        <v>0</v>
      </c>
      <c r="BO274" s="171">
        <f t="shared" si="423"/>
        <v>0</v>
      </c>
      <c r="BP274" s="171">
        <f t="shared" si="423"/>
        <v>0</v>
      </c>
      <c r="BQ274" s="171">
        <f t="shared" si="423"/>
        <v>0</v>
      </c>
      <c r="BR274" s="171">
        <f t="shared" si="423"/>
        <v>0</v>
      </c>
      <c r="BS274" s="171">
        <f t="shared" si="423"/>
        <v>0</v>
      </c>
      <c r="BT274" s="171">
        <f t="shared" si="423"/>
        <v>0</v>
      </c>
      <c r="BU274" s="171">
        <f t="shared" si="423"/>
        <v>0</v>
      </c>
      <c r="BV274" s="171">
        <f t="shared" si="423"/>
        <v>0</v>
      </c>
      <c r="BW274" s="171">
        <f t="shared" si="423"/>
        <v>0</v>
      </c>
      <c r="BX274" s="171">
        <f t="shared" si="423"/>
        <v>0</v>
      </c>
      <c r="BY274" s="171">
        <f t="shared" si="424"/>
        <v>0</v>
      </c>
      <c r="BZ274" s="171">
        <f t="shared" si="424"/>
        <v>0</v>
      </c>
      <c r="CA274" s="171">
        <f t="shared" si="424"/>
        <v>0</v>
      </c>
      <c r="CB274" s="171">
        <f t="shared" si="424"/>
        <v>0</v>
      </c>
      <c r="CC274" s="171">
        <f t="shared" si="424"/>
        <v>0</v>
      </c>
      <c r="CD274" s="171">
        <f t="shared" si="424"/>
        <v>0</v>
      </c>
      <c r="CE274" s="171">
        <f t="shared" si="424"/>
        <v>0</v>
      </c>
      <c r="CF274" s="171">
        <f t="shared" si="424"/>
        <v>0</v>
      </c>
      <c r="CG274" s="171">
        <f t="shared" si="424"/>
        <v>0</v>
      </c>
      <c r="CH274" s="171">
        <f t="shared" si="424"/>
        <v>0</v>
      </c>
      <c r="CI274" s="171">
        <f t="shared" si="424"/>
        <v>0</v>
      </c>
      <c r="CJ274" s="243"/>
      <c r="CK274" s="171">
        <f t="shared" si="346"/>
        <v>0</v>
      </c>
      <c r="CL274" s="171">
        <f t="shared" si="347"/>
        <v>0</v>
      </c>
      <c r="CM274" s="171">
        <f t="shared" si="348"/>
        <v>0</v>
      </c>
      <c r="CN274" s="171">
        <f t="shared" si="349"/>
        <v>0</v>
      </c>
      <c r="CO274" s="171">
        <f t="shared" si="350"/>
        <v>0</v>
      </c>
      <c r="CP274" s="171">
        <f t="shared" si="351"/>
        <v>0</v>
      </c>
      <c r="CQ274" s="171">
        <f t="shared" si="352"/>
        <v>0</v>
      </c>
      <c r="CR274" s="171">
        <f t="shared" si="353"/>
        <v>0</v>
      </c>
      <c r="CS274" s="171">
        <f t="shared" si="354"/>
        <v>0</v>
      </c>
      <c r="CT274" s="171">
        <f t="shared" si="355"/>
        <v>0</v>
      </c>
      <c r="CU274" s="171">
        <f t="shared" si="356"/>
        <v>0</v>
      </c>
      <c r="CV274" s="171">
        <f t="shared" si="357"/>
        <v>0</v>
      </c>
      <c r="CW274" s="171">
        <f t="shared" si="358"/>
        <v>0</v>
      </c>
      <c r="CX274" s="171">
        <f t="shared" si="359"/>
        <v>0</v>
      </c>
      <c r="CY274" s="171">
        <f t="shared" ca="1" si="360"/>
        <v>0</v>
      </c>
      <c r="CZ274" s="171">
        <f t="shared" ca="1" si="361"/>
        <v>0</v>
      </c>
      <c r="DA274" s="171">
        <f t="shared" ca="1" si="362"/>
        <v>0</v>
      </c>
      <c r="DB274" s="171">
        <f t="shared" ca="1" si="363"/>
        <v>0</v>
      </c>
      <c r="DC274" s="171">
        <f t="shared" ca="1" si="364"/>
        <v>0</v>
      </c>
      <c r="DD274" s="171">
        <f t="shared" ca="1" si="365"/>
        <v>0</v>
      </c>
      <c r="DE274" s="171">
        <f t="shared" ca="1" si="366"/>
        <v>0</v>
      </c>
      <c r="DF274" s="171">
        <f t="shared" ca="1" si="367"/>
        <v>0</v>
      </c>
      <c r="DG274" s="171">
        <f t="shared" ca="1" si="368"/>
        <v>0</v>
      </c>
      <c r="DH274" s="171">
        <f t="shared" ca="1" si="369"/>
        <v>0</v>
      </c>
      <c r="DI274" s="171">
        <f t="shared" ca="1" si="370"/>
        <v>0</v>
      </c>
      <c r="DJ274" s="171">
        <f t="shared" ca="1" si="371"/>
        <v>0</v>
      </c>
      <c r="DK274" s="171">
        <f t="shared" ca="1" si="372"/>
        <v>0</v>
      </c>
      <c r="DL274" s="171">
        <f t="shared" ca="1" si="373"/>
        <v>0</v>
      </c>
      <c r="DM274" s="171">
        <f t="shared" ca="1" si="374"/>
        <v>0</v>
      </c>
      <c r="DN274" s="171">
        <f t="shared" ca="1" si="375"/>
        <v>0</v>
      </c>
      <c r="DO274" s="171">
        <f t="shared" ca="1" si="376"/>
        <v>0</v>
      </c>
      <c r="DP274" s="171">
        <f t="shared" ca="1" si="377"/>
        <v>0</v>
      </c>
      <c r="DQ274" s="171">
        <f t="shared" ca="1" si="378"/>
        <v>0</v>
      </c>
      <c r="DR274" s="171">
        <f t="shared" ca="1" si="379"/>
        <v>0</v>
      </c>
      <c r="DS274" s="171">
        <f t="shared" ca="1" si="380"/>
        <v>0</v>
      </c>
      <c r="DT274" s="171">
        <f t="shared" ca="1" si="381"/>
        <v>0</v>
      </c>
      <c r="DU274" s="171">
        <f t="shared" ca="1" si="382"/>
        <v>0</v>
      </c>
      <c r="DV274" s="171">
        <f t="shared" ca="1" si="383"/>
        <v>0</v>
      </c>
      <c r="DW274" s="171">
        <f t="shared" ca="1" si="384"/>
        <v>0</v>
      </c>
      <c r="DX274" s="171">
        <f t="shared" ca="1" si="385"/>
        <v>0</v>
      </c>
      <c r="DY274" s="171">
        <f t="shared" ca="1" si="386"/>
        <v>0</v>
      </c>
      <c r="DZ274" s="171">
        <f t="shared" ca="1" si="387"/>
        <v>0</v>
      </c>
      <c r="EA274" s="171">
        <f t="shared" ca="1" si="388"/>
        <v>0</v>
      </c>
      <c r="EB274" s="171">
        <f t="shared" ca="1" si="389"/>
        <v>0</v>
      </c>
      <c r="EC274" s="171">
        <f t="shared" ca="1" si="390"/>
        <v>0</v>
      </c>
      <c r="ED274" s="171">
        <f t="shared" ca="1" si="391"/>
        <v>0</v>
      </c>
      <c r="EE274" s="171">
        <f t="shared" ca="1" si="392"/>
        <v>0</v>
      </c>
      <c r="EF274" s="171">
        <f t="shared" ca="1" si="393"/>
        <v>0</v>
      </c>
      <c r="EG274" s="171">
        <f t="shared" ca="1" si="394"/>
        <v>0</v>
      </c>
      <c r="EH274" s="171">
        <f t="shared" ca="1" si="395"/>
        <v>0</v>
      </c>
      <c r="EI274" s="171">
        <f t="shared" ca="1" si="396"/>
        <v>0</v>
      </c>
      <c r="EJ274" s="171">
        <f t="shared" ca="1" si="397"/>
        <v>0</v>
      </c>
      <c r="EK274" s="171">
        <f t="shared" ca="1" si="398"/>
        <v>0</v>
      </c>
      <c r="EL274" s="171">
        <f t="shared" ca="1" si="399"/>
        <v>0</v>
      </c>
      <c r="EM274" s="171">
        <f t="shared" ca="1" si="400"/>
        <v>0</v>
      </c>
      <c r="EN274" s="171">
        <f t="shared" ca="1" si="401"/>
        <v>0</v>
      </c>
      <c r="EO274" s="171">
        <f t="shared" ca="1" si="402"/>
        <v>0</v>
      </c>
      <c r="EP274" s="171">
        <f t="shared" ca="1" si="403"/>
        <v>0</v>
      </c>
      <c r="EQ274" s="171">
        <f t="shared" ca="1" si="404"/>
        <v>0</v>
      </c>
      <c r="ER274" s="171">
        <f t="shared" ca="1" si="405"/>
        <v>0</v>
      </c>
      <c r="ES274" s="171">
        <f t="shared" ca="1" si="406"/>
        <v>0</v>
      </c>
    </row>
    <row r="275" spans="3:149">
      <c r="C275" s="214"/>
      <c r="L275" s="163"/>
      <c r="M275" s="164" t="str">
        <f t="shared" si="337"/>
        <v/>
      </c>
      <c r="N275" s="164" t="str">
        <f t="shared" si="338"/>
        <v/>
      </c>
      <c r="O275" s="165" t="str">
        <f t="shared" si="339"/>
        <v/>
      </c>
      <c r="R275" s="168"/>
      <c r="U275" s="171">
        <f t="shared" si="340"/>
        <v>0</v>
      </c>
      <c r="V275" s="171">
        <f t="shared" ca="1" si="341"/>
        <v>0</v>
      </c>
      <c r="W275" s="171">
        <f t="shared" ca="1" si="342"/>
        <v>0</v>
      </c>
      <c r="X275" s="172">
        <f t="shared" si="343"/>
        <v>0</v>
      </c>
      <c r="Y275" s="172" t="str">
        <f t="shared" si="344"/>
        <v/>
      </c>
      <c r="Z275" s="173">
        <f t="shared" si="345"/>
        <v>0</v>
      </c>
      <c r="AA275" s="171">
        <f t="shared" si="419"/>
        <v>0</v>
      </c>
      <c r="AB275" s="171">
        <f t="shared" si="419"/>
        <v>0</v>
      </c>
      <c r="AC275" s="171">
        <f t="shared" si="419"/>
        <v>0</v>
      </c>
      <c r="AD275" s="171">
        <f t="shared" si="419"/>
        <v>0</v>
      </c>
      <c r="AE275" s="171">
        <f t="shared" si="419"/>
        <v>0</v>
      </c>
      <c r="AF275" s="171">
        <f t="shared" si="419"/>
        <v>0</v>
      </c>
      <c r="AG275" s="171">
        <f t="shared" si="419"/>
        <v>0</v>
      </c>
      <c r="AH275" s="171">
        <f t="shared" si="419"/>
        <v>0</v>
      </c>
      <c r="AI275" s="171">
        <f t="shared" si="419"/>
        <v>0</v>
      </c>
      <c r="AJ275" s="171">
        <f t="shared" si="419"/>
        <v>0</v>
      </c>
      <c r="AK275" s="171">
        <f t="shared" si="420"/>
        <v>0</v>
      </c>
      <c r="AL275" s="171">
        <f t="shared" si="420"/>
        <v>0</v>
      </c>
      <c r="AM275" s="171">
        <f t="shared" si="420"/>
        <v>0</v>
      </c>
      <c r="AN275" s="171">
        <f t="shared" si="420"/>
        <v>0</v>
      </c>
      <c r="AO275" s="171">
        <f t="shared" si="420"/>
        <v>0</v>
      </c>
      <c r="AP275" s="171">
        <f t="shared" si="420"/>
        <v>0</v>
      </c>
      <c r="AQ275" s="171">
        <f t="shared" si="420"/>
        <v>0</v>
      </c>
      <c r="AR275" s="171">
        <f t="shared" si="420"/>
        <v>0</v>
      </c>
      <c r="AS275" s="171">
        <f t="shared" si="420"/>
        <v>0</v>
      </c>
      <c r="AT275" s="171">
        <f t="shared" si="420"/>
        <v>0</v>
      </c>
      <c r="AU275" s="171">
        <f t="shared" si="421"/>
        <v>0</v>
      </c>
      <c r="AV275" s="171">
        <f t="shared" si="421"/>
        <v>0</v>
      </c>
      <c r="AW275" s="171">
        <f t="shared" si="421"/>
        <v>0</v>
      </c>
      <c r="AX275" s="171">
        <f t="shared" si="421"/>
        <v>0</v>
      </c>
      <c r="AY275" s="171">
        <f t="shared" si="421"/>
        <v>0</v>
      </c>
      <c r="AZ275" s="171">
        <f t="shared" si="421"/>
        <v>0</v>
      </c>
      <c r="BA275" s="171">
        <f t="shared" si="421"/>
        <v>0</v>
      </c>
      <c r="BB275" s="171">
        <f t="shared" si="421"/>
        <v>0</v>
      </c>
      <c r="BC275" s="171">
        <f t="shared" si="421"/>
        <v>0</v>
      </c>
      <c r="BD275" s="171">
        <f t="shared" si="421"/>
        <v>0</v>
      </c>
      <c r="BE275" s="171">
        <f t="shared" si="422"/>
        <v>0</v>
      </c>
      <c r="BF275" s="171">
        <f t="shared" si="422"/>
        <v>0</v>
      </c>
      <c r="BG275" s="171">
        <f t="shared" si="422"/>
        <v>0</v>
      </c>
      <c r="BH275" s="171">
        <f t="shared" si="422"/>
        <v>0</v>
      </c>
      <c r="BI275" s="171">
        <f t="shared" si="422"/>
        <v>0</v>
      </c>
      <c r="BJ275" s="171">
        <f t="shared" si="422"/>
        <v>0</v>
      </c>
      <c r="BK275" s="171">
        <f t="shared" si="422"/>
        <v>0</v>
      </c>
      <c r="BL275" s="171">
        <f t="shared" si="422"/>
        <v>0</v>
      </c>
      <c r="BM275" s="171">
        <f t="shared" si="422"/>
        <v>0</v>
      </c>
      <c r="BN275" s="171">
        <f t="shared" si="422"/>
        <v>0</v>
      </c>
      <c r="BO275" s="171">
        <f t="shared" si="423"/>
        <v>0</v>
      </c>
      <c r="BP275" s="171">
        <f t="shared" si="423"/>
        <v>0</v>
      </c>
      <c r="BQ275" s="171">
        <f t="shared" si="423"/>
        <v>0</v>
      </c>
      <c r="BR275" s="171">
        <f t="shared" si="423"/>
        <v>0</v>
      </c>
      <c r="BS275" s="171">
        <f t="shared" si="423"/>
        <v>0</v>
      </c>
      <c r="BT275" s="171">
        <f t="shared" si="423"/>
        <v>0</v>
      </c>
      <c r="BU275" s="171">
        <f t="shared" si="423"/>
        <v>0</v>
      </c>
      <c r="BV275" s="171">
        <f t="shared" si="423"/>
        <v>0</v>
      </c>
      <c r="BW275" s="171">
        <f t="shared" si="423"/>
        <v>0</v>
      </c>
      <c r="BX275" s="171">
        <f t="shared" si="423"/>
        <v>0</v>
      </c>
      <c r="BY275" s="171">
        <f t="shared" si="424"/>
        <v>0</v>
      </c>
      <c r="BZ275" s="171">
        <f t="shared" si="424"/>
        <v>0</v>
      </c>
      <c r="CA275" s="171">
        <f t="shared" si="424"/>
        <v>0</v>
      </c>
      <c r="CB275" s="171">
        <f t="shared" si="424"/>
        <v>0</v>
      </c>
      <c r="CC275" s="171">
        <f t="shared" si="424"/>
        <v>0</v>
      </c>
      <c r="CD275" s="171">
        <f t="shared" si="424"/>
        <v>0</v>
      </c>
      <c r="CE275" s="171">
        <f t="shared" si="424"/>
        <v>0</v>
      </c>
      <c r="CF275" s="171">
        <f t="shared" si="424"/>
        <v>0</v>
      </c>
      <c r="CG275" s="171">
        <f t="shared" si="424"/>
        <v>0</v>
      </c>
      <c r="CH275" s="171">
        <f t="shared" si="424"/>
        <v>0</v>
      </c>
      <c r="CI275" s="171">
        <f t="shared" si="424"/>
        <v>0</v>
      </c>
      <c r="CJ275" s="243"/>
      <c r="CK275" s="171">
        <f t="shared" si="346"/>
        <v>0</v>
      </c>
      <c r="CL275" s="171">
        <f t="shared" si="347"/>
        <v>0</v>
      </c>
      <c r="CM275" s="171">
        <f t="shared" si="348"/>
        <v>0</v>
      </c>
      <c r="CN275" s="171">
        <f t="shared" si="349"/>
        <v>0</v>
      </c>
      <c r="CO275" s="171">
        <f t="shared" si="350"/>
        <v>0</v>
      </c>
      <c r="CP275" s="171">
        <f t="shared" si="351"/>
        <v>0</v>
      </c>
      <c r="CQ275" s="171">
        <f t="shared" si="352"/>
        <v>0</v>
      </c>
      <c r="CR275" s="171">
        <f t="shared" si="353"/>
        <v>0</v>
      </c>
      <c r="CS275" s="171">
        <f t="shared" si="354"/>
        <v>0</v>
      </c>
      <c r="CT275" s="171">
        <f t="shared" si="355"/>
        <v>0</v>
      </c>
      <c r="CU275" s="171">
        <f t="shared" si="356"/>
        <v>0</v>
      </c>
      <c r="CV275" s="171">
        <f t="shared" si="357"/>
        <v>0</v>
      </c>
      <c r="CW275" s="171">
        <f t="shared" si="358"/>
        <v>0</v>
      </c>
      <c r="CX275" s="171">
        <f t="shared" si="359"/>
        <v>0</v>
      </c>
      <c r="CY275" s="171">
        <f t="shared" ca="1" si="360"/>
        <v>0</v>
      </c>
      <c r="CZ275" s="171">
        <f t="shared" ca="1" si="361"/>
        <v>0</v>
      </c>
      <c r="DA275" s="171">
        <f t="shared" ca="1" si="362"/>
        <v>0</v>
      </c>
      <c r="DB275" s="171">
        <f t="shared" ca="1" si="363"/>
        <v>0</v>
      </c>
      <c r="DC275" s="171">
        <f t="shared" ca="1" si="364"/>
        <v>0</v>
      </c>
      <c r="DD275" s="171">
        <f t="shared" ca="1" si="365"/>
        <v>0</v>
      </c>
      <c r="DE275" s="171">
        <f t="shared" ca="1" si="366"/>
        <v>0</v>
      </c>
      <c r="DF275" s="171">
        <f t="shared" ca="1" si="367"/>
        <v>0</v>
      </c>
      <c r="DG275" s="171">
        <f t="shared" ca="1" si="368"/>
        <v>0</v>
      </c>
      <c r="DH275" s="171">
        <f t="shared" ca="1" si="369"/>
        <v>0</v>
      </c>
      <c r="DI275" s="171">
        <f t="shared" ca="1" si="370"/>
        <v>0</v>
      </c>
      <c r="DJ275" s="171">
        <f t="shared" ca="1" si="371"/>
        <v>0</v>
      </c>
      <c r="DK275" s="171">
        <f t="shared" ca="1" si="372"/>
        <v>0</v>
      </c>
      <c r="DL275" s="171">
        <f t="shared" ca="1" si="373"/>
        <v>0</v>
      </c>
      <c r="DM275" s="171">
        <f t="shared" ca="1" si="374"/>
        <v>0</v>
      </c>
      <c r="DN275" s="171">
        <f t="shared" ca="1" si="375"/>
        <v>0</v>
      </c>
      <c r="DO275" s="171">
        <f t="shared" ca="1" si="376"/>
        <v>0</v>
      </c>
      <c r="DP275" s="171">
        <f t="shared" ca="1" si="377"/>
        <v>0</v>
      </c>
      <c r="DQ275" s="171">
        <f t="shared" ca="1" si="378"/>
        <v>0</v>
      </c>
      <c r="DR275" s="171">
        <f t="shared" ca="1" si="379"/>
        <v>0</v>
      </c>
      <c r="DS275" s="171">
        <f t="shared" ca="1" si="380"/>
        <v>0</v>
      </c>
      <c r="DT275" s="171">
        <f t="shared" ca="1" si="381"/>
        <v>0</v>
      </c>
      <c r="DU275" s="171">
        <f t="shared" ca="1" si="382"/>
        <v>0</v>
      </c>
      <c r="DV275" s="171">
        <f t="shared" ca="1" si="383"/>
        <v>0</v>
      </c>
      <c r="DW275" s="171">
        <f t="shared" ca="1" si="384"/>
        <v>0</v>
      </c>
      <c r="DX275" s="171">
        <f t="shared" ca="1" si="385"/>
        <v>0</v>
      </c>
      <c r="DY275" s="171">
        <f t="shared" ca="1" si="386"/>
        <v>0</v>
      </c>
      <c r="DZ275" s="171">
        <f t="shared" ca="1" si="387"/>
        <v>0</v>
      </c>
      <c r="EA275" s="171">
        <f t="shared" ca="1" si="388"/>
        <v>0</v>
      </c>
      <c r="EB275" s="171">
        <f t="shared" ca="1" si="389"/>
        <v>0</v>
      </c>
      <c r="EC275" s="171">
        <f t="shared" ca="1" si="390"/>
        <v>0</v>
      </c>
      <c r="ED275" s="171">
        <f t="shared" ca="1" si="391"/>
        <v>0</v>
      </c>
      <c r="EE275" s="171">
        <f t="shared" ca="1" si="392"/>
        <v>0</v>
      </c>
      <c r="EF275" s="171">
        <f t="shared" ca="1" si="393"/>
        <v>0</v>
      </c>
      <c r="EG275" s="171">
        <f t="shared" ca="1" si="394"/>
        <v>0</v>
      </c>
      <c r="EH275" s="171">
        <f t="shared" ca="1" si="395"/>
        <v>0</v>
      </c>
      <c r="EI275" s="171">
        <f t="shared" ca="1" si="396"/>
        <v>0</v>
      </c>
      <c r="EJ275" s="171">
        <f t="shared" ca="1" si="397"/>
        <v>0</v>
      </c>
      <c r="EK275" s="171">
        <f t="shared" ca="1" si="398"/>
        <v>0</v>
      </c>
      <c r="EL275" s="171">
        <f t="shared" ca="1" si="399"/>
        <v>0</v>
      </c>
      <c r="EM275" s="171">
        <f t="shared" ca="1" si="400"/>
        <v>0</v>
      </c>
      <c r="EN275" s="171">
        <f t="shared" ca="1" si="401"/>
        <v>0</v>
      </c>
      <c r="EO275" s="171">
        <f t="shared" ca="1" si="402"/>
        <v>0</v>
      </c>
      <c r="EP275" s="171">
        <f t="shared" ca="1" si="403"/>
        <v>0</v>
      </c>
      <c r="EQ275" s="171">
        <f t="shared" ca="1" si="404"/>
        <v>0</v>
      </c>
      <c r="ER275" s="171">
        <f t="shared" ca="1" si="405"/>
        <v>0</v>
      </c>
      <c r="ES275" s="171">
        <f t="shared" ca="1" si="406"/>
        <v>0</v>
      </c>
    </row>
    <row r="276" spans="3:149">
      <c r="C276" s="214"/>
      <c r="L276" s="163"/>
      <c r="M276" s="164" t="str">
        <f t="shared" si="337"/>
        <v/>
      </c>
      <c r="N276" s="164" t="str">
        <f t="shared" si="338"/>
        <v/>
      </c>
      <c r="O276" s="165" t="str">
        <f t="shared" si="339"/>
        <v/>
      </c>
      <c r="R276" s="168"/>
      <c r="U276" s="171">
        <f t="shared" si="340"/>
        <v>0</v>
      </c>
      <c r="V276" s="171">
        <f t="shared" ca="1" si="341"/>
        <v>0</v>
      </c>
      <c r="W276" s="171">
        <f t="shared" ca="1" si="342"/>
        <v>0</v>
      </c>
      <c r="X276" s="172">
        <f t="shared" si="343"/>
        <v>0</v>
      </c>
      <c r="Y276" s="172" t="str">
        <f t="shared" si="344"/>
        <v/>
      </c>
      <c r="Z276" s="173">
        <f t="shared" si="345"/>
        <v>0</v>
      </c>
      <c r="AA276" s="171">
        <f t="shared" si="419"/>
        <v>0</v>
      </c>
      <c r="AB276" s="171">
        <f t="shared" si="419"/>
        <v>0</v>
      </c>
      <c r="AC276" s="171">
        <f t="shared" si="419"/>
        <v>0</v>
      </c>
      <c r="AD276" s="171">
        <f t="shared" si="419"/>
        <v>0</v>
      </c>
      <c r="AE276" s="171">
        <f t="shared" si="419"/>
        <v>0</v>
      </c>
      <c r="AF276" s="171">
        <f t="shared" si="419"/>
        <v>0</v>
      </c>
      <c r="AG276" s="171">
        <f t="shared" si="419"/>
        <v>0</v>
      </c>
      <c r="AH276" s="171">
        <f t="shared" si="419"/>
        <v>0</v>
      </c>
      <c r="AI276" s="171">
        <f t="shared" si="419"/>
        <v>0</v>
      </c>
      <c r="AJ276" s="171">
        <f t="shared" si="419"/>
        <v>0</v>
      </c>
      <c r="AK276" s="171">
        <f t="shared" si="420"/>
        <v>0</v>
      </c>
      <c r="AL276" s="171">
        <f t="shared" si="420"/>
        <v>0</v>
      </c>
      <c r="AM276" s="171">
        <f t="shared" si="420"/>
        <v>0</v>
      </c>
      <c r="AN276" s="171">
        <f t="shared" si="420"/>
        <v>0</v>
      </c>
      <c r="AO276" s="171">
        <f t="shared" si="420"/>
        <v>0</v>
      </c>
      <c r="AP276" s="171">
        <f t="shared" si="420"/>
        <v>0</v>
      </c>
      <c r="AQ276" s="171">
        <f t="shared" si="420"/>
        <v>0</v>
      </c>
      <c r="AR276" s="171">
        <f t="shared" si="420"/>
        <v>0</v>
      </c>
      <c r="AS276" s="171">
        <f t="shared" si="420"/>
        <v>0</v>
      </c>
      <c r="AT276" s="171">
        <f t="shared" si="420"/>
        <v>0</v>
      </c>
      <c r="AU276" s="171">
        <f t="shared" si="421"/>
        <v>0</v>
      </c>
      <c r="AV276" s="171">
        <f t="shared" si="421"/>
        <v>0</v>
      </c>
      <c r="AW276" s="171">
        <f t="shared" si="421"/>
        <v>0</v>
      </c>
      <c r="AX276" s="171">
        <f t="shared" si="421"/>
        <v>0</v>
      </c>
      <c r="AY276" s="171">
        <f t="shared" si="421"/>
        <v>0</v>
      </c>
      <c r="AZ276" s="171">
        <f t="shared" si="421"/>
        <v>0</v>
      </c>
      <c r="BA276" s="171">
        <f t="shared" si="421"/>
        <v>0</v>
      </c>
      <c r="BB276" s="171">
        <f t="shared" si="421"/>
        <v>0</v>
      </c>
      <c r="BC276" s="171">
        <f t="shared" si="421"/>
        <v>0</v>
      </c>
      <c r="BD276" s="171">
        <f t="shared" si="421"/>
        <v>0</v>
      </c>
      <c r="BE276" s="171">
        <f t="shared" si="422"/>
        <v>0</v>
      </c>
      <c r="BF276" s="171">
        <f t="shared" si="422"/>
        <v>0</v>
      </c>
      <c r="BG276" s="171">
        <f t="shared" si="422"/>
        <v>0</v>
      </c>
      <c r="BH276" s="171">
        <f t="shared" si="422"/>
        <v>0</v>
      </c>
      <c r="BI276" s="171">
        <f t="shared" si="422"/>
        <v>0</v>
      </c>
      <c r="BJ276" s="171">
        <f t="shared" si="422"/>
        <v>0</v>
      </c>
      <c r="BK276" s="171">
        <f t="shared" si="422"/>
        <v>0</v>
      </c>
      <c r="BL276" s="171">
        <f t="shared" si="422"/>
        <v>0</v>
      </c>
      <c r="BM276" s="171">
        <f t="shared" si="422"/>
        <v>0</v>
      </c>
      <c r="BN276" s="171">
        <f t="shared" si="422"/>
        <v>0</v>
      </c>
      <c r="BO276" s="171">
        <f t="shared" si="423"/>
        <v>0</v>
      </c>
      <c r="BP276" s="171">
        <f t="shared" si="423"/>
        <v>0</v>
      </c>
      <c r="BQ276" s="171">
        <f t="shared" si="423"/>
        <v>0</v>
      </c>
      <c r="BR276" s="171">
        <f t="shared" si="423"/>
        <v>0</v>
      </c>
      <c r="BS276" s="171">
        <f t="shared" si="423"/>
        <v>0</v>
      </c>
      <c r="BT276" s="171">
        <f t="shared" si="423"/>
        <v>0</v>
      </c>
      <c r="BU276" s="171">
        <f t="shared" si="423"/>
        <v>0</v>
      </c>
      <c r="BV276" s="171">
        <f t="shared" si="423"/>
        <v>0</v>
      </c>
      <c r="BW276" s="171">
        <f t="shared" si="423"/>
        <v>0</v>
      </c>
      <c r="BX276" s="171">
        <f t="shared" si="423"/>
        <v>0</v>
      </c>
      <c r="BY276" s="171">
        <f t="shared" si="424"/>
        <v>0</v>
      </c>
      <c r="BZ276" s="171">
        <f t="shared" si="424"/>
        <v>0</v>
      </c>
      <c r="CA276" s="171">
        <f t="shared" si="424"/>
        <v>0</v>
      </c>
      <c r="CB276" s="171">
        <f t="shared" si="424"/>
        <v>0</v>
      </c>
      <c r="CC276" s="171">
        <f t="shared" si="424"/>
        <v>0</v>
      </c>
      <c r="CD276" s="171">
        <f t="shared" si="424"/>
        <v>0</v>
      </c>
      <c r="CE276" s="171">
        <f t="shared" si="424"/>
        <v>0</v>
      </c>
      <c r="CF276" s="171">
        <f t="shared" si="424"/>
        <v>0</v>
      </c>
      <c r="CG276" s="171">
        <f t="shared" si="424"/>
        <v>0</v>
      </c>
      <c r="CH276" s="171">
        <f t="shared" si="424"/>
        <v>0</v>
      </c>
      <c r="CI276" s="171">
        <f t="shared" si="424"/>
        <v>0</v>
      </c>
      <c r="CJ276" s="243"/>
      <c r="CK276" s="171">
        <f t="shared" si="346"/>
        <v>0</v>
      </c>
      <c r="CL276" s="171">
        <f t="shared" si="347"/>
        <v>0</v>
      </c>
      <c r="CM276" s="171">
        <f t="shared" si="348"/>
        <v>0</v>
      </c>
      <c r="CN276" s="171">
        <f t="shared" si="349"/>
        <v>0</v>
      </c>
      <c r="CO276" s="171">
        <f t="shared" si="350"/>
        <v>0</v>
      </c>
      <c r="CP276" s="171">
        <f t="shared" si="351"/>
        <v>0</v>
      </c>
      <c r="CQ276" s="171">
        <f t="shared" si="352"/>
        <v>0</v>
      </c>
      <c r="CR276" s="171">
        <f t="shared" si="353"/>
        <v>0</v>
      </c>
      <c r="CS276" s="171">
        <f t="shared" si="354"/>
        <v>0</v>
      </c>
      <c r="CT276" s="171">
        <f t="shared" si="355"/>
        <v>0</v>
      </c>
      <c r="CU276" s="171">
        <f t="shared" si="356"/>
        <v>0</v>
      </c>
      <c r="CV276" s="171">
        <f t="shared" si="357"/>
        <v>0</v>
      </c>
      <c r="CW276" s="171">
        <f t="shared" si="358"/>
        <v>0</v>
      </c>
      <c r="CX276" s="171">
        <f t="shared" si="359"/>
        <v>0</v>
      </c>
      <c r="CY276" s="171">
        <f t="shared" ca="1" si="360"/>
        <v>0</v>
      </c>
      <c r="CZ276" s="171">
        <f t="shared" ca="1" si="361"/>
        <v>0</v>
      </c>
      <c r="DA276" s="171">
        <f t="shared" ca="1" si="362"/>
        <v>0</v>
      </c>
      <c r="DB276" s="171">
        <f t="shared" ca="1" si="363"/>
        <v>0</v>
      </c>
      <c r="DC276" s="171">
        <f t="shared" ca="1" si="364"/>
        <v>0</v>
      </c>
      <c r="DD276" s="171">
        <f t="shared" ca="1" si="365"/>
        <v>0</v>
      </c>
      <c r="DE276" s="171">
        <f t="shared" ca="1" si="366"/>
        <v>0</v>
      </c>
      <c r="DF276" s="171">
        <f t="shared" ca="1" si="367"/>
        <v>0</v>
      </c>
      <c r="DG276" s="171">
        <f t="shared" ca="1" si="368"/>
        <v>0</v>
      </c>
      <c r="DH276" s="171">
        <f t="shared" ca="1" si="369"/>
        <v>0</v>
      </c>
      <c r="DI276" s="171">
        <f t="shared" ca="1" si="370"/>
        <v>0</v>
      </c>
      <c r="DJ276" s="171">
        <f t="shared" ca="1" si="371"/>
        <v>0</v>
      </c>
      <c r="DK276" s="171">
        <f t="shared" ca="1" si="372"/>
        <v>0</v>
      </c>
      <c r="DL276" s="171">
        <f t="shared" ca="1" si="373"/>
        <v>0</v>
      </c>
      <c r="DM276" s="171">
        <f t="shared" ca="1" si="374"/>
        <v>0</v>
      </c>
      <c r="DN276" s="171">
        <f t="shared" ca="1" si="375"/>
        <v>0</v>
      </c>
      <c r="DO276" s="171">
        <f t="shared" ca="1" si="376"/>
        <v>0</v>
      </c>
      <c r="DP276" s="171">
        <f t="shared" ca="1" si="377"/>
        <v>0</v>
      </c>
      <c r="DQ276" s="171">
        <f t="shared" ca="1" si="378"/>
        <v>0</v>
      </c>
      <c r="DR276" s="171">
        <f t="shared" ca="1" si="379"/>
        <v>0</v>
      </c>
      <c r="DS276" s="171">
        <f t="shared" ca="1" si="380"/>
        <v>0</v>
      </c>
      <c r="DT276" s="171">
        <f t="shared" ca="1" si="381"/>
        <v>0</v>
      </c>
      <c r="DU276" s="171">
        <f t="shared" ca="1" si="382"/>
        <v>0</v>
      </c>
      <c r="DV276" s="171">
        <f t="shared" ca="1" si="383"/>
        <v>0</v>
      </c>
      <c r="DW276" s="171">
        <f t="shared" ca="1" si="384"/>
        <v>0</v>
      </c>
      <c r="DX276" s="171">
        <f t="shared" ca="1" si="385"/>
        <v>0</v>
      </c>
      <c r="DY276" s="171">
        <f t="shared" ca="1" si="386"/>
        <v>0</v>
      </c>
      <c r="DZ276" s="171">
        <f t="shared" ca="1" si="387"/>
        <v>0</v>
      </c>
      <c r="EA276" s="171">
        <f t="shared" ca="1" si="388"/>
        <v>0</v>
      </c>
      <c r="EB276" s="171">
        <f t="shared" ca="1" si="389"/>
        <v>0</v>
      </c>
      <c r="EC276" s="171">
        <f t="shared" ca="1" si="390"/>
        <v>0</v>
      </c>
      <c r="ED276" s="171">
        <f t="shared" ca="1" si="391"/>
        <v>0</v>
      </c>
      <c r="EE276" s="171">
        <f t="shared" ca="1" si="392"/>
        <v>0</v>
      </c>
      <c r="EF276" s="171">
        <f t="shared" ca="1" si="393"/>
        <v>0</v>
      </c>
      <c r="EG276" s="171">
        <f t="shared" ca="1" si="394"/>
        <v>0</v>
      </c>
      <c r="EH276" s="171">
        <f t="shared" ca="1" si="395"/>
        <v>0</v>
      </c>
      <c r="EI276" s="171">
        <f t="shared" ca="1" si="396"/>
        <v>0</v>
      </c>
      <c r="EJ276" s="171">
        <f t="shared" ca="1" si="397"/>
        <v>0</v>
      </c>
      <c r="EK276" s="171">
        <f t="shared" ca="1" si="398"/>
        <v>0</v>
      </c>
      <c r="EL276" s="171">
        <f t="shared" ca="1" si="399"/>
        <v>0</v>
      </c>
      <c r="EM276" s="171">
        <f t="shared" ca="1" si="400"/>
        <v>0</v>
      </c>
      <c r="EN276" s="171">
        <f t="shared" ca="1" si="401"/>
        <v>0</v>
      </c>
      <c r="EO276" s="171">
        <f t="shared" ca="1" si="402"/>
        <v>0</v>
      </c>
      <c r="EP276" s="171">
        <f t="shared" ca="1" si="403"/>
        <v>0</v>
      </c>
      <c r="EQ276" s="171">
        <f t="shared" ca="1" si="404"/>
        <v>0</v>
      </c>
      <c r="ER276" s="171">
        <f t="shared" ca="1" si="405"/>
        <v>0</v>
      </c>
      <c r="ES276" s="171">
        <f t="shared" ca="1" si="406"/>
        <v>0</v>
      </c>
    </row>
    <row r="277" spans="3:149">
      <c r="C277" s="214"/>
      <c r="L277" s="163"/>
      <c r="M277" s="164" t="str">
        <f t="shared" si="337"/>
        <v/>
      </c>
      <c r="N277" s="164" t="str">
        <f t="shared" si="338"/>
        <v/>
      </c>
      <c r="O277" s="165" t="str">
        <f t="shared" si="339"/>
        <v/>
      </c>
      <c r="R277" s="168"/>
      <c r="U277" s="171">
        <f t="shared" si="340"/>
        <v>0</v>
      </c>
      <c r="V277" s="171">
        <f t="shared" ca="1" si="341"/>
        <v>0</v>
      </c>
      <c r="W277" s="171">
        <f t="shared" ca="1" si="342"/>
        <v>0</v>
      </c>
      <c r="X277" s="172">
        <f t="shared" si="343"/>
        <v>0</v>
      </c>
      <c r="Y277" s="172" t="str">
        <f t="shared" si="344"/>
        <v/>
      </c>
      <c r="Z277" s="173">
        <f t="shared" si="345"/>
        <v>0</v>
      </c>
      <c r="AA277" s="171">
        <f t="shared" si="419"/>
        <v>0</v>
      </c>
      <c r="AB277" s="171">
        <f t="shared" si="419"/>
        <v>0</v>
      </c>
      <c r="AC277" s="171">
        <f t="shared" si="419"/>
        <v>0</v>
      </c>
      <c r="AD277" s="171">
        <f t="shared" si="419"/>
        <v>0</v>
      </c>
      <c r="AE277" s="171">
        <f t="shared" si="419"/>
        <v>0</v>
      </c>
      <c r="AF277" s="171">
        <f t="shared" si="419"/>
        <v>0</v>
      </c>
      <c r="AG277" s="171">
        <f t="shared" si="419"/>
        <v>0</v>
      </c>
      <c r="AH277" s="171">
        <f t="shared" si="419"/>
        <v>0</v>
      </c>
      <c r="AI277" s="171">
        <f t="shared" si="419"/>
        <v>0</v>
      </c>
      <c r="AJ277" s="171">
        <f t="shared" si="419"/>
        <v>0</v>
      </c>
      <c r="AK277" s="171">
        <f t="shared" si="420"/>
        <v>0</v>
      </c>
      <c r="AL277" s="171">
        <f t="shared" si="420"/>
        <v>0</v>
      </c>
      <c r="AM277" s="171">
        <f t="shared" si="420"/>
        <v>0</v>
      </c>
      <c r="AN277" s="171">
        <f t="shared" si="420"/>
        <v>0</v>
      </c>
      <c r="AO277" s="171">
        <f t="shared" si="420"/>
        <v>0</v>
      </c>
      <c r="AP277" s="171">
        <f t="shared" si="420"/>
        <v>0</v>
      </c>
      <c r="AQ277" s="171">
        <f t="shared" si="420"/>
        <v>0</v>
      </c>
      <c r="AR277" s="171">
        <f t="shared" si="420"/>
        <v>0</v>
      </c>
      <c r="AS277" s="171">
        <f t="shared" si="420"/>
        <v>0</v>
      </c>
      <c r="AT277" s="171">
        <f t="shared" si="420"/>
        <v>0</v>
      </c>
      <c r="AU277" s="171">
        <f t="shared" si="421"/>
        <v>0</v>
      </c>
      <c r="AV277" s="171">
        <f t="shared" si="421"/>
        <v>0</v>
      </c>
      <c r="AW277" s="171">
        <f t="shared" si="421"/>
        <v>0</v>
      </c>
      <c r="AX277" s="171">
        <f t="shared" si="421"/>
        <v>0</v>
      </c>
      <c r="AY277" s="171">
        <f t="shared" si="421"/>
        <v>0</v>
      </c>
      <c r="AZ277" s="171">
        <f t="shared" si="421"/>
        <v>0</v>
      </c>
      <c r="BA277" s="171">
        <f t="shared" si="421"/>
        <v>0</v>
      </c>
      <c r="BB277" s="171">
        <f t="shared" si="421"/>
        <v>0</v>
      </c>
      <c r="BC277" s="171">
        <f t="shared" si="421"/>
        <v>0</v>
      </c>
      <c r="BD277" s="171">
        <f t="shared" si="421"/>
        <v>0</v>
      </c>
      <c r="BE277" s="171">
        <f t="shared" si="422"/>
        <v>0</v>
      </c>
      <c r="BF277" s="171">
        <f t="shared" si="422"/>
        <v>0</v>
      </c>
      <c r="BG277" s="171">
        <f t="shared" si="422"/>
        <v>0</v>
      </c>
      <c r="BH277" s="171">
        <f t="shared" si="422"/>
        <v>0</v>
      </c>
      <c r="BI277" s="171">
        <f t="shared" si="422"/>
        <v>0</v>
      </c>
      <c r="BJ277" s="171">
        <f t="shared" si="422"/>
        <v>0</v>
      </c>
      <c r="BK277" s="171">
        <f t="shared" si="422"/>
        <v>0</v>
      </c>
      <c r="BL277" s="171">
        <f t="shared" si="422"/>
        <v>0</v>
      </c>
      <c r="BM277" s="171">
        <f t="shared" si="422"/>
        <v>0</v>
      </c>
      <c r="BN277" s="171">
        <f t="shared" si="422"/>
        <v>0</v>
      </c>
      <c r="BO277" s="171">
        <f t="shared" si="423"/>
        <v>0</v>
      </c>
      <c r="BP277" s="171">
        <f t="shared" si="423"/>
        <v>0</v>
      </c>
      <c r="BQ277" s="171">
        <f t="shared" si="423"/>
        <v>0</v>
      </c>
      <c r="BR277" s="171">
        <f t="shared" si="423"/>
        <v>0</v>
      </c>
      <c r="BS277" s="171">
        <f t="shared" si="423"/>
        <v>0</v>
      </c>
      <c r="BT277" s="171">
        <f t="shared" si="423"/>
        <v>0</v>
      </c>
      <c r="BU277" s="171">
        <f t="shared" si="423"/>
        <v>0</v>
      </c>
      <c r="BV277" s="171">
        <f t="shared" si="423"/>
        <v>0</v>
      </c>
      <c r="BW277" s="171">
        <f t="shared" si="423"/>
        <v>0</v>
      </c>
      <c r="BX277" s="171">
        <f t="shared" si="423"/>
        <v>0</v>
      </c>
      <c r="BY277" s="171">
        <f t="shared" si="424"/>
        <v>0</v>
      </c>
      <c r="BZ277" s="171">
        <f t="shared" si="424"/>
        <v>0</v>
      </c>
      <c r="CA277" s="171">
        <f t="shared" si="424"/>
        <v>0</v>
      </c>
      <c r="CB277" s="171">
        <f t="shared" si="424"/>
        <v>0</v>
      </c>
      <c r="CC277" s="171">
        <f t="shared" si="424"/>
        <v>0</v>
      </c>
      <c r="CD277" s="171">
        <f t="shared" si="424"/>
        <v>0</v>
      </c>
      <c r="CE277" s="171">
        <f t="shared" si="424"/>
        <v>0</v>
      </c>
      <c r="CF277" s="171">
        <f t="shared" si="424"/>
        <v>0</v>
      </c>
      <c r="CG277" s="171">
        <f t="shared" si="424"/>
        <v>0</v>
      </c>
      <c r="CH277" s="171">
        <f t="shared" si="424"/>
        <v>0</v>
      </c>
      <c r="CI277" s="171">
        <f t="shared" si="424"/>
        <v>0</v>
      </c>
      <c r="CJ277" s="243"/>
      <c r="CK277" s="171">
        <f t="shared" si="346"/>
        <v>0</v>
      </c>
      <c r="CL277" s="171">
        <f t="shared" si="347"/>
        <v>0</v>
      </c>
      <c r="CM277" s="171">
        <f t="shared" si="348"/>
        <v>0</v>
      </c>
      <c r="CN277" s="171">
        <f t="shared" si="349"/>
        <v>0</v>
      </c>
      <c r="CO277" s="171">
        <f t="shared" si="350"/>
        <v>0</v>
      </c>
      <c r="CP277" s="171">
        <f t="shared" si="351"/>
        <v>0</v>
      </c>
      <c r="CQ277" s="171">
        <f t="shared" si="352"/>
        <v>0</v>
      </c>
      <c r="CR277" s="171">
        <f t="shared" si="353"/>
        <v>0</v>
      </c>
      <c r="CS277" s="171">
        <f t="shared" si="354"/>
        <v>0</v>
      </c>
      <c r="CT277" s="171">
        <f t="shared" si="355"/>
        <v>0</v>
      </c>
      <c r="CU277" s="171">
        <f t="shared" si="356"/>
        <v>0</v>
      </c>
      <c r="CV277" s="171">
        <f t="shared" si="357"/>
        <v>0</v>
      </c>
      <c r="CW277" s="171">
        <f t="shared" si="358"/>
        <v>0</v>
      </c>
      <c r="CX277" s="171">
        <f t="shared" si="359"/>
        <v>0</v>
      </c>
      <c r="CY277" s="171">
        <f t="shared" ca="1" si="360"/>
        <v>0</v>
      </c>
      <c r="CZ277" s="171">
        <f t="shared" ca="1" si="361"/>
        <v>0</v>
      </c>
      <c r="DA277" s="171">
        <f t="shared" ca="1" si="362"/>
        <v>0</v>
      </c>
      <c r="DB277" s="171">
        <f t="shared" ca="1" si="363"/>
        <v>0</v>
      </c>
      <c r="DC277" s="171">
        <f t="shared" ca="1" si="364"/>
        <v>0</v>
      </c>
      <c r="DD277" s="171">
        <f t="shared" ca="1" si="365"/>
        <v>0</v>
      </c>
      <c r="DE277" s="171">
        <f t="shared" ca="1" si="366"/>
        <v>0</v>
      </c>
      <c r="DF277" s="171">
        <f t="shared" ca="1" si="367"/>
        <v>0</v>
      </c>
      <c r="DG277" s="171">
        <f t="shared" ca="1" si="368"/>
        <v>0</v>
      </c>
      <c r="DH277" s="171">
        <f t="shared" ca="1" si="369"/>
        <v>0</v>
      </c>
      <c r="DI277" s="171">
        <f t="shared" ca="1" si="370"/>
        <v>0</v>
      </c>
      <c r="DJ277" s="171">
        <f t="shared" ca="1" si="371"/>
        <v>0</v>
      </c>
      <c r="DK277" s="171">
        <f t="shared" ca="1" si="372"/>
        <v>0</v>
      </c>
      <c r="DL277" s="171">
        <f t="shared" ca="1" si="373"/>
        <v>0</v>
      </c>
      <c r="DM277" s="171">
        <f t="shared" ca="1" si="374"/>
        <v>0</v>
      </c>
      <c r="DN277" s="171">
        <f t="shared" ca="1" si="375"/>
        <v>0</v>
      </c>
      <c r="DO277" s="171">
        <f t="shared" ca="1" si="376"/>
        <v>0</v>
      </c>
      <c r="DP277" s="171">
        <f t="shared" ca="1" si="377"/>
        <v>0</v>
      </c>
      <c r="DQ277" s="171">
        <f t="shared" ca="1" si="378"/>
        <v>0</v>
      </c>
      <c r="DR277" s="171">
        <f t="shared" ca="1" si="379"/>
        <v>0</v>
      </c>
      <c r="DS277" s="171">
        <f t="shared" ca="1" si="380"/>
        <v>0</v>
      </c>
      <c r="DT277" s="171">
        <f t="shared" ca="1" si="381"/>
        <v>0</v>
      </c>
      <c r="DU277" s="171">
        <f t="shared" ca="1" si="382"/>
        <v>0</v>
      </c>
      <c r="DV277" s="171">
        <f t="shared" ca="1" si="383"/>
        <v>0</v>
      </c>
      <c r="DW277" s="171">
        <f t="shared" ca="1" si="384"/>
        <v>0</v>
      </c>
      <c r="DX277" s="171">
        <f t="shared" ca="1" si="385"/>
        <v>0</v>
      </c>
      <c r="DY277" s="171">
        <f t="shared" ca="1" si="386"/>
        <v>0</v>
      </c>
      <c r="DZ277" s="171">
        <f t="shared" ca="1" si="387"/>
        <v>0</v>
      </c>
      <c r="EA277" s="171">
        <f t="shared" ca="1" si="388"/>
        <v>0</v>
      </c>
      <c r="EB277" s="171">
        <f t="shared" ca="1" si="389"/>
        <v>0</v>
      </c>
      <c r="EC277" s="171">
        <f t="shared" ca="1" si="390"/>
        <v>0</v>
      </c>
      <c r="ED277" s="171">
        <f t="shared" ca="1" si="391"/>
        <v>0</v>
      </c>
      <c r="EE277" s="171">
        <f t="shared" ca="1" si="392"/>
        <v>0</v>
      </c>
      <c r="EF277" s="171">
        <f t="shared" ca="1" si="393"/>
        <v>0</v>
      </c>
      <c r="EG277" s="171">
        <f t="shared" ca="1" si="394"/>
        <v>0</v>
      </c>
      <c r="EH277" s="171">
        <f t="shared" ca="1" si="395"/>
        <v>0</v>
      </c>
      <c r="EI277" s="171">
        <f t="shared" ca="1" si="396"/>
        <v>0</v>
      </c>
      <c r="EJ277" s="171">
        <f t="shared" ca="1" si="397"/>
        <v>0</v>
      </c>
      <c r="EK277" s="171">
        <f t="shared" ca="1" si="398"/>
        <v>0</v>
      </c>
      <c r="EL277" s="171">
        <f t="shared" ca="1" si="399"/>
        <v>0</v>
      </c>
      <c r="EM277" s="171">
        <f t="shared" ca="1" si="400"/>
        <v>0</v>
      </c>
      <c r="EN277" s="171">
        <f t="shared" ca="1" si="401"/>
        <v>0</v>
      </c>
      <c r="EO277" s="171">
        <f t="shared" ca="1" si="402"/>
        <v>0</v>
      </c>
      <c r="EP277" s="171">
        <f t="shared" ca="1" si="403"/>
        <v>0</v>
      </c>
      <c r="EQ277" s="171">
        <f t="shared" ca="1" si="404"/>
        <v>0</v>
      </c>
      <c r="ER277" s="171">
        <f t="shared" ca="1" si="405"/>
        <v>0</v>
      </c>
      <c r="ES277" s="171">
        <f t="shared" ca="1" si="406"/>
        <v>0</v>
      </c>
    </row>
    <row r="278" spans="3:149">
      <c r="C278" s="214"/>
      <c r="L278" s="163"/>
      <c r="M278" s="164" t="str">
        <f t="shared" si="337"/>
        <v/>
      </c>
      <c r="N278" s="164" t="str">
        <f t="shared" si="338"/>
        <v/>
      </c>
      <c r="O278" s="165" t="str">
        <f t="shared" si="339"/>
        <v/>
      </c>
      <c r="R278" s="168"/>
      <c r="U278" s="171">
        <f t="shared" si="340"/>
        <v>0</v>
      </c>
      <c r="V278" s="171">
        <f t="shared" ca="1" si="341"/>
        <v>0</v>
      </c>
      <c r="W278" s="171">
        <f t="shared" ca="1" si="342"/>
        <v>0</v>
      </c>
      <c r="X278" s="172">
        <f t="shared" si="343"/>
        <v>0</v>
      </c>
      <c r="Y278" s="172" t="str">
        <f t="shared" si="344"/>
        <v/>
      </c>
      <c r="Z278" s="173">
        <f t="shared" si="345"/>
        <v>0</v>
      </c>
      <c r="AA278" s="171">
        <f t="shared" si="419"/>
        <v>0</v>
      </c>
      <c r="AB278" s="171">
        <f t="shared" si="419"/>
        <v>0</v>
      </c>
      <c r="AC278" s="171">
        <f t="shared" si="419"/>
        <v>0</v>
      </c>
      <c r="AD278" s="171">
        <f t="shared" si="419"/>
        <v>0</v>
      </c>
      <c r="AE278" s="171">
        <f t="shared" si="419"/>
        <v>0</v>
      </c>
      <c r="AF278" s="171">
        <f t="shared" si="419"/>
        <v>0</v>
      </c>
      <c r="AG278" s="171">
        <f t="shared" si="419"/>
        <v>0</v>
      </c>
      <c r="AH278" s="171">
        <f t="shared" si="419"/>
        <v>0</v>
      </c>
      <c r="AI278" s="171">
        <f t="shared" si="419"/>
        <v>0</v>
      </c>
      <c r="AJ278" s="171">
        <f t="shared" si="419"/>
        <v>0</v>
      </c>
      <c r="AK278" s="171">
        <f t="shared" si="420"/>
        <v>0</v>
      </c>
      <c r="AL278" s="171">
        <f t="shared" si="420"/>
        <v>0</v>
      </c>
      <c r="AM278" s="171">
        <f t="shared" si="420"/>
        <v>0</v>
      </c>
      <c r="AN278" s="171">
        <f t="shared" si="420"/>
        <v>0</v>
      </c>
      <c r="AO278" s="171">
        <f t="shared" si="420"/>
        <v>0</v>
      </c>
      <c r="AP278" s="171">
        <f t="shared" si="420"/>
        <v>0</v>
      </c>
      <c r="AQ278" s="171">
        <f t="shared" si="420"/>
        <v>0</v>
      </c>
      <c r="AR278" s="171">
        <f t="shared" si="420"/>
        <v>0</v>
      </c>
      <c r="AS278" s="171">
        <f t="shared" si="420"/>
        <v>0</v>
      </c>
      <c r="AT278" s="171">
        <f t="shared" si="420"/>
        <v>0</v>
      </c>
      <c r="AU278" s="171">
        <f t="shared" si="421"/>
        <v>0</v>
      </c>
      <c r="AV278" s="171">
        <f t="shared" si="421"/>
        <v>0</v>
      </c>
      <c r="AW278" s="171">
        <f t="shared" si="421"/>
        <v>0</v>
      </c>
      <c r="AX278" s="171">
        <f t="shared" si="421"/>
        <v>0</v>
      </c>
      <c r="AY278" s="171">
        <f t="shared" si="421"/>
        <v>0</v>
      </c>
      <c r="AZ278" s="171">
        <f t="shared" si="421"/>
        <v>0</v>
      </c>
      <c r="BA278" s="171">
        <f t="shared" si="421"/>
        <v>0</v>
      </c>
      <c r="BB278" s="171">
        <f t="shared" si="421"/>
        <v>0</v>
      </c>
      <c r="BC278" s="171">
        <f t="shared" si="421"/>
        <v>0</v>
      </c>
      <c r="BD278" s="171">
        <f t="shared" si="421"/>
        <v>0</v>
      </c>
      <c r="BE278" s="171">
        <f t="shared" si="422"/>
        <v>0</v>
      </c>
      <c r="BF278" s="171">
        <f t="shared" si="422"/>
        <v>0</v>
      </c>
      <c r="BG278" s="171">
        <f t="shared" si="422"/>
        <v>0</v>
      </c>
      <c r="BH278" s="171">
        <f t="shared" si="422"/>
        <v>0</v>
      </c>
      <c r="BI278" s="171">
        <f t="shared" si="422"/>
        <v>0</v>
      </c>
      <c r="BJ278" s="171">
        <f t="shared" si="422"/>
        <v>0</v>
      </c>
      <c r="BK278" s="171">
        <f t="shared" si="422"/>
        <v>0</v>
      </c>
      <c r="BL278" s="171">
        <f t="shared" si="422"/>
        <v>0</v>
      </c>
      <c r="BM278" s="171">
        <f t="shared" si="422"/>
        <v>0</v>
      </c>
      <c r="BN278" s="171">
        <f t="shared" si="422"/>
        <v>0</v>
      </c>
      <c r="BO278" s="171">
        <f t="shared" si="423"/>
        <v>0</v>
      </c>
      <c r="BP278" s="171">
        <f t="shared" si="423"/>
        <v>0</v>
      </c>
      <c r="BQ278" s="171">
        <f t="shared" si="423"/>
        <v>0</v>
      </c>
      <c r="BR278" s="171">
        <f t="shared" si="423"/>
        <v>0</v>
      </c>
      <c r="BS278" s="171">
        <f t="shared" si="423"/>
        <v>0</v>
      </c>
      <c r="BT278" s="171">
        <f t="shared" si="423"/>
        <v>0</v>
      </c>
      <c r="BU278" s="171">
        <f t="shared" si="423"/>
        <v>0</v>
      </c>
      <c r="BV278" s="171">
        <f t="shared" si="423"/>
        <v>0</v>
      </c>
      <c r="BW278" s="171">
        <f t="shared" si="423"/>
        <v>0</v>
      </c>
      <c r="BX278" s="171">
        <f t="shared" si="423"/>
        <v>0</v>
      </c>
      <c r="BY278" s="171">
        <f t="shared" si="424"/>
        <v>0</v>
      </c>
      <c r="BZ278" s="171">
        <f t="shared" si="424"/>
        <v>0</v>
      </c>
      <c r="CA278" s="171">
        <f t="shared" si="424"/>
        <v>0</v>
      </c>
      <c r="CB278" s="171">
        <f t="shared" si="424"/>
        <v>0</v>
      </c>
      <c r="CC278" s="171">
        <f t="shared" si="424"/>
        <v>0</v>
      </c>
      <c r="CD278" s="171">
        <f t="shared" si="424"/>
        <v>0</v>
      </c>
      <c r="CE278" s="171">
        <f t="shared" si="424"/>
        <v>0</v>
      </c>
      <c r="CF278" s="171">
        <f t="shared" si="424"/>
        <v>0</v>
      </c>
      <c r="CG278" s="171">
        <f t="shared" si="424"/>
        <v>0</v>
      </c>
      <c r="CH278" s="171">
        <f t="shared" si="424"/>
        <v>0</v>
      </c>
      <c r="CI278" s="171">
        <f t="shared" si="424"/>
        <v>0</v>
      </c>
      <c r="CJ278" s="243"/>
      <c r="CK278" s="171">
        <f t="shared" si="346"/>
        <v>0</v>
      </c>
      <c r="CL278" s="171">
        <f t="shared" si="347"/>
        <v>0</v>
      </c>
      <c r="CM278" s="171">
        <f t="shared" si="348"/>
        <v>0</v>
      </c>
      <c r="CN278" s="171">
        <f t="shared" si="349"/>
        <v>0</v>
      </c>
      <c r="CO278" s="171">
        <f t="shared" si="350"/>
        <v>0</v>
      </c>
      <c r="CP278" s="171">
        <f t="shared" si="351"/>
        <v>0</v>
      </c>
      <c r="CQ278" s="171">
        <f t="shared" si="352"/>
        <v>0</v>
      </c>
      <c r="CR278" s="171">
        <f t="shared" si="353"/>
        <v>0</v>
      </c>
      <c r="CS278" s="171">
        <f t="shared" si="354"/>
        <v>0</v>
      </c>
      <c r="CT278" s="171">
        <f t="shared" si="355"/>
        <v>0</v>
      </c>
      <c r="CU278" s="171">
        <f t="shared" si="356"/>
        <v>0</v>
      </c>
      <c r="CV278" s="171">
        <f t="shared" si="357"/>
        <v>0</v>
      </c>
      <c r="CW278" s="171">
        <f t="shared" si="358"/>
        <v>0</v>
      </c>
      <c r="CX278" s="171">
        <f t="shared" si="359"/>
        <v>0</v>
      </c>
      <c r="CY278" s="171">
        <f t="shared" ca="1" si="360"/>
        <v>0</v>
      </c>
      <c r="CZ278" s="171">
        <f t="shared" ca="1" si="361"/>
        <v>0</v>
      </c>
      <c r="DA278" s="171">
        <f t="shared" ca="1" si="362"/>
        <v>0</v>
      </c>
      <c r="DB278" s="171">
        <f t="shared" ca="1" si="363"/>
        <v>0</v>
      </c>
      <c r="DC278" s="171">
        <f t="shared" ca="1" si="364"/>
        <v>0</v>
      </c>
      <c r="DD278" s="171">
        <f t="shared" ca="1" si="365"/>
        <v>0</v>
      </c>
      <c r="DE278" s="171">
        <f t="shared" ca="1" si="366"/>
        <v>0</v>
      </c>
      <c r="DF278" s="171">
        <f t="shared" ca="1" si="367"/>
        <v>0</v>
      </c>
      <c r="DG278" s="171">
        <f t="shared" ca="1" si="368"/>
        <v>0</v>
      </c>
      <c r="DH278" s="171">
        <f t="shared" ca="1" si="369"/>
        <v>0</v>
      </c>
      <c r="DI278" s="171">
        <f t="shared" ca="1" si="370"/>
        <v>0</v>
      </c>
      <c r="DJ278" s="171">
        <f t="shared" ca="1" si="371"/>
        <v>0</v>
      </c>
      <c r="DK278" s="171">
        <f t="shared" ca="1" si="372"/>
        <v>0</v>
      </c>
      <c r="DL278" s="171">
        <f t="shared" ca="1" si="373"/>
        <v>0</v>
      </c>
      <c r="DM278" s="171">
        <f t="shared" ca="1" si="374"/>
        <v>0</v>
      </c>
      <c r="DN278" s="171">
        <f t="shared" ca="1" si="375"/>
        <v>0</v>
      </c>
      <c r="DO278" s="171">
        <f t="shared" ca="1" si="376"/>
        <v>0</v>
      </c>
      <c r="DP278" s="171">
        <f t="shared" ca="1" si="377"/>
        <v>0</v>
      </c>
      <c r="DQ278" s="171">
        <f t="shared" ca="1" si="378"/>
        <v>0</v>
      </c>
      <c r="DR278" s="171">
        <f t="shared" ca="1" si="379"/>
        <v>0</v>
      </c>
      <c r="DS278" s="171">
        <f t="shared" ca="1" si="380"/>
        <v>0</v>
      </c>
      <c r="DT278" s="171">
        <f t="shared" ca="1" si="381"/>
        <v>0</v>
      </c>
      <c r="DU278" s="171">
        <f t="shared" ca="1" si="382"/>
        <v>0</v>
      </c>
      <c r="DV278" s="171">
        <f t="shared" ca="1" si="383"/>
        <v>0</v>
      </c>
      <c r="DW278" s="171">
        <f t="shared" ca="1" si="384"/>
        <v>0</v>
      </c>
      <c r="DX278" s="171">
        <f t="shared" ca="1" si="385"/>
        <v>0</v>
      </c>
      <c r="DY278" s="171">
        <f t="shared" ca="1" si="386"/>
        <v>0</v>
      </c>
      <c r="DZ278" s="171">
        <f t="shared" ca="1" si="387"/>
        <v>0</v>
      </c>
      <c r="EA278" s="171">
        <f t="shared" ca="1" si="388"/>
        <v>0</v>
      </c>
      <c r="EB278" s="171">
        <f t="shared" ca="1" si="389"/>
        <v>0</v>
      </c>
      <c r="EC278" s="171">
        <f t="shared" ca="1" si="390"/>
        <v>0</v>
      </c>
      <c r="ED278" s="171">
        <f t="shared" ca="1" si="391"/>
        <v>0</v>
      </c>
      <c r="EE278" s="171">
        <f t="shared" ca="1" si="392"/>
        <v>0</v>
      </c>
      <c r="EF278" s="171">
        <f t="shared" ca="1" si="393"/>
        <v>0</v>
      </c>
      <c r="EG278" s="171">
        <f t="shared" ca="1" si="394"/>
        <v>0</v>
      </c>
      <c r="EH278" s="171">
        <f t="shared" ca="1" si="395"/>
        <v>0</v>
      </c>
      <c r="EI278" s="171">
        <f t="shared" ca="1" si="396"/>
        <v>0</v>
      </c>
      <c r="EJ278" s="171">
        <f t="shared" ca="1" si="397"/>
        <v>0</v>
      </c>
      <c r="EK278" s="171">
        <f t="shared" ca="1" si="398"/>
        <v>0</v>
      </c>
      <c r="EL278" s="171">
        <f t="shared" ca="1" si="399"/>
        <v>0</v>
      </c>
      <c r="EM278" s="171">
        <f t="shared" ca="1" si="400"/>
        <v>0</v>
      </c>
      <c r="EN278" s="171">
        <f t="shared" ca="1" si="401"/>
        <v>0</v>
      </c>
      <c r="EO278" s="171">
        <f t="shared" ca="1" si="402"/>
        <v>0</v>
      </c>
      <c r="EP278" s="171">
        <f t="shared" ca="1" si="403"/>
        <v>0</v>
      </c>
      <c r="EQ278" s="171">
        <f t="shared" ca="1" si="404"/>
        <v>0</v>
      </c>
      <c r="ER278" s="171">
        <f t="shared" ca="1" si="405"/>
        <v>0</v>
      </c>
      <c r="ES278" s="171">
        <f t="shared" ca="1" si="406"/>
        <v>0</v>
      </c>
    </row>
    <row r="279" spans="3:149">
      <c r="C279" s="214"/>
      <c r="L279" s="163"/>
      <c r="M279" s="164" t="str">
        <f t="shared" si="337"/>
        <v/>
      </c>
      <c r="N279" s="164" t="str">
        <f t="shared" si="338"/>
        <v/>
      </c>
      <c r="O279" s="165" t="str">
        <f t="shared" si="339"/>
        <v/>
      </c>
      <c r="R279" s="168" t="str">
        <f>IFERROR(IF($Q279="","",IF(($Q279-($B$9-$E279))&lt;=0,0,(Q279-($B$9-$E279)))),"NA")</f>
        <v/>
      </c>
      <c r="U279" s="171">
        <f t="shared" si="340"/>
        <v>0</v>
      </c>
      <c r="V279" s="171">
        <f t="shared" ca="1" si="341"/>
        <v>0</v>
      </c>
      <c r="W279" s="171">
        <f t="shared" ca="1" si="342"/>
        <v>0</v>
      </c>
      <c r="X279" s="172">
        <f t="shared" si="343"/>
        <v>0</v>
      </c>
      <c r="Y279" s="172" t="str">
        <f t="shared" si="344"/>
        <v/>
      </c>
      <c r="Z279" s="173">
        <f t="shared" si="345"/>
        <v>0</v>
      </c>
      <c r="AA279" s="171">
        <f t="shared" ref="AA279:AJ288" si="425">IFERROR(
    IF($T279="Equity",
        IF(AND(AA$48&gt;=$E279, AA$48&lt;=($E279+$Q279)),
$K279*$P279*(VLOOKUP($C$39,$C$37:$BL$44,MATCH($E279,$C$37:$BL$37,0),FALSE)/VLOOKUP($L279,$C$37:$BL$44,MATCH($E279,$C$37:$BL$37,0),FALSE))*
IF($B$5="Foreign Currency",VLOOKUP($C$38,$C$37:$BL$44,MATCH(AA$48,$C$37:$BL$37,0),FALSE)/VLOOKUP($C$39,$C$37:$BL$44,MATCH(AA$48,$C$37:$BL$37,0),FALSE),1),
0),
    IF($T279="Lump Sum Principal",
        IF(AND(AA$48&gt;=$E279, AA$48&lt;($E279+$Q279)),
$K279*$P279*(VLOOKUP($C$39,$C$37:$BL$44,MATCH($E279,$C$37:$BL$37,0),FALSE)/VLOOKUP($L279,$C$37:$BL$44,MATCH($E279,$C$37:$BL$37,0),FALSE))*
IF($B$5="Foreign Currency",VLOOKUP($C$38,$C$37:$BL$44,MATCH(AA$48,$C$37:$BL$37,0),FALSE)/VLOOKUP($C$39,$C$37:$BL$44,MATCH(AA$48,$C$37:$BL$37,0),FALSE),1),
        IF(AA$48=($E279+$Q279),
$K279*(1+$P279)*(VLOOKUP($C$39,$C$37:$BL$44,MATCH($E279,$C$37:$BL$37,0),FALSE)/VLOOKUP($L279,$C$37:$BL$44,MATCH($E279,$C$37:$BL$37,0),FALSE))*
IF($B$5="Foreign Currency",VLOOKUP($C$38,$C$37:$BL$44,MATCH(AA$48,$C$37:$BL$37,0),FALSE)/VLOOKUP($C$39,$C$37:$BL$44,MATCH(AA$48,$C$37:$BL$37,0),FALSE),1),
0)),
    IF($T279="Lump Sum Principal and Interest",
        IF(AA$48=($E279+$Q279),
$K279*((1+$P279)^$Q279)*(VLOOKUP($C$39,$C$37:$BL$44,MATCH($E279,$C$37:$BL$37,0),FALSE)/VLOOKUP($L279,$C$37:$BL$44,MATCH($E279,$C$37:$BL$37,0),FALSE))*
IF($B$5="Foreign Currency",VLOOKUP($C$38,$C$37:$BL$44,MATCH(AA$48,$C$37:$BL$37,0),FALSE)/VLOOKUP($C$39,$C$37:$BL$44,MATCH(AA$48,$C$37:$BL$37,0),FALSE),1),
0),
    IF($T279="EPP with Grace Years for Principal",
        IF(AND(AA$48&gt;=$E279, AA$48&lt;($E279+$S279)),
$K279*$P279*(VLOOKUP($C$39,$C$37:$BL$44,MATCH($E279,$C$37:$BL$37,0),FALSE)/VLOOKUP($L279,$C$37:$BL$44,MATCH($E279,$C$37:$BL$37,0),FALSE))*
IF($B$5="Foreign Currency",VLOOKUP($C$38,$C$37:$BL$44,MATCH(AA$48,$C$37:$BL$37,0),FALSE)/VLOOKUP($C$39,$C$37:$BL$44,MATCH(AA$48,$C$37:$BL$37,0),FALSE),1),
        IF(AND(AA$48&gt;=($E279+$S279), AA$48&lt;=($E279+$Q279)),
-PMT($P279,($Q279-$S279+1),($K279*(VLOOKUP($C$39,$C$37:$BL$44,MATCH($E279,$C$37:$BL$37,0),FALSE)/VLOOKUP($L279,$C$37:$BL$44,MATCH($E279,$C$37:$BL$37,0),FALSE))*
IF($B$5="Foreign Currency",VLOOKUP($C$38,$C$37:$BL$44,MATCH(AA$48,$C$37:$BL$37,0),FALSE)/VLOOKUP($C$39,$C$37:$BL$44,MATCH(AA$48,$C$37:$BL$37,0),FALSE),1)),0),
0)),
    IF($T279="Equal Principal Payments (EPP)",
        IF(AND(AA$48&gt;=$E279, AA$48&lt;=($E279+$Q279)),
-PMT($P279,($Q279-$S279+1),($K279*(VLOOKUP($C$39,$C$37:$BL$44,MATCH($E279,$C$37:$BL$37,0),FALSE)/VLOOKUP($L279,$C$37:$BL$44,MATCH($E279,$C$37:$BL$37,0),FALSE))*
IF($B$5="Foreign Currency",VLOOKUP($C$38,$C$37:$BL$44,MATCH(AA$48,$C$37:$BL$37,0),FALSE)/VLOOKUP($C$39,$C$37:$BL$44,MATCH(AA$48,$C$37:$BL$37,0),FALSE),1)),0), 0),
    IF($T279="EPP with Grace Years for Principal and on Interest",
        IF(AND(AA$48&gt;=($E279+$S279), AA$48&lt;=($E279+$Q279)),
-PMT($P279,($Q279-$S279+1),($K279*(VLOOKUP($C$39,$C$37:$BL$44,MATCH($E279,$C$37:$BL$37,0),FALSE)/VLOOKUP($L279,$C$37:$BL$44,MATCH($E279,$C$37:$BL$37,0),FALSE))*
IF($B$5="Foreign Currency",VLOOKUP($C$38,$C$37:$BL$44,MATCH(AA$48,$C$37:$BL$37,0),FALSE)/VLOOKUP($C$39,$C$37:$BL$44,MATCH(AA$48,$C$37:$BL$37,0),FALSE),1))*((1+$P279)^$S279),0), 0),
    0)))))),"")</f>
        <v>0</v>
      </c>
      <c r="AB279" s="171">
        <f t="shared" si="425"/>
        <v>0</v>
      </c>
      <c r="AC279" s="171">
        <f t="shared" si="425"/>
        <v>0</v>
      </c>
      <c r="AD279" s="171">
        <f t="shared" si="425"/>
        <v>0</v>
      </c>
      <c r="AE279" s="171">
        <f t="shared" si="425"/>
        <v>0</v>
      </c>
      <c r="AF279" s="171">
        <f t="shared" si="425"/>
        <v>0</v>
      </c>
      <c r="AG279" s="171">
        <f t="shared" si="425"/>
        <v>0</v>
      </c>
      <c r="AH279" s="171">
        <f t="shared" si="425"/>
        <v>0</v>
      </c>
      <c r="AI279" s="171">
        <f t="shared" si="425"/>
        <v>0</v>
      </c>
      <c r="AJ279" s="171">
        <f t="shared" si="425"/>
        <v>0</v>
      </c>
      <c r="AK279" s="171">
        <f t="shared" ref="AK279:AT288" si="426">IFERROR(
    IF($T279="Equity",
        IF(AND(AK$48&gt;=$E279, AK$48&lt;=($E279+$Q279)),
$K279*$P279*(VLOOKUP($C$39,$C$37:$BL$44,MATCH($E279,$C$37:$BL$37,0),FALSE)/VLOOKUP($L279,$C$37:$BL$44,MATCH($E279,$C$37:$BL$37,0),FALSE))*
IF($B$5="Foreign Currency",VLOOKUP($C$38,$C$37:$BL$44,MATCH(AK$48,$C$37:$BL$37,0),FALSE)/VLOOKUP($C$39,$C$37:$BL$44,MATCH(AK$48,$C$37:$BL$37,0),FALSE),1),
0),
    IF($T279="Lump Sum Principal",
        IF(AND(AK$48&gt;=$E279, AK$48&lt;($E279+$Q279)),
$K279*$P279*(VLOOKUP($C$39,$C$37:$BL$44,MATCH($E279,$C$37:$BL$37,0),FALSE)/VLOOKUP($L279,$C$37:$BL$44,MATCH($E279,$C$37:$BL$37,0),FALSE))*
IF($B$5="Foreign Currency",VLOOKUP($C$38,$C$37:$BL$44,MATCH(AK$48,$C$37:$BL$37,0),FALSE)/VLOOKUP($C$39,$C$37:$BL$44,MATCH(AK$48,$C$37:$BL$37,0),FALSE),1),
        IF(AK$48=($E279+$Q279),
$K279*(1+$P279)*(VLOOKUP($C$39,$C$37:$BL$44,MATCH($E279,$C$37:$BL$37,0),FALSE)/VLOOKUP($L279,$C$37:$BL$44,MATCH($E279,$C$37:$BL$37,0),FALSE))*
IF($B$5="Foreign Currency",VLOOKUP($C$38,$C$37:$BL$44,MATCH(AK$48,$C$37:$BL$37,0),FALSE)/VLOOKUP($C$39,$C$37:$BL$44,MATCH(AK$48,$C$37:$BL$37,0),FALSE),1),
0)),
    IF($T279="Lump Sum Principal and Interest",
        IF(AK$48=($E279+$Q279),
$K279*((1+$P279)^$Q279)*(VLOOKUP($C$39,$C$37:$BL$44,MATCH($E279,$C$37:$BL$37,0),FALSE)/VLOOKUP($L279,$C$37:$BL$44,MATCH($E279,$C$37:$BL$37,0),FALSE))*
IF($B$5="Foreign Currency",VLOOKUP($C$38,$C$37:$BL$44,MATCH(AK$48,$C$37:$BL$37,0),FALSE)/VLOOKUP($C$39,$C$37:$BL$44,MATCH(AK$48,$C$37:$BL$37,0),FALSE),1),
0),
    IF($T279="EPP with Grace Years for Principal",
        IF(AND(AK$48&gt;=$E279, AK$48&lt;($E279+$S279)),
$K279*$P279*(VLOOKUP($C$39,$C$37:$BL$44,MATCH($E279,$C$37:$BL$37,0),FALSE)/VLOOKUP($L279,$C$37:$BL$44,MATCH($E279,$C$37:$BL$37,0),FALSE))*
IF($B$5="Foreign Currency",VLOOKUP($C$38,$C$37:$BL$44,MATCH(AK$48,$C$37:$BL$37,0),FALSE)/VLOOKUP($C$39,$C$37:$BL$44,MATCH(AK$48,$C$37:$BL$37,0),FALSE),1),
        IF(AND(AK$48&gt;=($E279+$S279), AK$48&lt;=($E279+$Q279)),
-PMT($P279,($Q279-$S279+1),($K279*(VLOOKUP($C$39,$C$37:$BL$44,MATCH($E279,$C$37:$BL$37,0),FALSE)/VLOOKUP($L279,$C$37:$BL$44,MATCH($E279,$C$37:$BL$37,0),FALSE))*
IF($B$5="Foreign Currency",VLOOKUP($C$38,$C$37:$BL$44,MATCH(AK$48,$C$37:$BL$37,0),FALSE)/VLOOKUP($C$39,$C$37:$BL$44,MATCH(AK$48,$C$37:$BL$37,0),FALSE),1)),0),
0)),
    IF($T279="Equal Principal Payments (EPP)",
        IF(AND(AK$48&gt;=$E279, AK$48&lt;=($E279+$Q279)),
-PMT($P279,($Q279-$S279+1),($K279*(VLOOKUP($C$39,$C$37:$BL$44,MATCH($E279,$C$37:$BL$37,0),FALSE)/VLOOKUP($L279,$C$37:$BL$44,MATCH($E279,$C$37:$BL$37,0),FALSE))*
IF($B$5="Foreign Currency",VLOOKUP($C$38,$C$37:$BL$44,MATCH(AK$48,$C$37:$BL$37,0),FALSE)/VLOOKUP($C$39,$C$37:$BL$44,MATCH(AK$48,$C$37:$BL$37,0),FALSE),1)),0), 0),
    IF($T279="EPP with Grace Years for Principal and on Interest",
        IF(AND(AK$48&gt;=($E279+$S279), AK$48&lt;=($E279+$Q279)),
-PMT($P279,($Q279-$S279+1),($K279*(VLOOKUP($C$39,$C$37:$BL$44,MATCH($E279,$C$37:$BL$37,0),FALSE)/VLOOKUP($L279,$C$37:$BL$44,MATCH($E279,$C$37:$BL$37,0),FALSE))*
IF($B$5="Foreign Currency",VLOOKUP($C$38,$C$37:$BL$44,MATCH(AK$48,$C$37:$BL$37,0),FALSE)/VLOOKUP($C$39,$C$37:$BL$44,MATCH(AK$48,$C$37:$BL$37,0),FALSE),1))*((1+$P279)^$S279),0), 0),
    0)))))),"")</f>
        <v>0</v>
      </c>
      <c r="AL279" s="171">
        <f t="shared" si="426"/>
        <v>0</v>
      </c>
      <c r="AM279" s="171">
        <f t="shared" si="426"/>
        <v>0</v>
      </c>
      <c r="AN279" s="171">
        <f t="shared" si="426"/>
        <v>0</v>
      </c>
      <c r="AO279" s="171">
        <f t="shared" si="426"/>
        <v>0</v>
      </c>
      <c r="AP279" s="171">
        <f t="shared" si="426"/>
        <v>0</v>
      </c>
      <c r="AQ279" s="171">
        <f t="shared" si="426"/>
        <v>0</v>
      </c>
      <c r="AR279" s="171">
        <f t="shared" si="426"/>
        <v>0</v>
      </c>
      <c r="AS279" s="171">
        <f t="shared" si="426"/>
        <v>0</v>
      </c>
      <c r="AT279" s="171">
        <f t="shared" si="426"/>
        <v>0</v>
      </c>
      <c r="AU279" s="171">
        <f t="shared" ref="AU279:BD288" si="427">IFERROR(
    IF($T279="Equity",
        IF(AND(AU$48&gt;=$E279, AU$48&lt;=($E279+$Q279)),
$K279*$P279*(VLOOKUP($C$39,$C$37:$BL$44,MATCH($E279,$C$37:$BL$37,0),FALSE)/VLOOKUP($L279,$C$37:$BL$44,MATCH($E279,$C$37:$BL$37,0),FALSE))*
IF($B$5="Foreign Currency",VLOOKUP($C$38,$C$37:$BL$44,MATCH(AU$48,$C$37:$BL$37,0),FALSE)/VLOOKUP($C$39,$C$37:$BL$44,MATCH(AU$48,$C$37:$BL$37,0),FALSE),1),
0),
    IF($T279="Lump Sum Principal",
        IF(AND(AU$48&gt;=$E279, AU$48&lt;($E279+$Q279)),
$K279*$P279*(VLOOKUP($C$39,$C$37:$BL$44,MATCH($E279,$C$37:$BL$37,0),FALSE)/VLOOKUP($L279,$C$37:$BL$44,MATCH($E279,$C$37:$BL$37,0),FALSE))*
IF($B$5="Foreign Currency",VLOOKUP($C$38,$C$37:$BL$44,MATCH(AU$48,$C$37:$BL$37,0),FALSE)/VLOOKUP($C$39,$C$37:$BL$44,MATCH(AU$48,$C$37:$BL$37,0),FALSE),1),
        IF(AU$48=($E279+$Q279),
$K279*(1+$P279)*(VLOOKUP($C$39,$C$37:$BL$44,MATCH($E279,$C$37:$BL$37,0),FALSE)/VLOOKUP($L279,$C$37:$BL$44,MATCH($E279,$C$37:$BL$37,0),FALSE))*
IF($B$5="Foreign Currency",VLOOKUP($C$38,$C$37:$BL$44,MATCH(AU$48,$C$37:$BL$37,0),FALSE)/VLOOKUP($C$39,$C$37:$BL$44,MATCH(AU$48,$C$37:$BL$37,0),FALSE),1),
0)),
    IF($T279="Lump Sum Principal and Interest",
        IF(AU$48=($E279+$Q279),
$K279*((1+$P279)^$Q279)*(VLOOKUP($C$39,$C$37:$BL$44,MATCH($E279,$C$37:$BL$37,0),FALSE)/VLOOKUP($L279,$C$37:$BL$44,MATCH($E279,$C$37:$BL$37,0),FALSE))*
IF($B$5="Foreign Currency",VLOOKUP($C$38,$C$37:$BL$44,MATCH(AU$48,$C$37:$BL$37,0),FALSE)/VLOOKUP($C$39,$C$37:$BL$44,MATCH(AU$48,$C$37:$BL$37,0),FALSE),1),
0),
    IF($T279="EPP with Grace Years for Principal",
        IF(AND(AU$48&gt;=$E279, AU$48&lt;($E279+$S279)),
$K279*$P279*(VLOOKUP($C$39,$C$37:$BL$44,MATCH($E279,$C$37:$BL$37,0),FALSE)/VLOOKUP($L279,$C$37:$BL$44,MATCH($E279,$C$37:$BL$37,0),FALSE))*
IF($B$5="Foreign Currency",VLOOKUP($C$38,$C$37:$BL$44,MATCH(AU$48,$C$37:$BL$37,0),FALSE)/VLOOKUP($C$39,$C$37:$BL$44,MATCH(AU$48,$C$37:$BL$37,0),FALSE),1),
        IF(AND(AU$48&gt;=($E279+$S279), AU$48&lt;=($E279+$Q279)),
-PMT($P279,($Q279-$S279+1),($K279*(VLOOKUP($C$39,$C$37:$BL$44,MATCH($E279,$C$37:$BL$37,0),FALSE)/VLOOKUP($L279,$C$37:$BL$44,MATCH($E279,$C$37:$BL$37,0),FALSE))*
IF($B$5="Foreign Currency",VLOOKUP($C$38,$C$37:$BL$44,MATCH(AU$48,$C$37:$BL$37,0),FALSE)/VLOOKUP($C$39,$C$37:$BL$44,MATCH(AU$48,$C$37:$BL$37,0),FALSE),1)),0),
0)),
    IF($T279="Equal Principal Payments (EPP)",
        IF(AND(AU$48&gt;=$E279, AU$48&lt;=($E279+$Q279)),
-PMT($P279,($Q279-$S279+1),($K279*(VLOOKUP($C$39,$C$37:$BL$44,MATCH($E279,$C$37:$BL$37,0),FALSE)/VLOOKUP($L279,$C$37:$BL$44,MATCH($E279,$C$37:$BL$37,0),FALSE))*
IF($B$5="Foreign Currency",VLOOKUP($C$38,$C$37:$BL$44,MATCH(AU$48,$C$37:$BL$37,0),FALSE)/VLOOKUP($C$39,$C$37:$BL$44,MATCH(AU$48,$C$37:$BL$37,0),FALSE),1)),0), 0),
    IF($T279="EPP with Grace Years for Principal and on Interest",
        IF(AND(AU$48&gt;=($E279+$S279), AU$48&lt;=($E279+$Q279)),
-PMT($P279,($Q279-$S279+1),($K279*(VLOOKUP($C$39,$C$37:$BL$44,MATCH($E279,$C$37:$BL$37,0),FALSE)/VLOOKUP($L279,$C$37:$BL$44,MATCH($E279,$C$37:$BL$37,0),FALSE))*
IF($B$5="Foreign Currency",VLOOKUP($C$38,$C$37:$BL$44,MATCH(AU$48,$C$37:$BL$37,0),FALSE)/VLOOKUP($C$39,$C$37:$BL$44,MATCH(AU$48,$C$37:$BL$37,0),FALSE),1))*((1+$P279)^$S279),0), 0),
    0)))))),"")</f>
        <v>0</v>
      </c>
      <c r="AV279" s="171">
        <f t="shared" si="427"/>
        <v>0</v>
      </c>
      <c r="AW279" s="171">
        <f t="shared" si="427"/>
        <v>0</v>
      </c>
      <c r="AX279" s="171">
        <f t="shared" si="427"/>
        <v>0</v>
      </c>
      <c r="AY279" s="171">
        <f t="shared" si="427"/>
        <v>0</v>
      </c>
      <c r="AZ279" s="171">
        <f t="shared" si="427"/>
        <v>0</v>
      </c>
      <c r="BA279" s="171">
        <f t="shared" si="427"/>
        <v>0</v>
      </c>
      <c r="BB279" s="171">
        <f t="shared" si="427"/>
        <v>0</v>
      </c>
      <c r="BC279" s="171">
        <f t="shared" si="427"/>
        <v>0</v>
      </c>
      <c r="BD279" s="171">
        <f t="shared" si="427"/>
        <v>0</v>
      </c>
      <c r="BE279" s="171">
        <f t="shared" ref="BE279:BN288" si="428">IFERROR(
    IF($T279="Equity",
        IF(AND(BE$48&gt;=$E279, BE$48&lt;=($E279+$Q279)),
$K279*$P279*(VLOOKUP($C$39,$C$37:$BL$44,MATCH($E279,$C$37:$BL$37,0),FALSE)/VLOOKUP($L279,$C$37:$BL$44,MATCH($E279,$C$37:$BL$37,0),FALSE))*
IF($B$5="Foreign Currency",VLOOKUP($C$38,$C$37:$BL$44,MATCH(BE$48,$C$37:$BL$37,0),FALSE)/VLOOKUP($C$39,$C$37:$BL$44,MATCH(BE$48,$C$37:$BL$37,0),FALSE),1),
0),
    IF($T279="Lump Sum Principal",
        IF(AND(BE$48&gt;=$E279, BE$48&lt;($E279+$Q279)),
$K279*$P279*(VLOOKUP($C$39,$C$37:$BL$44,MATCH($E279,$C$37:$BL$37,0),FALSE)/VLOOKUP($L279,$C$37:$BL$44,MATCH($E279,$C$37:$BL$37,0),FALSE))*
IF($B$5="Foreign Currency",VLOOKUP($C$38,$C$37:$BL$44,MATCH(BE$48,$C$37:$BL$37,0),FALSE)/VLOOKUP($C$39,$C$37:$BL$44,MATCH(BE$48,$C$37:$BL$37,0),FALSE),1),
        IF(BE$48=($E279+$Q279),
$K279*(1+$P279)*(VLOOKUP($C$39,$C$37:$BL$44,MATCH($E279,$C$37:$BL$37,0),FALSE)/VLOOKUP($L279,$C$37:$BL$44,MATCH($E279,$C$37:$BL$37,0),FALSE))*
IF($B$5="Foreign Currency",VLOOKUP($C$38,$C$37:$BL$44,MATCH(BE$48,$C$37:$BL$37,0),FALSE)/VLOOKUP($C$39,$C$37:$BL$44,MATCH(BE$48,$C$37:$BL$37,0),FALSE),1),
0)),
    IF($T279="Lump Sum Principal and Interest",
        IF(BE$48=($E279+$Q279),
$K279*((1+$P279)^$Q279)*(VLOOKUP($C$39,$C$37:$BL$44,MATCH($E279,$C$37:$BL$37,0),FALSE)/VLOOKUP($L279,$C$37:$BL$44,MATCH($E279,$C$37:$BL$37,0),FALSE))*
IF($B$5="Foreign Currency",VLOOKUP($C$38,$C$37:$BL$44,MATCH(BE$48,$C$37:$BL$37,0),FALSE)/VLOOKUP($C$39,$C$37:$BL$44,MATCH(BE$48,$C$37:$BL$37,0),FALSE),1),
0),
    IF($T279="EPP with Grace Years for Principal",
        IF(AND(BE$48&gt;=$E279, BE$48&lt;($E279+$S279)),
$K279*$P279*(VLOOKUP($C$39,$C$37:$BL$44,MATCH($E279,$C$37:$BL$37,0),FALSE)/VLOOKUP($L279,$C$37:$BL$44,MATCH($E279,$C$37:$BL$37,0),FALSE))*
IF($B$5="Foreign Currency",VLOOKUP($C$38,$C$37:$BL$44,MATCH(BE$48,$C$37:$BL$37,0),FALSE)/VLOOKUP($C$39,$C$37:$BL$44,MATCH(BE$48,$C$37:$BL$37,0),FALSE),1),
        IF(AND(BE$48&gt;=($E279+$S279), BE$48&lt;=($E279+$Q279)),
-PMT($P279,($Q279-$S279+1),($K279*(VLOOKUP($C$39,$C$37:$BL$44,MATCH($E279,$C$37:$BL$37,0),FALSE)/VLOOKUP($L279,$C$37:$BL$44,MATCH($E279,$C$37:$BL$37,0),FALSE))*
IF($B$5="Foreign Currency",VLOOKUP($C$38,$C$37:$BL$44,MATCH(BE$48,$C$37:$BL$37,0),FALSE)/VLOOKUP($C$39,$C$37:$BL$44,MATCH(BE$48,$C$37:$BL$37,0),FALSE),1)),0),
0)),
    IF($T279="Equal Principal Payments (EPP)",
        IF(AND(BE$48&gt;=$E279, BE$48&lt;=($E279+$Q279)),
-PMT($P279,($Q279-$S279+1),($K279*(VLOOKUP($C$39,$C$37:$BL$44,MATCH($E279,$C$37:$BL$37,0),FALSE)/VLOOKUP($L279,$C$37:$BL$44,MATCH($E279,$C$37:$BL$37,0),FALSE))*
IF($B$5="Foreign Currency",VLOOKUP($C$38,$C$37:$BL$44,MATCH(BE$48,$C$37:$BL$37,0),FALSE)/VLOOKUP($C$39,$C$37:$BL$44,MATCH(BE$48,$C$37:$BL$37,0),FALSE),1)),0), 0),
    IF($T279="EPP with Grace Years for Principal and on Interest",
        IF(AND(BE$48&gt;=($E279+$S279), BE$48&lt;=($E279+$Q279)),
-PMT($P279,($Q279-$S279+1),($K279*(VLOOKUP($C$39,$C$37:$BL$44,MATCH($E279,$C$37:$BL$37,0),FALSE)/VLOOKUP($L279,$C$37:$BL$44,MATCH($E279,$C$37:$BL$37,0),FALSE))*
IF($B$5="Foreign Currency",VLOOKUP($C$38,$C$37:$BL$44,MATCH(BE$48,$C$37:$BL$37,0),FALSE)/VLOOKUP($C$39,$C$37:$BL$44,MATCH(BE$48,$C$37:$BL$37,0),FALSE),1))*((1+$P279)^$S279),0), 0),
    0)))))),"")</f>
        <v>0</v>
      </c>
      <c r="BF279" s="171">
        <f t="shared" si="428"/>
        <v>0</v>
      </c>
      <c r="BG279" s="171">
        <f t="shared" si="428"/>
        <v>0</v>
      </c>
      <c r="BH279" s="171">
        <f t="shared" si="428"/>
        <v>0</v>
      </c>
      <c r="BI279" s="171">
        <f t="shared" si="428"/>
        <v>0</v>
      </c>
      <c r="BJ279" s="171">
        <f t="shared" si="428"/>
        <v>0</v>
      </c>
      <c r="BK279" s="171">
        <f t="shared" si="428"/>
        <v>0</v>
      </c>
      <c r="BL279" s="171">
        <f t="shared" si="428"/>
        <v>0</v>
      </c>
      <c r="BM279" s="171">
        <f t="shared" si="428"/>
        <v>0</v>
      </c>
      <c r="BN279" s="171">
        <f t="shared" si="428"/>
        <v>0</v>
      </c>
      <c r="BO279" s="171">
        <f t="shared" ref="BO279:BX288" si="429">IFERROR(
    IF($T279="Equity",
        IF(AND(BO$48&gt;=$E279, BO$48&lt;=($E279+$Q279)),
$K279*$P279*(VLOOKUP($C$39,$C$37:$BL$44,MATCH($E279,$C$37:$BL$37,0),FALSE)/VLOOKUP($L279,$C$37:$BL$44,MATCH($E279,$C$37:$BL$37,0),FALSE))*
IF($B$5="Foreign Currency",VLOOKUP($C$38,$C$37:$BL$44,MATCH(BO$48,$C$37:$BL$37,0),FALSE)/VLOOKUP($C$39,$C$37:$BL$44,MATCH(BO$48,$C$37:$BL$37,0),FALSE),1),
0),
    IF($T279="Lump Sum Principal",
        IF(AND(BO$48&gt;=$E279, BO$48&lt;($E279+$Q279)),
$K279*$P279*(VLOOKUP($C$39,$C$37:$BL$44,MATCH($E279,$C$37:$BL$37,0),FALSE)/VLOOKUP($L279,$C$37:$BL$44,MATCH($E279,$C$37:$BL$37,0),FALSE))*
IF($B$5="Foreign Currency",VLOOKUP($C$38,$C$37:$BL$44,MATCH(BO$48,$C$37:$BL$37,0),FALSE)/VLOOKUP($C$39,$C$37:$BL$44,MATCH(BO$48,$C$37:$BL$37,0),FALSE),1),
        IF(BO$48=($E279+$Q279),
$K279*(1+$P279)*(VLOOKUP($C$39,$C$37:$BL$44,MATCH($E279,$C$37:$BL$37,0),FALSE)/VLOOKUP($L279,$C$37:$BL$44,MATCH($E279,$C$37:$BL$37,0),FALSE))*
IF($B$5="Foreign Currency",VLOOKUP($C$38,$C$37:$BL$44,MATCH(BO$48,$C$37:$BL$37,0),FALSE)/VLOOKUP($C$39,$C$37:$BL$44,MATCH(BO$48,$C$37:$BL$37,0),FALSE),1),
0)),
    IF($T279="Lump Sum Principal and Interest",
        IF(BO$48=($E279+$Q279),
$K279*((1+$P279)^$Q279)*(VLOOKUP($C$39,$C$37:$BL$44,MATCH($E279,$C$37:$BL$37,0),FALSE)/VLOOKUP($L279,$C$37:$BL$44,MATCH($E279,$C$37:$BL$37,0),FALSE))*
IF($B$5="Foreign Currency",VLOOKUP($C$38,$C$37:$BL$44,MATCH(BO$48,$C$37:$BL$37,0),FALSE)/VLOOKUP($C$39,$C$37:$BL$44,MATCH(BO$48,$C$37:$BL$37,0),FALSE),1),
0),
    IF($T279="EPP with Grace Years for Principal",
        IF(AND(BO$48&gt;=$E279, BO$48&lt;($E279+$S279)),
$K279*$P279*(VLOOKUP($C$39,$C$37:$BL$44,MATCH($E279,$C$37:$BL$37,0),FALSE)/VLOOKUP($L279,$C$37:$BL$44,MATCH($E279,$C$37:$BL$37,0),FALSE))*
IF($B$5="Foreign Currency",VLOOKUP($C$38,$C$37:$BL$44,MATCH(BO$48,$C$37:$BL$37,0),FALSE)/VLOOKUP($C$39,$C$37:$BL$44,MATCH(BO$48,$C$37:$BL$37,0),FALSE),1),
        IF(AND(BO$48&gt;=($E279+$S279), BO$48&lt;=($E279+$Q279)),
-PMT($P279,($Q279-$S279+1),($K279*(VLOOKUP($C$39,$C$37:$BL$44,MATCH($E279,$C$37:$BL$37,0),FALSE)/VLOOKUP($L279,$C$37:$BL$44,MATCH($E279,$C$37:$BL$37,0),FALSE))*
IF($B$5="Foreign Currency",VLOOKUP($C$38,$C$37:$BL$44,MATCH(BO$48,$C$37:$BL$37,0),FALSE)/VLOOKUP($C$39,$C$37:$BL$44,MATCH(BO$48,$C$37:$BL$37,0),FALSE),1)),0),
0)),
    IF($T279="Equal Principal Payments (EPP)",
        IF(AND(BO$48&gt;=$E279, BO$48&lt;=($E279+$Q279)),
-PMT($P279,($Q279-$S279+1),($K279*(VLOOKUP($C$39,$C$37:$BL$44,MATCH($E279,$C$37:$BL$37,0),FALSE)/VLOOKUP($L279,$C$37:$BL$44,MATCH($E279,$C$37:$BL$37,0),FALSE))*
IF($B$5="Foreign Currency",VLOOKUP($C$38,$C$37:$BL$44,MATCH(BO$48,$C$37:$BL$37,0),FALSE)/VLOOKUP($C$39,$C$37:$BL$44,MATCH(BO$48,$C$37:$BL$37,0),FALSE),1)),0), 0),
    IF($T279="EPP with Grace Years for Principal and on Interest",
        IF(AND(BO$48&gt;=($E279+$S279), BO$48&lt;=($E279+$Q279)),
-PMT($P279,($Q279-$S279+1),($K279*(VLOOKUP($C$39,$C$37:$BL$44,MATCH($E279,$C$37:$BL$37,0),FALSE)/VLOOKUP($L279,$C$37:$BL$44,MATCH($E279,$C$37:$BL$37,0),FALSE))*
IF($B$5="Foreign Currency",VLOOKUP($C$38,$C$37:$BL$44,MATCH(BO$48,$C$37:$BL$37,0),FALSE)/VLOOKUP($C$39,$C$37:$BL$44,MATCH(BO$48,$C$37:$BL$37,0),FALSE),1))*((1+$P279)^$S279),0), 0),
    0)))))),"")</f>
        <v>0</v>
      </c>
      <c r="BP279" s="171">
        <f t="shared" si="429"/>
        <v>0</v>
      </c>
      <c r="BQ279" s="171">
        <f t="shared" si="429"/>
        <v>0</v>
      </c>
      <c r="BR279" s="171">
        <f t="shared" si="429"/>
        <v>0</v>
      </c>
      <c r="BS279" s="171">
        <f t="shared" si="429"/>
        <v>0</v>
      </c>
      <c r="BT279" s="171">
        <f t="shared" si="429"/>
        <v>0</v>
      </c>
      <c r="BU279" s="171">
        <f t="shared" si="429"/>
        <v>0</v>
      </c>
      <c r="BV279" s="171">
        <f t="shared" si="429"/>
        <v>0</v>
      </c>
      <c r="BW279" s="171">
        <f t="shared" si="429"/>
        <v>0</v>
      </c>
      <c r="BX279" s="171">
        <f t="shared" si="429"/>
        <v>0</v>
      </c>
      <c r="BY279" s="171">
        <f t="shared" ref="BY279:CI288" si="430">IFERROR(
    IF($T279="Equity",
        IF(AND(BY$48&gt;=$E279, BY$48&lt;=($E279+$Q279)),
$K279*$P279*(VLOOKUP($C$39,$C$37:$BL$44,MATCH($E279,$C$37:$BL$37,0),FALSE)/VLOOKUP($L279,$C$37:$BL$44,MATCH($E279,$C$37:$BL$37,0),FALSE))*
IF($B$5="Foreign Currency",VLOOKUP($C$38,$C$37:$BL$44,MATCH(BY$48,$C$37:$BL$37,0),FALSE)/VLOOKUP($C$39,$C$37:$BL$44,MATCH(BY$48,$C$37:$BL$37,0),FALSE),1),
0),
    IF($T279="Lump Sum Principal",
        IF(AND(BY$48&gt;=$E279, BY$48&lt;($E279+$Q279)),
$K279*$P279*(VLOOKUP($C$39,$C$37:$BL$44,MATCH($E279,$C$37:$BL$37,0),FALSE)/VLOOKUP($L279,$C$37:$BL$44,MATCH($E279,$C$37:$BL$37,0),FALSE))*
IF($B$5="Foreign Currency",VLOOKUP($C$38,$C$37:$BL$44,MATCH(BY$48,$C$37:$BL$37,0),FALSE)/VLOOKUP($C$39,$C$37:$BL$44,MATCH(BY$48,$C$37:$BL$37,0),FALSE),1),
        IF(BY$48=($E279+$Q279),
$K279*(1+$P279)*(VLOOKUP($C$39,$C$37:$BL$44,MATCH($E279,$C$37:$BL$37,0),FALSE)/VLOOKUP($L279,$C$37:$BL$44,MATCH($E279,$C$37:$BL$37,0),FALSE))*
IF($B$5="Foreign Currency",VLOOKUP($C$38,$C$37:$BL$44,MATCH(BY$48,$C$37:$BL$37,0),FALSE)/VLOOKUP($C$39,$C$37:$BL$44,MATCH(BY$48,$C$37:$BL$37,0),FALSE),1),
0)),
    IF($T279="Lump Sum Principal and Interest",
        IF(BY$48=($E279+$Q279),
$K279*((1+$P279)^$Q279)*(VLOOKUP($C$39,$C$37:$BL$44,MATCH($E279,$C$37:$BL$37,0),FALSE)/VLOOKUP($L279,$C$37:$BL$44,MATCH($E279,$C$37:$BL$37,0),FALSE))*
IF($B$5="Foreign Currency",VLOOKUP($C$38,$C$37:$BL$44,MATCH(BY$48,$C$37:$BL$37,0),FALSE)/VLOOKUP($C$39,$C$37:$BL$44,MATCH(BY$48,$C$37:$BL$37,0),FALSE),1),
0),
    IF($T279="EPP with Grace Years for Principal",
        IF(AND(BY$48&gt;=$E279, BY$48&lt;($E279+$S279)),
$K279*$P279*(VLOOKUP($C$39,$C$37:$BL$44,MATCH($E279,$C$37:$BL$37,0),FALSE)/VLOOKUP($L279,$C$37:$BL$44,MATCH($E279,$C$37:$BL$37,0),FALSE))*
IF($B$5="Foreign Currency",VLOOKUP($C$38,$C$37:$BL$44,MATCH(BY$48,$C$37:$BL$37,0),FALSE)/VLOOKUP($C$39,$C$37:$BL$44,MATCH(BY$48,$C$37:$BL$37,0),FALSE),1),
        IF(AND(BY$48&gt;=($E279+$S279), BY$48&lt;=($E279+$Q279)),
-PMT($P279,($Q279-$S279+1),($K279*(VLOOKUP($C$39,$C$37:$BL$44,MATCH($E279,$C$37:$BL$37,0),FALSE)/VLOOKUP($L279,$C$37:$BL$44,MATCH($E279,$C$37:$BL$37,0),FALSE))*
IF($B$5="Foreign Currency",VLOOKUP($C$38,$C$37:$BL$44,MATCH(BY$48,$C$37:$BL$37,0),FALSE)/VLOOKUP($C$39,$C$37:$BL$44,MATCH(BY$48,$C$37:$BL$37,0),FALSE),1)),0),
0)),
    IF($T279="Equal Principal Payments (EPP)",
        IF(AND(BY$48&gt;=$E279, BY$48&lt;=($E279+$Q279)),
-PMT($P279,($Q279-$S279+1),($K279*(VLOOKUP($C$39,$C$37:$BL$44,MATCH($E279,$C$37:$BL$37,0),FALSE)/VLOOKUP($L279,$C$37:$BL$44,MATCH($E279,$C$37:$BL$37,0),FALSE))*
IF($B$5="Foreign Currency",VLOOKUP($C$38,$C$37:$BL$44,MATCH(BY$48,$C$37:$BL$37,0),FALSE)/VLOOKUP($C$39,$C$37:$BL$44,MATCH(BY$48,$C$37:$BL$37,0),FALSE),1)),0), 0),
    IF($T279="EPP with Grace Years for Principal and on Interest",
        IF(AND(BY$48&gt;=($E279+$S279), BY$48&lt;=($E279+$Q279)),
-PMT($P279,($Q279-$S279+1),($K279*(VLOOKUP($C$39,$C$37:$BL$44,MATCH($E279,$C$37:$BL$37,0),FALSE)/VLOOKUP($L279,$C$37:$BL$44,MATCH($E279,$C$37:$BL$37,0),FALSE))*
IF($B$5="Foreign Currency",VLOOKUP($C$38,$C$37:$BL$44,MATCH(BY$48,$C$37:$BL$37,0),FALSE)/VLOOKUP($C$39,$C$37:$BL$44,MATCH(BY$48,$C$37:$BL$37,0),FALSE),1))*((1+$P279)^$S279),0), 0),
    0)))))),"")</f>
        <v>0</v>
      </c>
      <c r="BZ279" s="171">
        <f t="shared" si="430"/>
        <v>0</v>
      </c>
      <c r="CA279" s="171">
        <f t="shared" si="430"/>
        <v>0</v>
      </c>
      <c r="CB279" s="171">
        <f t="shared" si="430"/>
        <v>0</v>
      </c>
      <c r="CC279" s="171">
        <f t="shared" si="430"/>
        <v>0</v>
      </c>
      <c r="CD279" s="171">
        <f t="shared" si="430"/>
        <v>0</v>
      </c>
      <c r="CE279" s="171">
        <f t="shared" si="430"/>
        <v>0</v>
      </c>
      <c r="CF279" s="171">
        <f t="shared" si="430"/>
        <v>0</v>
      </c>
      <c r="CG279" s="171">
        <f t="shared" si="430"/>
        <v>0</v>
      </c>
      <c r="CH279" s="171">
        <f t="shared" si="430"/>
        <v>0</v>
      </c>
      <c r="CI279" s="171">
        <f t="shared" si="430"/>
        <v>0</v>
      </c>
      <c r="CJ279" s="243"/>
      <c r="CK279" s="171">
        <f t="shared" si="346"/>
        <v>0</v>
      </c>
      <c r="CL279" s="171">
        <f t="shared" si="347"/>
        <v>0</v>
      </c>
      <c r="CM279" s="171">
        <f t="shared" si="348"/>
        <v>0</v>
      </c>
      <c r="CN279" s="171">
        <f t="shared" si="349"/>
        <v>0</v>
      </c>
      <c r="CO279" s="171">
        <f t="shared" si="350"/>
        <v>0</v>
      </c>
      <c r="CP279" s="171">
        <f t="shared" si="351"/>
        <v>0</v>
      </c>
      <c r="CQ279" s="171">
        <f t="shared" si="352"/>
        <v>0</v>
      </c>
      <c r="CR279" s="171">
        <f t="shared" si="353"/>
        <v>0</v>
      </c>
      <c r="CS279" s="171">
        <f t="shared" si="354"/>
        <v>0</v>
      </c>
      <c r="CT279" s="171">
        <f t="shared" si="355"/>
        <v>0</v>
      </c>
      <c r="CU279" s="171">
        <f t="shared" si="356"/>
        <v>0</v>
      </c>
      <c r="CV279" s="171">
        <f t="shared" si="357"/>
        <v>0</v>
      </c>
      <c r="CW279" s="171">
        <f t="shared" si="358"/>
        <v>0</v>
      </c>
      <c r="CX279" s="171">
        <f t="shared" si="359"/>
        <v>0</v>
      </c>
      <c r="CY279" s="171">
        <f t="shared" ca="1" si="360"/>
        <v>0</v>
      </c>
      <c r="CZ279" s="171">
        <f t="shared" ca="1" si="361"/>
        <v>0</v>
      </c>
      <c r="DA279" s="171">
        <f t="shared" ca="1" si="362"/>
        <v>0</v>
      </c>
      <c r="DB279" s="171">
        <f t="shared" ca="1" si="363"/>
        <v>0</v>
      </c>
      <c r="DC279" s="171">
        <f t="shared" ca="1" si="364"/>
        <v>0</v>
      </c>
      <c r="DD279" s="171">
        <f t="shared" ca="1" si="365"/>
        <v>0</v>
      </c>
      <c r="DE279" s="171">
        <f t="shared" ca="1" si="366"/>
        <v>0</v>
      </c>
      <c r="DF279" s="171">
        <f t="shared" ca="1" si="367"/>
        <v>0</v>
      </c>
      <c r="DG279" s="171">
        <f t="shared" ca="1" si="368"/>
        <v>0</v>
      </c>
      <c r="DH279" s="171">
        <f t="shared" ca="1" si="369"/>
        <v>0</v>
      </c>
      <c r="DI279" s="171">
        <f t="shared" ca="1" si="370"/>
        <v>0</v>
      </c>
      <c r="DJ279" s="171">
        <f t="shared" ca="1" si="371"/>
        <v>0</v>
      </c>
      <c r="DK279" s="171">
        <f t="shared" ca="1" si="372"/>
        <v>0</v>
      </c>
      <c r="DL279" s="171">
        <f t="shared" ca="1" si="373"/>
        <v>0</v>
      </c>
      <c r="DM279" s="171">
        <f t="shared" ca="1" si="374"/>
        <v>0</v>
      </c>
      <c r="DN279" s="171">
        <f t="shared" ca="1" si="375"/>
        <v>0</v>
      </c>
      <c r="DO279" s="171">
        <f t="shared" ca="1" si="376"/>
        <v>0</v>
      </c>
      <c r="DP279" s="171">
        <f t="shared" ca="1" si="377"/>
        <v>0</v>
      </c>
      <c r="DQ279" s="171">
        <f t="shared" ca="1" si="378"/>
        <v>0</v>
      </c>
      <c r="DR279" s="171">
        <f t="shared" ca="1" si="379"/>
        <v>0</v>
      </c>
      <c r="DS279" s="171">
        <f t="shared" ca="1" si="380"/>
        <v>0</v>
      </c>
      <c r="DT279" s="171">
        <f t="shared" ca="1" si="381"/>
        <v>0</v>
      </c>
      <c r="DU279" s="171">
        <f t="shared" ca="1" si="382"/>
        <v>0</v>
      </c>
      <c r="DV279" s="171">
        <f t="shared" ca="1" si="383"/>
        <v>0</v>
      </c>
      <c r="DW279" s="171">
        <f t="shared" ca="1" si="384"/>
        <v>0</v>
      </c>
      <c r="DX279" s="171">
        <f t="shared" ca="1" si="385"/>
        <v>0</v>
      </c>
      <c r="DY279" s="171">
        <f t="shared" ca="1" si="386"/>
        <v>0</v>
      </c>
      <c r="DZ279" s="171">
        <f t="shared" ca="1" si="387"/>
        <v>0</v>
      </c>
      <c r="EA279" s="171">
        <f t="shared" ca="1" si="388"/>
        <v>0</v>
      </c>
      <c r="EB279" s="171">
        <f t="shared" ca="1" si="389"/>
        <v>0</v>
      </c>
      <c r="EC279" s="171">
        <f t="shared" ca="1" si="390"/>
        <v>0</v>
      </c>
      <c r="ED279" s="171">
        <f t="shared" ca="1" si="391"/>
        <v>0</v>
      </c>
      <c r="EE279" s="171">
        <f t="shared" ca="1" si="392"/>
        <v>0</v>
      </c>
      <c r="EF279" s="171">
        <f t="shared" ca="1" si="393"/>
        <v>0</v>
      </c>
      <c r="EG279" s="171">
        <f t="shared" ca="1" si="394"/>
        <v>0</v>
      </c>
      <c r="EH279" s="171">
        <f t="shared" ca="1" si="395"/>
        <v>0</v>
      </c>
      <c r="EI279" s="171">
        <f t="shared" ca="1" si="396"/>
        <v>0</v>
      </c>
      <c r="EJ279" s="171">
        <f t="shared" ca="1" si="397"/>
        <v>0</v>
      </c>
      <c r="EK279" s="171">
        <f t="shared" ca="1" si="398"/>
        <v>0</v>
      </c>
      <c r="EL279" s="171">
        <f t="shared" ca="1" si="399"/>
        <v>0</v>
      </c>
      <c r="EM279" s="171">
        <f t="shared" ca="1" si="400"/>
        <v>0</v>
      </c>
      <c r="EN279" s="171">
        <f t="shared" ca="1" si="401"/>
        <v>0</v>
      </c>
      <c r="EO279" s="171">
        <f t="shared" ca="1" si="402"/>
        <v>0</v>
      </c>
      <c r="EP279" s="171">
        <f t="shared" ca="1" si="403"/>
        <v>0</v>
      </c>
      <c r="EQ279" s="171">
        <f t="shared" ca="1" si="404"/>
        <v>0</v>
      </c>
      <c r="ER279" s="171">
        <f t="shared" ca="1" si="405"/>
        <v>0</v>
      </c>
      <c r="ES279" s="171">
        <f t="shared" ca="1" si="406"/>
        <v>0</v>
      </c>
    </row>
    <row r="280" spans="3:149">
      <c r="C280" s="214"/>
      <c r="L280" s="163"/>
      <c r="M280" s="164" t="str">
        <f t="shared" si="337"/>
        <v/>
      </c>
      <c r="N280" s="164" t="str">
        <f t="shared" si="338"/>
        <v/>
      </c>
      <c r="O280" s="165" t="str">
        <f t="shared" si="339"/>
        <v/>
      </c>
      <c r="R280" s="168" t="str">
        <f>IFERROR(IF($Q280="","",IF(($Q280-($B$9-$E280))&lt;=0,0,(Q280-($B$9-$E280)))),"NA")</f>
        <v/>
      </c>
      <c r="U280" s="171">
        <f t="shared" si="340"/>
        <v>0</v>
      </c>
      <c r="V280" s="171">
        <f t="shared" ca="1" si="341"/>
        <v>0</v>
      </c>
      <c r="W280" s="171">
        <f t="shared" ca="1" si="342"/>
        <v>0</v>
      </c>
      <c r="X280" s="172">
        <f t="shared" si="343"/>
        <v>0</v>
      </c>
      <c r="Y280" s="172" t="str">
        <f t="shared" si="344"/>
        <v/>
      </c>
      <c r="Z280" s="173">
        <f t="shared" si="345"/>
        <v>0</v>
      </c>
      <c r="AA280" s="171">
        <f t="shared" si="425"/>
        <v>0</v>
      </c>
      <c r="AB280" s="171">
        <f t="shared" si="425"/>
        <v>0</v>
      </c>
      <c r="AC280" s="171">
        <f t="shared" si="425"/>
        <v>0</v>
      </c>
      <c r="AD280" s="171">
        <f t="shared" si="425"/>
        <v>0</v>
      </c>
      <c r="AE280" s="171">
        <f t="shared" si="425"/>
        <v>0</v>
      </c>
      <c r="AF280" s="171">
        <f t="shared" si="425"/>
        <v>0</v>
      </c>
      <c r="AG280" s="171">
        <f t="shared" si="425"/>
        <v>0</v>
      </c>
      <c r="AH280" s="171">
        <f t="shared" si="425"/>
        <v>0</v>
      </c>
      <c r="AI280" s="171">
        <f t="shared" si="425"/>
        <v>0</v>
      </c>
      <c r="AJ280" s="171">
        <f t="shared" si="425"/>
        <v>0</v>
      </c>
      <c r="AK280" s="171">
        <f t="shared" si="426"/>
        <v>0</v>
      </c>
      <c r="AL280" s="171">
        <f t="shared" si="426"/>
        <v>0</v>
      </c>
      <c r="AM280" s="171">
        <f t="shared" si="426"/>
        <v>0</v>
      </c>
      <c r="AN280" s="171">
        <f t="shared" si="426"/>
        <v>0</v>
      </c>
      <c r="AO280" s="171">
        <f t="shared" si="426"/>
        <v>0</v>
      </c>
      <c r="AP280" s="171">
        <f t="shared" si="426"/>
        <v>0</v>
      </c>
      <c r="AQ280" s="171">
        <f t="shared" si="426"/>
        <v>0</v>
      </c>
      <c r="AR280" s="171">
        <f t="shared" si="426"/>
        <v>0</v>
      </c>
      <c r="AS280" s="171">
        <f t="shared" si="426"/>
        <v>0</v>
      </c>
      <c r="AT280" s="171">
        <f t="shared" si="426"/>
        <v>0</v>
      </c>
      <c r="AU280" s="171">
        <f t="shared" si="427"/>
        <v>0</v>
      </c>
      <c r="AV280" s="171">
        <f t="shared" si="427"/>
        <v>0</v>
      </c>
      <c r="AW280" s="171">
        <f t="shared" si="427"/>
        <v>0</v>
      </c>
      <c r="AX280" s="171">
        <f t="shared" si="427"/>
        <v>0</v>
      </c>
      <c r="AY280" s="171">
        <f t="shared" si="427"/>
        <v>0</v>
      </c>
      <c r="AZ280" s="171">
        <f t="shared" si="427"/>
        <v>0</v>
      </c>
      <c r="BA280" s="171">
        <f t="shared" si="427"/>
        <v>0</v>
      </c>
      <c r="BB280" s="171">
        <f t="shared" si="427"/>
        <v>0</v>
      </c>
      <c r="BC280" s="171">
        <f t="shared" si="427"/>
        <v>0</v>
      </c>
      <c r="BD280" s="171">
        <f t="shared" si="427"/>
        <v>0</v>
      </c>
      <c r="BE280" s="171">
        <f t="shared" si="428"/>
        <v>0</v>
      </c>
      <c r="BF280" s="171">
        <f t="shared" si="428"/>
        <v>0</v>
      </c>
      <c r="BG280" s="171">
        <f t="shared" si="428"/>
        <v>0</v>
      </c>
      <c r="BH280" s="171">
        <f t="shared" si="428"/>
        <v>0</v>
      </c>
      <c r="BI280" s="171">
        <f t="shared" si="428"/>
        <v>0</v>
      </c>
      <c r="BJ280" s="171">
        <f t="shared" si="428"/>
        <v>0</v>
      </c>
      <c r="BK280" s="171">
        <f t="shared" si="428"/>
        <v>0</v>
      </c>
      <c r="BL280" s="171">
        <f t="shared" si="428"/>
        <v>0</v>
      </c>
      <c r="BM280" s="171">
        <f t="shared" si="428"/>
        <v>0</v>
      </c>
      <c r="BN280" s="171">
        <f t="shared" si="428"/>
        <v>0</v>
      </c>
      <c r="BO280" s="171">
        <f t="shared" si="429"/>
        <v>0</v>
      </c>
      <c r="BP280" s="171">
        <f t="shared" si="429"/>
        <v>0</v>
      </c>
      <c r="BQ280" s="171">
        <f t="shared" si="429"/>
        <v>0</v>
      </c>
      <c r="BR280" s="171">
        <f t="shared" si="429"/>
        <v>0</v>
      </c>
      <c r="BS280" s="171">
        <f t="shared" si="429"/>
        <v>0</v>
      </c>
      <c r="BT280" s="171">
        <f t="shared" si="429"/>
        <v>0</v>
      </c>
      <c r="BU280" s="171">
        <f t="shared" si="429"/>
        <v>0</v>
      </c>
      <c r="BV280" s="171">
        <f t="shared" si="429"/>
        <v>0</v>
      </c>
      <c r="BW280" s="171">
        <f t="shared" si="429"/>
        <v>0</v>
      </c>
      <c r="BX280" s="171">
        <f t="shared" si="429"/>
        <v>0</v>
      </c>
      <c r="BY280" s="171">
        <f t="shared" si="430"/>
        <v>0</v>
      </c>
      <c r="BZ280" s="171">
        <f t="shared" si="430"/>
        <v>0</v>
      </c>
      <c r="CA280" s="171">
        <f t="shared" si="430"/>
        <v>0</v>
      </c>
      <c r="CB280" s="171">
        <f t="shared" si="430"/>
        <v>0</v>
      </c>
      <c r="CC280" s="171">
        <f t="shared" si="430"/>
        <v>0</v>
      </c>
      <c r="CD280" s="171">
        <f t="shared" si="430"/>
        <v>0</v>
      </c>
      <c r="CE280" s="171">
        <f t="shared" si="430"/>
        <v>0</v>
      </c>
      <c r="CF280" s="171">
        <f t="shared" si="430"/>
        <v>0</v>
      </c>
      <c r="CG280" s="171">
        <f t="shared" si="430"/>
        <v>0</v>
      </c>
      <c r="CH280" s="171">
        <f t="shared" si="430"/>
        <v>0</v>
      </c>
      <c r="CI280" s="171">
        <f t="shared" si="430"/>
        <v>0</v>
      </c>
      <c r="CJ280" s="243"/>
      <c r="CK280" s="171">
        <f t="shared" si="346"/>
        <v>0</v>
      </c>
      <c r="CL280" s="171">
        <f t="shared" si="347"/>
        <v>0</v>
      </c>
      <c r="CM280" s="171">
        <f t="shared" si="348"/>
        <v>0</v>
      </c>
      <c r="CN280" s="171">
        <f t="shared" si="349"/>
        <v>0</v>
      </c>
      <c r="CO280" s="171">
        <f t="shared" si="350"/>
        <v>0</v>
      </c>
      <c r="CP280" s="171">
        <f t="shared" si="351"/>
        <v>0</v>
      </c>
      <c r="CQ280" s="171">
        <f t="shared" si="352"/>
        <v>0</v>
      </c>
      <c r="CR280" s="171">
        <f t="shared" si="353"/>
        <v>0</v>
      </c>
      <c r="CS280" s="171">
        <f t="shared" si="354"/>
        <v>0</v>
      </c>
      <c r="CT280" s="171">
        <f t="shared" si="355"/>
        <v>0</v>
      </c>
      <c r="CU280" s="171">
        <f t="shared" si="356"/>
        <v>0</v>
      </c>
      <c r="CV280" s="171">
        <f t="shared" si="357"/>
        <v>0</v>
      </c>
      <c r="CW280" s="171">
        <f t="shared" si="358"/>
        <v>0</v>
      </c>
      <c r="CX280" s="171">
        <f t="shared" si="359"/>
        <v>0</v>
      </c>
      <c r="CY280" s="171">
        <f t="shared" ca="1" si="360"/>
        <v>0</v>
      </c>
      <c r="CZ280" s="171">
        <f t="shared" ca="1" si="361"/>
        <v>0</v>
      </c>
      <c r="DA280" s="171">
        <f t="shared" ca="1" si="362"/>
        <v>0</v>
      </c>
      <c r="DB280" s="171">
        <f t="shared" ca="1" si="363"/>
        <v>0</v>
      </c>
      <c r="DC280" s="171">
        <f t="shared" ca="1" si="364"/>
        <v>0</v>
      </c>
      <c r="DD280" s="171">
        <f t="shared" ca="1" si="365"/>
        <v>0</v>
      </c>
      <c r="DE280" s="171">
        <f t="shared" ca="1" si="366"/>
        <v>0</v>
      </c>
      <c r="DF280" s="171">
        <f t="shared" ca="1" si="367"/>
        <v>0</v>
      </c>
      <c r="DG280" s="171">
        <f t="shared" ca="1" si="368"/>
        <v>0</v>
      </c>
      <c r="DH280" s="171">
        <f t="shared" ca="1" si="369"/>
        <v>0</v>
      </c>
      <c r="DI280" s="171">
        <f t="shared" ca="1" si="370"/>
        <v>0</v>
      </c>
      <c r="DJ280" s="171">
        <f t="shared" ca="1" si="371"/>
        <v>0</v>
      </c>
      <c r="DK280" s="171">
        <f t="shared" ca="1" si="372"/>
        <v>0</v>
      </c>
      <c r="DL280" s="171">
        <f t="shared" ca="1" si="373"/>
        <v>0</v>
      </c>
      <c r="DM280" s="171">
        <f t="shared" ca="1" si="374"/>
        <v>0</v>
      </c>
      <c r="DN280" s="171">
        <f t="shared" ca="1" si="375"/>
        <v>0</v>
      </c>
      <c r="DO280" s="171">
        <f t="shared" ca="1" si="376"/>
        <v>0</v>
      </c>
      <c r="DP280" s="171">
        <f t="shared" ca="1" si="377"/>
        <v>0</v>
      </c>
      <c r="DQ280" s="171">
        <f t="shared" ca="1" si="378"/>
        <v>0</v>
      </c>
      <c r="DR280" s="171">
        <f t="shared" ca="1" si="379"/>
        <v>0</v>
      </c>
      <c r="DS280" s="171">
        <f t="shared" ca="1" si="380"/>
        <v>0</v>
      </c>
      <c r="DT280" s="171">
        <f t="shared" ca="1" si="381"/>
        <v>0</v>
      </c>
      <c r="DU280" s="171">
        <f t="shared" ca="1" si="382"/>
        <v>0</v>
      </c>
      <c r="DV280" s="171">
        <f t="shared" ca="1" si="383"/>
        <v>0</v>
      </c>
      <c r="DW280" s="171">
        <f t="shared" ca="1" si="384"/>
        <v>0</v>
      </c>
      <c r="DX280" s="171">
        <f t="shared" ca="1" si="385"/>
        <v>0</v>
      </c>
      <c r="DY280" s="171">
        <f t="shared" ca="1" si="386"/>
        <v>0</v>
      </c>
      <c r="DZ280" s="171">
        <f t="shared" ca="1" si="387"/>
        <v>0</v>
      </c>
      <c r="EA280" s="171">
        <f t="shared" ca="1" si="388"/>
        <v>0</v>
      </c>
      <c r="EB280" s="171">
        <f t="shared" ca="1" si="389"/>
        <v>0</v>
      </c>
      <c r="EC280" s="171">
        <f t="shared" ca="1" si="390"/>
        <v>0</v>
      </c>
      <c r="ED280" s="171">
        <f t="shared" ca="1" si="391"/>
        <v>0</v>
      </c>
      <c r="EE280" s="171">
        <f t="shared" ca="1" si="392"/>
        <v>0</v>
      </c>
      <c r="EF280" s="171">
        <f t="shared" ca="1" si="393"/>
        <v>0</v>
      </c>
      <c r="EG280" s="171">
        <f t="shared" ca="1" si="394"/>
        <v>0</v>
      </c>
      <c r="EH280" s="171">
        <f t="shared" ca="1" si="395"/>
        <v>0</v>
      </c>
      <c r="EI280" s="171">
        <f t="shared" ca="1" si="396"/>
        <v>0</v>
      </c>
      <c r="EJ280" s="171">
        <f t="shared" ca="1" si="397"/>
        <v>0</v>
      </c>
      <c r="EK280" s="171">
        <f t="shared" ca="1" si="398"/>
        <v>0</v>
      </c>
      <c r="EL280" s="171">
        <f t="shared" ca="1" si="399"/>
        <v>0</v>
      </c>
      <c r="EM280" s="171">
        <f t="shared" ca="1" si="400"/>
        <v>0</v>
      </c>
      <c r="EN280" s="171">
        <f t="shared" ca="1" si="401"/>
        <v>0</v>
      </c>
      <c r="EO280" s="171">
        <f t="shared" ca="1" si="402"/>
        <v>0</v>
      </c>
      <c r="EP280" s="171">
        <f t="shared" ca="1" si="403"/>
        <v>0</v>
      </c>
      <c r="EQ280" s="171">
        <f t="shared" ca="1" si="404"/>
        <v>0</v>
      </c>
      <c r="ER280" s="171">
        <f t="shared" ca="1" si="405"/>
        <v>0</v>
      </c>
      <c r="ES280" s="171">
        <f t="shared" ca="1" si="406"/>
        <v>0</v>
      </c>
    </row>
    <row r="281" spans="3:149">
      <c r="C281" s="214"/>
      <c r="L281" s="163"/>
      <c r="M281" s="164" t="str">
        <f t="shared" si="337"/>
        <v/>
      </c>
      <c r="N281" s="164" t="str">
        <f t="shared" si="338"/>
        <v/>
      </c>
      <c r="O281" s="165" t="str">
        <f t="shared" si="339"/>
        <v/>
      </c>
      <c r="P281" s="215"/>
      <c r="R281" s="168" t="str">
        <f>IFERROR(IF($Q281="","",IF(($Q281-($B$9-$E281))&lt;=0,0,(Q281-($B$9-$E281)))),"NA")</f>
        <v/>
      </c>
      <c r="U281" s="171">
        <f t="shared" si="340"/>
        <v>0</v>
      </c>
      <c r="V281" s="171">
        <f t="shared" ca="1" si="341"/>
        <v>0</v>
      </c>
      <c r="W281" s="171">
        <f t="shared" ca="1" si="342"/>
        <v>0</v>
      </c>
      <c r="X281" s="172">
        <f t="shared" si="343"/>
        <v>0</v>
      </c>
      <c r="Y281" s="172" t="str">
        <f t="shared" si="344"/>
        <v/>
      </c>
      <c r="Z281" s="173">
        <f t="shared" si="345"/>
        <v>0</v>
      </c>
      <c r="AA281" s="171">
        <f t="shared" si="425"/>
        <v>0</v>
      </c>
      <c r="AB281" s="171">
        <f t="shared" si="425"/>
        <v>0</v>
      </c>
      <c r="AC281" s="171">
        <f t="shared" si="425"/>
        <v>0</v>
      </c>
      <c r="AD281" s="171">
        <f t="shared" si="425"/>
        <v>0</v>
      </c>
      <c r="AE281" s="171">
        <f t="shared" si="425"/>
        <v>0</v>
      </c>
      <c r="AF281" s="171">
        <f t="shared" si="425"/>
        <v>0</v>
      </c>
      <c r="AG281" s="171">
        <f t="shared" si="425"/>
        <v>0</v>
      </c>
      <c r="AH281" s="171">
        <f t="shared" si="425"/>
        <v>0</v>
      </c>
      <c r="AI281" s="171">
        <f t="shared" si="425"/>
        <v>0</v>
      </c>
      <c r="AJ281" s="171">
        <f t="shared" si="425"/>
        <v>0</v>
      </c>
      <c r="AK281" s="171">
        <f t="shared" si="426"/>
        <v>0</v>
      </c>
      <c r="AL281" s="171">
        <f t="shared" si="426"/>
        <v>0</v>
      </c>
      <c r="AM281" s="171">
        <f t="shared" si="426"/>
        <v>0</v>
      </c>
      <c r="AN281" s="171">
        <f t="shared" si="426"/>
        <v>0</v>
      </c>
      <c r="AO281" s="171">
        <f t="shared" si="426"/>
        <v>0</v>
      </c>
      <c r="AP281" s="171">
        <f t="shared" si="426"/>
        <v>0</v>
      </c>
      <c r="AQ281" s="171">
        <f t="shared" si="426"/>
        <v>0</v>
      </c>
      <c r="AR281" s="171">
        <f t="shared" si="426"/>
        <v>0</v>
      </c>
      <c r="AS281" s="171">
        <f t="shared" si="426"/>
        <v>0</v>
      </c>
      <c r="AT281" s="171">
        <f t="shared" si="426"/>
        <v>0</v>
      </c>
      <c r="AU281" s="171">
        <f t="shared" si="427"/>
        <v>0</v>
      </c>
      <c r="AV281" s="171">
        <f t="shared" si="427"/>
        <v>0</v>
      </c>
      <c r="AW281" s="171">
        <f t="shared" si="427"/>
        <v>0</v>
      </c>
      <c r="AX281" s="171">
        <f t="shared" si="427"/>
        <v>0</v>
      </c>
      <c r="AY281" s="171">
        <f t="shared" si="427"/>
        <v>0</v>
      </c>
      <c r="AZ281" s="171">
        <f t="shared" si="427"/>
        <v>0</v>
      </c>
      <c r="BA281" s="171">
        <f t="shared" si="427"/>
        <v>0</v>
      </c>
      <c r="BB281" s="171">
        <f t="shared" si="427"/>
        <v>0</v>
      </c>
      <c r="BC281" s="171">
        <f t="shared" si="427"/>
        <v>0</v>
      </c>
      <c r="BD281" s="171">
        <f t="shared" si="427"/>
        <v>0</v>
      </c>
      <c r="BE281" s="171">
        <f t="shared" si="428"/>
        <v>0</v>
      </c>
      <c r="BF281" s="171">
        <f t="shared" si="428"/>
        <v>0</v>
      </c>
      <c r="BG281" s="171">
        <f t="shared" si="428"/>
        <v>0</v>
      </c>
      <c r="BH281" s="171">
        <f t="shared" si="428"/>
        <v>0</v>
      </c>
      <c r="BI281" s="171">
        <f t="shared" si="428"/>
        <v>0</v>
      </c>
      <c r="BJ281" s="171">
        <f t="shared" si="428"/>
        <v>0</v>
      </c>
      <c r="BK281" s="171">
        <f t="shared" si="428"/>
        <v>0</v>
      </c>
      <c r="BL281" s="171">
        <f t="shared" si="428"/>
        <v>0</v>
      </c>
      <c r="BM281" s="171">
        <f t="shared" si="428"/>
        <v>0</v>
      </c>
      <c r="BN281" s="171">
        <f t="shared" si="428"/>
        <v>0</v>
      </c>
      <c r="BO281" s="171">
        <f t="shared" si="429"/>
        <v>0</v>
      </c>
      <c r="BP281" s="171">
        <f t="shared" si="429"/>
        <v>0</v>
      </c>
      <c r="BQ281" s="171">
        <f t="shared" si="429"/>
        <v>0</v>
      </c>
      <c r="BR281" s="171">
        <f t="shared" si="429"/>
        <v>0</v>
      </c>
      <c r="BS281" s="171">
        <f t="shared" si="429"/>
        <v>0</v>
      </c>
      <c r="BT281" s="171">
        <f t="shared" si="429"/>
        <v>0</v>
      </c>
      <c r="BU281" s="171">
        <f t="shared" si="429"/>
        <v>0</v>
      </c>
      <c r="BV281" s="171">
        <f t="shared" si="429"/>
        <v>0</v>
      </c>
      <c r="BW281" s="171">
        <f t="shared" si="429"/>
        <v>0</v>
      </c>
      <c r="BX281" s="171">
        <f t="shared" si="429"/>
        <v>0</v>
      </c>
      <c r="BY281" s="171">
        <f t="shared" si="430"/>
        <v>0</v>
      </c>
      <c r="BZ281" s="171">
        <f t="shared" si="430"/>
        <v>0</v>
      </c>
      <c r="CA281" s="171">
        <f t="shared" si="430"/>
        <v>0</v>
      </c>
      <c r="CB281" s="171">
        <f t="shared" si="430"/>
        <v>0</v>
      </c>
      <c r="CC281" s="171">
        <f t="shared" si="430"/>
        <v>0</v>
      </c>
      <c r="CD281" s="171">
        <f t="shared" si="430"/>
        <v>0</v>
      </c>
      <c r="CE281" s="171">
        <f t="shared" si="430"/>
        <v>0</v>
      </c>
      <c r="CF281" s="171">
        <f t="shared" si="430"/>
        <v>0</v>
      </c>
      <c r="CG281" s="171">
        <f t="shared" si="430"/>
        <v>0</v>
      </c>
      <c r="CH281" s="171">
        <f t="shared" si="430"/>
        <v>0</v>
      </c>
      <c r="CI281" s="171">
        <f t="shared" si="430"/>
        <v>0</v>
      </c>
      <c r="CJ281" s="243"/>
      <c r="CK281" s="171">
        <f t="shared" si="346"/>
        <v>0</v>
      </c>
      <c r="CL281" s="171">
        <f t="shared" si="347"/>
        <v>0</v>
      </c>
      <c r="CM281" s="171">
        <f t="shared" si="348"/>
        <v>0</v>
      </c>
      <c r="CN281" s="171">
        <f t="shared" si="349"/>
        <v>0</v>
      </c>
      <c r="CO281" s="171">
        <f t="shared" si="350"/>
        <v>0</v>
      </c>
      <c r="CP281" s="171">
        <f t="shared" si="351"/>
        <v>0</v>
      </c>
      <c r="CQ281" s="171">
        <f t="shared" si="352"/>
        <v>0</v>
      </c>
      <c r="CR281" s="171">
        <f t="shared" si="353"/>
        <v>0</v>
      </c>
      <c r="CS281" s="171">
        <f t="shared" si="354"/>
        <v>0</v>
      </c>
      <c r="CT281" s="171">
        <f t="shared" si="355"/>
        <v>0</v>
      </c>
      <c r="CU281" s="171">
        <f t="shared" si="356"/>
        <v>0</v>
      </c>
      <c r="CV281" s="171">
        <f t="shared" si="357"/>
        <v>0</v>
      </c>
      <c r="CW281" s="171">
        <f t="shared" si="358"/>
        <v>0</v>
      </c>
      <c r="CX281" s="171">
        <f t="shared" si="359"/>
        <v>0</v>
      </c>
      <c r="CY281" s="171">
        <f t="shared" ca="1" si="360"/>
        <v>0</v>
      </c>
      <c r="CZ281" s="171">
        <f t="shared" ca="1" si="361"/>
        <v>0</v>
      </c>
      <c r="DA281" s="171">
        <f t="shared" ca="1" si="362"/>
        <v>0</v>
      </c>
      <c r="DB281" s="171">
        <f t="shared" ca="1" si="363"/>
        <v>0</v>
      </c>
      <c r="DC281" s="171">
        <f t="shared" ca="1" si="364"/>
        <v>0</v>
      </c>
      <c r="DD281" s="171">
        <f t="shared" ca="1" si="365"/>
        <v>0</v>
      </c>
      <c r="DE281" s="171">
        <f t="shared" ca="1" si="366"/>
        <v>0</v>
      </c>
      <c r="DF281" s="171">
        <f t="shared" ca="1" si="367"/>
        <v>0</v>
      </c>
      <c r="DG281" s="171">
        <f t="shared" ca="1" si="368"/>
        <v>0</v>
      </c>
      <c r="DH281" s="171">
        <f t="shared" ca="1" si="369"/>
        <v>0</v>
      </c>
      <c r="DI281" s="171">
        <f t="shared" ca="1" si="370"/>
        <v>0</v>
      </c>
      <c r="DJ281" s="171">
        <f t="shared" ca="1" si="371"/>
        <v>0</v>
      </c>
      <c r="DK281" s="171">
        <f t="shared" ca="1" si="372"/>
        <v>0</v>
      </c>
      <c r="DL281" s="171">
        <f t="shared" ca="1" si="373"/>
        <v>0</v>
      </c>
      <c r="DM281" s="171">
        <f t="shared" ca="1" si="374"/>
        <v>0</v>
      </c>
      <c r="DN281" s="171">
        <f t="shared" ca="1" si="375"/>
        <v>0</v>
      </c>
      <c r="DO281" s="171">
        <f t="shared" ca="1" si="376"/>
        <v>0</v>
      </c>
      <c r="DP281" s="171">
        <f t="shared" ca="1" si="377"/>
        <v>0</v>
      </c>
      <c r="DQ281" s="171">
        <f t="shared" ca="1" si="378"/>
        <v>0</v>
      </c>
      <c r="DR281" s="171">
        <f t="shared" ca="1" si="379"/>
        <v>0</v>
      </c>
      <c r="DS281" s="171">
        <f t="shared" ca="1" si="380"/>
        <v>0</v>
      </c>
      <c r="DT281" s="171">
        <f t="shared" ca="1" si="381"/>
        <v>0</v>
      </c>
      <c r="DU281" s="171">
        <f t="shared" ca="1" si="382"/>
        <v>0</v>
      </c>
      <c r="DV281" s="171">
        <f t="shared" ca="1" si="383"/>
        <v>0</v>
      </c>
      <c r="DW281" s="171">
        <f t="shared" ca="1" si="384"/>
        <v>0</v>
      </c>
      <c r="DX281" s="171">
        <f t="shared" ca="1" si="385"/>
        <v>0</v>
      </c>
      <c r="DY281" s="171">
        <f t="shared" ca="1" si="386"/>
        <v>0</v>
      </c>
      <c r="DZ281" s="171">
        <f t="shared" ca="1" si="387"/>
        <v>0</v>
      </c>
      <c r="EA281" s="171">
        <f t="shared" ca="1" si="388"/>
        <v>0</v>
      </c>
      <c r="EB281" s="171">
        <f t="shared" ca="1" si="389"/>
        <v>0</v>
      </c>
      <c r="EC281" s="171">
        <f t="shared" ca="1" si="390"/>
        <v>0</v>
      </c>
      <c r="ED281" s="171">
        <f t="shared" ca="1" si="391"/>
        <v>0</v>
      </c>
      <c r="EE281" s="171">
        <f t="shared" ca="1" si="392"/>
        <v>0</v>
      </c>
      <c r="EF281" s="171">
        <f t="shared" ca="1" si="393"/>
        <v>0</v>
      </c>
      <c r="EG281" s="171">
        <f t="shared" ca="1" si="394"/>
        <v>0</v>
      </c>
      <c r="EH281" s="171">
        <f t="shared" ca="1" si="395"/>
        <v>0</v>
      </c>
      <c r="EI281" s="171">
        <f t="shared" ca="1" si="396"/>
        <v>0</v>
      </c>
      <c r="EJ281" s="171">
        <f t="shared" ca="1" si="397"/>
        <v>0</v>
      </c>
      <c r="EK281" s="171">
        <f t="shared" ca="1" si="398"/>
        <v>0</v>
      </c>
      <c r="EL281" s="171">
        <f t="shared" ca="1" si="399"/>
        <v>0</v>
      </c>
      <c r="EM281" s="171">
        <f t="shared" ca="1" si="400"/>
        <v>0</v>
      </c>
      <c r="EN281" s="171">
        <f t="shared" ca="1" si="401"/>
        <v>0</v>
      </c>
      <c r="EO281" s="171">
        <f t="shared" ca="1" si="402"/>
        <v>0</v>
      </c>
      <c r="EP281" s="171">
        <f t="shared" ca="1" si="403"/>
        <v>0</v>
      </c>
      <c r="EQ281" s="171">
        <f t="shared" ca="1" si="404"/>
        <v>0</v>
      </c>
      <c r="ER281" s="171">
        <f t="shared" ca="1" si="405"/>
        <v>0</v>
      </c>
      <c r="ES281" s="171">
        <f t="shared" ca="1" si="406"/>
        <v>0</v>
      </c>
    </row>
    <row r="282" spans="3:149">
      <c r="C282" s="214"/>
      <c r="H282" s="216"/>
      <c r="I282" s="217"/>
      <c r="L282" s="163"/>
      <c r="M282" s="164" t="str">
        <f t="shared" si="337"/>
        <v/>
      </c>
      <c r="N282" s="164" t="str">
        <f t="shared" si="338"/>
        <v/>
      </c>
      <c r="O282" s="165" t="str">
        <f t="shared" si="339"/>
        <v/>
      </c>
      <c r="R282" s="168" t="str">
        <f>IFERROR(IF($Q282="","",IF(($Q282-($B$9-$E282))&lt;=0,0,(Q282-($B$9-$E282)))),"NA")</f>
        <v/>
      </c>
      <c r="U282" s="171">
        <f t="shared" si="340"/>
        <v>0</v>
      </c>
      <c r="V282" s="171">
        <f t="shared" ca="1" si="341"/>
        <v>0</v>
      </c>
      <c r="W282" s="171">
        <f t="shared" ca="1" si="342"/>
        <v>0</v>
      </c>
      <c r="X282" s="172">
        <f t="shared" si="343"/>
        <v>0</v>
      </c>
      <c r="Y282" s="172" t="str">
        <f t="shared" si="344"/>
        <v/>
      </c>
      <c r="Z282" s="173">
        <f t="shared" si="345"/>
        <v>0</v>
      </c>
      <c r="AA282" s="171">
        <f t="shared" si="425"/>
        <v>0</v>
      </c>
      <c r="AB282" s="171">
        <f t="shared" si="425"/>
        <v>0</v>
      </c>
      <c r="AC282" s="171">
        <f t="shared" si="425"/>
        <v>0</v>
      </c>
      <c r="AD282" s="171">
        <f t="shared" si="425"/>
        <v>0</v>
      </c>
      <c r="AE282" s="171">
        <f t="shared" si="425"/>
        <v>0</v>
      </c>
      <c r="AF282" s="171">
        <f t="shared" si="425"/>
        <v>0</v>
      </c>
      <c r="AG282" s="171">
        <f t="shared" si="425"/>
        <v>0</v>
      </c>
      <c r="AH282" s="171">
        <f t="shared" si="425"/>
        <v>0</v>
      </c>
      <c r="AI282" s="171">
        <f t="shared" si="425"/>
        <v>0</v>
      </c>
      <c r="AJ282" s="171">
        <f t="shared" si="425"/>
        <v>0</v>
      </c>
      <c r="AK282" s="171">
        <f t="shared" si="426"/>
        <v>0</v>
      </c>
      <c r="AL282" s="171">
        <f t="shared" si="426"/>
        <v>0</v>
      </c>
      <c r="AM282" s="171">
        <f t="shared" si="426"/>
        <v>0</v>
      </c>
      <c r="AN282" s="171">
        <f t="shared" si="426"/>
        <v>0</v>
      </c>
      <c r="AO282" s="171">
        <f t="shared" si="426"/>
        <v>0</v>
      </c>
      <c r="AP282" s="171">
        <f t="shared" si="426"/>
        <v>0</v>
      </c>
      <c r="AQ282" s="171">
        <f t="shared" si="426"/>
        <v>0</v>
      </c>
      <c r="AR282" s="171">
        <f t="shared" si="426"/>
        <v>0</v>
      </c>
      <c r="AS282" s="171">
        <f t="shared" si="426"/>
        <v>0</v>
      </c>
      <c r="AT282" s="171">
        <f t="shared" si="426"/>
        <v>0</v>
      </c>
      <c r="AU282" s="171">
        <f t="shared" si="427"/>
        <v>0</v>
      </c>
      <c r="AV282" s="171">
        <f t="shared" si="427"/>
        <v>0</v>
      </c>
      <c r="AW282" s="171">
        <f t="shared" si="427"/>
        <v>0</v>
      </c>
      <c r="AX282" s="171">
        <f t="shared" si="427"/>
        <v>0</v>
      </c>
      <c r="AY282" s="171">
        <f t="shared" si="427"/>
        <v>0</v>
      </c>
      <c r="AZ282" s="171">
        <f t="shared" si="427"/>
        <v>0</v>
      </c>
      <c r="BA282" s="171">
        <f t="shared" si="427"/>
        <v>0</v>
      </c>
      <c r="BB282" s="171">
        <f t="shared" si="427"/>
        <v>0</v>
      </c>
      <c r="BC282" s="171">
        <f t="shared" si="427"/>
        <v>0</v>
      </c>
      <c r="BD282" s="171">
        <f t="shared" si="427"/>
        <v>0</v>
      </c>
      <c r="BE282" s="171">
        <f t="shared" si="428"/>
        <v>0</v>
      </c>
      <c r="BF282" s="171">
        <f t="shared" si="428"/>
        <v>0</v>
      </c>
      <c r="BG282" s="171">
        <f t="shared" si="428"/>
        <v>0</v>
      </c>
      <c r="BH282" s="171">
        <f t="shared" si="428"/>
        <v>0</v>
      </c>
      <c r="BI282" s="171">
        <f t="shared" si="428"/>
        <v>0</v>
      </c>
      <c r="BJ282" s="171">
        <f t="shared" si="428"/>
        <v>0</v>
      </c>
      <c r="BK282" s="171">
        <f t="shared" si="428"/>
        <v>0</v>
      </c>
      <c r="BL282" s="171">
        <f t="shared" si="428"/>
        <v>0</v>
      </c>
      <c r="BM282" s="171">
        <f t="shared" si="428"/>
        <v>0</v>
      </c>
      <c r="BN282" s="171">
        <f t="shared" si="428"/>
        <v>0</v>
      </c>
      <c r="BO282" s="171">
        <f t="shared" si="429"/>
        <v>0</v>
      </c>
      <c r="BP282" s="171">
        <f t="shared" si="429"/>
        <v>0</v>
      </c>
      <c r="BQ282" s="171">
        <f t="shared" si="429"/>
        <v>0</v>
      </c>
      <c r="BR282" s="171">
        <f t="shared" si="429"/>
        <v>0</v>
      </c>
      <c r="BS282" s="171">
        <f t="shared" si="429"/>
        <v>0</v>
      </c>
      <c r="BT282" s="171">
        <f t="shared" si="429"/>
        <v>0</v>
      </c>
      <c r="BU282" s="171">
        <f t="shared" si="429"/>
        <v>0</v>
      </c>
      <c r="BV282" s="171">
        <f t="shared" si="429"/>
        <v>0</v>
      </c>
      <c r="BW282" s="171">
        <f t="shared" si="429"/>
        <v>0</v>
      </c>
      <c r="BX282" s="171">
        <f t="shared" si="429"/>
        <v>0</v>
      </c>
      <c r="BY282" s="171">
        <f t="shared" si="430"/>
        <v>0</v>
      </c>
      <c r="BZ282" s="171">
        <f t="shared" si="430"/>
        <v>0</v>
      </c>
      <c r="CA282" s="171">
        <f t="shared" si="430"/>
        <v>0</v>
      </c>
      <c r="CB282" s="171">
        <f t="shared" si="430"/>
        <v>0</v>
      </c>
      <c r="CC282" s="171">
        <f t="shared" si="430"/>
        <v>0</v>
      </c>
      <c r="CD282" s="171">
        <f t="shared" si="430"/>
        <v>0</v>
      </c>
      <c r="CE282" s="171">
        <f t="shared" si="430"/>
        <v>0</v>
      </c>
      <c r="CF282" s="171">
        <f t="shared" si="430"/>
        <v>0</v>
      </c>
      <c r="CG282" s="171">
        <f t="shared" si="430"/>
        <v>0</v>
      </c>
      <c r="CH282" s="171">
        <f t="shared" si="430"/>
        <v>0</v>
      </c>
      <c r="CI282" s="171">
        <f t="shared" si="430"/>
        <v>0</v>
      </c>
      <c r="CJ282" s="243"/>
      <c r="CK282" s="171">
        <f t="shared" si="346"/>
        <v>0</v>
      </c>
      <c r="CL282" s="171">
        <f t="shared" si="347"/>
        <v>0</v>
      </c>
      <c r="CM282" s="171">
        <f t="shared" si="348"/>
        <v>0</v>
      </c>
      <c r="CN282" s="171">
        <f t="shared" si="349"/>
        <v>0</v>
      </c>
      <c r="CO282" s="171">
        <f t="shared" si="350"/>
        <v>0</v>
      </c>
      <c r="CP282" s="171">
        <f t="shared" si="351"/>
        <v>0</v>
      </c>
      <c r="CQ282" s="171">
        <f t="shared" si="352"/>
        <v>0</v>
      </c>
      <c r="CR282" s="171">
        <f t="shared" si="353"/>
        <v>0</v>
      </c>
      <c r="CS282" s="171">
        <f t="shared" si="354"/>
        <v>0</v>
      </c>
      <c r="CT282" s="171">
        <f t="shared" si="355"/>
        <v>0</v>
      </c>
      <c r="CU282" s="171">
        <f t="shared" si="356"/>
        <v>0</v>
      </c>
      <c r="CV282" s="171">
        <f t="shared" si="357"/>
        <v>0</v>
      </c>
      <c r="CW282" s="171">
        <f t="shared" si="358"/>
        <v>0</v>
      </c>
      <c r="CX282" s="171">
        <f t="shared" si="359"/>
        <v>0</v>
      </c>
      <c r="CY282" s="171">
        <f t="shared" ca="1" si="360"/>
        <v>0</v>
      </c>
      <c r="CZ282" s="171">
        <f t="shared" ca="1" si="361"/>
        <v>0</v>
      </c>
      <c r="DA282" s="171">
        <f t="shared" ca="1" si="362"/>
        <v>0</v>
      </c>
      <c r="DB282" s="171">
        <f t="shared" ca="1" si="363"/>
        <v>0</v>
      </c>
      <c r="DC282" s="171">
        <f t="shared" ca="1" si="364"/>
        <v>0</v>
      </c>
      <c r="DD282" s="171">
        <f t="shared" ca="1" si="365"/>
        <v>0</v>
      </c>
      <c r="DE282" s="171">
        <f t="shared" ca="1" si="366"/>
        <v>0</v>
      </c>
      <c r="DF282" s="171">
        <f t="shared" ca="1" si="367"/>
        <v>0</v>
      </c>
      <c r="DG282" s="171">
        <f t="shared" ca="1" si="368"/>
        <v>0</v>
      </c>
      <c r="DH282" s="171">
        <f t="shared" ca="1" si="369"/>
        <v>0</v>
      </c>
      <c r="DI282" s="171">
        <f t="shared" ca="1" si="370"/>
        <v>0</v>
      </c>
      <c r="DJ282" s="171">
        <f t="shared" ca="1" si="371"/>
        <v>0</v>
      </c>
      <c r="DK282" s="171">
        <f t="shared" ca="1" si="372"/>
        <v>0</v>
      </c>
      <c r="DL282" s="171">
        <f t="shared" ca="1" si="373"/>
        <v>0</v>
      </c>
      <c r="DM282" s="171">
        <f t="shared" ca="1" si="374"/>
        <v>0</v>
      </c>
      <c r="DN282" s="171">
        <f t="shared" ca="1" si="375"/>
        <v>0</v>
      </c>
      <c r="DO282" s="171">
        <f t="shared" ca="1" si="376"/>
        <v>0</v>
      </c>
      <c r="DP282" s="171">
        <f t="shared" ca="1" si="377"/>
        <v>0</v>
      </c>
      <c r="DQ282" s="171">
        <f t="shared" ca="1" si="378"/>
        <v>0</v>
      </c>
      <c r="DR282" s="171">
        <f t="shared" ca="1" si="379"/>
        <v>0</v>
      </c>
      <c r="DS282" s="171">
        <f t="shared" ca="1" si="380"/>
        <v>0</v>
      </c>
      <c r="DT282" s="171">
        <f t="shared" ca="1" si="381"/>
        <v>0</v>
      </c>
      <c r="DU282" s="171">
        <f t="shared" ca="1" si="382"/>
        <v>0</v>
      </c>
      <c r="DV282" s="171">
        <f t="shared" ca="1" si="383"/>
        <v>0</v>
      </c>
      <c r="DW282" s="171">
        <f t="shared" ca="1" si="384"/>
        <v>0</v>
      </c>
      <c r="DX282" s="171">
        <f t="shared" ca="1" si="385"/>
        <v>0</v>
      </c>
      <c r="DY282" s="171">
        <f t="shared" ca="1" si="386"/>
        <v>0</v>
      </c>
      <c r="DZ282" s="171">
        <f t="shared" ca="1" si="387"/>
        <v>0</v>
      </c>
      <c r="EA282" s="171">
        <f t="shared" ca="1" si="388"/>
        <v>0</v>
      </c>
      <c r="EB282" s="171">
        <f t="shared" ca="1" si="389"/>
        <v>0</v>
      </c>
      <c r="EC282" s="171">
        <f t="shared" ca="1" si="390"/>
        <v>0</v>
      </c>
      <c r="ED282" s="171">
        <f t="shared" ca="1" si="391"/>
        <v>0</v>
      </c>
      <c r="EE282" s="171">
        <f t="shared" ca="1" si="392"/>
        <v>0</v>
      </c>
      <c r="EF282" s="171">
        <f t="shared" ca="1" si="393"/>
        <v>0</v>
      </c>
      <c r="EG282" s="171">
        <f t="shared" ca="1" si="394"/>
        <v>0</v>
      </c>
      <c r="EH282" s="171">
        <f t="shared" ca="1" si="395"/>
        <v>0</v>
      </c>
      <c r="EI282" s="171">
        <f t="shared" ca="1" si="396"/>
        <v>0</v>
      </c>
      <c r="EJ282" s="171">
        <f t="shared" ca="1" si="397"/>
        <v>0</v>
      </c>
      <c r="EK282" s="171">
        <f t="shared" ca="1" si="398"/>
        <v>0</v>
      </c>
      <c r="EL282" s="171">
        <f t="shared" ca="1" si="399"/>
        <v>0</v>
      </c>
      <c r="EM282" s="171">
        <f t="shared" ca="1" si="400"/>
        <v>0</v>
      </c>
      <c r="EN282" s="171">
        <f t="shared" ca="1" si="401"/>
        <v>0</v>
      </c>
      <c r="EO282" s="171">
        <f t="shared" ca="1" si="402"/>
        <v>0</v>
      </c>
      <c r="EP282" s="171">
        <f t="shared" ca="1" si="403"/>
        <v>0</v>
      </c>
      <c r="EQ282" s="171">
        <f t="shared" ca="1" si="404"/>
        <v>0</v>
      </c>
      <c r="ER282" s="171">
        <f t="shared" ca="1" si="405"/>
        <v>0</v>
      </c>
      <c r="ES282" s="171">
        <f t="shared" ca="1" si="406"/>
        <v>0</v>
      </c>
    </row>
    <row r="283" spans="3:149">
      <c r="C283" s="214"/>
      <c r="H283" s="216"/>
      <c r="I283" s="217"/>
      <c r="L283" s="163"/>
      <c r="M283" s="164" t="str">
        <f t="shared" si="337"/>
        <v/>
      </c>
      <c r="N283" s="164" t="str">
        <f t="shared" si="338"/>
        <v/>
      </c>
      <c r="O283" s="165" t="str">
        <f t="shared" si="339"/>
        <v/>
      </c>
      <c r="R283" s="168"/>
      <c r="U283" s="171">
        <f t="shared" si="340"/>
        <v>0</v>
      </c>
      <c r="V283" s="171">
        <f t="shared" ca="1" si="341"/>
        <v>0</v>
      </c>
      <c r="W283" s="171">
        <f t="shared" ca="1" si="342"/>
        <v>0</v>
      </c>
      <c r="X283" s="172">
        <f t="shared" si="343"/>
        <v>0</v>
      </c>
      <c r="Y283" s="172" t="str">
        <f t="shared" si="344"/>
        <v/>
      </c>
      <c r="Z283" s="173">
        <f t="shared" si="345"/>
        <v>0</v>
      </c>
      <c r="AA283" s="171">
        <f t="shared" si="425"/>
        <v>0</v>
      </c>
      <c r="AB283" s="171">
        <f t="shared" si="425"/>
        <v>0</v>
      </c>
      <c r="AC283" s="171">
        <f t="shared" si="425"/>
        <v>0</v>
      </c>
      <c r="AD283" s="171">
        <f t="shared" si="425"/>
        <v>0</v>
      </c>
      <c r="AE283" s="171">
        <f t="shared" si="425"/>
        <v>0</v>
      </c>
      <c r="AF283" s="171">
        <f t="shared" si="425"/>
        <v>0</v>
      </c>
      <c r="AG283" s="171">
        <f t="shared" si="425"/>
        <v>0</v>
      </c>
      <c r="AH283" s="171">
        <f t="shared" si="425"/>
        <v>0</v>
      </c>
      <c r="AI283" s="171">
        <f t="shared" si="425"/>
        <v>0</v>
      </c>
      <c r="AJ283" s="171">
        <f t="shared" si="425"/>
        <v>0</v>
      </c>
      <c r="AK283" s="171">
        <f t="shared" si="426"/>
        <v>0</v>
      </c>
      <c r="AL283" s="171">
        <f t="shared" si="426"/>
        <v>0</v>
      </c>
      <c r="AM283" s="171">
        <f t="shared" si="426"/>
        <v>0</v>
      </c>
      <c r="AN283" s="171">
        <f t="shared" si="426"/>
        <v>0</v>
      </c>
      <c r="AO283" s="171">
        <f t="shared" si="426"/>
        <v>0</v>
      </c>
      <c r="AP283" s="171">
        <f t="shared" si="426"/>
        <v>0</v>
      </c>
      <c r="AQ283" s="171">
        <f t="shared" si="426"/>
        <v>0</v>
      </c>
      <c r="AR283" s="171">
        <f t="shared" si="426"/>
        <v>0</v>
      </c>
      <c r="AS283" s="171">
        <f t="shared" si="426"/>
        <v>0</v>
      </c>
      <c r="AT283" s="171">
        <f t="shared" si="426"/>
        <v>0</v>
      </c>
      <c r="AU283" s="171">
        <f t="shared" si="427"/>
        <v>0</v>
      </c>
      <c r="AV283" s="171">
        <f t="shared" si="427"/>
        <v>0</v>
      </c>
      <c r="AW283" s="171">
        <f t="shared" si="427"/>
        <v>0</v>
      </c>
      <c r="AX283" s="171">
        <f t="shared" si="427"/>
        <v>0</v>
      </c>
      <c r="AY283" s="171">
        <f t="shared" si="427"/>
        <v>0</v>
      </c>
      <c r="AZ283" s="171">
        <f t="shared" si="427"/>
        <v>0</v>
      </c>
      <c r="BA283" s="171">
        <f t="shared" si="427"/>
        <v>0</v>
      </c>
      <c r="BB283" s="171">
        <f t="shared" si="427"/>
        <v>0</v>
      </c>
      <c r="BC283" s="171">
        <f t="shared" si="427"/>
        <v>0</v>
      </c>
      <c r="BD283" s="171">
        <f t="shared" si="427"/>
        <v>0</v>
      </c>
      <c r="BE283" s="171">
        <f t="shared" si="428"/>
        <v>0</v>
      </c>
      <c r="BF283" s="171">
        <f t="shared" si="428"/>
        <v>0</v>
      </c>
      <c r="BG283" s="171">
        <f t="shared" si="428"/>
        <v>0</v>
      </c>
      <c r="BH283" s="171">
        <f t="shared" si="428"/>
        <v>0</v>
      </c>
      <c r="BI283" s="171">
        <f t="shared" si="428"/>
        <v>0</v>
      </c>
      <c r="BJ283" s="171">
        <f t="shared" si="428"/>
        <v>0</v>
      </c>
      <c r="BK283" s="171">
        <f t="shared" si="428"/>
        <v>0</v>
      </c>
      <c r="BL283" s="171">
        <f t="shared" si="428"/>
        <v>0</v>
      </c>
      <c r="BM283" s="171">
        <f t="shared" si="428"/>
        <v>0</v>
      </c>
      <c r="BN283" s="171">
        <f t="shared" si="428"/>
        <v>0</v>
      </c>
      <c r="BO283" s="171">
        <f t="shared" si="429"/>
        <v>0</v>
      </c>
      <c r="BP283" s="171">
        <f t="shared" si="429"/>
        <v>0</v>
      </c>
      <c r="BQ283" s="171">
        <f t="shared" si="429"/>
        <v>0</v>
      </c>
      <c r="BR283" s="171">
        <f t="shared" si="429"/>
        <v>0</v>
      </c>
      <c r="BS283" s="171">
        <f t="shared" si="429"/>
        <v>0</v>
      </c>
      <c r="BT283" s="171">
        <f t="shared" si="429"/>
        <v>0</v>
      </c>
      <c r="BU283" s="171">
        <f t="shared" si="429"/>
        <v>0</v>
      </c>
      <c r="BV283" s="171">
        <f t="shared" si="429"/>
        <v>0</v>
      </c>
      <c r="BW283" s="171">
        <f t="shared" si="429"/>
        <v>0</v>
      </c>
      <c r="BX283" s="171">
        <f t="shared" si="429"/>
        <v>0</v>
      </c>
      <c r="BY283" s="171">
        <f t="shared" si="430"/>
        <v>0</v>
      </c>
      <c r="BZ283" s="171">
        <f t="shared" si="430"/>
        <v>0</v>
      </c>
      <c r="CA283" s="171">
        <f t="shared" si="430"/>
        <v>0</v>
      </c>
      <c r="CB283" s="171">
        <f t="shared" si="430"/>
        <v>0</v>
      </c>
      <c r="CC283" s="171">
        <f t="shared" si="430"/>
        <v>0</v>
      </c>
      <c r="CD283" s="171">
        <f t="shared" si="430"/>
        <v>0</v>
      </c>
      <c r="CE283" s="171">
        <f t="shared" si="430"/>
        <v>0</v>
      </c>
      <c r="CF283" s="171">
        <f t="shared" si="430"/>
        <v>0</v>
      </c>
      <c r="CG283" s="171">
        <f t="shared" si="430"/>
        <v>0</v>
      </c>
      <c r="CH283" s="171">
        <f t="shared" si="430"/>
        <v>0</v>
      </c>
      <c r="CI283" s="171">
        <f t="shared" si="430"/>
        <v>0</v>
      </c>
      <c r="CJ283" s="243"/>
      <c r="CK283" s="171">
        <f t="shared" si="346"/>
        <v>0</v>
      </c>
      <c r="CL283" s="171">
        <f t="shared" si="347"/>
        <v>0</v>
      </c>
      <c r="CM283" s="171">
        <f t="shared" si="348"/>
        <v>0</v>
      </c>
      <c r="CN283" s="171">
        <f t="shared" si="349"/>
        <v>0</v>
      </c>
      <c r="CO283" s="171">
        <f t="shared" si="350"/>
        <v>0</v>
      </c>
      <c r="CP283" s="171">
        <f t="shared" si="351"/>
        <v>0</v>
      </c>
      <c r="CQ283" s="171">
        <f t="shared" si="352"/>
        <v>0</v>
      </c>
      <c r="CR283" s="171">
        <f t="shared" si="353"/>
        <v>0</v>
      </c>
      <c r="CS283" s="171">
        <f t="shared" si="354"/>
        <v>0</v>
      </c>
      <c r="CT283" s="171">
        <f t="shared" si="355"/>
        <v>0</v>
      </c>
      <c r="CU283" s="171">
        <f t="shared" si="356"/>
        <v>0</v>
      </c>
      <c r="CV283" s="171">
        <f t="shared" si="357"/>
        <v>0</v>
      </c>
      <c r="CW283" s="171">
        <f t="shared" si="358"/>
        <v>0</v>
      </c>
      <c r="CX283" s="171">
        <f t="shared" si="359"/>
        <v>0</v>
      </c>
      <c r="CY283" s="171">
        <f t="shared" ca="1" si="360"/>
        <v>0</v>
      </c>
      <c r="CZ283" s="171">
        <f t="shared" ca="1" si="361"/>
        <v>0</v>
      </c>
      <c r="DA283" s="171">
        <f t="shared" ca="1" si="362"/>
        <v>0</v>
      </c>
      <c r="DB283" s="171">
        <f t="shared" ca="1" si="363"/>
        <v>0</v>
      </c>
      <c r="DC283" s="171">
        <f t="shared" ca="1" si="364"/>
        <v>0</v>
      </c>
      <c r="DD283" s="171">
        <f t="shared" ca="1" si="365"/>
        <v>0</v>
      </c>
      <c r="DE283" s="171">
        <f t="shared" ca="1" si="366"/>
        <v>0</v>
      </c>
      <c r="DF283" s="171">
        <f t="shared" ca="1" si="367"/>
        <v>0</v>
      </c>
      <c r="DG283" s="171">
        <f t="shared" ca="1" si="368"/>
        <v>0</v>
      </c>
      <c r="DH283" s="171">
        <f t="shared" ca="1" si="369"/>
        <v>0</v>
      </c>
      <c r="DI283" s="171">
        <f t="shared" ca="1" si="370"/>
        <v>0</v>
      </c>
      <c r="DJ283" s="171">
        <f t="shared" ca="1" si="371"/>
        <v>0</v>
      </c>
      <c r="DK283" s="171">
        <f t="shared" ca="1" si="372"/>
        <v>0</v>
      </c>
      <c r="DL283" s="171">
        <f t="shared" ca="1" si="373"/>
        <v>0</v>
      </c>
      <c r="DM283" s="171">
        <f t="shared" ca="1" si="374"/>
        <v>0</v>
      </c>
      <c r="DN283" s="171">
        <f t="shared" ca="1" si="375"/>
        <v>0</v>
      </c>
      <c r="DO283" s="171">
        <f t="shared" ca="1" si="376"/>
        <v>0</v>
      </c>
      <c r="DP283" s="171">
        <f t="shared" ca="1" si="377"/>
        <v>0</v>
      </c>
      <c r="DQ283" s="171">
        <f t="shared" ca="1" si="378"/>
        <v>0</v>
      </c>
      <c r="DR283" s="171">
        <f t="shared" ca="1" si="379"/>
        <v>0</v>
      </c>
      <c r="DS283" s="171">
        <f t="shared" ca="1" si="380"/>
        <v>0</v>
      </c>
      <c r="DT283" s="171">
        <f t="shared" ca="1" si="381"/>
        <v>0</v>
      </c>
      <c r="DU283" s="171">
        <f t="shared" ca="1" si="382"/>
        <v>0</v>
      </c>
      <c r="DV283" s="171">
        <f t="shared" ca="1" si="383"/>
        <v>0</v>
      </c>
      <c r="DW283" s="171">
        <f t="shared" ca="1" si="384"/>
        <v>0</v>
      </c>
      <c r="DX283" s="171">
        <f t="shared" ca="1" si="385"/>
        <v>0</v>
      </c>
      <c r="DY283" s="171">
        <f t="shared" ca="1" si="386"/>
        <v>0</v>
      </c>
      <c r="DZ283" s="171">
        <f t="shared" ca="1" si="387"/>
        <v>0</v>
      </c>
      <c r="EA283" s="171">
        <f t="shared" ca="1" si="388"/>
        <v>0</v>
      </c>
      <c r="EB283" s="171">
        <f t="shared" ca="1" si="389"/>
        <v>0</v>
      </c>
      <c r="EC283" s="171">
        <f t="shared" ca="1" si="390"/>
        <v>0</v>
      </c>
      <c r="ED283" s="171">
        <f t="shared" ca="1" si="391"/>
        <v>0</v>
      </c>
      <c r="EE283" s="171">
        <f t="shared" ca="1" si="392"/>
        <v>0</v>
      </c>
      <c r="EF283" s="171">
        <f t="shared" ca="1" si="393"/>
        <v>0</v>
      </c>
      <c r="EG283" s="171">
        <f t="shared" ca="1" si="394"/>
        <v>0</v>
      </c>
      <c r="EH283" s="171">
        <f t="shared" ca="1" si="395"/>
        <v>0</v>
      </c>
      <c r="EI283" s="171">
        <f t="shared" ca="1" si="396"/>
        <v>0</v>
      </c>
      <c r="EJ283" s="171">
        <f t="shared" ca="1" si="397"/>
        <v>0</v>
      </c>
      <c r="EK283" s="171">
        <f t="shared" ca="1" si="398"/>
        <v>0</v>
      </c>
      <c r="EL283" s="171">
        <f t="shared" ca="1" si="399"/>
        <v>0</v>
      </c>
      <c r="EM283" s="171">
        <f t="shared" ca="1" si="400"/>
        <v>0</v>
      </c>
      <c r="EN283" s="171">
        <f t="shared" ca="1" si="401"/>
        <v>0</v>
      </c>
      <c r="EO283" s="171">
        <f t="shared" ca="1" si="402"/>
        <v>0</v>
      </c>
      <c r="EP283" s="171">
        <f t="shared" ca="1" si="403"/>
        <v>0</v>
      </c>
      <c r="EQ283" s="171">
        <f t="shared" ca="1" si="404"/>
        <v>0</v>
      </c>
      <c r="ER283" s="171">
        <f t="shared" ca="1" si="405"/>
        <v>0</v>
      </c>
      <c r="ES283" s="171">
        <f t="shared" ca="1" si="406"/>
        <v>0</v>
      </c>
    </row>
    <row r="284" spans="3:149">
      <c r="C284" s="214"/>
      <c r="H284" s="216"/>
      <c r="I284" s="217"/>
      <c r="L284" s="163"/>
      <c r="M284" s="164" t="str">
        <f t="shared" si="337"/>
        <v/>
      </c>
      <c r="N284" s="164" t="str">
        <f t="shared" si="338"/>
        <v/>
      </c>
      <c r="O284" s="165" t="str">
        <f t="shared" si="339"/>
        <v/>
      </c>
      <c r="R284" s="168"/>
      <c r="U284" s="171">
        <f t="shared" si="340"/>
        <v>0</v>
      </c>
      <c r="V284" s="171">
        <f t="shared" ca="1" si="341"/>
        <v>0</v>
      </c>
      <c r="W284" s="171">
        <f t="shared" ca="1" si="342"/>
        <v>0</v>
      </c>
      <c r="X284" s="172">
        <f t="shared" si="343"/>
        <v>0</v>
      </c>
      <c r="Y284" s="172" t="str">
        <f t="shared" si="344"/>
        <v/>
      </c>
      <c r="Z284" s="173">
        <f t="shared" si="345"/>
        <v>0</v>
      </c>
      <c r="AA284" s="171">
        <f t="shared" si="425"/>
        <v>0</v>
      </c>
      <c r="AB284" s="171">
        <f t="shared" si="425"/>
        <v>0</v>
      </c>
      <c r="AC284" s="171">
        <f t="shared" si="425"/>
        <v>0</v>
      </c>
      <c r="AD284" s="171">
        <f t="shared" si="425"/>
        <v>0</v>
      </c>
      <c r="AE284" s="171">
        <f t="shared" si="425"/>
        <v>0</v>
      </c>
      <c r="AF284" s="171">
        <f t="shared" si="425"/>
        <v>0</v>
      </c>
      <c r="AG284" s="171">
        <f t="shared" si="425"/>
        <v>0</v>
      </c>
      <c r="AH284" s="171">
        <f t="shared" si="425"/>
        <v>0</v>
      </c>
      <c r="AI284" s="171">
        <f t="shared" si="425"/>
        <v>0</v>
      </c>
      <c r="AJ284" s="171">
        <f t="shared" si="425"/>
        <v>0</v>
      </c>
      <c r="AK284" s="171">
        <f t="shared" si="426"/>
        <v>0</v>
      </c>
      <c r="AL284" s="171">
        <f t="shared" si="426"/>
        <v>0</v>
      </c>
      <c r="AM284" s="171">
        <f t="shared" si="426"/>
        <v>0</v>
      </c>
      <c r="AN284" s="171">
        <f t="shared" si="426"/>
        <v>0</v>
      </c>
      <c r="AO284" s="171">
        <f t="shared" si="426"/>
        <v>0</v>
      </c>
      <c r="AP284" s="171">
        <f t="shared" si="426"/>
        <v>0</v>
      </c>
      <c r="AQ284" s="171">
        <f t="shared" si="426"/>
        <v>0</v>
      </c>
      <c r="AR284" s="171">
        <f t="shared" si="426"/>
        <v>0</v>
      </c>
      <c r="AS284" s="171">
        <f t="shared" si="426"/>
        <v>0</v>
      </c>
      <c r="AT284" s="171">
        <f t="shared" si="426"/>
        <v>0</v>
      </c>
      <c r="AU284" s="171">
        <f t="shared" si="427"/>
        <v>0</v>
      </c>
      <c r="AV284" s="171">
        <f t="shared" si="427"/>
        <v>0</v>
      </c>
      <c r="AW284" s="171">
        <f t="shared" si="427"/>
        <v>0</v>
      </c>
      <c r="AX284" s="171">
        <f t="shared" si="427"/>
        <v>0</v>
      </c>
      <c r="AY284" s="171">
        <f t="shared" si="427"/>
        <v>0</v>
      </c>
      <c r="AZ284" s="171">
        <f t="shared" si="427"/>
        <v>0</v>
      </c>
      <c r="BA284" s="171">
        <f t="shared" si="427"/>
        <v>0</v>
      </c>
      <c r="BB284" s="171">
        <f t="shared" si="427"/>
        <v>0</v>
      </c>
      <c r="BC284" s="171">
        <f t="shared" si="427"/>
        <v>0</v>
      </c>
      <c r="BD284" s="171">
        <f t="shared" si="427"/>
        <v>0</v>
      </c>
      <c r="BE284" s="171">
        <f t="shared" si="428"/>
        <v>0</v>
      </c>
      <c r="BF284" s="171">
        <f t="shared" si="428"/>
        <v>0</v>
      </c>
      <c r="BG284" s="171">
        <f t="shared" si="428"/>
        <v>0</v>
      </c>
      <c r="BH284" s="171">
        <f t="shared" si="428"/>
        <v>0</v>
      </c>
      <c r="BI284" s="171">
        <f t="shared" si="428"/>
        <v>0</v>
      </c>
      <c r="BJ284" s="171">
        <f t="shared" si="428"/>
        <v>0</v>
      </c>
      <c r="BK284" s="171">
        <f t="shared" si="428"/>
        <v>0</v>
      </c>
      <c r="BL284" s="171">
        <f t="shared" si="428"/>
        <v>0</v>
      </c>
      <c r="BM284" s="171">
        <f t="shared" si="428"/>
        <v>0</v>
      </c>
      <c r="BN284" s="171">
        <f t="shared" si="428"/>
        <v>0</v>
      </c>
      <c r="BO284" s="171">
        <f t="shared" si="429"/>
        <v>0</v>
      </c>
      <c r="BP284" s="171">
        <f t="shared" si="429"/>
        <v>0</v>
      </c>
      <c r="BQ284" s="171">
        <f t="shared" si="429"/>
        <v>0</v>
      </c>
      <c r="BR284" s="171">
        <f t="shared" si="429"/>
        <v>0</v>
      </c>
      <c r="BS284" s="171">
        <f t="shared" si="429"/>
        <v>0</v>
      </c>
      <c r="BT284" s="171">
        <f t="shared" si="429"/>
        <v>0</v>
      </c>
      <c r="BU284" s="171">
        <f t="shared" si="429"/>
        <v>0</v>
      </c>
      <c r="BV284" s="171">
        <f t="shared" si="429"/>
        <v>0</v>
      </c>
      <c r="BW284" s="171">
        <f t="shared" si="429"/>
        <v>0</v>
      </c>
      <c r="BX284" s="171">
        <f t="shared" si="429"/>
        <v>0</v>
      </c>
      <c r="BY284" s="171">
        <f t="shared" si="430"/>
        <v>0</v>
      </c>
      <c r="BZ284" s="171">
        <f t="shared" si="430"/>
        <v>0</v>
      </c>
      <c r="CA284" s="171">
        <f t="shared" si="430"/>
        <v>0</v>
      </c>
      <c r="CB284" s="171">
        <f t="shared" si="430"/>
        <v>0</v>
      </c>
      <c r="CC284" s="171">
        <f t="shared" si="430"/>
        <v>0</v>
      </c>
      <c r="CD284" s="171">
        <f t="shared" si="430"/>
        <v>0</v>
      </c>
      <c r="CE284" s="171">
        <f t="shared" si="430"/>
        <v>0</v>
      </c>
      <c r="CF284" s="171">
        <f t="shared" si="430"/>
        <v>0</v>
      </c>
      <c r="CG284" s="171">
        <f t="shared" si="430"/>
        <v>0</v>
      </c>
      <c r="CH284" s="171">
        <f t="shared" si="430"/>
        <v>0</v>
      </c>
      <c r="CI284" s="171">
        <f t="shared" si="430"/>
        <v>0</v>
      </c>
      <c r="CJ284" s="243"/>
      <c r="CK284" s="171">
        <f t="shared" si="346"/>
        <v>0</v>
      </c>
      <c r="CL284" s="171">
        <f t="shared" si="347"/>
        <v>0</v>
      </c>
      <c r="CM284" s="171">
        <f t="shared" si="348"/>
        <v>0</v>
      </c>
      <c r="CN284" s="171">
        <f t="shared" si="349"/>
        <v>0</v>
      </c>
      <c r="CO284" s="171">
        <f t="shared" si="350"/>
        <v>0</v>
      </c>
      <c r="CP284" s="171">
        <f t="shared" si="351"/>
        <v>0</v>
      </c>
      <c r="CQ284" s="171">
        <f t="shared" si="352"/>
        <v>0</v>
      </c>
      <c r="CR284" s="171">
        <f t="shared" si="353"/>
        <v>0</v>
      </c>
      <c r="CS284" s="171">
        <f t="shared" si="354"/>
        <v>0</v>
      </c>
      <c r="CT284" s="171">
        <f t="shared" si="355"/>
        <v>0</v>
      </c>
      <c r="CU284" s="171">
        <f t="shared" si="356"/>
        <v>0</v>
      </c>
      <c r="CV284" s="171">
        <f t="shared" si="357"/>
        <v>0</v>
      </c>
      <c r="CW284" s="171">
        <f t="shared" si="358"/>
        <v>0</v>
      </c>
      <c r="CX284" s="171">
        <f t="shared" si="359"/>
        <v>0</v>
      </c>
      <c r="CY284" s="171">
        <f t="shared" ca="1" si="360"/>
        <v>0</v>
      </c>
      <c r="CZ284" s="171">
        <f t="shared" ca="1" si="361"/>
        <v>0</v>
      </c>
      <c r="DA284" s="171">
        <f t="shared" ca="1" si="362"/>
        <v>0</v>
      </c>
      <c r="DB284" s="171">
        <f t="shared" ca="1" si="363"/>
        <v>0</v>
      </c>
      <c r="DC284" s="171">
        <f t="shared" ca="1" si="364"/>
        <v>0</v>
      </c>
      <c r="DD284" s="171">
        <f t="shared" ca="1" si="365"/>
        <v>0</v>
      </c>
      <c r="DE284" s="171">
        <f t="shared" ca="1" si="366"/>
        <v>0</v>
      </c>
      <c r="DF284" s="171">
        <f t="shared" ca="1" si="367"/>
        <v>0</v>
      </c>
      <c r="DG284" s="171">
        <f t="shared" ca="1" si="368"/>
        <v>0</v>
      </c>
      <c r="DH284" s="171">
        <f t="shared" ca="1" si="369"/>
        <v>0</v>
      </c>
      <c r="DI284" s="171">
        <f t="shared" ca="1" si="370"/>
        <v>0</v>
      </c>
      <c r="DJ284" s="171">
        <f t="shared" ca="1" si="371"/>
        <v>0</v>
      </c>
      <c r="DK284" s="171">
        <f t="shared" ca="1" si="372"/>
        <v>0</v>
      </c>
      <c r="DL284" s="171">
        <f t="shared" ca="1" si="373"/>
        <v>0</v>
      </c>
      <c r="DM284" s="171">
        <f t="shared" ca="1" si="374"/>
        <v>0</v>
      </c>
      <c r="DN284" s="171">
        <f t="shared" ca="1" si="375"/>
        <v>0</v>
      </c>
      <c r="DO284" s="171">
        <f t="shared" ca="1" si="376"/>
        <v>0</v>
      </c>
      <c r="DP284" s="171">
        <f t="shared" ca="1" si="377"/>
        <v>0</v>
      </c>
      <c r="DQ284" s="171">
        <f t="shared" ca="1" si="378"/>
        <v>0</v>
      </c>
      <c r="DR284" s="171">
        <f t="shared" ca="1" si="379"/>
        <v>0</v>
      </c>
      <c r="DS284" s="171">
        <f t="shared" ca="1" si="380"/>
        <v>0</v>
      </c>
      <c r="DT284" s="171">
        <f t="shared" ca="1" si="381"/>
        <v>0</v>
      </c>
      <c r="DU284" s="171">
        <f t="shared" ca="1" si="382"/>
        <v>0</v>
      </c>
      <c r="DV284" s="171">
        <f t="shared" ca="1" si="383"/>
        <v>0</v>
      </c>
      <c r="DW284" s="171">
        <f t="shared" ca="1" si="384"/>
        <v>0</v>
      </c>
      <c r="DX284" s="171">
        <f t="shared" ca="1" si="385"/>
        <v>0</v>
      </c>
      <c r="DY284" s="171">
        <f t="shared" ca="1" si="386"/>
        <v>0</v>
      </c>
      <c r="DZ284" s="171">
        <f t="shared" ca="1" si="387"/>
        <v>0</v>
      </c>
      <c r="EA284" s="171">
        <f t="shared" ca="1" si="388"/>
        <v>0</v>
      </c>
      <c r="EB284" s="171">
        <f t="shared" ca="1" si="389"/>
        <v>0</v>
      </c>
      <c r="EC284" s="171">
        <f t="shared" ca="1" si="390"/>
        <v>0</v>
      </c>
      <c r="ED284" s="171">
        <f t="shared" ca="1" si="391"/>
        <v>0</v>
      </c>
      <c r="EE284" s="171">
        <f t="shared" ca="1" si="392"/>
        <v>0</v>
      </c>
      <c r="EF284" s="171">
        <f t="shared" ca="1" si="393"/>
        <v>0</v>
      </c>
      <c r="EG284" s="171">
        <f t="shared" ca="1" si="394"/>
        <v>0</v>
      </c>
      <c r="EH284" s="171">
        <f t="shared" ca="1" si="395"/>
        <v>0</v>
      </c>
      <c r="EI284" s="171">
        <f t="shared" ca="1" si="396"/>
        <v>0</v>
      </c>
      <c r="EJ284" s="171">
        <f t="shared" ca="1" si="397"/>
        <v>0</v>
      </c>
      <c r="EK284" s="171">
        <f t="shared" ca="1" si="398"/>
        <v>0</v>
      </c>
      <c r="EL284" s="171">
        <f t="shared" ca="1" si="399"/>
        <v>0</v>
      </c>
      <c r="EM284" s="171">
        <f t="shared" ca="1" si="400"/>
        <v>0</v>
      </c>
      <c r="EN284" s="171">
        <f t="shared" ca="1" si="401"/>
        <v>0</v>
      </c>
      <c r="EO284" s="171">
        <f t="shared" ca="1" si="402"/>
        <v>0</v>
      </c>
      <c r="EP284" s="171">
        <f t="shared" ca="1" si="403"/>
        <v>0</v>
      </c>
      <c r="EQ284" s="171">
        <f t="shared" ca="1" si="404"/>
        <v>0</v>
      </c>
      <c r="ER284" s="171">
        <f t="shared" ca="1" si="405"/>
        <v>0</v>
      </c>
      <c r="ES284" s="171">
        <f t="shared" ca="1" si="406"/>
        <v>0</v>
      </c>
    </row>
    <row r="285" spans="3:149">
      <c r="C285" s="214"/>
      <c r="H285" s="216"/>
      <c r="I285" s="217"/>
      <c r="L285" s="163"/>
      <c r="M285" s="164" t="str">
        <f t="shared" si="337"/>
        <v/>
      </c>
      <c r="N285" s="164" t="str">
        <f t="shared" si="338"/>
        <v/>
      </c>
      <c r="O285" s="165" t="str">
        <f t="shared" si="339"/>
        <v/>
      </c>
      <c r="R285" s="168"/>
      <c r="U285" s="171">
        <f t="shared" si="340"/>
        <v>0</v>
      </c>
      <c r="V285" s="171">
        <f t="shared" ca="1" si="341"/>
        <v>0</v>
      </c>
      <c r="W285" s="171">
        <f t="shared" ca="1" si="342"/>
        <v>0</v>
      </c>
      <c r="X285" s="172">
        <f t="shared" si="343"/>
        <v>0</v>
      </c>
      <c r="Y285" s="172" t="str">
        <f t="shared" si="344"/>
        <v/>
      </c>
      <c r="Z285" s="173">
        <f t="shared" si="345"/>
        <v>0</v>
      </c>
      <c r="AA285" s="171">
        <f t="shared" si="425"/>
        <v>0</v>
      </c>
      <c r="AB285" s="171">
        <f t="shared" si="425"/>
        <v>0</v>
      </c>
      <c r="AC285" s="171">
        <f t="shared" si="425"/>
        <v>0</v>
      </c>
      <c r="AD285" s="171">
        <f t="shared" si="425"/>
        <v>0</v>
      </c>
      <c r="AE285" s="171">
        <f t="shared" si="425"/>
        <v>0</v>
      </c>
      <c r="AF285" s="171">
        <f t="shared" si="425"/>
        <v>0</v>
      </c>
      <c r="AG285" s="171">
        <f t="shared" si="425"/>
        <v>0</v>
      </c>
      <c r="AH285" s="171">
        <f t="shared" si="425"/>
        <v>0</v>
      </c>
      <c r="AI285" s="171">
        <f t="shared" si="425"/>
        <v>0</v>
      </c>
      <c r="AJ285" s="171">
        <f t="shared" si="425"/>
        <v>0</v>
      </c>
      <c r="AK285" s="171">
        <f t="shared" si="426"/>
        <v>0</v>
      </c>
      <c r="AL285" s="171">
        <f t="shared" si="426"/>
        <v>0</v>
      </c>
      <c r="AM285" s="171">
        <f t="shared" si="426"/>
        <v>0</v>
      </c>
      <c r="AN285" s="171">
        <f t="shared" si="426"/>
        <v>0</v>
      </c>
      <c r="AO285" s="171">
        <f t="shared" si="426"/>
        <v>0</v>
      </c>
      <c r="AP285" s="171">
        <f t="shared" si="426"/>
        <v>0</v>
      </c>
      <c r="AQ285" s="171">
        <f t="shared" si="426"/>
        <v>0</v>
      </c>
      <c r="AR285" s="171">
        <f t="shared" si="426"/>
        <v>0</v>
      </c>
      <c r="AS285" s="171">
        <f t="shared" si="426"/>
        <v>0</v>
      </c>
      <c r="AT285" s="171">
        <f t="shared" si="426"/>
        <v>0</v>
      </c>
      <c r="AU285" s="171">
        <f t="shared" si="427"/>
        <v>0</v>
      </c>
      <c r="AV285" s="171">
        <f t="shared" si="427"/>
        <v>0</v>
      </c>
      <c r="AW285" s="171">
        <f t="shared" si="427"/>
        <v>0</v>
      </c>
      <c r="AX285" s="171">
        <f t="shared" si="427"/>
        <v>0</v>
      </c>
      <c r="AY285" s="171">
        <f t="shared" si="427"/>
        <v>0</v>
      </c>
      <c r="AZ285" s="171">
        <f t="shared" si="427"/>
        <v>0</v>
      </c>
      <c r="BA285" s="171">
        <f t="shared" si="427"/>
        <v>0</v>
      </c>
      <c r="BB285" s="171">
        <f t="shared" si="427"/>
        <v>0</v>
      </c>
      <c r="BC285" s="171">
        <f t="shared" si="427"/>
        <v>0</v>
      </c>
      <c r="BD285" s="171">
        <f t="shared" si="427"/>
        <v>0</v>
      </c>
      <c r="BE285" s="171">
        <f t="shared" si="428"/>
        <v>0</v>
      </c>
      <c r="BF285" s="171">
        <f t="shared" si="428"/>
        <v>0</v>
      </c>
      <c r="BG285" s="171">
        <f t="shared" si="428"/>
        <v>0</v>
      </c>
      <c r="BH285" s="171">
        <f t="shared" si="428"/>
        <v>0</v>
      </c>
      <c r="BI285" s="171">
        <f t="shared" si="428"/>
        <v>0</v>
      </c>
      <c r="BJ285" s="171">
        <f t="shared" si="428"/>
        <v>0</v>
      </c>
      <c r="BK285" s="171">
        <f t="shared" si="428"/>
        <v>0</v>
      </c>
      <c r="BL285" s="171">
        <f t="shared" si="428"/>
        <v>0</v>
      </c>
      <c r="BM285" s="171">
        <f t="shared" si="428"/>
        <v>0</v>
      </c>
      <c r="BN285" s="171">
        <f t="shared" si="428"/>
        <v>0</v>
      </c>
      <c r="BO285" s="171">
        <f t="shared" si="429"/>
        <v>0</v>
      </c>
      <c r="BP285" s="171">
        <f t="shared" si="429"/>
        <v>0</v>
      </c>
      <c r="BQ285" s="171">
        <f t="shared" si="429"/>
        <v>0</v>
      </c>
      <c r="BR285" s="171">
        <f t="shared" si="429"/>
        <v>0</v>
      </c>
      <c r="BS285" s="171">
        <f t="shared" si="429"/>
        <v>0</v>
      </c>
      <c r="BT285" s="171">
        <f t="shared" si="429"/>
        <v>0</v>
      </c>
      <c r="BU285" s="171">
        <f t="shared" si="429"/>
        <v>0</v>
      </c>
      <c r="BV285" s="171">
        <f t="shared" si="429"/>
        <v>0</v>
      </c>
      <c r="BW285" s="171">
        <f t="shared" si="429"/>
        <v>0</v>
      </c>
      <c r="BX285" s="171">
        <f t="shared" si="429"/>
        <v>0</v>
      </c>
      <c r="BY285" s="171">
        <f t="shared" si="430"/>
        <v>0</v>
      </c>
      <c r="BZ285" s="171">
        <f t="shared" si="430"/>
        <v>0</v>
      </c>
      <c r="CA285" s="171">
        <f t="shared" si="430"/>
        <v>0</v>
      </c>
      <c r="CB285" s="171">
        <f t="shared" si="430"/>
        <v>0</v>
      </c>
      <c r="CC285" s="171">
        <f t="shared" si="430"/>
        <v>0</v>
      </c>
      <c r="CD285" s="171">
        <f t="shared" si="430"/>
        <v>0</v>
      </c>
      <c r="CE285" s="171">
        <f t="shared" si="430"/>
        <v>0</v>
      </c>
      <c r="CF285" s="171">
        <f t="shared" si="430"/>
        <v>0</v>
      </c>
      <c r="CG285" s="171">
        <f t="shared" si="430"/>
        <v>0</v>
      </c>
      <c r="CH285" s="171">
        <f t="shared" si="430"/>
        <v>0</v>
      </c>
      <c r="CI285" s="171">
        <f t="shared" si="430"/>
        <v>0</v>
      </c>
      <c r="CJ285" s="243"/>
      <c r="CK285" s="171">
        <f t="shared" si="346"/>
        <v>0</v>
      </c>
      <c r="CL285" s="171">
        <f t="shared" si="347"/>
        <v>0</v>
      </c>
      <c r="CM285" s="171">
        <f t="shared" si="348"/>
        <v>0</v>
      </c>
      <c r="CN285" s="171">
        <f t="shared" si="349"/>
        <v>0</v>
      </c>
      <c r="CO285" s="171">
        <f t="shared" si="350"/>
        <v>0</v>
      </c>
      <c r="CP285" s="171">
        <f t="shared" si="351"/>
        <v>0</v>
      </c>
      <c r="CQ285" s="171">
        <f t="shared" si="352"/>
        <v>0</v>
      </c>
      <c r="CR285" s="171">
        <f t="shared" si="353"/>
        <v>0</v>
      </c>
      <c r="CS285" s="171">
        <f t="shared" si="354"/>
        <v>0</v>
      </c>
      <c r="CT285" s="171">
        <f t="shared" si="355"/>
        <v>0</v>
      </c>
      <c r="CU285" s="171">
        <f t="shared" si="356"/>
        <v>0</v>
      </c>
      <c r="CV285" s="171">
        <f t="shared" si="357"/>
        <v>0</v>
      </c>
      <c r="CW285" s="171">
        <f t="shared" si="358"/>
        <v>0</v>
      </c>
      <c r="CX285" s="171">
        <f t="shared" si="359"/>
        <v>0</v>
      </c>
      <c r="CY285" s="171">
        <f t="shared" ca="1" si="360"/>
        <v>0</v>
      </c>
      <c r="CZ285" s="171">
        <f t="shared" ca="1" si="361"/>
        <v>0</v>
      </c>
      <c r="DA285" s="171">
        <f t="shared" ca="1" si="362"/>
        <v>0</v>
      </c>
      <c r="DB285" s="171">
        <f t="shared" ca="1" si="363"/>
        <v>0</v>
      </c>
      <c r="DC285" s="171">
        <f t="shared" ca="1" si="364"/>
        <v>0</v>
      </c>
      <c r="DD285" s="171">
        <f t="shared" ca="1" si="365"/>
        <v>0</v>
      </c>
      <c r="DE285" s="171">
        <f t="shared" ca="1" si="366"/>
        <v>0</v>
      </c>
      <c r="DF285" s="171">
        <f t="shared" ca="1" si="367"/>
        <v>0</v>
      </c>
      <c r="DG285" s="171">
        <f t="shared" ca="1" si="368"/>
        <v>0</v>
      </c>
      <c r="DH285" s="171">
        <f t="shared" ca="1" si="369"/>
        <v>0</v>
      </c>
      <c r="DI285" s="171">
        <f t="shared" ca="1" si="370"/>
        <v>0</v>
      </c>
      <c r="DJ285" s="171">
        <f t="shared" ca="1" si="371"/>
        <v>0</v>
      </c>
      <c r="DK285" s="171">
        <f t="shared" ca="1" si="372"/>
        <v>0</v>
      </c>
      <c r="DL285" s="171">
        <f t="shared" ca="1" si="373"/>
        <v>0</v>
      </c>
      <c r="DM285" s="171">
        <f t="shared" ca="1" si="374"/>
        <v>0</v>
      </c>
      <c r="DN285" s="171">
        <f t="shared" ca="1" si="375"/>
        <v>0</v>
      </c>
      <c r="DO285" s="171">
        <f t="shared" ca="1" si="376"/>
        <v>0</v>
      </c>
      <c r="DP285" s="171">
        <f t="shared" ca="1" si="377"/>
        <v>0</v>
      </c>
      <c r="DQ285" s="171">
        <f t="shared" ca="1" si="378"/>
        <v>0</v>
      </c>
      <c r="DR285" s="171">
        <f t="shared" ca="1" si="379"/>
        <v>0</v>
      </c>
      <c r="DS285" s="171">
        <f t="shared" ca="1" si="380"/>
        <v>0</v>
      </c>
      <c r="DT285" s="171">
        <f t="shared" ca="1" si="381"/>
        <v>0</v>
      </c>
      <c r="DU285" s="171">
        <f t="shared" ca="1" si="382"/>
        <v>0</v>
      </c>
      <c r="DV285" s="171">
        <f t="shared" ca="1" si="383"/>
        <v>0</v>
      </c>
      <c r="DW285" s="171">
        <f t="shared" ca="1" si="384"/>
        <v>0</v>
      </c>
      <c r="DX285" s="171">
        <f t="shared" ca="1" si="385"/>
        <v>0</v>
      </c>
      <c r="DY285" s="171">
        <f t="shared" ca="1" si="386"/>
        <v>0</v>
      </c>
      <c r="DZ285" s="171">
        <f t="shared" ca="1" si="387"/>
        <v>0</v>
      </c>
      <c r="EA285" s="171">
        <f t="shared" ca="1" si="388"/>
        <v>0</v>
      </c>
      <c r="EB285" s="171">
        <f t="shared" ca="1" si="389"/>
        <v>0</v>
      </c>
      <c r="EC285" s="171">
        <f t="shared" ca="1" si="390"/>
        <v>0</v>
      </c>
      <c r="ED285" s="171">
        <f t="shared" ca="1" si="391"/>
        <v>0</v>
      </c>
      <c r="EE285" s="171">
        <f t="shared" ca="1" si="392"/>
        <v>0</v>
      </c>
      <c r="EF285" s="171">
        <f t="shared" ca="1" si="393"/>
        <v>0</v>
      </c>
      <c r="EG285" s="171">
        <f t="shared" ca="1" si="394"/>
        <v>0</v>
      </c>
      <c r="EH285" s="171">
        <f t="shared" ca="1" si="395"/>
        <v>0</v>
      </c>
      <c r="EI285" s="171">
        <f t="shared" ca="1" si="396"/>
        <v>0</v>
      </c>
      <c r="EJ285" s="171">
        <f t="shared" ca="1" si="397"/>
        <v>0</v>
      </c>
      <c r="EK285" s="171">
        <f t="shared" ca="1" si="398"/>
        <v>0</v>
      </c>
      <c r="EL285" s="171">
        <f t="shared" ca="1" si="399"/>
        <v>0</v>
      </c>
      <c r="EM285" s="171">
        <f t="shared" ca="1" si="400"/>
        <v>0</v>
      </c>
      <c r="EN285" s="171">
        <f t="shared" ca="1" si="401"/>
        <v>0</v>
      </c>
      <c r="EO285" s="171">
        <f t="shared" ca="1" si="402"/>
        <v>0</v>
      </c>
      <c r="EP285" s="171">
        <f t="shared" ca="1" si="403"/>
        <v>0</v>
      </c>
      <c r="EQ285" s="171">
        <f t="shared" ca="1" si="404"/>
        <v>0</v>
      </c>
      <c r="ER285" s="171">
        <f t="shared" ca="1" si="405"/>
        <v>0</v>
      </c>
      <c r="ES285" s="171">
        <f t="shared" ca="1" si="406"/>
        <v>0</v>
      </c>
    </row>
    <row r="286" spans="3:149">
      <c r="C286" s="214"/>
      <c r="H286" s="216"/>
      <c r="I286" s="217"/>
      <c r="L286" s="163"/>
      <c r="M286" s="164" t="str">
        <f t="shared" si="337"/>
        <v/>
      </c>
      <c r="N286" s="164" t="str">
        <f t="shared" si="338"/>
        <v/>
      </c>
      <c r="O286" s="165" t="str">
        <f t="shared" si="339"/>
        <v/>
      </c>
      <c r="R286" s="168"/>
      <c r="U286" s="171">
        <f t="shared" si="340"/>
        <v>0</v>
      </c>
      <c r="V286" s="171">
        <f t="shared" ca="1" si="341"/>
        <v>0</v>
      </c>
      <c r="W286" s="171">
        <f t="shared" ca="1" si="342"/>
        <v>0</v>
      </c>
      <c r="X286" s="172">
        <f t="shared" si="343"/>
        <v>0</v>
      </c>
      <c r="Y286" s="172" t="str">
        <f t="shared" si="344"/>
        <v/>
      </c>
      <c r="Z286" s="173">
        <f t="shared" si="345"/>
        <v>0</v>
      </c>
      <c r="AA286" s="171">
        <f t="shared" si="425"/>
        <v>0</v>
      </c>
      <c r="AB286" s="171">
        <f t="shared" si="425"/>
        <v>0</v>
      </c>
      <c r="AC286" s="171">
        <f t="shared" si="425"/>
        <v>0</v>
      </c>
      <c r="AD286" s="171">
        <f t="shared" si="425"/>
        <v>0</v>
      </c>
      <c r="AE286" s="171">
        <f t="shared" si="425"/>
        <v>0</v>
      </c>
      <c r="AF286" s="171">
        <f t="shared" si="425"/>
        <v>0</v>
      </c>
      <c r="AG286" s="171">
        <f t="shared" si="425"/>
        <v>0</v>
      </c>
      <c r="AH286" s="171">
        <f t="shared" si="425"/>
        <v>0</v>
      </c>
      <c r="AI286" s="171">
        <f t="shared" si="425"/>
        <v>0</v>
      </c>
      <c r="AJ286" s="171">
        <f t="shared" si="425"/>
        <v>0</v>
      </c>
      <c r="AK286" s="171">
        <f t="shared" si="426"/>
        <v>0</v>
      </c>
      <c r="AL286" s="171">
        <f t="shared" si="426"/>
        <v>0</v>
      </c>
      <c r="AM286" s="171">
        <f t="shared" si="426"/>
        <v>0</v>
      </c>
      <c r="AN286" s="171">
        <f t="shared" si="426"/>
        <v>0</v>
      </c>
      <c r="AO286" s="171">
        <f t="shared" si="426"/>
        <v>0</v>
      </c>
      <c r="AP286" s="171">
        <f t="shared" si="426"/>
        <v>0</v>
      </c>
      <c r="AQ286" s="171">
        <f t="shared" si="426"/>
        <v>0</v>
      </c>
      <c r="AR286" s="171">
        <f t="shared" si="426"/>
        <v>0</v>
      </c>
      <c r="AS286" s="171">
        <f t="shared" si="426"/>
        <v>0</v>
      </c>
      <c r="AT286" s="171">
        <f t="shared" si="426"/>
        <v>0</v>
      </c>
      <c r="AU286" s="171">
        <f t="shared" si="427"/>
        <v>0</v>
      </c>
      <c r="AV286" s="171">
        <f t="shared" si="427"/>
        <v>0</v>
      </c>
      <c r="AW286" s="171">
        <f t="shared" si="427"/>
        <v>0</v>
      </c>
      <c r="AX286" s="171">
        <f t="shared" si="427"/>
        <v>0</v>
      </c>
      <c r="AY286" s="171">
        <f t="shared" si="427"/>
        <v>0</v>
      </c>
      <c r="AZ286" s="171">
        <f t="shared" si="427"/>
        <v>0</v>
      </c>
      <c r="BA286" s="171">
        <f t="shared" si="427"/>
        <v>0</v>
      </c>
      <c r="BB286" s="171">
        <f t="shared" si="427"/>
        <v>0</v>
      </c>
      <c r="BC286" s="171">
        <f t="shared" si="427"/>
        <v>0</v>
      </c>
      <c r="BD286" s="171">
        <f t="shared" si="427"/>
        <v>0</v>
      </c>
      <c r="BE286" s="171">
        <f t="shared" si="428"/>
        <v>0</v>
      </c>
      <c r="BF286" s="171">
        <f t="shared" si="428"/>
        <v>0</v>
      </c>
      <c r="BG286" s="171">
        <f t="shared" si="428"/>
        <v>0</v>
      </c>
      <c r="BH286" s="171">
        <f t="shared" si="428"/>
        <v>0</v>
      </c>
      <c r="BI286" s="171">
        <f t="shared" si="428"/>
        <v>0</v>
      </c>
      <c r="BJ286" s="171">
        <f t="shared" si="428"/>
        <v>0</v>
      </c>
      <c r="BK286" s="171">
        <f t="shared" si="428"/>
        <v>0</v>
      </c>
      <c r="BL286" s="171">
        <f t="shared" si="428"/>
        <v>0</v>
      </c>
      <c r="BM286" s="171">
        <f t="shared" si="428"/>
        <v>0</v>
      </c>
      <c r="BN286" s="171">
        <f t="shared" si="428"/>
        <v>0</v>
      </c>
      <c r="BO286" s="171">
        <f t="shared" si="429"/>
        <v>0</v>
      </c>
      <c r="BP286" s="171">
        <f t="shared" si="429"/>
        <v>0</v>
      </c>
      <c r="BQ286" s="171">
        <f t="shared" si="429"/>
        <v>0</v>
      </c>
      <c r="BR286" s="171">
        <f t="shared" si="429"/>
        <v>0</v>
      </c>
      <c r="BS286" s="171">
        <f t="shared" si="429"/>
        <v>0</v>
      </c>
      <c r="BT286" s="171">
        <f t="shared" si="429"/>
        <v>0</v>
      </c>
      <c r="BU286" s="171">
        <f t="shared" si="429"/>
        <v>0</v>
      </c>
      <c r="BV286" s="171">
        <f t="shared" si="429"/>
        <v>0</v>
      </c>
      <c r="BW286" s="171">
        <f t="shared" si="429"/>
        <v>0</v>
      </c>
      <c r="BX286" s="171">
        <f t="shared" si="429"/>
        <v>0</v>
      </c>
      <c r="BY286" s="171">
        <f t="shared" si="430"/>
        <v>0</v>
      </c>
      <c r="BZ286" s="171">
        <f t="shared" si="430"/>
        <v>0</v>
      </c>
      <c r="CA286" s="171">
        <f t="shared" si="430"/>
        <v>0</v>
      </c>
      <c r="CB286" s="171">
        <f t="shared" si="430"/>
        <v>0</v>
      </c>
      <c r="CC286" s="171">
        <f t="shared" si="430"/>
        <v>0</v>
      </c>
      <c r="CD286" s="171">
        <f t="shared" si="430"/>
        <v>0</v>
      </c>
      <c r="CE286" s="171">
        <f t="shared" si="430"/>
        <v>0</v>
      </c>
      <c r="CF286" s="171">
        <f t="shared" si="430"/>
        <v>0</v>
      </c>
      <c r="CG286" s="171">
        <f t="shared" si="430"/>
        <v>0</v>
      </c>
      <c r="CH286" s="171">
        <f t="shared" si="430"/>
        <v>0</v>
      </c>
      <c r="CI286" s="171">
        <f t="shared" si="430"/>
        <v>0</v>
      </c>
      <c r="CJ286" s="243"/>
      <c r="CK286" s="171">
        <f t="shared" si="346"/>
        <v>0</v>
      </c>
      <c r="CL286" s="171">
        <f t="shared" si="347"/>
        <v>0</v>
      </c>
      <c r="CM286" s="171">
        <f t="shared" si="348"/>
        <v>0</v>
      </c>
      <c r="CN286" s="171">
        <f t="shared" si="349"/>
        <v>0</v>
      </c>
      <c r="CO286" s="171">
        <f t="shared" si="350"/>
        <v>0</v>
      </c>
      <c r="CP286" s="171">
        <f t="shared" si="351"/>
        <v>0</v>
      </c>
      <c r="CQ286" s="171">
        <f t="shared" si="352"/>
        <v>0</v>
      </c>
      <c r="CR286" s="171">
        <f t="shared" si="353"/>
        <v>0</v>
      </c>
      <c r="CS286" s="171">
        <f t="shared" si="354"/>
        <v>0</v>
      </c>
      <c r="CT286" s="171">
        <f t="shared" si="355"/>
        <v>0</v>
      </c>
      <c r="CU286" s="171">
        <f t="shared" si="356"/>
        <v>0</v>
      </c>
      <c r="CV286" s="171">
        <f t="shared" si="357"/>
        <v>0</v>
      </c>
      <c r="CW286" s="171">
        <f t="shared" si="358"/>
        <v>0</v>
      </c>
      <c r="CX286" s="171">
        <f t="shared" si="359"/>
        <v>0</v>
      </c>
      <c r="CY286" s="171">
        <f t="shared" ca="1" si="360"/>
        <v>0</v>
      </c>
      <c r="CZ286" s="171">
        <f t="shared" ca="1" si="361"/>
        <v>0</v>
      </c>
      <c r="DA286" s="171">
        <f t="shared" ca="1" si="362"/>
        <v>0</v>
      </c>
      <c r="DB286" s="171">
        <f t="shared" ca="1" si="363"/>
        <v>0</v>
      </c>
      <c r="DC286" s="171">
        <f t="shared" ca="1" si="364"/>
        <v>0</v>
      </c>
      <c r="DD286" s="171">
        <f t="shared" ca="1" si="365"/>
        <v>0</v>
      </c>
      <c r="DE286" s="171">
        <f t="shared" ca="1" si="366"/>
        <v>0</v>
      </c>
      <c r="DF286" s="171">
        <f t="shared" ca="1" si="367"/>
        <v>0</v>
      </c>
      <c r="DG286" s="171">
        <f t="shared" ca="1" si="368"/>
        <v>0</v>
      </c>
      <c r="DH286" s="171">
        <f t="shared" ca="1" si="369"/>
        <v>0</v>
      </c>
      <c r="DI286" s="171">
        <f t="shared" ca="1" si="370"/>
        <v>0</v>
      </c>
      <c r="DJ286" s="171">
        <f t="shared" ca="1" si="371"/>
        <v>0</v>
      </c>
      <c r="DK286" s="171">
        <f t="shared" ca="1" si="372"/>
        <v>0</v>
      </c>
      <c r="DL286" s="171">
        <f t="shared" ca="1" si="373"/>
        <v>0</v>
      </c>
      <c r="DM286" s="171">
        <f t="shared" ca="1" si="374"/>
        <v>0</v>
      </c>
      <c r="DN286" s="171">
        <f t="shared" ca="1" si="375"/>
        <v>0</v>
      </c>
      <c r="DO286" s="171">
        <f t="shared" ca="1" si="376"/>
        <v>0</v>
      </c>
      <c r="DP286" s="171">
        <f t="shared" ca="1" si="377"/>
        <v>0</v>
      </c>
      <c r="DQ286" s="171">
        <f t="shared" ca="1" si="378"/>
        <v>0</v>
      </c>
      <c r="DR286" s="171">
        <f t="shared" ca="1" si="379"/>
        <v>0</v>
      </c>
      <c r="DS286" s="171">
        <f t="shared" ca="1" si="380"/>
        <v>0</v>
      </c>
      <c r="DT286" s="171">
        <f t="shared" ca="1" si="381"/>
        <v>0</v>
      </c>
      <c r="DU286" s="171">
        <f t="shared" ca="1" si="382"/>
        <v>0</v>
      </c>
      <c r="DV286" s="171">
        <f t="shared" ca="1" si="383"/>
        <v>0</v>
      </c>
      <c r="DW286" s="171">
        <f t="shared" ca="1" si="384"/>
        <v>0</v>
      </c>
      <c r="DX286" s="171">
        <f t="shared" ca="1" si="385"/>
        <v>0</v>
      </c>
      <c r="DY286" s="171">
        <f t="shared" ca="1" si="386"/>
        <v>0</v>
      </c>
      <c r="DZ286" s="171">
        <f t="shared" ca="1" si="387"/>
        <v>0</v>
      </c>
      <c r="EA286" s="171">
        <f t="shared" ca="1" si="388"/>
        <v>0</v>
      </c>
      <c r="EB286" s="171">
        <f t="shared" ca="1" si="389"/>
        <v>0</v>
      </c>
      <c r="EC286" s="171">
        <f t="shared" ca="1" si="390"/>
        <v>0</v>
      </c>
      <c r="ED286" s="171">
        <f t="shared" ca="1" si="391"/>
        <v>0</v>
      </c>
      <c r="EE286" s="171">
        <f t="shared" ca="1" si="392"/>
        <v>0</v>
      </c>
      <c r="EF286" s="171">
        <f t="shared" ca="1" si="393"/>
        <v>0</v>
      </c>
      <c r="EG286" s="171">
        <f t="shared" ca="1" si="394"/>
        <v>0</v>
      </c>
      <c r="EH286" s="171">
        <f t="shared" ca="1" si="395"/>
        <v>0</v>
      </c>
      <c r="EI286" s="171">
        <f t="shared" ca="1" si="396"/>
        <v>0</v>
      </c>
      <c r="EJ286" s="171">
        <f t="shared" ca="1" si="397"/>
        <v>0</v>
      </c>
      <c r="EK286" s="171">
        <f t="shared" ca="1" si="398"/>
        <v>0</v>
      </c>
      <c r="EL286" s="171">
        <f t="shared" ca="1" si="399"/>
        <v>0</v>
      </c>
      <c r="EM286" s="171">
        <f t="shared" ca="1" si="400"/>
        <v>0</v>
      </c>
      <c r="EN286" s="171">
        <f t="shared" ca="1" si="401"/>
        <v>0</v>
      </c>
      <c r="EO286" s="171">
        <f t="shared" ca="1" si="402"/>
        <v>0</v>
      </c>
      <c r="EP286" s="171">
        <f t="shared" ca="1" si="403"/>
        <v>0</v>
      </c>
      <c r="EQ286" s="171">
        <f t="shared" ca="1" si="404"/>
        <v>0</v>
      </c>
      <c r="ER286" s="171">
        <f t="shared" ca="1" si="405"/>
        <v>0</v>
      </c>
      <c r="ES286" s="171">
        <f t="shared" ca="1" si="406"/>
        <v>0</v>
      </c>
    </row>
    <row r="287" spans="3:149">
      <c r="C287" s="214"/>
      <c r="H287" s="216"/>
      <c r="I287" s="217"/>
      <c r="L287" s="163"/>
      <c r="M287" s="164" t="str">
        <f t="shared" si="337"/>
        <v/>
      </c>
      <c r="N287" s="164" t="str">
        <f t="shared" si="338"/>
        <v/>
      </c>
      <c r="O287" s="165" t="str">
        <f t="shared" si="339"/>
        <v/>
      </c>
      <c r="R287" s="168"/>
      <c r="U287" s="171">
        <f t="shared" si="340"/>
        <v>0</v>
      </c>
      <c r="V287" s="171">
        <f t="shared" ca="1" si="341"/>
        <v>0</v>
      </c>
      <c r="W287" s="171">
        <f t="shared" ca="1" si="342"/>
        <v>0</v>
      </c>
      <c r="X287" s="172">
        <f t="shared" si="343"/>
        <v>0</v>
      </c>
      <c r="Y287" s="172" t="str">
        <f t="shared" si="344"/>
        <v/>
      </c>
      <c r="Z287" s="173">
        <f t="shared" si="345"/>
        <v>0</v>
      </c>
      <c r="AA287" s="171">
        <f t="shared" si="425"/>
        <v>0</v>
      </c>
      <c r="AB287" s="171">
        <f t="shared" si="425"/>
        <v>0</v>
      </c>
      <c r="AC287" s="171">
        <f t="shared" si="425"/>
        <v>0</v>
      </c>
      <c r="AD287" s="171">
        <f t="shared" si="425"/>
        <v>0</v>
      </c>
      <c r="AE287" s="171">
        <f t="shared" si="425"/>
        <v>0</v>
      </c>
      <c r="AF287" s="171">
        <f t="shared" si="425"/>
        <v>0</v>
      </c>
      <c r="AG287" s="171">
        <f t="shared" si="425"/>
        <v>0</v>
      </c>
      <c r="AH287" s="171">
        <f t="shared" si="425"/>
        <v>0</v>
      </c>
      <c r="AI287" s="171">
        <f t="shared" si="425"/>
        <v>0</v>
      </c>
      <c r="AJ287" s="171">
        <f t="shared" si="425"/>
        <v>0</v>
      </c>
      <c r="AK287" s="171">
        <f t="shared" si="426"/>
        <v>0</v>
      </c>
      <c r="AL287" s="171">
        <f t="shared" si="426"/>
        <v>0</v>
      </c>
      <c r="AM287" s="171">
        <f t="shared" si="426"/>
        <v>0</v>
      </c>
      <c r="AN287" s="171">
        <f t="shared" si="426"/>
        <v>0</v>
      </c>
      <c r="AO287" s="171">
        <f t="shared" si="426"/>
        <v>0</v>
      </c>
      <c r="AP287" s="171">
        <f t="shared" si="426"/>
        <v>0</v>
      </c>
      <c r="AQ287" s="171">
        <f t="shared" si="426"/>
        <v>0</v>
      </c>
      <c r="AR287" s="171">
        <f t="shared" si="426"/>
        <v>0</v>
      </c>
      <c r="AS287" s="171">
        <f t="shared" si="426"/>
        <v>0</v>
      </c>
      <c r="AT287" s="171">
        <f t="shared" si="426"/>
        <v>0</v>
      </c>
      <c r="AU287" s="171">
        <f t="shared" si="427"/>
        <v>0</v>
      </c>
      <c r="AV287" s="171">
        <f t="shared" si="427"/>
        <v>0</v>
      </c>
      <c r="AW287" s="171">
        <f t="shared" si="427"/>
        <v>0</v>
      </c>
      <c r="AX287" s="171">
        <f t="shared" si="427"/>
        <v>0</v>
      </c>
      <c r="AY287" s="171">
        <f t="shared" si="427"/>
        <v>0</v>
      </c>
      <c r="AZ287" s="171">
        <f t="shared" si="427"/>
        <v>0</v>
      </c>
      <c r="BA287" s="171">
        <f t="shared" si="427"/>
        <v>0</v>
      </c>
      <c r="BB287" s="171">
        <f t="shared" si="427"/>
        <v>0</v>
      </c>
      <c r="BC287" s="171">
        <f t="shared" si="427"/>
        <v>0</v>
      </c>
      <c r="BD287" s="171">
        <f t="shared" si="427"/>
        <v>0</v>
      </c>
      <c r="BE287" s="171">
        <f t="shared" si="428"/>
        <v>0</v>
      </c>
      <c r="BF287" s="171">
        <f t="shared" si="428"/>
        <v>0</v>
      </c>
      <c r="BG287" s="171">
        <f t="shared" si="428"/>
        <v>0</v>
      </c>
      <c r="BH287" s="171">
        <f t="shared" si="428"/>
        <v>0</v>
      </c>
      <c r="BI287" s="171">
        <f t="shared" si="428"/>
        <v>0</v>
      </c>
      <c r="BJ287" s="171">
        <f t="shared" si="428"/>
        <v>0</v>
      </c>
      <c r="BK287" s="171">
        <f t="shared" si="428"/>
        <v>0</v>
      </c>
      <c r="BL287" s="171">
        <f t="shared" si="428"/>
        <v>0</v>
      </c>
      <c r="BM287" s="171">
        <f t="shared" si="428"/>
        <v>0</v>
      </c>
      <c r="BN287" s="171">
        <f t="shared" si="428"/>
        <v>0</v>
      </c>
      <c r="BO287" s="171">
        <f t="shared" si="429"/>
        <v>0</v>
      </c>
      <c r="BP287" s="171">
        <f t="shared" si="429"/>
        <v>0</v>
      </c>
      <c r="BQ287" s="171">
        <f t="shared" si="429"/>
        <v>0</v>
      </c>
      <c r="BR287" s="171">
        <f t="shared" si="429"/>
        <v>0</v>
      </c>
      <c r="BS287" s="171">
        <f t="shared" si="429"/>
        <v>0</v>
      </c>
      <c r="BT287" s="171">
        <f t="shared" si="429"/>
        <v>0</v>
      </c>
      <c r="BU287" s="171">
        <f t="shared" si="429"/>
        <v>0</v>
      </c>
      <c r="BV287" s="171">
        <f t="shared" si="429"/>
        <v>0</v>
      </c>
      <c r="BW287" s="171">
        <f t="shared" si="429"/>
        <v>0</v>
      </c>
      <c r="BX287" s="171">
        <f t="shared" si="429"/>
        <v>0</v>
      </c>
      <c r="BY287" s="171">
        <f t="shared" si="430"/>
        <v>0</v>
      </c>
      <c r="BZ287" s="171">
        <f t="shared" si="430"/>
        <v>0</v>
      </c>
      <c r="CA287" s="171">
        <f t="shared" si="430"/>
        <v>0</v>
      </c>
      <c r="CB287" s="171">
        <f t="shared" si="430"/>
        <v>0</v>
      </c>
      <c r="CC287" s="171">
        <f t="shared" si="430"/>
        <v>0</v>
      </c>
      <c r="CD287" s="171">
        <f t="shared" si="430"/>
        <v>0</v>
      </c>
      <c r="CE287" s="171">
        <f t="shared" si="430"/>
        <v>0</v>
      </c>
      <c r="CF287" s="171">
        <f t="shared" si="430"/>
        <v>0</v>
      </c>
      <c r="CG287" s="171">
        <f t="shared" si="430"/>
        <v>0</v>
      </c>
      <c r="CH287" s="171">
        <f t="shared" si="430"/>
        <v>0</v>
      </c>
      <c r="CI287" s="171">
        <f t="shared" si="430"/>
        <v>0</v>
      </c>
      <c r="CJ287" s="243"/>
      <c r="CK287" s="171">
        <f t="shared" si="346"/>
        <v>0</v>
      </c>
      <c r="CL287" s="171">
        <f t="shared" si="347"/>
        <v>0</v>
      </c>
      <c r="CM287" s="171">
        <f t="shared" si="348"/>
        <v>0</v>
      </c>
      <c r="CN287" s="171">
        <f t="shared" si="349"/>
        <v>0</v>
      </c>
      <c r="CO287" s="171">
        <f t="shared" si="350"/>
        <v>0</v>
      </c>
      <c r="CP287" s="171">
        <f t="shared" si="351"/>
        <v>0</v>
      </c>
      <c r="CQ287" s="171">
        <f t="shared" si="352"/>
        <v>0</v>
      </c>
      <c r="CR287" s="171">
        <f t="shared" si="353"/>
        <v>0</v>
      </c>
      <c r="CS287" s="171">
        <f t="shared" si="354"/>
        <v>0</v>
      </c>
      <c r="CT287" s="171">
        <f t="shared" si="355"/>
        <v>0</v>
      </c>
      <c r="CU287" s="171">
        <f t="shared" si="356"/>
        <v>0</v>
      </c>
      <c r="CV287" s="171">
        <f t="shared" si="357"/>
        <v>0</v>
      </c>
      <c r="CW287" s="171">
        <f t="shared" si="358"/>
        <v>0</v>
      </c>
      <c r="CX287" s="171">
        <f t="shared" si="359"/>
        <v>0</v>
      </c>
      <c r="CY287" s="171">
        <f t="shared" ca="1" si="360"/>
        <v>0</v>
      </c>
      <c r="CZ287" s="171">
        <f t="shared" ca="1" si="361"/>
        <v>0</v>
      </c>
      <c r="DA287" s="171">
        <f t="shared" ca="1" si="362"/>
        <v>0</v>
      </c>
      <c r="DB287" s="171">
        <f t="shared" ca="1" si="363"/>
        <v>0</v>
      </c>
      <c r="DC287" s="171">
        <f t="shared" ca="1" si="364"/>
        <v>0</v>
      </c>
      <c r="DD287" s="171">
        <f t="shared" ca="1" si="365"/>
        <v>0</v>
      </c>
      <c r="DE287" s="171">
        <f t="shared" ca="1" si="366"/>
        <v>0</v>
      </c>
      <c r="DF287" s="171">
        <f t="shared" ca="1" si="367"/>
        <v>0</v>
      </c>
      <c r="DG287" s="171">
        <f t="shared" ca="1" si="368"/>
        <v>0</v>
      </c>
      <c r="DH287" s="171">
        <f t="shared" ca="1" si="369"/>
        <v>0</v>
      </c>
      <c r="DI287" s="171">
        <f t="shared" ca="1" si="370"/>
        <v>0</v>
      </c>
      <c r="DJ287" s="171">
        <f t="shared" ca="1" si="371"/>
        <v>0</v>
      </c>
      <c r="DK287" s="171">
        <f t="shared" ca="1" si="372"/>
        <v>0</v>
      </c>
      <c r="DL287" s="171">
        <f t="shared" ca="1" si="373"/>
        <v>0</v>
      </c>
      <c r="DM287" s="171">
        <f t="shared" ca="1" si="374"/>
        <v>0</v>
      </c>
      <c r="DN287" s="171">
        <f t="shared" ca="1" si="375"/>
        <v>0</v>
      </c>
      <c r="DO287" s="171">
        <f t="shared" ca="1" si="376"/>
        <v>0</v>
      </c>
      <c r="DP287" s="171">
        <f t="shared" ca="1" si="377"/>
        <v>0</v>
      </c>
      <c r="DQ287" s="171">
        <f t="shared" ca="1" si="378"/>
        <v>0</v>
      </c>
      <c r="DR287" s="171">
        <f t="shared" ca="1" si="379"/>
        <v>0</v>
      </c>
      <c r="DS287" s="171">
        <f t="shared" ca="1" si="380"/>
        <v>0</v>
      </c>
      <c r="DT287" s="171">
        <f t="shared" ca="1" si="381"/>
        <v>0</v>
      </c>
      <c r="DU287" s="171">
        <f t="shared" ca="1" si="382"/>
        <v>0</v>
      </c>
      <c r="DV287" s="171">
        <f t="shared" ca="1" si="383"/>
        <v>0</v>
      </c>
      <c r="DW287" s="171">
        <f t="shared" ca="1" si="384"/>
        <v>0</v>
      </c>
      <c r="DX287" s="171">
        <f t="shared" ca="1" si="385"/>
        <v>0</v>
      </c>
      <c r="DY287" s="171">
        <f t="shared" ca="1" si="386"/>
        <v>0</v>
      </c>
      <c r="DZ287" s="171">
        <f t="shared" ca="1" si="387"/>
        <v>0</v>
      </c>
      <c r="EA287" s="171">
        <f t="shared" ca="1" si="388"/>
        <v>0</v>
      </c>
      <c r="EB287" s="171">
        <f t="shared" ca="1" si="389"/>
        <v>0</v>
      </c>
      <c r="EC287" s="171">
        <f t="shared" ca="1" si="390"/>
        <v>0</v>
      </c>
      <c r="ED287" s="171">
        <f t="shared" ca="1" si="391"/>
        <v>0</v>
      </c>
      <c r="EE287" s="171">
        <f t="shared" ca="1" si="392"/>
        <v>0</v>
      </c>
      <c r="EF287" s="171">
        <f t="shared" ca="1" si="393"/>
        <v>0</v>
      </c>
      <c r="EG287" s="171">
        <f t="shared" ca="1" si="394"/>
        <v>0</v>
      </c>
      <c r="EH287" s="171">
        <f t="shared" ca="1" si="395"/>
        <v>0</v>
      </c>
      <c r="EI287" s="171">
        <f t="shared" ca="1" si="396"/>
        <v>0</v>
      </c>
      <c r="EJ287" s="171">
        <f t="shared" ca="1" si="397"/>
        <v>0</v>
      </c>
      <c r="EK287" s="171">
        <f t="shared" ca="1" si="398"/>
        <v>0</v>
      </c>
      <c r="EL287" s="171">
        <f t="shared" ca="1" si="399"/>
        <v>0</v>
      </c>
      <c r="EM287" s="171">
        <f t="shared" ca="1" si="400"/>
        <v>0</v>
      </c>
      <c r="EN287" s="171">
        <f t="shared" ca="1" si="401"/>
        <v>0</v>
      </c>
      <c r="EO287" s="171">
        <f t="shared" ca="1" si="402"/>
        <v>0</v>
      </c>
      <c r="EP287" s="171">
        <f t="shared" ca="1" si="403"/>
        <v>0</v>
      </c>
      <c r="EQ287" s="171">
        <f t="shared" ca="1" si="404"/>
        <v>0</v>
      </c>
      <c r="ER287" s="171">
        <f t="shared" ca="1" si="405"/>
        <v>0</v>
      </c>
      <c r="ES287" s="171">
        <f t="shared" ca="1" si="406"/>
        <v>0</v>
      </c>
    </row>
    <row r="288" spans="3:149">
      <c r="C288" s="214"/>
      <c r="H288" s="216"/>
      <c r="I288" s="217"/>
      <c r="L288" s="163"/>
      <c r="M288" s="164" t="str">
        <f t="shared" si="337"/>
        <v/>
      </c>
      <c r="N288" s="164" t="str">
        <f t="shared" si="338"/>
        <v/>
      </c>
      <c r="O288" s="165" t="str">
        <f t="shared" si="339"/>
        <v/>
      </c>
      <c r="R288" s="168"/>
      <c r="U288" s="171">
        <f t="shared" si="340"/>
        <v>0</v>
      </c>
      <c r="V288" s="171">
        <f t="shared" ca="1" si="341"/>
        <v>0</v>
      </c>
      <c r="W288" s="171">
        <f t="shared" ca="1" si="342"/>
        <v>0</v>
      </c>
      <c r="X288" s="172">
        <f t="shared" si="343"/>
        <v>0</v>
      </c>
      <c r="Y288" s="172" t="str">
        <f t="shared" si="344"/>
        <v/>
      </c>
      <c r="Z288" s="173">
        <f t="shared" si="345"/>
        <v>0</v>
      </c>
      <c r="AA288" s="171">
        <f t="shared" si="425"/>
        <v>0</v>
      </c>
      <c r="AB288" s="171">
        <f t="shared" si="425"/>
        <v>0</v>
      </c>
      <c r="AC288" s="171">
        <f t="shared" si="425"/>
        <v>0</v>
      </c>
      <c r="AD288" s="171">
        <f t="shared" si="425"/>
        <v>0</v>
      </c>
      <c r="AE288" s="171">
        <f t="shared" si="425"/>
        <v>0</v>
      </c>
      <c r="AF288" s="171">
        <f t="shared" si="425"/>
        <v>0</v>
      </c>
      <c r="AG288" s="171">
        <f t="shared" si="425"/>
        <v>0</v>
      </c>
      <c r="AH288" s="171">
        <f t="shared" si="425"/>
        <v>0</v>
      </c>
      <c r="AI288" s="171">
        <f t="shared" si="425"/>
        <v>0</v>
      </c>
      <c r="AJ288" s="171">
        <f t="shared" si="425"/>
        <v>0</v>
      </c>
      <c r="AK288" s="171">
        <f t="shared" si="426"/>
        <v>0</v>
      </c>
      <c r="AL288" s="171">
        <f t="shared" si="426"/>
        <v>0</v>
      </c>
      <c r="AM288" s="171">
        <f t="shared" si="426"/>
        <v>0</v>
      </c>
      <c r="AN288" s="171">
        <f t="shared" si="426"/>
        <v>0</v>
      </c>
      <c r="AO288" s="171">
        <f t="shared" si="426"/>
        <v>0</v>
      </c>
      <c r="AP288" s="171">
        <f t="shared" si="426"/>
        <v>0</v>
      </c>
      <c r="AQ288" s="171">
        <f t="shared" si="426"/>
        <v>0</v>
      </c>
      <c r="AR288" s="171">
        <f t="shared" si="426"/>
        <v>0</v>
      </c>
      <c r="AS288" s="171">
        <f t="shared" si="426"/>
        <v>0</v>
      </c>
      <c r="AT288" s="171">
        <f t="shared" si="426"/>
        <v>0</v>
      </c>
      <c r="AU288" s="171">
        <f t="shared" si="427"/>
        <v>0</v>
      </c>
      <c r="AV288" s="171">
        <f t="shared" si="427"/>
        <v>0</v>
      </c>
      <c r="AW288" s="171">
        <f t="shared" si="427"/>
        <v>0</v>
      </c>
      <c r="AX288" s="171">
        <f t="shared" si="427"/>
        <v>0</v>
      </c>
      <c r="AY288" s="171">
        <f t="shared" si="427"/>
        <v>0</v>
      </c>
      <c r="AZ288" s="171">
        <f t="shared" si="427"/>
        <v>0</v>
      </c>
      <c r="BA288" s="171">
        <f t="shared" si="427"/>
        <v>0</v>
      </c>
      <c r="BB288" s="171">
        <f t="shared" si="427"/>
        <v>0</v>
      </c>
      <c r="BC288" s="171">
        <f t="shared" si="427"/>
        <v>0</v>
      </c>
      <c r="BD288" s="171">
        <f t="shared" si="427"/>
        <v>0</v>
      </c>
      <c r="BE288" s="171">
        <f t="shared" si="428"/>
        <v>0</v>
      </c>
      <c r="BF288" s="171">
        <f t="shared" si="428"/>
        <v>0</v>
      </c>
      <c r="BG288" s="171">
        <f t="shared" si="428"/>
        <v>0</v>
      </c>
      <c r="BH288" s="171">
        <f t="shared" si="428"/>
        <v>0</v>
      </c>
      <c r="BI288" s="171">
        <f t="shared" si="428"/>
        <v>0</v>
      </c>
      <c r="BJ288" s="171">
        <f t="shared" si="428"/>
        <v>0</v>
      </c>
      <c r="BK288" s="171">
        <f t="shared" si="428"/>
        <v>0</v>
      </c>
      <c r="BL288" s="171">
        <f t="shared" si="428"/>
        <v>0</v>
      </c>
      <c r="BM288" s="171">
        <f t="shared" si="428"/>
        <v>0</v>
      </c>
      <c r="BN288" s="171">
        <f t="shared" si="428"/>
        <v>0</v>
      </c>
      <c r="BO288" s="171">
        <f t="shared" si="429"/>
        <v>0</v>
      </c>
      <c r="BP288" s="171">
        <f t="shared" si="429"/>
        <v>0</v>
      </c>
      <c r="BQ288" s="171">
        <f t="shared" si="429"/>
        <v>0</v>
      </c>
      <c r="BR288" s="171">
        <f t="shared" si="429"/>
        <v>0</v>
      </c>
      <c r="BS288" s="171">
        <f t="shared" si="429"/>
        <v>0</v>
      </c>
      <c r="BT288" s="171">
        <f t="shared" si="429"/>
        <v>0</v>
      </c>
      <c r="BU288" s="171">
        <f t="shared" si="429"/>
        <v>0</v>
      </c>
      <c r="BV288" s="171">
        <f t="shared" si="429"/>
        <v>0</v>
      </c>
      <c r="BW288" s="171">
        <f t="shared" si="429"/>
        <v>0</v>
      </c>
      <c r="BX288" s="171">
        <f t="shared" si="429"/>
        <v>0</v>
      </c>
      <c r="BY288" s="171">
        <f t="shared" si="430"/>
        <v>0</v>
      </c>
      <c r="BZ288" s="171">
        <f t="shared" si="430"/>
        <v>0</v>
      </c>
      <c r="CA288" s="171">
        <f t="shared" si="430"/>
        <v>0</v>
      </c>
      <c r="CB288" s="171">
        <f t="shared" si="430"/>
        <v>0</v>
      </c>
      <c r="CC288" s="171">
        <f t="shared" si="430"/>
        <v>0</v>
      </c>
      <c r="CD288" s="171">
        <f t="shared" si="430"/>
        <v>0</v>
      </c>
      <c r="CE288" s="171">
        <f t="shared" si="430"/>
        <v>0</v>
      </c>
      <c r="CF288" s="171">
        <f t="shared" si="430"/>
        <v>0</v>
      </c>
      <c r="CG288" s="171">
        <f t="shared" si="430"/>
        <v>0</v>
      </c>
      <c r="CH288" s="171">
        <f t="shared" si="430"/>
        <v>0</v>
      </c>
      <c r="CI288" s="171">
        <f t="shared" si="430"/>
        <v>0</v>
      </c>
      <c r="CJ288" s="243"/>
      <c r="CK288" s="171">
        <f t="shared" si="346"/>
        <v>0</v>
      </c>
      <c r="CL288" s="171">
        <f t="shared" si="347"/>
        <v>0</v>
      </c>
      <c r="CM288" s="171">
        <f t="shared" si="348"/>
        <v>0</v>
      </c>
      <c r="CN288" s="171">
        <f t="shared" si="349"/>
        <v>0</v>
      </c>
      <c r="CO288" s="171">
        <f t="shared" si="350"/>
        <v>0</v>
      </c>
      <c r="CP288" s="171">
        <f t="shared" si="351"/>
        <v>0</v>
      </c>
      <c r="CQ288" s="171">
        <f t="shared" si="352"/>
        <v>0</v>
      </c>
      <c r="CR288" s="171">
        <f t="shared" si="353"/>
        <v>0</v>
      </c>
      <c r="CS288" s="171">
        <f t="shared" si="354"/>
        <v>0</v>
      </c>
      <c r="CT288" s="171">
        <f t="shared" si="355"/>
        <v>0</v>
      </c>
      <c r="CU288" s="171">
        <f t="shared" si="356"/>
        <v>0</v>
      </c>
      <c r="CV288" s="171">
        <f t="shared" si="357"/>
        <v>0</v>
      </c>
      <c r="CW288" s="171">
        <f t="shared" si="358"/>
        <v>0</v>
      </c>
      <c r="CX288" s="171">
        <f t="shared" si="359"/>
        <v>0</v>
      </c>
      <c r="CY288" s="171">
        <f t="shared" ca="1" si="360"/>
        <v>0</v>
      </c>
      <c r="CZ288" s="171">
        <f t="shared" ca="1" si="361"/>
        <v>0</v>
      </c>
      <c r="DA288" s="171">
        <f t="shared" ca="1" si="362"/>
        <v>0</v>
      </c>
      <c r="DB288" s="171">
        <f t="shared" ca="1" si="363"/>
        <v>0</v>
      </c>
      <c r="DC288" s="171">
        <f t="shared" ca="1" si="364"/>
        <v>0</v>
      </c>
      <c r="DD288" s="171">
        <f t="shared" ca="1" si="365"/>
        <v>0</v>
      </c>
      <c r="DE288" s="171">
        <f t="shared" ca="1" si="366"/>
        <v>0</v>
      </c>
      <c r="DF288" s="171">
        <f t="shared" ca="1" si="367"/>
        <v>0</v>
      </c>
      <c r="DG288" s="171">
        <f t="shared" ca="1" si="368"/>
        <v>0</v>
      </c>
      <c r="DH288" s="171">
        <f t="shared" ca="1" si="369"/>
        <v>0</v>
      </c>
      <c r="DI288" s="171">
        <f t="shared" ca="1" si="370"/>
        <v>0</v>
      </c>
      <c r="DJ288" s="171">
        <f t="shared" ca="1" si="371"/>
        <v>0</v>
      </c>
      <c r="DK288" s="171">
        <f t="shared" ca="1" si="372"/>
        <v>0</v>
      </c>
      <c r="DL288" s="171">
        <f t="shared" ca="1" si="373"/>
        <v>0</v>
      </c>
      <c r="DM288" s="171">
        <f t="shared" ca="1" si="374"/>
        <v>0</v>
      </c>
      <c r="DN288" s="171">
        <f t="shared" ca="1" si="375"/>
        <v>0</v>
      </c>
      <c r="DO288" s="171">
        <f t="shared" ca="1" si="376"/>
        <v>0</v>
      </c>
      <c r="DP288" s="171">
        <f t="shared" ca="1" si="377"/>
        <v>0</v>
      </c>
      <c r="DQ288" s="171">
        <f t="shared" ca="1" si="378"/>
        <v>0</v>
      </c>
      <c r="DR288" s="171">
        <f t="shared" ca="1" si="379"/>
        <v>0</v>
      </c>
      <c r="DS288" s="171">
        <f t="shared" ca="1" si="380"/>
        <v>0</v>
      </c>
      <c r="DT288" s="171">
        <f t="shared" ca="1" si="381"/>
        <v>0</v>
      </c>
      <c r="DU288" s="171">
        <f t="shared" ca="1" si="382"/>
        <v>0</v>
      </c>
      <c r="DV288" s="171">
        <f t="shared" ca="1" si="383"/>
        <v>0</v>
      </c>
      <c r="DW288" s="171">
        <f t="shared" ca="1" si="384"/>
        <v>0</v>
      </c>
      <c r="DX288" s="171">
        <f t="shared" ca="1" si="385"/>
        <v>0</v>
      </c>
      <c r="DY288" s="171">
        <f t="shared" ca="1" si="386"/>
        <v>0</v>
      </c>
      <c r="DZ288" s="171">
        <f t="shared" ca="1" si="387"/>
        <v>0</v>
      </c>
      <c r="EA288" s="171">
        <f t="shared" ca="1" si="388"/>
        <v>0</v>
      </c>
      <c r="EB288" s="171">
        <f t="shared" ca="1" si="389"/>
        <v>0</v>
      </c>
      <c r="EC288" s="171">
        <f t="shared" ca="1" si="390"/>
        <v>0</v>
      </c>
      <c r="ED288" s="171">
        <f t="shared" ca="1" si="391"/>
        <v>0</v>
      </c>
      <c r="EE288" s="171">
        <f t="shared" ca="1" si="392"/>
        <v>0</v>
      </c>
      <c r="EF288" s="171">
        <f t="shared" ca="1" si="393"/>
        <v>0</v>
      </c>
      <c r="EG288" s="171">
        <f t="shared" ca="1" si="394"/>
        <v>0</v>
      </c>
      <c r="EH288" s="171">
        <f t="shared" ca="1" si="395"/>
        <v>0</v>
      </c>
      <c r="EI288" s="171">
        <f t="shared" ca="1" si="396"/>
        <v>0</v>
      </c>
      <c r="EJ288" s="171">
        <f t="shared" ca="1" si="397"/>
        <v>0</v>
      </c>
      <c r="EK288" s="171">
        <f t="shared" ca="1" si="398"/>
        <v>0</v>
      </c>
      <c r="EL288" s="171">
        <f t="shared" ca="1" si="399"/>
        <v>0</v>
      </c>
      <c r="EM288" s="171">
        <f t="shared" ca="1" si="400"/>
        <v>0</v>
      </c>
      <c r="EN288" s="171">
        <f t="shared" ca="1" si="401"/>
        <v>0</v>
      </c>
      <c r="EO288" s="171">
        <f t="shared" ca="1" si="402"/>
        <v>0</v>
      </c>
      <c r="EP288" s="171">
        <f t="shared" ca="1" si="403"/>
        <v>0</v>
      </c>
      <c r="EQ288" s="171">
        <f t="shared" ca="1" si="404"/>
        <v>0</v>
      </c>
      <c r="ER288" s="171">
        <f t="shared" ca="1" si="405"/>
        <v>0</v>
      </c>
      <c r="ES288" s="171">
        <f t="shared" ca="1" si="406"/>
        <v>0</v>
      </c>
    </row>
    <row r="289" spans="3:149">
      <c r="C289" s="214"/>
      <c r="H289" s="216"/>
      <c r="I289" s="217"/>
      <c r="L289" s="163"/>
      <c r="M289" s="164" t="str">
        <f t="shared" si="337"/>
        <v/>
      </c>
      <c r="N289" s="164" t="str">
        <f t="shared" si="338"/>
        <v/>
      </c>
      <c r="O289" s="165" t="str">
        <f t="shared" si="339"/>
        <v/>
      </c>
      <c r="R289" s="168"/>
      <c r="U289" s="171">
        <f t="shared" si="340"/>
        <v>0</v>
      </c>
      <c r="V289" s="171">
        <f t="shared" ca="1" si="341"/>
        <v>0</v>
      </c>
      <c r="W289" s="171">
        <f t="shared" ca="1" si="342"/>
        <v>0</v>
      </c>
      <c r="X289" s="172">
        <f t="shared" si="343"/>
        <v>0</v>
      </c>
      <c r="Y289" s="172" t="str">
        <f t="shared" si="344"/>
        <v/>
      </c>
      <c r="Z289" s="173">
        <f t="shared" si="345"/>
        <v>0</v>
      </c>
      <c r="AA289" s="171">
        <f t="shared" ref="AA289:AJ298" si="431">IFERROR(
    IF($T289="Equity",
        IF(AND(AA$48&gt;=$E289, AA$48&lt;=($E289+$Q289)),
$K289*$P289*(VLOOKUP($C$39,$C$37:$BL$44,MATCH($E289,$C$37:$BL$37,0),FALSE)/VLOOKUP($L289,$C$37:$BL$44,MATCH($E289,$C$37:$BL$37,0),FALSE))*
IF($B$5="Foreign Currency",VLOOKUP($C$38,$C$37:$BL$44,MATCH(AA$48,$C$37:$BL$37,0),FALSE)/VLOOKUP($C$39,$C$37:$BL$44,MATCH(AA$48,$C$37:$BL$37,0),FALSE),1),
0),
    IF($T289="Lump Sum Principal",
        IF(AND(AA$48&gt;=$E289, AA$48&lt;($E289+$Q289)),
$K289*$P289*(VLOOKUP($C$39,$C$37:$BL$44,MATCH($E289,$C$37:$BL$37,0),FALSE)/VLOOKUP($L289,$C$37:$BL$44,MATCH($E289,$C$37:$BL$37,0),FALSE))*
IF($B$5="Foreign Currency",VLOOKUP($C$38,$C$37:$BL$44,MATCH(AA$48,$C$37:$BL$37,0),FALSE)/VLOOKUP($C$39,$C$37:$BL$44,MATCH(AA$48,$C$37:$BL$37,0),FALSE),1),
        IF(AA$48=($E289+$Q289),
$K289*(1+$P289)*(VLOOKUP($C$39,$C$37:$BL$44,MATCH($E289,$C$37:$BL$37,0),FALSE)/VLOOKUP($L289,$C$37:$BL$44,MATCH($E289,$C$37:$BL$37,0),FALSE))*
IF($B$5="Foreign Currency",VLOOKUP($C$38,$C$37:$BL$44,MATCH(AA$48,$C$37:$BL$37,0),FALSE)/VLOOKUP($C$39,$C$37:$BL$44,MATCH(AA$48,$C$37:$BL$37,0),FALSE),1),
0)),
    IF($T289="Lump Sum Principal and Interest",
        IF(AA$48=($E289+$Q289),
$K289*((1+$P289)^$Q289)*(VLOOKUP($C$39,$C$37:$BL$44,MATCH($E289,$C$37:$BL$37,0),FALSE)/VLOOKUP($L289,$C$37:$BL$44,MATCH($E289,$C$37:$BL$37,0),FALSE))*
IF($B$5="Foreign Currency",VLOOKUP($C$38,$C$37:$BL$44,MATCH(AA$48,$C$37:$BL$37,0),FALSE)/VLOOKUP($C$39,$C$37:$BL$44,MATCH(AA$48,$C$37:$BL$37,0),FALSE),1),
0),
    IF($T289="EPP with Grace Years for Principal",
        IF(AND(AA$48&gt;=$E289, AA$48&lt;($E289+$S289)),
$K289*$P289*(VLOOKUP($C$39,$C$37:$BL$44,MATCH($E289,$C$37:$BL$37,0),FALSE)/VLOOKUP($L289,$C$37:$BL$44,MATCH($E289,$C$37:$BL$37,0),FALSE))*
IF($B$5="Foreign Currency",VLOOKUP($C$38,$C$37:$BL$44,MATCH(AA$48,$C$37:$BL$37,0),FALSE)/VLOOKUP($C$39,$C$37:$BL$44,MATCH(AA$48,$C$37:$BL$37,0),FALSE),1),
        IF(AND(AA$48&gt;=($E289+$S289), AA$48&lt;=($E289+$Q289)),
-PMT($P289,($Q289-$S289+1),($K289*(VLOOKUP($C$39,$C$37:$BL$44,MATCH($E289,$C$37:$BL$37,0),FALSE)/VLOOKUP($L289,$C$37:$BL$44,MATCH($E289,$C$37:$BL$37,0),FALSE))*
IF($B$5="Foreign Currency",VLOOKUP($C$38,$C$37:$BL$44,MATCH(AA$48,$C$37:$BL$37,0),FALSE)/VLOOKUP($C$39,$C$37:$BL$44,MATCH(AA$48,$C$37:$BL$37,0),FALSE),1)),0),
0)),
    IF($T289="Equal Principal Payments (EPP)",
        IF(AND(AA$48&gt;=$E289, AA$48&lt;=($E289+$Q289)),
-PMT($P289,($Q289-$S289+1),($K289*(VLOOKUP($C$39,$C$37:$BL$44,MATCH($E289,$C$37:$BL$37,0),FALSE)/VLOOKUP($L289,$C$37:$BL$44,MATCH($E289,$C$37:$BL$37,0),FALSE))*
IF($B$5="Foreign Currency",VLOOKUP($C$38,$C$37:$BL$44,MATCH(AA$48,$C$37:$BL$37,0),FALSE)/VLOOKUP($C$39,$C$37:$BL$44,MATCH(AA$48,$C$37:$BL$37,0),FALSE),1)),0), 0),
    IF($T289="EPP with Grace Years for Principal and on Interest",
        IF(AND(AA$48&gt;=($E289+$S289), AA$48&lt;=($E289+$Q289)),
-PMT($P289,($Q289-$S289+1),($K289*(VLOOKUP($C$39,$C$37:$BL$44,MATCH($E289,$C$37:$BL$37,0),FALSE)/VLOOKUP($L289,$C$37:$BL$44,MATCH($E289,$C$37:$BL$37,0),FALSE))*
IF($B$5="Foreign Currency",VLOOKUP($C$38,$C$37:$BL$44,MATCH(AA$48,$C$37:$BL$37,0),FALSE)/VLOOKUP($C$39,$C$37:$BL$44,MATCH(AA$48,$C$37:$BL$37,0),FALSE),1))*((1+$P289)^$S289),0), 0),
    0)))))),"")</f>
        <v>0</v>
      </c>
      <c r="AB289" s="171">
        <f t="shared" si="431"/>
        <v>0</v>
      </c>
      <c r="AC289" s="171">
        <f t="shared" si="431"/>
        <v>0</v>
      </c>
      <c r="AD289" s="171">
        <f t="shared" si="431"/>
        <v>0</v>
      </c>
      <c r="AE289" s="171">
        <f t="shared" si="431"/>
        <v>0</v>
      </c>
      <c r="AF289" s="171">
        <f t="shared" si="431"/>
        <v>0</v>
      </c>
      <c r="AG289" s="171">
        <f t="shared" si="431"/>
        <v>0</v>
      </c>
      <c r="AH289" s="171">
        <f t="shared" si="431"/>
        <v>0</v>
      </c>
      <c r="AI289" s="171">
        <f t="shared" si="431"/>
        <v>0</v>
      </c>
      <c r="AJ289" s="171">
        <f t="shared" si="431"/>
        <v>0</v>
      </c>
      <c r="AK289" s="171">
        <f t="shared" ref="AK289:AT298" si="432">IFERROR(
    IF($T289="Equity",
        IF(AND(AK$48&gt;=$E289, AK$48&lt;=($E289+$Q289)),
$K289*$P289*(VLOOKUP($C$39,$C$37:$BL$44,MATCH($E289,$C$37:$BL$37,0),FALSE)/VLOOKUP($L289,$C$37:$BL$44,MATCH($E289,$C$37:$BL$37,0),FALSE))*
IF($B$5="Foreign Currency",VLOOKUP($C$38,$C$37:$BL$44,MATCH(AK$48,$C$37:$BL$37,0),FALSE)/VLOOKUP($C$39,$C$37:$BL$44,MATCH(AK$48,$C$37:$BL$37,0),FALSE),1),
0),
    IF($T289="Lump Sum Principal",
        IF(AND(AK$48&gt;=$E289, AK$48&lt;($E289+$Q289)),
$K289*$P289*(VLOOKUP($C$39,$C$37:$BL$44,MATCH($E289,$C$37:$BL$37,0),FALSE)/VLOOKUP($L289,$C$37:$BL$44,MATCH($E289,$C$37:$BL$37,0),FALSE))*
IF($B$5="Foreign Currency",VLOOKUP($C$38,$C$37:$BL$44,MATCH(AK$48,$C$37:$BL$37,0),FALSE)/VLOOKUP($C$39,$C$37:$BL$44,MATCH(AK$48,$C$37:$BL$37,0),FALSE),1),
        IF(AK$48=($E289+$Q289),
$K289*(1+$P289)*(VLOOKUP($C$39,$C$37:$BL$44,MATCH($E289,$C$37:$BL$37,0),FALSE)/VLOOKUP($L289,$C$37:$BL$44,MATCH($E289,$C$37:$BL$37,0),FALSE))*
IF($B$5="Foreign Currency",VLOOKUP($C$38,$C$37:$BL$44,MATCH(AK$48,$C$37:$BL$37,0),FALSE)/VLOOKUP($C$39,$C$37:$BL$44,MATCH(AK$48,$C$37:$BL$37,0),FALSE),1),
0)),
    IF($T289="Lump Sum Principal and Interest",
        IF(AK$48=($E289+$Q289),
$K289*((1+$P289)^$Q289)*(VLOOKUP($C$39,$C$37:$BL$44,MATCH($E289,$C$37:$BL$37,0),FALSE)/VLOOKUP($L289,$C$37:$BL$44,MATCH($E289,$C$37:$BL$37,0),FALSE))*
IF($B$5="Foreign Currency",VLOOKUP($C$38,$C$37:$BL$44,MATCH(AK$48,$C$37:$BL$37,0),FALSE)/VLOOKUP($C$39,$C$37:$BL$44,MATCH(AK$48,$C$37:$BL$37,0),FALSE),1),
0),
    IF($T289="EPP with Grace Years for Principal",
        IF(AND(AK$48&gt;=$E289, AK$48&lt;($E289+$S289)),
$K289*$P289*(VLOOKUP($C$39,$C$37:$BL$44,MATCH($E289,$C$37:$BL$37,0),FALSE)/VLOOKUP($L289,$C$37:$BL$44,MATCH($E289,$C$37:$BL$37,0),FALSE))*
IF($B$5="Foreign Currency",VLOOKUP($C$38,$C$37:$BL$44,MATCH(AK$48,$C$37:$BL$37,0),FALSE)/VLOOKUP($C$39,$C$37:$BL$44,MATCH(AK$48,$C$37:$BL$37,0),FALSE),1),
        IF(AND(AK$48&gt;=($E289+$S289), AK$48&lt;=($E289+$Q289)),
-PMT($P289,($Q289-$S289+1),($K289*(VLOOKUP($C$39,$C$37:$BL$44,MATCH($E289,$C$37:$BL$37,0),FALSE)/VLOOKUP($L289,$C$37:$BL$44,MATCH($E289,$C$37:$BL$37,0),FALSE))*
IF($B$5="Foreign Currency",VLOOKUP($C$38,$C$37:$BL$44,MATCH(AK$48,$C$37:$BL$37,0),FALSE)/VLOOKUP($C$39,$C$37:$BL$44,MATCH(AK$48,$C$37:$BL$37,0),FALSE),1)),0),
0)),
    IF($T289="Equal Principal Payments (EPP)",
        IF(AND(AK$48&gt;=$E289, AK$48&lt;=($E289+$Q289)),
-PMT($P289,($Q289-$S289+1),($K289*(VLOOKUP($C$39,$C$37:$BL$44,MATCH($E289,$C$37:$BL$37,0),FALSE)/VLOOKUP($L289,$C$37:$BL$44,MATCH($E289,$C$37:$BL$37,0),FALSE))*
IF($B$5="Foreign Currency",VLOOKUP($C$38,$C$37:$BL$44,MATCH(AK$48,$C$37:$BL$37,0),FALSE)/VLOOKUP($C$39,$C$37:$BL$44,MATCH(AK$48,$C$37:$BL$37,0),FALSE),1)),0), 0),
    IF($T289="EPP with Grace Years for Principal and on Interest",
        IF(AND(AK$48&gt;=($E289+$S289), AK$48&lt;=($E289+$Q289)),
-PMT($P289,($Q289-$S289+1),($K289*(VLOOKUP($C$39,$C$37:$BL$44,MATCH($E289,$C$37:$BL$37,0),FALSE)/VLOOKUP($L289,$C$37:$BL$44,MATCH($E289,$C$37:$BL$37,0),FALSE))*
IF($B$5="Foreign Currency",VLOOKUP($C$38,$C$37:$BL$44,MATCH(AK$48,$C$37:$BL$37,0),FALSE)/VLOOKUP($C$39,$C$37:$BL$44,MATCH(AK$48,$C$37:$BL$37,0),FALSE),1))*((1+$P289)^$S289),0), 0),
    0)))))),"")</f>
        <v>0</v>
      </c>
      <c r="AL289" s="171">
        <f t="shared" si="432"/>
        <v>0</v>
      </c>
      <c r="AM289" s="171">
        <f t="shared" si="432"/>
        <v>0</v>
      </c>
      <c r="AN289" s="171">
        <f t="shared" si="432"/>
        <v>0</v>
      </c>
      <c r="AO289" s="171">
        <f t="shared" si="432"/>
        <v>0</v>
      </c>
      <c r="AP289" s="171">
        <f t="shared" si="432"/>
        <v>0</v>
      </c>
      <c r="AQ289" s="171">
        <f t="shared" si="432"/>
        <v>0</v>
      </c>
      <c r="AR289" s="171">
        <f t="shared" si="432"/>
        <v>0</v>
      </c>
      <c r="AS289" s="171">
        <f t="shared" si="432"/>
        <v>0</v>
      </c>
      <c r="AT289" s="171">
        <f t="shared" si="432"/>
        <v>0</v>
      </c>
      <c r="AU289" s="171">
        <f t="shared" ref="AU289:BD298" si="433">IFERROR(
    IF($T289="Equity",
        IF(AND(AU$48&gt;=$E289, AU$48&lt;=($E289+$Q289)),
$K289*$P289*(VLOOKUP($C$39,$C$37:$BL$44,MATCH($E289,$C$37:$BL$37,0),FALSE)/VLOOKUP($L289,$C$37:$BL$44,MATCH($E289,$C$37:$BL$37,0),FALSE))*
IF($B$5="Foreign Currency",VLOOKUP($C$38,$C$37:$BL$44,MATCH(AU$48,$C$37:$BL$37,0),FALSE)/VLOOKUP($C$39,$C$37:$BL$44,MATCH(AU$48,$C$37:$BL$37,0),FALSE),1),
0),
    IF($T289="Lump Sum Principal",
        IF(AND(AU$48&gt;=$E289, AU$48&lt;($E289+$Q289)),
$K289*$P289*(VLOOKUP($C$39,$C$37:$BL$44,MATCH($E289,$C$37:$BL$37,0),FALSE)/VLOOKUP($L289,$C$37:$BL$44,MATCH($E289,$C$37:$BL$37,0),FALSE))*
IF($B$5="Foreign Currency",VLOOKUP($C$38,$C$37:$BL$44,MATCH(AU$48,$C$37:$BL$37,0),FALSE)/VLOOKUP($C$39,$C$37:$BL$44,MATCH(AU$48,$C$37:$BL$37,0),FALSE),1),
        IF(AU$48=($E289+$Q289),
$K289*(1+$P289)*(VLOOKUP($C$39,$C$37:$BL$44,MATCH($E289,$C$37:$BL$37,0),FALSE)/VLOOKUP($L289,$C$37:$BL$44,MATCH($E289,$C$37:$BL$37,0),FALSE))*
IF($B$5="Foreign Currency",VLOOKUP($C$38,$C$37:$BL$44,MATCH(AU$48,$C$37:$BL$37,0),FALSE)/VLOOKUP($C$39,$C$37:$BL$44,MATCH(AU$48,$C$37:$BL$37,0),FALSE),1),
0)),
    IF($T289="Lump Sum Principal and Interest",
        IF(AU$48=($E289+$Q289),
$K289*((1+$P289)^$Q289)*(VLOOKUP($C$39,$C$37:$BL$44,MATCH($E289,$C$37:$BL$37,0),FALSE)/VLOOKUP($L289,$C$37:$BL$44,MATCH($E289,$C$37:$BL$37,0),FALSE))*
IF($B$5="Foreign Currency",VLOOKUP($C$38,$C$37:$BL$44,MATCH(AU$48,$C$37:$BL$37,0),FALSE)/VLOOKUP($C$39,$C$37:$BL$44,MATCH(AU$48,$C$37:$BL$37,0),FALSE),1),
0),
    IF($T289="EPP with Grace Years for Principal",
        IF(AND(AU$48&gt;=$E289, AU$48&lt;($E289+$S289)),
$K289*$P289*(VLOOKUP($C$39,$C$37:$BL$44,MATCH($E289,$C$37:$BL$37,0),FALSE)/VLOOKUP($L289,$C$37:$BL$44,MATCH($E289,$C$37:$BL$37,0),FALSE))*
IF($B$5="Foreign Currency",VLOOKUP($C$38,$C$37:$BL$44,MATCH(AU$48,$C$37:$BL$37,0),FALSE)/VLOOKUP($C$39,$C$37:$BL$44,MATCH(AU$48,$C$37:$BL$37,0),FALSE),1),
        IF(AND(AU$48&gt;=($E289+$S289), AU$48&lt;=($E289+$Q289)),
-PMT($P289,($Q289-$S289+1),($K289*(VLOOKUP($C$39,$C$37:$BL$44,MATCH($E289,$C$37:$BL$37,0),FALSE)/VLOOKUP($L289,$C$37:$BL$44,MATCH($E289,$C$37:$BL$37,0),FALSE))*
IF($B$5="Foreign Currency",VLOOKUP($C$38,$C$37:$BL$44,MATCH(AU$48,$C$37:$BL$37,0),FALSE)/VLOOKUP($C$39,$C$37:$BL$44,MATCH(AU$48,$C$37:$BL$37,0),FALSE),1)),0),
0)),
    IF($T289="Equal Principal Payments (EPP)",
        IF(AND(AU$48&gt;=$E289, AU$48&lt;=($E289+$Q289)),
-PMT($P289,($Q289-$S289+1),($K289*(VLOOKUP($C$39,$C$37:$BL$44,MATCH($E289,$C$37:$BL$37,0),FALSE)/VLOOKUP($L289,$C$37:$BL$44,MATCH($E289,$C$37:$BL$37,0),FALSE))*
IF($B$5="Foreign Currency",VLOOKUP($C$38,$C$37:$BL$44,MATCH(AU$48,$C$37:$BL$37,0),FALSE)/VLOOKUP($C$39,$C$37:$BL$44,MATCH(AU$48,$C$37:$BL$37,0),FALSE),1)),0), 0),
    IF($T289="EPP with Grace Years for Principal and on Interest",
        IF(AND(AU$48&gt;=($E289+$S289), AU$48&lt;=($E289+$Q289)),
-PMT($P289,($Q289-$S289+1),($K289*(VLOOKUP($C$39,$C$37:$BL$44,MATCH($E289,$C$37:$BL$37,0),FALSE)/VLOOKUP($L289,$C$37:$BL$44,MATCH($E289,$C$37:$BL$37,0),FALSE))*
IF($B$5="Foreign Currency",VLOOKUP($C$38,$C$37:$BL$44,MATCH(AU$48,$C$37:$BL$37,0),FALSE)/VLOOKUP($C$39,$C$37:$BL$44,MATCH(AU$48,$C$37:$BL$37,0),FALSE),1))*((1+$P289)^$S289),0), 0),
    0)))))),"")</f>
        <v>0</v>
      </c>
      <c r="AV289" s="171">
        <f t="shared" si="433"/>
        <v>0</v>
      </c>
      <c r="AW289" s="171">
        <f t="shared" si="433"/>
        <v>0</v>
      </c>
      <c r="AX289" s="171">
        <f t="shared" si="433"/>
        <v>0</v>
      </c>
      <c r="AY289" s="171">
        <f t="shared" si="433"/>
        <v>0</v>
      </c>
      <c r="AZ289" s="171">
        <f t="shared" si="433"/>
        <v>0</v>
      </c>
      <c r="BA289" s="171">
        <f t="shared" si="433"/>
        <v>0</v>
      </c>
      <c r="BB289" s="171">
        <f t="shared" si="433"/>
        <v>0</v>
      </c>
      <c r="BC289" s="171">
        <f t="shared" si="433"/>
        <v>0</v>
      </c>
      <c r="BD289" s="171">
        <f t="shared" si="433"/>
        <v>0</v>
      </c>
      <c r="BE289" s="171">
        <f t="shared" ref="BE289:BN298" si="434">IFERROR(
    IF($T289="Equity",
        IF(AND(BE$48&gt;=$E289, BE$48&lt;=($E289+$Q289)),
$K289*$P289*(VLOOKUP($C$39,$C$37:$BL$44,MATCH($E289,$C$37:$BL$37,0),FALSE)/VLOOKUP($L289,$C$37:$BL$44,MATCH($E289,$C$37:$BL$37,0),FALSE))*
IF($B$5="Foreign Currency",VLOOKUP($C$38,$C$37:$BL$44,MATCH(BE$48,$C$37:$BL$37,0),FALSE)/VLOOKUP($C$39,$C$37:$BL$44,MATCH(BE$48,$C$37:$BL$37,0),FALSE),1),
0),
    IF($T289="Lump Sum Principal",
        IF(AND(BE$48&gt;=$E289, BE$48&lt;($E289+$Q289)),
$K289*$P289*(VLOOKUP($C$39,$C$37:$BL$44,MATCH($E289,$C$37:$BL$37,0),FALSE)/VLOOKUP($L289,$C$37:$BL$44,MATCH($E289,$C$37:$BL$37,0),FALSE))*
IF($B$5="Foreign Currency",VLOOKUP($C$38,$C$37:$BL$44,MATCH(BE$48,$C$37:$BL$37,0),FALSE)/VLOOKUP($C$39,$C$37:$BL$44,MATCH(BE$48,$C$37:$BL$37,0),FALSE),1),
        IF(BE$48=($E289+$Q289),
$K289*(1+$P289)*(VLOOKUP($C$39,$C$37:$BL$44,MATCH($E289,$C$37:$BL$37,0),FALSE)/VLOOKUP($L289,$C$37:$BL$44,MATCH($E289,$C$37:$BL$37,0),FALSE))*
IF($B$5="Foreign Currency",VLOOKUP($C$38,$C$37:$BL$44,MATCH(BE$48,$C$37:$BL$37,0),FALSE)/VLOOKUP($C$39,$C$37:$BL$44,MATCH(BE$48,$C$37:$BL$37,0),FALSE),1),
0)),
    IF($T289="Lump Sum Principal and Interest",
        IF(BE$48=($E289+$Q289),
$K289*((1+$P289)^$Q289)*(VLOOKUP($C$39,$C$37:$BL$44,MATCH($E289,$C$37:$BL$37,0),FALSE)/VLOOKUP($L289,$C$37:$BL$44,MATCH($E289,$C$37:$BL$37,0),FALSE))*
IF($B$5="Foreign Currency",VLOOKUP($C$38,$C$37:$BL$44,MATCH(BE$48,$C$37:$BL$37,0),FALSE)/VLOOKUP($C$39,$C$37:$BL$44,MATCH(BE$48,$C$37:$BL$37,0),FALSE),1),
0),
    IF($T289="EPP with Grace Years for Principal",
        IF(AND(BE$48&gt;=$E289, BE$48&lt;($E289+$S289)),
$K289*$P289*(VLOOKUP($C$39,$C$37:$BL$44,MATCH($E289,$C$37:$BL$37,0),FALSE)/VLOOKUP($L289,$C$37:$BL$44,MATCH($E289,$C$37:$BL$37,0),FALSE))*
IF($B$5="Foreign Currency",VLOOKUP($C$38,$C$37:$BL$44,MATCH(BE$48,$C$37:$BL$37,0),FALSE)/VLOOKUP($C$39,$C$37:$BL$44,MATCH(BE$48,$C$37:$BL$37,0),FALSE),1),
        IF(AND(BE$48&gt;=($E289+$S289), BE$48&lt;=($E289+$Q289)),
-PMT($P289,($Q289-$S289+1),($K289*(VLOOKUP($C$39,$C$37:$BL$44,MATCH($E289,$C$37:$BL$37,0),FALSE)/VLOOKUP($L289,$C$37:$BL$44,MATCH($E289,$C$37:$BL$37,0),FALSE))*
IF($B$5="Foreign Currency",VLOOKUP($C$38,$C$37:$BL$44,MATCH(BE$48,$C$37:$BL$37,0),FALSE)/VLOOKUP($C$39,$C$37:$BL$44,MATCH(BE$48,$C$37:$BL$37,0),FALSE),1)),0),
0)),
    IF($T289="Equal Principal Payments (EPP)",
        IF(AND(BE$48&gt;=$E289, BE$48&lt;=($E289+$Q289)),
-PMT($P289,($Q289-$S289+1),($K289*(VLOOKUP($C$39,$C$37:$BL$44,MATCH($E289,$C$37:$BL$37,0),FALSE)/VLOOKUP($L289,$C$37:$BL$44,MATCH($E289,$C$37:$BL$37,0),FALSE))*
IF($B$5="Foreign Currency",VLOOKUP($C$38,$C$37:$BL$44,MATCH(BE$48,$C$37:$BL$37,0),FALSE)/VLOOKUP($C$39,$C$37:$BL$44,MATCH(BE$48,$C$37:$BL$37,0),FALSE),1)),0), 0),
    IF($T289="EPP with Grace Years for Principal and on Interest",
        IF(AND(BE$48&gt;=($E289+$S289), BE$48&lt;=($E289+$Q289)),
-PMT($P289,($Q289-$S289+1),($K289*(VLOOKUP($C$39,$C$37:$BL$44,MATCH($E289,$C$37:$BL$37,0),FALSE)/VLOOKUP($L289,$C$37:$BL$44,MATCH($E289,$C$37:$BL$37,0),FALSE))*
IF($B$5="Foreign Currency",VLOOKUP($C$38,$C$37:$BL$44,MATCH(BE$48,$C$37:$BL$37,0),FALSE)/VLOOKUP($C$39,$C$37:$BL$44,MATCH(BE$48,$C$37:$BL$37,0),FALSE),1))*((1+$P289)^$S289),0), 0),
    0)))))),"")</f>
        <v>0</v>
      </c>
      <c r="BF289" s="171">
        <f t="shared" si="434"/>
        <v>0</v>
      </c>
      <c r="BG289" s="171">
        <f t="shared" si="434"/>
        <v>0</v>
      </c>
      <c r="BH289" s="171">
        <f t="shared" si="434"/>
        <v>0</v>
      </c>
      <c r="BI289" s="171">
        <f t="shared" si="434"/>
        <v>0</v>
      </c>
      <c r="BJ289" s="171">
        <f t="shared" si="434"/>
        <v>0</v>
      </c>
      <c r="BK289" s="171">
        <f t="shared" si="434"/>
        <v>0</v>
      </c>
      <c r="BL289" s="171">
        <f t="shared" si="434"/>
        <v>0</v>
      </c>
      <c r="BM289" s="171">
        <f t="shared" si="434"/>
        <v>0</v>
      </c>
      <c r="BN289" s="171">
        <f t="shared" si="434"/>
        <v>0</v>
      </c>
      <c r="BO289" s="171">
        <f t="shared" ref="BO289:BX298" si="435">IFERROR(
    IF($T289="Equity",
        IF(AND(BO$48&gt;=$E289, BO$48&lt;=($E289+$Q289)),
$K289*$P289*(VLOOKUP($C$39,$C$37:$BL$44,MATCH($E289,$C$37:$BL$37,0),FALSE)/VLOOKUP($L289,$C$37:$BL$44,MATCH($E289,$C$37:$BL$37,0),FALSE))*
IF($B$5="Foreign Currency",VLOOKUP($C$38,$C$37:$BL$44,MATCH(BO$48,$C$37:$BL$37,0),FALSE)/VLOOKUP($C$39,$C$37:$BL$44,MATCH(BO$48,$C$37:$BL$37,0),FALSE),1),
0),
    IF($T289="Lump Sum Principal",
        IF(AND(BO$48&gt;=$E289, BO$48&lt;($E289+$Q289)),
$K289*$P289*(VLOOKUP($C$39,$C$37:$BL$44,MATCH($E289,$C$37:$BL$37,0),FALSE)/VLOOKUP($L289,$C$37:$BL$44,MATCH($E289,$C$37:$BL$37,0),FALSE))*
IF($B$5="Foreign Currency",VLOOKUP($C$38,$C$37:$BL$44,MATCH(BO$48,$C$37:$BL$37,0),FALSE)/VLOOKUP($C$39,$C$37:$BL$44,MATCH(BO$48,$C$37:$BL$37,0),FALSE),1),
        IF(BO$48=($E289+$Q289),
$K289*(1+$P289)*(VLOOKUP($C$39,$C$37:$BL$44,MATCH($E289,$C$37:$BL$37,0),FALSE)/VLOOKUP($L289,$C$37:$BL$44,MATCH($E289,$C$37:$BL$37,0),FALSE))*
IF($B$5="Foreign Currency",VLOOKUP($C$38,$C$37:$BL$44,MATCH(BO$48,$C$37:$BL$37,0),FALSE)/VLOOKUP($C$39,$C$37:$BL$44,MATCH(BO$48,$C$37:$BL$37,0),FALSE),1),
0)),
    IF($T289="Lump Sum Principal and Interest",
        IF(BO$48=($E289+$Q289),
$K289*((1+$P289)^$Q289)*(VLOOKUP($C$39,$C$37:$BL$44,MATCH($E289,$C$37:$BL$37,0),FALSE)/VLOOKUP($L289,$C$37:$BL$44,MATCH($E289,$C$37:$BL$37,0),FALSE))*
IF($B$5="Foreign Currency",VLOOKUP($C$38,$C$37:$BL$44,MATCH(BO$48,$C$37:$BL$37,0),FALSE)/VLOOKUP($C$39,$C$37:$BL$44,MATCH(BO$48,$C$37:$BL$37,0),FALSE),1),
0),
    IF($T289="EPP with Grace Years for Principal",
        IF(AND(BO$48&gt;=$E289, BO$48&lt;($E289+$S289)),
$K289*$P289*(VLOOKUP($C$39,$C$37:$BL$44,MATCH($E289,$C$37:$BL$37,0),FALSE)/VLOOKUP($L289,$C$37:$BL$44,MATCH($E289,$C$37:$BL$37,0),FALSE))*
IF($B$5="Foreign Currency",VLOOKUP($C$38,$C$37:$BL$44,MATCH(BO$48,$C$37:$BL$37,0),FALSE)/VLOOKUP($C$39,$C$37:$BL$44,MATCH(BO$48,$C$37:$BL$37,0),FALSE),1),
        IF(AND(BO$48&gt;=($E289+$S289), BO$48&lt;=($E289+$Q289)),
-PMT($P289,($Q289-$S289+1),($K289*(VLOOKUP($C$39,$C$37:$BL$44,MATCH($E289,$C$37:$BL$37,0),FALSE)/VLOOKUP($L289,$C$37:$BL$44,MATCH($E289,$C$37:$BL$37,0),FALSE))*
IF($B$5="Foreign Currency",VLOOKUP($C$38,$C$37:$BL$44,MATCH(BO$48,$C$37:$BL$37,0),FALSE)/VLOOKUP($C$39,$C$37:$BL$44,MATCH(BO$48,$C$37:$BL$37,0),FALSE),1)),0),
0)),
    IF($T289="Equal Principal Payments (EPP)",
        IF(AND(BO$48&gt;=$E289, BO$48&lt;=($E289+$Q289)),
-PMT($P289,($Q289-$S289+1),($K289*(VLOOKUP($C$39,$C$37:$BL$44,MATCH($E289,$C$37:$BL$37,0),FALSE)/VLOOKUP($L289,$C$37:$BL$44,MATCH($E289,$C$37:$BL$37,0),FALSE))*
IF($B$5="Foreign Currency",VLOOKUP($C$38,$C$37:$BL$44,MATCH(BO$48,$C$37:$BL$37,0),FALSE)/VLOOKUP($C$39,$C$37:$BL$44,MATCH(BO$48,$C$37:$BL$37,0),FALSE),1)),0), 0),
    IF($T289="EPP with Grace Years for Principal and on Interest",
        IF(AND(BO$48&gt;=($E289+$S289), BO$48&lt;=($E289+$Q289)),
-PMT($P289,($Q289-$S289+1),($K289*(VLOOKUP($C$39,$C$37:$BL$44,MATCH($E289,$C$37:$BL$37,0),FALSE)/VLOOKUP($L289,$C$37:$BL$44,MATCH($E289,$C$37:$BL$37,0),FALSE))*
IF($B$5="Foreign Currency",VLOOKUP($C$38,$C$37:$BL$44,MATCH(BO$48,$C$37:$BL$37,0),FALSE)/VLOOKUP($C$39,$C$37:$BL$44,MATCH(BO$48,$C$37:$BL$37,0),FALSE),1))*((1+$P289)^$S289),0), 0),
    0)))))),"")</f>
        <v>0</v>
      </c>
      <c r="BP289" s="171">
        <f t="shared" si="435"/>
        <v>0</v>
      </c>
      <c r="BQ289" s="171">
        <f t="shared" si="435"/>
        <v>0</v>
      </c>
      <c r="BR289" s="171">
        <f t="shared" si="435"/>
        <v>0</v>
      </c>
      <c r="BS289" s="171">
        <f t="shared" si="435"/>
        <v>0</v>
      </c>
      <c r="BT289" s="171">
        <f t="shared" si="435"/>
        <v>0</v>
      </c>
      <c r="BU289" s="171">
        <f t="shared" si="435"/>
        <v>0</v>
      </c>
      <c r="BV289" s="171">
        <f t="shared" si="435"/>
        <v>0</v>
      </c>
      <c r="BW289" s="171">
        <f t="shared" si="435"/>
        <v>0</v>
      </c>
      <c r="BX289" s="171">
        <f t="shared" si="435"/>
        <v>0</v>
      </c>
      <c r="BY289" s="171">
        <f t="shared" ref="BY289:CI298" si="436">IFERROR(
    IF($T289="Equity",
        IF(AND(BY$48&gt;=$E289, BY$48&lt;=($E289+$Q289)),
$K289*$P289*(VLOOKUP($C$39,$C$37:$BL$44,MATCH($E289,$C$37:$BL$37,0),FALSE)/VLOOKUP($L289,$C$37:$BL$44,MATCH($E289,$C$37:$BL$37,0),FALSE))*
IF($B$5="Foreign Currency",VLOOKUP($C$38,$C$37:$BL$44,MATCH(BY$48,$C$37:$BL$37,0),FALSE)/VLOOKUP($C$39,$C$37:$BL$44,MATCH(BY$48,$C$37:$BL$37,0),FALSE),1),
0),
    IF($T289="Lump Sum Principal",
        IF(AND(BY$48&gt;=$E289, BY$48&lt;($E289+$Q289)),
$K289*$P289*(VLOOKUP($C$39,$C$37:$BL$44,MATCH($E289,$C$37:$BL$37,0),FALSE)/VLOOKUP($L289,$C$37:$BL$44,MATCH($E289,$C$37:$BL$37,0),FALSE))*
IF($B$5="Foreign Currency",VLOOKUP($C$38,$C$37:$BL$44,MATCH(BY$48,$C$37:$BL$37,0),FALSE)/VLOOKUP($C$39,$C$37:$BL$44,MATCH(BY$48,$C$37:$BL$37,0),FALSE),1),
        IF(BY$48=($E289+$Q289),
$K289*(1+$P289)*(VLOOKUP($C$39,$C$37:$BL$44,MATCH($E289,$C$37:$BL$37,0),FALSE)/VLOOKUP($L289,$C$37:$BL$44,MATCH($E289,$C$37:$BL$37,0),FALSE))*
IF($B$5="Foreign Currency",VLOOKUP($C$38,$C$37:$BL$44,MATCH(BY$48,$C$37:$BL$37,0),FALSE)/VLOOKUP($C$39,$C$37:$BL$44,MATCH(BY$48,$C$37:$BL$37,0),FALSE),1),
0)),
    IF($T289="Lump Sum Principal and Interest",
        IF(BY$48=($E289+$Q289),
$K289*((1+$P289)^$Q289)*(VLOOKUP($C$39,$C$37:$BL$44,MATCH($E289,$C$37:$BL$37,0),FALSE)/VLOOKUP($L289,$C$37:$BL$44,MATCH($E289,$C$37:$BL$37,0),FALSE))*
IF($B$5="Foreign Currency",VLOOKUP($C$38,$C$37:$BL$44,MATCH(BY$48,$C$37:$BL$37,0),FALSE)/VLOOKUP($C$39,$C$37:$BL$44,MATCH(BY$48,$C$37:$BL$37,0),FALSE),1),
0),
    IF($T289="EPP with Grace Years for Principal",
        IF(AND(BY$48&gt;=$E289, BY$48&lt;($E289+$S289)),
$K289*$P289*(VLOOKUP($C$39,$C$37:$BL$44,MATCH($E289,$C$37:$BL$37,0),FALSE)/VLOOKUP($L289,$C$37:$BL$44,MATCH($E289,$C$37:$BL$37,0),FALSE))*
IF($B$5="Foreign Currency",VLOOKUP($C$38,$C$37:$BL$44,MATCH(BY$48,$C$37:$BL$37,0),FALSE)/VLOOKUP($C$39,$C$37:$BL$44,MATCH(BY$48,$C$37:$BL$37,0),FALSE),1),
        IF(AND(BY$48&gt;=($E289+$S289), BY$48&lt;=($E289+$Q289)),
-PMT($P289,($Q289-$S289+1),($K289*(VLOOKUP($C$39,$C$37:$BL$44,MATCH($E289,$C$37:$BL$37,0),FALSE)/VLOOKUP($L289,$C$37:$BL$44,MATCH($E289,$C$37:$BL$37,0),FALSE))*
IF($B$5="Foreign Currency",VLOOKUP($C$38,$C$37:$BL$44,MATCH(BY$48,$C$37:$BL$37,0),FALSE)/VLOOKUP($C$39,$C$37:$BL$44,MATCH(BY$48,$C$37:$BL$37,0),FALSE),1)),0),
0)),
    IF($T289="Equal Principal Payments (EPP)",
        IF(AND(BY$48&gt;=$E289, BY$48&lt;=($E289+$Q289)),
-PMT($P289,($Q289-$S289+1),($K289*(VLOOKUP($C$39,$C$37:$BL$44,MATCH($E289,$C$37:$BL$37,0),FALSE)/VLOOKUP($L289,$C$37:$BL$44,MATCH($E289,$C$37:$BL$37,0),FALSE))*
IF($B$5="Foreign Currency",VLOOKUP($C$38,$C$37:$BL$44,MATCH(BY$48,$C$37:$BL$37,0),FALSE)/VLOOKUP($C$39,$C$37:$BL$44,MATCH(BY$48,$C$37:$BL$37,0),FALSE),1)),0), 0),
    IF($T289="EPP with Grace Years for Principal and on Interest",
        IF(AND(BY$48&gt;=($E289+$S289), BY$48&lt;=($E289+$Q289)),
-PMT($P289,($Q289-$S289+1),($K289*(VLOOKUP($C$39,$C$37:$BL$44,MATCH($E289,$C$37:$BL$37,0),FALSE)/VLOOKUP($L289,$C$37:$BL$44,MATCH($E289,$C$37:$BL$37,0),FALSE))*
IF($B$5="Foreign Currency",VLOOKUP($C$38,$C$37:$BL$44,MATCH(BY$48,$C$37:$BL$37,0),FALSE)/VLOOKUP($C$39,$C$37:$BL$44,MATCH(BY$48,$C$37:$BL$37,0),FALSE),1))*((1+$P289)^$S289),0), 0),
    0)))))),"")</f>
        <v>0</v>
      </c>
      <c r="BZ289" s="171">
        <f t="shared" si="436"/>
        <v>0</v>
      </c>
      <c r="CA289" s="171">
        <f t="shared" si="436"/>
        <v>0</v>
      </c>
      <c r="CB289" s="171">
        <f t="shared" si="436"/>
        <v>0</v>
      </c>
      <c r="CC289" s="171">
        <f t="shared" si="436"/>
        <v>0</v>
      </c>
      <c r="CD289" s="171">
        <f t="shared" si="436"/>
        <v>0</v>
      </c>
      <c r="CE289" s="171">
        <f t="shared" si="436"/>
        <v>0</v>
      </c>
      <c r="CF289" s="171">
        <f t="shared" si="436"/>
        <v>0</v>
      </c>
      <c r="CG289" s="171">
        <f t="shared" si="436"/>
        <v>0</v>
      </c>
      <c r="CH289" s="171">
        <f t="shared" si="436"/>
        <v>0</v>
      </c>
      <c r="CI289" s="171">
        <f t="shared" si="436"/>
        <v>0</v>
      </c>
      <c r="CJ289" s="243"/>
      <c r="CK289" s="171">
        <f t="shared" si="346"/>
        <v>0</v>
      </c>
      <c r="CL289" s="171">
        <f t="shared" si="347"/>
        <v>0</v>
      </c>
      <c r="CM289" s="171">
        <f t="shared" si="348"/>
        <v>0</v>
      </c>
      <c r="CN289" s="171">
        <f t="shared" si="349"/>
        <v>0</v>
      </c>
      <c r="CO289" s="171">
        <f t="shared" si="350"/>
        <v>0</v>
      </c>
      <c r="CP289" s="171">
        <f t="shared" si="351"/>
        <v>0</v>
      </c>
      <c r="CQ289" s="171">
        <f t="shared" si="352"/>
        <v>0</v>
      </c>
      <c r="CR289" s="171">
        <f t="shared" si="353"/>
        <v>0</v>
      </c>
      <c r="CS289" s="171">
        <f t="shared" si="354"/>
        <v>0</v>
      </c>
      <c r="CT289" s="171">
        <f t="shared" si="355"/>
        <v>0</v>
      </c>
      <c r="CU289" s="171">
        <f t="shared" si="356"/>
        <v>0</v>
      </c>
      <c r="CV289" s="171">
        <f t="shared" si="357"/>
        <v>0</v>
      </c>
      <c r="CW289" s="171">
        <f t="shared" si="358"/>
        <v>0</v>
      </c>
      <c r="CX289" s="171">
        <f t="shared" si="359"/>
        <v>0</v>
      </c>
      <c r="CY289" s="171">
        <f t="shared" ca="1" si="360"/>
        <v>0</v>
      </c>
      <c r="CZ289" s="171">
        <f t="shared" ca="1" si="361"/>
        <v>0</v>
      </c>
      <c r="DA289" s="171">
        <f t="shared" ca="1" si="362"/>
        <v>0</v>
      </c>
      <c r="DB289" s="171">
        <f t="shared" ca="1" si="363"/>
        <v>0</v>
      </c>
      <c r="DC289" s="171">
        <f t="shared" ca="1" si="364"/>
        <v>0</v>
      </c>
      <c r="DD289" s="171">
        <f t="shared" ca="1" si="365"/>
        <v>0</v>
      </c>
      <c r="DE289" s="171">
        <f t="shared" ca="1" si="366"/>
        <v>0</v>
      </c>
      <c r="DF289" s="171">
        <f t="shared" ca="1" si="367"/>
        <v>0</v>
      </c>
      <c r="DG289" s="171">
        <f t="shared" ca="1" si="368"/>
        <v>0</v>
      </c>
      <c r="DH289" s="171">
        <f t="shared" ca="1" si="369"/>
        <v>0</v>
      </c>
      <c r="DI289" s="171">
        <f t="shared" ca="1" si="370"/>
        <v>0</v>
      </c>
      <c r="DJ289" s="171">
        <f t="shared" ca="1" si="371"/>
        <v>0</v>
      </c>
      <c r="DK289" s="171">
        <f t="shared" ca="1" si="372"/>
        <v>0</v>
      </c>
      <c r="DL289" s="171">
        <f t="shared" ca="1" si="373"/>
        <v>0</v>
      </c>
      <c r="DM289" s="171">
        <f t="shared" ca="1" si="374"/>
        <v>0</v>
      </c>
      <c r="DN289" s="171">
        <f t="shared" ca="1" si="375"/>
        <v>0</v>
      </c>
      <c r="DO289" s="171">
        <f t="shared" ca="1" si="376"/>
        <v>0</v>
      </c>
      <c r="DP289" s="171">
        <f t="shared" ca="1" si="377"/>
        <v>0</v>
      </c>
      <c r="DQ289" s="171">
        <f t="shared" ca="1" si="378"/>
        <v>0</v>
      </c>
      <c r="DR289" s="171">
        <f t="shared" ca="1" si="379"/>
        <v>0</v>
      </c>
      <c r="DS289" s="171">
        <f t="shared" ca="1" si="380"/>
        <v>0</v>
      </c>
      <c r="DT289" s="171">
        <f t="shared" ca="1" si="381"/>
        <v>0</v>
      </c>
      <c r="DU289" s="171">
        <f t="shared" ca="1" si="382"/>
        <v>0</v>
      </c>
      <c r="DV289" s="171">
        <f t="shared" ca="1" si="383"/>
        <v>0</v>
      </c>
      <c r="DW289" s="171">
        <f t="shared" ca="1" si="384"/>
        <v>0</v>
      </c>
      <c r="DX289" s="171">
        <f t="shared" ca="1" si="385"/>
        <v>0</v>
      </c>
      <c r="DY289" s="171">
        <f t="shared" ca="1" si="386"/>
        <v>0</v>
      </c>
      <c r="DZ289" s="171">
        <f t="shared" ca="1" si="387"/>
        <v>0</v>
      </c>
      <c r="EA289" s="171">
        <f t="shared" ca="1" si="388"/>
        <v>0</v>
      </c>
      <c r="EB289" s="171">
        <f t="shared" ca="1" si="389"/>
        <v>0</v>
      </c>
      <c r="EC289" s="171">
        <f t="shared" ca="1" si="390"/>
        <v>0</v>
      </c>
      <c r="ED289" s="171">
        <f t="shared" ca="1" si="391"/>
        <v>0</v>
      </c>
      <c r="EE289" s="171">
        <f t="shared" ca="1" si="392"/>
        <v>0</v>
      </c>
      <c r="EF289" s="171">
        <f t="shared" ca="1" si="393"/>
        <v>0</v>
      </c>
      <c r="EG289" s="171">
        <f t="shared" ca="1" si="394"/>
        <v>0</v>
      </c>
      <c r="EH289" s="171">
        <f t="shared" ca="1" si="395"/>
        <v>0</v>
      </c>
      <c r="EI289" s="171">
        <f t="shared" ca="1" si="396"/>
        <v>0</v>
      </c>
      <c r="EJ289" s="171">
        <f t="shared" ca="1" si="397"/>
        <v>0</v>
      </c>
      <c r="EK289" s="171">
        <f t="shared" ca="1" si="398"/>
        <v>0</v>
      </c>
      <c r="EL289" s="171">
        <f t="shared" ca="1" si="399"/>
        <v>0</v>
      </c>
      <c r="EM289" s="171">
        <f t="shared" ca="1" si="400"/>
        <v>0</v>
      </c>
      <c r="EN289" s="171">
        <f t="shared" ca="1" si="401"/>
        <v>0</v>
      </c>
      <c r="EO289" s="171">
        <f t="shared" ca="1" si="402"/>
        <v>0</v>
      </c>
      <c r="EP289" s="171">
        <f t="shared" ca="1" si="403"/>
        <v>0</v>
      </c>
      <c r="EQ289" s="171">
        <f t="shared" ca="1" si="404"/>
        <v>0</v>
      </c>
      <c r="ER289" s="171">
        <f t="shared" ca="1" si="405"/>
        <v>0</v>
      </c>
      <c r="ES289" s="171">
        <f t="shared" ca="1" si="406"/>
        <v>0</v>
      </c>
    </row>
    <row r="290" spans="3:149">
      <c r="C290" s="214"/>
      <c r="H290" s="216"/>
      <c r="I290" s="217"/>
      <c r="L290" s="163"/>
      <c r="M290" s="164" t="str">
        <f t="shared" si="337"/>
        <v/>
      </c>
      <c r="N290" s="164" t="str">
        <f t="shared" si="338"/>
        <v/>
      </c>
      <c r="O290" s="165" t="str">
        <f t="shared" si="339"/>
        <v/>
      </c>
      <c r="R290" s="168"/>
      <c r="U290" s="171">
        <f t="shared" si="340"/>
        <v>0</v>
      </c>
      <c r="V290" s="171">
        <f t="shared" ca="1" si="341"/>
        <v>0</v>
      </c>
      <c r="W290" s="171">
        <f t="shared" ca="1" si="342"/>
        <v>0</v>
      </c>
      <c r="X290" s="172">
        <f t="shared" si="343"/>
        <v>0</v>
      </c>
      <c r="Y290" s="172" t="str">
        <f t="shared" si="344"/>
        <v/>
      </c>
      <c r="Z290" s="173">
        <f t="shared" si="345"/>
        <v>0</v>
      </c>
      <c r="AA290" s="171">
        <f t="shared" si="431"/>
        <v>0</v>
      </c>
      <c r="AB290" s="171">
        <f t="shared" si="431"/>
        <v>0</v>
      </c>
      <c r="AC290" s="171">
        <f t="shared" si="431"/>
        <v>0</v>
      </c>
      <c r="AD290" s="171">
        <f t="shared" si="431"/>
        <v>0</v>
      </c>
      <c r="AE290" s="171">
        <f t="shared" si="431"/>
        <v>0</v>
      </c>
      <c r="AF290" s="171">
        <f t="shared" si="431"/>
        <v>0</v>
      </c>
      <c r="AG290" s="171">
        <f t="shared" si="431"/>
        <v>0</v>
      </c>
      <c r="AH290" s="171">
        <f t="shared" si="431"/>
        <v>0</v>
      </c>
      <c r="AI290" s="171">
        <f t="shared" si="431"/>
        <v>0</v>
      </c>
      <c r="AJ290" s="171">
        <f t="shared" si="431"/>
        <v>0</v>
      </c>
      <c r="AK290" s="171">
        <f t="shared" si="432"/>
        <v>0</v>
      </c>
      <c r="AL290" s="171">
        <f t="shared" si="432"/>
        <v>0</v>
      </c>
      <c r="AM290" s="171">
        <f t="shared" si="432"/>
        <v>0</v>
      </c>
      <c r="AN290" s="171">
        <f t="shared" si="432"/>
        <v>0</v>
      </c>
      <c r="AO290" s="171">
        <f t="shared" si="432"/>
        <v>0</v>
      </c>
      <c r="AP290" s="171">
        <f t="shared" si="432"/>
        <v>0</v>
      </c>
      <c r="AQ290" s="171">
        <f t="shared" si="432"/>
        <v>0</v>
      </c>
      <c r="AR290" s="171">
        <f t="shared" si="432"/>
        <v>0</v>
      </c>
      <c r="AS290" s="171">
        <f t="shared" si="432"/>
        <v>0</v>
      </c>
      <c r="AT290" s="171">
        <f t="shared" si="432"/>
        <v>0</v>
      </c>
      <c r="AU290" s="171">
        <f t="shared" si="433"/>
        <v>0</v>
      </c>
      <c r="AV290" s="171">
        <f t="shared" si="433"/>
        <v>0</v>
      </c>
      <c r="AW290" s="171">
        <f t="shared" si="433"/>
        <v>0</v>
      </c>
      <c r="AX290" s="171">
        <f t="shared" si="433"/>
        <v>0</v>
      </c>
      <c r="AY290" s="171">
        <f t="shared" si="433"/>
        <v>0</v>
      </c>
      <c r="AZ290" s="171">
        <f t="shared" si="433"/>
        <v>0</v>
      </c>
      <c r="BA290" s="171">
        <f t="shared" si="433"/>
        <v>0</v>
      </c>
      <c r="BB290" s="171">
        <f t="shared" si="433"/>
        <v>0</v>
      </c>
      <c r="BC290" s="171">
        <f t="shared" si="433"/>
        <v>0</v>
      </c>
      <c r="BD290" s="171">
        <f t="shared" si="433"/>
        <v>0</v>
      </c>
      <c r="BE290" s="171">
        <f t="shared" si="434"/>
        <v>0</v>
      </c>
      <c r="BF290" s="171">
        <f t="shared" si="434"/>
        <v>0</v>
      </c>
      <c r="BG290" s="171">
        <f t="shared" si="434"/>
        <v>0</v>
      </c>
      <c r="BH290" s="171">
        <f t="shared" si="434"/>
        <v>0</v>
      </c>
      <c r="BI290" s="171">
        <f t="shared" si="434"/>
        <v>0</v>
      </c>
      <c r="BJ290" s="171">
        <f t="shared" si="434"/>
        <v>0</v>
      </c>
      <c r="BK290" s="171">
        <f t="shared" si="434"/>
        <v>0</v>
      </c>
      <c r="BL290" s="171">
        <f t="shared" si="434"/>
        <v>0</v>
      </c>
      <c r="BM290" s="171">
        <f t="shared" si="434"/>
        <v>0</v>
      </c>
      <c r="BN290" s="171">
        <f t="shared" si="434"/>
        <v>0</v>
      </c>
      <c r="BO290" s="171">
        <f t="shared" si="435"/>
        <v>0</v>
      </c>
      <c r="BP290" s="171">
        <f t="shared" si="435"/>
        <v>0</v>
      </c>
      <c r="BQ290" s="171">
        <f t="shared" si="435"/>
        <v>0</v>
      </c>
      <c r="BR290" s="171">
        <f t="shared" si="435"/>
        <v>0</v>
      </c>
      <c r="BS290" s="171">
        <f t="shared" si="435"/>
        <v>0</v>
      </c>
      <c r="BT290" s="171">
        <f t="shared" si="435"/>
        <v>0</v>
      </c>
      <c r="BU290" s="171">
        <f t="shared" si="435"/>
        <v>0</v>
      </c>
      <c r="BV290" s="171">
        <f t="shared" si="435"/>
        <v>0</v>
      </c>
      <c r="BW290" s="171">
        <f t="shared" si="435"/>
        <v>0</v>
      </c>
      <c r="BX290" s="171">
        <f t="shared" si="435"/>
        <v>0</v>
      </c>
      <c r="BY290" s="171">
        <f t="shared" si="436"/>
        <v>0</v>
      </c>
      <c r="BZ290" s="171">
        <f t="shared" si="436"/>
        <v>0</v>
      </c>
      <c r="CA290" s="171">
        <f t="shared" si="436"/>
        <v>0</v>
      </c>
      <c r="CB290" s="171">
        <f t="shared" si="436"/>
        <v>0</v>
      </c>
      <c r="CC290" s="171">
        <f t="shared" si="436"/>
        <v>0</v>
      </c>
      <c r="CD290" s="171">
        <f t="shared" si="436"/>
        <v>0</v>
      </c>
      <c r="CE290" s="171">
        <f t="shared" si="436"/>
        <v>0</v>
      </c>
      <c r="CF290" s="171">
        <f t="shared" si="436"/>
        <v>0</v>
      </c>
      <c r="CG290" s="171">
        <f t="shared" si="436"/>
        <v>0</v>
      </c>
      <c r="CH290" s="171">
        <f t="shared" si="436"/>
        <v>0</v>
      </c>
      <c r="CI290" s="171">
        <f t="shared" si="436"/>
        <v>0</v>
      </c>
      <c r="CJ290" s="243"/>
      <c r="CK290" s="171">
        <f t="shared" si="346"/>
        <v>0</v>
      </c>
      <c r="CL290" s="171">
        <f t="shared" si="347"/>
        <v>0</v>
      </c>
      <c r="CM290" s="171">
        <f t="shared" si="348"/>
        <v>0</v>
      </c>
      <c r="CN290" s="171">
        <f t="shared" si="349"/>
        <v>0</v>
      </c>
      <c r="CO290" s="171">
        <f t="shared" si="350"/>
        <v>0</v>
      </c>
      <c r="CP290" s="171">
        <f t="shared" si="351"/>
        <v>0</v>
      </c>
      <c r="CQ290" s="171">
        <f t="shared" si="352"/>
        <v>0</v>
      </c>
      <c r="CR290" s="171">
        <f t="shared" si="353"/>
        <v>0</v>
      </c>
      <c r="CS290" s="171">
        <f t="shared" si="354"/>
        <v>0</v>
      </c>
      <c r="CT290" s="171">
        <f t="shared" si="355"/>
        <v>0</v>
      </c>
      <c r="CU290" s="171">
        <f t="shared" si="356"/>
        <v>0</v>
      </c>
      <c r="CV290" s="171">
        <f t="shared" si="357"/>
        <v>0</v>
      </c>
      <c r="CW290" s="171">
        <f t="shared" si="358"/>
        <v>0</v>
      </c>
      <c r="CX290" s="171">
        <f t="shared" si="359"/>
        <v>0</v>
      </c>
      <c r="CY290" s="171">
        <f t="shared" ca="1" si="360"/>
        <v>0</v>
      </c>
      <c r="CZ290" s="171">
        <f t="shared" ca="1" si="361"/>
        <v>0</v>
      </c>
      <c r="DA290" s="171">
        <f t="shared" ca="1" si="362"/>
        <v>0</v>
      </c>
      <c r="DB290" s="171">
        <f t="shared" ca="1" si="363"/>
        <v>0</v>
      </c>
      <c r="DC290" s="171">
        <f t="shared" ca="1" si="364"/>
        <v>0</v>
      </c>
      <c r="DD290" s="171">
        <f t="shared" ca="1" si="365"/>
        <v>0</v>
      </c>
      <c r="DE290" s="171">
        <f t="shared" ca="1" si="366"/>
        <v>0</v>
      </c>
      <c r="DF290" s="171">
        <f t="shared" ca="1" si="367"/>
        <v>0</v>
      </c>
      <c r="DG290" s="171">
        <f t="shared" ca="1" si="368"/>
        <v>0</v>
      </c>
      <c r="DH290" s="171">
        <f t="shared" ca="1" si="369"/>
        <v>0</v>
      </c>
      <c r="DI290" s="171">
        <f t="shared" ca="1" si="370"/>
        <v>0</v>
      </c>
      <c r="DJ290" s="171">
        <f t="shared" ca="1" si="371"/>
        <v>0</v>
      </c>
      <c r="DK290" s="171">
        <f t="shared" ca="1" si="372"/>
        <v>0</v>
      </c>
      <c r="DL290" s="171">
        <f t="shared" ca="1" si="373"/>
        <v>0</v>
      </c>
      <c r="DM290" s="171">
        <f t="shared" ca="1" si="374"/>
        <v>0</v>
      </c>
      <c r="DN290" s="171">
        <f t="shared" ca="1" si="375"/>
        <v>0</v>
      </c>
      <c r="DO290" s="171">
        <f t="shared" ca="1" si="376"/>
        <v>0</v>
      </c>
      <c r="DP290" s="171">
        <f t="shared" ca="1" si="377"/>
        <v>0</v>
      </c>
      <c r="DQ290" s="171">
        <f t="shared" ca="1" si="378"/>
        <v>0</v>
      </c>
      <c r="DR290" s="171">
        <f t="shared" ca="1" si="379"/>
        <v>0</v>
      </c>
      <c r="DS290" s="171">
        <f t="shared" ca="1" si="380"/>
        <v>0</v>
      </c>
      <c r="DT290" s="171">
        <f t="shared" ca="1" si="381"/>
        <v>0</v>
      </c>
      <c r="DU290" s="171">
        <f t="shared" ca="1" si="382"/>
        <v>0</v>
      </c>
      <c r="DV290" s="171">
        <f t="shared" ca="1" si="383"/>
        <v>0</v>
      </c>
      <c r="DW290" s="171">
        <f t="shared" ca="1" si="384"/>
        <v>0</v>
      </c>
      <c r="DX290" s="171">
        <f t="shared" ca="1" si="385"/>
        <v>0</v>
      </c>
      <c r="DY290" s="171">
        <f t="shared" ca="1" si="386"/>
        <v>0</v>
      </c>
      <c r="DZ290" s="171">
        <f t="shared" ca="1" si="387"/>
        <v>0</v>
      </c>
      <c r="EA290" s="171">
        <f t="shared" ca="1" si="388"/>
        <v>0</v>
      </c>
      <c r="EB290" s="171">
        <f t="shared" ca="1" si="389"/>
        <v>0</v>
      </c>
      <c r="EC290" s="171">
        <f t="shared" ca="1" si="390"/>
        <v>0</v>
      </c>
      <c r="ED290" s="171">
        <f t="shared" ca="1" si="391"/>
        <v>0</v>
      </c>
      <c r="EE290" s="171">
        <f t="shared" ca="1" si="392"/>
        <v>0</v>
      </c>
      <c r="EF290" s="171">
        <f t="shared" ca="1" si="393"/>
        <v>0</v>
      </c>
      <c r="EG290" s="171">
        <f t="shared" ca="1" si="394"/>
        <v>0</v>
      </c>
      <c r="EH290" s="171">
        <f t="shared" ca="1" si="395"/>
        <v>0</v>
      </c>
      <c r="EI290" s="171">
        <f t="shared" ca="1" si="396"/>
        <v>0</v>
      </c>
      <c r="EJ290" s="171">
        <f t="shared" ca="1" si="397"/>
        <v>0</v>
      </c>
      <c r="EK290" s="171">
        <f t="shared" ca="1" si="398"/>
        <v>0</v>
      </c>
      <c r="EL290" s="171">
        <f t="shared" ca="1" si="399"/>
        <v>0</v>
      </c>
      <c r="EM290" s="171">
        <f t="shared" ca="1" si="400"/>
        <v>0</v>
      </c>
      <c r="EN290" s="171">
        <f t="shared" ca="1" si="401"/>
        <v>0</v>
      </c>
      <c r="EO290" s="171">
        <f t="shared" ca="1" si="402"/>
        <v>0</v>
      </c>
      <c r="EP290" s="171">
        <f t="shared" ca="1" si="403"/>
        <v>0</v>
      </c>
      <c r="EQ290" s="171">
        <f t="shared" ca="1" si="404"/>
        <v>0</v>
      </c>
      <c r="ER290" s="171">
        <f t="shared" ca="1" si="405"/>
        <v>0</v>
      </c>
      <c r="ES290" s="171">
        <f t="shared" ca="1" si="406"/>
        <v>0</v>
      </c>
    </row>
    <row r="291" spans="3:149">
      <c r="C291" s="214"/>
      <c r="H291" s="216"/>
      <c r="I291" s="217"/>
      <c r="L291" s="163"/>
      <c r="M291" s="164" t="str">
        <f t="shared" si="337"/>
        <v/>
      </c>
      <c r="N291" s="164" t="str">
        <f t="shared" si="338"/>
        <v/>
      </c>
      <c r="O291" s="165" t="str">
        <f t="shared" si="339"/>
        <v/>
      </c>
      <c r="R291" s="168"/>
      <c r="U291" s="171">
        <f t="shared" si="340"/>
        <v>0</v>
      </c>
      <c r="V291" s="171">
        <f t="shared" ca="1" si="341"/>
        <v>0</v>
      </c>
      <c r="W291" s="171">
        <f t="shared" ca="1" si="342"/>
        <v>0</v>
      </c>
      <c r="X291" s="172">
        <f t="shared" si="343"/>
        <v>0</v>
      </c>
      <c r="Y291" s="172" t="str">
        <f t="shared" si="344"/>
        <v/>
      </c>
      <c r="Z291" s="173">
        <f t="shared" si="345"/>
        <v>0</v>
      </c>
      <c r="AA291" s="171">
        <f t="shared" si="431"/>
        <v>0</v>
      </c>
      <c r="AB291" s="171">
        <f t="shared" si="431"/>
        <v>0</v>
      </c>
      <c r="AC291" s="171">
        <f t="shared" si="431"/>
        <v>0</v>
      </c>
      <c r="AD291" s="171">
        <f t="shared" si="431"/>
        <v>0</v>
      </c>
      <c r="AE291" s="171">
        <f t="shared" si="431"/>
        <v>0</v>
      </c>
      <c r="AF291" s="171">
        <f t="shared" si="431"/>
        <v>0</v>
      </c>
      <c r="AG291" s="171">
        <f t="shared" si="431"/>
        <v>0</v>
      </c>
      <c r="AH291" s="171">
        <f t="shared" si="431"/>
        <v>0</v>
      </c>
      <c r="AI291" s="171">
        <f t="shared" si="431"/>
        <v>0</v>
      </c>
      <c r="AJ291" s="171">
        <f t="shared" si="431"/>
        <v>0</v>
      </c>
      <c r="AK291" s="171">
        <f t="shared" si="432"/>
        <v>0</v>
      </c>
      <c r="AL291" s="171">
        <f t="shared" si="432"/>
        <v>0</v>
      </c>
      <c r="AM291" s="171">
        <f t="shared" si="432"/>
        <v>0</v>
      </c>
      <c r="AN291" s="171">
        <f t="shared" si="432"/>
        <v>0</v>
      </c>
      <c r="AO291" s="171">
        <f t="shared" si="432"/>
        <v>0</v>
      </c>
      <c r="AP291" s="171">
        <f t="shared" si="432"/>
        <v>0</v>
      </c>
      <c r="AQ291" s="171">
        <f t="shared" si="432"/>
        <v>0</v>
      </c>
      <c r="AR291" s="171">
        <f t="shared" si="432"/>
        <v>0</v>
      </c>
      <c r="AS291" s="171">
        <f t="shared" si="432"/>
        <v>0</v>
      </c>
      <c r="AT291" s="171">
        <f t="shared" si="432"/>
        <v>0</v>
      </c>
      <c r="AU291" s="171">
        <f t="shared" si="433"/>
        <v>0</v>
      </c>
      <c r="AV291" s="171">
        <f t="shared" si="433"/>
        <v>0</v>
      </c>
      <c r="AW291" s="171">
        <f t="shared" si="433"/>
        <v>0</v>
      </c>
      <c r="AX291" s="171">
        <f t="shared" si="433"/>
        <v>0</v>
      </c>
      <c r="AY291" s="171">
        <f t="shared" si="433"/>
        <v>0</v>
      </c>
      <c r="AZ291" s="171">
        <f t="shared" si="433"/>
        <v>0</v>
      </c>
      <c r="BA291" s="171">
        <f t="shared" si="433"/>
        <v>0</v>
      </c>
      <c r="BB291" s="171">
        <f t="shared" si="433"/>
        <v>0</v>
      </c>
      <c r="BC291" s="171">
        <f t="shared" si="433"/>
        <v>0</v>
      </c>
      <c r="BD291" s="171">
        <f t="shared" si="433"/>
        <v>0</v>
      </c>
      <c r="BE291" s="171">
        <f t="shared" si="434"/>
        <v>0</v>
      </c>
      <c r="BF291" s="171">
        <f t="shared" si="434"/>
        <v>0</v>
      </c>
      <c r="BG291" s="171">
        <f t="shared" si="434"/>
        <v>0</v>
      </c>
      <c r="BH291" s="171">
        <f t="shared" si="434"/>
        <v>0</v>
      </c>
      <c r="BI291" s="171">
        <f t="shared" si="434"/>
        <v>0</v>
      </c>
      <c r="BJ291" s="171">
        <f t="shared" si="434"/>
        <v>0</v>
      </c>
      <c r="BK291" s="171">
        <f t="shared" si="434"/>
        <v>0</v>
      </c>
      <c r="BL291" s="171">
        <f t="shared" si="434"/>
        <v>0</v>
      </c>
      <c r="BM291" s="171">
        <f t="shared" si="434"/>
        <v>0</v>
      </c>
      <c r="BN291" s="171">
        <f t="shared" si="434"/>
        <v>0</v>
      </c>
      <c r="BO291" s="171">
        <f t="shared" si="435"/>
        <v>0</v>
      </c>
      <c r="BP291" s="171">
        <f t="shared" si="435"/>
        <v>0</v>
      </c>
      <c r="BQ291" s="171">
        <f t="shared" si="435"/>
        <v>0</v>
      </c>
      <c r="BR291" s="171">
        <f t="shared" si="435"/>
        <v>0</v>
      </c>
      <c r="BS291" s="171">
        <f t="shared" si="435"/>
        <v>0</v>
      </c>
      <c r="BT291" s="171">
        <f t="shared" si="435"/>
        <v>0</v>
      </c>
      <c r="BU291" s="171">
        <f t="shared" si="435"/>
        <v>0</v>
      </c>
      <c r="BV291" s="171">
        <f t="shared" si="435"/>
        <v>0</v>
      </c>
      <c r="BW291" s="171">
        <f t="shared" si="435"/>
        <v>0</v>
      </c>
      <c r="BX291" s="171">
        <f t="shared" si="435"/>
        <v>0</v>
      </c>
      <c r="BY291" s="171">
        <f t="shared" si="436"/>
        <v>0</v>
      </c>
      <c r="BZ291" s="171">
        <f t="shared" si="436"/>
        <v>0</v>
      </c>
      <c r="CA291" s="171">
        <f t="shared" si="436"/>
        <v>0</v>
      </c>
      <c r="CB291" s="171">
        <f t="shared" si="436"/>
        <v>0</v>
      </c>
      <c r="CC291" s="171">
        <f t="shared" si="436"/>
        <v>0</v>
      </c>
      <c r="CD291" s="171">
        <f t="shared" si="436"/>
        <v>0</v>
      </c>
      <c r="CE291" s="171">
        <f t="shared" si="436"/>
        <v>0</v>
      </c>
      <c r="CF291" s="171">
        <f t="shared" si="436"/>
        <v>0</v>
      </c>
      <c r="CG291" s="171">
        <f t="shared" si="436"/>
        <v>0</v>
      </c>
      <c r="CH291" s="171">
        <f t="shared" si="436"/>
        <v>0</v>
      </c>
      <c r="CI291" s="171">
        <f t="shared" si="436"/>
        <v>0</v>
      </c>
      <c r="CJ291" s="243"/>
      <c r="CK291" s="171">
        <f t="shared" si="346"/>
        <v>0</v>
      </c>
      <c r="CL291" s="171">
        <f t="shared" si="347"/>
        <v>0</v>
      </c>
      <c r="CM291" s="171">
        <f t="shared" si="348"/>
        <v>0</v>
      </c>
      <c r="CN291" s="171">
        <f t="shared" si="349"/>
        <v>0</v>
      </c>
      <c r="CO291" s="171">
        <f t="shared" si="350"/>
        <v>0</v>
      </c>
      <c r="CP291" s="171">
        <f t="shared" si="351"/>
        <v>0</v>
      </c>
      <c r="CQ291" s="171">
        <f t="shared" si="352"/>
        <v>0</v>
      </c>
      <c r="CR291" s="171">
        <f t="shared" si="353"/>
        <v>0</v>
      </c>
      <c r="CS291" s="171">
        <f t="shared" si="354"/>
        <v>0</v>
      </c>
      <c r="CT291" s="171">
        <f t="shared" si="355"/>
        <v>0</v>
      </c>
      <c r="CU291" s="171">
        <f t="shared" si="356"/>
        <v>0</v>
      </c>
      <c r="CV291" s="171">
        <f t="shared" si="357"/>
        <v>0</v>
      </c>
      <c r="CW291" s="171">
        <f t="shared" si="358"/>
        <v>0</v>
      </c>
      <c r="CX291" s="171">
        <f t="shared" si="359"/>
        <v>0</v>
      </c>
      <c r="CY291" s="171">
        <f t="shared" ca="1" si="360"/>
        <v>0</v>
      </c>
      <c r="CZ291" s="171">
        <f t="shared" ca="1" si="361"/>
        <v>0</v>
      </c>
      <c r="DA291" s="171">
        <f t="shared" ca="1" si="362"/>
        <v>0</v>
      </c>
      <c r="DB291" s="171">
        <f t="shared" ca="1" si="363"/>
        <v>0</v>
      </c>
      <c r="DC291" s="171">
        <f t="shared" ca="1" si="364"/>
        <v>0</v>
      </c>
      <c r="DD291" s="171">
        <f t="shared" ca="1" si="365"/>
        <v>0</v>
      </c>
      <c r="DE291" s="171">
        <f t="shared" ca="1" si="366"/>
        <v>0</v>
      </c>
      <c r="DF291" s="171">
        <f t="shared" ca="1" si="367"/>
        <v>0</v>
      </c>
      <c r="DG291" s="171">
        <f t="shared" ca="1" si="368"/>
        <v>0</v>
      </c>
      <c r="DH291" s="171">
        <f t="shared" ca="1" si="369"/>
        <v>0</v>
      </c>
      <c r="DI291" s="171">
        <f t="shared" ca="1" si="370"/>
        <v>0</v>
      </c>
      <c r="DJ291" s="171">
        <f t="shared" ca="1" si="371"/>
        <v>0</v>
      </c>
      <c r="DK291" s="171">
        <f t="shared" ca="1" si="372"/>
        <v>0</v>
      </c>
      <c r="DL291" s="171">
        <f t="shared" ca="1" si="373"/>
        <v>0</v>
      </c>
      <c r="DM291" s="171">
        <f t="shared" ca="1" si="374"/>
        <v>0</v>
      </c>
      <c r="DN291" s="171">
        <f t="shared" ca="1" si="375"/>
        <v>0</v>
      </c>
      <c r="DO291" s="171">
        <f t="shared" ca="1" si="376"/>
        <v>0</v>
      </c>
      <c r="DP291" s="171">
        <f t="shared" ca="1" si="377"/>
        <v>0</v>
      </c>
      <c r="DQ291" s="171">
        <f t="shared" ca="1" si="378"/>
        <v>0</v>
      </c>
      <c r="DR291" s="171">
        <f t="shared" ca="1" si="379"/>
        <v>0</v>
      </c>
      <c r="DS291" s="171">
        <f t="shared" ca="1" si="380"/>
        <v>0</v>
      </c>
      <c r="DT291" s="171">
        <f t="shared" ca="1" si="381"/>
        <v>0</v>
      </c>
      <c r="DU291" s="171">
        <f t="shared" ca="1" si="382"/>
        <v>0</v>
      </c>
      <c r="DV291" s="171">
        <f t="shared" ca="1" si="383"/>
        <v>0</v>
      </c>
      <c r="DW291" s="171">
        <f t="shared" ca="1" si="384"/>
        <v>0</v>
      </c>
      <c r="DX291" s="171">
        <f t="shared" ca="1" si="385"/>
        <v>0</v>
      </c>
      <c r="DY291" s="171">
        <f t="shared" ca="1" si="386"/>
        <v>0</v>
      </c>
      <c r="DZ291" s="171">
        <f t="shared" ca="1" si="387"/>
        <v>0</v>
      </c>
      <c r="EA291" s="171">
        <f t="shared" ca="1" si="388"/>
        <v>0</v>
      </c>
      <c r="EB291" s="171">
        <f t="shared" ca="1" si="389"/>
        <v>0</v>
      </c>
      <c r="EC291" s="171">
        <f t="shared" ca="1" si="390"/>
        <v>0</v>
      </c>
      <c r="ED291" s="171">
        <f t="shared" ca="1" si="391"/>
        <v>0</v>
      </c>
      <c r="EE291" s="171">
        <f t="shared" ca="1" si="392"/>
        <v>0</v>
      </c>
      <c r="EF291" s="171">
        <f t="shared" ca="1" si="393"/>
        <v>0</v>
      </c>
      <c r="EG291" s="171">
        <f t="shared" ca="1" si="394"/>
        <v>0</v>
      </c>
      <c r="EH291" s="171">
        <f t="shared" ca="1" si="395"/>
        <v>0</v>
      </c>
      <c r="EI291" s="171">
        <f t="shared" ca="1" si="396"/>
        <v>0</v>
      </c>
      <c r="EJ291" s="171">
        <f t="shared" ca="1" si="397"/>
        <v>0</v>
      </c>
      <c r="EK291" s="171">
        <f t="shared" ca="1" si="398"/>
        <v>0</v>
      </c>
      <c r="EL291" s="171">
        <f t="shared" ca="1" si="399"/>
        <v>0</v>
      </c>
      <c r="EM291" s="171">
        <f t="shared" ca="1" si="400"/>
        <v>0</v>
      </c>
      <c r="EN291" s="171">
        <f t="shared" ca="1" si="401"/>
        <v>0</v>
      </c>
      <c r="EO291" s="171">
        <f t="shared" ca="1" si="402"/>
        <v>0</v>
      </c>
      <c r="EP291" s="171">
        <f t="shared" ca="1" si="403"/>
        <v>0</v>
      </c>
      <c r="EQ291" s="171">
        <f t="shared" ca="1" si="404"/>
        <v>0</v>
      </c>
      <c r="ER291" s="171">
        <f t="shared" ca="1" si="405"/>
        <v>0</v>
      </c>
      <c r="ES291" s="171">
        <f t="shared" ca="1" si="406"/>
        <v>0</v>
      </c>
    </row>
    <row r="292" spans="3:149">
      <c r="C292" s="214"/>
      <c r="H292" s="216"/>
      <c r="I292" s="217"/>
      <c r="L292" s="163"/>
      <c r="M292" s="164" t="str">
        <f t="shared" si="337"/>
        <v/>
      </c>
      <c r="N292" s="164" t="str">
        <f t="shared" si="338"/>
        <v/>
      </c>
      <c r="O292" s="165" t="str">
        <f t="shared" si="339"/>
        <v/>
      </c>
      <c r="R292" s="168"/>
      <c r="U292" s="171">
        <f t="shared" si="340"/>
        <v>0</v>
      </c>
      <c r="V292" s="171">
        <f t="shared" ca="1" si="341"/>
        <v>0</v>
      </c>
      <c r="W292" s="171">
        <f t="shared" ca="1" si="342"/>
        <v>0</v>
      </c>
      <c r="X292" s="172">
        <f t="shared" si="343"/>
        <v>0</v>
      </c>
      <c r="Y292" s="172" t="str">
        <f t="shared" si="344"/>
        <v/>
      </c>
      <c r="Z292" s="173">
        <f t="shared" si="345"/>
        <v>0</v>
      </c>
      <c r="AA292" s="171">
        <f t="shared" si="431"/>
        <v>0</v>
      </c>
      <c r="AB292" s="171">
        <f t="shared" si="431"/>
        <v>0</v>
      </c>
      <c r="AC292" s="171">
        <f t="shared" si="431"/>
        <v>0</v>
      </c>
      <c r="AD292" s="171">
        <f t="shared" si="431"/>
        <v>0</v>
      </c>
      <c r="AE292" s="171">
        <f t="shared" si="431"/>
        <v>0</v>
      </c>
      <c r="AF292" s="171">
        <f t="shared" si="431"/>
        <v>0</v>
      </c>
      <c r="AG292" s="171">
        <f t="shared" si="431"/>
        <v>0</v>
      </c>
      <c r="AH292" s="171">
        <f t="shared" si="431"/>
        <v>0</v>
      </c>
      <c r="AI292" s="171">
        <f t="shared" si="431"/>
        <v>0</v>
      </c>
      <c r="AJ292" s="171">
        <f t="shared" si="431"/>
        <v>0</v>
      </c>
      <c r="AK292" s="171">
        <f t="shared" si="432"/>
        <v>0</v>
      </c>
      <c r="AL292" s="171">
        <f t="shared" si="432"/>
        <v>0</v>
      </c>
      <c r="AM292" s="171">
        <f t="shared" si="432"/>
        <v>0</v>
      </c>
      <c r="AN292" s="171">
        <f t="shared" si="432"/>
        <v>0</v>
      </c>
      <c r="AO292" s="171">
        <f t="shared" si="432"/>
        <v>0</v>
      </c>
      <c r="AP292" s="171">
        <f t="shared" si="432"/>
        <v>0</v>
      </c>
      <c r="AQ292" s="171">
        <f t="shared" si="432"/>
        <v>0</v>
      </c>
      <c r="AR292" s="171">
        <f t="shared" si="432"/>
        <v>0</v>
      </c>
      <c r="AS292" s="171">
        <f t="shared" si="432"/>
        <v>0</v>
      </c>
      <c r="AT292" s="171">
        <f t="shared" si="432"/>
        <v>0</v>
      </c>
      <c r="AU292" s="171">
        <f t="shared" si="433"/>
        <v>0</v>
      </c>
      <c r="AV292" s="171">
        <f t="shared" si="433"/>
        <v>0</v>
      </c>
      <c r="AW292" s="171">
        <f t="shared" si="433"/>
        <v>0</v>
      </c>
      <c r="AX292" s="171">
        <f t="shared" si="433"/>
        <v>0</v>
      </c>
      <c r="AY292" s="171">
        <f t="shared" si="433"/>
        <v>0</v>
      </c>
      <c r="AZ292" s="171">
        <f t="shared" si="433"/>
        <v>0</v>
      </c>
      <c r="BA292" s="171">
        <f t="shared" si="433"/>
        <v>0</v>
      </c>
      <c r="BB292" s="171">
        <f t="shared" si="433"/>
        <v>0</v>
      </c>
      <c r="BC292" s="171">
        <f t="shared" si="433"/>
        <v>0</v>
      </c>
      <c r="BD292" s="171">
        <f t="shared" si="433"/>
        <v>0</v>
      </c>
      <c r="BE292" s="171">
        <f t="shared" si="434"/>
        <v>0</v>
      </c>
      <c r="BF292" s="171">
        <f t="shared" si="434"/>
        <v>0</v>
      </c>
      <c r="BG292" s="171">
        <f t="shared" si="434"/>
        <v>0</v>
      </c>
      <c r="BH292" s="171">
        <f t="shared" si="434"/>
        <v>0</v>
      </c>
      <c r="BI292" s="171">
        <f t="shared" si="434"/>
        <v>0</v>
      </c>
      <c r="BJ292" s="171">
        <f t="shared" si="434"/>
        <v>0</v>
      </c>
      <c r="BK292" s="171">
        <f t="shared" si="434"/>
        <v>0</v>
      </c>
      <c r="BL292" s="171">
        <f t="shared" si="434"/>
        <v>0</v>
      </c>
      <c r="BM292" s="171">
        <f t="shared" si="434"/>
        <v>0</v>
      </c>
      <c r="BN292" s="171">
        <f t="shared" si="434"/>
        <v>0</v>
      </c>
      <c r="BO292" s="171">
        <f t="shared" si="435"/>
        <v>0</v>
      </c>
      <c r="BP292" s="171">
        <f t="shared" si="435"/>
        <v>0</v>
      </c>
      <c r="BQ292" s="171">
        <f t="shared" si="435"/>
        <v>0</v>
      </c>
      <c r="BR292" s="171">
        <f t="shared" si="435"/>
        <v>0</v>
      </c>
      <c r="BS292" s="171">
        <f t="shared" si="435"/>
        <v>0</v>
      </c>
      <c r="BT292" s="171">
        <f t="shared" si="435"/>
        <v>0</v>
      </c>
      <c r="BU292" s="171">
        <f t="shared" si="435"/>
        <v>0</v>
      </c>
      <c r="BV292" s="171">
        <f t="shared" si="435"/>
        <v>0</v>
      </c>
      <c r="BW292" s="171">
        <f t="shared" si="435"/>
        <v>0</v>
      </c>
      <c r="BX292" s="171">
        <f t="shared" si="435"/>
        <v>0</v>
      </c>
      <c r="BY292" s="171">
        <f t="shared" si="436"/>
        <v>0</v>
      </c>
      <c r="BZ292" s="171">
        <f t="shared" si="436"/>
        <v>0</v>
      </c>
      <c r="CA292" s="171">
        <f t="shared" si="436"/>
        <v>0</v>
      </c>
      <c r="CB292" s="171">
        <f t="shared" si="436"/>
        <v>0</v>
      </c>
      <c r="CC292" s="171">
        <f t="shared" si="436"/>
        <v>0</v>
      </c>
      <c r="CD292" s="171">
        <f t="shared" si="436"/>
        <v>0</v>
      </c>
      <c r="CE292" s="171">
        <f t="shared" si="436"/>
        <v>0</v>
      </c>
      <c r="CF292" s="171">
        <f t="shared" si="436"/>
        <v>0</v>
      </c>
      <c r="CG292" s="171">
        <f t="shared" si="436"/>
        <v>0</v>
      </c>
      <c r="CH292" s="171">
        <f t="shared" si="436"/>
        <v>0</v>
      </c>
      <c r="CI292" s="171">
        <f t="shared" si="436"/>
        <v>0</v>
      </c>
      <c r="CJ292" s="243"/>
      <c r="CK292" s="171">
        <f t="shared" si="346"/>
        <v>0</v>
      </c>
      <c r="CL292" s="171">
        <f t="shared" si="347"/>
        <v>0</v>
      </c>
      <c r="CM292" s="171">
        <f t="shared" si="348"/>
        <v>0</v>
      </c>
      <c r="CN292" s="171">
        <f t="shared" si="349"/>
        <v>0</v>
      </c>
      <c r="CO292" s="171">
        <f t="shared" si="350"/>
        <v>0</v>
      </c>
      <c r="CP292" s="171">
        <f t="shared" si="351"/>
        <v>0</v>
      </c>
      <c r="CQ292" s="171">
        <f t="shared" si="352"/>
        <v>0</v>
      </c>
      <c r="CR292" s="171">
        <f t="shared" si="353"/>
        <v>0</v>
      </c>
      <c r="CS292" s="171">
        <f t="shared" si="354"/>
        <v>0</v>
      </c>
      <c r="CT292" s="171">
        <f t="shared" si="355"/>
        <v>0</v>
      </c>
      <c r="CU292" s="171">
        <f t="shared" si="356"/>
        <v>0</v>
      </c>
      <c r="CV292" s="171">
        <f t="shared" si="357"/>
        <v>0</v>
      </c>
      <c r="CW292" s="171">
        <f t="shared" si="358"/>
        <v>0</v>
      </c>
      <c r="CX292" s="171">
        <f t="shared" si="359"/>
        <v>0</v>
      </c>
      <c r="CY292" s="171">
        <f t="shared" ca="1" si="360"/>
        <v>0</v>
      </c>
      <c r="CZ292" s="171">
        <f t="shared" ca="1" si="361"/>
        <v>0</v>
      </c>
      <c r="DA292" s="171">
        <f t="shared" ca="1" si="362"/>
        <v>0</v>
      </c>
      <c r="DB292" s="171">
        <f t="shared" ca="1" si="363"/>
        <v>0</v>
      </c>
      <c r="DC292" s="171">
        <f t="shared" ca="1" si="364"/>
        <v>0</v>
      </c>
      <c r="DD292" s="171">
        <f t="shared" ca="1" si="365"/>
        <v>0</v>
      </c>
      <c r="DE292" s="171">
        <f t="shared" ca="1" si="366"/>
        <v>0</v>
      </c>
      <c r="DF292" s="171">
        <f t="shared" ca="1" si="367"/>
        <v>0</v>
      </c>
      <c r="DG292" s="171">
        <f t="shared" ca="1" si="368"/>
        <v>0</v>
      </c>
      <c r="DH292" s="171">
        <f t="shared" ca="1" si="369"/>
        <v>0</v>
      </c>
      <c r="DI292" s="171">
        <f t="shared" ca="1" si="370"/>
        <v>0</v>
      </c>
      <c r="DJ292" s="171">
        <f t="shared" ca="1" si="371"/>
        <v>0</v>
      </c>
      <c r="DK292" s="171">
        <f t="shared" ca="1" si="372"/>
        <v>0</v>
      </c>
      <c r="DL292" s="171">
        <f t="shared" ca="1" si="373"/>
        <v>0</v>
      </c>
      <c r="DM292" s="171">
        <f t="shared" ca="1" si="374"/>
        <v>0</v>
      </c>
      <c r="DN292" s="171">
        <f t="shared" ca="1" si="375"/>
        <v>0</v>
      </c>
      <c r="DO292" s="171">
        <f t="shared" ca="1" si="376"/>
        <v>0</v>
      </c>
      <c r="DP292" s="171">
        <f t="shared" ca="1" si="377"/>
        <v>0</v>
      </c>
      <c r="DQ292" s="171">
        <f t="shared" ca="1" si="378"/>
        <v>0</v>
      </c>
      <c r="DR292" s="171">
        <f t="shared" ca="1" si="379"/>
        <v>0</v>
      </c>
      <c r="DS292" s="171">
        <f t="shared" ca="1" si="380"/>
        <v>0</v>
      </c>
      <c r="DT292" s="171">
        <f t="shared" ca="1" si="381"/>
        <v>0</v>
      </c>
      <c r="DU292" s="171">
        <f t="shared" ca="1" si="382"/>
        <v>0</v>
      </c>
      <c r="DV292" s="171">
        <f t="shared" ca="1" si="383"/>
        <v>0</v>
      </c>
      <c r="DW292" s="171">
        <f t="shared" ca="1" si="384"/>
        <v>0</v>
      </c>
      <c r="DX292" s="171">
        <f t="shared" ca="1" si="385"/>
        <v>0</v>
      </c>
      <c r="DY292" s="171">
        <f t="shared" ca="1" si="386"/>
        <v>0</v>
      </c>
      <c r="DZ292" s="171">
        <f t="shared" ca="1" si="387"/>
        <v>0</v>
      </c>
      <c r="EA292" s="171">
        <f t="shared" ca="1" si="388"/>
        <v>0</v>
      </c>
      <c r="EB292" s="171">
        <f t="shared" ca="1" si="389"/>
        <v>0</v>
      </c>
      <c r="EC292" s="171">
        <f t="shared" ca="1" si="390"/>
        <v>0</v>
      </c>
      <c r="ED292" s="171">
        <f t="shared" ca="1" si="391"/>
        <v>0</v>
      </c>
      <c r="EE292" s="171">
        <f t="shared" ca="1" si="392"/>
        <v>0</v>
      </c>
      <c r="EF292" s="171">
        <f t="shared" ca="1" si="393"/>
        <v>0</v>
      </c>
      <c r="EG292" s="171">
        <f t="shared" ca="1" si="394"/>
        <v>0</v>
      </c>
      <c r="EH292" s="171">
        <f t="shared" ca="1" si="395"/>
        <v>0</v>
      </c>
      <c r="EI292" s="171">
        <f t="shared" ca="1" si="396"/>
        <v>0</v>
      </c>
      <c r="EJ292" s="171">
        <f t="shared" ca="1" si="397"/>
        <v>0</v>
      </c>
      <c r="EK292" s="171">
        <f t="shared" ca="1" si="398"/>
        <v>0</v>
      </c>
      <c r="EL292" s="171">
        <f t="shared" ca="1" si="399"/>
        <v>0</v>
      </c>
      <c r="EM292" s="171">
        <f t="shared" ca="1" si="400"/>
        <v>0</v>
      </c>
      <c r="EN292" s="171">
        <f t="shared" ca="1" si="401"/>
        <v>0</v>
      </c>
      <c r="EO292" s="171">
        <f t="shared" ca="1" si="402"/>
        <v>0</v>
      </c>
      <c r="EP292" s="171">
        <f t="shared" ca="1" si="403"/>
        <v>0</v>
      </c>
      <c r="EQ292" s="171">
        <f t="shared" ca="1" si="404"/>
        <v>0</v>
      </c>
      <c r="ER292" s="171">
        <f t="shared" ca="1" si="405"/>
        <v>0</v>
      </c>
      <c r="ES292" s="171">
        <f t="shared" ca="1" si="406"/>
        <v>0</v>
      </c>
    </row>
    <row r="293" spans="3:149">
      <c r="C293" s="214"/>
      <c r="H293" s="216"/>
      <c r="I293" s="217"/>
      <c r="L293" s="163"/>
      <c r="M293" s="164" t="str">
        <f t="shared" si="337"/>
        <v/>
      </c>
      <c r="N293" s="164" t="str">
        <f t="shared" si="338"/>
        <v/>
      </c>
      <c r="O293" s="165" t="str">
        <f t="shared" si="339"/>
        <v/>
      </c>
      <c r="R293" s="168"/>
      <c r="U293" s="171">
        <f t="shared" si="340"/>
        <v>0</v>
      </c>
      <c r="V293" s="171">
        <f t="shared" ca="1" si="341"/>
        <v>0</v>
      </c>
      <c r="W293" s="171">
        <f t="shared" ca="1" si="342"/>
        <v>0</v>
      </c>
      <c r="X293" s="172">
        <f t="shared" si="343"/>
        <v>0</v>
      </c>
      <c r="Y293" s="172" t="str">
        <f t="shared" si="344"/>
        <v/>
      </c>
      <c r="Z293" s="173">
        <f t="shared" si="345"/>
        <v>0</v>
      </c>
      <c r="AA293" s="171">
        <f t="shared" si="431"/>
        <v>0</v>
      </c>
      <c r="AB293" s="171">
        <f t="shared" si="431"/>
        <v>0</v>
      </c>
      <c r="AC293" s="171">
        <f t="shared" si="431"/>
        <v>0</v>
      </c>
      <c r="AD293" s="171">
        <f t="shared" si="431"/>
        <v>0</v>
      </c>
      <c r="AE293" s="171">
        <f t="shared" si="431"/>
        <v>0</v>
      </c>
      <c r="AF293" s="171">
        <f t="shared" si="431"/>
        <v>0</v>
      </c>
      <c r="AG293" s="171">
        <f t="shared" si="431"/>
        <v>0</v>
      </c>
      <c r="AH293" s="171">
        <f t="shared" si="431"/>
        <v>0</v>
      </c>
      <c r="AI293" s="171">
        <f t="shared" si="431"/>
        <v>0</v>
      </c>
      <c r="AJ293" s="171">
        <f t="shared" si="431"/>
        <v>0</v>
      </c>
      <c r="AK293" s="171">
        <f t="shared" si="432"/>
        <v>0</v>
      </c>
      <c r="AL293" s="171">
        <f t="shared" si="432"/>
        <v>0</v>
      </c>
      <c r="AM293" s="171">
        <f t="shared" si="432"/>
        <v>0</v>
      </c>
      <c r="AN293" s="171">
        <f t="shared" si="432"/>
        <v>0</v>
      </c>
      <c r="AO293" s="171">
        <f t="shared" si="432"/>
        <v>0</v>
      </c>
      <c r="AP293" s="171">
        <f t="shared" si="432"/>
        <v>0</v>
      </c>
      <c r="AQ293" s="171">
        <f t="shared" si="432"/>
        <v>0</v>
      </c>
      <c r="AR293" s="171">
        <f t="shared" si="432"/>
        <v>0</v>
      </c>
      <c r="AS293" s="171">
        <f t="shared" si="432"/>
        <v>0</v>
      </c>
      <c r="AT293" s="171">
        <f t="shared" si="432"/>
        <v>0</v>
      </c>
      <c r="AU293" s="171">
        <f t="shared" si="433"/>
        <v>0</v>
      </c>
      <c r="AV293" s="171">
        <f t="shared" si="433"/>
        <v>0</v>
      </c>
      <c r="AW293" s="171">
        <f t="shared" si="433"/>
        <v>0</v>
      </c>
      <c r="AX293" s="171">
        <f t="shared" si="433"/>
        <v>0</v>
      </c>
      <c r="AY293" s="171">
        <f t="shared" si="433"/>
        <v>0</v>
      </c>
      <c r="AZ293" s="171">
        <f t="shared" si="433"/>
        <v>0</v>
      </c>
      <c r="BA293" s="171">
        <f t="shared" si="433"/>
        <v>0</v>
      </c>
      <c r="BB293" s="171">
        <f t="shared" si="433"/>
        <v>0</v>
      </c>
      <c r="BC293" s="171">
        <f t="shared" si="433"/>
        <v>0</v>
      </c>
      <c r="BD293" s="171">
        <f t="shared" si="433"/>
        <v>0</v>
      </c>
      <c r="BE293" s="171">
        <f t="shared" si="434"/>
        <v>0</v>
      </c>
      <c r="BF293" s="171">
        <f t="shared" si="434"/>
        <v>0</v>
      </c>
      <c r="BG293" s="171">
        <f t="shared" si="434"/>
        <v>0</v>
      </c>
      <c r="BH293" s="171">
        <f t="shared" si="434"/>
        <v>0</v>
      </c>
      <c r="BI293" s="171">
        <f t="shared" si="434"/>
        <v>0</v>
      </c>
      <c r="BJ293" s="171">
        <f t="shared" si="434"/>
        <v>0</v>
      </c>
      <c r="BK293" s="171">
        <f t="shared" si="434"/>
        <v>0</v>
      </c>
      <c r="BL293" s="171">
        <f t="shared" si="434"/>
        <v>0</v>
      </c>
      <c r="BM293" s="171">
        <f t="shared" si="434"/>
        <v>0</v>
      </c>
      <c r="BN293" s="171">
        <f t="shared" si="434"/>
        <v>0</v>
      </c>
      <c r="BO293" s="171">
        <f t="shared" si="435"/>
        <v>0</v>
      </c>
      <c r="BP293" s="171">
        <f t="shared" si="435"/>
        <v>0</v>
      </c>
      <c r="BQ293" s="171">
        <f t="shared" si="435"/>
        <v>0</v>
      </c>
      <c r="BR293" s="171">
        <f t="shared" si="435"/>
        <v>0</v>
      </c>
      <c r="BS293" s="171">
        <f t="shared" si="435"/>
        <v>0</v>
      </c>
      <c r="BT293" s="171">
        <f t="shared" si="435"/>
        <v>0</v>
      </c>
      <c r="BU293" s="171">
        <f t="shared" si="435"/>
        <v>0</v>
      </c>
      <c r="BV293" s="171">
        <f t="shared" si="435"/>
        <v>0</v>
      </c>
      <c r="BW293" s="171">
        <f t="shared" si="435"/>
        <v>0</v>
      </c>
      <c r="BX293" s="171">
        <f t="shared" si="435"/>
        <v>0</v>
      </c>
      <c r="BY293" s="171">
        <f t="shared" si="436"/>
        <v>0</v>
      </c>
      <c r="BZ293" s="171">
        <f t="shared" si="436"/>
        <v>0</v>
      </c>
      <c r="CA293" s="171">
        <f t="shared" si="436"/>
        <v>0</v>
      </c>
      <c r="CB293" s="171">
        <f t="shared" si="436"/>
        <v>0</v>
      </c>
      <c r="CC293" s="171">
        <f t="shared" si="436"/>
        <v>0</v>
      </c>
      <c r="CD293" s="171">
        <f t="shared" si="436"/>
        <v>0</v>
      </c>
      <c r="CE293" s="171">
        <f t="shared" si="436"/>
        <v>0</v>
      </c>
      <c r="CF293" s="171">
        <f t="shared" si="436"/>
        <v>0</v>
      </c>
      <c r="CG293" s="171">
        <f t="shared" si="436"/>
        <v>0</v>
      </c>
      <c r="CH293" s="171">
        <f t="shared" si="436"/>
        <v>0</v>
      </c>
      <c r="CI293" s="171">
        <f t="shared" si="436"/>
        <v>0</v>
      </c>
      <c r="CJ293" s="243"/>
      <c r="CK293" s="171">
        <f t="shared" si="346"/>
        <v>0</v>
      </c>
      <c r="CL293" s="171">
        <f t="shared" si="347"/>
        <v>0</v>
      </c>
      <c r="CM293" s="171">
        <f t="shared" si="348"/>
        <v>0</v>
      </c>
      <c r="CN293" s="171">
        <f t="shared" si="349"/>
        <v>0</v>
      </c>
      <c r="CO293" s="171">
        <f t="shared" si="350"/>
        <v>0</v>
      </c>
      <c r="CP293" s="171">
        <f t="shared" si="351"/>
        <v>0</v>
      </c>
      <c r="CQ293" s="171">
        <f t="shared" si="352"/>
        <v>0</v>
      </c>
      <c r="CR293" s="171">
        <f t="shared" si="353"/>
        <v>0</v>
      </c>
      <c r="CS293" s="171">
        <f t="shared" si="354"/>
        <v>0</v>
      </c>
      <c r="CT293" s="171">
        <f t="shared" si="355"/>
        <v>0</v>
      </c>
      <c r="CU293" s="171">
        <f t="shared" si="356"/>
        <v>0</v>
      </c>
      <c r="CV293" s="171">
        <f t="shared" si="357"/>
        <v>0</v>
      </c>
      <c r="CW293" s="171">
        <f t="shared" si="358"/>
        <v>0</v>
      </c>
      <c r="CX293" s="171">
        <f t="shared" si="359"/>
        <v>0</v>
      </c>
      <c r="CY293" s="171">
        <f t="shared" ca="1" si="360"/>
        <v>0</v>
      </c>
      <c r="CZ293" s="171">
        <f t="shared" ca="1" si="361"/>
        <v>0</v>
      </c>
      <c r="DA293" s="171">
        <f t="shared" ca="1" si="362"/>
        <v>0</v>
      </c>
      <c r="DB293" s="171">
        <f t="shared" ca="1" si="363"/>
        <v>0</v>
      </c>
      <c r="DC293" s="171">
        <f t="shared" ca="1" si="364"/>
        <v>0</v>
      </c>
      <c r="DD293" s="171">
        <f t="shared" ca="1" si="365"/>
        <v>0</v>
      </c>
      <c r="DE293" s="171">
        <f t="shared" ca="1" si="366"/>
        <v>0</v>
      </c>
      <c r="DF293" s="171">
        <f t="shared" ca="1" si="367"/>
        <v>0</v>
      </c>
      <c r="DG293" s="171">
        <f t="shared" ca="1" si="368"/>
        <v>0</v>
      </c>
      <c r="DH293" s="171">
        <f t="shared" ca="1" si="369"/>
        <v>0</v>
      </c>
      <c r="DI293" s="171">
        <f t="shared" ca="1" si="370"/>
        <v>0</v>
      </c>
      <c r="DJ293" s="171">
        <f t="shared" ca="1" si="371"/>
        <v>0</v>
      </c>
      <c r="DK293" s="171">
        <f t="shared" ca="1" si="372"/>
        <v>0</v>
      </c>
      <c r="DL293" s="171">
        <f t="shared" ca="1" si="373"/>
        <v>0</v>
      </c>
      <c r="DM293" s="171">
        <f t="shared" ca="1" si="374"/>
        <v>0</v>
      </c>
      <c r="DN293" s="171">
        <f t="shared" ca="1" si="375"/>
        <v>0</v>
      </c>
      <c r="DO293" s="171">
        <f t="shared" ca="1" si="376"/>
        <v>0</v>
      </c>
      <c r="DP293" s="171">
        <f t="shared" ca="1" si="377"/>
        <v>0</v>
      </c>
      <c r="DQ293" s="171">
        <f t="shared" ca="1" si="378"/>
        <v>0</v>
      </c>
      <c r="DR293" s="171">
        <f t="shared" ca="1" si="379"/>
        <v>0</v>
      </c>
      <c r="DS293" s="171">
        <f t="shared" ca="1" si="380"/>
        <v>0</v>
      </c>
      <c r="DT293" s="171">
        <f t="shared" ca="1" si="381"/>
        <v>0</v>
      </c>
      <c r="DU293" s="171">
        <f t="shared" ca="1" si="382"/>
        <v>0</v>
      </c>
      <c r="DV293" s="171">
        <f t="shared" ca="1" si="383"/>
        <v>0</v>
      </c>
      <c r="DW293" s="171">
        <f t="shared" ca="1" si="384"/>
        <v>0</v>
      </c>
      <c r="DX293" s="171">
        <f t="shared" ca="1" si="385"/>
        <v>0</v>
      </c>
      <c r="DY293" s="171">
        <f t="shared" ca="1" si="386"/>
        <v>0</v>
      </c>
      <c r="DZ293" s="171">
        <f t="shared" ca="1" si="387"/>
        <v>0</v>
      </c>
      <c r="EA293" s="171">
        <f t="shared" ca="1" si="388"/>
        <v>0</v>
      </c>
      <c r="EB293" s="171">
        <f t="shared" ca="1" si="389"/>
        <v>0</v>
      </c>
      <c r="EC293" s="171">
        <f t="shared" ca="1" si="390"/>
        <v>0</v>
      </c>
      <c r="ED293" s="171">
        <f t="shared" ca="1" si="391"/>
        <v>0</v>
      </c>
      <c r="EE293" s="171">
        <f t="shared" ca="1" si="392"/>
        <v>0</v>
      </c>
      <c r="EF293" s="171">
        <f t="shared" ca="1" si="393"/>
        <v>0</v>
      </c>
      <c r="EG293" s="171">
        <f t="shared" ca="1" si="394"/>
        <v>0</v>
      </c>
      <c r="EH293" s="171">
        <f t="shared" ca="1" si="395"/>
        <v>0</v>
      </c>
      <c r="EI293" s="171">
        <f t="shared" ca="1" si="396"/>
        <v>0</v>
      </c>
      <c r="EJ293" s="171">
        <f t="shared" ca="1" si="397"/>
        <v>0</v>
      </c>
      <c r="EK293" s="171">
        <f t="shared" ca="1" si="398"/>
        <v>0</v>
      </c>
      <c r="EL293" s="171">
        <f t="shared" ca="1" si="399"/>
        <v>0</v>
      </c>
      <c r="EM293" s="171">
        <f t="shared" ca="1" si="400"/>
        <v>0</v>
      </c>
      <c r="EN293" s="171">
        <f t="shared" ca="1" si="401"/>
        <v>0</v>
      </c>
      <c r="EO293" s="171">
        <f t="shared" ca="1" si="402"/>
        <v>0</v>
      </c>
      <c r="EP293" s="171">
        <f t="shared" ca="1" si="403"/>
        <v>0</v>
      </c>
      <c r="EQ293" s="171">
        <f t="shared" ca="1" si="404"/>
        <v>0</v>
      </c>
      <c r="ER293" s="171">
        <f t="shared" ca="1" si="405"/>
        <v>0</v>
      </c>
      <c r="ES293" s="171">
        <f t="shared" ca="1" si="406"/>
        <v>0</v>
      </c>
    </row>
    <row r="294" spans="3:149">
      <c r="C294" s="214"/>
      <c r="H294" s="216"/>
      <c r="I294" s="217"/>
      <c r="L294" s="163"/>
      <c r="M294" s="164" t="str">
        <f t="shared" si="337"/>
        <v/>
      </c>
      <c r="N294" s="164" t="str">
        <f t="shared" si="338"/>
        <v/>
      </c>
      <c r="O294" s="165" t="str">
        <f t="shared" si="339"/>
        <v/>
      </c>
      <c r="R294" s="168"/>
      <c r="U294" s="171">
        <f t="shared" si="340"/>
        <v>0</v>
      </c>
      <c r="V294" s="171">
        <f t="shared" ca="1" si="341"/>
        <v>0</v>
      </c>
      <c r="W294" s="171">
        <f t="shared" ca="1" si="342"/>
        <v>0</v>
      </c>
      <c r="X294" s="172">
        <f t="shared" si="343"/>
        <v>0</v>
      </c>
      <c r="Y294" s="172" t="str">
        <f t="shared" si="344"/>
        <v/>
      </c>
      <c r="Z294" s="173">
        <f t="shared" si="345"/>
        <v>0</v>
      </c>
      <c r="AA294" s="171">
        <f t="shared" si="431"/>
        <v>0</v>
      </c>
      <c r="AB294" s="171">
        <f t="shared" si="431"/>
        <v>0</v>
      </c>
      <c r="AC294" s="171">
        <f t="shared" si="431"/>
        <v>0</v>
      </c>
      <c r="AD294" s="171">
        <f t="shared" si="431"/>
        <v>0</v>
      </c>
      <c r="AE294" s="171">
        <f t="shared" si="431"/>
        <v>0</v>
      </c>
      <c r="AF294" s="171">
        <f t="shared" si="431"/>
        <v>0</v>
      </c>
      <c r="AG294" s="171">
        <f t="shared" si="431"/>
        <v>0</v>
      </c>
      <c r="AH294" s="171">
        <f t="shared" si="431"/>
        <v>0</v>
      </c>
      <c r="AI294" s="171">
        <f t="shared" si="431"/>
        <v>0</v>
      </c>
      <c r="AJ294" s="171">
        <f t="shared" si="431"/>
        <v>0</v>
      </c>
      <c r="AK294" s="171">
        <f t="shared" si="432"/>
        <v>0</v>
      </c>
      <c r="AL294" s="171">
        <f t="shared" si="432"/>
        <v>0</v>
      </c>
      <c r="AM294" s="171">
        <f t="shared" si="432"/>
        <v>0</v>
      </c>
      <c r="AN294" s="171">
        <f t="shared" si="432"/>
        <v>0</v>
      </c>
      <c r="AO294" s="171">
        <f t="shared" si="432"/>
        <v>0</v>
      </c>
      <c r="AP294" s="171">
        <f t="shared" si="432"/>
        <v>0</v>
      </c>
      <c r="AQ294" s="171">
        <f t="shared" si="432"/>
        <v>0</v>
      </c>
      <c r="AR294" s="171">
        <f t="shared" si="432"/>
        <v>0</v>
      </c>
      <c r="AS294" s="171">
        <f t="shared" si="432"/>
        <v>0</v>
      </c>
      <c r="AT294" s="171">
        <f t="shared" si="432"/>
        <v>0</v>
      </c>
      <c r="AU294" s="171">
        <f t="shared" si="433"/>
        <v>0</v>
      </c>
      <c r="AV294" s="171">
        <f t="shared" si="433"/>
        <v>0</v>
      </c>
      <c r="AW294" s="171">
        <f t="shared" si="433"/>
        <v>0</v>
      </c>
      <c r="AX294" s="171">
        <f t="shared" si="433"/>
        <v>0</v>
      </c>
      <c r="AY294" s="171">
        <f t="shared" si="433"/>
        <v>0</v>
      </c>
      <c r="AZ294" s="171">
        <f t="shared" si="433"/>
        <v>0</v>
      </c>
      <c r="BA294" s="171">
        <f t="shared" si="433"/>
        <v>0</v>
      </c>
      <c r="BB294" s="171">
        <f t="shared" si="433"/>
        <v>0</v>
      </c>
      <c r="BC294" s="171">
        <f t="shared" si="433"/>
        <v>0</v>
      </c>
      <c r="BD294" s="171">
        <f t="shared" si="433"/>
        <v>0</v>
      </c>
      <c r="BE294" s="171">
        <f t="shared" si="434"/>
        <v>0</v>
      </c>
      <c r="BF294" s="171">
        <f t="shared" si="434"/>
        <v>0</v>
      </c>
      <c r="BG294" s="171">
        <f t="shared" si="434"/>
        <v>0</v>
      </c>
      <c r="BH294" s="171">
        <f t="shared" si="434"/>
        <v>0</v>
      </c>
      <c r="BI294" s="171">
        <f t="shared" si="434"/>
        <v>0</v>
      </c>
      <c r="BJ294" s="171">
        <f t="shared" si="434"/>
        <v>0</v>
      </c>
      <c r="BK294" s="171">
        <f t="shared" si="434"/>
        <v>0</v>
      </c>
      <c r="BL294" s="171">
        <f t="shared" si="434"/>
        <v>0</v>
      </c>
      <c r="BM294" s="171">
        <f t="shared" si="434"/>
        <v>0</v>
      </c>
      <c r="BN294" s="171">
        <f t="shared" si="434"/>
        <v>0</v>
      </c>
      <c r="BO294" s="171">
        <f t="shared" si="435"/>
        <v>0</v>
      </c>
      <c r="BP294" s="171">
        <f t="shared" si="435"/>
        <v>0</v>
      </c>
      <c r="BQ294" s="171">
        <f t="shared" si="435"/>
        <v>0</v>
      </c>
      <c r="BR294" s="171">
        <f t="shared" si="435"/>
        <v>0</v>
      </c>
      <c r="BS294" s="171">
        <f t="shared" si="435"/>
        <v>0</v>
      </c>
      <c r="BT294" s="171">
        <f t="shared" si="435"/>
        <v>0</v>
      </c>
      <c r="BU294" s="171">
        <f t="shared" si="435"/>
        <v>0</v>
      </c>
      <c r="BV294" s="171">
        <f t="shared" si="435"/>
        <v>0</v>
      </c>
      <c r="BW294" s="171">
        <f t="shared" si="435"/>
        <v>0</v>
      </c>
      <c r="BX294" s="171">
        <f t="shared" si="435"/>
        <v>0</v>
      </c>
      <c r="BY294" s="171">
        <f t="shared" si="436"/>
        <v>0</v>
      </c>
      <c r="BZ294" s="171">
        <f t="shared" si="436"/>
        <v>0</v>
      </c>
      <c r="CA294" s="171">
        <f t="shared" si="436"/>
        <v>0</v>
      </c>
      <c r="CB294" s="171">
        <f t="shared" si="436"/>
        <v>0</v>
      </c>
      <c r="CC294" s="171">
        <f t="shared" si="436"/>
        <v>0</v>
      </c>
      <c r="CD294" s="171">
        <f t="shared" si="436"/>
        <v>0</v>
      </c>
      <c r="CE294" s="171">
        <f t="shared" si="436"/>
        <v>0</v>
      </c>
      <c r="CF294" s="171">
        <f t="shared" si="436"/>
        <v>0</v>
      </c>
      <c r="CG294" s="171">
        <f t="shared" si="436"/>
        <v>0</v>
      </c>
      <c r="CH294" s="171">
        <f t="shared" si="436"/>
        <v>0</v>
      </c>
      <c r="CI294" s="171">
        <f t="shared" si="436"/>
        <v>0</v>
      </c>
      <c r="CJ294" s="243"/>
      <c r="CK294" s="171">
        <f t="shared" si="346"/>
        <v>0</v>
      </c>
      <c r="CL294" s="171">
        <f t="shared" si="347"/>
        <v>0</v>
      </c>
      <c r="CM294" s="171">
        <f t="shared" si="348"/>
        <v>0</v>
      </c>
      <c r="CN294" s="171">
        <f t="shared" si="349"/>
        <v>0</v>
      </c>
      <c r="CO294" s="171">
        <f t="shared" si="350"/>
        <v>0</v>
      </c>
      <c r="CP294" s="171">
        <f t="shared" si="351"/>
        <v>0</v>
      </c>
      <c r="CQ294" s="171">
        <f t="shared" si="352"/>
        <v>0</v>
      </c>
      <c r="CR294" s="171">
        <f t="shared" si="353"/>
        <v>0</v>
      </c>
      <c r="CS294" s="171">
        <f t="shared" si="354"/>
        <v>0</v>
      </c>
      <c r="CT294" s="171">
        <f t="shared" si="355"/>
        <v>0</v>
      </c>
      <c r="CU294" s="171">
        <f t="shared" si="356"/>
        <v>0</v>
      </c>
      <c r="CV294" s="171">
        <f t="shared" si="357"/>
        <v>0</v>
      </c>
      <c r="CW294" s="171">
        <f t="shared" si="358"/>
        <v>0</v>
      </c>
      <c r="CX294" s="171">
        <f t="shared" si="359"/>
        <v>0</v>
      </c>
      <c r="CY294" s="171">
        <f t="shared" ca="1" si="360"/>
        <v>0</v>
      </c>
      <c r="CZ294" s="171">
        <f t="shared" ca="1" si="361"/>
        <v>0</v>
      </c>
      <c r="DA294" s="171">
        <f t="shared" ca="1" si="362"/>
        <v>0</v>
      </c>
      <c r="DB294" s="171">
        <f t="shared" ca="1" si="363"/>
        <v>0</v>
      </c>
      <c r="DC294" s="171">
        <f t="shared" ca="1" si="364"/>
        <v>0</v>
      </c>
      <c r="DD294" s="171">
        <f t="shared" ca="1" si="365"/>
        <v>0</v>
      </c>
      <c r="DE294" s="171">
        <f t="shared" ca="1" si="366"/>
        <v>0</v>
      </c>
      <c r="DF294" s="171">
        <f t="shared" ca="1" si="367"/>
        <v>0</v>
      </c>
      <c r="DG294" s="171">
        <f t="shared" ca="1" si="368"/>
        <v>0</v>
      </c>
      <c r="DH294" s="171">
        <f t="shared" ca="1" si="369"/>
        <v>0</v>
      </c>
      <c r="DI294" s="171">
        <f t="shared" ca="1" si="370"/>
        <v>0</v>
      </c>
      <c r="DJ294" s="171">
        <f t="shared" ca="1" si="371"/>
        <v>0</v>
      </c>
      <c r="DK294" s="171">
        <f t="shared" ca="1" si="372"/>
        <v>0</v>
      </c>
      <c r="DL294" s="171">
        <f t="shared" ca="1" si="373"/>
        <v>0</v>
      </c>
      <c r="DM294" s="171">
        <f t="shared" ca="1" si="374"/>
        <v>0</v>
      </c>
      <c r="DN294" s="171">
        <f t="shared" ca="1" si="375"/>
        <v>0</v>
      </c>
      <c r="DO294" s="171">
        <f t="shared" ca="1" si="376"/>
        <v>0</v>
      </c>
      <c r="DP294" s="171">
        <f t="shared" ca="1" si="377"/>
        <v>0</v>
      </c>
      <c r="DQ294" s="171">
        <f t="shared" ca="1" si="378"/>
        <v>0</v>
      </c>
      <c r="DR294" s="171">
        <f t="shared" ca="1" si="379"/>
        <v>0</v>
      </c>
      <c r="DS294" s="171">
        <f t="shared" ca="1" si="380"/>
        <v>0</v>
      </c>
      <c r="DT294" s="171">
        <f t="shared" ca="1" si="381"/>
        <v>0</v>
      </c>
      <c r="DU294" s="171">
        <f t="shared" ca="1" si="382"/>
        <v>0</v>
      </c>
      <c r="DV294" s="171">
        <f t="shared" ca="1" si="383"/>
        <v>0</v>
      </c>
      <c r="DW294" s="171">
        <f t="shared" ca="1" si="384"/>
        <v>0</v>
      </c>
      <c r="DX294" s="171">
        <f t="shared" ca="1" si="385"/>
        <v>0</v>
      </c>
      <c r="DY294" s="171">
        <f t="shared" ca="1" si="386"/>
        <v>0</v>
      </c>
      <c r="DZ294" s="171">
        <f t="shared" ca="1" si="387"/>
        <v>0</v>
      </c>
      <c r="EA294" s="171">
        <f t="shared" ca="1" si="388"/>
        <v>0</v>
      </c>
      <c r="EB294" s="171">
        <f t="shared" ca="1" si="389"/>
        <v>0</v>
      </c>
      <c r="EC294" s="171">
        <f t="shared" ca="1" si="390"/>
        <v>0</v>
      </c>
      <c r="ED294" s="171">
        <f t="shared" ca="1" si="391"/>
        <v>0</v>
      </c>
      <c r="EE294" s="171">
        <f t="shared" ca="1" si="392"/>
        <v>0</v>
      </c>
      <c r="EF294" s="171">
        <f t="shared" ca="1" si="393"/>
        <v>0</v>
      </c>
      <c r="EG294" s="171">
        <f t="shared" ca="1" si="394"/>
        <v>0</v>
      </c>
      <c r="EH294" s="171">
        <f t="shared" ca="1" si="395"/>
        <v>0</v>
      </c>
      <c r="EI294" s="171">
        <f t="shared" ca="1" si="396"/>
        <v>0</v>
      </c>
      <c r="EJ294" s="171">
        <f t="shared" ca="1" si="397"/>
        <v>0</v>
      </c>
      <c r="EK294" s="171">
        <f t="shared" ca="1" si="398"/>
        <v>0</v>
      </c>
      <c r="EL294" s="171">
        <f t="shared" ca="1" si="399"/>
        <v>0</v>
      </c>
      <c r="EM294" s="171">
        <f t="shared" ca="1" si="400"/>
        <v>0</v>
      </c>
      <c r="EN294" s="171">
        <f t="shared" ca="1" si="401"/>
        <v>0</v>
      </c>
      <c r="EO294" s="171">
        <f t="shared" ca="1" si="402"/>
        <v>0</v>
      </c>
      <c r="EP294" s="171">
        <f t="shared" ca="1" si="403"/>
        <v>0</v>
      </c>
      <c r="EQ294" s="171">
        <f t="shared" ca="1" si="404"/>
        <v>0</v>
      </c>
      <c r="ER294" s="171">
        <f t="shared" ca="1" si="405"/>
        <v>0</v>
      </c>
      <c r="ES294" s="171">
        <f t="shared" ca="1" si="406"/>
        <v>0</v>
      </c>
    </row>
    <row r="295" spans="3:149">
      <c r="C295" s="214"/>
      <c r="H295" s="216"/>
      <c r="I295" s="217"/>
      <c r="L295" s="163"/>
      <c r="M295" s="164" t="str">
        <f t="shared" si="337"/>
        <v/>
      </c>
      <c r="N295" s="164" t="str">
        <f t="shared" si="338"/>
        <v/>
      </c>
      <c r="O295" s="165" t="str">
        <f t="shared" si="339"/>
        <v/>
      </c>
      <c r="R295" s="168"/>
      <c r="U295" s="171">
        <f t="shared" si="340"/>
        <v>0</v>
      </c>
      <c r="V295" s="171">
        <f t="shared" ca="1" si="341"/>
        <v>0</v>
      </c>
      <c r="W295" s="171">
        <f t="shared" ca="1" si="342"/>
        <v>0</v>
      </c>
      <c r="X295" s="172">
        <f t="shared" si="343"/>
        <v>0</v>
      </c>
      <c r="Y295" s="172" t="str">
        <f t="shared" si="344"/>
        <v/>
      </c>
      <c r="Z295" s="173">
        <f t="shared" si="345"/>
        <v>0</v>
      </c>
      <c r="AA295" s="171">
        <f t="shared" si="431"/>
        <v>0</v>
      </c>
      <c r="AB295" s="171">
        <f t="shared" si="431"/>
        <v>0</v>
      </c>
      <c r="AC295" s="171">
        <f t="shared" si="431"/>
        <v>0</v>
      </c>
      <c r="AD295" s="171">
        <f t="shared" si="431"/>
        <v>0</v>
      </c>
      <c r="AE295" s="171">
        <f t="shared" si="431"/>
        <v>0</v>
      </c>
      <c r="AF295" s="171">
        <f t="shared" si="431"/>
        <v>0</v>
      </c>
      <c r="AG295" s="171">
        <f t="shared" si="431"/>
        <v>0</v>
      </c>
      <c r="AH295" s="171">
        <f t="shared" si="431"/>
        <v>0</v>
      </c>
      <c r="AI295" s="171">
        <f t="shared" si="431"/>
        <v>0</v>
      </c>
      <c r="AJ295" s="171">
        <f t="shared" si="431"/>
        <v>0</v>
      </c>
      <c r="AK295" s="171">
        <f t="shared" si="432"/>
        <v>0</v>
      </c>
      <c r="AL295" s="171">
        <f t="shared" si="432"/>
        <v>0</v>
      </c>
      <c r="AM295" s="171">
        <f t="shared" si="432"/>
        <v>0</v>
      </c>
      <c r="AN295" s="171">
        <f t="shared" si="432"/>
        <v>0</v>
      </c>
      <c r="AO295" s="171">
        <f t="shared" si="432"/>
        <v>0</v>
      </c>
      <c r="AP295" s="171">
        <f t="shared" si="432"/>
        <v>0</v>
      </c>
      <c r="AQ295" s="171">
        <f t="shared" si="432"/>
        <v>0</v>
      </c>
      <c r="AR295" s="171">
        <f t="shared" si="432"/>
        <v>0</v>
      </c>
      <c r="AS295" s="171">
        <f t="shared" si="432"/>
        <v>0</v>
      </c>
      <c r="AT295" s="171">
        <f t="shared" si="432"/>
        <v>0</v>
      </c>
      <c r="AU295" s="171">
        <f t="shared" si="433"/>
        <v>0</v>
      </c>
      <c r="AV295" s="171">
        <f t="shared" si="433"/>
        <v>0</v>
      </c>
      <c r="AW295" s="171">
        <f t="shared" si="433"/>
        <v>0</v>
      </c>
      <c r="AX295" s="171">
        <f t="shared" si="433"/>
        <v>0</v>
      </c>
      <c r="AY295" s="171">
        <f t="shared" si="433"/>
        <v>0</v>
      </c>
      <c r="AZ295" s="171">
        <f t="shared" si="433"/>
        <v>0</v>
      </c>
      <c r="BA295" s="171">
        <f t="shared" si="433"/>
        <v>0</v>
      </c>
      <c r="BB295" s="171">
        <f t="shared" si="433"/>
        <v>0</v>
      </c>
      <c r="BC295" s="171">
        <f t="shared" si="433"/>
        <v>0</v>
      </c>
      <c r="BD295" s="171">
        <f t="shared" si="433"/>
        <v>0</v>
      </c>
      <c r="BE295" s="171">
        <f t="shared" si="434"/>
        <v>0</v>
      </c>
      <c r="BF295" s="171">
        <f t="shared" si="434"/>
        <v>0</v>
      </c>
      <c r="BG295" s="171">
        <f t="shared" si="434"/>
        <v>0</v>
      </c>
      <c r="BH295" s="171">
        <f t="shared" si="434"/>
        <v>0</v>
      </c>
      <c r="BI295" s="171">
        <f t="shared" si="434"/>
        <v>0</v>
      </c>
      <c r="BJ295" s="171">
        <f t="shared" si="434"/>
        <v>0</v>
      </c>
      <c r="BK295" s="171">
        <f t="shared" si="434"/>
        <v>0</v>
      </c>
      <c r="BL295" s="171">
        <f t="shared" si="434"/>
        <v>0</v>
      </c>
      <c r="BM295" s="171">
        <f t="shared" si="434"/>
        <v>0</v>
      </c>
      <c r="BN295" s="171">
        <f t="shared" si="434"/>
        <v>0</v>
      </c>
      <c r="BO295" s="171">
        <f t="shared" si="435"/>
        <v>0</v>
      </c>
      <c r="BP295" s="171">
        <f t="shared" si="435"/>
        <v>0</v>
      </c>
      <c r="BQ295" s="171">
        <f t="shared" si="435"/>
        <v>0</v>
      </c>
      <c r="BR295" s="171">
        <f t="shared" si="435"/>
        <v>0</v>
      </c>
      <c r="BS295" s="171">
        <f t="shared" si="435"/>
        <v>0</v>
      </c>
      <c r="BT295" s="171">
        <f t="shared" si="435"/>
        <v>0</v>
      </c>
      <c r="BU295" s="171">
        <f t="shared" si="435"/>
        <v>0</v>
      </c>
      <c r="BV295" s="171">
        <f t="shared" si="435"/>
        <v>0</v>
      </c>
      <c r="BW295" s="171">
        <f t="shared" si="435"/>
        <v>0</v>
      </c>
      <c r="BX295" s="171">
        <f t="shared" si="435"/>
        <v>0</v>
      </c>
      <c r="BY295" s="171">
        <f t="shared" si="436"/>
        <v>0</v>
      </c>
      <c r="BZ295" s="171">
        <f t="shared" si="436"/>
        <v>0</v>
      </c>
      <c r="CA295" s="171">
        <f t="shared" si="436"/>
        <v>0</v>
      </c>
      <c r="CB295" s="171">
        <f t="shared" si="436"/>
        <v>0</v>
      </c>
      <c r="CC295" s="171">
        <f t="shared" si="436"/>
        <v>0</v>
      </c>
      <c r="CD295" s="171">
        <f t="shared" si="436"/>
        <v>0</v>
      </c>
      <c r="CE295" s="171">
        <f t="shared" si="436"/>
        <v>0</v>
      </c>
      <c r="CF295" s="171">
        <f t="shared" si="436"/>
        <v>0</v>
      </c>
      <c r="CG295" s="171">
        <f t="shared" si="436"/>
        <v>0</v>
      </c>
      <c r="CH295" s="171">
        <f t="shared" si="436"/>
        <v>0</v>
      </c>
      <c r="CI295" s="171">
        <f t="shared" si="436"/>
        <v>0</v>
      </c>
      <c r="CJ295" s="243"/>
      <c r="CK295" s="171">
        <f t="shared" si="346"/>
        <v>0</v>
      </c>
      <c r="CL295" s="171">
        <f t="shared" si="347"/>
        <v>0</v>
      </c>
      <c r="CM295" s="171">
        <f t="shared" si="348"/>
        <v>0</v>
      </c>
      <c r="CN295" s="171">
        <f t="shared" si="349"/>
        <v>0</v>
      </c>
      <c r="CO295" s="171">
        <f t="shared" si="350"/>
        <v>0</v>
      </c>
      <c r="CP295" s="171">
        <f t="shared" si="351"/>
        <v>0</v>
      </c>
      <c r="CQ295" s="171">
        <f t="shared" si="352"/>
        <v>0</v>
      </c>
      <c r="CR295" s="171">
        <f t="shared" si="353"/>
        <v>0</v>
      </c>
      <c r="CS295" s="171">
        <f t="shared" si="354"/>
        <v>0</v>
      </c>
      <c r="CT295" s="171">
        <f t="shared" si="355"/>
        <v>0</v>
      </c>
      <c r="CU295" s="171">
        <f t="shared" si="356"/>
        <v>0</v>
      </c>
      <c r="CV295" s="171">
        <f t="shared" si="357"/>
        <v>0</v>
      </c>
      <c r="CW295" s="171">
        <f t="shared" si="358"/>
        <v>0</v>
      </c>
      <c r="CX295" s="171">
        <f t="shared" si="359"/>
        <v>0</v>
      </c>
      <c r="CY295" s="171">
        <f t="shared" ca="1" si="360"/>
        <v>0</v>
      </c>
      <c r="CZ295" s="171">
        <f t="shared" ca="1" si="361"/>
        <v>0</v>
      </c>
      <c r="DA295" s="171">
        <f t="shared" ca="1" si="362"/>
        <v>0</v>
      </c>
      <c r="DB295" s="171">
        <f t="shared" ca="1" si="363"/>
        <v>0</v>
      </c>
      <c r="DC295" s="171">
        <f t="shared" ca="1" si="364"/>
        <v>0</v>
      </c>
      <c r="DD295" s="171">
        <f t="shared" ca="1" si="365"/>
        <v>0</v>
      </c>
      <c r="DE295" s="171">
        <f t="shared" ca="1" si="366"/>
        <v>0</v>
      </c>
      <c r="DF295" s="171">
        <f t="shared" ca="1" si="367"/>
        <v>0</v>
      </c>
      <c r="DG295" s="171">
        <f t="shared" ca="1" si="368"/>
        <v>0</v>
      </c>
      <c r="DH295" s="171">
        <f t="shared" ca="1" si="369"/>
        <v>0</v>
      </c>
      <c r="DI295" s="171">
        <f t="shared" ca="1" si="370"/>
        <v>0</v>
      </c>
      <c r="DJ295" s="171">
        <f t="shared" ca="1" si="371"/>
        <v>0</v>
      </c>
      <c r="DK295" s="171">
        <f t="shared" ca="1" si="372"/>
        <v>0</v>
      </c>
      <c r="DL295" s="171">
        <f t="shared" ca="1" si="373"/>
        <v>0</v>
      </c>
      <c r="DM295" s="171">
        <f t="shared" ca="1" si="374"/>
        <v>0</v>
      </c>
      <c r="DN295" s="171">
        <f t="shared" ca="1" si="375"/>
        <v>0</v>
      </c>
      <c r="DO295" s="171">
        <f t="shared" ca="1" si="376"/>
        <v>0</v>
      </c>
      <c r="DP295" s="171">
        <f t="shared" ca="1" si="377"/>
        <v>0</v>
      </c>
      <c r="DQ295" s="171">
        <f t="shared" ca="1" si="378"/>
        <v>0</v>
      </c>
      <c r="DR295" s="171">
        <f t="shared" ca="1" si="379"/>
        <v>0</v>
      </c>
      <c r="DS295" s="171">
        <f t="shared" ca="1" si="380"/>
        <v>0</v>
      </c>
      <c r="DT295" s="171">
        <f t="shared" ca="1" si="381"/>
        <v>0</v>
      </c>
      <c r="DU295" s="171">
        <f t="shared" ca="1" si="382"/>
        <v>0</v>
      </c>
      <c r="DV295" s="171">
        <f t="shared" ca="1" si="383"/>
        <v>0</v>
      </c>
      <c r="DW295" s="171">
        <f t="shared" ca="1" si="384"/>
        <v>0</v>
      </c>
      <c r="DX295" s="171">
        <f t="shared" ca="1" si="385"/>
        <v>0</v>
      </c>
      <c r="DY295" s="171">
        <f t="shared" ca="1" si="386"/>
        <v>0</v>
      </c>
      <c r="DZ295" s="171">
        <f t="shared" ca="1" si="387"/>
        <v>0</v>
      </c>
      <c r="EA295" s="171">
        <f t="shared" ca="1" si="388"/>
        <v>0</v>
      </c>
      <c r="EB295" s="171">
        <f t="shared" ca="1" si="389"/>
        <v>0</v>
      </c>
      <c r="EC295" s="171">
        <f t="shared" ca="1" si="390"/>
        <v>0</v>
      </c>
      <c r="ED295" s="171">
        <f t="shared" ca="1" si="391"/>
        <v>0</v>
      </c>
      <c r="EE295" s="171">
        <f t="shared" ca="1" si="392"/>
        <v>0</v>
      </c>
      <c r="EF295" s="171">
        <f t="shared" ca="1" si="393"/>
        <v>0</v>
      </c>
      <c r="EG295" s="171">
        <f t="shared" ca="1" si="394"/>
        <v>0</v>
      </c>
      <c r="EH295" s="171">
        <f t="shared" ca="1" si="395"/>
        <v>0</v>
      </c>
      <c r="EI295" s="171">
        <f t="shared" ca="1" si="396"/>
        <v>0</v>
      </c>
      <c r="EJ295" s="171">
        <f t="shared" ca="1" si="397"/>
        <v>0</v>
      </c>
      <c r="EK295" s="171">
        <f t="shared" ca="1" si="398"/>
        <v>0</v>
      </c>
      <c r="EL295" s="171">
        <f t="shared" ca="1" si="399"/>
        <v>0</v>
      </c>
      <c r="EM295" s="171">
        <f t="shared" ca="1" si="400"/>
        <v>0</v>
      </c>
      <c r="EN295" s="171">
        <f t="shared" ca="1" si="401"/>
        <v>0</v>
      </c>
      <c r="EO295" s="171">
        <f t="shared" ca="1" si="402"/>
        <v>0</v>
      </c>
      <c r="EP295" s="171">
        <f t="shared" ca="1" si="403"/>
        <v>0</v>
      </c>
      <c r="EQ295" s="171">
        <f t="shared" ca="1" si="404"/>
        <v>0</v>
      </c>
      <c r="ER295" s="171">
        <f t="shared" ca="1" si="405"/>
        <v>0</v>
      </c>
      <c r="ES295" s="171">
        <f t="shared" ca="1" si="406"/>
        <v>0</v>
      </c>
    </row>
    <row r="296" spans="3:149">
      <c r="C296" s="214"/>
      <c r="H296" s="216"/>
      <c r="I296" s="217"/>
      <c r="L296" s="163"/>
      <c r="M296" s="164" t="str">
        <f t="shared" si="337"/>
        <v/>
      </c>
      <c r="N296" s="164" t="str">
        <f t="shared" si="338"/>
        <v/>
      </c>
      <c r="O296" s="165" t="str">
        <f t="shared" si="339"/>
        <v/>
      </c>
      <c r="R296" s="168"/>
      <c r="U296" s="171">
        <f t="shared" si="340"/>
        <v>0</v>
      </c>
      <c r="V296" s="171">
        <f t="shared" ca="1" si="341"/>
        <v>0</v>
      </c>
      <c r="W296" s="171">
        <f t="shared" ca="1" si="342"/>
        <v>0</v>
      </c>
      <c r="X296" s="172">
        <f t="shared" si="343"/>
        <v>0</v>
      </c>
      <c r="Y296" s="172" t="str">
        <f t="shared" si="344"/>
        <v/>
      </c>
      <c r="Z296" s="173">
        <f t="shared" si="345"/>
        <v>0</v>
      </c>
      <c r="AA296" s="171">
        <f t="shared" si="431"/>
        <v>0</v>
      </c>
      <c r="AB296" s="171">
        <f t="shared" si="431"/>
        <v>0</v>
      </c>
      <c r="AC296" s="171">
        <f t="shared" si="431"/>
        <v>0</v>
      </c>
      <c r="AD296" s="171">
        <f t="shared" si="431"/>
        <v>0</v>
      </c>
      <c r="AE296" s="171">
        <f t="shared" si="431"/>
        <v>0</v>
      </c>
      <c r="AF296" s="171">
        <f t="shared" si="431"/>
        <v>0</v>
      </c>
      <c r="AG296" s="171">
        <f t="shared" si="431"/>
        <v>0</v>
      </c>
      <c r="AH296" s="171">
        <f t="shared" si="431"/>
        <v>0</v>
      </c>
      <c r="AI296" s="171">
        <f t="shared" si="431"/>
        <v>0</v>
      </c>
      <c r="AJ296" s="171">
        <f t="shared" si="431"/>
        <v>0</v>
      </c>
      <c r="AK296" s="171">
        <f t="shared" si="432"/>
        <v>0</v>
      </c>
      <c r="AL296" s="171">
        <f t="shared" si="432"/>
        <v>0</v>
      </c>
      <c r="AM296" s="171">
        <f t="shared" si="432"/>
        <v>0</v>
      </c>
      <c r="AN296" s="171">
        <f t="shared" si="432"/>
        <v>0</v>
      </c>
      <c r="AO296" s="171">
        <f t="shared" si="432"/>
        <v>0</v>
      </c>
      <c r="AP296" s="171">
        <f t="shared" si="432"/>
        <v>0</v>
      </c>
      <c r="AQ296" s="171">
        <f t="shared" si="432"/>
        <v>0</v>
      </c>
      <c r="AR296" s="171">
        <f t="shared" si="432"/>
        <v>0</v>
      </c>
      <c r="AS296" s="171">
        <f t="shared" si="432"/>
        <v>0</v>
      </c>
      <c r="AT296" s="171">
        <f t="shared" si="432"/>
        <v>0</v>
      </c>
      <c r="AU296" s="171">
        <f t="shared" si="433"/>
        <v>0</v>
      </c>
      <c r="AV296" s="171">
        <f t="shared" si="433"/>
        <v>0</v>
      </c>
      <c r="AW296" s="171">
        <f t="shared" si="433"/>
        <v>0</v>
      </c>
      <c r="AX296" s="171">
        <f t="shared" si="433"/>
        <v>0</v>
      </c>
      <c r="AY296" s="171">
        <f t="shared" si="433"/>
        <v>0</v>
      </c>
      <c r="AZ296" s="171">
        <f t="shared" si="433"/>
        <v>0</v>
      </c>
      <c r="BA296" s="171">
        <f t="shared" si="433"/>
        <v>0</v>
      </c>
      <c r="BB296" s="171">
        <f t="shared" si="433"/>
        <v>0</v>
      </c>
      <c r="BC296" s="171">
        <f t="shared" si="433"/>
        <v>0</v>
      </c>
      <c r="BD296" s="171">
        <f t="shared" si="433"/>
        <v>0</v>
      </c>
      <c r="BE296" s="171">
        <f t="shared" si="434"/>
        <v>0</v>
      </c>
      <c r="BF296" s="171">
        <f t="shared" si="434"/>
        <v>0</v>
      </c>
      <c r="BG296" s="171">
        <f t="shared" si="434"/>
        <v>0</v>
      </c>
      <c r="BH296" s="171">
        <f t="shared" si="434"/>
        <v>0</v>
      </c>
      <c r="BI296" s="171">
        <f t="shared" si="434"/>
        <v>0</v>
      </c>
      <c r="BJ296" s="171">
        <f t="shared" si="434"/>
        <v>0</v>
      </c>
      <c r="BK296" s="171">
        <f t="shared" si="434"/>
        <v>0</v>
      </c>
      <c r="BL296" s="171">
        <f t="shared" si="434"/>
        <v>0</v>
      </c>
      <c r="BM296" s="171">
        <f t="shared" si="434"/>
        <v>0</v>
      </c>
      <c r="BN296" s="171">
        <f t="shared" si="434"/>
        <v>0</v>
      </c>
      <c r="BO296" s="171">
        <f t="shared" si="435"/>
        <v>0</v>
      </c>
      <c r="BP296" s="171">
        <f t="shared" si="435"/>
        <v>0</v>
      </c>
      <c r="BQ296" s="171">
        <f t="shared" si="435"/>
        <v>0</v>
      </c>
      <c r="BR296" s="171">
        <f t="shared" si="435"/>
        <v>0</v>
      </c>
      <c r="BS296" s="171">
        <f t="shared" si="435"/>
        <v>0</v>
      </c>
      <c r="BT296" s="171">
        <f t="shared" si="435"/>
        <v>0</v>
      </c>
      <c r="BU296" s="171">
        <f t="shared" si="435"/>
        <v>0</v>
      </c>
      <c r="BV296" s="171">
        <f t="shared" si="435"/>
        <v>0</v>
      </c>
      <c r="BW296" s="171">
        <f t="shared" si="435"/>
        <v>0</v>
      </c>
      <c r="BX296" s="171">
        <f t="shared" si="435"/>
        <v>0</v>
      </c>
      <c r="BY296" s="171">
        <f t="shared" si="436"/>
        <v>0</v>
      </c>
      <c r="BZ296" s="171">
        <f t="shared" si="436"/>
        <v>0</v>
      </c>
      <c r="CA296" s="171">
        <f t="shared" si="436"/>
        <v>0</v>
      </c>
      <c r="CB296" s="171">
        <f t="shared" si="436"/>
        <v>0</v>
      </c>
      <c r="CC296" s="171">
        <f t="shared" si="436"/>
        <v>0</v>
      </c>
      <c r="CD296" s="171">
        <f t="shared" si="436"/>
        <v>0</v>
      </c>
      <c r="CE296" s="171">
        <f t="shared" si="436"/>
        <v>0</v>
      </c>
      <c r="CF296" s="171">
        <f t="shared" si="436"/>
        <v>0</v>
      </c>
      <c r="CG296" s="171">
        <f t="shared" si="436"/>
        <v>0</v>
      </c>
      <c r="CH296" s="171">
        <f t="shared" si="436"/>
        <v>0</v>
      </c>
      <c r="CI296" s="171">
        <f t="shared" si="436"/>
        <v>0</v>
      </c>
      <c r="CJ296" s="243"/>
      <c r="CK296" s="171">
        <f t="shared" si="346"/>
        <v>0</v>
      </c>
      <c r="CL296" s="171">
        <f t="shared" si="347"/>
        <v>0</v>
      </c>
      <c r="CM296" s="171">
        <f t="shared" si="348"/>
        <v>0</v>
      </c>
      <c r="CN296" s="171">
        <f t="shared" si="349"/>
        <v>0</v>
      </c>
      <c r="CO296" s="171">
        <f t="shared" si="350"/>
        <v>0</v>
      </c>
      <c r="CP296" s="171">
        <f t="shared" si="351"/>
        <v>0</v>
      </c>
      <c r="CQ296" s="171">
        <f t="shared" si="352"/>
        <v>0</v>
      </c>
      <c r="CR296" s="171">
        <f t="shared" si="353"/>
        <v>0</v>
      </c>
      <c r="CS296" s="171">
        <f t="shared" si="354"/>
        <v>0</v>
      </c>
      <c r="CT296" s="171">
        <f t="shared" si="355"/>
        <v>0</v>
      </c>
      <c r="CU296" s="171">
        <f t="shared" si="356"/>
        <v>0</v>
      </c>
      <c r="CV296" s="171">
        <f t="shared" si="357"/>
        <v>0</v>
      </c>
      <c r="CW296" s="171">
        <f t="shared" si="358"/>
        <v>0</v>
      </c>
      <c r="CX296" s="171">
        <f t="shared" si="359"/>
        <v>0</v>
      </c>
      <c r="CY296" s="171">
        <f t="shared" ca="1" si="360"/>
        <v>0</v>
      </c>
      <c r="CZ296" s="171">
        <f t="shared" ca="1" si="361"/>
        <v>0</v>
      </c>
      <c r="DA296" s="171">
        <f t="shared" ca="1" si="362"/>
        <v>0</v>
      </c>
      <c r="DB296" s="171">
        <f t="shared" ca="1" si="363"/>
        <v>0</v>
      </c>
      <c r="DC296" s="171">
        <f t="shared" ca="1" si="364"/>
        <v>0</v>
      </c>
      <c r="DD296" s="171">
        <f t="shared" ca="1" si="365"/>
        <v>0</v>
      </c>
      <c r="DE296" s="171">
        <f t="shared" ca="1" si="366"/>
        <v>0</v>
      </c>
      <c r="DF296" s="171">
        <f t="shared" ca="1" si="367"/>
        <v>0</v>
      </c>
      <c r="DG296" s="171">
        <f t="shared" ca="1" si="368"/>
        <v>0</v>
      </c>
      <c r="DH296" s="171">
        <f t="shared" ca="1" si="369"/>
        <v>0</v>
      </c>
      <c r="DI296" s="171">
        <f t="shared" ca="1" si="370"/>
        <v>0</v>
      </c>
      <c r="DJ296" s="171">
        <f t="shared" ca="1" si="371"/>
        <v>0</v>
      </c>
      <c r="DK296" s="171">
        <f t="shared" ca="1" si="372"/>
        <v>0</v>
      </c>
      <c r="DL296" s="171">
        <f t="shared" ca="1" si="373"/>
        <v>0</v>
      </c>
      <c r="DM296" s="171">
        <f t="shared" ca="1" si="374"/>
        <v>0</v>
      </c>
      <c r="DN296" s="171">
        <f t="shared" ca="1" si="375"/>
        <v>0</v>
      </c>
      <c r="DO296" s="171">
        <f t="shared" ca="1" si="376"/>
        <v>0</v>
      </c>
      <c r="DP296" s="171">
        <f t="shared" ca="1" si="377"/>
        <v>0</v>
      </c>
      <c r="DQ296" s="171">
        <f t="shared" ca="1" si="378"/>
        <v>0</v>
      </c>
      <c r="DR296" s="171">
        <f t="shared" ca="1" si="379"/>
        <v>0</v>
      </c>
      <c r="DS296" s="171">
        <f t="shared" ca="1" si="380"/>
        <v>0</v>
      </c>
      <c r="DT296" s="171">
        <f t="shared" ca="1" si="381"/>
        <v>0</v>
      </c>
      <c r="DU296" s="171">
        <f t="shared" ca="1" si="382"/>
        <v>0</v>
      </c>
      <c r="DV296" s="171">
        <f t="shared" ca="1" si="383"/>
        <v>0</v>
      </c>
      <c r="DW296" s="171">
        <f t="shared" ca="1" si="384"/>
        <v>0</v>
      </c>
      <c r="DX296" s="171">
        <f t="shared" ca="1" si="385"/>
        <v>0</v>
      </c>
      <c r="DY296" s="171">
        <f t="shared" ca="1" si="386"/>
        <v>0</v>
      </c>
      <c r="DZ296" s="171">
        <f t="shared" ca="1" si="387"/>
        <v>0</v>
      </c>
      <c r="EA296" s="171">
        <f t="shared" ca="1" si="388"/>
        <v>0</v>
      </c>
      <c r="EB296" s="171">
        <f t="shared" ca="1" si="389"/>
        <v>0</v>
      </c>
      <c r="EC296" s="171">
        <f t="shared" ca="1" si="390"/>
        <v>0</v>
      </c>
      <c r="ED296" s="171">
        <f t="shared" ca="1" si="391"/>
        <v>0</v>
      </c>
      <c r="EE296" s="171">
        <f t="shared" ca="1" si="392"/>
        <v>0</v>
      </c>
      <c r="EF296" s="171">
        <f t="shared" ca="1" si="393"/>
        <v>0</v>
      </c>
      <c r="EG296" s="171">
        <f t="shared" ca="1" si="394"/>
        <v>0</v>
      </c>
      <c r="EH296" s="171">
        <f t="shared" ca="1" si="395"/>
        <v>0</v>
      </c>
      <c r="EI296" s="171">
        <f t="shared" ca="1" si="396"/>
        <v>0</v>
      </c>
      <c r="EJ296" s="171">
        <f t="shared" ca="1" si="397"/>
        <v>0</v>
      </c>
      <c r="EK296" s="171">
        <f t="shared" ca="1" si="398"/>
        <v>0</v>
      </c>
      <c r="EL296" s="171">
        <f t="shared" ca="1" si="399"/>
        <v>0</v>
      </c>
      <c r="EM296" s="171">
        <f t="shared" ca="1" si="400"/>
        <v>0</v>
      </c>
      <c r="EN296" s="171">
        <f t="shared" ca="1" si="401"/>
        <v>0</v>
      </c>
      <c r="EO296" s="171">
        <f t="shared" ca="1" si="402"/>
        <v>0</v>
      </c>
      <c r="EP296" s="171">
        <f t="shared" ca="1" si="403"/>
        <v>0</v>
      </c>
      <c r="EQ296" s="171">
        <f t="shared" ca="1" si="404"/>
        <v>0</v>
      </c>
      <c r="ER296" s="171">
        <f t="shared" ca="1" si="405"/>
        <v>0</v>
      </c>
      <c r="ES296" s="171">
        <f t="shared" ca="1" si="406"/>
        <v>0</v>
      </c>
    </row>
    <row r="297" spans="3:149">
      <c r="C297" s="214"/>
      <c r="H297" s="216"/>
      <c r="I297" s="217"/>
      <c r="L297" s="163"/>
      <c r="M297" s="164" t="str">
        <f t="shared" si="337"/>
        <v/>
      </c>
      <c r="N297" s="164" t="str">
        <f t="shared" si="338"/>
        <v/>
      </c>
      <c r="O297" s="165" t="str">
        <f t="shared" si="339"/>
        <v/>
      </c>
      <c r="R297" s="168"/>
      <c r="U297" s="171">
        <f t="shared" si="340"/>
        <v>0</v>
      </c>
      <c r="V297" s="171">
        <f t="shared" ca="1" si="341"/>
        <v>0</v>
      </c>
      <c r="W297" s="171">
        <f t="shared" ca="1" si="342"/>
        <v>0</v>
      </c>
      <c r="X297" s="172">
        <f t="shared" si="343"/>
        <v>0</v>
      </c>
      <c r="Y297" s="172" t="str">
        <f t="shared" si="344"/>
        <v/>
      </c>
      <c r="Z297" s="173">
        <f t="shared" si="345"/>
        <v>0</v>
      </c>
      <c r="AA297" s="171">
        <f t="shared" si="431"/>
        <v>0</v>
      </c>
      <c r="AB297" s="171">
        <f t="shared" si="431"/>
        <v>0</v>
      </c>
      <c r="AC297" s="171">
        <f t="shared" si="431"/>
        <v>0</v>
      </c>
      <c r="AD297" s="171">
        <f t="shared" si="431"/>
        <v>0</v>
      </c>
      <c r="AE297" s="171">
        <f t="shared" si="431"/>
        <v>0</v>
      </c>
      <c r="AF297" s="171">
        <f t="shared" si="431"/>
        <v>0</v>
      </c>
      <c r="AG297" s="171">
        <f t="shared" si="431"/>
        <v>0</v>
      </c>
      <c r="AH297" s="171">
        <f t="shared" si="431"/>
        <v>0</v>
      </c>
      <c r="AI297" s="171">
        <f t="shared" si="431"/>
        <v>0</v>
      </c>
      <c r="AJ297" s="171">
        <f t="shared" si="431"/>
        <v>0</v>
      </c>
      <c r="AK297" s="171">
        <f t="shared" si="432"/>
        <v>0</v>
      </c>
      <c r="AL297" s="171">
        <f t="shared" si="432"/>
        <v>0</v>
      </c>
      <c r="AM297" s="171">
        <f t="shared" si="432"/>
        <v>0</v>
      </c>
      <c r="AN297" s="171">
        <f t="shared" si="432"/>
        <v>0</v>
      </c>
      <c r="AO297" s="171">
        <f t="shared" si="432"/>
        <v>0</v>
      </c>
      <c r="AP297" s="171">
        <f t="shared" si="432"/>
        <v>0</v>
      </c>
      <c r="AQ297" s="171">
        <f t="shared" si="432"/>
        <v>0</v>
      </c>
      <c r="AR297" s="171">
        <f t="shared" si="432"/>
        <v>0</v>
      </c>
      <c r="AS297" s="171">
        <f t="shared" si="432"/>
        <v>0</v>
      </c>
      <c r="AT297" s="171">
        <f t="shared" si="432"/>
        <v>0</v>
      </c>
      <c r="AU297" s="171">
        <f t="shared" si="433"/>
        <v>0</v>
      </c>
      <c r="AV297" s="171">
        <f t="shared" si="433"/>
        <v>0</v>
      </c>
      <c r="AW297" s="171">
        <f t="shared" si="433"/>
        <v>0</v>
      </c>
      <c r="AX297" s="171">
        <f t="shared" si="433"/>
        <v>0</v>
      </c>
      <c r="AY297" s="171">
        <f t="shared" si="433"/>
        <v>0</v>
      </c>
      <c r="AZ297" s="171">
        <f t="shared" si="433"/>
        <v>0</v>
      </c>
      <c r="BA297" s="171">
        <f t="shared" si="433"/>
        <v>0</v>
      </c>
      <c r="BB297" s="171">
        <f t="shared" si="433"/>
        <v>0</v>
      </c>
      <c r="BC297" s="171">
        <f t="shared" si="433"/>
        <v>0</v>
      </c>
      <c r="BD297" s="171">
        <f t="shared" si="433"/>
        <v>0</v>
      </c>
      <c r="BE297" s="171">
        <f t="shared" si="434"/>
        <v>0</v>
      </c>
      <c r="BF297" s="171">
        <f t="shared" si="434"/>
        <v>0</v>
      </c>
      <c r="BG297" s="171">
        <f t="shared" si="434"/>
        <v>0</v>
      </c>
      <c r="BH297" s="171">
        <f t="shared" si="434"/>
        <v>0</v>
      </c>
      <c r="BI297" s="171">
        <f t="shared" si="434"/>
        <v>0</v>
      </c>
      <c r="BJ297" s="171">
        <f t="shared" si="434"/>
        <v>0</v>
      </c>
      <c r="BK297" s="171">
        <f t="shared" si="434"/>
        <v>0</v>
      </c>
      <c r="BL297" s="171">
        <f t="shared" si="434"/>
        <v>0</v>
      </c>
      <c r="BM297" s="171">
        <f t="shared" si="434"/>
        <v>0</v>
      </c>
      <c r="BN297" s="171">
        <f t="shared" si="434"/>
        <v>0</v>
      </c>
      <c r="BO297" s="171">
        <f t="shared" si="435"/>
        <v>0</v>
      </c>
      <c r="BP297" s="171">
        <f t="shared" si="435"/>
        <v>0</v>
      </c>
      <c r="BQ297" s="171">
        <f t="shared" si="435"/>
        <v>0</v>
      </c>
      <c r="BR297" s="171">
        <f t="shared" si="435"/>
        <v>0</v>
      </c>
      <c r="BS297" s="171">
        <f t="shared" si="435"/>
        <v>0</v>
      </c>
      <c r="BT297" s="171">
        <f t="shared" si="435"/>
        <v>0</v>
      </c>
      <c r="BU297" s="171">
        <f t="shared" si="435"/>
        <v>0</v>
      </c>
      <c r="BV297" s="171">
        <f t="shared" si="435"/>
        <v>0</v>
      </c>
      <c r="BW297" s="171">
        <f t="shared" si="435"/>
        <v>0</v>
      </c>
      <c r="BX297" s="171">
        <f t="shared" si="435"/>
        <v>0</v>
      </c>
      <c r="BY297" s="171">
        <f t="shared" si="436"/>
        <v>0</v>
      </c>
      <c r="BZ297" s="171">
        <f t="shared" si="436"/>
        <v>0</v>
      </c>
      <c r="CA297" s="171">
        <f t="shared" si="436"/>
        <v>0</v>
      </c>
      <c r="CB297" s="171">
        <f t="shared" si="436"/>
        <v>0</v>
      </c>
      <c r="CC297" s="171">
        <f t="shared" si="436"/>
        <v>0</v>
      </c>
      <c r="CD297" s="171">
        <f t="shared" si="436"/>
        <v>0</v>
      </c>
      <c r="CE297" s="171">
        <f t="shared" si="436"/>
        <v>0</v>
      </c>
      <c r="CF297" s="171">
        <f t="shared" si="436"/>
        <v>0</v>
      </c>
      <c r="CG297" s="171">
        <f t="shared" si="436"/>
        <v>0</v>
      </c>
      <c r="CH297" s="171">
        <f t="shared" si="436"/>
        <v>0</v>
      </c>
      <c r="CI297" s="171">
        <f t="shared" si="436"/>
        <v>0</v>
      </c>
      <c r="CJ297" s="243"/>
      <c r="CK297" s="171">
        <f t="shared" si="346"/>
        <v>0</v>
      </c>
      <c r="CL297" s="171">
        <f t="shared" si="347"/>
        <v>0</v>
      </c>
      <c r="CM297" s="171">
        <f t="shared" si="348"/>
        <v>0</v>
      </c>
      <c r="CN297" s="171">
        <f t="shared" si="349"/>
        <v>0</v>
      </c>
      <c r="CO297" s="171">
        <f t="shared" si="350"/>
        <v>0</v>
      </c>
      <c r="CP297" s="171">
        <f t="shared" si="351"/>
        <v>0</v>
      </c>
      <c r="CQ297" s="171">
        <f t="shared" si="352"/>
        <v>0</v>
      </c>
      <c r="CR297" s="171">
        <f t="shared" si="353"/>
        <v>0</v>
      </c>
      <c r="CS297" s="171">
        <f t="shared" si="354"/>
        <v>0</v>
      </c>
      <c r="CT297" s="171">
        <f t="shared" si="355"/>
        <v>0</v>
      </c>
      <c r="CU297" s="171">
        <f t="shared" si="356"/>
        <v>0</v>
      </c>
      <c r="CV297" s="171">
        <f t="shared" si="357"/>
        <v>0</v>
      </c>
      <c r="CW297" s="171">
        <f t="shared" si="358"/>
        <v>0</v>
      </c>
      <c r="CX297" s="171">
        <f t="shared" si="359"/>
        <v>0</v>
      </c>
      <c r="CY297" s="171">
        <f t="shared" ca="1" si="360"/>
        <v>0</v>
      </c>
      <c r="CZ297" s="171">
        <f t="shared" ca="1" si="361"/>
        <v>0</v>
      </c>
      <c r="DA297" s="171">
        <f t="shared" ca="1" si="362"/>
        <v>0</v>
      </c>
      <c r="DB297" s="171">
        <f t="shared" ca="1" si="363"/>
        <v>0</v>
      </c>
      <c r="DC297" s="171">
        <f t="shared" ca="1" si="364"/>
        <v>0</v>
      </c>
      <c r="DD297" s="171">
        <f t="shared" ca="1" si="365"/>
        <v>0</v>
      </c>
      <c r="DE297" s="171">
        <f t="shared" ca="1" si="366"/>
        <v>0</v>
      </c>
      <c r="DF297" s="171">
        <f t="shared" ca="1" si="367"/>
        <v>0</v>
      </c>
      <c r="DG297" s="171">
        <f t="shared" ca="1" si="368"/>
        <v>0</v>
      </c>
      <c r="DH297" s="171">
        <f t="shared" ca="1" si="369"/>
        <v>0</v>
      </c>
      <c r="DI297" s="171">
        <f t="shared" ca="1" si="370"/>
        <v>0</v>
      </c>
      <c r="DJ297" s="171">
        <f t="shared" ca="1" si="371"/>
        <v>0</v>
      </c>
      <c r="DK297" s="171">
        <f t="shared" ca="1" si="372"/>
        <v>0</v>
      </c>
      <c r="DL297" s="171">
        <f t="shared" ca="1" si="373"/>
        <v>0</v>
      </c>
      <c r="DM297" s="171">
        <f t="shared" ca="1" si="374"/>
        <v>0</v>
      </c>
      <c r="DN297" s="171">
        <f t="shared" ca="1" si="375"/>
        <v>0</v>
      </c>
      <c r="DO297" s="171">
        <f t="shared" ca="1" si="376"/>
        <v>0</v>
      </c>
      <c r="DP297" s="171">
        <f t="shared" ca="1" si="377"/>
        <v>0</v>
      </c>
      <c r="DQ297" s="171">
        <f t="shared" ca="1" si="378"/>
        <v>0</v>
      </c>
      <c r="DR297" s="171">
        <f t="shared" ca="1" si="379"/>
        <v>0</v>
      </c>
      <c r="DS297" s="171">
        <f t="shared" ca="1" si="380"/>
        <v>0</v>
      </c>
      <c r="DT297" s="171">
        <f t="shared" ca="1" si="381"/>
        <v>0</v>
      </c>
      <c r="DU297" s="171">
        <f t="shared" ca="1" si="382"/>
        <v>0</v>
      </c>
      <c r="DV297" s="171">
        <f t="shared" ca="1" si="383"/>
        <v>0</v>
      </c>
      <c r="DW297" s="171">
        <f t="shared" ca="1" si="384"/>
        <v>0</v>
      </c>
      <c r="DX297" s="171">
        <f t="shared" ca="1" si="385"/>
        <v>0</v>
      </c>
      <c r="DY297" s="171">
        <f t="shared" ca="1" si="386"/>
        <v>0</v>
      </c>
      <c r="DZ297" s="171">
        <f t="shared" ca="1" si="387"/>
        <v>0</v>
      </c>
      <c r="EA297" s="171">
        <f t="shared" ca="1" si="388"/>
        <v>0</v>
      </c>
      <c r="EB297" s="171">
        <f t="shared" ca="1" si="389"/>
        <v>0</v>
      </c>
      <c r="EC297" s="171">
        <f t="shared" ca="1" si="390"/>
        <v>0</v>
      </c>
      <c r="ED297" s="171">
        <f t="shared" ca="1" si="391"/>
        <v>0</v>
      </c>
      <c r="EE297" s="171">
        <f t="shared" ca="1" si="392"/>
        <v>0</v>
      </c>
      <c r="EF297" s="171">
        <f t="shared" ca="1" si="393"/>
        <v>0</v>
      </c>
      <c r="EG297" s="171">
        <f t="shared" ca="1" si="394"/>
        <v>0</v>
      </c>
      <c r="EH297" s="171">
        <f t="shared" ca="1" si="395"/>
        <v>0</v>
      </c>
      <c r="EI297" s="171">
        <f t="shared" ca="1" si="396"/>
        <v>0</v>
      </c>
      <c r="EJ297" s="171">
        <f t="shared" ca="1" si="397"/>
        <v>0</v>
      </c>
      <c r="EK297" s="171">
        <f t="shared" ca="1" si="398"/>
        <v>0</v>
      </c>
      <c r="EL297" s="171">
        <f t="shared" ca="1" si="399"/>
        <v>0</v>
      </c>
      <c r="EM297" s="171">
        <f t="shared" ca="1" si="400"/>
        <v>0</v>
      </c>
      <c r="EN297" s="171">
        <f t="shared" ca="1" si="401"/>
        <v>0</v>
      </c>
      <c r="EO297" s="171">
        <f t="shared" ca="1" si="402"/>
        <v>0</v>
      </c>
      <c r="EP297" s="171">
        <f t="shared" ca="1" si="403"/>
        <v>0</v>
      </c>
      <c r="EQ297" s="171">
        <f t="shared" ca="1" si="404"/>
        <v>0</v>
      </c>
      <c r="ER297" s="171">
        <f t="shared" ca="1" si="405"/>
        <v>0</v>
      </c>
      <c r="ES297" s="171">
        <f t="shared" ca="1" si="406"/>
        <v>0</v>
      </c>
    </row>
    <row r="298" spans="3:149">
      <c r="C298" s="214"/>
      <c r="H298" s="216"/>
      <c r="I298" s="217"/>
      <c r="L298" s="163"/>
      <c r="M298" s="164" t="str">
        <f t="shared" si="337"/>
        <v/>
      </c>
      <c r="N298" s="164" t="str">
        <f t="shared" si="338"/>
        <v/>
      </c>
      <c r="O298" s="165" t="str">
        <f t="shared" si="339"/>
        <v/>
      </c>
      <c r="R298" s="168"/>
      <c r="U298" s="171">
        <f t="shared" si="340"/>
        <v>0</v>
      </c>
      <c r="V298" s="171">
        <f t="shared" ca="1" si="341"/>
        <v>0</v>
      </c>
      <c r="W298" s="171">
        <f t="shared" ca="1" si="342"/>
        <v>0</v>
      </c>
      <c r="X298" s="172">
        <f t="shared" si="343"/>
        <v>0</v>
      </c>
      <c r="Y298" s="172" t="str">
        <f t="shared" si="344"/>
        <v/>
      </c>
      <c r="Z298" s="173">
        <f t="shared" si="345"/>
        <v>0</v>
      </c>
      <c r="AA298" s="171">
        <f t="shared" si="431"/>
        <v>0</v>
      </c>
      <c r="AB298" s="171">
        <f t="shared" si="431"/>
        <v>0</v>
      </c>
      <c r="AC298" s="171">
        <f t="shared" si="431"/>
        <v>0</v>
      </c>
      <c r="AD298" s="171">
        <f t="shared" si="431"/>
        <v>0</v>
      </c>
      <c r="AE298" s="171">
        <f t="shared" si="431"/>
        <v>0</v>
      </c>
      <c r="AF298" s="171">
        <f t="shared" si="431"/>
        <v>0</v>
      </c>
      <c r="AG298" s="171">
        <f t="shared" si="431"/>
        <v>0</v>
      </c>
      <c r="AH298" s="171">
        <f t="shared" si="431"/>
        <v>0</v>
      </c>
      <c r="AI298" s="171">
        <f t="shared" si="431"/>
        <v>0</v>
      </c>
      <c r="AJ298" s="171">
        <f t="shared" si="431"/>
        <v>0</v>
      </c>
      <c r="AK298" s="171">
        <f t="shared" si="432"/>
        <v>0</v>
      </c>
      <c r="AL298" s="171">
        <f t="shared" si="432"/>
        <v>0</v>
      </c>
      <c r="AM298" s="171">
        <f t="shared" si="432"/>
        <v>0</v>
      </c>
      <c r="AN298" s="171">
        <f t="shared" si="432"/>
        <v>0</v>
      </c>
      <c r="AO298" s="171">
        <f t="shared" si="432"/>
        <v>0</v>
      </c>
      <c r="AP298" s="171">
        <f t="shared" si="432"/>
        <v>0</v>
      </c>
      <c r="AQ298" s="171">
        <f t="shared" si="432"/>
        <v>0</v>
      </c>
      <c r="AR298" s="171">
        <f t="shared" si="432"/>
        <v>0</v>
      </c>
      <c r="AS298" s="171">
        <f t="shared" si="432"/>
        <v>0</v>
      </c>
      <c r="AT298" s="171">
        <f t="shared" si="432"/>
        <v>0</v>
      </c>
      <c r="AU298" s="171">
        <f t="shared" si="433"/>
        <v>0</v>
      </c>
      <c r="AV298" s="171">
        <f t="shared" si="433"/>
        <v>0</v>
      </c>
      <c r="AW298" s="171">
        <f t="shared" si="433"/>
        <v>0</v>
      </c>
      <c r="AX298" s="171">
        <f t="shared" si="433"/>
        <v>0</v>
      </c>
      <c r="AY298" s="171">
        <f t="shared" si="433"/>
        <v>0</v>
      </c>
      <c r="AZ298" s="171">
        <f t="shared" si="433"/>
        <v>0</v>
      </c>
      <c r="BA298" s="171">
        <f t="shared" si="433"/>
        <v>0</v>
      </c>
      <c r="BB298" s="171">
        <f t="shared" si="433"/>
        <v>0</v>
      </c>
      <c r="BC298" s="171">
        <f t="shared" si="433"/>
        <v>0</v>
      </c>
      <c r="BD298" s="171">
        <f t="shared" si="433"/>
        <v>0</v>
      </c>
      <c r="BE298" s="171">
        <f t="shared" si="434"/>
        <v>0</v>
      </c>
      <c r="BF298" s="171">
        <f t="shared" si="434"/>
        <v>0</v>
      </c>
      <c r="BG298" s="171">
        <f t="shared" si="434"/>
        <v>0</v>
      </c>
      <c r="BH298" s="171">
        <f t="shared" si="434"/>
        <v>0</v>
      </c>
      <c r="BI298" s="171">
        <f t="shared" si="434"/>
        <v>0</v>
      </c>
      <c r="BJ298" s="171">
        <f t="shared" si="434"/>
        <v>0</v>
      </c>
      <c r="BK298" s="171">
        <f t="shared" si="434"/>
        <v>0</v>
      </c>
      <c r="BL298" s="171">
        <f t="shared" si="434"/>
        <v>0</v>
      </c>
      <c r="BM298" s="171">
        <f t="shared" si="434"/>
        <v>0</v>
      </c>
      <c r="BN298" s="171">
        <f t="shared" si="434"/>
        <v>0</v>
      </c>
      <c r="BO298" s="171">
        <f t="shared" si="435"/>
        <v>0</v>
      </c>
      <c r="BP298" s="171">
        <f t="shared" si="435"/>
        <v>0</v>
      </c>
      <c r="BQ298" s="171">
        <f t="shared" si="435"/>
        <v>0</v>
      </c>
      <c r="BR298" s="171">
        <f t="shared" si="435"/>
        <v>0</v>
      </c>
      <c r="BS298" s="171">
        <f t="shared" si="435"/>
        <v>0</v>
      </c>
      <c r="BT298" s="171">
        <f t="shared" si="435"/>
        <v>0</v>
      </c>
      <c r="BU298" s="171">
        <f t="shared" si="435"/>
        <v>0</v>
      </c>
      <c r="BV298" s="171">
        <f t="shared" si="435"/>
        <v>0</v>
      </c>
      <c r="BW298" s="171">
        <f t="shared" si="435"/>
        <v>0</v>
      </c>
      <c r="BX298" s="171">
        <f t="shared" si="435"/>
        <v>0</v>
      </c>
      <c r="BY298" s="171">
        <f t="shared" si="436"/>
        <v>0</v>
      </c>
      <c r="BZ298" s="171">
        <f t="shared" si="436"/>
        <v>0</v>
      </c>
      <c r="CA298" s="171">
        <f t="shared" si="436"/>
        <v>0</v>
      </c>
      <c r="CB298" s="171">
        <f t="shared" si="436"/>
        <v>0</v>
      </c>
      <c r="CC298" s="171">
        <f t="shared" si="436"/>
        <v>0</v>
      </c>
      <c r="CD298" s="171">
        <f t="shared" si="436"/>
        <v>0</v>
      </c>
      <c r="CE298" s="171">
        <f t="shared" si="436"/>
        <v>0</v>
      </c>
      <c r="CF298" s="171">
        <f t="shared" si="436"/>
        <v>0</v>
      </c>
      <c r="CG298" s="171">
        <f t="shared" si="436"/>
        <v>0</v>
      </c>
      <c r="CH298" s="171">
        <f t="shared" si="436"/>
        <v>0</v>
      </c>
      <c r="CI298" s="171">
        <f t="shared" si="436"/>
        <v>0</v>
      </c>
      <c r="CJ298" s="243"/>
      <c r="CK298" s="171">
        <f t="shared" si="346"/>
        <v>0</v>
      </c>
      <c r="CL298" s="171">
        <f t="shared" si="347"/>
        <v>0</v>
      </c>
      <c r="CM298" s="171">
        <f t="shared" si="348"/>
        <v>0</v>
      </c>
      <c r="CN298" s="171">
        <f t="shared" si="349"/>
        <v>0</v>
      </c>
      <c r="CO298" s="171">
        <f t="shared" si="350"/>
        <v>0</v>
      </c>
      <c r="CP298" s="171">
        <f t="shared" si="351"/>
        <v>0</v>
      </c>
      <c r="CQ298" s="171">
        <f t="shared" si="352"/>
        <v>0</v>
      </c>
      <c r="CR298" s="171">
        <f t="shared" si="353"/>
        <v>0</v>
      </c>
      <c r="CS298" s="171">
        <f t="shared" si="354"/>
        <v>0</v>
      </c>
      <c r="CT298" s="171">
        <f t="shared" si="355"/>
        <v>0</v>
      </c>
      <c r="CU298" s="171">
        <f t="shared" si="356"/>
        <v>0</v>
      </c>
      <c r="CV298" s="171">
        <f t="shared" si="357"/>
        <v>0</v>
      </c>
      <c r="CW298" s="171">
        <f t="shared" si="358"/>
        <v>0</v>
      </c>
      <c r="CX298" s="171">
        <f t="shared" si="359"/>
        <v>0</v>
      </c>
      <c r="CY298" s="171">
        <f t="shared" ca="1" si="360"/>
        <v>0</v>
      </c>
      <c r="CZ298" s="171">
        <f t="shared" ca="1" si="361"/>
        <v>0</v>
      </c>
      <c r="DA298" s="171">
        <f t="shared" ca="1" si="362"/>
        <v>0</v>
      </c>
      <c r="DB298" s="171">
        <f t="shared" ca="1" si="363"/>
        <v>0</v>
      </c>
      <c r="DC298" s="171">
        <f t="shared" ca="1" si="364"/>
        <v>0</v>
      </c>
      <c r="DD298" s="171">
        <f t="shared" ca="1" si="365"/>
        <v>0</v>
      </c>
      <c r="DE298" s="171">
        <f t="shared" ca="1" si="366"/>
        <v>0</v>
      </c>
      <c r="DF298" s="171">
        <f t="shared" ca="1" si="367"/>
        <v>0</v>
      </c>
      <c r="DG298" s="171">
        <f t="shared" ca="1" si="368"/>
        <v>0</v>
      </c>
      <c r="DH298" s="171">
        <f t="shared" ca="1" si="369"/>
        <v>0</v>
      </c>
      <c r="DI298" s="171">
        <f t="shared" ca="1" si="370"/>
        <v>0</v>
      </c>
      <c r="DJ298" s="171">
        <f t="shared" ca="1" si="371"/>
        <v>0</v>
      </c>
      <c r="DK298" s="171">
        <f t="shared" ca="1" si="372"/>
        <v>0</v>
      </c>
      <c r="DL298" s="171">
        <f t="shared" ca="1" si="373"/>
        <v>0</v>
      </c>
      <c r="DM298" s="171">
        <f t="shared" ca="1" si="374"/>
        <v>0</v>
      </c>
      <c r="DN298" s="171">
        <f t="shared" ca="1" si="375"/>
        <v>0</v>
      </c>
      <c r="DO298" s="171">
        <f t="shared" ca="1" si="376"/>
        <v>0</v>
      </c>
      <c r="DP298" s="171">
        <f t="shared" ca="1" si="377"/>
        <v>0</v>
      </c>
      <c r="DQ298" s="171">
        <f t="shared" ca="1" si="378"/>
        <v>0</v>
      </c>
      <c r="DR298" s="171">
        <f t="shared" ca="1" si="379"/>
        <v>0</v>
      </c>
      <c r="DS298" s="171">
        <f t="shared" ca="1" si="380"/>
        <v>0</v>
      </c>
      <c r="DT298" s="171">
        <f t="shared" ca="1" si="381"/>
        <v>0</v>
      </c>
      <c r="DU298" s="171">
        <f t="shared" ca="1" si="382"/>
        <v>0</v>
      </c>
      <c r="DV298" s="171">
        <f t="shared" ca="1" si="383"/>
        <v>0</v>
      </c>
      <c r="DW298" s="171">
        <f t="shared" ca="1" si="384"/>
        <v>0</v>
      </c>
      <c r="DX298" s="171">
        <f t="shared" ca="1" si="385"/>
        <v>0</v>
      </c>
      <c r="DY298" s="171">
        <f t="shared" ca="1" si="386"/>
        <v>0</v>
      </c>
      <c r="DZ298" s="171">
        <f t="shared" ca="1" si="387"/>
        <v>0</v>
      </c>
      <c r="EA298" s="171">
        <f t="shared" ca="1" si="388"/>
        <v>0</v>
      </c>
      <c r="EB298" s="171">
        <f t="shared" ca="1" si="389"/>
        <v>0</v>
      </c>
      <c r="EC298" s="171">
        <f t="shared" ca="1" si="390"/>
        <v>0</v>
      </c>
      <c r="ED298" s="171">
        <f t="shared" ca="1" si="391"/>
        <v>0</v>
      </c>
      <c r="EE298" s="171">
        <f t="shared" ca="1" si="392"/>
        <v>0</v>
      </c>
      <c r="EF298" s="171">
        <f t="shared" ca="1" si="393"/>
        <v>0</v>
      </c>
      <c r="EG298" s="171">
        <f t="shared" ca="1" si="394"/>
        <v>0</v>
      </c>
      <c r="EH298" s="171">
        <f t="shared" ca="1" si="395"/>
        <v>0</v>
      </c>
      <c r="EI298" s="171">
        <f t="shared" ca="1" si="396"/>
        <v>0</v>
      </c>
      <c r="EJ298" s="171">
        <f t="shared" ca="1" si="397"/>
        <v>0</v>
      </c>
      <c r="EK298" s="171">
        <f t="shared" ca="1" si="398"/>
        <v>0</v>
      </c>
      <c r="EL298" s="171">
        <f t="shared" ca="1" si="399"/>
        <v>0</v>
      </c>
      <c r="EM298" s="171">
        <f t="shared" ca="1" si="400"/>
        <v>0</v>
      </c>
      <c r="EN298" s="171">
        <f t="shared" ca="1" si="401"/>
        <v>0</v>
      </c>
      <c r="EO298" s="171">
        <f t="shared" ca="1" si="402"/>
        <v>0</v>
      </c>
      <c r="EP298" s="171">
        <f t="shared" ca="1" si="403"/>
        <v>0</v>
      </c>
      <c r="EQ298" s="171">
        <f t="shared" ca="1" si="404"/>
        <v>0</v>
      </c>
      <c r="ER298" s="171">
        <f t="shared" ca="1" si="405"/>
        <v>0</v>
      </c>
      <c r="ES298" s="171">
        <f t="shared" ca="1" si="406"/>
        <v>0</v>
      </c>
    </row>
    <row r="299" spans="3:149">
      <c r="C299" s="214"/>
      <c r="H299" s="216"/>
      <c r="I299" s="217"/>
      <c r="L299" s="163"/>
      <c r="M299" s="164" t="str">
        <f t="shared" si="337"/>
        <v/>
      </c>
      <c r="N299" s="164" t="str">
        <f t="shared" si="338"/>
        <v/>
      </c>
      <c r="O299" s="165" t="str">
        <f t="shared" si="339"/>
        <v/>
      </c>
      <c r="R299" s="168"/>
      <c r="U299" s="171">
        <f t="shared" si="340"/>
        <v>0</v>
      </c>
      <c r="V299" s="171">
        <f t="shared" ca="1" si="341"/>
        <v>0</v>
      </c>
      <c r="W299" s="171">
        <f t="shared" ca="1" si="342"/>
        <v>0</v>
      </c>
      <c r="X299" s="172">
        <f t="shared" si="343"/>
        <v>0</v>
      </c>
      <c r="Y299" s="172" t="str">
        <f t="shared" si="344"/>
        <v/>
      </c>
      <c r="Z299" s="173">
        <f t="shared" si="345"/>
        <v>0</v>
      </c>
      <c r="AA299" s="171">
        <f t="shared" ref="AA299:AJ308" si="437">IFERROR(
    IF($T299="Equity",
        IF(AND(AA$48&gt;=$E299, AA$48&lt;=($E299+$Q299)),
$K299*$P299*(VLOOKUP($C$39,$C$37:$BL$44,MATCH($E299,$C$37:$BL$37,0),FALSE)/VLOOKUP($L299,$C$37:$BL$44,MATCH($E299,$C$37:$BL$37,0),FALSE))*
IF($B$5="Foreign Currency",VLOOKUP($C$38,$C$37:$BL$44,MATCH(AA$48,$C$37:$BL$37,0),FALSE)/VLOOKUP($C$39,$C$37:$BL$44,MATCH(AA$48,$C$37:$BL$37,0),FALSE),1),
0),
    IF($T299="Lump Sum Principal",
        IF(AND(AA$48&gt;=$E299, AA$48&lt;($E299+$Q299)),
$K299*$P299*(VLOOKUP($C$39,$C$37:$BL$44,MATCH($E299,$C$37:$BL$37,0),FALSE)/VLOOKUP($L299,$C$37:$BL$44,MATCH($E299,$C$37:$BL$37,0),FALSE))*
IF($B$5="Foreign Currency",VLOOKUP($C$38,$C$37:$BL$44,MATCH(AA$48,$C$37:$BL$37,0),FALSE)/VLOOKUP($C$39,$C$37:$BL$44,MATCH(AA$48,$C$37:$BL$37,0),FALSE),1),
        IF(AA$48=($E299+$Q299),
$K299*(1+$P299)*(VLOOKUP($C$39,$C$37:$BL$44,MATCH($E299,$C$37:$BL$37,0),FALSE)/VLOOKUP($L299,$C$37:$BL$44,MATCH($E299,$C$37:$BL$37,0),FALSE))*
IF($B$5="Foreign Currency",VLOOKUP($C$38,$C$37:$BL$44,MATCH(AA$48,$C$37:$BL$37,0),FALSE)/VLOOKUP($C$39,$C$37:$BL$44,MATCH(AA$48,$C$37:$BL$37,0),FALSE),1),
0)),
    IF($T299="Lump Sum Principal and Interest",
        IF(AA$48=($E299+$Q299),
$K299*((1+$P299)^$Q299)*(VLOOKUP($C$39,$C$37:$BL$44,MATCH($E299,$C$37:$BL$37,0),FALSE)/VLOOKUP($L299,$C$37:$BL$44,MATCH($E299,$C$37:$BL$37,0),FALSE))*
IF($B$5="Foreign Currency",VLOOKUP($C$38,$C$37:$BL$44,MATCH(AA$48,$C$37:$BL$37,0),FALSE)/VLOOKUP($C$39,$C$37:$BL$44,MATCH(AA$48,$C$37:$BL$37,0),FALSE),1),
0),
    IF($T299="EPP with Grace Years for Principal",
        IF(AND(AA$48&gt;=$E299, AA$48&lt;($E299+$S299)),
$K299*$P299*(VLOOKUP($C$39,$C$37:$BL$44,MATCH($E299,$C$37:$BL$37,0),FALSE)/VLOOKUP($L299,$C$37:$BL$44,MATCH($E299,$C$37:$BL$37,0),FALSE))*
IF($B$5="Foreign Currency",VLOOKUP($C$38,$C$37:$BL$44,MATCH(AA$48,$C$37:$BL$37,0),FALSE)/VLOOKUP($C$39,$C$37:$BL$44,MATCH(AA$48,$C$37:$BL$37,0),FALSE),1),
        IF(AND(AA$48&gt;=($E299+$S299), AA$48&lt;=($E299+$Q299)),
-PMT($P299,($Q299-$S299+1),($K299*(VLOOKUP($C$39,$C$37:$BL$44,MATCH($E299,$C$37:$BL$37,0),FALSE)/VLOOKUP($L299,$C$37:$BL$44,MATCH($E299,$C$37:$BL$37,0),FALSE))*
IF($B$5="Foreign Currency",VLOOKUP($C$38,$C$37:$BL$44,MATCH(AA$48,$C$37:$BL$37,0),FALSE)/VLOOKUP($C$39,$C$37:$BL$44,MATCH(AA$48,$C$37:$BL$37,0),FALSE),1)),0),
0)),
    IF($T299="Equal Principal Payments (EPP)",
        IF(AND(AA$48&gt;=$E299, AA$48&lt;=($E299+$Q299)),
-PMT($P299,($Q299-$S299+1),($K299*(VLOOKUP($C$39,$C$37:$BL$44,MATCH($E299,$C$37:$BL$37,0),FALSE)/VLOOKUP($L299,$C$37:$BL$44,MATCH($E299,$C$37:$BL$37,0),FALSE))*
IF($B$5="Foreign Currency",VLOOKUP($C$38,$C$37:$BL$44,MATCH(AA$48,$C$37:$BL$37,0),FALSE)/VLOOKUP($C$39,$C$37:$BL$44,MATCH(AA$48,$C$37:$BL$37,0),FALSE),1)),0), 0),
    IF($T299="EPP with Grace Years for Principal and on Interest",
        IF(AND(AA$48&gt;=($E299+$S299), AA$48&lt;=($E299+$Q299)),
-PMT($P299,($Q299-$S299+1),($K299*(VLOOKUP($C$39,$C$37:$BL$44,MATCH($E299,$C$37:$BL$37,0),FALSE)/VLOOKUP($L299,$C$37:$BL$44,MATCH($E299,$C$37:$BL$37,0),FALSE))*
IF($B$5="Foreign Currency",VLOOKUP($C$38,$C$37:$BL$44,MATCH(AA$48,$C$37:$BL$37,0),FALSE)/VLOOKUP($C$39,$C$37:$BL$44,MATCH(AA$48,$C$37:$BL$37,0),FALSE),1))*((1+$P299)^$S299),0), 0),
    0)))))),"")</f>
        <v>0</v>
      </c>
      <c r="AB299" s="171">
        <f t="shared" si="437"/>
        <v>0</v>
      </c>
      <c r="AC299" s="171">
        <f t="shared" si="437"/>
        <v>0</v>
      </c>
      <c r="AD299" s="171">
        <f t="shared" si="437"/>
        <v>0</v>
      </c>
      <c r="AE299" s="171">
        <f t="shared" si="437"/>
        <v>0</v>
      </c>
      <c r="AF299" s="171">
        <f t="shared" si="437"/>
        <v>0</v>
      </c>
      <c r="AG299" s="171">
        <f t="shared" si="437"/>
        <v>0</v>
      </c>
      <c r="AH299" s="171">
        <f t="shared" si="437"/>
        <v>0</v>
      </c>
      <c r="AI299" s="171">
        <f t="shared" si="437"/>
        <v>0</v>
      </c>
      <c r="AJ299" s="171">
        <f t="shared" si="437"/>
        <v>0</v>
      </c>
      <c r="AK299" s="171">
        <f t="shared" ref="AK299:AT308" si="438">IFERROR(
    IF($T299="Equity",
        IF(AND(AK$48&gt;=$E299, AK$48&lt;=($E299+$Q299)),
$K299*$P299*(VLOOKUP($C$39,$C$37:$BL$44,MATCH($E299,$C$37:$BL$37,0),FALSE)/VLOOKUP($L299,$C$37:$BL$44,MATCH($E299,$C$37:$BL$37,0),FALSE))*
IF($B$5="Foreign Currency",VLOOKUP($C$38,$C$37:$BL$44,MATCH(AK$48,$C$37:$BL$37,0),FALSE)/VLOOKUP($C$39,$C$37:$BL$44,MATCH(AK$48,$C$37:$BL$37,0),FALSE),1),
0),
    IF($T299="Lump Sum Principal",
        IF(AND(AK$48&gt;=$E299, AK$48&lt;($E299+$Q299)),
$K299*$P299*(VLOOKUP($C$39,$C$37:$BL$44,MATCH($E299,$C$37:$BL$37,0),FALSE)/VLOOKUP($L299,$C$37:$BL$44,MATCH($E299,$C$37:$BL$37,0),FALSE))*
IF($B$5="Foreign Currency",VLOOKUP($C$38,$C$37:$BL$44,MATCH(AK$48,$C$37:$BL$37,0),FALSE)/VLOOKUP($C$39,$C$37:$BL$44,MATCH(AK$48,$C$37:$BL$37,0),FALSE),1),
        IF(AK$48=($E299+$Q299),
$K299*(1+$P299)*(VLOOKUP($C$39,$C$37:$BL$44,MATCH($E299,$C$37:$BL$37,0),FALSE)/VLOOKUP($L299,$C$37:$BL$44,MATCH($E299,$C$37:$BL$37,0),FALSE))*
IF($B$5="Foreign Currency",VLOOKUP($C$38,$C$37:$BL$44,MATCH(AK$48,$C$37:$BL$37,0),FALSE)/VLOOKUP($C$39,$C$37:$BL$44,MATCH(AK$48,$C$37:$BL$37,0),FALSE),1),
0)),
    IF($T299="Lump Sum Principal and Interest",
        IF(AK$48=($E299+$Q299),
$K299*((1+$P299)^$Q299)*(VLOOKUP($C$39,$C$37:$BL$44,MATCH($E299,$C$37:$BL$37,0),FALSE)/VLOOKUP($L299,$C$37:$BL$44,MATCH($E299,$C$37:$BL$37,0),FALSE))*
IF($B$5="Foreign Currency",VLOOKUP($C$38,$C$37:$BL$44,MATCH(AK$48,$C$37:$BL$37,0),FALSE)/VLOOKUP($C$39,$C$37:$BL$44,MATCH(AK$48,$C$37:$BL$37,0),FALSE),1),
0),
    IF($T299="EPP with Grace Years for Principal",
        IF(AND(AK$48&gt;=$E299, AK$48&lt;($E299+$S299)),
$K299*$P299*(VLOOKUP($C$39,$C$37:$BL$44,MATCH($E299,$C$37:$BL$37,0),FALSE)/VLOOKUP($L299,$C$37:$BL$44,MATCH($E299,$C$37:$BL$37,0),FALSE))*
IF($B$5="Foreign Currency",VLOOKUP($C$38,$C$37:$BL$44,MATCH(AK$48,$C$37:$BL$37,0),FALSE)/VLOOKUP($C$39,$C$37:$BL$44,MATCH(AK$48,$C$37:$BL$37,0),FALSE),1),
        IF(AND(AK$48&gt;=($E299+$S299), AK$48&lt;=($E299+$Q299)),
-PMT($P299,($Q299-$S299+1),($K299*(VLOOKUP($C$39,$C$37:$BL$44,MATCH($E299,$C$37:$BL$37,0),FALSE)/VLOOKUP($L299,$C$37:$BL$44,MATCH($E299,$C$37:$BL$37,0),FALSE))*
IF($B$5="Foreign Currency",VLOOKUP($C$38,$C$37:$BL$44,MATCH(AK$48,$C$37:$BL$37,0),FALSE)/VLOOKUP($C$39,$C$37:$BL$44,MATCH(AK$48,$C$37:$BL$37,0),FALSE),1)),0),
0)),
    IF($T299="Equal Principal Payments (EPP)",
        IF(AND(AK$48&gt;=$E299, AK$48&lt;=($E299+$Q299)),
-PMT($P299,($Q299-$S299+1),($K299*(VLOOKUP($C$39,$C$37:$BL$44,MATCH($E299,$C$37:$BL$37,0),FALSE)/VLOOKUP($L299,$C$37:$BL$44,MATCH($E299,$C$37:$BL$37,0),FALSE))*
IF($B$5="Foreign Currency",VLOOKUP($C$38,$C$37:$BL$44,MATCH(AK$48,$C$37:$BL$37,0),FALSE)/VLOOKUP($C$39,$C$37:$BL$44,MATCH(AK$48,$C$37:$BL$37,0),FALSE),1)),0), 0),
    IF($T299="EPP with Grace Years for Principal and on Interest",
        IF(AND(AK$48&gt;=($E299+$S299), AK$48&lt;=($E299+$Q299)),
-PMT($P299,($Q299-$S299+1),($K299*(VLOOKUP($C$39,$C$37:$BL$44,MATCH($E299,$C$37:$BL$37,0),FALSE)/VLOOKUP($L299,$C$37:$BL$44,MATCH($E299,$C$37:$BL$37,0),FALSE))*
IF($B$5="Foreign Currency",VLOOKUP($C$38,$C$37:$BL$44,MATCH(AK$48,$C$37:$BL$37,0),FALSE)/VLOOKUP($C$39,$C$37:$BL$44,MATCH(AK$48,$C$37:$BL$37,0),FALSE),1))*((1+$P299)^$S299),0), 0),
    0)))))),"")</f>
        <v>0</v>
      </c>
      <c r="AL299" s="171">
        <f t="shared" si="438"/>
        <v>0</v>
      </c>
      <c r="AM299" s="171">
        <f t="shared" si="438"/>
        <v>0</v>
      </c>
      <c r="AN299" s="171">
        <f t="shared" si="438"/>
        <v>0</v>
      </c>
      <c r="AO299" s="171">
        <f t="shared" si="438"/>
        <v>0</v>
      </c>
      <c r="AP299" s="171">
        <f t="shared" si="438"/>
        <v>0</v>
      </c>
      <c r="AQ299" s="171">
        <f t="shared" si="438"/>
        <v>0</v>
      </c>
      <c r="AR299" s="171">
        <f t="shared" si="438"/>
        <v>0</v>
      </c>
      <c r="AS299" s="171">
        <f t="shared" si="438"/>
        <v>0</v>
      </c>
      <c r="AT299" s="171">
        <f t="shared" si="438"/>
        <v>0</v>
      </c>
      <c r="AU299" s="171">
        <f t="shared" ref="AU299:BD308" si="439">IFERROR(
    IF($T299="Equity",
        IF(AND(AU$48&gt;=$E299, AU$48&lt;=($E299+$Q299)),
$K299*$P299*(VLOOKUP($C$39,$C$37:$BL$44,MATCH($E299,$C$37:$BL$37,0),FALSE)/VLOOKUP($L299,$C$37:$BL$44,MATCH($E299,$C$37:$BL$37,0),FALSE))*
IF($B$5="Foreign Currency",VLOOKUP($C$38,$C$37:$BL$44,MATCH(AU$48,$C$37:$BL$37,0),FALSE)/VLOOKUP($C$39,$C$37:$BL$44,MATCH(AU$48,$C$37:$BL$37,0),FALSE),1),
0),
    IF($T299="Lump Sum Principal",
        IF(AND(AU$48&gt;=$E299, AU$48&lt;($E299+$Q299)),
$K299*$P299*(VLOOKUP($C$39,$C$37:$BL$44,MATCH($E299,$C$37:$BL$37,0),FALSE)/VLOOKUP($L299,$C$37:$BL$44,MATCH($E299,$C$37:$BL$37,0),FALSE))*
IF($B$5="Foreign Currency",VLOOKUP($C$38,$C$37:$BL$44,MATCH(AU$48,$C$37:$BL$37,0),FALSE)/VLOOKUP($C$39,$C$37:$BL$44,MATCH(AU$48,$C$37:$BL$37,0),FALSE),1),
        IF(AU$48=($E299+$Q299),
$K299*(1+$P299)*(VLOOKUP($C$39,$C$37:$BL$44,MATCH($E299,$C$37:$BL$37,0),FALSE)/VLOOKUP($L299,$C$37:$BL$44,MATCH($E299,$C$37:$BL$37,0),FALSE))*
IF($B$5="Foreign Currency",VLOOKUP($C$38,$C$37:$BL$44,MATCH(AU$48,$C$37:$BL$37,0),FALSE)/VLOOKUP($C$39,$C$37:$BL$44,MATCH(AU$48,$C$37:$BL$37,0),FALSE),1),
0)),
    IF($T299="Lump Sum Principal and Interest",
        IF(AU$48=($E299+$Q299),
$K299*((1+$P299)^$Q299)*(VLOOKUP($C$39,$C$37:$BL$44,MATCH($E299,$C$37:$BL$37,0),FALSE)/VLOOKUP($L299,$C$37:$BL$44,MATCH($E299,$C$37:$BL$37,0),FALSE))*
IF($B$5="Foreign Currency",VLOOKUP($C$38,$C$37:$BL$44,MATCH(AU$48,$C$37:$BL$37,0),FALSE)/VLOOKUP($C$39,$C$37:$BL$44,MATCH(AU$48,$C$37:$BL$37,0),FALSE),1),
0),
    IF($T299="EPP with Grace Years for Principal",
        IF(AND(AU$48&gt;=$E299, AU$48&lt;($E299+$S299)),
$K299*$P299*(VLOOKUP($C$39,$C$37:$BL$44,MATCH($E299,$C$37:$BL$37,0),FALSE)/VLOOKUP($L299,$C$37:$BL$44,MATCH($E299,$C$37:$BL$37,0),FALSE))*
IF($B$5="Foreign Currency",VLOOKUP($C$38,$C$37:$BL$44,MATCH(AU$48,$C$37:$BL$37,0),FALSE)/VLOOKUP($C$39,$C$37:$BL$44,MATCH(AU$48,$C$37:$BL$37,0),FALSE),1),
        IF(AND(AU$48&gt;=($E299+$S299), AU$48&lt;=($E299+$Q299)),
-PMT($P299,($Q299-$S299+1),($K299*(VLOOKUP($C$39,$C$37:$BL$44,MATCH($E299,$C$37:$BL$37,0),FALSE)/VLOOKUP($L299,$C$37:$BL$44,MATCH($E299,$C$37:$BL$37,0),FALSE))*
IF($B$5="Foreign Currency",VLOOKUP($C$38,$C$37:$BL$44,MATCH(AU$48,$C$37:$BL$37,0),FALSE)/VLOOKUP($C$39,$C$37:$BL$44,MATCH(AU$48,$C$37:$BL$37,0),FALSE),1)),0),
0)),
    IF($T299="Equal Principal Payments (EPP)",
        IF(AND(AU$48&gt;=$E299, AU$48&lt;=($E299+$Q299)),
-PMT($P299,($Q299-$S299+1),($K299*(VLOOKUP($C$39,$C$37:$BL$44,MATCH($E299,$C$37:$BL$37,0),FALSE)/VLOOKUP($L299,$C$37:$BL$44,MATCH($E299,$C$37:$BL$37,0),FALSE))*
IF($B$5="Foreign Currency",VLOOKUP($C$38,$C$37:$BL$44,MATCH(AU$48,$C$37:$BL$37,0),FALSE)/VLOOKUP($C$39,$C$37:$BL$44,MATCH(AU$48,$C$37:$BL$37,0),FALSE),1)),0), 0),
    IF($T299="EPP with Grace Years for Principal and on Interest",
        IF(AND(AU$48&gt;=($E299+$S299), AU$48&lt;=($E299+$Q299)),
-PMT($P299,($Q299-$S299+1),($K299*(VLOOKUP($C$39,$C$37:$BL$44,MATCH($E299,$C$37:$BL$37,0),FALSE)/VLOOKUP($L299,$C$37:$BL$44,MATCH($E299,$C$37:$BL$37,0),FALSE))*
IF($B$5="Foreign Currency",VLOOKUP($C$38,$C$37:$BL$44,MATCH(AU$48,$C$37:$BL$37,0),FALSE)/VLOOKUP($C$39,$C$37:$BL$44,MATCH(AU$48,$C$37:$BL$37,0),FALSE),1))*((1+$P299)^$S299),0), 0),
    0)))))),"")</f>
        <v>0</v>
      </c>
      <c r="AV299" s="171">
        <f t="shared" si="439"/>
        <v>0</v>
      </c>
      <c r="AW299" s="171">
        <f t="shared" si="439"/>
        <v>0</v>
      </c>
      <c r="AX299" s="171">
        <f t="shared" si="439"/>
        <v>0</v>
      </c>
      <c r="AY299" s="171">
        <f t="shared" si="439"/>
        <v>0</v>
      </c>
      <c r="AZ299" s="171">
        <f t="shared" si="439"/>
        <v>0</v>
      </c>
      <c r="BA299" s="171">
        <f t="shared" si="439"/>
        <v>0</v>
      </c>
      <c r="BB299" s="171">
        <f t="shared" si="439"/>
        <v>0</v>
      </c>
      <c r="BC299" s="171">
        <f t="shared" si="439"/>
        <v>0</v>
      </c>
      <c r="BD299" s="171">
        <f t="shared" si="439"/>
        <v>0</v>
      </c>
      <c r="BE299" s="171">
        <f t="shared" ref="BE299:BN308" si="440">IFERROR(
    IF($T299="Equity",
        IF(AND(BE$48&gt;=$E299, BE$48&lt;=($E299+$Q299)),
$K299*$P299*(VLOOKUP($C$39,$C$37:$BL$44,MATCH($E299,$C$37:$BL$37,0),FALSE)/VLOOKUP($L299,$C$37:$BL$44,MATCH($E299,$C$37:$BL$37,0),FALSE))*
IF($B$5="Foreign Currency",VLOOKUP($C$38,$C$37:$BL$44,MATCH(BE$48,$C$37:$BL$37,0),FALSE)/VLOOKUP($C$39,$C$37:$BL$44,MATCH(BE$48,$C$37:$BL$37,0),FALSE),1),
0),
    IF($T299="Lump Sum Principal",
        IF(AND(BE$48&gt;=$E299, BE$48&lt;($E299+$Q299)),
$K299*$P299*(VLOOKUP($C$39,$C$37:$BL$44,MATCH($E299,$C$37:$BL$37,0),FALSE)/VLOOKUP($L299,$C$37:$BL$44,MATCH($E299,$C$37:$BL$37,0),FALSE))*
IF($B$5="Foreign Currency",VLOOKUP($C$38,$C$37:$BL$44,MATCH(BE$48,$C$37:$BL$37,0),FALSE)/VLOOKUP($C$39,$C$37:$BL$44,MATCH(BE$48,$C$37:$BL$37,0),FALSE),1),
        IF(BE$48=($E299+$Q299),
$K299*(1+$P299)*(VLOOKUP($C$39,$C$37:$BL$44,MATCH($E299,$C$37:$BL$37,0),FALSE)/VLOOKUP($L299,$C$37:$BL$44,MATCH($E299,$C$37:$BL$37,0),FALSE))*
IF($B$5="Foreign Currency",VLOOKUP($C$38,$C$37:$BL$44,MATCH(BE$48,$C$37:$BL$37,0),FALSE)/VLOOKUP($C$39,$C$37:$BL$44,MATCH(BE$48,$C$37:$BL$37,0),FALSE),1),
0)),
    IF($T299="Lump Sum Principal and Interest",
        IF(BE$48=($E299+$Q299),
$K299*((1+$P299)^$Q299)*(VLOOKUP($C$39,$C$37:$BL$44,MATCH($E299,$C$37:$BL$37,0),FALSE)/VLOOKUP($L299,$C$37:$BL$44,MATCH($E299,$C$37:$BL$37,0),FALSE))*
IF($B$5="Foreign Currency",VLOOKUP($C$38,$C$37:$BL$44,MATCH(BE$48,$C$37:$BL$37,0),FALSE)/VLOOKUP($C$39,$C$37:$BL$44,MATCH(BE$48,$C$37:$BL$37,0),FALSE),1),
0),
    IF($T299="EPP with Grace Years for Principal",
        IF(AND(BE$48&gt;=$E299, BE$48&lt;($E299+$S299)),
$K299*$P299*(VLOOKUP($C$39,$C$37:$BL$44,MATCH($E299,$C$37:$BL$37,0),FALSE)/VLOOKUP($L299,$C$37:$BL$44,MATCH($E299,$C$37:$BL$37,0),FALSE))*
IF($B$5="Foreign Currency",VLOOKUP($C$38,$C$37:$BL$44,MATCH(BE$48,$C$37:$BL$37,0),FALSE)/VLOOKUP($C$39,$C$37:$BL$44,MATCH(BE$48,$C$37:$BL$37,0),FALSE),1),
        IF(AND(BE$48&gt;=($E299+$S299), BE$48&lt;=($E299+$Q299)),
-PMT($P299,($Q299-$S299+1),($K299*(VLOOKUP($C$39,$C$37:$BL$44,MATCH($E299,$C$37:$BL$37,0),FALSE)/VLOOKUP($L299,$C$37:$BL$44,MATCH($E299,$C$37:$BL$37,0),FALSE))*
IF($B$5="Foreign Currency",VLOOKUP($C$38,$C$37:$BL$44,MATCH(BE$48,$C$37:$BL$37,0),FALSE)/VLOOKUP($C$39,$C$37:$BL$44,MATCH(BE$48,$C$37:$BL$37,0),FALSE),1)),0),
0)),
    IF($T299="Equal Principal Payments (EPP)",
        IF(AND(BE$48&gt;=$E299, BE$48&lt;=($E299+$Q299)),
-PMT($P299,($Q299-$S299+1),($K299*(VLOOKUP($C$39,$C$37:$BL$44,MATCH($E299,$C$37:$BL$37,0),FALSE)/VLOOKUP($L299,$C$37:$BL$44,MATCH($E299,$C$37:$BL$37,0),FALSE))*
IF($B$5="Foreign Currency",VLOOKUP($C$38,$C$37:$BL$44,MATCH(BE$48,$C$37:$BL$37,0),FALSE)/VLOOKUP($C$39,$C$37:$BL$44,MATCH(BE$48,$C$37:$BL$37,0),FALSE),1)),0), 0),
    IF($T299="EPP with Grace Years for Principal and on Interest",
        IF(AND(BE$48&gt;=($E299+$S299), BE$48&lt;=($E299+$Q299)),
-PMT($P299,($Q299-$S299+1),($K299*(VLOOKUP($C$39,$C$37:$BL$44,MATCH($E299,$C$37:$BL$37,0),FALSE)/VLOOKUP($L299,$C$37:$BL$44,MATCH($E299,$C$37:$BL$37,0),FALSE))*
IF($B$5="Foreign Currency",VLOOKUP($C$38,$C$37:$BL$44,MATCH(BE$48,$C$37:$BL$37,0),FALSE)/VLOOKUP($C$39,$C$37:$BL$44,MATCH(BE$48,$C$37:$BL$37,0),FALSE),1))*((1+$P299)^$S299),0), 0),
    0)))))),"")</f>
        <v>0</v>
      </c>
      <c r="BF299" s="171">
        <f t="shared" si="440"/>
        <v>0</v>
      </c>
      <c r="BG299" s="171">
        <f t="shared" si="440"/>
        <v>0</v>
      </c>
      <c r="BH299" s="171">
        <f t="shared" si="440"/>
        <v>0</v>
      </c>
      <c r="BI299" s="171">
        <f t="shared" si="440"/>
        <v>0</v>
      </c>
      <c r="BJ299" s="171">
        <f t="shared" si="440"/>
        <v>0</v>
      </c>
      <c r="BK299" s="171">
        <f t="shared" si="440"/>
        <v>0</v>
      </c>
      <c r="BL299" s="171">
        <f t="shared" si="440"/>
        <v>0</v>
      </c>
      <c r="BM299" s="171">
        <f t="shared" si="440"/>
        <v>0</v>
      </c>
      <c r="BN299" s="171">
        <f t="shared" si="440"/>
        <v>0</v>
      </c>
      <c r="BO299" s="171">
        <f t="shared" ref="BO299:BX308" si="441">IFERROR(
    IF($T299="Equity",
        IF(AND(BO$48&gt;=$E299, BO$48&lt;=($E299+$Q299)),
$K299*$P299*(VLOOKUP($C$39,$C$37:$BL$44,MATCH($E299,$C$37:$BL$37,0),FALSE)/VLOOKUP($L299,$C$37:$BL$44,MATCH($E299,$C$37:$BL$37,0),FALSE))*
IF($B$5="Foreign Currency",VLOOKUP($C$38,$C$37:$BL$44,MATCH(BO$48,$C$37:$BL$37,0),FALSE)/VLOOKUP($C$39,$C$37:$BL$44,MATCH(BO$48,$C$37:$BL$37,0),FALSE),1),
0),
    IF($T299="Lump Sum Principal",
        IF(AND(BO$48&gt;=$E299, BO$48&lt;($E299+$Q299)),
$K299*$P299*(VLOOKUP($C$39,$C$37:$BL$44,MATCH($E299,$C$37:$BL$37,0),FALSE)/VLOOKUP($L299,$C$37:$BL$44,MATCH($E299,$C$37:$BL$37,0),FALSE))*
IF($B$5="Foreign Currency",VLOOKUP($C$38,$C$37:$BL$44,MATCH(BO$48,$C$37:$BL$37,0),FALSE)/VLOOKUP($C$39,$C$37:$BL$44,MATCH(BO$48,$C$37:$BL$37,0),FALSE),1),
        IF(BO$48=($E299+$Q299),
$K299*(1+$P299)*(VLOOKUP($C$39,$C$37:$BL$44,MATCH($E299,$C$37:$BL$37,0),FALSE)/VLOOKUP($L299,$C$37:$BL$44,MATCH($E299,$C$37:$BL$37,0),FALSE))*
IF($B$5="Foreign Currency",VLOOKUP($C$38,$C$37:$BL$44,MATCH(BO$48,$C$37:$BL$37,0),FALSE)/VLOOKUP($C$39,$C$37:$BL$44,MATCH(BO$48,$C$37:$BL$37,0),FALSE),1),
0)),
    IF($T299="Lump Sum Principal and Interest",
        IF(BO$48=($E299+$Q299),
$K299*((1+$P299)^$Q299)*(VLOOKUP($C$39,$C$37:$BL$44,MATCH($E299,$C$37:$BL$37,0),FALSE)/VLOOKUP($L299,$C$37:$BL$44,MATCH($E299,$C$37:$BL$37,0),FALSE))*
IF($B$5="Foreign Currency",VLOOKUP($C$38,$C$37:$BL$44,MATCH(BO$48,$C$37:$BL$37,0),FALSE)/VLOOKUP($C$39,$C$37:$BL$44,MATCH(BO$48,$C$37:$BL$37,0),FALSE),1),
0),
    IF($T299="EPP with Grace Years for Principal",
        IF(AND(BO$48&gt;=$E299, BO$48&lt;($E299+$S299)),
$K299*$P299*(VLOOKUP($C$39,$C$37:$BL$44,MATCH($E299,$C$37:$BL$37,0),FALSE)/VLOOKUP($L299,$C$37:$BL$44,MATCH($E299,$C$37:$BL$37,0),FALSE))*
IF($B$5="Foreign Currency",VLOOKUP($C$38,$C$37:$BL$44,MATCH(BO$48,$C$37:$BL$37,0),FALSE)/VLOOKUP($C$39,$C$37:$BL$44,MATCH(BO$48,$C$37:$BL$37,0),FALSE),1),
        IF(AND(BO$48&gt;=($E299+$S299), BO$48&lt;=($E299+$Q299)),
-PMT($P299,($Q299-$S299+1),($K299*(VLOOKUP($C$39,$C$37:$BL$44,MATCH($E299,$C$37:$BL$37,0),FALSE)/VLOOKUP($L299,$C$37:$BL$44,MATCH($E299,$C$37:$BL$37,0),FALSE))*
IF($B$5="Foreign Currency",VLOOKUP($C$38,$C$37:$BL$44,MATCH(BO$48,$C$37:$BL$37,0),FALSE)/VLOOKUP($C$39,$C$37:$BL$44,MATCH(BO$48,$C$37:$BL$37,0),FALSE),1)),0),
0)),
    IF($T299="Equal Principal Payments (EPP)",
        IF(AND(BO$48&gt;=$E299, BO$48&lt;=($E299+$Q299)),
-PMT($P299,($Q299-$S299+1),($K299*(VLOOKUP($C$39,$C$37:$BL$44,MATCH($E299,$C$37:$BL$37,0),FALSE)/VLOOKUP($L299,$C$37:$BL$44,MATCH($E299,$C$37:$BL$37,0),FALSE))*
IF($B$5="Foreign Currency",VLOOKUP($C$38,$C$37:$BL$44,MATCH(BO$48,$C$37:$BL$37,0),FALSE)/VLOOKUP($C$39,$C$37:$BL$44,MATCH(BO$48,$C$37:$BL$37,0),FALSE),1)),0), 0),
    IF($T299="EPP with Grace Years for Principal and on Interest",
        IF(AND(BO$48&gt;=($E299+$S299), BO$48&lt;=($E299+$Q299)),
-PMT($P299,($Q299-$S299+1),($K299*(VLOOKUP($C$39,$C$37:$BL$44,MATCH($E299,$C$37:$BL$37,0),FALSE)/VLOOKUP($L299,$C$37:$BL$44,MATCH($E299,$C$37:$BL$37,0),FALSE))*
IF($B$5="Foreign Currency",VLOOKUP($C$38,$C$37:$BL$44,MATCH(BO$48,$C$37:$BL$37,0),FALSE)/VLOOKUP($C$39,$C$37:$BL$44,MATCH(BO$48,$C$37:$BL$37,0),FALSE),1))*((1+$P299)^$S299),0), 0),
    0)))))),"")</f>
        <v>0</v>
      </c>
      <c r="BP299" s="171">
        <f t="shared" si="441"/>
        <v>0</v>
      </c>
      <c r="BQ299" s="171">
        <f t="shared" si="441"/>
        <v>0</v>
      </c>
      <c r="BR299" s="171">
        <f t="shared" si="441"/>
        <v>0</v>
      </c>
      <c r="BS299" s="171">
        <f t="shared" si="441"/>
        <v>0</v>
      </c>
      <c r="BT299" s="171">
        <f t="shared" si="441"/>
        <v>0</v>
      </c>
      <c r="BU299" s="171">
        <f t="shared" si="441"/>
        <v>0</v>
      </c>
      <c r="BV299" s="171">
        <f t="shared" si="441"/>
        <v>0</v>
      </c>
      <c r="BW299" s="171">
        <f t="shared" si="441"/>
        <v>0</v>
      </c>
      <c r="BX299" s="171">
        <f t="shared" si="441"/>
        <v>0</v>
      </c>
      <c r="BY299" s="171">
        <f t="shared" ref="BY299:CI308" si="442">IFERROR(
    IF($T299="Equity",
        IF(AND(BY$48&gt;=$E299, BY$48&lt;=($E299+$Q299)),
$K299*$P299*(VLOOKUP($C$39,$C$37:$BL$44,MATCH($E299,$C$37:$BL$37,0),FALSE)/VLOOKUP($L299,$C$37:$BL$44,MATCH($E299,$C$37:$BL$37,0),FALSE))*
IF($B$5="Foreign Currency",VLOOKUP($C$38,$C$37:$BL$44,MATCH(BY$48,$C$37:$BL$37,0),FALSE)/VLOOKUP($C$39,$C$37:$BL$44,MATCH(BY$48,$C$37:$BL$37,0),FALSE),1),
0),
    IF($T299="Lump Sum Principal",
        IF(AND(BY$48&gt;=$E299, BY$48&lt;($E299+$Q299)),
$K299*$P299*(VLOOKUP($C$39,$C$37:$BL$44,MATCH($E299,$C$37:$BL$37,0),FALSE)/VLOOKUP($L299,$C$37:$BL$44,MATCH($E299,$C$37:$BL$37,0),FALSE))*
IF($B$5="Foreign Currency",VLOOKUP($C$38,$C$37:$BL$44,MATCH(BY$48,$C$37:$BL$37,0),FALSE)/VLOOKUP($C$39,$C$37:$BL$44,MATCH(BY$48,$C$37:$BL$37,0),FALSE),1),
        IF(BY$48=($E299+$Q299),
$K299*(1+$P299)*(VLOOKUP($C$39,$C$37:$BL$44,MATCH($E299,$C$37:$BL$37,0),FALSE)/VLOOKUP($L299,$C$37:$BL$44,MATCH($E299,$C$37:$BL$37,0),FALSE))*
IF($B$5="Foreign Currency",VLOOKUP($C$38,$C$37:$BL$44,MATCH(BY$48,$C$37:$BL$37,0),FALSE)/VLOOKUP($C$39,$C$37:$BL$44,MATCH(BY$48,$C$37:$BL$37,0),FALSE),1),
0)),
    IF($T299="Lump Sum Principal and Interest",
        IF(BY$48=($E299+$Q299),
$K299*((1+$P299)^$Q299)*(VLOOKUP($C$39,$C$37:$BL$44,MATCH($E299,$C$37:$BL$37,0),FALSE)/VLOOKUP($L299,$C$37:$BL$44,MATCH($E299,$C$37:$BL$37,0),FALSE))*
IF($B$5="Foreign Currency",VLOOKUP($C$38,$C$37:$BL$44,MATCH(BY$48,$C$37:$BL$37,0),FALSE)/VLOOKUP($C$39,$C$37:$BL$44,MATCH(BY$48,$C$37:$BL$37,0),FALSE),1),
0),
    IF($T299="EPP with Grace Years for Principal",
        IF(AND(BY$48&gt;=$E299, BY$48&lt;($E299+$S299)),
$K299*$P299*(VLOOKUP($C$39,$C$37:$BL$44,MATCH($E299,$C$37:$BL$37,0),FALSE)/VLOOKUP($L299,$C$37:$BL$44,MATCH($E299,$C$37:$BL$37,0),FALSE))*
IF($B$5="Foreign Currency",VLOOKUP($C$38,$C$37:$BL$44,MATCH(BY$48,$C$37:$BL$37,0),FALSE)/VLOOKUP($C$39,$C$37:$BL$44,MATCH(BY$48,$C$37:$BL$37,0),FALSE),1),
        IF(AND(BY$48&gt;=($E299+$S299), BY$48&lt;=($E299+$Q299)),
-PMT($P299,($Q299-$S299+1),($K299*(VLOOKUP($C$39,$C$37:$BL$44,MATCH($E299,$C$37:$BL$37,0),FALSE)/VLOOKUP($L299,$C$37:$BL$44,MATCH($E299,$C$37:$BL$37,0),FALSE))*
IF($B$5="Foreign Currency",VLOOKUP($C$38,$C$37:$BL$44,MATCH(BY$48,$C$37:$BL$37,0),FALSE)/VLOOKUP($C$39,$C$37:$BL$44,MATCH(BY$48,$C$37:$BL$37,0),FALSE),1)),0),
0)),
    IF($T299="Equal Principal Payments (EPP)",
        IF(AND(BY$48&gt;=$E299, BY$48&lt;=($E299+$Q299)),
-PMT($P299,($Q299-$S299+1),($K299*(VLOOKUP($C$39,$C$37:$BL$44,MATCH($E299,$C$37:$BL$37,0),FALSE)/VLOOKUP($L299,$C$37:$BL$44,MATCH($E299,$C$37:$BL$37,0),FALSE))*
IF($B$5="Foreign Currency",VLOOKUP($C$38,$C$37:$BL$44,MATCH(BY$48,$C$37:$BL$37,0),FALSE)/VLOOKUP($C$39,$C$37:$BL$44,MATCH(BY$48,$C$37:$BL$37,0),FALSE),1)),0), 0),
    IF($T299="EPP with Grace Years for Principal and on Interest",
        IF(AND(BY$48&gt;=($E299+$S299), BY$48&lt;=($E299+$Q299)),
-PMT($P299,($Q299-$S299+1),($K299*(VLOOKUP($C$39,$C$37:$BL$44,MATCH($E299,$C$37:$BL$37,0),FALSE)/VLOOKUP($L299,$C$37:$BL$44,MATCH($E299,$C$37:$BL$37,0),FALSE))*
IF($B$5="Foreign Currency",VLOOKUP($C$38,$C$37:$BL$44,MATCH(BY$48,$C$37:$BL$37,0),FALSE)/VLOOKUP($C$39,$C$37:$BL$44,MATCH(BY$48,$C$37:$BL$37,0),FALSE),1))*((1+$P299)^$S299),0), 0),
    0)))))),"")</f>
        <v>0</v>
      </c>
      <c r="BZ299" s="171">
        <f t="shared" si="442"/>
        <v>0</v>
      </c>
      <c r="CA299" s="171">
        <f t="shared" si="442"/>
        <v>0</v>
      </c>
      <c r="CB299" s="171">
        <f t="shared" si="442"/>
        <v>0</v>
      </c>
      <c r="CC299" s="171">
        <f t="shared" si="442"/>
        <v>0</v>
      </c>
      <c r="CD299" s="171">
        <f t="shared" si="442"/>
        <v>0</v>
      </c>
      <c r="CE299" s="171">
        <f t="shared" si="442"/>
        <v>0</v>
      </c>
      <c r="CF299" s="171">
        <f t="shared" si="442"/>
        <v>0</v>
      </c>
      <c r="CG299" s="171">
        <f t="shared" si="442"/>
        <v>0</v>
      </c>
      <c r="CH299" s="171">
        <f t="shared" si="442"/>
        <v>0</v>
      </c>
      <c r="CI299" s="171">
        <f t="shared" si="442"/>
        <v>0</v>
      </c>
      <c r="CJ299" s="243"/>
      <c r="CK299" s="171">
        <f t="shared" si="346"/>
        <v>0</v>
      </c>
      <c r="CL299" s="171">
        <f t="shared" si="347"/>
        <v>0</v>
      </c>
      <c r="CM299" s="171">
        <f t="shared" si="348"/>
        <v>0</v>
      </c>
      <c r="CN299" s="171">
        <f t="shared" si="349"/>
        <v>0</v>
      </c>
      <c r="CO299" s="171">
        <f t="shared" si="350"/>
        <v>0</v>
      </c>
      <c r="CP299" s="171">
        <f t="shared" si="351"/>
        <v>0</v>
      </c>
      <c r="CQ299" s="171">
        <f t="shared" si="352"/>
        <v>0</v>
      </c>
      <c r="CR299" s="171">
        <f t="shared" si="353"/>
        <v>0</v>
      </c>
      <c r="CS299" s="171">
        <f t="shared" si="354"/>
        <v>0</v>
      </c>
      <c r="CT299" s="171">
        <f t="shared" si="355"/>
        <v>0</v>
      </c>
      <c r="CU299" s="171">
        <f t="shared" si="356"/>
        <v>0</v>
      </c>
      <c r="CV299" s="171">
        <f t="shared" si="357"/>
        <v>0</v>
      </c>
      <c r="CW299" s="171">
        <f t="shared" si="358"/>
        <v>0</v>
      </c>
      <c r="CX299" s="171">
        <f t="shared" si="359"/>
        <v>0</v>
      </c>
      <c r="CY299" s="171">
        <f t="shared" ca="1" si="360"/>
        <v>0</v>
      </c>
      <c r="CZ299" s="171">
        <f t="shared" ca="1" si="361"/>
        <v>0</v>
      </c>
      <c r="DA299" s="171">
        <f t="shared" ca="1" si="362"/>
        <v>0</v>
      </c>
      <c r="DB299" s="171">
        <f t="shared" ca="1" si="363"/>
        <v>0</v>
      </c>
      <c r="DC299" s="171">
        <f t="shared" ca="1" si="364"/>
        <v>0</v>
      </c>
      <c r="DD299" s="171">
        <f t="shared" ca="1" si="365"/>
        <v>0</v>
      </c>
      <c r="DE299" s="171">
        <f t="shared" ca="1" si="366"/>
        <v>0</v>
      </c>
      <c r="DF299" s="171">
        <f t="shared" ca="1" si="367"/>
        <v>0</v>
      </c>
      <c r="DG299" s="171">
        <f t="shared" ca="1" si="368"/>
        <v>0</v>
      </c>
      <c r="DH299" s="171">
        <f t="shared" ca="1" si="369"/>
        <v>0</v>
      </c>
      <c r="DI299" s="171">
        <f t="shared" ca="1" si="370"/>
        <v>0</v>
      </c>
      <c r="DJ299" s="171">
        <f t="shared" ca="1" si="371"/>
        <v>0</v>
      </c>
      <c r="DK299" s="171">
        <f t="shared" ca="1" si="372"/>
        <v>0</v>
      </c>
      <c r="DL299" s="171">
        <f t="shared" ca="1" si="373"/>
        <v>0</v>
      </c>
      <c r="DM299" s="171">
        <f t="shared" ca="1" si="374"/>
        <v>0</v>
      </c>
      <c r="DN299" s="171">
        <f t="shared" ca="1" si="375"/>
        <v>0</v>
      </c>
      <c r="DO299" s="171">
        <f t="shared" ca="1" si="376"/>
        <v>0</v>
      </c>
      <c r="DP299" s="171">
        <f t="shared" ca="1" si="377"/>
        <v>0</v>
      </c>
      <c r="DQ299" s="171">
        <f t="shared" ca="1" si="378"/>
        <v>0</v>
      </c>
      <c r="DR299" s="171">
        <f t="shared" ca="1" si="379"/>
        <v>0</v>
      </c>
      <c r="DS299" s="171">
        <f t="shared" ca="1" si="380"/>
        <v>0</v>
      </c>
      <c r="DT299" s="171">
        <f t="shared" ca="1" si="381"/>
        <v>0</v>
      </c>
      <c r="DU299" s="171">
        <f t="shared" ca="1" si="382"/>
        <v>0</v>
      </c>
      <c r="DV299" s="171">
        <f t="shared" ca="1" si="383"/>
        <v>0</v>
      </c>
      <c r="DW299" s="171">
        <f t="shared" ca="1" si="384"/>
        <v>0</v>
      </c>
      <c r="DX299" s="171">
        <f t="shared" ca="1" si="385"/>
        <v>0</v>
      </c>
      <c r="DY299" s="171">
        <f t="shared" ca="1" si="386"/>
        <v>0</v>
      </c>
      <c r="DZ299" s="171">
        <f t="shared" ca="1" si="387"/>
        <v>0</v>
      </c>
      <c r="EA299" s="171">
        <f t="shared" ca="1" si="388"/>
        <v>0</v>
      </c>
      <c r="EB299" s="171">
        <f t="shared" ca="1" si="389"/>
        <v>0</v>
      </c>
      <c r="EC299" s="171">
        <f t="shared" ca="1" si="390"/>
        <v>0</v>
      </c>
      <c r="ED299" s="171">
        <f t="shared" ca="1" si="391"/>
        <v>0</v>
      </c>
      <c r="EE299" s="171">
        <f t="shared" ca="1" si="392"/>
        <v>0</v>
      </c>
      <c r="EF299" s="171">
        <f t="shared" ca="1" si="393"/>
        <v>0</v>
      </c>
      <c r="EG299" s="171">
        <f t="shared" ca="1" si="394"/>
        <v>0</v>
      </c>
      <c r="EH299" s="171">
        <f t="shared" ca="1" si="395"/>
        <v>0</v>
      </c>
      <c r="EI299" s="171">
        <f t="shared" ca="1" si="396"/>
        <v>0</v>
      </c>
      <c r="EJ299" s="171">
        <f t="shared" ca="1" si="397"/>
        <v>0</v>
      </c>
      <c r="EK299" s="171">
        <f t="shared" ca="1" si="398"/>
        <v>0</v>
      </c>
      <c r="EL299" s="171">
        <f t="shared" ca="1" si="399"/>
        <v>0</v>
      </c>
      <c r="EM299" s="171">
        <f t="shared" ca="1" si="400"/>
        <v>0</v>
      </c>
      <c r="EN299" s="171">
        <f t="shared" ca="1" si="401"/>
        <v>0</v>
      </c>
      <c r="EO299" s="171">
        <f t="shared" ca="1" si="402"/>
        <v>0</v>
      </c>
      <c r="EP299" s="171">
        <f t="shared" ca="1" si="403"/>
        <v>0</v>
      </c>
      <c r="EQ299" s="171">
        <f t="shared" ca="1" si="404"/>
        <v>0</v>
      </c>
      <c r="ER299" s="171">
        <f t="shared" ca="1" si="405"/>
        <v>0</v>
      </c>
      <c r="ES299" s="171">
        <f t="shared" ca="1" si="406"/>
        <v>0</v>
      </c>
    </row>
    <row r="300" spans="3:149">
      <c r="C300" s="214"/>
      <c r="H300" s="216"/>
      <c r="I300" s="217"/>
      <c r="L300" s="163"/>
      <c r="M300" s="164" t="str">
        <f t="shared" si="337"/>
        <v/>
      </c>
      <c r="N300" s="164" t="str">
        <f t="shared" si="338"/>
        <v/>
      </c>
      <c r="O300" s="165" t="str">
        <f t="shared" si="339"/>
        <v/>
      </c>
      <c r="R300" s="168"/>
      <c r="U300" s="171">
        <f t="shared" si="340"/>
        <v>0</v>
      </c>
      <c r="V300" s="171">
        <f t="shared" ca="1" si="341"/>
        <v>0</v>
      </c>
      <c r="W300" s="171">
        <f t="shared" ca="1" si="342"/>
        <v>0</v>
      </c>
      <c r="X300" s="172">
        <f t="shared" si="343"/>
        <v>0</v>
      </c>
      <c r="Y300" s="172" t="str">
        <f t="shared" si="344"/>
        <v/>
      </c>
      <c r="Z300" s="173">
        <f t="shared" si="345"/>
        <v>0</v>
      </c>
      <c r="AA300" s="171">
        <f t="shared" si="437"/>
        <v>0</v>
      </c>
      <c r="AB300" s="171">
        <f t="shared" si="437"/>
        <v>0</v>
      </c>
      <c r="AC300" s="171">
        <f t="shared" si="437"/>
        <v>0</v>
      </c>
      <c r="AD300" s="171">
        <f t="shared" si="437"/>
        <v>0</v>
      </c>
      <c r="AE300" s="171">
        <f t="shared" si="437"/>
        <v>0</v>
      </c>
      <c r="AF300" s="171">
        <f t="shared" si="437"/>
        <v>0</v>
      </c>
      <c r="AG300" s="171">
        <f t="shared" si="437"/>
        <v>0</v>
      </c>
      <c r="AH300" s="171">
        <f t="shared" si="437"/>
        <v>0</v>
      </c>
      <c r="AI300" s="171">
        <f t="shared" si="437"/>
        <v>0</v>
      </c>
      <c r="AJ300" s="171">
        <f t="shared" si="437"/>
        <v>0</v>
      </c>
      <c r="AK300" s="171">
        <f t="shared" si="438"/>
        <v>0</v>
      </c>
      <c r="AL300" s="171">
        <f t="shared" si="438"/>
        <v>0</v>
      </c>
      <c r="AM300" s="171">
        <f t="shared" si="438"/>
        <v>0</v>
      </c>
      <c r="AN300" s="171">
        <f t="shared" si="438"/>
        <v>0</v>
      </c>
      <c r="AO300" s="171">
        <f t="shared" si="438"/>
        <v>0</v>
      </c>
      <c r="AP300" s="171">
        <f t="shared" si="438"/>
        <v>0</v>
      </c>
      <c r="AQ300" s="171">
        <f t="shared" si="438"/>
        <v>0</v>
      </c>
      <c r="AR300" s="171">
        <f t="shared" si="438"/>
        <v>0</v>
      </c>
      <c r="AS300" s="171">
        <f t="shared" si="438"/>
        <v>0</v>
      </c>
      <c r="AT300" s="171">
        <f t="shared" si="438"/>
        <v>0</v>
      </c>
      <c r="AU300" s="171">
        <f t="shared" si="439"/>
        <v>0</v>
      </c>
      <c r="AV300" s="171">
        <f t="shared" si="439"/>
        <v>0</v>
      </c>
      <c r="AW300" s="171">
        <f t="shared" si="439"/>
        <v>0</v>
      </c>
      <c r="AX300" s="171">
        <f t="shared" si="439"/>
        <v>0</v>
      </c>
      <c r="AY300" s="171">
        <f t="shared" si="439"/>
        <v>0</v>
      </c>
      <c r="AZ300" s="171">
        <f t="shared" si="439"/>
        <v>0</v>
      </c>
      <c r="BA300" s="171">
        <f t="shared" si="439"/>
        <v>0</v>
      </c>
      <c r="BB300" s="171">
        <f t="shared" si="439"/>
        <v>0</v>
      </c>
      <c r="BC300" s="171">
        <f t="shared" si="439"/>
        <v>0</v>
      </c>
      <c r="BD300" s="171">
        <f t="shared" si="439"/>
        <v>0</v>
      </c>
      <c r="BE300" s="171">
        <f t="shared" si="440"/>
        <v>0</v>
      </c>
      <c r="BF300" s="171">
        <f t="shared" si="440"/>
        <v>0</v>
      </c>
      <c r="BG300" s="171">
        <f t="shared" si="440"/>
        <v>0</v>
      </c>
      <c r="BH300" s="171">
        <f t="shared" si="440"/>
        <v>0</v>
      </c>
      <c r="BI300" s="171">
        <f t="shared" si="440"/>
        <v>0</v>
      </c>
      <c r="BJ300" s="171">
        <f t="shared" si="440"/>
        <v>0</v>
      </c>
      <c r="BK300" s="171">
        <f t="shared" si="440"/>
        <v>0</v>
      </c>
      <c r="BL300" s="171">
        <f t="shared" si="440"/>
        <v>0</v>
      </c>
      <c r="BM300" s="171">
        <f t="shared" si="440"/>
        <v>0</v>
      </c>
      <c r="BN300" s="171">
        <f t="shared" si="440"/>
        <v>0</v>
      </c>
      <c r="BO300" s="171">
        <f t="shared" si="441"/>
        <v>0</v>
      </c>
      <c r="BP300" s="171">
        <f t="shared" si="441"/>
        <v>0</v>
      </c>
      <c r="BQ300" s="171">
        <f t="shared" si="441"/>
        <v>0</v>
      </c>
      <c r="BR300" s="171">
        <f t="shared" si="441"/>
        <v>0</v>
      </c>
      <c r="BS300" s="171">
        <f t="shared" si="441"/>
        <v>0</v>
      </c>
      <c r="BT300" s="171">
        <f t="shared" si="441"/>
        <v>0</v>
      </c>
      <c r="BU300" s="171">
        <f t="shared" si="441"/>
        <v>0</v>
      </c>
      <c r="BV300" s="171">
        <f t="shared" si="441"/>
        <v>0</v>
      </c>
      <c r="BW300" s="171">
        <f t="shared" si="441"/>
        <v>0</v>
      </c>
      <c r="BX300" s="171">
        <f t="shared" si="441"/>
        <v>0</v>
      </c>
      <c r="BY300" s="171">
        <f t="shared" si="442"/>
        <v>0</v>
      </c>
      <c r="BZ300" s="171">
        <f t="shared" si="442"/>
        <v>0</v>
      </c>
      <c r="CA300" s="171">
        <f t="shared" si="442"/>
        <v>0</v>
      </c>
      <c r="CB300" s="171">
        <f t="shared" si="442"/>
        <v>0</v>
      </c>
      <c r="CC300" s="171">
        <f t="shared" si="442"/>
        <v>0</v>
      </c>
      <c r="CD300" s="171">
        <f t="shared" si="442"/>
        <v>0</v>
      </c>
      <c r="CE300" s="171">
        <f t="shared" si="442"/>
        <v>0</v>
      </c>
      <c r="CF300" s="171">
        <f t="shared" si="442"/>
        <v>0</v>
      </c>
      <c r="CG300" s="171">
        <f t="shared" si="442"/>
        <v>0</v>
      </c>
      <c r="CH300" s="171">
        <f t="shared" si="442"/>
        <v>0</v>
      </c>
      <c r="CI300" s="171">
        <f t="shared" si="442"/>
        <v>0</v>
      </c>
      <c r="CJ300" s="243"/>
      <c r="CK300" s="171">
        <f t="shared" si="346"/>
        <v>0</v>
      </c>
      <c r="CL300" s="171">
        <f t="shared" si="347"/>
        <v>0</v>
      </c>
      <c r="CM300" s="171">
        <f t="shared" si="348"/>
        <v>0</v>
      </c>
      <c r="CN300" s="171">
        <f t="shared" si="349"/>
        <v>0</v>
      </c>
      <c r="CO300" s="171">
        <f t="shared" si="350"/>
        <v>0</v>
      </c>
      <c r="CP300" s="171">
        <f t="shared" si="351"/>
        <v>0</v>
      </c>
      <c r="CQ300" s="171">
        <f t="shared" si="352"/>
        <v>0</v>
      </c>
      <c r="CR300" s="171">
        <f t="shared" si="353"/>
        <v>0</v>
      </c>
      <c r="CS300" s="171">
        <f t="shared" si="354"/>
        <v>0</v>
      </c>
      <c r="CT300" s="171">
        <f t="shared" si="355"/>
        <v>0</v>
      </c>
      <c r="CU300" s="171">
        <f t="shared" si="356"/>
        <v>0</v>
      </c>
      <c r="CV300" s="171">
        <f t="shared" si="357"/>
        <v>0</v>
      </c>
      <c r="CW300" s="171">
        <f t="shared" si="358"/>
        <v>0</v>
      </c>
      <c r="CX300" s="171">
        <f t="shared" si="359"/>
        <v>0</v>
      </c>
      <c r="CY300" s="171">
        <f t="shared" ca="1" si="360"/>
        <v>0</v>
      </c>
      <c r="CZ300" s="171">
        <f t="shared" ca="1" si="361"/>
        <v>0</v>
      </c>
      <c r="DA300" s="171">
        <f t="shared" ca="1" si="362"/>
        <v>0</v>
      </c>
      <c r="DB300" s="171">
        <f t="shared" ca="1" si="363"/>
        <v>0</v>
      </c>
      <c r="DC300" s="171">
        <f t="shared" ca="1" si="364"/>
        <v>0</v>
      </c>
      <c r="DD300" s="171">
        <f t="shared" ca="1" si="365"/>
        <v>0</v>
      </c>
      <c r="DE300" s="171">
        <f t="shared" ca="1" si="366"/>
        <v>0</v>
      </c>
      <c r="DF300" s="171">
        <f t="shared" ca="1" si="367"/>
        <v>0</v>
      </c>
      <c r="DG300" s="171">
        <f t="shared" ca="1" si="368"/>
        <v>0</v>
      </c>
      <c r="DH300" s="171">
        <f t="shared" ca="1" si="369"/>
        <v>0</v>
      </c>
      <c r="DI300" s="171">
        <f t="shared" ca="1" si="370"/>
        <v>0</v>
      </c>
      <c r="DJ300" s="171">
        <f t="shared" ca="1" si="371"/>
        <v>0</v>
      </c>
      <c r="DK300" s="171">
        <f t="shared" ca="1" si="372"/>
        <v>0</v>
      </c>
      <c r="DL300" s="171">
        <f t="shared" ca="1" si="373"/>
        <v>0</v>
      </c>
      <c r="DM300" s="171">
        <f t="shared" ca="1" si="374"/>
        <v>0</v>
      </c>
      <c r="DN300" s="171">
        <f t="shared" ca="1" si="375"/>
        <v>0</v>
      </c>
      <c r="DO300" s="171">
        <f t="shared" ca="1" si="376"/>
        <v>0</v>
      </c>
      <c r="DP300" s="171">
        <f t="shared" ca="1" si="377"/>
        <v>0</v>
      </c>
      <c r="DQ300" s="171">
        <f t="shared" ca="1" si="378"/>
        <v>0</v>
      </c>
      <c r="DR300" s="171">
        <f t="shared" ca="1" si="379"/>
        <v>0</v>
      </c>
      <c r="DS300" s="171">
        <f t="shared" ca="1" si="380"/>
        <v>0</v>
      </c>
      <c r="DT300" s="171">
        <f t="shared" ca="1" si="381"/>
        <v>0</v>
      </c>
      <c r="DU300" s="171">
        <f t="shared" ca="1" si="382"/>
        <v>0</v>
      </c>
      <c r="DV300" s="171">
        <f t="shared" ca="1" si="383"/>
        <v>0</v>
      </c>
      <c r="DW300" s="171">
        <f t="shared" ca="1" si="384"/>
        <v>0</v>
      </c>
      <c r="DX300" s="171">
        <f t="shared" ca="1" si="385"/>
        <v>0</v>
      </c>
      <c r="DY300" s="171">
        <f t="shared" ca="1" si="386"/>
        <v>0</v>
      </c>
      <c r="DZ300" s="171">
        <f t="shared" ca="1" si="387"/>
        <v>0</v>
      </c>
      <c r="EA300" s="171">
        <f t="shared" ca="1" si="388"/>
        <v>0</v>
      </c>
      <c r="EB300" s="171">
        <f t="shared" ca="1" si="389"/>
        <v>0</v>
      </c>
      <c r="EC300" s="171">
        <f t="shared" ca="1" si="390"/>
        <v>0</v>
      </c>
      <c r="ED300" s="171">
        <f t="shared" ca="1" si="391"/>
        <v>0</v>
      </c>
      <c r="EE300" s="171">
        <f t="shared" ca="1" si="392"/>
        <v>0</v>
      </c>
      <c r="EF300" s="171">
        <f t="shared" ca="1" si="393"/>
        <v>0</v>
      </c>
      <c r="EG300" s="171">
        <f t="shared" ca="1" si="394"/>
        <v>0</v>
      </c>
      <c r="EH300" s="171">
        <f t="shared" ca="1" si="395"/>
        <v>0</v>
      </c>
      <c r="EI300" s="171">
        <f t="shared" ca="1" si="396"/>
        <v>0</v>
      </c>
      <c r="EJ300" s="171">
        <f t="shared" ca="1" si="397"/>
        <v>0</v>
      </c>
      <c r="EK300" s="171">
        <f t="shared" ca="1" si="398"/>
        <v>0</v>
      </c>
      <c r="EL300" s="171">
        <f t="shared" ca="1" si="399"/>
        <v>0</v>
      </c>
      <c r="EM300" s="171">
        <f t="shared" ca="1" si="400"/>
        <v>0</v>
      </c>
      <c r="EN300" s="171">
        <f t="shared" ca="1" si="401"/>
        <v>0</v>
      </c>
      <c r="EO300" s="171">
        <f t="shared" ca="1" si="402"/>
        <v>0</v>
      </c>
      <c r="EP300" s="171">
        <f t="shared" ca="1" si="403"/>
        <v>0</v>
      </c>
      <c r="EQ300" s="171">
        <f t="shared" ca="1" si="404"/>
        <v>0</v>
      </c>
      <c r="ER300" s="171">
        <f t="shared" ca="1" si="405"/>
        <v>0</v>
      </c>
      <c r="ES300" s="171">
        <f t="shared" ca="1" si="406"/>
        <v>0</v>
      </c>
    </row>
    <row r="301" spans="3:149">
      <c r="C301" s="214"/>
      <c r="H301" s="216"/>
      <c r="I301" s="217"/>
      <c r="L301" s="163"/>
      <c r="M301" s="164" t="str">
        <f t="shared" si="337"/>
        <v/>
      </c>
      <c r="N301" s="164" t="str">
        <f t="shared" si="338"/>
        <v/>
      </c>
      <c r="O301" s="165" t="str">
        <f t="shared" si="339"/>
        <v/>
      </c>
      <c r="R301" s="168"/>
      <c r="U301" s="171">
        <f t="shared" si="340"/>
        <v>0</v>
      </c>
      <c r="V301" s="171">
        <f t="shared" ca="1" si="341"/>
        <v>0</v>
      </c>
      <c r="W301" s="171">
        <f t="shared" ca="1" si="342"/>
        <v>0</v>
      </c>
      <c r="X301" s="172">
        <f t="shared" si="343"/>
        <v>0</v>
      </c>
      <c r="Y301" s="172" t="str">
        <f t="shared" si="344"/>
        <v/>
      </c>
      <c r="Z301" s="173">
        <f t="shared" si="345"/>
        <v>0</v>
      </c>
      <c r="AA301" s="171">
        <f t="shared" si="437"/>
        <v>0</v>
      </c>
      <c r="AB301" s="171">
        <f t="shared" si="437"/>
        <v>0</v>
      </c>
      <c r="AC301" s="171">
        <f t="shared" si="437"/>
        <v>0</v>
      </c>
      <c r="AD301" s="171">
        <f t="shared" si="437"/>
        <v>0</v>
      </c>
      <c r="AE301" s="171">
        <f t="shared" si="437"/>
        <v>0</v>
      </c>
      <c r="AF301" s="171">
        <f t="shared" si="437"/>
        <v>0</v>
      </c>
      <c r="AG301" s="171">
        <f t="shared" si="437"/>
        <v>0</v>
      </c>
      <c r="AH301" s="171">
        <f t="shared" si="437"/>
        <v>0</v>
      </c>
      <c r="AI301" s="171">
        <f t="shared" si="437"/>
        <v>0</v>
      </c>
      <c r="AJ301" s="171">
        <f t="shared" si="437"/>
        <v>0</v>
      </c>
      <c r="AK301" s="171">
        <f t="shared" si="438"/>
        <v>0</v>
      </c>
      <c r="AL301" s="171">
        <f t="shared" si="438"/>
        <v>0</v>
      </c>
      <c r="AM301" s="171">
        <f t="shared" si="438"/>
        <v>0</v>
      </c>
      <c r="AN301" s="171">
        <f t="shared" si="438"/>
        <v>0</v>
      </c>
      <c r="AO301" s="171">
        <f t="shared" si="438"/>
        <v>0</v>
      </c>
      <c r="AP301" s="171">
        <f t="shared" si="438"/>
        <v>0</v>
      </c>
      <c r="AQ301" s="171">
        <f t="shared" si="438"/>
        <v>0</v>
      </c>
      <c r="AR301" s="171">
        <f t="shared" si="438"/>
        <v>0</v>
      </c>
      <c r="AS301" s="171">
        <f t="shared" si="438"/>
        <v>0</v>
      </c>
      <c r="AT301" s="171">
        <f t="shared" si="438"/>
        <v>0</v>
      </c>
      <c r="AU301" s="171">
        <f t="shared" si="439"/>
        <v>0</v>
      </c>
      <c r="AV301" s="171">
        <f t="shared" si="439"/>
        <v>0</v>
      </c>
      <c r="AW301" s="171">
        <f t="shared" si="439"/>
        <v>0</v>
      </c>
      <c r="AX301" s="171">
        <f t="shared" si="439"/>
        <v>0</v>
      </c>
      <c r="AY301" s="171">
        <f t="shared" si="439"/>
        <v>0</v>
      </c>
      <c r="AZ301" s="171">
        <f t="shared" si="439"/>
        <v>0</v>
      </c>
      <c r="BA301" s="171">
        <f t="shared" si="439"/>
        <v>0</v>
      </c>
      <c r="BB301" s="171">
        <f t="shared" si="439"/>
        <v>0</v>
      </c>
      <c r="BC301" s="171">
        <f t="shared" si="439"/>
        <v>0</v>
      </c>
      <c r="BD301" s="171">
        <f t="shared" si="439"/>
        <v>0</v>
      </c>
      <c r="BE301" s="171">
        <f t="shared" si="440"/>
        <v>0</v>
      </c>
      <c r="BF301" s="171">
        <f t="shared" si="440"/>
        <v>0</v>
      </c>
      <c r="BG301" s="171">
        <f t="shared" si="440"/>
        <v>0</v>
      </c>
      <c r="BH301" s="171">
        <f t="shared" si="440"/>
        <v>0</v>
      </c>
      <c r="BI301" s="171">
        <f t="shared" si="440"/>
        <v>0</v>
      </c>
      <c r="BJ301" s="171">
        <f t="shared" si="440"/>
        <v>0</v>
      </c>
      <c r="BK301" s="171">
        <f t="shared" si="440"/>
        <v>0</v>
      </c>
      <c r="BL301" s="171">
        <f t="shared" si="440"/>
        <v>0</v>
      </c>
      <c r="BM301" s="171">
        <f t="shared" si="440"/>
        <v>0</v>
      </c>
      <c r="BN301" s="171">
        <f t="shared" si="440"/>
        <v>0</v>
      </c>
      <c r="BO301" s="171">
        <f t="shared" si="441"/>
        <v>0</v>
      </c>
      <c r="BP301" s="171">
        <f t="shared" si="441"/>
        <v>0</v>
      </c>
      <c r="BQ301" s="171">
        <f t="shared" si="441"/>
        <v>0</v>
      </c>
      <c r="BR301" s="171">
        <f t="shared" si="441"/>
        <v>0</v>
      </c>
      <c r="BS301" s="171">
        <f t="shared" si="441"/>
        <v>0</v>
      </c>
      <c r="BT301" s="171">
        <f t="shared" si="441"/>
        <v>0</v>
      </c>
      <c r="BU301" s="171">
        <f t="shared" si="441"/>
        <v>0</v>
      </c>
      <c r="BV301" s="171">
        <f t="shared" si="441"/>
        <v>0</v>
      </c>
      <c r="BW301" s="171">
        <f t="shared" si="441"/>
        <v>0</v>
      </c>
      <c r="BX301" s="171">
        <f t="shared" si="441"/>
        <v>0</v>
      </c>
      <c r="BY301" s="171">
        <f t="shared" si="442"/>
        <v>0</v>
      </c>
      <c r="BZ301" s="171">
        <f t="shared" si="442"/>
        <v>0</v>
      </c>
      <c r="CA301" s="171">
        <f t="shared" si="442"/>
        <v>0</v>
      </c>
      <c r="CB301" s="171">
        <f t="shared" si="442"/>
        <v>0</v>
      </c>
      <c r="CC301" s="171">
        <f t="shared" si="442"/>
        <v>0</v>
      </c>
      <c r="CD301" s="171">
        <f t="shared" si="442"/>
        <v>0</v>
      </c>
      <c r="CE301" s="171">
        <f t="shared" si="442"/>
        <v>0</v>
      </c>
      <c r="CF301" s="171">
        <f t="shared" si="442"/>
        <v>0</v>
      </c>
      <c r="CG301" s="171">
        <f t="shared" si="442"/>
        <v>0</v>
      </c>
      <c r="CH301" s="171">
        <f t="shared" si="442"/>
        <v>0</v>
      </c>
      <c r="CI301" s="171">
        <f t="shared" si="442"/>
        <v>0</v>
      </c>
      <c r="CJ301" s="243"/>
      <c r="CK301" s="171">
        <f t="shared" si="346"/>
        <v>0</v>
      </c>
      <c r="CL301" s="171">
        <f t="shared" si="347"/>
        <v>0</v>
      </c>
      <c r="CM301" s="171">
        <f t="shared" si="348"/>
        <v>0</v>
      </c>
      <c r="CN301" s="171">
        <f t="shared" si="349"/>
        <v>0</v>
      </c>
      <c r="CO301" s="171">
        <f t="shared" si="350"/>
        <v>0</v>
      </c>
      <c r="CP301" s="171">
        <f t="shared" si="351"/>
        <v>0</v>
      </c>
      <c r="CQ301" s="171">
        <f t="shared" si="352"/>
        <v>0</v>
      </c>
      <c r="CR301" s="171">
        <f t="shared" si="353"/>
        <v>0</v>
      </c>
      <c r="CS301" s="171">
        <f t="shared" si="354"/>
        <v>0</v>
      </c>
      <c r="CT301" s="171">
        <f t="shared" si="355"/>
        <v>0</v>
      </c>
      <c r="CU301" s="171">
        <f t="shared" si="356"/>
        <v>0</v>
      </c>
      <c r="CV301" s="171">
        <f t="shared" si="357"/>
        <v>0</v>
      </c>
      <c r="CW301" s="171">
        <f t="shared" si="358"/>
        <v>0</v>
      </c>
      <c r="CX301" s="171">
        <f t="shared" si="359"/>
        <v>0</v>
      </c>
      <c r="CY301" s="171">
        <f t="shared" ca="1" si="360"/>
        <v>0</v>
      </c>
      <c r="CZ301" s="171">
        <f t="shared" ca="1" si="361"/>
        <v>0</v>
      </c>
      <c r="DA301" s="171">
        <f t="shared" ca="1" si="362"/>
        <v>0</v>
      </c>
      <c r="DB301" s="171">
        <f t="shared" ca="1" si="363"/>
        <v>0</v>
      </c>
      <c r="DC301" s="171">
        <f t="shared" ca="1" si="364"/>
        <v>0</v>
      </c>
      <c r="DD301" s="171">
        <f t="shared" ca="1" si="365"/>
        <v>0</v>
      </c>
      <c r="DE301" s="171">
        <f t="shared" ca="1" si="366"/>
        <v>0</v>
      </c>
      <c r="DF301" s="171">
        <f t="shared" ca="1" si="367"/>
        <v>0</v>
      </c>
      <c r="DG301" s="171">
        <f t="shared" ca="1" si="368"/>
        <v>0</v>
      </c>
      <c r="DH301" s="171">
        <f t="shared" ca="1" si="369"/>
        <v>0</v>
      </c>
      <c r="DI301" s="171">
        <f t="shared" ca="1" si="370"/>
        <v>0</v>
      </c>
      <c r="DJ301" s="171">
        <f t="shared" ca="1" si="371"/>
        <v>0</v>
      </c>
      <c r="DK301" s="171">
        <f t="shared" ca="1" si="372"/>
        <v>0</v>
      </c>
      <c r="DL301" s="171">
        <f t="shared" ca="1" si="373"/>
        <v>0</v>
      </c>
      <c r="DM301" s="171">
        <f t="shared" ca="1" si="374"/>
        <v>0</v>
      </c>
      <c r="DN301" s="171">
        <f t="shared" ca="1" si="375"/>
        <v>0</v>
      </c>
      <c r="DO301" s="171">
        <f t="shared" ca="1" si="376"/>
        <v>0</v>
      </c>
      <c r="DP301" s="171">
        <f t="shared" ca="1" si="377"/>
        <v>0</v>
      </c>
      <c r="DQ301" s="171">
        <f t="shared" ca="1" si="378"/>
        <v>0</v>
      </c>
      <c r="DR301" s="171">
        <f t="shared" ca="1" si="379"/>
        <v>0</v>
      </c>
      <c r="DS301" s="171">
        <f t="shared" ca="1" si="380"/>
        <v>0</v>
      </c>
      <c r="DT301" s="171">
        <f t="shared" ca="1" si="381"/>
        <v>0</v>
      </c>
      <c r="DU301" s="171">
        <f t="shared" ca="1" si="382"/>
        <v>0</v>
      </c>
      <c r="DV301" s="171">
        <f t="shared" ca="1" si="383"/>
        <v>0</v>
      </c>
      <c r="DW301" s="171">
        <f t="shared" ca="1" si="384"/>
        <v>0</v>
      </c>
      <c r="DX301" s="171">
        <f t="shared" ca="1" si="385"/>
        <v>0</v>
      </c>
      <c r="DY301" s="171">
        <f t="shared" ca="1" si="386"/>
        <v>0</v>
      </c>
      <c r="DZ301" s="171">
        <f t="shared" ca="1" si="387"/>
        <v>0</v>
      </c>
      <c r="EA301" s="171">
        <f t="shared" ca="1" si="388"/>
        <v>0</v>
      </c>
      <c r="EB301" s="171">
        <f t="shared" ca="1" si="389"/>
        <v>0</v>
      </c>
      <c r="EC301" s="171">
        <f t="shared" ca="1" si="390"/>
        <v>0</v>
      </c>
      <c r="ED301" s="171">
        <f t="shared" ca="1" si="391"/>
        <v>0</v>
      </c>
      <c r="EE301" s="171">
        <f t="shared" ca="1" si="392"/>
        <v>0</v>
      </c>
      <c r="EF301" s="171">
        <f t="shared" ca="1" si="393"/>
        <v>0</v>
      </c>
      <c r="EG301" s="171">
        <f t="shared" ca="1" si="394"/>
        <v>0</v>
      </c>
      <c r="EH301" s="171">
        <f t="shared" ca="1" si="395"/>
        <v>0</v>
      </c>
      <c r="EI301" s="171">
        <f t="shared" ca="1" si="396"/>
        <v>0</v>
      </c>
      <c r="EJ301" s="171">
        <f t="shared" ca="1" si="397"/>
        <v>0</v>
      </c>
      <c r="EK301" s="171">
        <f t="shared" ca="1" si="398"/>
        <v>0</v>
      </c>
      <c r="EL301" s="171">
        <f t="shared" ca="1" si="399"/>
        <v>0</v>
      </c>
      <c r="EM301" s="171">
        <f t="shared" ca="1" si="400"/>
        <v>0</v>
      </c>
      <c r="EN301" s="171">
        <f t="shared" ca="1" si="401"/>
        <v>0</v>
      </c>
      <c r="EO301" s="171">
        <f t="shared" ca="1" si="402"/>
        <v>0</v>
      </c>
      <c r="EP301" s="171">
        <f t="shared" ca="1" si="403"/>
        <v>0</v>
      </c>
      <c r="EQ301" s="171">
        <f t="shared" ca="1" si="404"/>
        <v>0</v>
      </c>
      <c r="ER301" s="171">
        <f t="shared" ca="1" si="405"/>
        <v>0</v>
      </c>
      <c r="ES301" s="171">
        <f t="shared" ca="1" si="406"/>
        <v>0</v>
      </c>
    </row>
    <row r="302" spans="3:149">
      <c r="C302" s="214"/>
      <c r="H302" s="216"/>
      <c r="I302" s="217"/>
      <c r="L302" s="163"/>
      <c r="M302" s="164" t="str">
        <f t="shared" si="337"/>
        <v/>
      </c>
      <c r="N302" s="164" t="str">
        <f t="shared" si="338"/>
        <v/>
      </c>
      <c r="O302" s="165" t="str">
        <f t="shared" si="339"/>
        <v/>
      </c>
      <c r="R302" s="168"/>
      <c r="U302" s="171">
        <f t="shared" si="340"/>
        <v>0</v>
      </c>
      <c r="V302" s="171">
        <f t="shared" ca="1" si="341"/>
        <v>0</v>
      </c>
      <c r="W302" s="171">
        <f t="shared" ca="1" si="342"/>
        <v>0</v>
      </c>
      <c r="X302" s="172">
        <f t="shared" si="343"/>
        <v>0</v>
      </c>
      <c r="Y302" s="172" t="str">
        <f t="shared" si="344"/>
        <v/>
      </c>
      <c r="Z302" s="173">
        <f t="shared" si="345"/>
        <v>0</v>
      </c>
      <c r="AA302" s="171">
        <f t="shared" si="437"/>
        <v>0</v>
      </c>
      <c r="AB302" s="171">
        <f t="shared" si="437"/>
        <v>0</v>
      </c>
      <c r="AC302" s="171">
        <f t="shared" si="437"/>
        <v>0</v>
      </c>
      <c r="AD302" s="171">
        <f t="shared" si="437"/>
        <v>0</v>
      </c>
      <c r="AE302" s="171">
        <f t="shared" si="437"/>
        <v>0</v>
      </c>
      <c r="AF302" s="171">
        <f t="shared" si="437"/>
        <v>0</v>
      </c>
      <c r="AG302" s="171">
        <f t="shared" si="437"/>
        <v>0</v>
      </c>
      <c r="AH302" s="171">
        <f t="shared" si="437"/>
        <v>0</v>
      </c>
      <c r="AI302" s="171">
        <f t="shared" si="437"/>
        <v>0</v>
      </c>
      <c r="AJ302" s="171">
        <f t="shared" si="437"/>
        <v>0</v>
      </c>
      <c r="AK302" s="171">
        <f t="shared" si="438"/>
        <v>0</v>
      </c>
      <c r="AL302" s="171">
        <f t="shared" si="438"/>
        <v>0</v>
      </c>
      <c r="AM302" s="171">
        <f t="shared" si="438"/>
        <v>0</v>
      </c>
      <c r="AN302" s="171">
        <f t="shared" si="438"/>
        <v>0</v>
      </c>
      <c r="AO302" s="171">
        <f t="shared" si="438"/>
        <v>0</v>
      </c>
      <c r="AP302" s="171">
        <f t="shared" si="438"/>
        <v>0</v>
      </c>
      <c r="AQ302" s="171">
        <f t="shared" si="438"/>
        <v>0</v>
      </c>
      <c r="AR302" s="171">
        <f t="shared" si="438"/>
        <v>0</v>
      </c>
      <c r="AS302" s="171">
        <f t="shared" si="438"/>
        <v>0</v>
      </c>
      <c r="AT302" s="171">
        <f t="shared" si="438"/>
        <v>0</v>
      </c>
      <c r="AU302" s="171">
        <f t="shared" si="439"/>
        <v>0</v>
      </c>
      <c r="AV302" s="171">
        <f t="shared" si="439"/>
        <v>0</v>
      </c>
      <c r="AW302" s="171">
        <f t="shared" si="439"/>
        <v>0</v>
      </c>
      <c r="AX302" s="171">
        <f t="shared" si="439"/>
        <v>0</v>
      </c>
      <c r="AY302" s="171">
        <f t="shared" si="439"/>
        <v>0</v>
      </c>
      <c r="AZ302" s="171">
        <f t="shared" si="439"/>
        <v>0</v>
      </c>
      <c r="BA302" s="171">
        <f t="shared" si="439"/>
        <v>0</v>
      </c>
      <c r="BB302" s="171">
        <f t="shared" si="439"/>
        <v>0</v>
      </c>
      <c r="BC302" s="171">
        <f t="shared" si="439"/>
        <v>0</v>
      </c>
      <c r="BD302" s="171">
        <f t="shared" si="439"/>
        <v>0</v>
      </c>
      <c r="BE302" s="171">
        <f t="shared" si="440"/>
        <v>0</v>
      </c>
      <c r="BF302" s="171">
        <f t="shared" si="440"/>
        <v>0</v>
      </c>
      <c r="BG302" s="171">
        <f t="shared" si="440"/>
        <v>0</v>
      </c>
      <c r="BH302" s="171">
        <f t="shared" si="440"/>
        <v>0</v>
      </c>
      <c r="BI302" s="171">
        <f t="shared" si="440"/>
        <v>0</v>
      </c>
      <c r="BJ302" s="171">
        <f t="shared" si="440"/>
        <v>0</v>
      </c>
      <c r="BK302" s="171">
        <f t="shared" si="440"/>
        <v>0</v>
      </c>
      <c r="BL302" s="171">
        <f t="shared" si="440"/>
        <v>0</v>
      </c>
      <c r="BM302" s="171">
        <f t="shared" si="440"/>
        <v>0</v>
      </c>
      <c r="BN302" s="171">
        <f t="shared" si="440"/>
        <v>0</v>
      </c>
      <c r="BO302" s="171">
        <f t="shared" si="441"/>
        <v>0</v>
      </c>
      <c r="BP302" s="171">
        <f t="shared" si="441"/>
        <v>0</v>
      </c>
      <c r="BQ302" s="171">
        <f t="shared" si="441"/>
        <v>0</v>
      </c>
      <c r="BR302" s="171">
        <f t="shared" si="441"/>
        <v>0</v>
      </c>
      <c r="BS302" s="171">
        <f t="shared" si="441"/>
        <v>0</v>
      </c>
      <c r="BT302" s="171">
        <f t="shared" si="441"/>
        <v>0</v>
      </c>
      <c r="BU302" s="171">
        <f t="shared" si="441"/>
        <v>0</v>
      </c>
      <c r="BV302" s="171">
        <f t="shared" si="441"/>
        <v>0</v>
      </c>
      <c r="BW302" s="171">
        <f t="shared" si="441"/>
        <v>0</v>
      </c>
      <c r="BX302" s="171">
        <f t="shared" si="441"/>
        <v>0</v>
      </c>
      <c r="BY302" s="171">
        <f t="shared" si="442"/>
        <v>0</v>
      </c>
      <c r="BZ302" s="171">
        <f t="shared" si="442"/>
        <v>0</v>
      </c>
      <c r="CA302" s="171">
        <f t="shared" si="442"/>
        <v>0</v>
      </c>
      <c r="CB302" s="171">
        <f t="shared" si="442"/>
        <v>0</v>
      </c>
      <c r="CC302" s="171">
        <f t="shared" si="442"/>
        <v>0</v>
      </c>
      <c r="CD302" s="171">
        <f t="shared" si="442"/>
        <v>0</v>
      </c>
      <c r="CE302" s="171">
        <f t="shared" si="442"/>
        <v>0</v>
      </c>
      <c r="CF302" s="171">
        <f t="shared" si="442"/>
        <v>0</v>
      </c>
      <c r="CG302" s="171">
        <f t="shared" si="442"/>
        <v>0</v>
      </c>
      <c r="CH302" s="171">
        <f t="shared" si="442"/>
        <v>0</v>
      </c>
      <c r="CI302" s="171">
        <f t="shared" si="442"/>
        <v>0</v>
      </c>
      <c r="CJ302" s="243"/>
      <c r="CK302" s="171">
        <f t="shared" si="346"/>
        <v>0</v>
      </c>
      <c r="CL302" s="171">
        <f t="shared" si="347"/>
        <v>0</v>
      </c>
      <c r="CM302" s="171">
        <f t="shared" si="348"/>
        <v>0</v>
      </c>
      <c r="CN302" s="171">
        <f t="shared" si="349"/>
        <v>0</v>
      </c>
      <c r="CO302" s="171">
        <f t="shared" si="350"/>
        <v>0</v>
      </c>
      <c r="CP302" s="171">
        <f t="shared" si="351"/>
        <v>0</v>
      </c>
      <c r="CQ302" s="171">
        <f t="shared" si="352"/>
        <v>0</v>
      </c>
      <c r="CR302" s="171">
        <f t="shared" si="353"/>
        <v>0</v>
      </c>
      <c r="CS302" s="171">
        <f t="shared" si="354"/>
        <v>0</v>
      </c>
      <c r="CT302" s="171">
        <f t="shared" si="355"/>
        <v>0</v>
      </c>
      <c r="CU302" s="171">
        <f t="shared" si="356"/>
        <v>0</v>
      </c>
      <c r="CV302" s="171">
        <f t="shared" si="357"/>
        <v>0</v>
      </c>
      <c r="CW302" s="171">
        <f t="shared" si="358"/>
        <v>0</v>
      </c>
      <c r="CX302" s="171">
        <f t="shared" si="359"/>
        <v>0</v>
      </c>
      <c r="CY302" s="171">
        <f t="shared" ca="1" si="360"/>
        <v>0</v>
      </c>
      <c r="CZ302" s="171">
        <f t="shared" ca="1" si="361"/>
        <v>0</v>
      </c>
      <c r="DA302" s="171">
        <f t="shared" ca="1" si="362"/>
        <v>0</v>
      </c>
      <c r="DB302" s="171">
        <f t="shared" ca="1" si="363"/>
        <v>0</v>
      </c>
      <c r="DC302" s="171">
        <f t="shared" ca="1" si="364"/>
        <v>0</v>
      </c>
      <c r="DD302" s="171">
        <f t="shared" ca="1" si="365"/>
        <v>0</v>
      </c>
      <c r="DE302" s="171">
        <f t="shared" ca="1" si="366"/>
        <v>0</v>
      </c>
      <c r="DF302" s="171">
        <f t="shared" ca="1" si="367"/>
        <v>0</v>
      </c>
      <c r="DG302" s="171">
        <f t="shared" ca="1" si="368"/>
        <v>0</v>
      </c>
      <c r="DH302" s="171">
        <f t="shared" ca="1" si="369"/>
        <v>0</v>
      </c>
      <c r="DI302" s="171">
        <f t="shared" ca="1" si="370"/>
        <v>0</v>
      </c>
      <c r="DJ302" s="171">
        <f t="shared" ca="1" si="371"/>
        <v>0</v>
      </c>
      <c r="DK302" s="171">
        <f t="shared" ca="1" si="372"/>
        <v>0</v>
      </c>
      <c r="DL302" s="171">
        <f t="shared" ca="1" si="373"/>
        <v>0</v>
      </c>
      <c r="DM302" s="171">
        <f t="shared" ca="1" si="374"/>
        <v>0</v>
      </c>
      <c r="DN302" s="171">
        <f t="shared" ca="1" si="375"/>
        <v>0</v>
      </c>
      <c r="DO302" s="171">
        <f t="shared" ca="1" si="376"/>
        <v>0</v>
      </c>
      <c r="DP302" s="171">
        <f t="shared" ca="1" si="377"/>
        <v>0</v>
      </c>
      <c r="DQ302" s="171">
        <f t="shared" ca="1" si="378"/>
        <v>0</v>
      </c>
      <c r="DR302" s="171">
        <f t="shared" ca="1" si="379"/>
        <v>0</v>
      </c>
      <c r="DS302" s="171">
        <f t="shared" ca="1" si="380"/>
        <v>0</v>
      </c>
      <c r="DT302" s="171">
        <f t="shared" ca="1" si="381"/>
        <v>0</v>
      </c>
      <c r="DU302" s="171">
        <f t="shared" ca="1" si="382"/>
        <v>0</v>
      </c>
      <c r="DV302" s="171">
        <f t="shared" ca="1" si="383"/>
        <v>0</v>
      </c>
      <c r="DW302" s="171">
        <f t="shared" ca="1" si="384"/>
        <v>0</v>
      </c>
      <c r="DX302" s="171">
        <f t="shared" ca="1" si="385"/>
        <v>0</v>
      </c>
      <c r="DY302" s="171">
        <f t="shared" ca="1" si="386"/>
        <v>0</v>
      </c>
      <c r="DZ302" s="171">
        <f t="shared" ca="1" si="387"/>
        <v>0</v>
      </c>
      <c r="EA302" s="171">
        <f t="shared" ca="1" si="388"/>
        <v>0</v>
      </c>
      <c r="EB302" s="171">
        <f t="shared" ca="1" si="389"/>
        <v>0</v>
      </c>
      <c r="EC302" s="171">
        <f t="shared" ca="1" si="390"/>
        <v>0</v>
      </c>
      <c r="ED302" s="171">
        <f t="shared" ca="1" si="391"/>
        <v>0</v>
      </c>
      <c r="EE302" s="171">
        <f t="shared" ca="1" si="392"/>
        <v>0</v>
      </c>
      <c r="EF302" s="171">
        <f t="shared" ca="1" si="393"/>
        <v>0</v>
      </c>
      <c r="EG302" s="171">
        <f t="shared" ca="1" si="394"/>
        <v>0</v>
      </c>
      <c r="EH302" s="171">
        <f t="shared" ca="1" si="395"/>
        <v>0</v>
      </c>
      <c r="EI302" s="171">
        <f t="shared" ca="1" si="396"/>
        <v>0</v>
      </c>
      <c r="EJ302" s="171">
        <f t="shared" ca="1" si="397"/>
        <v>0</v>
      </c>
      <c r="EK302" s="171">
        <f t="shared" ca="1" si="398"/>
        <v>0</v>
      </c>
      <c r="EL302" s="171">
        <f t="shared" ca="1" si="399"/>
        <v>0</v>
      </c>
      <c r="EM302" s="171">
        <f t="shared" ca="1" si="400"/>
        <v>0</v>
      </c>
      <c r="EN302" s="171">
        <f t="shared" ca="1" si="401"/>
        <v>0</v>
      </c>
      <c r="EO302" s="171">
        <f t="shared" ca="1" si="402"/>
        <v>0</v>
      </c>
      <c r="EP302" s="171">
        <f t="shared" ca="1" si="403"/>
        <v>0</v>
      </c>
      <c r="EQ302" s="171">
        <f t="shared" ca="1" si="404"/>
        <v>0</v>
      </c>
      <c r="ER302" s="171">
        <f t="shared" ca="1" si="405"/>
        <v>0</v>
      </c>
      <c r="ES302" s="171">
        <f t="shared" ca="1" si="406"/>
        <v>0</v>
      </c>
    </row>
    <row r="303" spans="3:149">
      <c r="C303" s="214"/>
      <c r="H303" s="216"/>
      <c r="I303" s="217"/>
      <c r="L303" s="163"/>
      <c r="M303" s="164" t="str">
        <f t="shared" si="337"/>
        <v/>
      </c>
      <c r="N303" s="164" t="str">
        <f t="shared" si="338"/>
        <v/>
      </c>
      <c r="O303" s="165" t="str">
        <f t="shared" si="339"/>
        <v/>
      </c>
      <c r="R303" s="168"/>
      <c r="U303" s="171">
        <f t="shared" si="340"/>
        <v>0</v>
      </c>
      <c r="V303" s="171">
        <f t="shared" ca="1" si="341"/>
        <v>0</v>
      </c>
      <c r="W303" s="171">
        <f t="shared" ca="1" si="342"/>
        <v>0</v>
      </c>
      <c r="X303" s="172">
        <f t="shared" si="343"/>
        <v>0</v>
      </c>
      <c r="Y303" s="172" t="str">
        <f t="shared" si="344"/>
        <v/>
      </c>
      <c r="Z303" s="173">
        <f t="shared" si="345"/>
        <v>0</v>
      </c>
      <c r="AA303" s="171">
        <f t="shared" si="437"/>
        <v>0</v>
      </c>
      <c r="AB303" s="171">
        <f t="shared" si="437"/>
        <v>0</v>
      </c>
      <c r="AC303" s="171">
        <f t="shared" si="437"/>
        <v>0</v>
      </c>
      <c r="AD303" s="171">
        <f t="shared" si="437"/>
        <v>0</v>
      </c>
      <c r="AE303" s="171">
        <f t="shared" si="437"/>
        <v>0</v>
      </c>
      <c r="AF303" s="171">
        <f t="shared" si="437"/>
        <v>0</v>
      </c>
      <c r="AG303" s="171">
        <f t="shared" si="437"/>
        <v>0</v>
      </c>
      <c r="AH303" s="171">
        <f t="shared" si="437"/>
        <v>0</v>
      </c>
      <c r="AI303" s="171">
        <f t="shared" si="437"/>
        <v>0</v>
      </c>
      <c r="AJ303" s="171">
        <f t="shared" si="437"/>
        <v>0</v>
      </c>
      <c r="AK303" s="171">
        <f t="shared" si="438"/>
        <v>0</v>
      </c>
      <c r="AL303" s="171">
        <f t="shared" si="438"/>
        <v>0</v>
      </c>
      <c r="AM303" s="171">
        <f t="shared" si="438"/>
        <v>0</v>
      </c>
      <c r="AN303" s="171">
        <f t="shared" si="438"/>
        <v>0</v>
      </c>
      <c r="AO303" s="171">
        <f t="shared" si="438"/>
        <v>0</v>
      </c>
      <c r="AP303" s="171">
        <f t="shared" si="438"/>
        <v>0</v>
      </c>
      <c r="AQ303" s="171">
        <f t="shared" si="438"/>
        <v>0</v>
      </c>
      <c r="AR303" s="171">
        <f t="shared" si="438"/>
        <v>0</v>
      </c>
      <c r="AS303" s="171">
        <f t="shared" si="438"/>
        <v>0</v>
      </c>
      <c r="AT303" s="171">
        <f t="shared" si="438"/>
        <v>0</v>
      </c>
      <c r="AU303" s="171">
        <f t="shared" si="439"/>
        <v>0</v>
      </c>
      <c r="AV303" s="171">
        <f t="shared" si="439"/>
        <v>0</v>
      </c>
      <c r="AW303" s="171">
        <f t="shared" si="439"/>
        <v>0</v>
      </c>
      <c r="AX303" s="171">
        <f t="shared" si="439"/>
        <v>0</v>
      </c>
      <c r="AY303" s="171">
        <f t="shared" si="439"/>
        <v>0</v>
      </c>
      <c r="AZ303" s="171">
        <f t="shared" si="439"/>
        <v>0</v>
      </c>
      <c r="BA303" s="171">
        <f t="shared" si="439"/>
        <v>0</v>
      </c>
      <c r="BB303" s="171">
        <f t="shared" si="439"/>
        <v>0</v>
      </c>
      <c r="BC303" s="171">
        <f t="shared" si="439"/>
        <v>0</v>
      </c>
      <c r="BD303" s="171">
        <f t="shared" si="439"/>
        <v>0</v>
      </c>
      <c r="BE303" s="171">
        <f t="shared" si="440"/>
        <v>0</v>
      </c>
      <c r="BF303" s="171">
        <f t="shared" si="440"/>
        <v>0</v>
      </c>
      <c r="BG303" s="171">
        <f t="shared" si="440"/>
        <v>0</v>
      </c>
      <c r="BH303" s="171">
        <f t="shared" si="440"/>
        <v>0</v>
      </c>
      <c r="BI303" s="171">
        <f t="shared" si="440"/>
        <v>0</v>
      </c>
      <c r="BJ303" s="171">
        <f t="shared" si="440"/>
        <v>0</v>
      </c>
      <c r="BK303" s="171">
        <f t="shared" si="440"/>
        <v>0</v>
      </c>
      <c r="BL303" s="171">
        <f t="shared" si="440"/>
        <v>0</v>
      </c>
      <c r="BM303" s="171">
        <f t="shared" si="440"/>
        <v>0</v>
      </c>
      <c r="BN303" s="171">
        <f t="shared" si="440"/>
        <v>0</v>
      </c>
      <c r="BO303" s="171">
        <f t="shared" si="441"/>
        <v>0</v>
      </c>
      <c r="BP303" s="171">
        <f t="shared" si="441"/>
        <v>0</v>
      </c>
      <c r="BQ303" s="171">
        <f t="shared" si="441"/>
        <v>0</v>
      </c>
      <c r="BR303" s="171">
        <f t="shared" si="441"/>
        <v>0</v>
      </c>
      <c r="BS303" s="171">
        <f t="shared" si="441"/>
        <v>0</v>
      </c>
      <c r="BT303" s="171">
        <f t="shared" si="441"/>
        <v>0</v>
      </c>
      <c r="BU303" s="171">
        <f t="shared" si="441"/>
        <v>0</v>
      </c>
      <c r="BV303" s="171">
        <f t="shared" si="441"/>
        <v>0</v>
      </c>
      <c r="BW303" s="171">
        <f t="shared" si="441"/>
        <v>0</v>
      </c>
      <c r="BX303" s="171">
        <f t="shared" si="441"/>
        <v>0</v>
      </c>
      <c r="BY303" s="171">
        <f t="shared" si="442"/>
        <v>0</v>
      </c>
      <c r="BZ303" s="171">
        <f t="shared" si="442"/>
        <v>0</v>
      </c>
      <c r="CA303" s="171">
        <f t="shared" si="442"/>
        <v>0</v>
      </c>
      <c r="CB303" s="171">
        <f t="shared" si="442"/>
        <v>0</v>
      </c>
      <c r="CC303" s="171">
        <f t="shared" si="442"/>
        <v>0</v>
      </c>
      <c r="CD303" s="171">
        <f t="shared" si="442"/>
        <v>0</v>
      </c>
      <c r="CE303" s="171">
        <f t="shared" si="442"/>
        <v>0</v>
      </c>
      <c r="CF303" s="171">
        <f t="shared" si="442"/>
        <v>0</v>
      </c>
      <c r="CG303" s="171">
        <f t="shared" si="442"/>
        <v>0</v>
      </c>
      <c r="CH303" s="171">
        <f t="shared" si="442"/>
        <v>0</v>
      </c>
      <c r="CI303" s="171">
        <f t="shared" si="442"/>
        <v>0</v>
      </c>
      <c r="CJ303" s="243"/>
      <c r="CK303" s="171">
        <f t="shared" si="346"/>
        <v>0</v>
      </c>
      <c r="CL303" s="171">
        <f t="shared" si="347"/>
        <v>0</v>
      </c>
      <c r="CM303" s="171">
        <f t="shared" si="348"/>
        <v>0</v>
      </c>
      <c r="CN303" s="171">
        <f t="shared" si="349"/>
        <v>0</v>
      </c>
      <c r="CO303" s="171">
        <f t="shared" si="350"/>
        <v>0</v>
      </c>
      <c r="CP303" s="171">
        <f t="shared" si="351"/>
        <v>0</v>
      </c>
      <c r="CQ303" s="171">
        <f t="shared" si="352"/>
        <v>0</v>
      </c>
      <c r="CR303" s="171">
        <f t="shared" si="353"/>
        <v>0</v>
      </c>
      <c r="CS303" s="171">
        <f t="shared" si="354"/>
        <v>0</v>
      </c>
      <c r="CT303" s="171">
        <f t="shared" si="355"/>
        <v>0</v>
      </c>
      <c r="CU303" s="171">
        <f t="shared" si="356"/>
        <v>0</v>
      </c>
      <c r="CV303" s="171">
        <f t="shared" si="357"/>
        <v>0</v>
      </c>
      <c r="CW303" s="171">
        <f t="shared" si="358"/>
        <v>0</v>
      </c>
      <c r="CX303" s="171">
        <f t="shared" si="359"/>
        <v>0</v>
      </c>
      <c r="CY303" s="171">
        <f t="shared" ca="1" si="360"/>
        <v>0</v>
      </c>
      <c r="CZ303" s="171">
        <f t="shared" ca="1" si="361"/>
        <v>0</v>
      </c>
      <c r="DA303" s="171">
        <f t="shared" ca="1" si="362"/>
        <v>0</v>
      </c>
      <c r="DB303" s="171">
        <f t="shared" ca="1" si="363"/>
        <v>0</v>
      </c>
      <c r="DC303" s="171">
        <f t="shared" ca="1" si="364"/>
        <v>0</v>
      </c>
      <c r="DD303" s="171">
        <f t="shared" ca="1" si="365"/>
        <v>0</v>
      </c>
      <c r="DE303" s="171">
        <f t="shared" ca="1" si="366"/>
        <v>0</v>
      </c>
      <c r="DF303" s="171">
        <f t="shared" ca="1" si="367"/>
        <v>0</v>
      </c>
      <c r="DG303" s="171">
        <f t="shared" ca="1" si="368"/>
        <v>0</v>
      </c>
      <c r="DH303" s="171">
        <f t="shared" ca="1" si="369"/>
        <v>0</v>
      </c>
      <c r="DI303" s="171">
        <f t="shared" ca="1" si="370"/>
        <v>0</v>
      </c>
      <c r="DJ303" s="171">
        <f t="shared" ca="1" si="371"/>
        <v>0</v>
      </c>
      <c r="DK303" s="171">
        <f t="shared" ca="1" si="372"/>
        <v>0</v>
      </c>
      <c r="DL303" s="171">
        <f t="shared" ca="1" si="373"/>
        <v>0</v>
      </c>
      <c r="DM303" s="171">
        <f t="shared" ca="1" si="374"/>
        <v>0</v>
      </c>
      <c r="DN303" s="171">
        <f t="shared" ca="1" si="375"/>
        <v>0</v>
      </c>
      <c r="DO303" s="171">
        <f t="shared" ca="1" si="376"/>
        <v>0</v>
      </c>
      <c r="DP303" s="171">
        <f t="shared" ca="1" si="377"/>
        <v>0</v>
      </c>
      <c r="DQ303" s="171">
        <f t="shared" ca="1" si="378"/>
        <v>0</v>
      </c>
      <c r="DR303" s="171">
        <f t="shared" ca="1" si="379"/>
        <v>0</v>
      </c>
      <c r="DS303" s="171">
        <f t="shared" ca="1" si="380"/>
        <v>0</v>
      </c>
      <c r="DT303" s="171">
        <f t="shared" ca="1" si="381"/>
        <v>0</v>
      </c>
      <c r="DU303" s="171">
        <f t="shared" ca="1" si="382"/>
        <v>0</v>
      </c>
      <c r="DV303" s="171">
        <f t="shared" ca="1" si="383"/>
        <v>0</v>
      </c>
      <c r="DW303" s="171">
        <f t="shared" ca="1" si="384"/>
        <v>0</v>
      </c>
      <c r="DX303" s="171">
        <f t="shared" ca="1" si="385"/>
        <v>0</v>
      </c>
      <c r="DY303" s="171">
        <f t="shared" ca="1" si="386"/>
        <v>0</v>
      </c>
      <c r="DZ303" s="171">
        <f t="shared" ca="1" si="387"/>
        <v>0</v>
      </c>
      <c r="EA303" s="171">
        <f t="shared" ca="1" si="388"/>
        <v>0</v>
      </c>
      <c r="EB303" s="171">
        <f t="shared" ca="1" si="389"/>
        <v>0</v>
      </c>
      <c r="EC303" s="171">
        <f t="shared" ca="1" si="390"/>
        <v>0</v>
      </c>
      <c r="ED303" s="171">
        <f t="shared" ca="1" si="391"/>
        <v>0</v>
      </c>
      <c r="EE303" s="171">
        <f t="shared" ca="1" si="392"/>
        <v>0</v>
      </c>
      <c r="EF303" s="171">
        <f t="shared" ca="1" si="393"/>
        <v>0</v>
      </c>
      <c r="EG303" s="171">
        <f t="shared" ca="1" si="394"/>
        <v>0</v>
      </c>
      <c r="EH303" s="171">
        <f t="shared" ca="1" si="395"/>
        <v>0</v>
      </c>
      <c r="EI303" s="171">
        <f t="shared" ca="1" si="396"/>
        <v>0</v>
      </c>
      <c r="EJ303" s="171">
        <f t="shared" ca="1" si="397"/>
        <v>0</v>
      </c>
      <c r="EK303" s="171">
        <f t="shared" ca="1" si="398"/>
        <v>0</v>
      </c>
      <c r="EL303" s="171">
        <f t="shared" ca="1" si="399"/>
        <v>0</v>
      </c>
      <c r="EM303" s="171">
        <f t="shared" ca="1" si="400"/>
        <v>0</v>
      </c>
      <c r="EN303" s="171">
        <f t="shared" ca="1" si="401"/>
        <v>0</v>
      </c>
      <c r="EO303" s="171">
        <f t="shared" ca="1" si="402"/>
        <v>0</v>
      </c>
      <c r="EP303" s="171">
        <f t="shared" ca="1" si="403"/>
        <v>0</v>
      </c>
      <c r="EQ303" s="171">
        <f t="shared" ca="1" si="404"/>
        <v>0</v>
      </c>
      <c r="ER303" s="171">
        <f t="shared" ca="1" si="405"/>
        <v>0</v>
      </c>
      <c r="ES303" s="171">
        <f t="shared" ca="1" si="406"/>
        <v>0</v>
      </c>
    </row>
    <row r="304" spans="3:149">
      <c r="C304" s="214"/>
      <c r="H304" s="216"/>
      <c r="I304" s="217"/>
      <c r="L304" s="163"/>
      <c r="M304" s="164" t="str">
        <f t="shared" si="337"/>
        <v/>
      </c>
      <c r="N304" s="164" t="str">
        <f t="shared" si="338"/>
        <v/>
      </c>
      <c r="O304" s="165" t="str">
        <f t="shared" si="339"/>
        <v/>
      </c>
      <c r="R304" s="168"/>
      <c r="U304" s="171">
        <f t="shared" si="340"/>
        <v>0</v>
      </c>
      <c r="V304" s="171">
        <f t="shared" ca="1" si="341"/>
        <v>0</v>
      </c>
      <c r="W304" s="171">
        <f t="shared" ca="1" si="342"/>
        <v>0</v>
      </c>
      <c r="X304" s="172">
        <f t="shared" si="343"/>
        <v>0</v>
      </c>
      <c r="Y304" s="172" t="str">
        <f t="shared" si="344"/>
        <v/>
      </c>
      <c r="Z304" s="173">
        <f t="shared" si="345"/>
        <v>0</v>
      </c>
      <c r="AA304" s="171">
        <f t="shared" si="437"/>
        <v>0</v>
      </c>
      <c r="AB304" s="171">
        <f t="shared" si="437"/>
        <v>0</v>
      </c>
      <c r="AC304" s="171">
        <f t="shared" si="437"/>
        <v>0</v>
      </c>
      <c r="AD304" s="171">
        <f t="shared" si="437"/>
        <v>0</v>
      </c>
      <c r="AE304" s="171">
        <f t="shared" si="437"/>
        <v>0</v>
      </c>
      <c r="AF304" s="171">
        <f t="shared" si="437"/>
        <v>0</v>
      </c>
      <c r="AG304" s="171">
        <f t="shared" si="437"/>
        <v>0</v>
      </c>
      <c r="AH304" s="171">
        <f t="shared" si="437"/>
        <v>0</v>
      </c>
      <c r="AI304" s="171">
        <f t="shared" si="437"/>
        <v>0</v>
      </c>
      <c r="AJ304" s="171">
        <f t="shared" si="437"/>
        <v>0</v>
      </c>
      <c r="AK304" s="171">
        <f t="shared" si="438"/>
        <v>0</v>
      </c>
      <c r="AL304" s="171">
        <f t="shared" si="438"/>
        <v>0</v>
      </c>
      <c r="AM304" s="171">
        <f t="shared" si="438"/>
        <v>0</v>
      </c>
      <c r="AN304" s="171">
        <f t="shared" si="438"/>
        <v>0</v>
      </c>
      <c r="AO304" s="171">
        <f t="shared" si="438"/>
        <v>0</v>
      </c>
      <c r="AP304" s="171">
        <f t="shared" si="438"/>
        <v>0</v>
      </c>
      <c r="AQ304" s="171">
        <f t="shared" si="438"/>
        <v>0</v>
      </c>
      <c r="AR304" s="171">
        <f t="shared" si="438"/>
        <v>0</v>
      </c>
      <c r="AS304" s="171">
        <f t="shared" si="438"/>
        <v>0</v>
      </c>
      <c r="AT304" s="171">
        <f t="shared" si="438"/>
        <v>0</v>
      </c>
      <c r="AU304" s="171">
        <f t="shared" si="439"/>
        <v>0</v>
      </c>
      <c r="AV304" s="171">
        <f t="shared" si="439"/>
        <v>0</v>
      </c>
      <c r="AW304" s="171">
        <f t="shared" si="439"/>
        <v>0</v>
      </c>
      <c r="AX304" s="171">
        <f t="shared" si="439"/>
        <v>0</v>
      </c>
      <c r="AY304" s="171">
        <f t="shared" si="439"/>
        <v>0</v>
      </c>
      <c r="AZ304" s="171">
        <f t="shared" si="439"/>
        <v>0</v>
      </c>
      <c r="BA304" s="171">
        <f t="shared" si="439"/>
        <v>0</v>
      </c>
      <c r="BB304" s="171">
        <f t="shared" si="439"/>
        <v>0</v>
      </c>
      <c r="BC304" s="171">
        <f t="shared" si="439"/>
        <v>0</v>
      </c>
      <c r="BD304" s="171">
        <f t="shared" si="439"/>
        <v>0</v>
      </c>
      <c r="BE304" s="171">
        <f t="shared" si="440"/>
        <v>0</v>
      </c>
      <c r="BF304" s="171">
        <f t="shared" si="440"/>
        <v>0</v>
      </c>
      <c r="BG304" s="171">
        <f t="shared" si="440"/>
        <v>0</v>
      </c>
      <c r="BH304" s="171">
        <f t="shared" si="440"/>
        <v>0</v>
      </c>
      <c r="BI304" s="171">
        <f t="shared" si="440"/>
        <v>0</v>
      </c>
      <c r="BJ304" s="171">
        <f t="shared" si="440"/>
        <v>0</v>
      </c>
      <c r="BK304" s="171">
        <f t="shared" si="440"/>
        <v>0</v>
      </c>
      <c r="BL304" s="171">
        <f t="shared" si="440"/>
        <v>0</v>
      </c>
      <c r="BM304" s="171">
        <f t="shared" si="440"/>
        <v>0</v>
      </c>
      <c r="BN304" s="171">
        <f t="shared" si="440"/>
        <v>0</v>
      </c>
      <c r="BO304" s="171">
        <f t="shared" si="441"/>
        <v>0</v>
      </c>
      <c r="BP304" s="171">
        <f t="shared" si="441"/>
        <v>0</v>
      </c>
      <c r="BQ304" s="171">
        <f t="shared" si="441"/>
        <v>0</v>
      </c>
      <c r="BR304" s="171">
        <f t="shared" si="441"/>
        <v>0</v>
      </c>
      <c r="BS304" s="171">
        <f t="shared" si="441"/>
        <v>0</v>
      </c>
      <c r="BT304" s="171">
        <f t="shared" si="441"/>
        <v>0</v>
      </c>
      <c r="BU304" s="171">
        <f t="shared" si="441"/>
        <v>0</v>
      </c>
      <c r="BV304" s="171">
        <f t="shared" si="441"/>
        <v>0</v>
      </c>
      <c r="BW304" s="171">
        <f t="shared" si="441"/>
        <v>0</v>
      </c>
      <c r="BX304" s="171">
        <f t="shared" si="441"/>
        <v>0</v>
      </c>
      <c r="BY304" s="171">
        <f t="shared" si="442"/>
        <v>0</v>
      </c>
      <c r="BZ304" s="171">
        <f t="shared" si="442"/>
        <v>0</v>
      </c>
      <c r="CA304" s="171">
        <f t="shared" si="442"/>
        <v>0</v>
      </c>
      <c r="CB304" s="171">
        <f t="shared" si="442"/>
        <v>0</v>
      </c>
      <c r="CC304" s="171">
        <f t="shared" si="442"/>
        <v>0</v>
      </c>
      <c r="CD304" s="171">
        <f t="shared" si="442"/>
        <v>0</v>
      </c>
      <c r="CE304" s="171">
        <f t="shared" si="442"/>
        <v>0</v>
      </c>
      <c r="CF304" s="171">
        <f t="shared" si="442"/>
        <v>0</v>
      </c>
      <c r="CG304" s="171">
        <f t="shared" si="442"/>
        <v>0</v>
      </c>
      <c r="CH304" s="171">
        <f t="shared" si="442"/>
        <v>0</v>
      </c>
      <c r="CI304" s="171">
        <f t="shared" si="442"/>
        <v>0</v>
      </c>
      <c r="CJ304" s="243"/>
      <c r="CK304" s="171">
        <f t="shared" si="346"/>
        <v>0</v>
      </c>
      <c r="CL304" s="171">
        <f t="shared" si="347"/>
        <v>0</v>
      </c>
      <c r="CM304" s="171">
        <f t="shared" si="348"/>
        <v>0</v>
      </c>
      <c r="CN304" s="171">
        <f t="shared" si="349"/>
        <v>0</v>
      </c>
      <c r="CO304" s="171">
        <f t="shared" si="350"/>
        <v>0</v>
      </c>
      <c r="CP304" s="171">
        <f t="shared" si="351"/>
        <v>0</v>
      </c>
      <c r="CQ304" s="171">
        <f t="shared" si="352"/>
        <v>0</v>
      </c>
      <c r="CR304" s="171">
        <f t="shared" si="353"/>
        <v>0</v>
      </c>
      <c r="CS304" s="171">
        <f t="shared" si="354"/>
        <v>0</v>
      </c>
      <c r="CT304" s="171">
        <f t="shared" si="355"/>
        <v>0</v>
      </c>
      <c r="CU304" s="171">
        <f t="shared" si="356"/>
        <v>0</v>
      </c>
      <c r="CV304" s="171">
        <f t="shared" si="357"/>
        <v>0</v>
      </c>
      <c r="CW304" s="171">
        <f t="shared" si="358"/>
        <v>0</v>
      </c>
      <c r="CX304" s="171">
        <f t="shared" si="359"/>
        <v>0</v>
      </c>
      <c r="CY304" s="171">
        <f t="shared" ca="1" si="360"/>
        <v>0</v>
      </c>
      <c r="CZ304" s="171">
        <f t="shared" ca="1" si="361"/>
        <v>0</v>
      </c>
      <c r="DA304" s="171">
        <f t="shared" ca="1" si="362"/>
        <v>0</v>
      </c>
      <c r="DB304" s="171">
        <f t="shared" ca="1" si="363"/>
        <v>0</v>
      </c>
      <c r="DC304" s="171">
        <f t="shared" ca="1" si="364"/>
        <v>0</v>
      </c>
      <c r="DD304" s="171">
        <f t="shared" ca="1" si="365"/>
        <v>0</v>
      </c>
      <c r="DE304" s="171">
        <f t="shared" ca="1" si="366"/>
        <v>0</v>
      </c>
      <c r="DF304" s="171">
        <f t="shared" ca="1" si="367"/>
        <v>0</v>
      </c>
      <c r="DG304" s="171">
        <f t="shared" ca="1" si="368"/>
        <v>0</v>
      </c>
      <c r="DH304" s="171">
        <f t="shared" ca="1" si="369"/>
        <v>0</v>
      </c>
      <c r="DI304" s="171">
        <f t="shared" ca="1" si="370"/>
        <v>0</v>
      </c>
      <c r="DJ304" s="171">
        <f t="shared" ca="1" si="371"/>
        <v>0</v>
      </c>
      <c r="DK304" s="171">
        <f t="shared" ca="1" si="372"/>
        <v>0</v>
      </c>
      <c r="DL304" s="171">
        <f t="shared" ca="1" si="373"/>
        <v>0</v>
      </c>
      <c r="DM304" s="171">
        <f t="shared" ca="1" si="374"/>
        <v>0</v>
      </c>
      <c r="DN304" s="171">
        <f t="shared" ca="1" si="375"/>
        <v>0</v>
      </c>
      <c r="DO304" s="171">
        <f t="shared" ca="1" si="376"/>
        <v>0</v>
      </c>
      <c r="DP304" s="171">
        <f t="shared" ca="1" si="377"/>
        <v>0</v>
      </c>
      <c r="DQ304" s="171">
        <f t="shared" ca="1" si="378"/>
        <v>0</v>
      </c>
      <c r="DR304" s="171">
        <f t="shared" ca="1" si="379"/>
        <v>0</v>
      </c>
      <c r="DS304" s="171">
        <f t="shared" ca="1" si="380"/>
        <v>0</v>
      </c>
      <c r="DT304" s="171">
        <f t="shared" ca="1" si="381"/>
        <v>0</v>
      </c>
      <c r="DU304" s="171">
        <f t="shared" ca="1" si="382"/>
        <v>0</v>
      </c>
      <c r="DV304" s="171">
        <f t="shared" ca="1" si="383"/>
        <v>0</v>
      </c>
      <c r="DW304" s="171">
        <f t="shared" ca="1" si="384"/>
        <v>0</v>
      </c>
      <c r="DX304" s="171">
        <f t="shared" ca="1" si="385"/>
        <v>0</v>
      </c>
      <c r="DY304" s="171">
        <f t="shared" ca="1" si="386"/>
        <v>0</v>
      </c>
      <c r="DZ304" s="171">
        <f t="shared" ca="1" si="387"/>
        <v>0</v>
      </c>
      <c r="EA304" s="171">
        <f t="shared" ca="1" si="388"/>
        <v>0</v>
      </c>
      <c r="EB304" s="171">
        <f t="shared" ca="1" si="389"/>
        <v>0</v>
      </c>
      <c r="EC304" s="171">
        <f t="shared" ca="1" si="390"/>
        <v>0</v>
      </c>
      <c r="ED304" s="171">
        <f t="shared" ca="1" si="391"/>
        <v>0</v>
      </c>
      <c r="EE304" s="171">
        <f t="shared" ca="1" si="392"/>
        <v>0</v>
      </c>
      <c r="EF304" s="171">
        <f t="shared" ca="1" si="393"/>
        <v>0</v>
      </c>
      <c r="EG304" s="171">
        <f t="shared" ca="1" si="394"/>
        <v>0</v>
      </c>
      <c r="EH304" s="171">
        <f t="shared" ca="1" si="395"/>
        <v>0</v>
      </c>
      <c r="EI304" s="171">
        <f t="shared" ca="1" si="396"/>
        <v>0</v>
      </c>
      <c r="EJ304" s="171">
        <f t="shared" ca="1" si="397"/>
        <v>0</v>
      </c>
      <c r="EK304" s="171">
        <f t="shared" ca="1" si="398"/>
        <v>0</v>
      </c>
      <c r="EL304" s="171">
        <f t="shared" ca="1" si="399"/>
        <v>0</v>
      </c>
      <c r="EM304" s="171">
        <f t="shared" ca="1" si="400"/>
        <v>0</v>
      </c>
      <c r="EN304" s="171">
        <f t="shared" ca="1" si="401"/>
        <v>0</v>
      </c>
      <c r="EO304" s="171">
        <f t="shared" ca="1" si="402"/>
        <v>0</v>
      </c>
      <c r="EP304" s="171">
        <f t="shared" ca="1" si="403"/>
        <v>0</v>
      </c>
      <c r="EQ304" s="171">
        <f t="shared" ca="1" si="404"/>
        <v>0</v>
      </c>
      <c r="ER304" s="171">
        <f t="shared" ca="1" si="405"/>
        <v>0</v>
      </c>
      <c r="ES304" s="171">
        <f t="shared" ca="1" si="406"/>
        <v>0</v>
      </c>
    </row>
    <row r="305" spans="3:149">
      <c r="C305" s="214"/>
      <c r="H305" s="216"/>
      <c r="I305" s="217"/>
      <c r="L305" s="163"/>
      <c r="M305" s="164" t="str">
        <f t="shared" ref="M305:M368" si="443">IFERROR(K305*HLOOKUP(E305,$C$37:$BL$39,3,FALSE)/VLOOKUP(L305,$C$37:$BJ$44,MATCH(E305,$C$37:$BL$37,0),FALSE),"")</f>
        <v/>
      </c>
      <c r="N305" s="164" t="str">
        <f t="shared" ref="N305:N368" si="444">IFERROR(K305*HLOOKUP(E305,$C$37:$BL$39,2,FALSE)/VLOOKUP(L305,$C$37:$BJ$44,MATCH(E305,$C$37:$BL$37,0),FALSE),"")</f>
        <v/>
      </c>
      <c r="O305" s="165" t="str">
        <f t="shared" ref="O305:O368" si="445">IFERROR(IF($B$5="Foreign Currency",HLOOKUP(E305,$D$37:$BL$39,2,FALSE)/VLOOKUP(L305,$C$38:$BJ$44,MATCH(E305,$C$37:$BL$37,0),FALSE),HLOOKUP(E305,$D$37:$BL$39,3,FALSE)/VLOOKUP(L305,$C$38:$BJ$44,MATCH(E305,$C$37:$BL$37,0),FALSE)),"")</f>
        <v/>
      </c>
      <c r="R305" s="168"/>
      <c r="U305" s="171">
        <f t="shared" ref="U305:U368" si="446">IFERROR(SUM(AA305:CI305)/(Q305), 0)</f>
        <v>0</v>
      </c>
      <c r="V305" s="171">
        <f t="shared" ref="V305:V368" ca="1" si="447">IFERROR(SUM(CK305:ES305)/(Q305),0)</f>
        <v>0</v>
      </c>
      <c r="W305" s="171">
        <f t="shared" ref="W305:W368" ca="1" si="448">SUM(CK305:ES305)</f>
        <v>0</v>
      </c>
      <c r="X305" s="172">
        <f t="shared" ref="X305:X368" si="449">IFERROR(IF(T305="Equity", "Equity", 1-Y305), 0)</f>
        <v>0</v>
      </c>
      <c r="Y305" s="172" t="str">
        <f t="shared" ref="Y305:Y368" si="450">IFERROR(IF(ISNUMBER(SEARCH("EPP",T305)),(1-((P305/$B$12)/(((1+$B$11)^(1/$B$12))-1)))  *  (1-  (((1/((1+((((1+$B$11)^(1/$B$12))-1)))^($B$12*S305)))-(1/((1+((((1+$B$11)^(1/$B$12))-1)))^($B$12*(Q305+S305)))))/(((((1+$B$11)^(1/$B$12))-1))*(($B$12*(Q305+S305))-($B$12*S305))))),IF(ISNUMBER(SEARCH("Lump",T305)),(1-((1+P305*(Q305+S305))/((1+$B$11)^(Q305+S305)))),IF((T305="Equity"),"Equity",""))),"ERROR")</f>
        <v/>
      </c>
      <c r="Z305" s="173">
        <f t="shared" ref="Z305:Z368" si="451">SUM(AA305:CI305)</f>
        <v>0</v>
      </c>
      <c r="AA305" s="171">
        <f t="shared" si="437"/>
        <v>0</v>
      </c>
      <c r="AB305" s="171">
        <f t="shared" si="437"/>
        <v>0</v>
      </c>
      <c r="AC305" s="171">
        <f t="shared" si="437"/>
        <v>0</v>
      </c>
      <c r="AD305" s="171">
        <f t="shared" si="437"/>
        <v>0</v>
      </c>
      <c r="AE305" s="171">
        <f t="shared" si="437"/>
        <v>0</v>
      </c>
      <c r="AF305" s="171">
        <f t="shared" si="437"/>
        <v>0</v>
      </c>
      <c r="AG305" s="171">
        <f t="shared" si="437"/>
        <v>0</v>
      </c>
      <c r="AH305" s="171">
        <f t="shared" si="437"/>
        <v>0</v>
      </c>
      <c r="AI305" s="171">
        <f t="shared" si="437"/>
        <v>0</v>
      </c>
      <c r="AJ305" s="171">
        <f t="shared" si="437"/>
        <v>0</v>
      </c>
      <c r="AK305" s="171">
        <f t="shared" si="438"/>
        <v>0</v>
      </c>
      <c r="AL305" s="171">
        <f t="shared" si="438"/>
        <v>0</v>
      </c>
      <c r="AM305" s="171">
        <f t="shared" si="438"/>
        <v>0</v>
      </c>
      <c r="AN305" s="171">
        <f t="shared" si="438"/>
        <v>0</v>
      </c>
      <c r="AO305" s="171">
        <f t="shared" si="438"/>
        <v>0</v>
      </c>
      <c r="AP305" s="171">
        <f t="shared" si="438"/>
        <v>0</v>
      </c>
      <c r="AQ305" s="171">
        <f t="shared" si="438"/>
        <v>0</v>
      </c>
      <c r="AR305" s="171">
        <f t="shared" si="438"/>
        <v>0</v>
      </c>
      <c r="AS305" s="171">
        <f t="shared" si="438"/>
        <v>0</v>
      </c>
      <c r="AT305" s="171">
        <f t="shared" si="438"/>
        <v>0</v>
      </c>
      <c r="AU305" s="171">
        <f t="shared" si="439"/>
        <v>0</v>
      </c>
      <c r="AV305" s="171">
        <f t="shared" si="439"/>
        <v>0</v>
      </c>
      <c r="AW305" s="171">
        <f t="shared" si="439"/>
        <v>0</v>
      </c>
      <c r="AX305" s="171">
        <f t="shared" si="439"/>
        <v>0</v>
      </c>
      <c r="AY305" s="171">
        <f t="shared" si="439"/>
        <v>0</v>
      </c>
      <c r="AZ305" s="171">
        <f t="shared" si="439"/>
        <v>0</v>
      </c>
      <c r="BA305" s="171">
        <f t="shared" si="439"/>
        <v>0</v>
      </c>
      <c r="BB305" s="171">
        <f t="shared" si="439"/>
        <v>0</v>
      </c>
      <c r="BC305" s="171">
        <f t="shared" si="439"/>
        <v>0</v>
      </c>
      <c r="BD305" s="171">
        <f t="shared" si="439"/>
        <v>0</v>
      </c>
      <c r="BE305" s="171">
        <f t="shared" si="440"/>
        <v>0</v>
      </c>
      <c r="BF305" s="171">
        <f t="shared" si="440"/>
        <v>0</v>
      </c>
      <c r="BG305" s="171">
        <f t="shared" si="440"/>
        <v>0</v>
      </c>
      <c r="BH305" s="171">
        <f t="shared" si="440"/>
        <v>0</v>
      </c>
      <c r="BI305" s="171">
        <f t="shared" si="440"/>
        <v>0</v>
      </c>
      <c r="BJ305" s="171">
        <f t="shared" si="440"/>
        <v>0</v>
      </c>
      <c r="BK305" s="171">
        <f t="shared" si="440"/>
        <v>0</v>
      </c>
      <c r="BL305" s="171">
        <f t="shared" si="440"/>
        <v>0</v>
      </c>
      <c r="BM305" s="171">
        <f t="shared" si="440"/>
        <v>0</v>
      </c>
      <c r="BN305" s="171">
        <f t="shared" si="440"/>
        <v>0</v>
      </c>
      <c r="BO305" s="171">
        <f t="shared" si="441"/>
        <v>0</v>
      </c>
      <c r="BP305" s="171">
        <f t="shared" si="441"/>
        <v>0</v>
      </c>
      <c r="BQ305" s="171">
        <f t="shared" si="441"/>
        <v>0</v>
      </c>
      <c r="BR305" s="171">
        <f t="shared" si="441"/>
        <v>0</v>
      </c>
      <c r="BS305" s="171">
        <f t="shared" si="441"/>
        <v>0</v>
      </c>
      <c r="BT305" s="171">
        <f t="shared" si="441"/>
        <v>0</v>
      </c>
      <c r="BU305" s="171">
        <f t="shared" si="441"/>
        <v>0</v>
      </c>
      <c r="BV305" s="171">
        <f t="shared" si="441"/>
        <v>0</v>
      </c>
      <c r="BW305" s="171">
        <f t="shared" si="441"/>
        <v>0</v>
      </c>
      <c r="BX305" s="171">
        <f t="shared" si="441"/>
        <v>0</v>
      </c>
      <c r="BY305" s="171">
        <f t="shared" si="442"/>
        <v>0</v>
      </c>
      <c r="BZ305" s="171">
        <f t="shared" si="442"/>
        <v>0</v>
      </c>
      <c r="CA305" s="171">
        <f t="shared" si="442"/>
        <v>0</v>
      </c>
      <c r="CB305" s="171">
        <f t="shared" si="442"/>
        <v>0</v>
      </c>
      <c r="CC305" s="171">
        <f t="shared" si="442"/>
        <v>0</v>
      </c>
      <c r="CD305" s="171">
        <f t="shared" si="442"/>
        <v>0</v>
      </c>
      <c r="CE305" s="171">
        <f t="shared" si="442"/>
        <v>0</v>
      </c>
      <c r="CF305" s="171">
        <f t="shared" si="442"/>
        <v>0</v>
      </c>
      <c r="CG305" s="171">
        <f t="shared" si="442"/>
        <v>0</v>
      </c>
      <c r="CH305" s="171">
        <f t="shared" si="442"/>
        <v>0</v>
      </c>
      <c r="CI305" s="171">
        <f t="shared" si="442"/>
        <v>0</v>
      </c>
      <c r="CJ305" s="243"/>
      <c r="CK305" s="171">
        <f t="shared" ref="CK305:CK368" si="452">IF(CK$48&lt;$B$9,AA305,AA305*((1/(1+$B$10))^(CK$48-$B$9+1)))</f>
        <v>0</v>
      </c>
      <c r="CL305" s="171">
        <f t="shared" ref="CL305:CL368" si="453">IF(CL$48&lt;$B$9,AB305,AB305*((1/(1+$B$10))^(CL$48-$B$9+1)))</f>
        <v>0</v>
      </c>
      <c r="CM305" s="171">
        <f t="shared" ref="CM305:CM368" si="454">IF(CM$48&lt;$B$9,AC305,AC305*((1/(1+$B$10))^(CM$48-$B$9+1)))</f>
        <v>0</v>
      </c>
      <c r="CN305" s="171">
        <f t="shared" ref="CN305:CN368" si="455">IF(CN$48&lt;$B$9,AD305,AD305*((1/(1+$B$10))^(CN$48-$B$9+1)))</f>
        <v>0</v>
      </c>
      <c r="CO305" s="171">
        <f t="shared" ref="CO305:CO368" si="456">IF(CO$48&lt;$B$9,AE305,AE305*((1/(1+$B$10))^(CO$48-$B$9+1)))</f>
        <v>0</v>
      </c>
      <c r="CP305" s="171">
        <f t="shared" ref="CP305:CP368" si="457">IF(CP$48&lt;$B$9,AF305,AF305*((1/(1+$B$10))^(CP$48-$B$9+1)))</f>
        <v>0</v>
      </c>
      <c r="CQ305" s="171">
        <f t="shared" ref="CQ305:CQ368" si="458">IF(CQ$48&lt;$B$9,AG305,AG305*((1/(1+$B$10))^(CQ$48-$B$9+1)))</f>
        <v>0</v>
      </c>
      <c r="CR305" s="171">
        <f t="shared" ref="CR305:CR368" si="459">IF(CR$48&lt;$B$9,AH305,AH305*((1/(1+$B$10))^(CR$48-$B$9+1)))</f>
        <v>0</v>
      </c>
      <c r="CS305" s="171">
        <f t="shared" ref="CS305:CS368" si="460">IF(CS$48&lt;$B$9,AI305,AI305*((1/(1+$B$10))^(CS$48-$B$9+1)))</f>
        <v>0</v>
      </c>
      <c r="CT305" s="171">
        <f t="shared" ref="CT305:CT368" si="461">IF(CT$48&lt;$B$9,AJ305,AJ305*((1/(1+$B$10))^(CT$48-$B$9+1)))</f>
        <v>0</v>
      </c>
      <c r="CU305" s="171">
        <f t="shared" ref="CU305:CU368" si="462">IF(CU$48&lt;$B$9,AK305,AK305*((1/(1+$B$10))^(CU$48-$B$9+1)))</f>
        <v>0</v>
      </c>
      <c r="CV305" s="171">
        <f t="shared" ref="CV305:CV368" si="463">IF(CV$48&lt;$B$9,AL305,AL305*((1/(1+$B$10))^(CV$48-$B$9+1)))</f>
        <v>0</v>
      </c>
      <c r="CW305" s="171">
        <f t="shared" ref="CW305:CW368" si="464">IF(CW$48&lt;$B$9,AM305,AM305*((1/(1+$B$10))^(CW$48-$B$9+1)))</f>
        <v>0</v>
      </c>
      <c r="CX305" s="171">
        <f t="shared" ref="CX305:CX368" si="465">IF(CX$48&lt;$B$9,AN305,AN305*((1/(1+$B$10))^(CX$48-$B$9+1)))</f>
        <v>0</v>
      </c>
      <c r="CY305" s="171">
        <f t="shared" ref="CY305:CY368" ca="1" si="466">IF(CY$48&lt;$B$9,AO305,AO305*((1/(1+$B$10))^(CY$48-$B$9+1)))</f>
        <v>0</v>
      </c>
      <c r="CZ305" s="171">
        <f t="shared" ref="CZ305:CZ368" ca="1" si="467">IF(CZ$48&lt;$B$9,AP305,AP305*((1/(1+$B$10))^(CZ$48-$B$9+1)))</f>
        <v>0</v>
      </c>
      <c r="DA305" s="171">
        <f t="shared" ref="DA305:DA368" ca="1" si="468">IF(DA$48&lt;$B$9,AQ305,AQ305*((1/(1+$B$10))^(DA$48-$B$9+1)))</f>
        <v>0</v>
      </c>
      <c r="DB305" s="171">
        <f t="shared" ref="DB305:DB368" ca="1" si="469">IF(DB$48&lt;$B$9,AR305,AR305*((1/(1+$B$10))^(DB$48-$B$9+1)))</f>
        <v>0</v>
      </c>
      <c r="DC305" s="171">
        <f t="shared" ref="DC305:DC368" ca="1" si="470">IF(DC$48&lt;$B$9,AS305,AS305*((1/(1+$B$10))^(DC$48-$B$9+1)))</f>
        <v>0</v>
      </c>
      <c r="DD305" s="171">
        <f t="shared" ref="DD305:DD368" ca="1" si="471">IF(DD$48&lt;$B$9,AT305,AT305*((1/(1+$B$10))^(DD$48-$B$9+1)))</f>
        <v>0</v>
      </c>
      <c r="DE305" s="171">
        <f t="shared" ref="DE305:DE368" ca="1" si="472">IF(DE$48&lt;$B$9,AU305,AU305*((1/(1+$B$10))^(DE$48-$B$9+1)))</f>
        <v>0</v>
      </c>
      <c r="DF305" s="171">
        <f t="shared" ref="DF305:DF368" ca="1" si="473">IF(DF$48&lt;$B$9,AV305,AV305*((1/(1+$B$10))^(DF$48-$B$9+1)))</f>
        <v>0</v>
      </c>
      <c r="DG305" s="171">
        <f t="shared" ref="DG305:DG368" ca="1" si="474">IF(DG$48&lt;$B$9,AW305,AW305*((1/(1+$B$10))^(DG$48-$B$9+1)))</f>
        <v>0</v>
      </c>
      <c r="DH305" s="171">
        <f t="shared" ref="DH305:DH368" ca="1" si="475">IF(DH$48&lt;$B$9,AX305,AX305*((1/(1+$B$10))^(DH$48-$B$9+1)))</f>
        <v>0</v>
      </c>
      <c r="DI305" s="171">
        <f t="shared" ref="DI305:DI368" ca="1" si="476">IF(DI$48&lt;$B$9,AY305,AY305*((1/(1+$B$10))^(DI$48-$B$9+1)))</f>
        <v>0</v>
      </c>
      <c r="DJ305" s="171">
        <f t="shared" ref="DJ305:DJ368" ca="1" si="477">IF(DJ$48&lt;$B$9,AZ305,AZ305*((1/(1+$B$10))^(DJ$48-$B$9+1)))</f>
        <v>0</v>
      </c>
      <c r="DK305" s="171">
        <f t="shared" ref="DK305:DK368" ca="1" si="478">IF(DK$48&lt;$B$9,BA305,BA305*((1/(1+$B$10))^(DK$48-$B$9+1)))</f>
        <v>0</v>
      </c>
      <c r="DL305" s="171">
        <f t="shared" ref="DL305:DL368" ca="1" si="479">IF(DL$48&lt;$B$9,BB305,BB305*((1/(1+$B$10))^(DL$48-$B$9+1)))</f>
        <v>0</v>
      </c>
      <c r="DM305" s="171">
        <f t="shared" ref="DM305:DM368" ca="1" si="480">IF(DM$48&lt;$B$9,BC305,BC305*((1/(1+$B$10))^(DM$48-$B$9+1)))</f>
        <v>0</v>
      </c>
      <c r="DN305" s="171">
        <f t="shared" ref="DN305:DN368" ca="1" si="481">IF(DN$48&lt;$B$9,BD305,BD305*((1/(1+$B$10))^(DN$48-$B$9+1)))</f>
        <v>0</v>
      </c>
      <c r="DO305" s="171">
        <f t="shared" ref="DO305:DO368" ca="1" si="482">IF(DO$48&lt;$B$9,BE305,BE305*((1/(1+$B$10))^(DO$48-$B$9+1)))</f>
        <v>0</v>
      </c>
      <c r="DP305" s="171">
        <f t="shared" ref="DP305:DP368" ca="1" si="483">IF(DP$48&lt;$B$9,BF305,BF305*((1/(1+$B$10))^(DP$48-$B$9+1)))</f>
        <v>0</v>
      </c>
      <c r="DQ305" s="171">
        <f t="shared" ref="DQ305:DQ368" ca="1" si="484">IF(DQ$48&lt;$B$9,BG305,BG305*((1/(1+$B$10))^(DQ$48-$B$9+1)))</f>
        <v>0</v>
      </c>
      <c r="DR305" s="171">
        <f t="shared" ref="DR305:DR368" ca="1" si="485">IF(DR$48&lt;$B$9,BH305,BH305*((1/(1+$B$10))^(DR$48-$B$9+1)))</f>
        <v>0</v>
      </c>
      <c r="DS305" s="171">
        <f t="shared" ref="DS305:DS368" ca="1" si="486">IF(DS$48&lt;$B$9,BI305,BI305*((1/(1+$B$10))^(DS$48-$B$9+1)))</f>
        <v>0</v>
      </c>
      <c r="DT305" s="171">
        <f t="shared" ref="DT305:DT368" ca="1" si="487">IF(DT$48&lt;$B$9,BJ305,BJ305*((1/(1+$B$10))^(DT$48-$B$9+1)))</f>
        <v>0</v>
      </c>
      <c r="DU305" s="171">
        <f t="shared" ref="DU305:DU368" ca="1" si="488">IF(DU$48&lt;$B$9,BK305,BK305*((1/(1+$B$10))^(DU$48-$B$9+1)))</f>
        <v>0</v>
      </c>
      <c r="DV305" s="171">
        <f t="shared" ref="DV305:DV368" ca="1" si="489">IF(DV$48&lt;$B$9,BL305,BL305*((1/(1+$B$10))^(DV$48-$B$9+1)))</f>
        <v>0</v>
      </c>
      <c r="DW305" s="171">
        <f t="shared" ref="DW305:DW368" ca="1" si="490">IF(DW$48&lt;$B$9,BM305,BM305*((1/(1+$B$10))^(DW$48-$B$9+1)))</f>
        <v>0</v>
      </c>
      <c r="DX305" s="171">
        <f t="shared" ref="DX305:DX368" ca="1" si="491">IF(DX$48&lt;$B$9,BN305,BN305*((1/(1+$B$10))^(DX$48-$B$9+1)))</f>
        <v>0</v>
      </c>
      <c r="DY305" s="171">
        <f t="shared" ref="DY305:DY368" ca="1" si="492">IF(DY$48&lt;$B$9,BO305,BO305*((1/(1+$B$10))^(DY$48-$B$9+1)))</f>
        <v>0</v>
      </c>
      <c r="DZ305" s="171">
        <f t="shared" ref="DZ305:DZ368" ca="1" si="493">IF(DZ$48&lt;$B$9,BP305,BP305*((1/(1+$B$10))^(DZ$48-$B$9+1)))</f>
        <v>0</v>
      </c>
      <c r="EA305" s="171">
        <f t="shared" ref="EA305:EA368" ca="1" si="494">IF(EA$48&lt;$B$9,BQ305,BQ305*((1/(1+$B$10))^(EA$48-$B$9+1)))</f>
        <v>0</v>
      </c>
      <c r="EB305" s="171">
        <f t="shared" ref="EB305:EB368" ca="1" si="495">IF(EB$48&lt;$B$9,BR305,BR305*((1/(1+$B$10))^(EB$48-$B$9+1)))</f>
        <v>0</v>
      </c>
      <c r="EC305" s="171">
        <f t="shared" ref="EC305:EC368" ca="1" si="496">IF(EC$48&lt;$B$9,BS305,BS305*((1/(1+$B$10))^(EC$48-$B$9+1)))</f>
        <v>0</v>
      </c>
      <c r="ED305" s="171">
        <f t="shared" ref="ED305:ED368" ca="1" si="497">IF(ED$48&lt;$B$9,BT305,BT305*((1/(1+$B$10))^(ED$48-$B$9+1)))</f>
        <v>0</v>
      </c>
      <c r="EE305" s="171">
        <f t="shared" ref="EE305:EE368" ca="1" si="498">IF(EE$48&lt;$B$9,BU305,BU305*((1/(1+$B$10))^(EE$48-$B$9+1)))</f>
        <v>0</v>
      </c>
      <c r="EF305" s="171">
        <f t="shared" ref="EF305:EF368" ca="1" si="499">IF(EF$48&lt;$B$9,BV305,BV305*((1/(1+$B$10))^(EF$48-$B$9+1)))</f>
        <v>0</v>
      </c>
      <c r="EG305" s="171">
        <f t="shared" ref="EG305:EG368" ca="1" si="500">IF(EG$48&lt;$B$9,BW305,BW305*((1/(1+$B$10))^(EG$48-$B$9+1)))</f>
        <v>0</v>
      </c>
      <c r="EH305" s="171">
        <f t="shared" ref="EH305:EH368" ca="1" si="501">IF(EH$48&lt;$B$9,BX305,BX305*((1/(1+$B$10))^(EH$48-$B$9+1)))</f>
        <v>0</v>
      </c>
      <c r="EI305" s="171">
        <f t="shared" ref="EI305:EI368" ca="1" si="502">IF(EI$48&lt;$B$9,BY305,BY305*((1/(1+$B$10))^(EI$48-$B$9+1)))</f>
        <v>0</v>
      </c>
      <c r="EJ305" s="171">
        <f t="shared" ref="EJ305:EJ368" ca="1" si="503">IF(EJ$48&lt;$B$9,BZ305,BZ305*((1/(1+$B$10))^(EJ$48-$B$9+1)))</f>
        <v>0</v>
      </c>
      <c r="EK305" s="171">
        <f t="shared" ref="EK305:EK368" ca="1" si="504">IF(EK$48&lt;$B$9,CA305,CA305*((1/(1+$B$10))^(EK$48-$B$9+1)))</f>
        <v>0</v>
      </c>
      <c r="EL305" s="171">
        <f t="shared" ref="EL305:EL368" ca="1" si="505">IF(EL$48&lt;$B$9,CB305,CB305*((1/(1+$B$10))^(EL$48-$B$9+1)))</f>
        <v>0</v>
      </c>
      <c r="EM305" s="171">
        <f t="shared" ref="EM305:EM368" ca="1" si="506">IF(EM$48&lt;$B$9,CC305,CC305*((1/(1+$B$10))^(EM$48-$B$9+1)))</f>
        <v>0</v>
      </c>
      <c r="EN305" s="171">
        <f t="shared" ref="EN305:EN368" ca="1" si="507">IF(EN$48&lt;$B$9,CD305,CD305*((1/(1+$B$10))^(EN$48-$B$9+1)))</f>
        <v>0</v>
      </c>
      <c r="EO305" s="171">
        <f t="shared" ref="EO305:EO368" ca="1" si="508">IF(EO$48&lt;$B$9,CE305,CE305*((1/(1+$B$10))^(EO$48-$B$9+1)))</f>
        <v>0</v>
      </c>
      <c r="EP305" s="171">
        <f t="shared" ref="EP305:EP368" ca="1" si="509">IF(EP$48&lt;$B$9,CF305,CF305*((1/(1+$B$10))^(EP$48-$B$9+1)))</f>
        <v>0</v>
      </c>
      <c r="EQ305" s="171">
        <f t="shared" ref="EQ305:EQ368" ca="1" si="510">IF(EQ$48&lt;$B$9,CG305,CG305*((1/(1+$B$10))^(EQ$48-$B$9+1)))</f>
        <v>0</v>
      </c>
      <c r="ER305" s="171">
        <f t="shared" ref="ER305:ER368" ca="1" si="511">IF(ER$48&lt;$B$9,CH305,CH305*((1/(1+$B$10))^(ER$48-$B$9+1)))</f>
        <v>0</v>
      </c>
      <c r="ES305" s="171">
        <f t="shared" ref="ES305:ES368" ca="1" si="512">IF(ES$48&lt;$B$9,CI305,CI305*((1/(1+$B$10))^(ES$48-$B$9+1)))</f>
        <v>0</v>
      </c>
    </row>
    <row r="306" spans="3:149">
      <c r="C306" s="214"/>
      <c r="H306" s="216"/>
      <c r="I306" s="217"/>
      <c r="L306" s="163"/>
      <c r="M306" s="164" t="str">
        <f t="shared" si="443"/>
        <v/>
      </c>
      <c r="N306" s="164" t="str">
        <f t="shared" si="444"/>
        <v/>
      </c>
      <c r="O306" s="165" t="str">
        <f t="shared" si="445"/>
        <v/>
      </c>
      <c r="R306" s="168"/>
      <c r="U306" s="171">
        <f t="shared" si="446"/>
        <v>0</v>
      </c>
      <c r="V306" s="171">
        <f t="shared" ca="1" si="447"/>
        <v>0</v>
      </c>
      <c r="W306" s="171">
        <f t="shared" ca="1" si="448"/>
        <v>0</v>
      </c>
      <c r="X306" s="172">
        <f t="shared" si="449"/>
        <v>0</v>
      </c>
      <c r="Y306" s="172" t="str">
        <f t="shared" si="450"/>
        <v/>
      </c>
      <c r="Z306" s="173">
        <f t="shared" si="451"/>
        <v>0</v>
      </c>
      <c r="AA306" s="171">
        <f t="shared" si="437"/>
        <v>0</v>
      </c>
      <c r="AB306" s="171">
        <f t="shared" si="437"/>
        <v>0</v>
      </c>
      <c r="AC306" s="171">
        <f t="shared" si="437"/>
        <v>0</v>
      </c>
      <c r="AD306" s="171">
        <f t="shared" si="437"/>
        <v>0</v>
      </c>
      <c r="AE306" s="171">
        <f t="shared" si="437"/>
        <v>0</v>
      </c>
      <c r="AF306" s="171">
        <f t="shared" si="437"/>
        <v>0</v>
      </c>
      <c r="AG306" s="171">
        <f t="shared" si="437"/>
        <v>0</v>
      </c>
      <c r="AH306" s="171">
        <f t="shared" si="437"/>
        <v>0</v>
      </c>
      <c r="AI306" s="171">
        <f t="shared" si="437"/>
        <v>0</v>
      </c>
      <c r="AJ306" s="171">
        <f t="shared" si="437"/>
        <v>0</v>
      </c>
      <c r="AK306" s="171">
        <f t="shared" si="438"/>
        <v>0</v>
      </c>
      <c r="AL306" s="171">
        <f t="shared" si="438"/>
        <v>0</v>
      </c>
      <c r="AM306" s="171">
        <f t="shared" si="438"/>
        <v>0</v>
      </c>
      <c r="AN306" s="171">
        <f t="shared" si="438"/>
        <v>0</v>
      </c>
      <c r="AO306" s="171">
        <f t="shared" si="438"/>
        <v>0</v>
      </c>
      <c r="AP306" s="171">
        <f t="shared" si="438"/>
        <v>0</v>
      </c>
      <c r="AQ306" s="171">
        <f t="shared" si="438"/>
        <v>0</v>
      </c>
      <c r="AR306" s="171">
        <f t="shared" si="438"/>
        <v>0</v>
      </c>
      <c r="AS306" s="171">
        <f t="shared" si="438"/>
        <v>0</v>
      </c>
      <c r="AT306" s="171">
        <f t="shared" si="438"/>
        <v>0</v>
      </c>
      <c r="AU306" s="171">
        <f t="shared" si="439"/>
        <v>0</v>
      </c>
      <c r="AV306" s="171">
        <f t="shared" si="439"/>
        <v>0</v>
      </c>
      <c r="AW306" s="171">
        <f t="shared" si="439"/>
        <v>0</v>
      </c>
      <c r="AX306" s="171">
        <f t="shared" si="439"/>
        <v>0</v>
      </c>
      <c r="AY306" s="171">
        <f t="shared" si="439"/>
        <v>0</v>
      </c>
      <c r="AZ306" s="171">
        <f t="shared" si="439"/>
        <v>0</v>
      </c>
      <c r="BA306" s="171">
        <f t="shared" si="439"/>
        <v>0</v>
      </c>
      <c r="BB306" s="171">
        <f t="shared" si="439"/>
        <v>0</v>
      </c>
      <c r="BC306" s="171">
        <f t="shared" si="439"/>
        <v>0</v>
      </c>
      <c r="BD306" s="171">
        <f t="shared" si="439"/>
        <v>0</v>
      </c>
      <c r="BE306" s="171">
        <f t="shared" si="440"/>
        <v>0</v>
      </c>
      <c r="BF306" s="171">
        <f t="shared" si="440"/>
        <v>0</v>
      </c>
      <c r="BG306" s="171">
        <f t="shared" si="440"/>
        <v>0</v>
      </c>
      <c r="BH306" s="171">
        <f t="shared" si="440"/>
        <v>0</v>
      </c>
      <c r="BI306" s="171">
        <f t="shared" si="440"/>
        <v>0</v>
      </c>
      <c r="BJ306" s="171">
        <f t="shared" si="440"/>
        <v>0</v>
      </c>
      <c r="BK306" s="171">
        <f t="shared" si="440"/>
        <v>0</v>
      </c>
      <c r="BL306" s="171">
        <f t="shared" si="440"/>
        <v>0</v>
      </c>
      <c r="BM306" s="171">
        <f t="shared" si="440"/>
        <v>0</v>
      </c>
      <c r="BN306" s="171">
        <f t="shared" si="440"/>
        <v>0</v>
      </c>
      <c r="BO306" s="171">
        <f t="shared" si="441"/>
        <v>0</v>
      </c>
      <c r="BP306" s="171">
        <f t="shared" si="441"/>
        <v>0</v>
      </c>
      <c r="BQ306" s="171">
        <f t="shared" si="441"/>
        <v>0</v>
      </c>
      <c r="BR306" s="171">
        <f t="shared" si="441"/>
        <v>0</v>
      </c>
      <c r="BS306" s="171">
        <f t="shared" si="441"/>
        <v>0</v>
      </c>
      <c r="BT306" s="171">
        <f t="shared" si="441"/>
        <v>0</v>
      </c>
      <c r="BU306" s="171">
        <f t="shared" si="441"/>
        <v>0</v>
      </c>
      <c r="BV306" s="171">
        <f t="shared" si="441"/>
        <v>0</v>
      </c>
      <c r="BW306" s="171">
        <f t="shared" si="441"/>
        <v>0</v>
      </c>
      <c r="BX306" s="171">
        <f t="shared" si="441"/>
        <v>0</v>
      </c>
      <c r="BY306" s="171">
        <f t="shared" si="442"/>
        <v>0</v>
      </c>
      <c r="BZ306" s="171">
        <f t="shared" si="442"/>
        <v>0</v>
      </c>
      <c r="CA306" s="171">
        <f t="shared" si="442"/>
        <v>0</v>
      </c>
      <c r="CB306" s="171">
        <f t="shared" si="442"/>
        <v>0</v>
      </c>
      <c r="CC306" s="171">
        <f t="shared" si="442"/>
        <v>0</v>
      </c>
      <c r="CD306" s="171">
        <f t="shared" si="442"/>
        <v>0</v>
      </c>
      <c r="CE306" s="171">
        <f t="shared" si="442"/>
        <v>0</v>
      </c>
      <c r="CF306" s="171">
        <f t="shared" si="442"/>
        <v>0</v>
      </c>
      <c r="CG306" s="171">
        <f t="shared" si="442"/>
        <v>0</v>
      </c>
      <c r="CH306" s="171">
        <f t="shared" si="442"/>
        <v>0</v>
      </c>
      <c r="CI306" s="171">
        <f t="shared" si="442"/>
        <v>0</v>
      </c>
      <c r="CJ306" s="243"/>
      <c r="CK306" s="171">
        <f t="shared" si="452"/>
        <v>0</v>
      </c>
      <c r="CL306" s="171">
        <f t="shared" si="453"/>
        <v>0</v>
      </c>
      <c r="CM306" s="171">
        <f t="shared" si="454"/>
        <v>0</v>
      </c>
      <c r="CN306" s="171">
        <f t="shared" si="455"/>
        <v>0</v>
      </c>
      <c r="CO306" s="171">
        <f t="shared" si="456"/>
        <v>0</v>
      </c>
      <c r="CP306" s="171">
        <f t="shared" si="457"/>
        <v>0</v>
      </c>
      <c r="CQ306" s="171">
        <f t="shared" si="458"/>
        <v>0</v>
      </c>
      <c r="CR306" s="171">
        <f t="shared" si="459"/>
        <v>0</v>
      </c>
      <c r="CS306" s="171">
        <f t="shared" si="460"/>
        <v>0</v>
      </c>
      <c r="CT306" s="171">
        <f t="shared" si="461"/>
        <v>0</v>
      </c>
      <c r="CU306" s="171">
        <f t="shared" si="462"/>
        <v>0</v>
      </c>
      <c r="CV306" s="171">
        <f t="shared" si="463"/>
        <v>0</v>
      </c>
      <c r="CW306" s="171">
        <f t="shared" si="464"/>
        <v>0</v>
      </c>
      <c r="CX306" s="171">
        <f t="shared" si="465"/>
        <v>0</v>
      </c>
      <c r="CY306" s="171">
        <f t="shared" ca="1" si="466"/>
        <v>0</v>
      </c>
      <c r="CZ306" s="171">
        <f t="shared" ca="1" si="467"/>
        <v>0</v>
      </c>
      <c r="DA306" s="171">
        <f t="shared" ca="1" si="468"/>
        <v>0</v>
      </c>
      <c r="DB306" s="171">
        <f t="shared" ca="1" si="469"/>
        <v>0</v>
      </c>
      <c r="DC306" s="171">
        <f t="shared" ca="1" si="470"/>
        <v>0</v>
      </c>
      <c r="DD306" s="171">
        <f t="shared" ca="1" si="471"/>
        <v>0</v>
      </c>
      <c r="DE306" s="171">
        <f t="shared" ca="1" si="472"/>
        <v>0</v>
      </c>
      <c r="DF306" s="171">
        <f t="shared" ca="1" si="473"/>
        <v>0</v>
      </c>
      <c r="DG306" s="171">
        <f t="shared" ca="1" si="474"/>
        <v>0</v>
      </c>
      <c r="DH306" s="171">
        <f t="shared" ca="1" si="475"/>
        <v>0</v>
      </c>
      <c r="DI306" s="171">
        <f t="shared" ca="1" si="476"/>
        <v>0</v>
      </c>
      <c r="DJ306" s="171">
        <f t="shared" ca="1" si="477"/>
        <v>0</v>
      </c>
      <c r="DK306" s="171">
        <f t="shared" ca="1" si="478"/>
        <v>0</v>
      </c>
      <c r="DL306" s="171">
        <f t="shared" ca="1" si="479"/>
        <v>0</v>
      </c>
      <c r="DM306" s="171">
        <f t="shared" ca="1" si="480"/>
        <v>0</v>
      </c>
      <c r="DN306" s="171">
        <f t="shared" ca="1" si="481"/>
        <v>0</v>
      </c>
      <c r="DO306" s="171">
        <f t="shared" ca="1" si="482"/>
        <v>0</v>
      </c>
      <c r="DP306" s="171">
        <f t="shared" ca="1" si="483"/>
        <v>0</v>
      </c>
      <c r="DQ306" s="171">
        <f t="shared" ca="1" si="484"/>
        <v>0</v>
      </c>
      <c r="DR306" s="171">
        <f t="shared" ca="1" si="485"/>
        <v>0</v>
      </c>
      <c r="DS306" s="171">
        <f t="shared" ca="1" si="486"/>
        <v>0</v>
      </c>
      <c r="DT306" s="171">
        <f t="shared" ca="1" si="487"/>
        <v>0</v>
      </c>
      <c r="DU306" s="171">
        <f t="shared" ca="1" si="488"/>
        <v>0</v>
      </c>
      <c r="DV306" s="171">
        <f t="shared" ca="1" si="489"/>
        <v>0</v>
      </c>
      <c r="DW306" s="171">
        <f t="shared" ca="1" si="490"/>
        <v>0</v>
      </c>
      <c r="DX306" s="171">
        <f t="shared" ca="1" si="491"/>
        <v>0</v>
      </c>
      <c r="DY306" s="171">
        <f t="shared" ca="1" si="492"/>
        <v>0</v>
      </c>
      <c r="DZ306" s="171">
        <f t="shared" ca="1" si="493"/>
        <v>0</v>
      </c>
      <c r="EA306" s="171">
        <f t="shared" ca="1" si="494"/>
        <v>0</v>
      </c>
      <c r="EB306" s="171">
        <f t="shared" ca="1" si="495"/>
        <v>0</v>
      </c>
      <c r="EC306" s="171">
        <f t="shared" ca="1" si="496"/>
        <v>0</v>
      </c>
      <c r="ED306" s="171">
        <f t="shared" ca="1" si="497"/>
        <v>0</v>
      </c>
      <c r="EE306" s="171">
        <f t="shared" ca="1" si="498"/>
        <v>0</v>
      </c>
      <c r="EF306" s="171">
        <f t="shared" ca="1" si="499"/>
        <v>0</v>
      </c>
      <c r="EG306" s="171">
        <f t="shared" ca="1" si="500"/>
        <v>0</v>
      </c>
      <c r="EH306" s="171">
        <f t="shared" ca="1" si="501"/>
        <v>0</v>
      </c>
      <c r="EI306" s="171">
        <f t="shared" ca="1" si="502"/>
        <v>0</v>
      </c>
      <c r="EJ306" s="171">
        <f t="shared" ca="1" si="503"/>
        <v>0</v>
      </c>
      <c r="EK306" s="171">
        <f t="shared" ca="1" si="504"/>
        <v>0</v>
      </c>
      <c r="EL306" s="171">
        <f t="shared" ca="1" si="505"/>
        <v>0</v>
      </c>
      <c r="EM306" s="171">
        <f t="shared" ca="1" si="506"/>
        <v>0</v>
      </c>
      <c r="EN306" s="171">
        <f t="shared" ca="1" si="507"/>
        <v>0</v>
      </c>
      <c r="EO306" s="171">
        <f t="shared" ca="1" si="508"/>
        <v>0</v>
      </c>
      <c r="EP306" s="171">
        <f t="shared" ca="1" si="509"/>
        <v>0</v>
      </c>
      <c r="EQ306" s="171">
        <f t="shared" ca="1" si="510"/>
        <v>0</v>
      </c>
      <c r="ER306" s="171">
        <f t="shared" ca="1" si="511"/>
        <v>0</v>
      </c>
      <c r="ES306" s="171">
        <f t="shared" ca="1" si="512"/>
        <v>0</v>
      </c>
    </row>
    <row r="307" spans="3:149">
      <c r="C307" s="214"/>
      <c r="H307" s="216"/>
      <c r="I307" s="217"/>
      <c r="L307" s="163"/>
      <c r="M307" s="164" t="str">
        <f t="shared" si="443"/>
        <v/>
      </c>
      <c r="N307" s="164" t="str">
        <f t="shared" si="444"/>
        <v/>
      </c>
      <c r="O307" s="165" t="str">
        <f t="shared" si="445"/>
        <v/>
      </c>
      <c r="R307" s="168"/>
      <c r="U307" s="171">
        <f t="shared" si="446"/>
        <v>0</v>
      </c>
      <c r="V307" s="171">
        <f t="shared" ca="1" si="447"/>
        <v>0</v>
      </c>
      <c r="W307" s="171">
        <f t="shared" ca="1" si="448"/>
        <v>0</v>
      </c>
      <c r="X307" s="172">
        <f t="shared" si="449"/>
        <v>0</v>
      </c>
      <c r="Y307" s="172" t="str">
        <f t="shared" si="450"/>
        <v/>
      </c>
      <c r="Z307" s="173">
        <f t="shared" si="451"/>
        <v>0</v>
      </c>
      <c r="AA307" s="171">
        <f t="shared" si="437"/>
        <v>0</v>
      </c>
      <c r="AB307" s="171">
        <f t="shared" si="437"/>
        <v>0</v>
      </c>
      <c r="AC307" s="171">
        <f t="shared" si="437"/>
        <v>0</v>
      </c>
      <c r="AD307" s="171">
        <f t="shared" si="437"/>
        <v>0</v>
      </c>
      <c r="AE307" s="171">
        <f t="shared" si="437"/>
        <v>0</v>
      </c>
      <c r="AF307" s="171">
        <f t="shared" si="437"/>
        <v>0</v>
      </c>
      <c r="AG307" s="171">
        <f t="shared" si="437"/>
        <v>0</v>
      </c>
      <c r="AH307" s="171">
        <f t="shared" si="437"/>
        <v>0</v>
      </c>
      <c r="AI307" s="171">
        <f t="shared" si="437"/>
        <v>0</v>
      </c>
      <c r="AJ307" s="171">
        <f t="shared" si="437"/>
        <v>0</v>
      </c>
      <c r="AK307" s="171">
        <f t="shared" si="438"/>
        <v>0</v>
      </c>
      <c r="AL307" s="171">
        <f t="shared" si="438"/>
        <v>0</v>
      </c>
      <c r="AM307" s="171">
        <f t="shared" si="438"/>
        <v>0</v>
      </c>
      <c r="AN307" s="171">
        <f t="shared" si="438"/>
        <v>0</v>
      </c>
      <c r="AO307" s="171">
        <f t="shared" si="438"/>
        <v>0</v>
      </c>
      <c r="AP307" s="171">
        <f t="shared" si="438"/>
        <v>0</v>
      </c>
      <c r="AQ307" s="171">
        <f t="shared" si="438"/>
        <v>0</v>
      </c>
      <c r="AR307" s="171">
        <f t="shared" si="438"/>
        <v>0</v>
      </c>
      <c r="AS307" s="171">
        <f t="shared" si="438"/>
        <v>0</v>
      </c>
      <c r="AT307" s="171">
        <f t="shared" si="438"/>
        <v>0</v>
      </c>
      <c r="AU307" s="171">
        <f t="shared" si="439"/>
        <v>0</v>
      </c>
      <c r="AV307" s="171">
        <f t="shared" si="439"/>
        <v>0</v>
      </c>
      <c r="AW307" s="171">
        <f t="shared" si="439"/>
        <v>0</v>
      </c>
      <c r="AX307" s="171">
        <f t="shared" si="439"/>
        <v>0</v>
      </c>
      <c r="AY307" s="171">
        <f t="shared" si="439"/>
        <v>0</v>
      </c>
      <c r="AZ307" s="171">
        <f t="shared" si="439"/>
        <v>0</v>
      </c>
      <c r="BA307" s="171">
        <f t="shared" si="439"/>
        <v>0</v>
      </c>
      <c r="BB307" s="171">
        <f t="shared" si="439"/>
        <v>0</v>
      </c>
      <c r="BC307" s="171">
        <f t="shared" si="439"/>
        <v>0</v>
      </c>
      <c r="BD307" s="171">
        <f t="shared" si="439"/>
        <v>0</v>
      </c>
      <c r="BE307" s="171">
        <f t="shared" si="440"/>
        <v>0</v>
      </c>
      <c r="BF307" s="171">
        <f t="shared" si="440"/>
        <v>0</v>
      </c>
      <c r="BG307" s="171">
        <f t="shared" si="440"/>
        <v>0</v>
      </c>
      <c r="BH307" s="171">
        <f t="shared" si="440"/>
        <v>0</v>
      </c>
      <c r="BI307" s="171">
        <f t="shared" si="440"/>
        <v>0</v>
      </c>
      <c r="BJ307" s="171">
        <f t="shared" si="440"/>
        <v>0</v>
      </c>
      <c r="BK307" s="171">
        <f t="shared" si="440"/>
        <v>0</v>
      </c>
      <c r="BL307" s="171">
        <f t="shared" si="440"/>
        <v>0</v>
      </c>
      <c r="BM307" s="171">
        <f t="shared" si="440"/>
        <v>0</v>
      </c>
      <c r="BN307" s="171">
        <f t="shared" si="440"/>
        <v>0</v>
      </c>
      <c r="BO307" s="171">
        <f t="shared" si="441"/>
        <v>0</v>
      </c>
      <c r="BP307" s="171">
        <f t="shared" si="441"/>
        <v>0</v>
      </c>
      <c r="BQ307" s="171">
        <f t="shared" si="441"/>
        <v>0</v>
      </c>
      <c r="BR307" s="171">
        <f t="shared" si="441"/>
        <v>0</v>
      </c>
      <c r="BS307" s="171">
        <f t="shared" si="441"/>
        <v>0</v>
      </c>
      <c r="BT307" s="171">
        <f t="shared" si="441"/>
        <v>0</v>
      </c>
      <c r="BU307" s="171">
        <f t="shared" si="441"/>
        <v>0</v>
      </c>
      <c r="BV307" s="171">
        <f t="shared" si="441"/>
        <v>0</v>
      </c>
      <c r="BW307" s="171">
        <f t="shared" si="441"/>
        <v>0</v>
      </c>
      <c r="BX307" s="171">
        <f t="shared" si="441"/>
        <v>0</v>
      </c>
      <c r="BY307" s="171">
        <f t="shared" si="442"/>
        <v>0</v>
      </c>
      <c r="BZ307" s="171">
        <f t="shared" si="442"/>
        <v>0</v>
      </c>
      <c r="CA307" s="171">
        <f t="shared" si="442"/>
        <v>0</v>
      </c>
      <c r="CB307" s="171">
        <f t="shared" si="442"/>
        <v>0</v>
      </c>
      <c r="CC307" s="171">
        <f t="shared" si="442"/>
        <v>0</v>
      </c>
      <c r="CD307" s="171">
        <f t="shared" si="442"/>
        <v>0</v>
      </c>
      <c r="CE307" s="171">
        <f t="shared" si="442"/>
        <v>0</v>
      </c>
      <c r="CF307" s="171">
        <f t="shared" si="442"/>
        <v>0</v>
      </c>
      <c r="CG307" s="171">
        <f t="shared" si="442"/>
        <v>0</v>
      </c>
      <c r="CH307" s="171">
        <f t="shared" si="442"/>
        <v>0</v>
      </c>
      <c r="CI307" s="171">
        <f t="shared" si="442"/>
        <v>0</v>
      </c>
      <c r="CJ307" s="243"/>
      <c r="CK307" s="171">
        <f t="shared" si="452"/>
        <v>0</v>
      </c>
      <c r="CL307" s="171">
        <f t="shared" si="453"/>
        <v>0</v>
      </c>
      <c r="CM307" s="171">
        <f t="shared" si="454"/>
        <v>0</v>
      </c>
      <c r="CN307" s="171">
        <f t="shared" si="455"/>
        <v>0</v>
      </c>
      <c r="CO307" s="171">
        <f t="shared" si="456"/>
        <v>0</v>
      </c>
      <c r="CP307" s="171">
        <f t="shared" si="457"/>
        <v>0</v>
      </c>
      <c r="CQ307" s="171">
        <f t="shared" si="458"/>
        <v>0</v>
      </c>
      <c r="CR307" s="171">
        <f t="shared" si="459"/>
        <v>0</v>
      </c>
      <c r="CS307" s="171">
        <f t="shared" si="460"/>
        <v>0</v>
      </c>
      <c r="CT307" s="171">
        <f t="shared" si="461"/>
        <v>0</v>
      </c>
      <c r="CU307" s="171">
        <f t="shared" si="462"/>
        <v>0</v>
      </c>
      <c r="CV307" s="171">
        <f t="shared" si="463"/>
        <v>0</v>
      </c>
      <c r="CW307" s="171">
        <f t="shared" si="464"/>
        <v>0</v>
      </c>
      <c r="CX307" s="171">
        <f t="shared" si="465"/>
        <v>0</v>
      </c>
      <c r="CY307" s="171">
        <f t="shared" ca="1" si="466"/>
        <v>0</v>
      </c>
      <c r="CZ307" s="171">
        <f t="shared" ca="1" si="467"/>
        <v>0</v>
      </c>
      <c r="DA307" s="171">
        <f t="shared" ca="1" si="468"/>
        <v>0</v>
      </c>
      <c r="DB307" s="171">
        <f t="shared" ca="1" si="469"/>
        <v>0</v>
      </c>
      <c r="DC307" s="171">
        <f t="shared" ca="1" si="470"/>
        <v>0</v>
      </c>
      <c r="DD307" s="171">
        <f t="shared" ca="1" si="471"/>
        <v>0</v>
      </c>
      <c r="DE307" s="171">
        <f t="shared" ca="1" si="472"/>
        <v>0</v>
      </c>
      <c r="DF307" s="171">
        <f t="shared" ca="1" si="473"/>
        <v>0</v>
      </c>
      <c r="DG307" s="171">
        <f t="shared" ca="1" si="474"/>
        <v>0</v>
      </c>
      <c r="DH307" s="171">
        <f t="shared" ca="1" si="475"/>
        <v>0</v>
      </c>
      <c r="DI307" s="171">
        <f t="shared" ca="1" si="476"/>
        <v>0</v>
      </c>
      <c r="DJ307" s="171">
        <f t="shared" ca="1" si="477"/>
        <v>0</v>
      </c>
      <c r="DK307" s="171">
        <f t="shared" ca="1" si="478"/>
        <v>0</v>
      </c>
      <c r="DL307" s="171">
        <f t="shared" ca="1" si="479"/>
        <v>0</v>
      </c>
      <c r="DM307" s="171">
        <f t="shared" ca="1" si="480"/>
        <v>0</v>
      </c>
      <c r="DN307" s="171">
        <f t="shared" ca="1" si="481"/>
        <v>0</v>
      </c>
      <c r="DO307" s="171">
        <f t="shared" ca="1" si="482"/>
        <v>0</v>
      </c>
      <c r="DP307" s="171">
        <f t="shared" ca="1" si="483"/>
        <v>0</v>
      </c>
      <c r="DQ307" s="171">
        <f t="shared" ca="1" si="484"/>
        <v>0</v>
      </c>
      <c r="DR307" s="171">
        <f t="shared" ca="1" si="485"/>
        <v>0</v>
      </c>
      <c r="DS307" s="171">
        <f t="shared" ca="1" si="486"/>
        <v>0</v>
      </c>
      <c r="DT307" s="171">
        <f t="shared" ca="1" si="487"/>
        <v>0</v>
      </c>
      <c r="DU307" s="171">
        <f t="shared" ca="1" si="488"/>
        <v>0</v>
      </c>
      <c r="DV307" s="171">
        <f t="shared" ca="1" si="489"/>
        <v>0</v>
      </c>
      <c r="DW307" s="171">
        <f t="shared" ca="1" si="490"/>
        <v>0</v>
      </c>
      <c r="DX307" s="171">
        <f t="shared" ca="1" si="491"/>
        <v>0</v>
      </c>
      <c r="DY307" s="171">
        <f t="shared" ca="1" si="492"/>
        <v>0</v>
      </c>
      <c r="DZ307" s="171">
        <f t="shared" ca="1" si="493"/>
        <v>0</v>
      </c>
      <c r="EA307" s="171">
        <f t="shared" ca="1" si="494"/>
        <v>0</v>
      </c>
      <c r="EB307" s="171">
        <f t="shared" ca="1" si="495"/>
        <v>0</v>
      </c>
      <c r="EC307" s="171">
        <f t="shared" ca="1" si="496"/>
        <v>0</v>
      </c>
      <c r="ED307" s="171">
        <f t="shared" ca="1" si="497"/>
        <v>0</v>
      </c>
      <c r="EE307" s="171">
        <f t="shared" ca="1" si="498"/>
        <v>0</v>
      </c>
      <c r="EF307" s="171">
        <f t="shared" ca="1" si="499"/>
        <v>0</v>
      </c>
      <c r="EG307" s="171">
        <f t="shared" ca="1" si="500"/>
        <v>0</v>
      </c>
      <c r="EH307" s="171">
        <f t="shared" ca="1" si="501"/>
        <v>0</v>
      </c>
      <c r="EI307" s="171">
        <f t="shared" ca="1" si="502"/>
        <v>0</v>
      </c>
      <c r="EJ307" s="171">
        <f t="shared" ca="1" si="503"/>
        <v>0</v>
      </c>
      <c r="EK307" s="171">
        <f t="shared" ca="1" si="504"/>
        <v>0</v>
      </c>
      <c r="EL307" s="171">
        <f t="shared" ca="1" si="505"/>
        <v>0</v>
      </c>
      <c r="EM307" s="171">
        <f t="shared" ca="1" si="506"/>
        <v>0</v>
      </c>
      <c r="EN307" s="171">
        <f t="shared" ca="1" si="507"/>
        <v>0</v>
      </c>
      <c r="EO307" s="171">
        <f t="shared" ca="1" si="508"/>
        <v>0</v>
      </c>
      <c r="EP307" s="171">
        <f t="shared" ca="1" si="509"/>
        <v>0</v>
      </c>
      <c r="EQ307" s="171">
        <f t="shared" ca="1" si="510"/>
        <v>0</v>
      </c>
      <c r="ER307" s="171">
        <f t="shared" ca="1" si="511"/>
        <v>0</v>
      </c>
      <c r="ES307" s="171">
        <f t="shared" ca="1" si="512"/>
        <v>0</v>
      </c>
    </row>
    <row r="308" spans="3:149">
      <c r="C308" s="214"/>
      <c r="H308" s="216"/>
      <c r="I308" s="217"/>
      <c r="L308" s="163"/>
      <c r="M308" s="164" t="str">
        <f t="shared" si="443"/>
        <v/>
      </c>
      <c r="N308" s="164" t="str">
        <f t="shared" si="444"/>
        <v/>
      </c>
      <c r="O308" s="165" t="str">
        <f t="shared" si="445"/>
        <v/>
      </c>
      <c r="R308" s="168"/>
      <c r="U308" s="171">
        <f t="shared" si="446"/>
        <v>0</v>
      </c>
      <c r="V308" s="171">
        <f t="shared" ca="1" si="447"/>
        <v>0</v>
      </c>
      <c r="W308" s="171">
        <f t="shared" ca="1" si="448"/>
        <v>0</v>
      </c>
      <c r="X308" s="172">
        <f t="shared" si="449"/>
        <v>0</v>
      </c>
      <c r="Y308" s="172" t="str">
        <f t="shared" si="450"/>
        <v/>
      </c>
      <c r="Z308" s="173">
        <f t="shared" si="451"/>
        <v>0</v>
      </c>
      <c r="AA308" s="171">
        <f t="shared" si="437"/>
        <v>0</v>
      </c>
      <c r="AB308" s="171">
        <f t="shared" si="437"/>
        <v>0</v>
      </c>
      <c r="AC308" s="171">
        <f t="shared" si="437"/>
        <v>0</v>
      </c>
      <c r="AD308" s="171">
        <f t="shared" si="437"/>
        <v>0</v>
      </c>
      <c r="AE308" s="171">
        <f t="shared" si="437"/>
        <v>0</v>
      </c>
      <c r="AF308" s="171">
        <f t="shared" si="437"/>
        <v>0</v>
      </c>
      <c r="AG308" s="171">
        <f t="shared" si="437"/>
        <v>0</v>
      </c>
      <c r="AH308" s="171">
        <f t="shared" si="437"/>
        <v>0</v>
      </c>
      <c r="AI308" s="171">
        <f t="shared" si="437"/>
        <v>0</v>
      </c>
      <c r="AJ308" s="171">
        <f t="shared" si="437"/>
        <v>0</v>
      </c>
      <c r="AK308" s="171">
        <f t="shared" si="438"/>
        <v>0</v>
      </c>
      <c r="AL308" s="171">
        <f t="shared" si="438"/>
        <v>0</v>
      </c>
      <c r="AM308" s="171">
        <f t="shared" si="438"/>
        <v>0</v>
      </c>
      <c r="AN308" s="171">
        <f t="shared" si="438"/>
        <v>0</v>
      </c>
      <c r="AO308" s="171">
        <f t="shared" si="438"/>
        <v>0</v>
      </c>
      <c r="AP308" s="171">
        <f t="shared" si="438"/>
        <v>0</v>
      </c>
      <c r="AQ308" s="171">
        <f t="shared" si="438"/>
        <v>0</v>
      </c>
      <c r="AR308" s="171">
        <f t="shared" si="438"/>
        <v>0</v>
      </c>
      <c r="AS308" s="171">
        <f t="shared" si="438"/>
        <v>0</v>
      </c>
      <c r="AT308" s="171">
        <f t="shared" si="438"/>
        <v>0</v>
      </c>
      <c r="AU308" s="171">
        <f t="shared" si="439"/>
        <v>0</v>
      </c>
      <c r="AV308" s="171">
        <f t="shared" si="439"/>
        <v>0</v>
      </c>
      <c r="AW308" s="171">
        <f t="shared" si="439"/>
        <v>0</v>
      </c>
      <c r="AX308" s="171">
        <f t="shared" si="439"/>
        <v>0</v>
      </c>
      <c r="AY308" s="171">
        <f t="shared" si="439"/>
        <v>0</v>
      </c>
      <c r="AZ308" s="171">
        <f t="shared" si="439"/>
        <v>0</v>
      </c>
      <c r="BA308" s="171">
        <f t="shared" si="439"/>
        <v>0</v>
      </c>
      <c r="BB308" s="171">
        <f t="shared" si="439"/>
        <v>0</v>
      </c>
      <c r="BC308" s="171">
        <f t="shared" si="439"/>
        <v>0</v>
      </c>
      <c r="BD308" s="171">
        <f t="shared" si="439"/>
        <v>0</v>
      </c>
      <c r="BE308" s="171">
        <f t="shared" si="440"/>
        <v>0</v>
      </c>
      <c r="BF308" s="171">
        <f t="shared" si="440"/>
        <v>0</v>
      </c>
      <c r="BG308" s="171">
        <f t="shared" si="440"/>
        <v>0</v>
      </c>
      <c r="BH308" s="171">
        <f t="shared" si="440"/>
        <v>0</v>
      </c>
      <c r="BI308" s="171">
        <f t="shared" si="440"/>
        <v>0</v>
      </c>
      <c r="BJ308" s="171">
        <f t="shared" si="440"/>
        <v>0</v>
      </c>
      <c r="BK308" s="171">
        <f t="shared" si="440"/>
        <v>0</v>
      </c>
      <c r="BL308" s="171">
        <f t="shared" si="440"/>
        <v>0</v>
      </c>
      <c r="BM308" s="171">
        <f t="shared" si="440"/>
        <v>0</v>
      </c>
      <c r="BN308" s="171">
        <f t="shared" si="440"/>
        <v>0</v>
      </c>
      <c r="BO308" s="171">
        <f t="shared" si="441"/>
        <v>0</v>
      </c>
      <c r="BP308" s="171">
        <f t="shared" si="441"/>
        <v>0</v>
      </c>
      <c r="BQ308" s="171">
        <f t="shared" si="441"/>
        <v>0</v>
      </c>
      <c r="BR308" s="171">
        <f t="shared" si="441"/>
        <v>0</v>
      </c>
      <c r="BS308" s="171">
        <f t="shared" si="441"/>
        <v>0</v>
      </c>
      <c r="BT308" s="171">
        <f t="shared" si="441"/>
        <v>0</v>
      </c>
      <c r="BU308" s="171">
        <f t="shared" si="441"/>
        <v>0</v>
      </c>
      <c r="BV308" s="171">
        <f t="shared" si="441"/>
        <v>0</v>
      </c>
      <c r="BW308" s="171">
        <f t="shared" si="441"/>
        <v>0</v>
      </c>
      <c r="BX308" s="171">
        <f t="shared" si="441"/>
        <v>0</v>
      </c>
      <c r="BY308" s="171">
        <f t="shared" si="442"/>
        <v>0</v>
      </c>
      <c r="BZ308" s="171">
        <f t="shared" si="442"/>
        <v>0</v>
      </c>
      <c r="CA308" s="171">
        <f t="shared" si="442"/>
        <v>0</v>
      </c>
      <c r="CB308" s="171">
        <f t="shared" si="442"/>
        <v>0</v>
      </c>
      <c r="CC308" s="171">
        <f t="shared" si="442"/>
        <v>0</v>
      </c>
      <c r="CD308" s="171">
        <f t="shared" si="442"/>
        <v>0</v>
      </c>
      <c r="CE308" s="171">
        <f t="shared" si="442"/>
        <v>0</v>
      </c>
      <c r="CF308" s="171">
        <f t="shared" si="442"/>
        <v>0</v>
      </c>
      <c r="CG308" s="171">
        <f t="shared" si="442"/>
        <v>0</v>
      </c>
      <c r="CH308" s="171">
        <f t="shared" si="442"/>
        <v>0</v>
      </c>
      <c r="CI308" s="171">
        <f t="shared" si="442"/>
        <v>0</v>
      </c>
      <c r="CJ308" s="243"/>
      <c r="CK308" s="171">
        <f t="shared" si="452"/>
        <v>0</v>
      </c>
      <c r="CL308" s="171">
        <f t="shared" si="453"/>
        <v>0</v>
      </c>
      <c r="CM308" s="171">
        <f t="shared" si="454"/>
        <v>0</v>
      </c>
      <c r="CN308" s="171">
        <f t="shared" si="455"/>
        <v>0</v>
      </c>
      <c r="CO308" s="171">
        <f t="shared" si="456"/>
        <v>0</v>
      </c>
      <c r="CP308" s="171">
        <f t="shared" si="457"/>
        <v>0</v>
      </c>
      <c r="CQ308" s="171">
        <f t="shared" si="458"/>
        <v>0</v>
      </c>
      <c r="CR308" s="171">
        <f t="shared" si="459"/>
        <v>0</v>
      </c>
      <c r="CS308" s="171">
        <f t="shared" si="460"/>
        <v>0</v>
      </c>
      <c r="CT308" s="171">
        <f t="shared" si="461"/>
        <v>0</v>
      </c>
      <c r="CU308" s="171">
        <f t="shared" si="462"/>
        <v>0</v>
      </c>
      <c r="CV308" s="171">
        <f t="shared" si="463"/>
        <v>0</v>
      </c>
      <c r="CW308" s="171">
        <f t="shared" si="464"/>
        <v>0</v>
      </c>
      <c r="CX308" s="171">
        <f t="shared" si="465"/>
        <v>0</v>
      </c>
      <c r="CY308" s="171">
        <f t="shared" ca="1" si="466"/>
        <v>0</v>
      </c>
      <c r="CZ308" s="171">
        <f t="shared" ca="1" si="467"/>
        <v>0</v>
      </c>
      <c r="DA308" s="171">
        <f t="shared" ca="1" si="468"/>
        <v>0</v>
      </c>
      <c r="DB308" s="171">
        <f t="shared" ca="1" si="469"/>
        <v>0</v>
      </c>
      <c r="DC308" s="171">
        <f t="shared" ca="1" si="470"/>
        <v>0</v>
      </c>
      <c r="DD308" s="171">
        <f t="shared" ca="1" si="471"/>
        <v>0</v>
      </c>
      <c r="DE308" s="171">
        <f t="shared" ca="1" si="472"/>
        <v>0</v>
      </c>
      <c r="DF308" s="171">
        <f t="shared" ca="1" si="473"/>
        <v>0</v>
      </c>
      <c r="DG308" s="171">
        <f t="shared" ca="1" si="474"/>
        <v>0</v>
      </c>
      <c r="DH308" s="171">
        <f t="shared" ca="1" si="475"/>
        <v>0</v>
      </c>
      <c r="DI308" s="171">
        <f t="shared" ca="1" si="476"/>
        <v>0</v>
      </c>
      <c r="DJ308" s="171">
        <f t="shared" ca="1" si="477"/>
        <v>0</v>
      </c>
      <c r="DK308" s="171">
        <f t="shared" ca="1" si="478"/>
        <v>0</v>
      </c>
      <c r="DL308" s="171">
        <f t="shared" ca="1" si="479"/>
        <v>0</v>
      </c>
      <c r="DM308" s="171">
        <f t="shared" ca="1" si="480"/>
        <v>0</v>
      </c>
      <c r="DN308" s="171">
        <f t="shared" ca="1" si="481"/>
        <v>0</v>
      </c>
      <c r="DO308" s="171">
        <f t="shared" ca="1" si="482"/>
        <v>0</v>
      </c>
      <c r="DP308" s="171">
        <f t="shared" ca="1" si="483"/>
        <v>0</v>
      </c>
      <c r="DQ308" s="171">
        <f t="shared" ca="1" si="484"/>
        <v>0</v>
      </c>
      <c r="DR308" s="171">
        <f t="shared" ca="1" si="485"/>
        <v>0</v>
      </c>
      <c r="DS308" s="171">
        <f t="shared" ca="1" si="486"/>
        <v>0</v>
      </c>
      <c r="DT308" s="171">
        <f t="shared" ca="1" si="487"/>
        <v>0</v>
      </c>
      <c r="DU308" s="171">
        <f t="shared" ca="1" si="488"/>
        <v>0</v>
      </c>
      <c r="DV308" s="171">
        <f t="shared" ca="1" si="489"/>
        <v>0</v>
      </c>
      <c r="DW308" s="171">
        <f t="shared" ca="1" si="490"/>
        <v>0</v>
      </c>
      <c r="DX308" s="171">
        <f t="shared" ca="1" si="491"/>
        <v>0</v>
      </c>
      <c r="DY308" s="171">
        <f t="shared" ca="1" si="492"/>
        <v>0</v>
      </c>
      <c r="DZ308" s="171">
        <f t="shared" ca="1" si="493"/>
        <v>0</v>
      </c>
      <c r="EA308" s="171">
        <f t="shared" ca="1" si="494"/>
        <v>0</v>
      </c>
      <c r="EB308" s="171">
        <f t="shared" ca="1" si="495"/>
        <v>0</v>
      </c>
      <c r="EC308" s="171">
        <f t="shared" ca="1" si="496"/>
        <v>0</v>
      </c>
      <c r="ED308" s="171">
        <f t="shared" ca="1" si="497"/>
        <v>0</v>
      </c>
      <c r="EE308" s="171">
        <f t="shared" ca="1" si="498"/>
        <v>0</v>
      </c>
      <c r="EF308" s="171">
        <f t="shared" ca="1" si="499"/>
        <v>0</v>
      </c>
      <c r="EG308" s="171">
        <f t="shared" ca="1" si="500"/>
        <v>0</v>
      </c>
      <c r="EH308" s="171">
        <f t="shared" ca="1" si="501"/>
        <v>0</v>
      </c>
      <c r="EI308" s="171">
        <f t="shared" ca="1" si="502"/>
        <v>0</v>
      </c>
      <c r="EJ308" s="171">
        <f t="shared" ca="1" si="503"/>
        <v>0</v>
      </c>
      <c r="EK308" s="171">
        <f t="shared" ca="1" si="504"/>
        <v>0</v>
      </c>
      <c r="EL308" s="171">
        <f t="shared" ca="1" si="505"/>
        <v>0</v>
      </c>
      <c r="EM308" s="171">
        <f t="shared" ca="1" si="506"/>
        <v>0</v>
      </c>
      <c r="EN308" s="171">
        <f t="shared" ca="1" si="507"/>
        <v>0</v>
      </c>
      <c r="EO308" s="171">
        <f t="shared" ca="1" si="508"/>
        <v>0</v>
      </c>
      <c r="EP308" s="171">
        <f t="shared" ca="1" si="509"/>
        <v>0</v>
      </c>
      <c r="EQ308" s="171">
        <f t="shared" ca="1" si="510"/>
        <v>0</v>
      </c>
      <c r="ER308" s="171">
        <f t="shared" ca="1" si="511"/>
        <v>0</v>
      </c>
      <c r="ES308" s="171">
        <f t="shared" ca="1" si="512"/>
        <v>0</v>
      </c>
    </row>
    <row r="309" spans="3:149">
      <c r="C309" s="214"/>
      <c r="H309" s="216"/>
      <c r="I309" s="217"/>
      <c r="L309" s="163"/>
      <c r="M309" s="164" t="str">
        <f t="shared" si="443"/>
        <v/>
      </c>
      <c r="N309" s="164" t="str">
        <f t="shared" si="444"/>
        <v/>
      </c>
      <c r="O309" s="165" t="str">
        <f t="shared" si="445"/>
        <v/>
      </c>
      <c r="R309" s="168"/>
      <c r="U309" s="171">
        <f t="shared" si="446"/>
        <v>0</v>
      </c>
      <c r="V309" s="171">
        <f t="shared" ca="1" si="447"/>
        <v>0</v>
      </c>
      <c r="W309" s="171">
        <f t="shared" ca="1" si="448"/>
        <v>0</v>
      </c>
      <c r="X309" s="172">
        <f t="shared" si="449"/>
        <v>0</v>
      </c>
      <c r="Y309" s="172" t="str">
        <f t="shared" si="450"/>
        <v/>
      </c>
      <c r="Z309" s="173">
        <f t="shared" si="451"/>
        <v>0</v>
      </c>
      <c r="AA309" s="171">
        <f t="shared" ref="AA309:AJ318" si="513">IFERROR(
    IF($T309="Equity",
        IF(AND(AA$48&gt;=$E309, AA$48&lt;=($E309+$Q309)),
$K309*$P309*(VLOOKUP($C$39,$C$37:$BL$44,MATCH($E309,$C$37:$BL$37,0),FALSE)/VLOOKUP($L309,$C$37:$BL$44,MATCH($E309,$C$37:$BL$37,0),FALSE))*
IF($B$5="Foreign Currency",VLOOKUP($C$38,$C$37:$BL$44,MATCH(AA$48,$C$37:$BL$37,0),FALSE)/VLOOKUP($C$39,$C$37:$BL$44,MATCH(AA$48,$C$37:$BL$37,0),FALSE),1),
0),
    IF($T309="Lump Sum Principal",
        IF(AND(AA$48&gt;=$E309, AA$48&lt;($E309+$Q309)),
$K309*$P309*(VLOOKUP($C$39,$C$37:$BL$44,MATCH($E309,$C$37:$BL$37,0),FALSE)/VLOOKUP($L309,$C$37:$BL$44,MATCH($E309,$C$37:$BL$37,0),FALSE))*
IF($B$5="Foreign Currency",VLOOKUP($C$38,$C$37:$BL$44,MATCH(AA$48,$C$37:$BL$37,0),FALSE)/VLOOKUP($C$39,$C$37:$BL$44,MATCH(AA$48,$C$37:$BL$37,0),FALSE),1),
        IF(AA$48=($E309+$Q309),
$K309*(1+$P309)*(VLOOKUP($C$39,$C$37:$BL$44,MATCH($E309,$C$37:$BL$37,0),FALSE)/VLOOKUP($L309,$C$37:$BL$44,MATCH($E309,$C$37:$BL$37,0),FALSE))*
IF($B$5="Foreign Currency",VLOOKUP($C$38,$C$37:$BL$44,MATCH(AA$48,$C$37:$BL$37,0),FALSE)/VLOOKUP($C$39,$C$37:$BL$44,MATCH(AA$48,$C$37:$BL$37,0),FALSE),1),
0)),
    IF($T309="Lump Sum Principal and Interest",
        IF(AA$48=($E309+$Q309),
$K309*((1+$P309)^$Q309)*(VLOOKUP($C$39,$C$37:$BL$44,MATCH($E309,$C$37:$BL$37,0),FALSE)/VLOOKUP($L309,$C$37:$BL$44,MATCH($E309,$C$37:$BL$37,0),FALSE))*
IF($B$5="Foreign Currency",VLOOKUP($C$38,$C$37:$BL$44,MATCH(AA$48,$C$37:$BL$37,0),FALSE)/VLOOKUP($C$39,$C$37:$BL$44,MATCH(AA$48,$C$37:$BL$37,0),FALSE),1),
0),
    IF($T309="EPP with Grace Years for Principal",
        IF(AND(AA$48&gt;=$E309, AA$48&lt;($E309+$S309)),
$K309*$P309*(VLOOKUP($C$39,$C$37:$BL$44,MATCH($E309,$C$37:$BL$37,0),FALSE)/VLOOKUP($L309,$C$37:$BL$44,MATCH($E309,$C$37:$BL$37,0),FALSE))*
IF($B$5="Foreign Currency",VLOOKUP($C$38,$C$37:$BL$44,MATCH(AA$48,$C$37:$BL$37,0),FALSE)/VLOOKUP($C$39,$C$37:$BL$44,MATCH(AA$48,$C$37:$BL$37,0),FALSE),1),
        IF(AND(AA$48&gt;=($E309+$S309), AA$48&lt;=($E309+$Q309)),
-PMT($P309,($Q309-$S309+1),($K309*(VLOOKUP($C$39,$C$37:$BL$44,MATCH($E309,$C$37:$BL$37,0),FALSE)/VLOOKUP($L309,$C$37:$BL$44,MATCH($E309,$C$37:$BL$37,0),FALSE))*
IF($B$5="Foreign Currency",VLOOKUP($C$38,$C$37:$BL$44,MATCH(AA$48,$C$37:$BL$37,0),FALSE)/VLOOKUP($C$39,$C$37:$BL$44,MATCH(AA$48,$C$37:$BL$37,0),FALSE),1)),0),
0)),
    IF($T309="Equal Principal Payments (EPP)",
        IF(AND(AA$48&gt;=$E309, AA$48&lt;=($E309+$Q309)),
-PMT($P309,($Q309-$S309+1),($K309*(VLOOKUP($C$39,$C$37:$BL$44,MATCH($E309,$C$37:$BL$37,0),FALSE)/VLOOKUP($L309,$C$37:$BL$44,MATCH($E309,$C$37:$BL$37,0),FALSE))*
IF($B$5="Foreign Currency",VLOOKUP($C$38,$C$37:$BL$44,MATCH(AA$48,$C$37:$BL$37,0),FALSE)/VLOOKUP($C$39,$C$37:$BL$44,MATCH(AA$48,$C$37:$BL$37,0),FALSE),1)),0), 0),
    IF($T309="EPP with Grace Years for Principal and on Interest",
        IF(AND(AA$48&gt;=($E309+$S309), AA$48&lt;=($E309+$Q309)),
-PMT($P309,($Q309-$S309+1),($K309*(VLOOKUP($C$39,$C$37:$BL$44,MATCH($E309,$C$37:$BL$37,0),FALSE)/VLOOKUP($L309,$C$37:$BL$44,MATCH($E309,$C$37:$BL$37,0),FALSE))*
IF($B$5="Foreign Currency",VLOOKUP($C$38,$C$37:$BL$44,MATCH(AA$48,$C$37:$BL$37,0),FALSE)/VLOOKUP($C$39,$C$37:$BL$44,MATCH(AA$48,$C$37:$BL$37,0),FALSE),1))*((1+$P309)^$S309),0), 0),
    0)))))),"")</f>
        <v>0</v>
      </c>
      <c r="AB309" s="171">
        <f t="shared" si="513"/>
        <v>0</v>
      </c>
      <c r="AC309" s="171">
        <f t="shared" si="513"/>
        <v>0</v>
      </c>
      <c r="AD309" s="171">
        <f t="shared" si="513"/>
        <v>0</v>
      </c>
      <c r="AE309" s="171">
        <f t="shared" si="513"/>
        <v>0</v>
      </c>
      <c r="AF309" s="171">
        <f t="shared" si="513"/>
        <v>0</v>
      </c>
      <c r="AG309" s="171">
        <f t="shared" si="513"/>
        <v>0</v>
      </c>
      <c r="AH309" s="171">
        <f t="shared" si="513"/>
        <v>0</v>
      </c>
      <c r="AI309" s="171">
        <f t="shared" si="513"/>
        <v>0</v>
      </c>
      <c r="AJ309" s="171">
        <f t="shared" si="513"/>
        <v>0</v>
      </c>
      <c r="AK309" s="171">
        <f t="shared" ref="AK309:AT318" si="514">IFERROR(
    IF($T309="Equity",
        IF(AND(AK$48&gt;=$E309, AK$48&lt;=($E309+$Q309)),
$K309*$P309*(VLOOKUP($C$39,$C$37:$BL$44,MATCH($E309,$C$37:$BL$37,0),FALSE)/VLOOKUP($L309,$C$37:$BL$44,MATCH($E309,$C$37:$BL$37,0),FALSE))*
IF($B$5="Foreign Currency",VLOOKUP($C$38,$C$37:$BL$44,MATCH(AK$48,$C$37:$BL$37,0),FALSE)/VLOOKUP($C$39,$C$37:$BL$44,MATCH(AK$48,$C$37:$BL$37,0),FALSE),1),
0),
    IF($T309="Lump Sum Principal",
        IF(AND(AK$48&gt;=$E309, AK$48&lt;($E309+$Q309)),
$K309*$P309*(VLOOKUP($C$39,$C$37:$BL$44,MATCH($E309,$C$37:$BL$37,0),FALSE)/VLOOKUP($L309,$C$37:$BL$44,MATCH($E309,$C$37:$BL$37,0),FALSE))*
IF($B$5="Foreign Currency",VLOOKUP($C$38,$C$37:$BL$44,MATCH(AK$48,$C$37:$BL$37,0),FALSE)/VLOOKUP($C$39,$C$37:$BL$44,MATCH(AK$48,$C$37:$BL$37,0),FALSE),1),
        IF(AK$48=($E309+$Q309),
$K309*(1+$P309)*(VLOOKUP($C$39,$C$37:$BL$44,MATCH($E309,$C$37:$BL$37,0),FALSE)/VLOOKUP($L309,$C$37:$BL$44,MATCH($E309,$C$37:$BL$37,0),FALSE))*
IF($B$5="Foreign Currency",VLOOKUP($C$38,$C$37:$BL$44,MATCH(AK$48,$C$37:$BL$37,0),FALSE)/VLOOKUP($C$39,$C$37:$BL$44,MATCH(AK$48,$C$37:$BL$37,0),FALSE),1),
0)),
    IF($T309="Lump Sum Principal and Interest",
        IF(AK$48=($E309+$Q309),
$K309*((1+$P309)^$Q309)*(VLOOKUP($C$39,$C$37:$BL$44,MATCH($E309,$C$37:$BL$37,0),FALSE)/VLOOKUP($L309,$C$37:$BL$44,MATCH($E309,$C$37:$BL$37,0),FALSE))*
IF($B$5="Foreign Currency",VLOOKUP($C$38,$C$37:$BL$44,MATCH(AK$48,$C$37:$BL$37,0),FALSE)/VLOOKUP($C$39,$C$37:$BL$44,MATCH(AK$48,$C$37:$BL$37,0),FALSE),1),
0),
    IF($T309="EPP with Grace Years for Principal",
        IF(AND(AK$48&gt;=$E309, AK$48&lt;($E309+$S309)),
$K309*$P309*(VLOOKUP($C$39,$C$37:$BL$44,MATCH($E309,$C$37:$BL$37,0),FALSE)/VLOOKUP($L309,$C$37:$BL$44,MATCH($E309,$C$37:$BL$37,0),FALSE))*
IF($B$5="Foreign Currency",VLOOKUP($C$38,$C$37:$BL$44,MATCH(AK$48,$C$37:$BL$37,0),FALSE)/VLOOKUP($C$39,$C$37:$BL$44,MATCH(AK$48,$C$37:$BL$37,0),FALSE),1),
        IF(AND(AK$48&gt;=($E309+$S309), AK$48&lt;=($E309+$Q309)),
-PMT($P309,($Q309-$S309+1),($K309*(VLOOKUP($C$39,$C$37:$BL$44,MATCH($E309,$C$37:$BL$37,0),FALSE)/VLOOKUP($L309,$C$37:$BL$44,MATCH($E309,$C$37:$BL$37,0),FALSE))*
IF($B$5="Foreign Currency",VLOOKUP($C$38,$C$37:$BL$44,MATCH(AK$48,$C$37:$BL$37,0),FALSE)/VLOOKUP($C$39,$C$37:$BL$44,MATCH(AK$48,$C$37:$BL$37,0),FALSE),1)),0),
0)),
    IF($T309="Equal Principal Payments (EPP)",
        IF(AND(AK$48&gt;=$E309, AK$48&lt;=($E309+$Q309)),
-PMT($P309,($Q309-$S309+1),($K309*(VLOOKUP($C$39,$C$37:$BL$44,MATCH($E309,$C$37:$BL$37,0),FALSE)/VLOOKUP($L309,$C$37:$BL$44,MATCH($E309,$C$37:$BL$37,0),FALSE))*
IF($B$5="Foreign Currency",VLOOKUP($C$38,$C$37:$BL$44,MATCH(AK$48,$C$37:$BL$37,0),FALSE)/VLOOKUP($C$39,$C$37:$BL$44,MATCH(AK$48,$C$37:$BL$37,0),FALSE),1)),0), 0),
    IF($T309="EPP with Grace Years for Principal and on Interest",
        IF(AND(AK$48&gt;=($E309+$S309), AK$48&lt;=($E309+$Q309)),
-PMT($P309,($Q309-$S309+1),($K309*(VLOOKUP($C$39,$C$37:$BL$44,MATCH($E309,$C$37:$BL$37,0),FALSE)/VLOOKUP($L309,$C$37:$BL$44,MATCH($E309,$C$37:$BL$37,0),FALSE))*
IF($B$5="Foreign Currency",VLOOKUP($C$38,$C$37:$BL$44,MATCH(AK$48,$C$37:$BL$37,0),FALSE)/VLOOKUP($C$39,$C$37:$BL$44,MATCH(AK$48,$C$37:$BL$37,0),FALSE),1))*((1+$P309)^$S309),0), 0),
    0)))))),"")</f>
        <v>0</v>
      </c>
      <c r="AL309" s="171">
        <f t="shared" si="514"/>
        <v>0</v>
      </c>
      <c r="AM309" s="171">
        <f t="shared" si="514"/>
        <v>0</v>
      </c>
      <c r="AN309" s="171">
        <f t="shared" si="514"/>
        <v>0</v>
      </c>
      <c r="AO309" s="171">
        <f t="shared" si="514"/>
        <v>0</v>
      </c>
      <c r="AP309" s="171">
        <f t="shared" si="514"/>
        <v>0</v>
      </c>
      <c r="AQ309" s="171">
        <f t="shared" si="514"/>
        <v>0</v>
      </c>
      <c r="AR309" s="171">
        <f t="shared" si="514"/>
        <v>0</v>
      </c>
      <c r="AS309" s="171">
        <f t="shared" si="514"/>
        <v>0</v>
      </c>
      <c r="AT309" s="171">
        <f t="shared" si="514"/>
        <v>0</v>
      </c>
      <c r="AU309" s="171">
        <f t="shared" ref="AU309:BD318" si="515">IFERROR(
    IF($T309="Equity",
        IF(AND(AU$48&gt;=$E309, AU$48&lt;=($E309+$Q309)),
$K309*$P309*(VLOOKUP($C$39,$C$37:$BL$44,MATCH($E309,$C$37:$BL$37,0),FALSE)/VLOOKUP($L309,$C$37:$BL$44,MATCH($E309,$C$37:$BL$37,0),FALSE))*
IF($B$5="Foreign Currency",VLOOKUP($C$38,$C$37:$BL$44,MATCH(AU$48,$C$37:$BL$37,0),FALSE)/VLOOKUP($C$39,$C$37:$BL$44,MATCH(AU$48,$C$37:$BL$37,0),FALSE),1),
0),
    IF($T309="Lump Sum Principal",
        IF(AND(AU$48&gt;=$E309, AU$48&lt;($E309+$Q309)),
$K309*$P309*(VLOOKUP($C$39,$C$37:$BL$44,MATCH($E309,$C$37:$BL$37,0),FALSE)/VLOOKUP($L309,$C$37:$BL$44,MATCH($E309,$C$37:$BL$37,0),FALSE))*
IF($B$5="Foreign Currency",VLOOKUP($C$38,$C$37:$BL$44,MATCH(AU$48,$C$37:$BL$37,0),FALSE)/VLOOKUP($C$39,$C$37:$BL$44,MATCH(AU$48,$C$37:$BL$37,0),FALSE),1),
        IF(AU$48=($E309+$Q309),
$K309*(1+$P309)*(VLOOKUP($C$39,$C$37:$BL$44,MATCH($E309,$C$37:$BL$37,0),FALSE)/VLOOKUP($L309,$C$37:$BL$44,MATCH($E309,$C$37:$BL$37,0),FALSE))*
IF($B$5="Foreign Currency",VLOOKUP($C$38,$C$37:$BL$44,MATCH(AU$48,$C$37:$BL$37,0),FALSE)/VLOOKUP($C$39,$C$37:$BL$44,MATCH(AU$48,$C$37:$BL$37,0),FALSE),1),
0)),
    IF($T309="Lump Sum Principal and Interest",
        IF(AU$48=($E309+$Q309),
$K309*((1+$P309)^$Q309)*(VLOOKUP($C$39,$C$37:$BL$44,MATCH($E309,$C$37:$BL$37,0),FALSE)/VLOOKUP($L309,$C$37:$BL$44,MATCH($E309,$C$37:$BL$37,0),FALSE))*
IF($B$5="Foreign Currency",VLOOKUP($C$38,$C$37:$BL$44,MATCH(AU$48,$C$37:$BL$37,0),FALSE)/VLOOKUP($C$39,$C$37:$BL$44,MATCH(AU$48,$C$37:$BL$37,0),FALSE),1),
0),
    IF($T309="EPP with Grace Years for Principal",
        IF(AND(AU$48&gt;=$E309, AU$48&lt;($E309+$S309)),
$K309*$P309*(VLOOKUP($C$39,$C$37:$BL$44,MATCH($E309,$C$37:$BL$37,0),FALSE)/VLOOKUP($L309,$C$37:$BL$44,MATCH($E309,$C$37:$BL$37,0),FALSE))*
IF($B$5="Foreign Currency",VLOOKUP($C$38,$C$37:$BL$44,MATCH(AU$48,$C$37:$BL$37,0),FALSE)/VLOOKUP($C$39,$C$37:$BL$44,MATCH(AU$48,$C$37:$BL$37,0),FALSE),1),
        IF(AND(AU$48&gt;=($E309+$S309), AU$48&lt;=($E309+$Q309)),
-PMT($P309,($Q309-$S309+1),($K309*(VLOOKUP($C$39,$C$37:$BL$44,MATCH($E309,$C$37:$BL$37,0),FALSE)/VLOOKUP($L309,$C$37:$BL$44,MATCH($E309,$C$37:$BL$37,0),FALSE))*
IF($B$5="Foreign Currency",VLOOKUP($C$38,$C$37:$BL$44,MATCH(AU$48,$C$37:$BL$37,0),FALSE)/VLOOKUP($C$39,$C$37:$BL$44,MATCH(AU$48,$C$37:$BL$37,0),FALSE),1)),0),
0)),
    IF($T309="Equal Principal Payments (EPP)",
        IF(AND(AU$48&gt;=$E309, AU$48&lt;=($E309+$Q309)),
-PMT($P309,($Q309-$S309+1),($K309*(VLOOKUP($C$39,$C$37:$BL$44,MATCH($E309,$C$37:$BL$37,0),FALSE)/VLOOKUP($L309,$C$37:$BL$44,MATCH($E309,$C$37:$BL$37,0),FALSE))*
IF($B$5="Foreign Currency",VLOOKUP($C$38,$C$37:$BL$44,MATCH(AU$48,$C$37:$BL$37,0),FALSE)/VLOOKUP($C$39,$C$37:$BL$44,MATCH(AU$48,$C$37:$BL$37,0),FALSE),1)),0), 0),
    IF($T309="EPP with Grace Years for Principal and on Interest",
        IF(AND(AU$48&gt;=($E309+$S309), AU$48&lt;=($E309+$Q309)),
-PMT($P309,($Q309-$S309+1),($K309*(VLOOKUP($C$39,$C$37:$BL$44,MATCH($E309,$C$37:$BL$37,0),FALSE)/VLOOKUP($L309,$C$37:$BL$44,MATCH($E309,$C$37:$BL$37,0),FALSE))*
IF($B$5="Foreign Currency",VLOOKUP($C$38,$C$37:$BL$44,MATCH(AU$48,$C$37:$BL$37,0),FALSE)/VLOOKUP($C$39,$C$37:$BL$44,MATCH(AU$48,$C$37:$BL$37,0),FALSE),1))*((1+$P309)^$S309),0), 0),
    0)))))),"")</f>
        <v>0</v>
      </c>
      <c r="AV309" s="171">
        <f t="shared" si="515"/>
        <v>0</v>
      </c>
      <c r="AW309" s="171">
        <f t="shared" si="515"/>
        <v>0</v>
      </c>
      <c r="AX309" s="171">
        <f t="shared" si="515"/>
        <v>0</v>
      </c>
      <c r="AY309" s="171">
        <f t="shared" si="515"/>
        <v>0</v>
      </c>
      <c r="AZ309" s="171">
        <f t="shared" si="515"/>
        <v>0</v>
      </c>
      <c r="BA309" s="171">
        <f t="shared" si="515"/>
        <v>0</v>
      </c>
      <c r="BB309" s="171">
        <f t="shared" si="515"/>
        <v>0</v>
      </c>
      <c r="BC309" s="171">
        <f t="shared" si="515"/>
        <v>0</v>
      </c>
      <c r="BD309" s="171">
        <f t="shared" si="515"/>
        <v>0</v>
      </c>
      <c r="BE309" s="171">
        <f t="shared" ref="BE309:BN318" si="516">IFERROR(
    IF($T309="Equity",
        IF(AND(BE$48&gt;=$E309, BE$48&lt;=($E309+$Q309)),
$K309*$P309*(VLOOKUP($C$39,$C$37:$BL$44,MATCH($E309,$C$37:$BL$37,0),FALSE)/VLOOKUP($L309,$C$37:$BL$44,MATCH($E309,$C$37:$BL$37,0),FALSE))*
IF($B$5="Foreign Currency",VLOOKUP($C$38,$C$37:$BL$44,MATCH(BE$48,$C$37:$BL$37,0),FALSE)/VLOOKUP($C$39,$C$37:$BL$44,MATCH(BE$48,$C$37:$BL$37,0),FALSE),1),
0),
    IF($T309="Lump Sum Principal",
        IF(AND(BE$48&gt;=$E309, BE$48&lt;($E309+$Q309)),
$K309*$P309*(VLOOKUP($C$39,$C$37:$BL$44,MATCH($E309,$C$37:$BL$37,0),FALSE)/VLOOKUP($L309,$C$37:$BL$44,MATCH($E309,$C$37:$BL$37,0),FALSE))*
IF($B$5="Foreign Currency",VLOOKUP($C$38,$C$37:$BL$44,MATCH(BE$48,$C$37:$BL$37,0),FALSE)/VLOOKUP($C$39,$C$37:$BL$44,MATCH(BE$48,$C$37:$BL$37,0),FALSE),1),
        IF(BE$48=($E309+$Q309),
$K309*(1+$P309)*(VLOOKUP($C$39,$C$37:$BL$44,MATCH($E309,$C$37:$BL$37,0),FALSE)/VLOOKUP($L309,$C$37:$BL$44,MATCH($E309,$C$37:$BL$37,0),FALSE))*
IF($B$5="Foreign Currency",VLOOKUP($C$38,$C$37:$BL$44,MATCH(BE$48,$C$37:$BL$37,0),FALSE)/VLOOKUP($C$39,$C$37:$BL$44,MATCH(BE$48,$C$37:$BL$37,0),FALSE),1),
0)),
    IF($T309="Lump Sum Principal and Interest",
        IF(BE$48=($E309+$Q309),
$K309*((1+$P309)^$Q309)*(VLOOKUP($C$39,$C$37:$BL$44,MATCH($E309,$C$37:$BL$37,0),FALSE)/VLOOKUP($L309,$C$37:$BL$44,MATCH($E309,$C$37:$BL$37,0),FALSE))*
IF($B$5="Foreign Currency",VLOOKUP($C$38,$C$37:$BL$44,MATCH(BE$48,$C$37:$BL$37,0),FALSE)/VLOOKUP($C$39,$C$37:$BL$44,MATCH(BE$48,$C$37:$BL$37,0),FALSE),1),
0),
    IF($T309="EPP with Grace Years for Principal",
        IF(AND(BE$48&gt;=$E309, BE$48&lt;($E309+$S309)),
$K309*$P309*(VLOOKUP($C$39,$C$37:$BL$44,MATCH($E309,$C$37:$BL$37,0),FALSE)/VLOOKUP($L309,$C$37:$BL$44,MATCH($E309,$C$37:$BL$37,0),FALSE))*
IF($B$5="Foreign Currency",VLOOKUP($C$38,$C$37:$BL$44,MATCH(BE$48,$C$37:$BL$37,0),FALSE)/VLOOKUP($C$39,$C$37:$BL$44,MATCH(BE$48,$C$37:$BL$37,0),FALSE),1),
        IF(AND(BE$48&gt;=($E309+$S309), BE$48&lt;=($E309+$Q309)),
-PMT($P309,($Q309-$S309+1),($K309*(VLOOKUP($C$39,$C$37:$BL$44,MATCH($E309,$C$37:$BL$37,0),FALSE)/VLOOKUP($L309,$C$37:$BL$44,MATCH($E309,$C$37:$BL$37,0),FALSE))*
IF($B$5="Foreign Currency",VLOOKUP($C$38,$C$37:$BL$44,MATCH(BE$48,$C$37:$BL$37,0),FALSE)/VLOOKUP($C$39,$C$37:$BL$44,MATCH(BE$48,$C$37:$BL$37,0),FALSE),1)),0),
0)),
    IF($T309="Equal Principal Payments (EPP)",
        IF(AND(BE$48&gt;=$E309, BE$48&lt;=($E309+$Q309)),
-PMT($P309,($Q309-$S309+1),($K309*(VLOOKUP($C$39,$C$37:$BL$44,MATCH($E309,$C$37:$BL$37,0),FALSE)/VLOOKUP($L309,$C$37:$BL$44,MATCH($E309,$C$37:$BL$37,0),FALSE))*
IF($B$5="Foreign Currency",VLOOKUP($C$38,$C$37:$BL$44,MATCH(BE$48,$C$37:$BL$37,0),FALSE)/VLOOKUP($C$39,$C$37:$BL$44,MATCH(BE$48,$C$37:$BL$37,0),FALSE),1)),0), 0),
    IF($T309="EPP with Grace Years for Principal and on Interest",
        IF(AND(BE$48&gt;=($E309+$S309), BE$48&lt;=($E309+$Q309)),
-PMT($P309,($Q309-$S309+1),($K309*(VLOOKUP($C$39,$C$37:$BL$44,MATCH($E309,$C$37:$BL$37,0),FALSE)/VLOOKUP($L309,$C$37:$BL$44,MATCH($E309,$C$37:$BL$37,0),FALSE))*
IF($B$5="Foreign Currency",VLOOKUP($C$38,$C$37:$BL$44,MATCH(BE$48,$C$37:$BL$37,0),FALSE)/VLOOKUP($C$39,$C$37:$BL$44,MATCH(BE$48,$C$37:$BL$37,0),FALSE),1))*((1+$P309)^$S309),0), 0),
    0)))))),"")</f>
        <v>0</v>
      </c>
      <c r="BF309" s="171">
        <f t="shared" si="516"/>
        <v>0</v>
      </c>
      <c r="BG309" s="171">
        <f t="shared" si="516"/>
        <v>0</v>
      </c>
      <c r="BH309" s="171">
        <f t="shared" si="516"/>
        <v>0</v>
      </c>
      <c r="BI309" s="171">
        <f t="shared" si="516"/>
        <v>0</v>
      </c>
      <c r="BJ309" s="171">
        <f t="shared" si="516"/>
        <v>0</v>
      </c>
      <c r="BK309" s="171">
        <f t="shared" si="516"/>
        <v>0</v>
      </c>
      <c r="BL309" s="171">
        <f t="shared" si="516"/>
        <v>0</v>
      </c>
      <c r="BM309" s="171">
        <f t="shared" si="516"/>
        <v>0</v>
      </c>
      <c r="BN309" s="171">
        <f t="shared" si="516"/>
        <v>0</v>
      </c>
      <c r="BO309" s="171">
        <f t="shared" ref="BO309:BX318" si="517">IFERROR(
    IF($T309="Equity",
        IF(AND(BO$48&gt;=$E309, BO$48&lt;=($E309+$Q309)),
$K309*$P309*(VLOOKUP($C$39,$C$37:$BL$44,MATCH($E309,$C$37:$BL$37,0),FALSE)/VLOOKUP($L309,$C$37:$BL$44,MATCH($E309,$C$37:$BL$37,0),FALSE))*
IF($B$5="Foreign Currency",VLOOKUP($C$38,$C$37:$BL$44,MATCH(BO$48,$C$37:$BL$37,0),FALSE)/VLOOKUP($C$39,$C$37:$BL$44,MATCH(BO$48,$C$37:$BL$37,0),FALSE),1),
0),
    IF($T309="Lump Sum Principal",
        IF(AND(BO$48&gt;=$E309, BO$48&lt;($E309+$Q309)),
$K309*$P309*(VLOOKUP($C$39,$C$37:$BL$44,MATCH($E309,$C$37:$BL$37,0),FALSE)/VLOOKUP($L309,$C$37:$BL$44,MATCH($E309,$C$37:$BL$37,0),FALSE))*
IF($B$5="Foreign Currency",VLOOKUP($C$38,$C$37:$BL$44,MATCH(BO$48,$C$37:$BL$37,0),FALSE)/VLOOKUP($C$39,$C$37:$BL$44,MATCH(BO$48,$C$37:$BL$37,0),FALSE),1),
        IF(BO$48=($E309+$Q309),
$K309*(1+$P309)*(VLOOKUP($C$39,$C$37:$BL$44,MATCH($E309,$C$37:$BL$37,0),FALSE)/VLOOKUP($L309,$C$37:$BL$44,MATCH($E309,$C$37:$BL$37,0),FALSE))*
IF($B$5="Foreign Currency",VLOOKUP($C$38,$C$37:$BL$44,MATCH(BO$48,$C$37:$BL$37,0),FALSE)/VLOOKUP($C$39,$C$37:$BL$44,MATCH(BO$48,$C$37:$BL$37,0),FALSE),1),
0)),
    IF($T309="Lump Sum Principal and Interest",
        IF(BO$48=($E309+$Q309),
$K309*((1+$P309)^$Q309)*(VLOOKUP($C$39,$C$37:$BL$44,MATCH($E309,$C$37:$BL$37,0),FALSE)/VLOOKUP($L309,$C$37:$BL$44,MATCH($E309,$C$37:$BL$37,0),FALSE))*
IF($B$5="Foreign Currency",VLOOKUP($C$38,$C$37:$BL$44,MATCH(BO$48,$C$37:$BL$37,0),FALSE)/VLOOKUP($C$39,$C$37:$BL$44,MATCH(BO$48,$C$37:$BL$37,0),FALSE),1),
0),
    IF($T309="EPP with Grace Years for Principal",
        IF(AND(BO$48&gt;=$E309, BO$48&lt;($E309+$S309)),
$K309*$P309*(VLOOKUP($C$39,$C$37:$BL$44,MATCH($E309,$C$37:$BL$37,0),FALSE)/VLOOKUP($L309,$C$37:$BL$44,MATCH($E309,$C$37:$BL$37,0),FALSE))*
IF($B$5="Foreign Currency",VLOOKUP($C$38,$C$37:$BL$44,MATCH(BO$48,$C$37:$BL$37,0),FALSE)/VLOOKUP($C$39,$C$37:$BL$44,MATCH(BO$48,$C$37:$BL$37,0),FALSE),1),
        IF(AND(BO$48&gt;=($E309+$S309), BO$48&lt;=($E309+$Q309)),
-PMT($P309,($Q309-$S309+1),($K309*(VLOOKUP($C$39,$C$37:$BL$44,MATCH($E309,$C$37:$BL$37,0),FALSE)/VLOOKUP($L309,$C$37:$BL$44,MATCH($E309,$C$37:$BL$37,0),FALSE))*
IF($B$5="Foreign Currency",VLOOKUP($C$38,$C$37:$BL$44,MATCH(BO$48,$C$37:$BL$37,0),FALSE)/VLOOKUP($C$39,$C$37:$BL$44,MATCH(BO$48,$C$37:$BL$37,0),FALSE),1)),0),
0)),
    IF($T309="Equal Principal Payments (EPP)",
        IF(AND(BO$48&gt;=$E309, BO$48&lt;=($E309+$Q309)),
-PMT($P309,($Q309-$S309+1),($K309*(VLOOKUP($C$39,$C$37:$BL$44,MATCH($E309,$C$37:$BL$37,0),FALSE)/VLOOKUP($L309,$C$37:$BL$44,MATCH($E309,$C$37:$BL$37,0),FALSE))*
IF($B$5="Foreign Currency",VLOOKUP($C$38,$C$37:$BL$44,MATCH(BO$48,$C$37:$BL$37,0),FALSE)/VLOOKUP($C$39,$C$37:$BL$44,MATCH(BO$48,$C$37:$BL$37,0),FALSE),1)),0), 0),
    IF($T309="EPP with Grace Years for Principal and on Interest",
        IF(AND(BO$48&gt;=($E309+$S309), BO$48&lt;=($E309+$Q309)),
-PMT($P309,($Q309-$S309+1),($K309*(VLOOKUP($C$39,$C$37:$BL$44,MATCH($E309,$C$37:$BL$37,0),FALSE)/VLOOKUP($L309,$C$37:$BL$44,MATCH($E309,$C$37:$BL$37,0),FALSE))*
IF($B$5="Foreign Currency",VLOOKUP($C$38,$C$37:$BL$44,MATCH(BO$48,$C$37:$BL$37,0),FALSE)/VLOOKUP($C$39,$C$37:$BL$44,MATCH(BO$48,$C$37:$BL$37,0),FALSE),1))*((1+$P309)^$S309),0), 0),
    0)))))),"")</f>
        <v>0</v>
      </c>
      <c r="BP309" s="171">
        <f t="shared" si="517"/>
        <v>0</v>
      </c>
      <c r="BQ309" s="171">
        <f t="shared" si="517"/>
        <v>0</v>
      </c>
      <c r="BR309" s="171">
        <f t="shared" si="517"/>
        <v>0</v>
      </c>
      <c r="BS309" s="171">
        <f t="shared" si="517"/>
        <v>0</v>
      </c>
      <c r="BT309" s="171">
        <f t="shared" si="517"/>
        <v>0</v>
      </c>
      <c r="BU309" s="171">
        <f t="shared" si="517"/>
        <v>0</v>
      </c>
      <c r="BV309" s="171">
        <f t="shared" si="517"/>
        <v>0</v>
      </c>
      <c r="BW309" s="171">
        <f t="shared" si="517"/>
        <v>0</v>
      </c>
      <c r="BX309" s="171">
        <f t="shared" si="517"/>
        <v>0</v>
      </c>
      <c r="BY309" s="171">
        <f t="shared" ref="BY309:CI318" si="518">IFERROR(
    IF($T309="Equity",
        IF(AND(BY$48&gt;=$E309, BY$48&lt;=($E309+$Q309)),
$K309*$P309*(VLOOKUP($C$39,$C$37:$BL$44,MATCH($E309,$C$37:$BL$37,0),FALSE)/VLOOKUP($L309,$C$37:$BL$44,MATCH($E309,$C$37:$BL$37,0),FALSE))*
IF($B$5="Foreign Currency",VLOOKUP($C$38,$C$37:$BL$44,MATCH(BY$48,$C$37:$BL$37,0),FALSE)/VLOOKUP($C$39,$C$37:$BL$44,MATCH(BY$48,$C$37:$BL$37,0),FALSE),1),
0),
    IF($T309="Lump Sum Principal",
        IF(AND(BY$48&gt;=$E309, BY$48&lt;($E309+$Q309)),
$K309*$P309*(VLOOKUP($C$39,$C$37:$BL$44,MATCH($E309,$C$37:$BL$37,0),FALSE)/VLOOKUP($L309,$C$37:$BL$44,MATCH($E309,$C$37:$BL$37,0),FALSE))*
IF($B$5="Foreign Currency",VLOOKUP($C$38,$C$37:$BL$44,MATCH(BY$48,$C$37:$BL$37,0),FALSE)/VLOOKUP($C$39,$C$37:$BL$44,MATCH(BY$48,$C$37:$BL$37,0),FALSE),1),
        IF(BY$48=($E309+$Q309),
$K309*(1+$P309)*(VLOOKUP($C$39,$C$37:$BL$44,MATCH($E309,$C$37:$BL$37,0),FALSE)/VLOOKUP($L309,$C$37:$BL$44,MATCH($E309,$C$37:$BL$37,0),FALSE))*
IF($B$5="Foreign Currency",VLOOKUP($C$38,$C$37:$BL$44,MATCH(BY$48,$C$37:$BL$37,0),FALSE)/VLOOKUP($C$39,$C$37:$BL$44,MATCH(BY$48,$C$37:$BL$37,0),FALSE),1),
0)),
    IF($T309="Lump Sum Principal and Interest",
        IF(BY$48=($E309+$Q309),
$K309*((1+$P309)^$Q309)*(VLOOKUP($C$39,$C$37:$BL$44,MATCH($E309,$C$37:$BL$37,0),FALSE)/VLOOKUP($L309,$C$37:$BL$44,MATCH($E309,$C$37:$BL$37,0),FALSE))*
IF($B$5="Foreign Currency",VLOOKUP($C$38,$C$37:$BL$44,MATCH(BY$48,$C$37:$BL$37,0),FALSE)/VLOOKUP($C$39,$C$37:$BL$44,MATCH(BY$48,$C$37:$BL$37,0),FALSE),1),
0),
    IF($T309="EPP with Grace Years for Principal",
        IF(AND(BY$48&gt;=$E309, BY$48&lt;($E309+$S309)),
$K309*$P309*(VLOOKUP($C$39,$C$37:$BL$44,MATCH($E309,$C$37:$BL$37,0),FALSE)/VLOOKUP($L309,$C$37:$BL$44,MATCH($E309,$C$37:$BL$37,0),FALSE))*
IF($B$5="Foreign Currency",VLOOKUP($C$38,$C$37:$BL$44,MATCH(BY$48,$C$37:$BL$37,0),FALSE)/VLOOKUP($C$39,$C$37:$BL$44,MATCH(BY$48,$C$37:$BL$37,0),FALSE),1),
        IF(AND(BY$48&gt;=($E309+$S309), BY$48&lt;=($E309+$Q309)),
-PMT($P309,($Q309-$S309+1),($K309*(VLOOKUP($C$39,$C$37:$BL$44,MATCH($E309,$C$37:$BL$37,0),FALSE)/VLOOKUP($L309,$C$37:$BL$44,MATCH($E309,$C$37:$BL$37,0),FALSE))*
IF($B$5="Foreign Currency",VLOOKUP($C$38,$C$37:$BL$44,MATCH(BY$48,$C$37:$BL$37,0),FALSE)/VLOOKUP($C$39,$C$37:$BL$44,MATCH(BY$48,$C$37:$BL$37,0),FALSE),1)),0),
0)),
    IF($T309="Equal Principal Payments (EPP)",
        IF(AND(BY$48&gt;=$E309, BY$48&lt;=($E309+$Q309)),
-PMT($P309,($Q309-$S309+1),($K309*(VLOOKUP($C$39,$C$37:$BL$44,MATCH($E309,$C$37:$BL$37,0),FALSE)/VLOOKUP($L309,$C$37:$BL$44,MATCH($E309,$C$37:$BL$37,0),FALSE))*
IF($B$5="Foreign Currency",VLOOKUP($C$38,$C$37:$BL$44,MATCH(BY$48,$C$37:$BL$37,0),FALSE)/VLOOKUP($C$39,$C$37:$BL$44,MATCH(BY$48,$C$37:$BL$37,0),FALSE),1)),0), 0),
    IF($T309="EPP with Grace Years for Principal and on Interest",
        IF(AND(BY$48&gt;=($E309+$S309), BY$48&lt;=($E309+$Q309)),
-PMT($P309,($Q309-$S309+1),($K309*(VLOOKUP($C$39,$C$37:$BL$44,MATCH($E309,$C$37:$BL$37,0),FALSE)/VLOOKUP($L309,$C$37:$BL$44,MATCH($E309,$C$37:$BL$37,0),FALSE))*
IF($B$5="Foreign Currency",VLOOKUP($C$38,$C$37:$BL$44,MATCH(BY$48,$C$37:$BL$37,0),FALSE)/VLOOKUP($C$39,$C$37:$BL$44,MATCH(BY$48,$C$37:$BL$37,0),FALSE),1))*((1+$P309)^$S309),0), 0),
    0)))))),"")</f>
        <v>0</v>
      </c>
      <c r="BZ309" s="171">
        <f t="shared" si="518"/>
        <v>0</v>
      </c>
      <c r="CA309" s="171">
        <f t="shared" si="518"/>
        <v>0</v>
      </c>
      <c r="CB309" s="171">
        <f t="shared" si="518"/>
        <v>0</v>
      </c>
      <c r="CC309" s="171">
        <f t="shared" si="518"/>
        <v>0</v>
      </c>
      <c r="CD309" s="171">
        <f t="shared" si="518"/>
        <v>0</v>
      </c>
      <c r="CE309" s="171">
        <f t="shared" si="518"/>
        <v>0</v>
      </c>
      <c r="CF309" s="171">
        <f t="shared" si="518"/>
        <v>0</v>
      </c>
      <c r="CG309" s="171">
        <f t="shared" si="518"/>
        <v>0</v>
      </c>
      <c r="CH309" s="171">
        <f t="shared" si="518"/>
        <v>0</v>
      </c>
      <c r="CI309" s="171">
        <f t="shared" si="518"/>
        <v>0</v>
      </c>
      <c r="CJ309" s="243"/>
      <c r="CK309" s="171">
        <f t="shared" si="452"/>
        <v>0</v>
      </c>
      <c r="CL309" s="171">
        <f t="shared" si="453"/>
        <v>0</v>
      </c>
      <c r="CM309" s="171">
        <f t="shared" si="454"/>
        <v>0</v>
      </c>
      <c r="CN309" s="171">
        <f t="shared" si="455"/>
        <v>0</v>
      </c>
      <c r="CO309" s="171">
        <f t="shared" si="456"/>
        <v>0</v>
      </c>
      <c r="CP309" s="171">
        <f t="shared" si="457"/>
        <v>0</v>
      </c>
      <c r="CQ309" s="171">
        <f t="shared" si="458"/>
        <v>0</v>
      </c>
      <c r="CR309" s="171">
        <f t="shared" si="459"/>
        <v>0</v>
      </c>
      <c r="CS309" s="171">
        <f t="shared" si="460"/>
        <v>0</v>
      </c>
      <c r="CT309" s="171">
        <f t="shared" si="461"/>
        <v>0</v>
      </c>
      <c r="CU309" s="171">
        <f t="shared" si="462"/>
        <v>0</v>
      </c>
      <c r="CV309" s="171">
        <f t="shared" si="463"/>
        <v>0</v>
      </c>
      <c r="CW309" s="171">
        <f t="shared" si="464"/>
        <v>0</v>
      </c>
      <c r="CX309" s="171">
        <f t="shared" si="465"/>
        <v>0</v>
      </c>
      <c r="CY309" s="171">
        <f t="shared" ca="1" si="466"/>
        <v>0</v>
      </c>
      <c r="CZ309" s="171">
        <f t="shared" ca="1" si="467"/>
        <v>0</v>
      </c>
      <c r="DA309" s="171">
        <f t="shared" ca="1" si="468"/>
        <v>0</v>
      </c>
      <c r="DB309" s="171">
        <f t="shared" ca="1" si="469"/>
        <v>0</v>
      </c>
      <c r="DC309" s="171">
        <f t="shared" ca="1" si="470"/>
        <v>0</v>
      </c>
      <c r="DD309" s="171">
        <f t="shared" ca="1" si="471"/>
        <v>0</v>
      </c>
      <c r="DE309" s="171">
        <f t="shared" ca="1" si="472"/>
        <v>0</v>
      </c>
      <c r="DF309" s="171">
        <f t="shared" ca="1" si="473"/>
        <v>0</v>
      </c>
      <c r="DG309" s="171">
        <f t="shared" ca="1" si="474"/>
        <v>0</v>
      </c>
      <c r="DH309" s="171">
        <f t="shared" ca="1" si="475"/>
        <v>0</v>
      </c>
      <c r="DI309" s="171">
        <f t="shared" ca="1" si="476"/>
        <v>0</v>
      </c>
      <c r="DJ309" s="171">
        <f t="shared" ca="1" si="477"/>
        <v>0</v>
      </c>
      <c r="DK309" s="171">
        <f t="shared" ca="1" si="478"/>
        <v>0</v>
      </c>
      <c r="DL309" s="171">
        <f t="shared" ca="1" si="479"/>
        <v>0</v>
      </c>
      <c r="DM309" s="171">
        <f t="shared" ca="1" si="480"/>
        <v>0</v>
      </c>
      <c r="DN309" s="171">
        <f t="shared" ca="1" si="481"/>
        <v>0</v>
      </c>
      <c r="DO309" s="171">
        <f t="shared" ca="1" si="482"/>
        <v>0</v>
      </c>
      <c r="DP309" s="171">
        <f t="shared" ca="1" si="483"/>
        <v>0</v>
      </c>
      <c r="DQ309" s="171">
        <f t="shared" ca="1" si="484"/>
        <v>0</v>
      </c>
      <c r="DR309" s="171">
        <f t="shared" ca="1" si="485"/>
        <v>0</v>
      </c>
      <c r="DS309" s="171">
        <f t="shared" ca="1" si="486"/>
        <v>0</v>
      </c>
      <c r="DT309" s="171">
        <f t="shared" ca="1" si="487"/>
        <v>0</v>
      </c>
      <c r="DU309" s="171">
        <f t="shared" ca="1" si="488"/>
        <v>0</v>
      </c>
      <c r="DV309" s="171">
        <f t="shared" ca="1" si="489"/>
        <v>0</v>
      </c>
      <c r="DW309" s="171">
        <f t="shared" ca="1" si="490"/>
        <v>0</v>
      </c>
      <c r="DX309" s="171">
        <f t="shared" ca="1" si="491"/>
        <v>0</v>
      </c>
      <c r="DY309" s="171">
        <f t="shared" ca="1" si="492"/>
        <v>0</v>
      </c>
      <c r="DZ309" s="171">
        <f t="shared" ca="1" si="493"/>
        <v>0</v>
      </c>
      <c r="EA309" s="171">
        <f t="shared" ca="1" si="494"/>
        <v>0</v>
      </c>
      <c r="EB309" s="171">
        <f t="shared" ca="1" si="495"/>
        <v>0</v>
      </c>
      <c r="EC309" s="171">
        <f t="shared" ca="1" si="496"/>
        <v>0</v>
      </c>
      <c r="ED309" s="171">
        <f t="shared" ca="1" si="497"/>
        <v>0</v>
      </c>
      <c r="EE309" s="171">
        <f t="shared" ca="1" si="498"/>
        <v>0</v>
      </c>
      <c r="EF309" s="171">
        <f t="shared" ca="1" si="499"/>
        <v>0</v>
      </c>
      <c r="EG309" s="171">
        <f t="shared" ca="1" si="500"/>
        <v>0</v>
      </c>
      <c r="EH309" s="171">
        <f t="shared" ca="1" si="501"/>
        <v>0</v>
      </c>
      <c r="EI309" s="171">
        <f t="shared" ca="1" si="502"/>
        <v>0</v>
      </c>
      <c r="EJ309" s="171">
        <f t="shared" ca="1" si="503"/>
        <v>0</v>
      </c>
      <c r="EK309" s="171">
        <f t="shared" ca="1" si="504"/>
        <v>0</v>
      </c>
      <c r="EL309" s="171">
        <f t="shared" ca="1" si="505"/>
        <v>0</v>
      </c>
      <c r="EM309" s="171">
        <f t="shared" ca="1" si="506"/>
        <v>0</v>
      </c>
      <c r="EN309" s="171">
        <f t="shared" ca="1" si="507"/>
        <v>0</v>
      </c>
      <c r="EO309" s="171">
        <f t="shared" ca="1" si="508"/>
        <v>0</v>
      </c>
      <c r="EP309" s="171">
        <f t="shared" ca="1" si="509"/>
        <v>0</v>
      </c>
      <c r="EQ309" s="171">
        <f t="shared" ca="1" si="510"/>
        <v>0</v>
      </c>
      <c r="ER309" s="171">
        <f t="shared" ca="1" si="511"/>
        <v>0</v>
      </c>
      <c r="ES309" s="171">
        <f t="shared" ca="1" si="512"/>
        <v>0</v>
      </c>
    </row>
    <row r="310" spans="3:149">
      <c r="C310" s="214"/>
      <c r="H310" s="216"/>
      <c r="I310" s="217"/>
      <c r="L310" s="163"/>
      <c r="M310" s="164" t="str">
        <f t="shared" si="443"/>
        <v/>
      </c>
      <c r="N310" s="164" t="str">
        <f t="shared" si="444"/>
        <v/>
      </c>
      <c r="O310" s="165" t="str">
        <f t="shared" si="445"/>
        <v/>
      </c>
      <c r="R310" s="168"/>
      <c r="U310" s="171">
        <f t="shared" si="446"/>
        <v>0</v>
      </c>
      <c r="V310" s="171">
        <f t="shared" ca="1" si="447"/>
        <v>0</v>
      </c>
      <c r="W310" s="171">
        <f t="shared" ca="1" si="448"/>
        <v>0</v>
      </c>
      <c r="X310" s="172">
        <f t="shared" si="449"/>
        <v>0</v>
      </c>
      <c r="Y310" s="172" t="str">
        <f t="shared" si="450"/>
        <v/>
      </c>
      <c r="Z310" s="173">
        <f t="shared" si="451"/>
        <v>0</v>
      </c>
      <c r="AA310" s="171">
        <f t="shared" si="513"/>
        <v>0</v>
      </c>
      <c r="AB310" s="171">
        <f t="shared" si="513"/>
        <v>0</v>
      </c>
      <c r="AC310" s="171">
        <f t="shared" si="513"/>
        <v>0</v>
      </c>
      <c r="AD310" s="171">
        <f t="shared" si="513"/>
        <v>0</v>
      </c>
      <c r="AE310" s="171">
        <f t="shared" si="513"/>
        <v>0</v>
      </c>
      <c r="AF310" s="171">
        <f t="shared" si="513"/>
        <v>0</v>
      </c>
      <c r="AG310" s="171">
        <f t="shared" si="513"/>
        <v>0</v>
      </c>
      <c r="AH310" s="171">
        <f t="shared" si="513"/>
        <v>0</v>
      </c>
      <c r="AI310" s="171">
        <f t="shared" si="513"/>
        <v>0</v>
      </c>
      <c r="AJ310" s="171">
        <f t="shared" si="513"/>
        <v>0</v>
      </c>
      <c r="AK310" s="171">
        <f t="shared" si="514"/>
        <v>0</v>
      </c>
      <c r="AL310" s="171">
        <f t="shared" si="514"/>
        <v>0</v>
      </c>
      <c r="AM310" s="171">
        <f t="shared" si="514"/>
        <v>0</v>
      </c>
      <c r="AN310" s="171">
        <f t="shared" si="514"/>
        <v>0</v>
      </c>
      <c r="AO310" s="171">
        <f t="shared" si="514"/>
        <v>0</v>
      </c>
      <c r="AP310" s="171">
        <f t="shared" si="514"/>
        <v>0</v>
      </c>
      <c r="AQ310" s="171">
        <f t="shared" si="514"/>
        <v>0</v>
      </c>
      <c r="AR310" s="171">
        <f t="shared" si="514"/>
        <v>0</v>
      </c>
      <c r="AS310" s="171">
        <f t="shared" si="514"/>
        <v>0</v>
      </c>
      <c r="AT310" s="171">
        <f t="shared" si="514"/>
        <v>0</v>
      </c>
      <c r="AU310" s="171">
        <f t="shared" si="515"/>
        <v>0</v>
      </c>
      <c r="AV310" s="171">
        <f t="shared" si="515"/>
        <v>0</v>
      </c>
      <c r="AW310" s="171">
        <f t="shared" si="515"/>
        <v>0</v>
      </c>
      <c r="AX310" s="171">
        <f t="shared" si="515"/>
        <v>0</v>
      </c>
      <c r="AY310" s="171">
        <f t="shared" si="515"/>
        <v>0</v>
      </c>
      <c r="AZ310" s="171">
        <f t="shared" si="515"/>
        <v>0</v>
      </c>
      <c r="BA310" s="171">
        <f t="shared" si="515"/>
        <v>0</v>
      </c>
      <c r="BB310" s="171">
        <f t="shared" si="515"/>
        <v>0</v>
      </c>
      <c r="BC310" s="171">
        <f t="shared" si="515"/>
        <v>0</v>
      </c>
      <c r="BD310" s="171">
        <f t="shared" si="515"/>
        <v>0</v>
      </c>
      <c r="BE310" s="171">
        <f t="shared" si="516"/>
        <v>0</v>
      </c>
      <c r="BF310" s="171">
        <f t="shared" si="516"/>
        <v>0</v>
      </c>
      <c r="BG310" s="171">
        <f t="shared" si="516"/>
        <v>0</v>
      </c>
      <c r="BH310" s="171">
        <f t="shared" si="516"/>
        <v>0</v>
      </c>
      <c r="BI310" s="171">
        <f t="shared" si="516"/>
        <v>0</v>
      </c>
      <c r="BJ310" s="171">
        <f t="shared" si="516"/>
        <v>0</v>
      </c>
      <c r="BK310" s="171">
        <f t="shared" si="516"/>
        <v>0</v>
      </c>
      <c r="BL310" s="171">
        <f t="shared" si="516"/>
        <v>0</v>
      </c>
      <c r="BM310" s="171">
        <f t="shared" si="516"/>
        <v>0</v>
      </c>
      <c r="BN310" s="171">
        <f t="shared" si="516"/>
        <v>0</v>
      </c>
      <c r="BO310" s="171">
        <f t="shared" si="517"/>
        <v>0</v>
      </c>
      <c r="BP310" s="171">
        <f t="shared" si="517"/>
        <v>0</v>
      </c>
      <c r="BQ310" s="171">
        <f t="shared" si="517"/>
        <v>0</v>
      </c>
      <c r="BR310" s="171">
        <f t="shared" si="517"/>
        <v>0</v>
      </c>
      <c r="BS310" s="171">
        <f t="shared" si="517"/>
        <v>0</v>
      </c>
      <c r="BT310" s="171">
        <f t="shared" si="517"/>
        <v>0</v>
      </c>
      <c r="BU310" s="171">
        <f t="shared" si="517"/>
        <v>0</v>
      </c>
      <c r="BV310" s="171">
        <f t="shared" si="517"/>
        <v>0</v>
      </c>
      <c r="BW310" s="171">
        <f t="shared" si="517"/>
        <v>0</v>
      </c>
      <c r="BX310" s="171">
        <f t="shared" si="517"/>
        <v>0</v>
      </c>
      <c r="BY310" s="171">
        <f t="shared" si="518"/>
        <v>0</v>
      </c>
      <c r="BZ310" s="171">
        <f t="shared" si="518"/>
        <v>0</v>
      </c>
      <c r="CA310" s="171">
        <f t="shared" si="518"/>
        <v>0</v>
      </c>
      <c r="CB310" s="171">
        <f t="shared" si="518"/>
        <v>0</v>
      </c>
      <c r="CC310" s="171">
        <f t="shared" si="518"/>
        <v>0</v>
      </c>
      <c r="CD310" s="171">
        <f t="shared" si="518"/>
        <v>0</v>
      </c>
      <c r="CE310" s="171">
        <f t="shared" si="518"/>
        <v>0</v>
      </c>
      <c r="CF310" s="171">
        <f t="shared" si="518"/>
        <v>0</v>
      </c>
      <c r="CG310" s="171">
        <f t="shared" si="518"/>
        <v>0</v>
      </c>
      <c r="CH310" s="171">
        <f t="shared" si="518"/>
        <v>0</v>
      </c>
      <c r="CI310" s="171">
        <f t="shared" si="518"/>
        <v>0</v>
      </c>
      <c r="CJ310" s="243"/>
      <c r="CK310" s="171">
        <f t="shared" si="452"/>
        <v>0</v>
      </c>
      <c r="CL310" s="171">
        <f t="shared" si="453"/>
        <v>0</v>
      </c>
      <c r="CM310" s="171">
        <f t="shared" si="454"/>
        <v>0</v>
      </c>
      <c r="CN310" s="171">
        <f t="shared" si="455"/>
        <v>0</v>
      </c>
      <c r="CO310" s="171">
        <f t="shared" si="456"/>
        <v>0</v>
      </c>
      <c r="CP310" s="171">
        <f t="shared" si="457"/>
        <v>0</v>
      </c>
      <c r="CQ310" s="171">
        <f t="shared" si="458"/>
        <v>0</v>
      </c>
      <c r="CR310" s="171">
        <f t="shared" si="459"/>
        <v>0</v>
      </c>
      <c r="CS310" s="171">
        <f t="shared" si="460"/>
        <v>0</v>
      </c>
      <c r="CT310" s="171">
        <f t="shared" si="461"/>
        <v>0</v>
      </c>
      <c r="CU310" s="171">
        <f t="shared" si="462"/>
        <v>0</v>
      </c>
      <c r="CV310" s="171">
        <f t="shared" si="463"/>
        <v>0</v>
      </c>
      <c r="CW310" s="171">
        <f t="shared" si="464"/>
        <v>0</v>
      </c>
      <c r="CX310" s="171">
        <f t="shared" si="465"/>
        <v>0</v>
      </c>
      <c r="CY310" s="171">
        <f t="shared" ca="1" si="466"/>
        <v>0</v>
      </c>
      <c r="CZ310" s="171">
        <f t="shared" ca="1" si="467"/>
        <v>0</v>
      </c>
      <c r="DA310" s="171">
        <f t="shared" ca="1" si="468"/>
        <v>0</v>
      </c>
      <c r="DB310" s="171">
        <f t="shared" ca="1" si="469"/>
        <v>0</v>
      </c>
      <c r="DC310" s="171">
        <f t="shared" ca="1" si="470"/>
        <v>0</v>
      </c>
      <c r="DD310" s="171">
        <f t="shared" ca="1" si="471"/>
        <v>0</v>
      </c>
      <c r="DE310" s="171">
        <f t="shared" ca="1" si="472"/>
        <v>0</v>
      </c>
      <c r="DF310" s="171">
        <f t="shared" ca="1" si="473"/>
        <v>0</v>
      </c>
      <c r="DG310" s="171">
        <f t="shared" ca="1" si="474"/>
        <v>0</v>
      </c>
      <c r="DH310" s="171">
        <f t="shared" ca="1" si="475"/>
        <v>0</v>
      </c>
      <c r="DI310" s="171">
        <f t="shared" ca="1" si="476"/>
        <v>0</v>
      </c>
      <c r="DJ310" s="171">
        <f t="shared" ca="1" si="477"/>
        <v>0</v>
      </c>
      <c r="DK310" s="171">
        <f t="shared" ca="1" si="478"/>
        <v>0</v>
      </c>
      <c r="DL310" s="171">
        <f t="shared" ca="1" si="479"/>
        <v>0</v>
      </c>
      <c r="DM310" s="171">
        <f t="shared" ca="1" si="480"/>
        <v>0</v>
      </c>
      <c r="DN310" s="171">
        <f t="shared" ca="1" si="481"/>
        <v>0</v>
      </c>
      <c r="DO310" s="171">
        <f t="shared" ca="1" si="482"/>
        <v>0</v>
      </c>
      <c r="DP310" s="171">
        <f t="shared" ca="1" si="483"/>
        <v>0</v>
      </c>
      <c r="DQ310" s="171">
        <f t="shared" ca="1" si="484"/>
        <v>0</v>
      </c>
      <c r="DR310" s="171">
        <f t="shared" ca="1" si="485"/>
        <v>0</v>
      </c>
      <c r="DS310" s="171">
        <f t="shared" ca="1" si="486"/>
        <v>0</v>
      </c>
      <c r="DT310" s="171">
        <f t="shared" ca="1" si="487"/>
        <v>0</v>
      </c>
      <c r="DU310" s="171">
        <f t="shared" ca="1" si="488"/>
        <v>0</v>
      </c>
      <c r="DV310" s="171">
        <f t="shared" ca="1" si="489"/>
        <v>0</v>
      </c>
      <c r="DW310" s="171">
        <f t="shared" ca="1" si="490"/>
        <v>0</v>
      </c>
      <c r="DX310" s="171">
        <f t="shared" ca="1" si="491"/>
        <v>0</v>
      </c>
      <c r="DY310" s="171">
        <f t="shared" ca="1" si="492"/>
        <v>0</v>
      </c>
      <c r="DZ310" s="171">
        <f t="shared" ca="1" si="493"/>
        <v>0</v>
      </c>
      <c r="EA310" s="171">
        <f t="shared" ca="1" si="494"/>
        <v>0</v>
      </c>
      <c r="EB310" s="171">
        <f t="shared" ca="1" si="495"/>
        <v>0</v>
      </c>
      <c r="EC310" s="171">
        <f t="shared" ca="1" si="496"/>
        <v>0</v>
      </c>
      <c r="ED310" s="171">
        <f t="shared" ca="1" si="497"/>
        <v>0</v>
      </c>
      <c r="EE310" s="171">
        <f t="shared" ca="1" si="498"/>
        <v>0</v>
      </c>
      <c r="EF310" s="171">
        <f t="shared" ca="1" si="499"/>
        <v>0</v>
      </c>
      <c r="EG310" s="171">
        <f t="shared" ca="1" si="500"/>
        <v>0</v>
      </c>
      <c r="EH310" s="171">
        <f t="shared" ca="1" si="501"/>
        <v>0</v>
      </c>
      <c r="EI310" s="171">
        <f t="shared" ca="1" si="502"/>
        <v>0</v>
      </c>
      <c r="EJ310" s="171">
        <f t="shared" ca="1" si="503"/>
        <v>0</v>
      </c>
      <c r="EK310" s="171">
        <f t="shared" ca="1" si="504"/>
        <v>0</v>
      </c>
      <c r="EL310" s="171">
        <f t="shared" ca="1" si="505"/>
        <v>0</v>
      </c>
      <c r="EM310" s="171">
        <f t="shared" ca="1" si="506"/>
        <v>0</v>
      </c>
      <c r="EN310" s="171">
        <f t="shared" ca="1" si="507"/>
        <v>0</v>
      </c>
      <c r="EO310" s="171">
        <f t="shared" ca="1" si="508"/>
        <v>0</v>
      </c>
      <c r="EP310" s="171">
        <f t="shared" ca="1" si="509"/>
        <v>0</v>
      </c>
      <c r="EQ310" s="171">
        <f t="shared" ca="1" si="510"/>
        <v>0</v>
      </c>
      <c r="ER310" s="171">
        <f t="shared" ca="1" si="511"/>
        <v>0</v>
      </c>
      <c r="ES310" s="171">
        <f t="shared" ca="1" si="512"/>
        <v>0</v>
      </c>
    </row>
    <row r="311" spans="3:149">
      <c r="C311" s="214"/>
      <c r="H311" s="216"/>
      <c r="I311" s="217"/>
      <c r="L311" s="163"/>
      <c r="M311" s="164" t="str">
        <f t="shared" si="443"/>
        <v/>
      </c>
      <c r="N311" s="164" t="str">
        <f t="shared" si="444"/>
        <v/>
      </c>
      <c r="O311" s="165" t="str">
        <f t="shared" si="445"/>
        <v/>
      </c>
      <c r="R311" s="168"/>
      <c r="U311" s="171">
        <f t="shared" si="446"/>
        <v>0</v>
      </c>
      <c r="V311" s="171">
        <f t="shared" ca="1" si="447"/>
        <v>0</v>
      </c>
      <c r="W311" s="171">
        <f t="shared" ca="1" si="448"/>
        <v>0</v>
      </c>
      <c r="X311" s="172">
        <f t="shared" si="449"/>
        <v>0</v>
      </c>
      <c r="Y311" s="172" t="str">
        <f t="shared" si="450"/>
        <v/>
      </c>
      <c r="Z311" s="173">
        <f t="shared" si="451"/>
        <v>0</v>
      </c>
      <c r="AA311" s="171">
        <f t="shared" si="513"/>
        <v>0</v>
      </c>
      <c r="AB311" s="171">
        <f t="shared" si="513"/>
        <v>0</v>
      </c>
      <c r="AC311" s="171">
        <f t="shared" si="513"/>
        <v>0</v>
      </c>
      <c r="AD311" s="171">
        <f t="shared" si="513"/>
        <v>0</v>
      </c>
      <c r="AE311" s="171">
        <f t="shared" si="513"/>
        <v>0</v>
      </c>
      <c r="AF311" s="171">
        <f t="shared" si="513"/>
        <v>0</v>
      </c>
      <c r="AG311" s="171">
        <f t="shared" si="513"/>
        <v>0</v>
      </c>
      <c r="AH311" s="171">
        <f t="shared" si="513"/>
        <v>0</v>
      </c>
      <c r="AI311" s="171">
        <f t="shared" si="513"/>
        <v>0</v>
      </c>
      <c r="AJ311" s="171">
        <f t="shared" si="513"/>
        <v>0</v>
      </c>
      <c r="AK311" s="171">
        <f t="shared" si="514"/>
        <v>0</v>
      </c>
      <c r="AL311" s="171">
        <f t="shared" si="514"/>
        <v>0</v>
      </c>
      <c r="AM311" s="171">
        <f t="shared" si="514"/>
        <v>0</v>
      </c>
      <c r="AN311" s="171">
        <f t="shared" si="514"/>
        <v>0</v>
      </c>
      <c r="AO311" s="171">
        <f t="shared" si="514"/>
        <v>0</v>
      </c>
      <c r="AP311" s="171">
        <f t="shared" si="514"/>
        <v>0</v>
      </c>
      <c r="AQ311" s="171">
        <f t="shared" si="514"/>
        <v>0</v>
      </c>
      <c r="AR311" s="171">
        <f t="shared" si="514"/>
        <v>0</v>
      </c>
      <c r="AS311" s="171">
        <f t="shared" si="514"/>
        <v>0</v>
      </c>
      <c r="AT311" s="171">
        <f t="shared" si="514"/>
        <v>0</v>
      </c>
      <c r="AU311" s="171">
        <f t="shared" si="515"/>
        <v>0</v>
      </c>
      <c r="AV311" s="171">
        <f t="shared" si="515"/>
        <v>0</v>
      </c>
      <c r="AW311" s="171">
        <f t="shared" si="515"/>
        <v>0</v>
      </c>
      <c r="AX311" s="171">
        <f t="shared" si="515"/>
        <v>0</v>
      </c>
      <c r="AY311" s="171">
        <f t="shared" si="515"/>
        <v>0</v>
      </c>
      <c r="AZ311" s="171">
        <f t="shared" si="515"/>
        <v>0</v>
      </c>
      <c r="BA311" s="171">
        <f t="shared" si="515"/>
        <v>0</v>
      </c>
      <c r="BB311" s="171">
        <f t="shared" si="515"/>
        <v>0</v>
      </c>
      <c r="BC311" s="171">
        <f t="shared" si="515"/>
        <v>0</v>
      </c>
      <c r="BD311" s="171">
        <f t="shared" si="515"/>
        <v>0</v>
      </c>
      <c r="BE311" s="171">
        <f t="shared" si="516"/>
        <v>0</v>
      </c>
      <c r="BF311" s="171">
        <f t="shared" si="516"/>
        <v>0</v>
      </c>
      <c r="BG311" s="171">
        <f t="shared" si="516"/>
        <v>0</v>
      </c>
      <c r="BH311" s="171">
        <f t="shared" si="516"/>
        <v>0</v>
      </c>
      <c r="BI311" s="171">
        <f t="shared" si="516"/>
        <v>0</v>
      </c>
      <c r="BJ311" s="171">
        <f t="shared" si="516"/>
        <v>0</v>
      </c>
      <c r="BK311" s="171">
        <f t="shared" si="516"/>
        <v>0</v>
      </c>
      <c r="BL311" s="171">
        <f t="shared" si="516"/>
        <v>0</v>
      </c>
      <c r="BM311" s="171">
        <f t="shared" si="516"/>
        <v>0</v>
      </c>
      <c r="BN311" s="171">
        <f t="shared" si="516"/>
        <v>0</v>
      </c>
      <c r="BO311" s="171">
        <f t="shared" si="517"/>
        <v>0</v>
      </c>
      <c r="BP311" s="171">
        <f t="shared" si="517"/>
        <v>0</v>
      </c>
      <c r="BQ311" s="171">
        <f t="shared" si="517"/>
        <v>0</v>
      </c>
      <c r="BR311" s="171">
        <f t="shared" si="517"/>
        <v>0</v>
      </c>
      <c r="BS311" s="171">
        <f t="shared" si="517"/>
        <v>0</v>
      </c>
      <c r="BT311" s="171">
        <f t="shared" si="517"/>
        <v>0</v>
      </c>
      <c r="BU311" s="171">
        <f t="shared" si="517"/>
        <v>0</v>
      </c>
      <c r="BV311" s="171">
        <f t="shared" si="517"/>
        <v>0</v>
      </c>
      <c r="BW311" s="171">
        <f t="shared" si="517"/>
        <v>0</v>
      </c>
      <c r="BX311" s="171">
        <f t="shared" si="517"/>
        <v>0</v>
      </c>
      <c r="BY311" s="171">
        <f t="shared" si="518"/>
        <v>0</v>
      </c>
      <c r="BZ311" s="171">
        <f t="shared" si="518"/>
        <v>0</v>
      </c>
      <c r="CA311" s="171">
        <f t="shared" si="518"/>
        <v>0</v>
      </c>
      <c r="CB311" s="171">
        <f t="shared" si="518"/>
        <v>0</v>
      </c>
      <c r="CC311" s="171">
        <f t="shared" si="518"/>
        <v>0</v>
      </c>
      <c r="CD311" s="171">
        <f t="shared" si="518"/>
        <v>0</v>
      </c>
      <c r="CE311" s="171">
        <f t="shared" si="518"/>
        <v>0</v>
      </c>
      <c r="CF311" s="171">
        <f t="shared" si="518"/>
        <v>0</v>
      </c>
      <c r="CG311" s="171">
        <f t="shared" si="518"/>
        <v>0</v>
      </c>
      <c r="CH311" s="171">
        <f t="shared" si="518"/>
        <v>0</v>
      </c>
      <c r="CI311" s="171">
        <f t="shared" si="518"/>
        <v>0</v>
      </c>
      <c r="CJ311" s="243"/>
      <c r="CK311" s="171">
        <f t="shared" si="452"/>
        <v>0</v>
      </c>
      <c r="CL311" s="171">
        <f t="shared" si="453"/>
        <v>0</v>
      </c>
      <c r="CM311" s="171">
        <f t="shared" si="454"/>
        <v>0</v>
      </c>
      <c r="CN311" s="171">
        <f t="shared" si="455"/>
        <v>0</v>
      </c>
      <c r="CO311" s="171">
        <f t="shared" si="456"/>
        <v>0</v>
      </c>
      <c r="CP311" s="171">
        <f t="shared" si="457"/>
        <v>0</v>
      </c>
      <c r="CQ311" s="171">
        <f t="shared" si="458"/>
        <v>0</v>
      </c>
      <c r="CR311" s="171">
        <f t="shared" si="459"/>
        <v>0</v>
      </c>
      <c r="CS311" s="171">
        <f t="shared" si="460"/>
        <v>0</v>
      </c>
      <c r="CT311" s="171">
        <f t="shared" si="461"/>
        <v>0</v>
      </c>
      <c r="CU311" s="171">
        <f t="shared" si="462"/>
        <v>0</v>
      </c>
      <c r="CV311" s="171">
        <f t="shared" si="463"/>
        <v>0</v>
      </c>
      <c r="CW311" s="171">
        <f t="shared" si="464"/>
        <v>0</v>
      </c>
      <c r="CX311" s="171">
        <f t="shared" si="465"/>
        <v>0</v>
      </c>
      <c r="CY311" s="171">
        <f t="shared" ca="1" si="466"/>
        <v>0</v>
      </c>
      <c r="CZ311" s="171">
        <f t="shared" ca="1" si="467"/>
        <v>0</v>
      </c>
      <c r="DA311" s="171">
        <f t="shared" ca="1" si="468"/>
        <v>0</v>
      </c>
      <c r="DB311" s="171">
        <f t="shared" ca="1" si="469"/>
        <v>0</v>
      </c>
      <c r="DC311" s="171">
        <f t="shared" ca="1" si="470"/>
        <v>0</v>
      </c>
      <c r="DD311" s="171">
        <f t="shared" ca="1" si="471"/>
        <v>0</v>
      </c>
      <c r="DE311" s="171">
        <f t="shared" ca="1" si="472"/>
        <v>0</v>
      </c>
      <c r="DF311" s="171">
        <f t="shared" ca="1" si="473"/>
        <v>0</v>
      </c>
      <c r="DG311" s="171">
        <f t="shared" ca="1" si="474"/>
        <v>0</v>
      </c>
      <c r="DH311" s="171">
        <f t="shared" ca="1" si="475"/>
        <v>0</v>
      </c>
      <c r="DI311" s="171">
        <f t="shared" ca="1" si="476"/>
        <v>0</v>
      </c>
      <c r="DJ311" s="171">
        <f t="shared" ca="1" si="477"/>
        <v>0</v>
      </c>
      <c r="DK311" s="171">
        <f t="shared" ca="1" si="478"/>
        <v>0</v>
      </c>
      <c r="DL311" s="171">
        <f t="shared" ca="1" si="479"/>
        <v>0</v>
      </c>
      <c r="DM311" s="171">
        <f t="shared" ca="1" si="480"/>
        <v>0</v>
      </c>
      <c r="DN311" s="171">
        <f t="shared" ca="1" si="481"/>
        <v>0</v>
      </c>
      <c r="DO311" s="171">
        <f t="shared" ca="1" si="482"/>
        <v>0</v>
      </c>
      <c r="DP311" s="171">
        <f t="shared" ca="1" si="483"/>
        <v>0</v>
      </c>
      <c r="DQ311" s="171">
        <f t="shared" ca="1" si="484"/>
        <v>0</v>
      </c>
      <c r="DR311" s="171">
        <f t="shared" ca="1" si="485"/>
        <v>0</v>
      </c>
      <c r="DS311" s="171">
        <f t="shared" ca="1" si="486"/>
        <v>0</v>
      </c>
      <c r="DT311" s="171">
        <f t="shared" ca="1" si="487"/>
        <v>0</v>
      </c>
      <c r="DU311" s="171">
        <f t="shared" ca="1" si="488"/>
        <v>0</v>
      </c>
      <c r="DV311" s="171">
        <f t="shared" ca="1" si="489"/>
        <v>0</v>
      </c>
      <c r="DW311" s="171">
        <f t="shared" ca="1" si="490"/>
        <v>0</v>
      </c>
      <c r="DX311" s="171">
        <f t="shared" ca="1" si="491"/>
        <v>0</v>
      </c>
      <c r="DY311" s="171">
        <f t="shared" ca="1" si="492"/>
        <v>0</v>
      </c>
      <c r="DZ311" s="171">
        <f t="shared" ca="1" si="493"/>
        <v>0</v>
      </c>
      <c r="EA311" s="171">
        <f t="shared" ca="1" si="494"/>
        <v>0</v>
      </c>
      <c r="EB311" s="171">
        <f t="shared" ca="1" si="495"/>
        <v>0</v>
      </c>
      <c r="EC311" s="171">
        <f t="shared" ca="1" si="496"/>
        <v>0</v>
      </c>
      <c r="ED311" s="171">
        <f t="shared" ca="1" si="497"/>
        <v>0</v>
      </c>
      <c r="EE311" s="171">
        <f t="shared" ca="1" si="498"/>
        <v>0</v>
      </c>
      <c r="EF311" s="171">
        <f t="shared" ca="1" si="499"/>
        <v>0</v>
      </c>
      <c r="EG311" s="171">
        <f t="shared" ca="1" si="500"/>
        <v>0</v>
      </c>
      <c r="EH311" s="171">
        <f t="shared" ca="1" si="501"/>
        <v>0</v>
      </c>
      <c r="EI311" s="171">
        <f t="shared" ca="1" si="502"/>
        <v>0</v>
      </c>
      <c r="EJ311" s="171">
        <f t="shared" ca="1" si="503"/>
        <v>0</v>
      </c>
      <c r="EK311" s="171">
        <f t="shared" ca="1" si="504"/>
        <v>0</v>
      </c>
      <c r="EL311" s="171">
        <f t="shared" ca="1" si="505"/>
        <v>0</v>
      </c>
      <c r="EM311" s="171">
        <f t="shared" ca="1" si="506"/>
        <v>0</v>
      </c>
      <c r="EN311" s="171">
        <f t="shared" ca="1" si="507"/>
        <v>0</v>
      </c>
      <c r="EO311" s="171">
        <f t="shared" ca="1" si="508"/>
        <v>0</v>
      </c>
      <c r="EP311" s="171">
        <f t="shared" ca="1" si="509"/>
        <v>0</v>
      </c>
      <c r="EQ311" s="171">
        <f t="shared" ca="1" si="510"/>
        <v>0</v>
      </c>
      <c r="ER311" s="171">
        <f t="shared" ca="1" si="511"/>
        <v>0</v>
      </c>
      <c r="ES311" s="171">
        <f t="shared" ca="1" si="512"/>
        <v>0</v>
      </c>
    </row>
    <row r="312" spans="3:149">
      <c r="C312" s="214"/>
      <c r="H312" s="216"/>
      <c r="I312" s="217"/>
      <c r="L312" s="163"/>
      <c r="M312" s="164" t="str">
        <f t="shared" si="443"/>
        <v/>
      </c>
      <c r="N312" s="164" t="str">
        <f t="shared" si="444"/>
        <v/>
      </c>
      <c r="O312" s="165" t="str">
        <f t="shared" si="445"/>
        <v/>
      </c>
      <c r="R312" s="168"/>
      <c r="U312" s="171">
        <f t="shared" si="446"/>
        <v>0</v>
      </c>
      <c r="V312" s="171">
        <f t="shared" ca="1" si="447"/>
        <v>0</v>
      </c>
      <c r="W312" s="171">
        <f t="shared" ca="1" si="448"/>
        <v>0</v>
      </c>
      <c r="X312" s="172">
        <f t="shared" si="449"/>
        <v>0</v>
      </c>
      <c r="Y312" s="172" t="str">
        <f t="shared" si="450"/>
        <v/>
      </c>
      <c r="Z312" s="173">
        <f t="shared" si="451"/>
        <v>0</v>
      </c>
      <c r="AA312" s="171">
        <f t="shared" si="513"/>
        <v>0</v>
      </c>
      <c r="AB312" s="171">
        <f t="shared" si="513"/>
        <v>0</v>
      </c>
      <c r="AC312" s="171">
        <f t="shared" si="513"/>
        <v>0</v>
      </c>
      <c r="AD312" s="171">
        <f t="shared" si="513"/>
        <v>0</v>
      </c>
      <c r="AE312" s="171">
        <f t="shared" si="513"/>
        <v>0</v>
      </c>
      <c r="AF312" s="171">
        <f t="shared" si="513"/>
        <v>0</v>
      </c>
      <c r="AG312" s="171">
        <f t="shared" si="513"/>
        <v>0</v>
      </c>
      <c r="AH312" s="171">
        <f t="shared" si="513"/>
        <v>0</v>
      </c>
      <c r="AI312" s="171">
        <f t="shared" si="513"/>
        <v>0</v>
      </c>
      <c r="AJ312" s="171">
        <f t="shared" si="513"/>
        <v>0</v>
      </c>
      <c r="AK312" s="171">
        <f t="shared" si="514"/>
        <v>0</v>
      </c>
      <c r="AL312" s="171">
        <f t="shared" si="514"/>
        <v>0</v>
      </c>
      <c r="AM312" s="171">
        <f t="shared" si="514"/>
        <v>0</v>
      </c>
      <c r="AN312" s="171">
        <f t="shared" si="514"/>
        <v>0</v>
      </c>
      <c r="AO312" s="171">
        <f t="shared" si="514"/>
        <v>0</v>
      </c>
      <c r="AP312" s="171">
        <f t="shared" si="514"/>
        <v>0</v>
      </c>
      <c r="AQ312" s="171">
        <f t="shared" si="514"/>
        <v>0</v>
      </c>
      <c r="AR312" s="171">
        <f t="shared" si="514"/>
        <v>0</v>
      </c>
      <c r="AS312" s="171">
        <f t="shared" si="514"/>
        <v>0</v>
      </c>
      <c r="AT312" s="171">
        <f t="shared" si="514"/>
        <v>0</v>
      </c>
      <c r="AU312" s="171">
        <f t="shared" si="515"/>
        <v>0</v>
      </c>
      <c r="AV312" s="171">
        <f t="shared" si="515"/>
        <v>0</v>
      </c>
      <c r="AW312" s="171">
        <f t="shared" si="515"/>
        <v>0</v>
      </c>
      <c r="AX312" s="171">
        <f t="shared" si="515"/>
        <v>0</v>
      </c>
      <c r="AY312" s="171">
        <f t="shared" si="515"/>
        <v>0</v>
      </c>
      <c r="AZ312" s="171">
        <f t="shared" si="515"/>
        <v>0</v>
      </c>
      <c r="BA312" s="171">
        <f t="shared" si="515"/>
        <v>0</v>
      </c>
      <c r="BB312" s="171">
        <f t="shared" si="515"/>
        <v>0</v>
      </c>
      <c r="BC312" s="171">
        <f t="shared" si="515"/>
        <v>0</v>
      </c>
      <c r="BD312" s="171">
        <f t="shared" si="515"/>
        <v>0</v>
      </c>
      <c r="BE312" s="171">
        <f t="shared" si="516"/>
        <v>0</v>
      </c>
      <c r="BF312" s="171">
        <f t="shared" si="516"/>
        <v>0</v>
      </c>
      <c r="BG312" s="171">
        <f t="shared" si="516"/>
        <v>0</v>
      </c>
      <c r="BH312" s="171">
        <f t="shared" si="516"/>
        <v>0</v>
      </c>
      <c r="BI312" s="171">
        <f t="shared" si="516"/>
        <v>0</v>
      </c>
      <c r="BJ312" s="171">
        <f t="shared" si="516"/>
        <v>0</v>
      </c>
      <c r="BK312" s="171">
        <f t="shared" si="516"/>
        <v>0</v>
      </c>
      <c r="BL312" s="171">
        <f t="shared" si="516"/>
        <v>0</v>
      </c>
      <c r="BM312" s="171">
        <f t="shared" si="516"/>
        <v>0</v>
      </c>
      <c r="BN312" s="171">
        <f t="shared" si="516"/>
        <v>0</v>
      </c>
      <c r="BO312" s="171">
        <f t="shared" si="517"/>
        <v>0</v>
      </c>
      <c r="BP312" s="171">
        <f t="shared" si="517"/>
        <v>0</v>
      </c>
      <c r="BQ312" s="171">
        <f t="shared" si="517"/>
        <v>0</v>
      </c>
      <c r="BR312" s="171">
        <f t="shared" si="517"/>
        <v>0</v>
      </c>
      <c r="BS312" s="171">
        <f t="shared" si="517"/>
        <v>0</v>
      </c>
      <c r="BT312" s="171">
        <f t="shared" si="517"/>
        <v>0</v>
      </c>
      <c r="BU312" s="171">
        <f t="shared" si="517"/>
        <v>0</v>
      </c>
      <c r="BV312" s="171">
        <f t="shared" si="517"/>
        <v>0</v>
      </c>
      <c r="BW312" s="171">
        <f t="shared" si="517"/>
        <v>0</v>
      </c>
      <c r="BX312" s="171">
        <f t="shared" si="517"/>
        <v>0</v>
      </c>
      <c r="BY312" s="171">
        <f t="shared" si="518"/>
        <v>0</v>
      </c>
      <c r="BZ312" s="171">
        <f t="shared" si="518"/>
        <v>0</v>
      </c>
      <c r="CA312" s="171">
        <f t="shared" si="518"/>
        <v>0</v>
      </c>
      <c r="CB312" s="171">
        <f t="shared" si="518"/>
        <v>0</v>
      </c>
      <c r="CC312" s="171">
        <f t="shared" si="518"/>
        <v>0</v>
      </c>
      <c r="CD312" s="171">
        <f t="shared" si="518"/>
        <v>0</v>
      </c>
      <c r="CE312" s="171">
        <f t="shared" si="518"/>
        <v>0</v>
      </c>
      <c r="CF312" s="171">
        <f t="shared" si="518"/>
        <v>0</v>
      </c>
      <c r="CG312" s="171">
        <f t="shared" si="518"/>
        <v>0</v>
      </c>
      <c r="CH312" s="171">
        <f t="shared" si="518"/>
        <v>0</v>
      </c>
      <c r="CI312" s="171">
        <f t="shared" si="518"/>
        <v>0</v>
      </c>
      <c r="CJ312" s="243"/>
      <c r="CK312" s="171">
        <f t="shared" si="452"/>
        <v>0</v>
      </c>
      <c r="CL312" s="171">
        <f t="shared" si="453"/>
        <v>0</v>
      </c>
      <c r="CM312" s="171">
        <f t="shared" si="454"/>
        <v>0</v>
      </c>
      <c r="CN312" s="171">
        <f t="shared" si="455"/>
        <v>0</v>
      </c>
      <c r="CO312" s="171">
        <f t="shared" si="456"/>
        <v>0</v>
      </c>
      <c r="CP312" s="171">
        <f t="shared" si="457"/>
        <v>0</v>
      </c>
      <c r="CQ312" s="171">
        <f t="shared" si="458"/>
        <v>0</v>
      </c>
      <c r="CR312" s="171">
        <f t="shared" si="459"/>
        <v>0</v>
      </c>
      <c r="CS312" s="171">
        <f t="shared" si="460"/>
        <v>0</v>
      </c>
      <c r="CT312" s="171">
        <f t="shared" si="461"/>
        <v>0</v>
      </c>
      <c r="CU312" s="171">
        <f t="shared" si="462"/>
        <v>0</v>
      </c>
      <c r="CV312" s="171">
        <f t="shared" si="463"/>
        <v>0</v>
      </c>
      <c r="CW312" s="171">
        <f t="shared" si="464"/>
        <v>0</v>
      </c>
      <c r="CX312" s="171">
        <f t="shared" si="465"/>
        <v>0</v>
      </c>
      <c r="CY312" s="171">
        <f t="shared" ca="1" si="466"/>
        <v>0</v>
      </c>
      <c r="CZ312" s="171">
        <f t="shared" ca="1" si="467"/>
        <v>0</v>
      </c>
      <c r="DA312" s="171">
        <f t="shared" ca="1" si="468"/>
        <v>0</v>
      </c>
      <c r="DB312" s="171">
        <f t="shared" ca="1" si="469"/>
        <v>0</v>
      </c>
      <c r="DC312" s="171">
        <f t="shared" ca="1" si="470"/>
        <v>0</v>
      </c>
      <c r="DD312" s="171">
        <f t="shared" ca="1" si="471"/>
        <v>0</v>
      </c>
      <c r="DE312" s="171">
        <f t="shared" ca="1" si="472"/>
        <v>0</v>
      </c>
      <c r="DF312" s="171">
        <f t="shared" ca="1" si="473"/>
        <v>0</v>
      </c>
      <c r="DG312" s="171">
        <f t="shared" ca="1" si="474"/>
        <v>0</v>
      </c>
      <c r="DH312" s="171">
        <f t="shared" ca="1" si="475"/>
        <v>0</v>
      </c>
      <c r="DI312" s="171">
        <f t="shared" ca="1" si="476"/>
        <v>0</v>
      </c>
      <c r="DJ312" s="171">
        <f t="shared" ca="1" si="477"/>
        <v>0</v>
      </c>
      <c r="DK312" s="171">
        <f t="shared" ca="1" si="478"/>
        <v>0</v>
      </c>
      <c r="DL312" s="171">
        <f t="shared" ca="1" si="479"/>
        <v>0</v>
      </c>
      <c r="DM312" s="171">
        <f t="shared" ca="1" si="480"/>
        <v>0</v>
      </c>
      <c r="DN312" s="171">
        <f t="shared" ca="1" si="481"/>
        <v>0</v>
      </c>
      <c r="DO312" s="171">
        <f t="shared" ca="1" si="482"/>
        <v>0</v>
      </c>
      <c r="DP312" s="171">
        <f t="shared" ca="1" si="483"/>
        <v>0</v>
      </c>
      <c r="DQ312" s="171">
        <f t="shared" ca="1" si="484"/>
        <v>0</v>
      </c>
      <c r="DR312" s="171">
        <f t="shared" ca="1" si="485"/>
        <v>0</v>
      </c>
      <c r="DS312" s="171">
        <f t="shared" ca="1" si="486"/>
        <v>0</v>
      </c>
      <c r="DT312" s="171">
        <f t="shared" ca="1" si="487"/>
        <v>0</v>
      </c>
      <c r="DU312" s="171">
        <f t="shared" ca="1" si="488"/>
        <v>0</v>
      </c>
      <c r="DV312" s="171">
        <f t="shared" ca="1" si="489"/>
        <v>0</v>
      </c>
      <c r="DW312" s="171">
        <f t="shared" ca="1" si="490"/>
        <v>0</v>
      </c>
      <c r="DX312" s="171">
        <f t="shared" ca="1" si="491"/>
        <v>0</v>
      </c>
      <c r="DY312" s="171">
        <f t="shared" ca="1" si="492"/>
        <v>0</v>
      </c>
      <c r="DZ312" s="171">
        <f t="shared" ca="1" si="493"/>
        <v>0</v>
      </c>
      <c r="EA312" s="171">
        <f t="shared" ca="1" si="494"/>
        <v>0</v>
      </c>
      <c r="EB312" s="171">
        <f t="shared" ca="1" si="495"/>
        <v>0</v>
      </c>
      <c r="EC312" s="171">
        <f t="shared" ca="1" si="496"/>
        <v>0</v>
      </c>
      <c r="ED312" s="171">
        <f t="shared" ca="1" si="497"/>
        <v>0</v>
      </c>
      <c r="EE312" s="171">
        <f t="shared" ca="1" si="498"/>
        <v>0</v>
      </c>
      <c r="EF312" s="171">
        <f t="shared" ca="1" si="499"/>
        <v>0</v>
      </c>
      <c r="EG312" s="171">
        <f t="shared" ca="1" si="500"/>
        <v>0</v>
      </c>
      <c r="EH312" s="171">
        <f t="shared" ca="1" si="501"/>
        <v>0</v>
      </c>
      <c r="EI312" s="171">
        <f t="shared" ca="1" si="502"/>
        <v>0</v>
      </c>
      <c r="EJ312" s="171">
        <f t="shared" ca="1" si="503"/>
        <v>0</v>
      </c>
      <c r="EK312" s="171">
        <f t="shared" ca="1" si="504"/>
        <v>0</v>
      </c>
      <c r="EL312" s="171">
        <f t="shared" ca="1" si="505"/>
        <v>0</v>
      </c>
      <c r="EM312" s="171">
        <f t="shared" ca="1" si="506"/>
        <v>0</v>
      </c>
      <c r="EN312" s="171">
        <f t="shared" ca="1" si="507"/>
        <v>0</v>
      </c>
      <c r="EO312" s="171">
        <f t="shared" ca="1" si="508"/>
        <v>0</v>
      </c>
      <c r="EP312" s="171">
        <f t="shared" ca="1" si="509"/>
        <v>0</v>
      </c>
      <c r="EQ312" s="171">
        <f t="shared" ca="1" si="510"/>
        <v>0</v>
      </c>
      <c r="ER312" s="171">
        <f t="shared" ca="1" si="511"/>
        <v>0</v>
      </c>
      <c r="ES312" s="171">
        <f t="shared" ca="1" si="512"/>
        <v>0</v>
      </c>
    </row>
    <row r="313" spans="3:149">
      <c r="C313" s="214"/>
      <c r="H313" s="216"/>
      <c r="I313" s="217"/>
      <c r="L313" s="163"/>
      <c r="M313" s="164" t="str">
        <f t="shared" si="443"/>
        <v/>
      </c>
      <c r="N313" s="164" t="str">
        <f t="shared" si="444"/>
        <v/>
      </c>
      <c r="O313" s="165" t="str">
        <f t="shared" si="445"/>
        <v/>
      </c>
      <c r="R313" s="168"/>
      <c r="U313" s="171">
        <f t="shared" si="446"/>
        <v>0</v>
      </c>
      <c r="V313" s="171">
        <f t="shared" ca="1" si="447"/>
        <v>0</v>
      </c>
      <c r="W313" s="171">
        <f t="shared" ca="1" si="448"/>
        <v>0</v>
      </c>
      <c r="X313" s="172">
        <f t="shared" si="449"/>
        <v>0</v>
      </c>
      <c r="Y313" s="172" t="str">
        <f t="shared" si="450"/>
        <v/>
      </c>
      <c r="Z313" s="173">
        <f t="shared" si="451"/>
        <v>0</v>
      </c>
      <c r="AA313" s="171">
        <f t="shared" si="513"/>
        <v>0</v>
      </c>
      <c r="AB313" s="171">
        <f t="shared" si="513"/>
        <v>0</v>
      </c>
      <c r="AC313" s="171">
        <f t="shared" si="513"/>
        <v>0</v>
      </c>
      <c r="AD313" s="171">
        <f t="shared" si="513"/>
        <v>0</v>
      </c>
      <c r="AE313" s="171">
        <f t="shared" si="513"/>
        <v>0</v>
      </c>
      <c r="AF313" s="171">
        <f t="shared" si="513"/>
        <v>0</v>
      </c>
      <c r="AG313" s="171">
        <f t="shared" si="513"/>
        <v>0</v>
      </c>
      <c r="AH313" s="171">
        <f t="shared" si="513"/>
        <v>0</v>
      </c>
      <c r="AI313" s="171">
        <f t="shared" si="513"/>
        <v>0</v>
      </c>
      <c r="AJ313" s="171">
        <f t="shared" si="513"/>
        <v>0</v>
      </c>
      <c r="AK313" s="171">
        <f t="shared" si="514"/>
        <v>0</v>
      </c>
      <c r="AL313" s="171">
        <f t="shared" si="514"/>
        <v>0</v>
      </c>
      <c r="AM313" s="171">
        <f t="shared" si="514"/>
        <v>0</v>
      </c>
      <c r="AN313" s="171">
        <f t="shared" si="514"/>
        <v>0</v>
      </c>
      <c r="AO313" s="171">
        <f t="shared" si="514"/>
        <v>0</v>
      </c>
      <c r="AP313" s="171">
        <f t="shared" si="514"/>
        <v>0</v>
      </c>
      <c r="AQ313" s="171">
        <f t="shared" si="514"/>
        <v>0</v>
      </c>
      <c r="AR313" s="171">
        <f t="shared" si="514"/>
        <v>0</v>
      </c>
      <c r="AS313" s="171">
        <f t="shared" si="514"/>
        <v>0</v>
      </c>
      <c r="AT313" s="171">
        <f t="shared" si="514"/>
        <v>0</v>
      </c>
      <c r="AU313" s="171">
        <f t="shared" si="515"/>
        <v>0</v>
      </c>
      <c r="AV313" s="171">
        <f t="shared" si="515"/>
        <v>0</v>
      </c>
      <c r="AW313" s="171">
        <f t="shared" si="515"/>
        <v>0</v>
      </c>
      <c r="AX313" s="171">
        <f t="shared" si="515"/>
        <v>0</v>
      </c>
      <c r="AY313" s="171">
        <f t="shared" si="515"/>
        <v>0</v>
      </c>
      <c r="AZ313" s="171">
        <f t="shared" si="515"/>
        <v>0</v>
      </c>
      <c r="BA313" s="171">
        <f t="shared" si="515"/>
        <v>0</v>
      </c>
      <c r="BB313" s="171">
        <f t="shared" si="515"/>
        <v>0</v>
      </c>
      <c r="BC313" s="171">
        <f t="shared" si="515"/>
        <v>0</v>
      </c>
      <c r="BD313" s="171">
        <f t="shared" si="515"/>
        <v>0</v>
      </c>
      <c r="BE313" s="171">
        <f t="shared" si="516"/>
        <v>0</v>
      </c>
      <c r="BF313" s="171">
        <f t="shared" si="516"/>
        <v>0</v>
      </c>
      <c r="BG313" s="171">
        <f t="shared" si="516"/>
        <v>0</v>
      </c>
      <c r="BH313" s="171">
        <f t="shared" si="516"/>
        <v>0</v>
      </c>
      <c r="BI313" s="171">
        <f t="shared" si="516"/>
        <v>0</v>
      </c>
      <c r="BJ313" s="171">
        <f t="shared" si="516"/>
        <v>0</v>
      </c>
      <c r="BK313" s="171">
        <f t="shared" si="516"/>
        <v>0</v>
      </c>
      <c r="BL313" s="171">
        <f t="shared" si="516"/>
        <v>0</v>
      </c>
      <c r="BM313" s="171">
        <f t="shared" si="516"/>
        <v>0</v>
      </c>
      <c r="BN313" s="171">
        <f t="shared" si="516"/>
        <v>0</v>
      </c>
      <c r="BO313" s="171">
        <f t="shared" si="517"/>
        <v>0</v>
      </c>
      <c r="BP313" s="171">
        <f t="shared" si="517"/>
        <v>0</v>
      </c>
      <c r="BQ313" s="171">
        <f t="shared" si="517"/>
        <v>0</v>
      </c>
      <c r="BR313" s="171">
        <f t="shared" si="517"/>
        <v>0</v>
      </c>
      <c r="BS313" s="171">
        <f t="shared" si="517"/>
        <v>0</v>
      </c>
      <c r="BT313" s="171">
        <f t="shared" si="517"/>
        <v>0</v>
      </c>
      <c r="BU313" s="171">
        <f t="shared" si="517"/>
        <v>0</v>
      </c>
      <c r="BV313" s="171">
        <f t="shared" si="517"/>
        <v>0</v>
      </c>
      <c r="BW313" s="171">
        <f t="shared" si="517"/>
        <v>0</v>
      </c>
      <c r="BX313" s="171">
        <f t="shared" si="517"/>
        <v>0</v>
      </c>
      <c r="BY313" s="171">
        <f t="shared" si="518"/>
        <v>0</v>
      </c>
      <c r="BZ313" s="171">
        <f t="shared" si="518"/>
        <v>0</v>
      </c>
      <c r="CA313" s="171">
        <f t="shared" si="518"/>
        <v>0</v>
      </c>
      <c r="CB313" s="171">
        <f t="shared" si="518"/>
        <v>0</v>
      </c>
      <c r="CC313" s="171">
        <f t="shared" si="518"/>
        <v>0</v>
      </c>
      <c r="CD313" s="171">
        <f t="shared" si="518"/>
        <v>0</v>
      </c>
      <c r="CE313" s="171">
        <f t="shared" si="518"/>
        <v>0</v>
      </c>
      <c r="CF313" s="171">
        <f t="shared" si="518"/>
        <v>0</v>
      </c>
      <c r="CG313" s="171">
        <f t="shared" si="518"/>
        <v>0</v>
      </c>
      <c r="CH313" s="171">
        <f t="shared" si="518"/>
        <v>0</v>
      </c>
      <c r="CI313" s="171">
        <f t="shared" si="518"/>
        <v>0</v>
      </c>
      <c r="CJ313" s="243"/>
      <c r="CK313" s="171">
        <f t="shared" si="452"/>
        <v>0</v>
      </c>
      <c r="CL313" s="171">
        <f t="shared" si="453"/>
        <v>0</v>
      </c>
      <c r="CM313" s="171">
        <f t="shared" si="454"/>
        <v>0</v>
      </c>
      <c r="CN313" s="171">
        <f t="shared" si="455"/>
        <v>0</v>
      </c>
      <c r="CO313" s="171">
        <f t="shared" si="456"/>
        <v>0</v>
      </c>
      <c r="CP313" s="171">
        <f t="shared" si="457"/>
        <v>0</v>
      </c>
      <c r="CQ313" s="171">
        <f t="shared" si="458"/>
        <v>0</v>
      </c>
      <c r="CR313" s="171">
        <f t="shared" si="459"/>
        <v>0</v>
      </c>
      <c r="CS313" s="171">
        <f t="shared" si="460"/>
        <v>0</v>
      </c>
      <c r="CT313" s="171">
        <f t="shared" si="461"/>
        <v>0</v>
      </c>
      <c r="CU313" s="171">
        <f t="shared" si="462"/>
        <v>0</v>
      </c>
      <c r="CV313" s="171">
        <f t="shared" si="463"/>
        <v>0</v>
      </c>
      <c r="CW313" s="171">
        <f t="shared" si="464"/>
        <v>0</v>
      </c>
      <c r="CX313" s="171">
        <f t="shared" si="465"/>
        <v>0</v>
      </c>
      <c r="CY313" s="171">
        <f t="shared" ca="1" si="466"/>
        <v>0</v>
      </c>
      <c r="CZ313" s="171">
        <f t="shared" ca="1" si="467"/>
        <v>0</v>
      </c>
      <c r="DA313" s="171">
        <f t="shared" ca="1" si="468"/>
        <v>0</v>
      </c>
      <c r="DB313" s="171">
        <f t="shared" ca="1" si="469"/>
        <v>0</v>
      </c>
      <c r="DC313" s="171">
        <f t="shared" ca="1" si="470"/>
        <v>0</v>
      </c>
      <c r="DD313" s="171">
        <f t="shared" ca="1" si="471"/>
        <v>0</v>
      </c>
      <c r="DE313" s="171">
        <f t="shared" ca="1" si="472"/>
        <v>0</v>
      </c>
      <c r="DF313" s="171">
        <f t="shared" ca="1" si="473"/>
        <v>0</v>
      </c>
      <c r="DG313" s="171">
        <f t="shared" ca="1" si="474"/>
        <v>0</v>
      </c>
      <c r="DH313" s="171">
        <f t="shared" ca="1" si="475"/>
        <v>0</v>
      </c>
      <c r="DI313" s="171">
        <f t="shared" ca="1" si="476"/>
        <v>0</v>
      </c>
      <c r="DJ313" s="171">
        <f t="shared" ca="1" si="477"/>
        <v>0</v>
      </c>
      <c r="DK313" s="171">
        <f t="shared" ca="1" si="478"/>
        <v>0</v>
      </c>
      <c r="DL313" s="171">
        <f t="shared" ca="1" si="479"/>
        <v>0</v>
      </c>
      <c r="DM313" s="171">
        <f t="shared" ca="1" si="480"/>
        <v>0</v>
      </c>
      <c r="DN313" s="171">
        <f t="shared" ca="1" si="481"/>
        <v>0</v>
      </c>
      <c r="DO313" s="171">
        <f t="shared" ca="1" si="482"/>
        <v>0</v>
      </c>
      <c r="DP313" s="171">
        <f t="shared" ca="1" si="483"/>
        <v>0</v>
      </c>
      <c r="DQ313" s="171">
        <f t="shared" ca="1" si="484"/>
        <v>0</v>
      </c>
      <c r="DR313" s="171">
        <f t="shared" ca="1" si="485"/>
        <v>0</v>
      </c>
      <c r="DS313" s="171">
        <f t="shared" ca="1" si="486"/>
        <v>0</v>
      </c>
      <c r="DT313" s="171">
        <f t="shared" ca="1" si="487"/>
        <v>0</v>
      </c>
      <c r="DU313" s="171">
        <f t="shared" ca="1" si="488"/>
        <v>0</v>
      </c>
      <c r="DV313" s="171">
        <f t="shared" ca="1" si="489"/>
        <v>0</v>
      </c>
      <c r="DW313" s="171">
        <f t="shared" ca="1" si="490"/>
        <v>0</v>
      </c>
      <c r="DX313" s="171">
        <f t="shared" ca="1" si="491"/>
        <v>0</v>
      </c>
      <c r="DY313" s="171">
        <f t="shared" ca="1" si="492"/>
        <v>0</v>
      </c>
      <c r="DZ313" s="171">
        <f t="shared" ca="1" si="493"/>
        <v>0</v>
      </c>
      <c r="EA313" s="171">
        <f t="shared" ca="1" si="494"/>
        <v>0</v>
      </c>
      <c r="EB313" s="171">
        <f t="shared" ca="1" si="495"/>
        <v>0</v>
      </c>
      <c r="EC313" s="171">
        <f t="shared" ca="1" si="496"/>
        <v>0</v>
      </c>
      <c r="ED313" s="171">
        <f t="shared" ca="1" si="497"/>
        <v>0</v>
      </c>
      <c r="EE313" s="171">
        <f t="shared" ca="1" si="498"/>
        <v>0</v>
      </c>
      <c r="EF313" s="171">
        <f t="shared" ca="1" si="499"/>
        <v>0</v>
      </c>
      <c r="EG313" s="171">
        <f t="shared" ca="1" si="500"/>
        <v>0</v>
      </c>
      <c r="EH313" s="171">
        <f t="shared" ca="1" si="501"/>
        <v>0</v>
      </c>
      <c r="EI313" s="171">
        <f t="shared" ca="1" si="502"/>
        <v>0</v>
      </c>
      <c r="EJ313" s="171">
        <f t="shared" ca="1" si="503"/>
        <v>0</v>
      </c>
      <c r="EK313" s="171">
        <f t="shared" ca="1" si="504"/>
        <v>0</v>
      </c>
      <c r="EL313" s="171">
        <f t="shared" ca="1" si="505"/>
        <v>0</v>
      </c>
      <c r="EM313" s="171">
        <f t="shared" ca="1" si="506"/>
        <v>0</v>
      </c>
      <c r="EN313" s="171">
        <f t="shared" ca="1" si="507"/>
        <v>0</v>
      </c>
      <c r="EO313" s="171">
        <f t="shared" ca="1" si="508"/>
        <v>0</v>
      </c>
      <c r="EP313" s="171">
        <f t="shared" ca="1" si="509"/>
        <v>0</v>
      </c>
      <c r="EQ313" s="171">
        <f t="shared" ca="1" si="510"/>
        <v>0</v>
      </c>
      <c r="ER313" s="171">
        <f t="shared" ca="1" si="511"/>
        <v>0</v>
      </c>
      <c r="ES313" s="171">
        <f t="shared" ca="1" si="512"/>
        <v>0</v>
      </c>
    </row>
    <row r="314" spans="3:149">
      <c r="C314" s="214"/>
      <c r="H314" s="216"/>
      <c r="I314" s="217"/>
      <c r="L314" s="163"/>
      <c r="M314" s="164" t="str">
        <f t="shared" si="443"/>
        <v/>
      </c>
      <c r="N314" s="164" t="str">
        <f t="shared" si="444"/>
        <v/>
      </c>
      <c r="O314" s="165" t="str">
        <f t="shared" si="445"/>
        <v/>
      </c>
      <c r="R314" s="168"/>
      <c r="U314" s="171">
        <f t="shared" si="446"/>
        <v>0</v>
      </c>
      <c r="V314" s="171">
        <f t="shared" ca="1" si="447"/>
        <v>0</v>
      </c>
      <c r="W314" s="171">
        <f t="shared" ca="1" si="448"/>
        <v>0</v>
      </c>
      <c r="X314" s="172">
        <f t="shared" si="449"/>
        <v>0</v>
      </c>
      <c r="Y314" s="172" t="str">
        <f t="shared" si="450"/>
        <v/>
      </c>
      <c r="Z314" s="173">
        <f t="shared" si="451"/>
        <v>0</v>
      </c>
      <c r="AA314" s="171">
        <f t="shared" si="513"/>
        <v>0</v>
      </c>
      <c r="AB314" s="171">
        <f t="shared" si="513"/>
        <v>0</v>
      </c>
      <c r="AC314" s="171">
        <f t="shared" si="513"/>
        <v>0</v>
      </c>
      <c r="AD314" s="171">
        <f t="shared" si="513"/>
        <v>0</v>
      </c>
      <c r="AE314" s="171">
        <f t="shared" si="513"/>
        <v>0</v>
      </c>
      <c r="AF314" s="171">
        <f t="shared" si="513"/>
        <v>0</v>
      </c>
      <c r="AG314" s="171">
        <f t="shared" si="513"/>
        <v>0</v>
      </c>
      <c r="AH314" s="171">
        <f t="shared" si="513"/>
        <v>0</v>
      </c>
      <c r="AI314" s="171">
        <f t="shared" si="513"/>
        <v>0</v>
      </c>
      <c r="AJ314" s="171">
        <f t="shared" si="513"/>
        <v>0</v>
      </c>
      <c r="AK314" s="171">
        <f t="shared" si="514"/>
        <v>0</v>
      </c>
      <c r="AL314" s="171">
        <f t="shared" si="514"/>
        <v>0</v>
      </c>
      <c r="AM314" s="171">
        <f t="shared" si="514"/>
        <v>0</v>
      </c>
      <c r="AN314" s="171">
        <f t="shared" si="514"/>
        <v>0</v>
      </c>
      <c r="AO314" s="171">
        <f t="shared" si="514"/>
        <v>0</v>
      </c>
      <c r="AP314" s="171">
        <f t="shared" si="514"/>
        <v>0</v>
      </c>
      <c r="AQ314" s="171">
        <f t="shared" si="514"/>
        <v>0</v>
      </c>
      <c r="AR314" s="171">
        <f t="shared" si="514"/>
        <v>0</v>
      </c>
      <c r="AS314" s="171">
        <f t="shared" si="514"/>
        <v>0</v>
      </c>
      <c r="AT314" s="171">
        <f t="shared" si="514"/>
        <v>0</v>
      </c>
      <c r="AU314" s="171">
        <f t="shared" si="515"/>
        <v>0</v>
      </c>
      <c r="AV314" s="171">
        <f t="shared" si="515"/>
        <v>0</v>
      </c>
      <c r="AW314" s="171">
        <f t="shared" si="515"/>
        <v>0</v>
      </c>
      <c r="AX314" s="171">
        <f t="shared" si="515"/>
        <v>0</v>
      </c>
      <c r="AY314" s="171">
        <f t="shared" si="515"/>
        <v>0</v>
      </c>
      <c r="AZ314" s="171">
        <f t="shared" si="515"/>
        <v>0</v>
      </c>
      <c r="BA314" s="171">
        <f t="shared" si="515"/>
        <v>0</v>
      </c>
      <c r="BB314" s="171">
        <f t="shared" si="515"/>
        <v>0</v>
      </c>
      <c r="BC314" s="171">
        <f t="shared" si="515"/>
        <v>0</v>
      </c>
      <c r="BD314" s="171">
        <f t="shared" si="515"/>
        <v>0</v>
      </c>
      <c r="BE314" s="171">
        <f t="shared" si="516"/>
        <v>0</v>
      </c>
      <c r="BF314" s="171">
        <f t="shared" si="516"/>
        <v>0</v>
      </c>
      <c r="BG314" s="171">
        <f t="shared" si="516"/>
        <v>0</v>
      </c>
      <c r="BH314" s="171">
        <f t="shared" si="516"/>
        <v>0</v>
      </c>
      <c r="BI314" s="171">
        <f t="shared" si="516"/>
        <v>0</v>
      </c>
      <c r="BJ314" s="171">
        <f t="shared" si="516"/>
        <v>0</v>
      </c>
      <c r="BK314" s="171">
        <f t="shared" si="516"/>
        <v>0</v>
      </c>
      <c r="BL314" s="171">
        <f t="shared" si="516"/>
        <v>0</v>
      </c>
      <c r="BM314" s="171">
        <f t="shared" si="516"/>
        <v>0</v>
      </c>
      <c r="BN314" s="171">
        <f t="shared" si="516"/>
        <v>0</v>
      </c>
      <c r="BO314" s="171">
        <f t="shared" si="517"/>
        <v>0</v>
      </c>
      <c r="BP314" s="171">
        <f t="shared" si="517"/>
        <v>0</v>
      </c>
      <c r="BQ314" s="171">
        <f t="shared" si="517"/>
        <v>0</v>
      </c>
      <c r="BR314" s="171">
        <f t="shared" si="517"/>
        <v>0</v>
      </c>
      <c r="BS314" s="171">
        <f t="shared" si="517"/>
        <v>0</v>
      </c>
      <c r="BT314" s="171">
        <f t="shared" si="517"/>
        <v>0</v>
      </c>
      <c r="BU314" s="171">
        <f t="shared" si="517"/>
        <v>0</v>
      </c>
      <c r="BV314" s="171">
        <f t="shared" si="517"/>
        <v>0</v>
      </c>
      <c r="BW314" s="171">
        <f t="shared" si="517"/>
        <v>0</v>
      </c>
      <c r="BX314" s="171">
        <f t="shared" si="517"/>
        <v>0</v>
      </c>
      <c r="BY314" s="171">
        <f t="shared" si="518"/>
        <v>0</v>
      </c>
      <c r="BZ314" s="171">
        <f t="shared" si="518"/>
        <v>0</v>
      </c>
      <c r="CA314" s="171">
        <f t="shared" si="518"/>
        <v>0</v>
      </c>
      <c r="CB314" s="171">
        <f t="shared" si="518"/>
        <v>0</v>
      </c>
      <c r="CC314" s="171">
        <f t="shared" si="518"/>
        <v>0</v>
      </c>
      <c r="CD314" s="171">
        <f t="shared" si="518"/>
        <v>0</v>
      </c>
      <c r="CE314" s="171">
        <f t="shared" si="518"/>
        <v>0</v>
      </c>
      <c r="CF314" s="171">
        <f t="shared" si="518"/>
        <v>0</v>
      </c>
      <c r="CG314" s="171">
        <f t="shared" si="518"/>
        <v>0</v>
      </c>
      <c r="CH314" s="171">
        <f t="shared" si="518"/>
        <v>0</v>
      </c>
      <c r="CI314" s="171">
        <f t="shared" si="518"/>
        <v>0</v>
      </c>
      <c r="CJ314" s="243"/>
      <c r="CK314" s="171">
        <f t="shared" si="452"/>
        <v>0</v>
      </c>
      <c r="CL314" s="171">
        <f t="shared" si="453"/>
        <v>0</v>
      </c>
      <c r="CM314" s="171">
        <f t="shared" si="454"/>
        <v>0</v>
      </c>
      <c r="CN314" s="171">
        <f t="shared" si="455"/>
        <v>0</v>
      </c>
      <c r="CO314" s="171">
        <f t="shared" si="456"/>
        <v>0</v>
      </c>
      <c r="CP314" s="171">
        <f t="shared" si="457"/>
        <v>0</v>
      </c>
      <c r="CQ314" s="171">
        <f t="shared" si="458"/>
        <v>0</v>
      </c>
      <c r="CR314" s="171">
        <f t="shared" si="459"/>
        <v>0</v>
      </c>
      <c r="CS314" s="171">
        <f t="shared" si="460"/>
        <v>0</v>
      </c>
      <c r="CT314" s="171">
        <f t="shared" si="461"/>
        <v>0</v>
      </c>
      <c r="CU314" s="171">
        <f t="shared" si="462"/>
        <v>0</v>
      </c>
      <c r="CV314" s="171">
        <f t="shared" si="463"/>
        <v>0</v>
      </c>
      <c r="CW314" s="171">
        <f t="shared" si="464"/>
        <v>0</v>
      </c>
      <c r="CX314" s="171">
        <f t="shared" si="465"/>
        <v>0</v>
      </c>
      <c r="CY314" s="171">
        <f t="shared" ca="1" si="466"/>
        <v>0</v>
      </c>
      <c r="CZ314" s="171">
        <f t="shared" ca="1" si="467"/>
        <v>0</v>
      </c>
      <c r="DA314" s="171">
        <f t="shared" ca="1" si="468"/>
        <v>0</v>
      </c>
      <c r="DB314" s="171">
        <f t="shared" ca="1" si="469"/>
        <v>0</v>
      </c>
      <c r="DC314" s="171">
        <f t="shared" ca="1" si="470"/>
        <v>0</v>
      </c>
      <c r="DD314" s="171">
        <f t="shared" ca="1" si="471"/>
        <v>0</v>
      </c>
      <c r="DE314" s="171">
        <f t="shared" ca="1" si="472"/>
        <v>0</v>
      </c>
      <c r="DF314" s="171">
        <f t="shared" ca="1" si="473"/>
        <v>0</v>
      </c>
      <c r="DG314" s="171">
        <f t="shared" ca="1" si="474"/>
        <v>0</v>
      </c>
      <c r="DH314" s="171">
        <f t="shared" ca="1" si="475"/>
        <v>0</v>
      </c>
      <c r="DI314" s="171">
        <f t="shared" ca="1" si="476"/>
        <v>0</v>
      </c>
      <c r="DJ314" s="171">
        <f t="shared" ca="1" si="477"/>
        <v>0</v>
      </c>
      <c r="DK314" s="171">
        <f t="shared" ca="1" si="478"/>
        <v>0</v>
      </c>
      <c r="DL314" s="171">
        <f t="shared" ca="1" si="479"/>
        <v>0</v>
      </c>
      <c r="DM314" s="171">
        <f t="shared" ca="1" si="480"/>
        <v>0</v>
      </c>
      <c r="DN314" s="171">
        <f t="shared" ca="1" si="481"/>
        <v>0</v>
      </c>
      <c r="DO314" s="171">
        <f t="shared" ca="1" si="482"/>
        <v>0</v>
      </c>
      <c r="DP314" s="171">
        <f t="shared" ca="1" si="483"/>
        <v>0</v>
      </c>
      <c r="DQ314" s="171">
        <f t="shared" ca="1" si="484"/>
        <v>0</v>
      </c>
      <c r="DR314" s="171">
        <f t="shared" ca="1" si="485"/>
        <v>0</v>
      </c>
      <c r="DS314" s="171">
        <f t="shared" ca="1" si="486"/>
        <v>0</v>
      </c>
      <c r="DT314" s="171">
        <f t="shared" ca="1" si="487"/>
        <v>0</v>
      </c>
      <c r="DU314" s="171">
        <f t="shared" ca="1" si="488"/>
        <v>0</v>
      </c>
      <c r="DV314" s="171">
        <f t="shared" ca="1" si="489"/>
        <v>0</v>
      </c>
      <c r="DW314" s="171">
        <f t="shared" ca="1" si="490"/>
        <v>0</v>
      </c>
      <c r="DX314" s="171">
        <f t="shared" ca="1" si="491"/>
        <v>0</v>
      </c>
      <c r="DY314" s="171">
        <f t="shared" ca="1" si="492"/>
        <v>0</v>
      </c>
      <c r="DZ314" s="171">
        <f t="shared" ca="1" si="493"/>
        <v>0</v>
      </c>
      <c r="EA314" s="171">
        <f t="shared" ca="1" si="494"/>
        <v>0</v>
      </c>
      <c r="EB314" s="171">
        <f t="shared" ca="1" si="495"/>
        <v>0</v>
      </c>
      <c r="EC314" s="171">
        <f t="shared" ca="1" si="496"/>
        <v>0</v>
      </c>
      <c r="ED314" s="171">
        <f t="shared" ca="1" si="497"/>
        <v>0</v>
      </c>
      <c r="EE314" s="171">
        <f t="shared" ca="1" si="498"/>
        <v>0</v>
      </c>
      <c r="EF314" s="171">
        <f t="shared" ca="1" si="499"/>
        <v>0</v>
      </c>
      <c r="EG314" s="171">
        <f t="shared" ca="1" si="500"/>
        <v>0</v>
      </c>
      <c r="EH314" s="171">
        <f t="shared" ca="1" si="501"/>
        <v>0</v>
      </c>
      <c r="EI314" s="171">
        <f t="shared" ca="1" si="502"/>
        <v>0</v>
      </c>
      <c r="EJ314" s="171">
        <f t="shared" ca="1" si="503"/>
        <v>0</v>
      </c>
      <c r="EK314" s="171">
        <f t="shared" ca="1" si="504"/>
        <v>0</v>
      </c>
      <c r="EL314" s="171">
        <f t="shared" ca="1" si="505"/>
        <v>0</v>
      </c>
      <c r="EM314" s="171">
        <f t="shared" ca="1" si="506"/>
        <v>0</v>
      </c>
      <c r="EN314" s="171">
        <f t="shared" ca="1" si="507"/>
        <v>0</v>
      </c>
      <c r="EO314" s="171">
        <f t="shared" ca="1" si="508"/>
        <v>0</v>
      </c>
      <c r="EP314" s="171">
        <f t="shared" ca="1" si="509"/>
        <v>0</v>
      </c>
      <c r="EQ314" s="171">
        <f t="shared" ca="1" si="510"/>
        <v>0</v>
      </c>
      <c r="ER314" s="171">
        <f t="shared" ca="1" si="511"/>
        <v>0</v>
      </c>
      <c r="ES314" s="171">
        <f t="shared" ca="1" si="512"/>
        <v>0</v>
      </c>
    </row>
    <row r="315" spans="3:149">
      <c r="C315" s="214"/>
      <c r="H315" s="216"/>
      <c r="I315" s="217"/>
      <c r="L315" s="163"/>
      <c r="M315" s="164" t="str">
        <f t="shared" si="443"/>
        <v/>
      </c>
      <c r="N315" s="164" t="str">
        <f t="shared" si="444"/>
        <v/>
      </c>
      <c r="O315" s="165" t="str">
        <f t="shared" si="445"/>
        <v/>
      </c>
      <c r="R315" s="168"/>
      <c r="U315" s="171">
        <f t="shared" si="446"/>
        <v>0</v>
      </c>
      <c r="V315" s="171">
        <f t="shared" ca="1" si="447"/>
        <v>0</v>
      </c>
      <c r="W315" s="171">
        <f t="shared" ca="1" si="448"/>
        <v>0</v>
      </c>
      <c r="X315" s="172">
        <f t="shared" si="449"/>
        <v>0</v>
      </c>
      <c r="Y315" s="172" t="str">
        <f t="shared" si="450"/>
        <v/>
      </c>
      <c r="Z315" s="173">
        <f t="shared" si="451"/>
        <v>0</v>
      </c>
      <c r="AA315" s="171">
        <f t="shared" si="513"/>
        <v>0</v>
      </c>
      <c r="AB315" s="171">
        <f t="shared" si="513"/>
        <v>0</v>
      </c>
      <c r="AC315" s="171">
        <f t="shared" si="513"/>
        <v>0</v>
      </c>
      <c r="AD315" s="171">
        <f t="shared" si="513"/>
        <v>0</v>
      </c>
      <c r="AE315" s="171">
        <f t="shared" si="513"/>
        <v>0</v>
      </c>
      <c r="AF315" s="171">
        <f t="shared" si="513"/>
        <v>0</v>
      </c>
      <c r="AG315" s="171">
        <f t="shared" si="513"/>
        <v>0</v>
      </c>
      <c r="AH315" s="171">
        <f t="shared" si="513"/>
        <v>0</v>
      </c>
      <c r="AI315" s="171">
        <f t="shared" si="513"/>
        <v>0</v>
      </c>
      <c r="AJ315" s="171">
        <f t="shared" si="513"/>
        <v>0</v>
      </c>
      <c r="AK315" s="171">
        <f t="shared" si="514"/>
        <v>0</v>
      </c>
      <c r="AL315" s="171">
        <f t="shared" si="514"/>
        <v>0</v>
      </c>
      <c r="AM315" s="171">
        <f t="shared" si="514"/>
        <v>0</v>
      </c>
      <c r="AN315" s="171">
        <f t="shared" si="514"/>
        <v>0</v>
      </c>
      <c r="AO315" s="171">
        <f t="shared" si="514"/>
        <v>0</v>
      </c>
      <c r="AP315" s="171">
        <f t="shared" si="514"/>
        <v>0</v>
      </c>
      <c r="AQ315" s="171">
        <f t="shared" si="514"/>
        <v>0</v>
      </c>
      <c r="AR315" s="171">
        <f t="shared" si="514"/>
        <v>0</v>
      </c>
      <c r="AS315" s="171">
        <f t="shared" si="514"/>
        <v>0</v>
      </c>
      <c r="AT315" s="171">
        <f t="shared" si="514"/>
        <v>0</v>
      </c>
      <c r="AU315" s="171">
        <f t="shared" si="515"/>
        <v>0</v>
      </c>
      <c r="AV315" s="171">
        <f t="shared" si="515"/>
        <v>0</v>
      </c>
      <c r="AW315" s="171">
        <f t="shared" si="515"/>
        <v>0</v>
      </c>
      <c r="AX315" s="171">
        <f t="shared" si="515"/>
        <v>0</v>
      </c>
      <c r="AY315" s="171">
        <f t="shared" si="515"/>
        <v>0</v>
      </c>
      <c r="AZ315" s="171">
        <f t="shared" si="515"/>
        <v>0</v>
      </c>
      <c r="BA315" s="171">
        <f t="shared" si="515"/>
        <v>0</v>
      </c>
      <c r="BB315" s="171">
        <f t="shared" si="515"/>
        <v>0</v>
      </c>
      <c r="BC315" s="171">
        <f t="shared" si="515"/>
        <v>0</v>
      </c>
      <c r="BD315" s="171">
        <f t="shared" si="515"/>
        <v>0</v>
      </c>
      <c r="BE315" s="171">
        <f t="shared" si="516"/>
        <v>0</v>
      </c>
      <c r="BF315" s="171">
        <f t="shared" si="516"/>
        <v>0</v>
      </c>
      <c r="BG315" s="171">
        <f t="shared" si="516"/>
        <v>0</v>
      </c>
      <c r="BH315" s="171">
        <f t="shared" si="516"/>
        <v>0</v>
      </c>
      <c r="BI315" s="171">
        <f t="shared" si="516"/>
        <v>0</v>
      </c>
      <c r="BJ315" s="171">
        <f t="shared" si="516"/>
        <v>0</v>
      </c>
      <c r="BK315" s="171">
        <f t="shared" si="516"/>
        <v>0</v>
      </c>
      <c r="BL315" s="171">
        <f t="shared" si="516"/>
        <v>0</v>
      </c>
      <c r="BM315" s="171">
        <f t="shared" si="516"/>
        <v>0</v>
      </c>
      <c r="BN315" s="171">
        <f t="shared" si="516"/>
        <v>0</v>
      </c>
      <c r="BO315" s="171">
        <f t="shared" si="517"/>
        <v>0</v>
      </c>
      <c r="BP315" s="171">
        <f t="shared" si="517"/>
        <v>0</v>
      </c>
      <c r="BQ315" s="171">
        <f t="shared" si="517"/>
        <v>0</v>
      </c>
      <c r="BR315" s="171">
        <f t="shared" si="517"/>
        <v>0</v>
      </c>
      <c r="BS315" s="171">
        <f t="shared" si="517"/>
        <v>0</v>
      </c>
      <c r="BT315" s="171">
        <f t="shared" si="517"/>
        <v>0</v>
      </c>
      <c r="BU315" s="171">
        <f t="shared" si="517"/>
        <v>0</v>
      </c>
      <c r="BV315" s="171">
        <f t="shared" si="517"/>
        <v>0</v>
      </c>
      <c r="BW315" s="171">
        <f t="shared" si="517"/>
        <v>0</v>
      </c>
      <c r="BX315" s="171">
        <f t="shared" si="517"/>
        <v>0</v>
      </c>
      <c r="BY315" s="171">
        <f t="shared" si="518"/>
        <v>0</v>
      </c>
      <c r="BZ315" s="171">
        <f t="shared" si="518"/>
        <v>0</v>
      </c>
      <c r="CA315" s="171">
        <f t="shared" si="518"/>
        <v>0</v>
      </c>
      <c r="CB315" s="171">
        <f t="shared" si="518"/>
        <v>0</v>
      </c>
      <c r="CC315" s="171">
        <f t="shared" si="518"/>
        <v>0</v>
      </c>
      <c r="CD315" s="171">
        <f t="shared" si="518"/>
        <v>0</v>
      </c>
      <c r="CE315" s="171">
        <f t="shared" si="518"/>
        <v>0</v>
      </c>
      <c r="CF315" s="171">
        <f t="shared" si="518"/>
        <v>0</v>
      </c>
      <c r="CG315" s="171">
        <f t="shared" si="518"/>
        <v>0</v>
      </c>
      <c r="CH315" s="171">
        <f t="shared" si="518"/>
        <v>0</v>
      </c>
      <c r="CI315" s="171">
        <f t="shared" si="518"/>
        <v>0</v>
      </c>
      <c r="CJ315" s="243"/>
      <c r="CK315" s="171">
        <f t="shared" si="452"/>
        <v>0</v>
      </c>
      <c r="CL315" s="171">
        <f t="shared" si="453"/>
        <v>0</v>
      </c>
      <c r="CM315" s="171">
        <f t="shared" si="454"/>
        <v>0</v>
      </c>
      <c r="CN315" s="171">
        <f t="shared" si="455"/>
        <v>0</v>
      </c>
      <c r="CO315" s="171">
        <f t="shared" si="456"/>
        <v>0</v>
      </c>
      <c r="CP315" s="171">
        <f t="shared" si="457"/>
        <v>0</v>
      </c>
      <c r="CQ315" s="171">
        <f t="shared" si="458"/>
        <v>0</v>
      </c>
      <c r="CR315" s="171">
        <f t="shared" si="459"/>
        <v>0</v>
      </c>
      <c r="CS315" s="171">
        <f t="shared" si="460"/>
        <v>0</v>
      </c>
      <c r="CT315" s="171">
        <f t="shared" si="461"/>
        <v>0</v>
      </c>
      <c r="CU315" s="171">
        <f t="shared" si="462"/>
        <v>0</v>
      </c>
      <c r="CV315" s="171">
        <f t="shared" si="463"/>
        <v>0</v>
      </c>
      <c r="CW315" s="171">
        <f t="shared" si="464"/>
        <v>0</v>
      </c>
      <c r="CX315" s="171">
        <f t="shared" si="465"/>
        <v>0</v>
      </c>
      <c r="CY315" s="171">
        <f t="shared" ca="1" si="466"/>
        <v>0</v>
      </c>
      <c r="CZ315" s="171">
        <f t="shared" ca="1" si="467"/>
        <v>0</v>
      </c>
      <c r="DA315" s="171">
        <f t="shared" ca="1" si="468"/>
        <v>0</v>
      </c>
      <c r="DB315" s="171">
        <f t="shared" ca="1" si="469"/>
        <v>0</v>
      </c>
      <c r="DC315" s="171">
        <f t="shared" ca="1" si="470"/>
        <v>0</v>
      </c>
      <c r="DD315" s="171">
        <f t="shared" ca="1" si="471"/>
        <v>0</v>
      </c>
      <c r="DE315" s="171">
        <f t="shared" ca="1" si="472"/>
        <v>0</v>
      </c>
      <c r="DF315" s="171">
        <f t="shared" ca="1" si="473"/>
        <v>0</v>
      </c>
      <c r="DG315" s="171">
        <f t="shared" ca="1" si="474"/>
        <v>0</v>
      </c>
      <c r="DH315" s="171">
        <f t="shared" ca="1" si="475"/>
        <v>0</v>
      </c>
      <c r="DI315" s="171">
        <f t="shared" ca="1" si="476"/>
        <v>0</v>
      </c>
      <c r="DJ315" s="171">
        <f t="shared" ca="1" si="477"/>
        <v>0</v>
      </c>
      <c r="DK315" s="171">
        <f t="shared" ca="1" si="478"/>
        <v>0</v>
      </c>
      <c r="DL315" s="171">
        <f t="shared" ca="1" si="479"/>
        <v>0</v>
      </c>
      <c r="DM315" s="171">
        <f t="shared" ca="1" si="480"/>
        <v>0</v>
      </c>
      <c r="DN315" s="171">
        <f t="shared" ca="1" si="481"/>
        <v>0</v>
      </c>
      <c r="DO315" s="171">
        <f t="shared" ca="1" si="482"/>
        <v>0</v>
      </c>
      <c r="DP315" s="171">
        <f t="shared" ca="1" si="483"/>
        <v>0</v>
      </c>
      <c r="DQ315" s="171">
        <f t="shared" ca="1" si="484"/>
        <v>0</v>
      </c>
      <c r="DR315" s="171">
        <f t="shared" ca="1" si="485"/>
        <v>0</v>
      </c>
      <c r="DS315" s="171">
        <f t="shared" ca="1" si="486"/>
        <v>0</v>
      </c>
      <c r="DT315" s="171">
        <f t="shared" ca="1" si="487"/>
        <v>0</v>
      </c>
      <c r="DU315" s="171">
        <f t="shared" ca="1" si="488"/>
        <v>0</v>
      </c>
      <c r="DV315" s="171">
        <f t="shared" ca="1" si="489"/>
        <v>0</v>
      </c>
      <c r="DW315" s="171">
        <f t="shared" ca="1" si="490"/>
        <v>0</v>
      </c>
      <c r="DX315" s="171">
        <f t="shared" ca="1" si="491"/>
        <v>0</v>
      </c>
      <c r="DY315" s="171">
        <f t="shared" ca="1" si="492"/>
        <v>0</v>
      </c>
      <c r="DZ315" s="171">
        <f t="shared" ca="1" si="493"/>
        <v>0</v>
      </c>
      <c r="EA315" s="171">
        <f t="shared" ca="1" si="494"/>
        <v>0</v>
      </c>
      <c r="EB315" s="171">
        <f t="shared" ca="1" si="495"/>
        <v>0</v>
      </c>
      <c r="EC315" s="171">
        <f t="shared" ca="1" si="496"/>
        <v>0</v>
      </c>
      <c r="ED315" s="171">
        <f t="shared" ca="1" si="497"/>
        <v>0</v>
      </c>
      <c r="EE315" s="171">
        <f t="shared" ca="1" si="498"/>
        <v>0</v>
      </c>
      <c r="EF315" s="171">
        <f t="shared" ca="1" si="499"/>
        <v>0</v>
      </c>
      <c r="EG315" s="171">
        <f t="shared" ca="1" si="500"/>
        <v>0</v>
      </c>
      <c r="EH315" s="171">
        <f t="shared" ca="1" si="501"/>
        <v>0</v>
      </c>
      <c r="EI315" s="171">
        <f t="shared" ca="1" si="502"/>
        <v>0</v>
      </c>
      <c r="EJ315" s="171">
        <f t="shared" ca="1" si="503"/>
        <v>0</v>
      </c>
      <c r="EK315" s="171">
        <f t="shared" ca="1" si="504"/>
        <v>0</v>
      </c>
      <c r="EL315" s="171">
        <f t="shared" ca="1" si="505"/>
        <v>0</v>
      </c>
      <c r="EM315" s="171">
        <f t="shared" ca="1" si="506"/>
        <v>0</v>
      </c>
      <c r="EN315" s="171">
        <f t="shared" ca="1" si="507"/>
        <v>0</v>
      </c>
      <c r="EO315" s="171">
        <f t="shared" ca="1" si="508"/>
        <v>0</v>
      </c>
      <c r="EP315" s="171">
        <f t="shared" ca="1" si="509"/>
        <v>0</v>
      </c>
      <c r="EQ315" s="171">
        <f t="shared" ca="1" si="510"/>
        <v>0</v>
      </c>
      <c r="ER315" s="171">
        <f t="shared" ca="1" si="511"/>
        <v>0</v>
      </c>
      <c r="ES315" s="171">
        <f t="shared" ca="1" si="512"/>
        <v>0</v>
      </c>
    </row>
    <row r="316" spans="3:149">
      <c r="C316" s="214"/>
      <c r="H316" s="216"/>
      <c r="I316" s="217"/>
      <c r="L316" s="163"/>
      <c r="M316" s="164" t="str">
        <f t="shared" si="443"/>
        <v/>
      </c>
      <c r="N316" s="164" t="str">
        <f t="shared" si="444"/>
        <v/>
      </c>
      <c r="O316" s="165" t="str">
        <f t="shared" si="445"/>
        <v/>
      </c>
      <c r="R316" s="168"/>
      <c r="U316" s="171">
        <f t="shared" si="446"/>
        <v>0</v>
      </c>
      <c r="V316" s="171">
        <f t="shared" ca="1" si="447"/>
        <v>0</v>
      </c>
      <c r="W316" s="171">
        <f t="shared" ca="1" si="448"/>
        <v>0</v>
      </c>
      <c r="X316" s="172">
        <f t="shared" si="449"/>
        <v>0</v>
      </c>
      <c r="Y316" s="172" t="str">
        <f t="shared" si="450"/>
        <v/>
      </c>
      <c r="Z316" s="173">
        <f t="shared" si="451"/>
        <v>0</v>
      </c>
      <c r="AA316" s="171">
        <f t="shared" si="513"/>
        <v>0</v>
      </c>
      <c r="AB316" s="171">
        <f t="shared" si="513"/>
        <v>0</v>
      </c>
      <c r="AC316" s="171">
        <f t="shared" si="513"/>
        <v>0</v>
      </c>
      <c r="AD316" s="171">
        <f t="shared" si="513"/>
        <v>0</v>
      </c>
      <c r="AE316" s="171">
        <f t="shared" si="513"/>
        <v>0</v>
      </c>
      <c r="AF316" s="171">
        <f t="shared" si="513"/>
        <v>0</v>
      </c>
      <c r="AG316" s="171">
        <f t="shared" si="513"/>
        <v>0</v>
      </c>
      <c r="AH316" s="171">
        <f t="shared" si="513"/>
        <v>0</v>
      </c>
      <c r="AI316" s="171">
        <f t="shared" si="513"/>
        <v>0</v>
      </c>
      <c r="AJ316" s="171">
        <f t="shared" si="513"/>
        <v>0</v>
      </c>
      <c r="AK316" s="171">
        <f t="shared" si="514"/>
        <v>0</v>
      </c>
      <c r="AL316" s="171">
        <f t="shared" si="514"/>
        <v>0</v>
      </c>
      <c r="AM316" s="171">
        <f t="shared" si="514"/>
        <v>0</v>
      </c>
      <c r="AN316" s="171">
        <f t="shared" si="514"/>
        <v>0</v>
      </c>
      <c r="AO316" s="171">
        <f t="shared" si="514"/>
        <v>0</v>
      </c>
      <c r="AP316" s="171">
        <f t="shared" si="514"/>
        <v>0</v>
      </c>
      <c r="AQ316" s="171">
        <f t="shared" si="514"/>
        <v>0</v>
      </c>
      <c r="AR316" s="171">
        <f t="shared" si="514"/>
        <v>0</v>
      </c>
      <c r="AS316" s="171">
        <f t="shared" si="514"/>
        <v>0</v>
      </c>
      <c r="AT316" s="171">
        <f t="shared" si="514"/>
        <v>0</v>
      </c>
      <c r="AU316" s="171">
        <f t="shared" si="515"/>
        <v>0</v>
      </c>
      <c r="AV316" s="171">
        <f t="shared" si="515"/>
        <v>0</v>
      </c>
      <c r="AW316" s="171">
        <f t="shared" si="515"/>
        <v>0</v>
      </c>
      <c r="AX316" s="171">
        <f t="shared" si="515"/>
        <v>0</v>
      </c>
      <c r="AY316" s="171">
        <f t="shared" si="515"/>
        <v>0</v>
      </c>
      <c r="AZ316" s="171">
        <f t="shared" si="515"/>
        <v>0</v>
      </c>
      <c r="BA316" s="171">
        <f t="shared" si="515"/>
        <v>0</v>
      </c>
      <c r="BB316" s="171">
        <f t="shared" si="515"/>
        <v>0</v>
      </c>
      <c r="BC316" s="171">
        <f t="shared" si="515"/>
        <v>0</v>
      </c>
      <c r="BD316" s="171">
        <f t="shared" si="515"/>
        <v>0</v>
      </c>
      <c r="BE316" s="171">
        <f t="shared" si="516"/>
        <v>0</v>
      </c>
      <c r="BF316" s="171">
        <f t="shared" si="516"/>
        <v>0</v>
      </c>
      <c r="BG316" s="171">
        <f t="shared" si="516"/>
        <v>0</v>
      </c>
      <c r="BH316" s="171">
        <f t="shared" si="516"/>
        <v>0</v>
      </c>
      <c r="BI316" s="171">
        <f t="shared" si="516"/>
        <v>0</v>
      </c>
      <c r="BJ316" s="171">
        <f t="shared" si="516"/>
        <v>0</v>
      </c>
      <c r="BK316" s="171">
        <f t="shared" si="516"/>
        <v>0</v>
      </c>
      <c r="BL316" s="171">
        <f t="shared" si="516"/>
        <v>0</v>
      </c>
      <c r="BM316" s="171">
        <f t="shared" si="516"/>
        <v>0</v>
      </c>
      <c r="BN316" s="171">
        <f t="shared" si="516"/>
        <v>0</v>
      </c>
      <c r="BO316" s="171">
        <f t="shared" si="517"/>
        <v>0</v>
      </c>
      <c r="BP316" s="171">
        <f t="shared" si="517"/>
        <v>0</v>
      </c>
      <c r="BQ316" s="171">
        <f t="shared" si="517"/>
        <v>0</v>
      </c>
      <c r="BR316" s="171">
        <f t="shared" si="517"/>
        <v>0</v>
      </c>
      <c r="BS316" s="171">
        <f t="shared" si="517"/>
        <v>0</v>
      </c>
      <c r="BT316" s="171">
        <f t="shared" si="517"/>
        <v>0</v>
      </c>
      <c r="BU316" s="171">
        <f t="shared" si="517"/>
        <v>0</v>
      </c>
      <c r="BV316" s="171">
        <f t="shared" si="517"/>
        <v>0</v>
      </c>
      <c r="BW316" s="171">
        <f t="shared" si="517"/>
        <v>0</v>
      </c>
      <c r="BX316" s="171">
        <f t="shared" si="517"/>
        <v>0</v>
      </c>
      <c r="BY316" s="171">
        <f t="shared" si="518"/>
        <v>0</v>
      </c>
      <c r="BZ316" s="171">
        <f t="shared" si="518"/>
        <v>0</v>
      </c>
      <c r="CA316" s="171">
        <f t="shared" si="518"/>
        <v>0</v>
      </c>
      <c r="CB316" s="171">
        <f t="shared" si="518"/>
        <v>0</v>
      </c>
      <c r="CC316" s="171">
        <f t="shared" si="518"/>
        <v>0</v>
      </c>
      <c r="CD316" s="171">
        <f t="shared" si="518"/>
        <v>0</v>
      </c>
      <c r="CE316" s="171">
        <f t="shared" si="518"/>
        <v>0</v>
      </c>
      <c r="CF316" s="171">
        <f t="shared" si="518"/>
        <v>0</v>
      </c>
      <c r="CG316" s="171">
        <f t="shared" si="518"/>
        <v>0</v>
      </c>
      <c r="CH316" s="171">
        <f t="shared" si="518"/>
        <v>0</v>
      </c>
      <c r="CI316" s="171">
        <f t="shared" si="518"/>
        <v>0</v>
      </c>
      <c r="CJ316" s="243"/>
      <c r="CK316" s="171">
        <f t="shared" si="452"/>
        <v>0</v>
      </c>
      <c r="CL316" s="171">
        <f t="shared" si="453"/>
        <v>0</v>
      </c>
      <c r="CM316" s="171">
        <f t="shared" si="454"/>
        <v>0</v>
      </c>
      <c r="CN316" s="171">
        <f t="shared" si="455"/>
        <v>0</v>
      </c>
      <c r="CO316" s="171">
        <f t="shared" si="456"/>
        <v>0</v>
      </c>
      <c r="CP316" s="171">
        <f t="shared" si="457"/>
        <v>0</v>
      </c>
      <c r="CQ316" s="171">
        <f t="shared" si="458"/>
        <v>0</v>
      </c>
      <c r="CR316" s="171">
        <f t="shared" si="459"/>
        <v>0</v>
      </c>
      <c r="CS316" s="171">
        <f t="shared" si="460"/>
        <v>0</v>
      </c>
      <c r="CT316" s="171">
        <f t="shared" si="461"/>
        <v>0</v>
      </c>
      <c r="CU316" s="171">
        <f t="shared" si="462"/>
        <v>0</v>
      </c>
      <c r="CV316" s="171">
        <f t="shared" si="463"/>
        <v>0</v>
      </c>
      <c r="CW316" s="171">
        <f t="shared" si="464"/>
        <v>0</v>
      </c>
      <c r="CX316" s="171">
        <f t="shared" si="465"/>
        <v>0</v>
      </c>
      <c r="CY316" s="171">
        <f t="shared" ca="1" si="466"/>
        <v>0</v>
      </c>
      <c r="CZ316" s="171">
        <f t="shared" ca="1" si="467"/>
        <v>0</v>
      </c>
      <c r="DA316" s="171">
        <f t="shared" ca="1" si="468"/>
        <v>0</v>
      </c>
      <c r="DB316" s="171">
        <f t="shared" ca="1" si="469"/>
        <v>0</v>
      </c>
      <c r="DC316" s="171">
        <f t="shared" ca="1" si="470"/>
        <v>0</v>
      </c>
      <c r="DD316" s="171">
        <f t="shared" ca="1" si="471"/>
        <v>0</v>
      </c>
      <c r="DE316" s="171">
        <f t="shared" ca="1" si="472"/>
        <v>0</v>
      </c>
      <c r="DF316" s="171">
        <f t="shared" ca="1" si="473"/>
        <v>0</v>
      </c>
      <c r="DG316" s="171">
        <f t="shared" ca="1" si="474"/>
        <v>0</v>
      </c>
      <c r="DH316" s="171">
        <f t="shared" ca="1" si="475"/>
        <v>0</v>
      </c>
      <c r="DI316" s="171">
        <f t="shared" ca="1" si="476"/>
        <v>0</v>
      </c>
      <c r="DJ316" s="171">
        <f t="shared" ca="1" si="477"/>
        <v>0</v>
      </c>
      <c r="DK316" s="171">
        <f t="shared" ca="1" si="478"/>
        <v>0</v>
      </c>
      <c r="DL316" s="171">
        <f t="shared" ca="1" si="479"/>
        <v>0</v>
      </c>
      <c r="DM316" s="171">
        <f t="shared" ca="1" si="480"/>
        <v>0</v>
      </c>
      <c r="DN316" s="171">
        <f t="shared" ca="1" si="481"/>
        <v>0</v>
      </c>
      <c r="DO316" s="171">
        <f t="shared" ca="1" si="482"/>
        <v>0</v>
      </c>
      <c r="DP316" s="171">
        <f t="shared" ca="1" si="483"/>
        <v>0</v>
      </c>
      <c r="DQ316" s="171">
        <f t="shared" ca="1" si="484"/>
        <v>0</v>
      </c>
      <c r="DR316" s="171">
        <f t="shared" ca="1" si="485"/>
        <v>0</v>
      </c>
      <c r="DS316" s="171">
        <f t="shared" ca="1" si="486"/>
        <v>0</v>
      </c>
      <c r="DT316" s="171">
        <f t="shared" ca="1" si="487"/>
        <v>0</v>
      </c>
      <c r="DU316" s="171">
        <f t="shared" ca="1" si="488"/>
        <v>0</v>
      </c>
      <c r="DV316" s="171">
        <f t="shared" ca="1" si="489"/>
        <v>0</v>
      </c>
      <c r="DW316" s="171">
        <f t="shared" ca="1" si="490"/>
        <v>0</v>
      </c>
      <c r="DX316" s="171">
        <f t="shared" ca="1" si="491"/>
        <v>0</v>
      </c>
      <c r="DY316" s="171">
        <f t="shared" ca="1" si="492"/>
        <v>0</v>
      </c>
      <c r="DZ316" s="171">
        <f t="shared" ca="1" si="493"/>
        <v>0</v>
      </c>
      <c r="EA316" s="171">
        <f t="shared" ca="1" si="494"/>
        <v>0</v>
      </c>
      <c r="EB316" s="171">
        <f t="shared" ca="1" si="495"/>
        <v>0</v>
      </c>
      <c r="EC316" s="171">
        <f t="shared" ca="1" si="496"/>
        <v>0</v>
      </c>
      <c r="ED316" s="171">
        <f t="shared" ca="1" si="497"/>
        <v>0</v>
      </c>
      <c r="EE316" s="171">
        <f t="shared" ca="1" si="498"/>
        <v>0</v>
      </c>
      <c r="EF316" s="171">
        <f t="shared" ca="1" si="499"/>
        <v>0</v>
      </c>
      <c r="EG316" s="171">
        <f t="shared" ca="1" si="500"/>
        <v>0</v>
      </c>
      <c r="EH316" s="171">
        <f t="shared" ca="1" si="501"/>
        <v>0</v>
      </c>
      <c r="EI316" s="171">
        <f t="shared" ca="1" si="502"/>
        <v>0</v>
      </c>
      <c r="EJ316" s="171">
        <f t="shared" ca="1" si="503"/>
        <v>0</v>
      </c>
      <c r="EK316" s="171">
        <f t="shared" ca="1" si="504"/>
        <v>0</v>
      </c>
      <c r="EL316" s="171">
        <f t="shared" ca="1" si="505"/>
        <v>0</v>
      </c>
      <c r="EM316" s="171">
        <f t="shared" ca="1" si="506"/>
        <v>0</v>
      </c>
      <c r="EN316" s="171">
        <f t="shared" ca="1" si="507"/>
        <v>0</v>
      </c>
      <c r="EO316" s="171">
        <f t="shared" ca="1" si="508"/>
        <v>0</v>
      </c>
      <c r="EP316" s="171">
        <f t="shared" ca="1" si="509"/>
        <v>0</v>
      </c>
      <c r="EQ316" s="171">
        <f t="shared" ca="1" si="510"/>
        <v>0</v>
      </c>
      <c r="ER316" s="171">
        <f t="shared" ca="1" si="511"/>
        <v>0</v>
      </c>
      <c r="ES316" s="171">
        <f t="shared" ca="1" si="512"/>
        <v>0</v>
      </c>
    </row>
    <row r="317" spans="3:149">
      <c r="C317" s="214"/>
      <c r="H317" s="216"/>
      <c r="I317" s="217"/>
      <c r="L317" s="163"/>
      <c r="M317" s="164" t="str">
        <f t="shared" si="443"/>
        <v/>
      </c>
      <c r="N317" s="164" t="str">
        <f t="shared" si="444"/>
        <v/>
      </c>
      <c r="O317" s="165" t="str">
        <f t="shared" si="445"/>
        <v/>
      </c>
      <c r="R317" s="168"/>
      <c r="U317" s="171">
        <f t="shared" si="446"/>
        <v>0</v>
      </c>
      <c r="V317" s="171">
        <f t="shared" ca="1" si="447"/>
        <v>0</v>
      </c>
      <c r="W317" s="171">
        <f t="shared" ca="1" si="448"/>
        <v>0</v>
      </c>
      <c r="X317" s="172">
        <f t="shared" si="449"/>
        <v>0</v>
      </c>
      <c r="Y317" s="172" t="str">
        <f t="shared" si="450"/>
        <v/>
      </c>
      <c r="Z317" s="173">
        <f t="shared" si="451"/>
        <v>0</v>
      </c>
      <c r="AA317" s="171">
        <f t="shared" si="513"/>
        <v>0</v>
      </c>
      <c r="AB317" s="171">
        <f t="shared" si="513"/>
        <v>0</v>
      </c>
      <c r="AC317" s="171">
        <f t="shared" si="513"/>
        <v>0</v>
      </c>
      <c r="AD317" s="171">
        <f t="shared" si="513"/>
        <v>0</v>
      </c>
      <c r="AE317" s="171">
        <f t="shared" si="513"/>
        <v>0</v>
      </c>
      <c r="AF317" s="171">
        <f t="shared" si="513"/>
        <v>0</v>
      </c>
      <c r="AG317" s="171">
        <f t="shared" si="513"/>
        <v>0</v>
      </c>
      <c r="AH317" s="171">
        <f t="shared" si="513"/>
        <v>0</v>
      </c>
      <c r="AI317" s="171">
        <f t="shared" si="513"/>
        <v>0</v>
      </c>
      <c r="AJ317" s="171">
        <f t="shared" si="513"/>
        <v>0</v>
      </c>
      <c r="AK317" s="171">
        <f t="shared" si="514"/>
        <v>0</v>
      </c>
      <c r="AL317" s="171">
        <f t="shared" si="514"/>
        <v>0</v>
      </c>
      <c r="AM317" s="171">
        <f t="shared" si="514"/>
        <v>0</v>
      </c>
      <c r="AN317" s="171">
        <f t="shared" si="514"/>
        <v>0</v>
      </c>
      <c r="AO317" s="171">
        <f t="shared" si="514"/>
        <v>0</v>
      </c>
      <c r="AP317" s="171">
        <f t="shared" si="514"/>
        <v>0</v>
      </c>
      <c r="AQ317" s="171">
        <f t="shared" si="514"/>
        <v>0</v>
      </c>
      <c r="AR317" s="171">
        <f t="shared" si="514"/>
        <v>0</v>
      </c>
      <c r="AS317" s="171">
        <f t="shared" si="514"/>
        <v>0</v>
      </c>
      <c r="AT317" s="171">
        <f t="shared" si="514"/>
        <v>0</v>
      </c>
      <c r="AU317" s="171">
        <f t="shared" si="515"/>
        <v>0</v>
      </c>
      <c r="AV317" s="171">
        <f t="shared" si="515"/>
        <v>0</v>
      </c>
      <c r="AW317" s="171">
        <f t="shared" si="515"/>
        <v>0</v>
      </c>
      <c r="AX317" s="171">
        <f t="shared" si="515"/>
        <v>0</v>
      </c>
      <c r="AY317" s="171">
        <f t="shared" si="515"/>
        <v>0</v>
      </c>
      <c r="AZ317" s="171">
        <f t="shared" si="515"/>
        <v>0</v>
      </c>
      <c r="BA317" s="171">
        <f t="shared" si="515"/>
        <v>0</v>
      </c>
      <c r="BB317" s="171">
        <f t="shared" si="515"/>
        <v>0</v>
      </c>
      <c r="BC317" s="171">
        <f t="shared" si="515"/>
        <v>0</v>
      </c>
      <c r="BD317" s="171">
        <f t="shared" si="515"/>
        <v>0</v>
      </c>
      <c r="BE317" s="171">
        <f t="shared" si="516"/>
        <v>0</v>
      </c>
      <c r="BF317" s="171">
        <f t="shared" si="516"/>
        <v>0</v>
      </c>
      <c r="BG317" s="171">
        <f t="shared" si="516"/>
        <v>0</v>
      </c>
      <c r="BH317" s="171">
        <f t="shared" si="516"/>
        <v>0</v>
      </c>
      <c r="BI317" s="171">
        <f t="shared" si="516"/>
        <v>0</v>
      </c>
      <c r="BJ317" s="171">
        <f t="shared" si="516"/>
        <v>0</v>
      </c>
      <c r="BK317" s="171">
        <f t="shared" si="516"/>
        <v>0</v>
      </c>
      <c r="BL317" s="171">
        <f t="shared" si="516"/>
        <v>0</v>
      </c>
      <c r="BM317" s="171">
        <f t="shared" si="516"/>
        <v>0</v>
      </c>
      <c r="BN317" s="171">
        <f t="shared" si="516"/>
        <v>0</v>
      </c>
      <c r="BO317" s="171">
        <f t="shared" si="517"/>
        <v>0</v>
      </c>
      <c r="BP317" s="171">
        <f t="shared" si="517"/>
        <v>0</v>
      </c>
      <c r="BQ317" s="171">
        <f t="shared" si="517"/>
        <v>0</v>
      </c>
      <c r="BR317" s="171">
        <f t="shared" si="517"/>
        <v>0</v>
      </c>
      <c r="BS317" s="171">
        <f t="shared" si="517"/>
        <v>0</v>
      </c>
      <c r="BT317" s="171">
        <f t="shared" si="517"/>
        <v>0</v>
      </c>
      <c r="BU317" s="171">
        <f t="shared" si="517"/>
        <v>0</v>
      </c>
      <c r="BV317" s="171">
        <f t="shared" si="517"/>
        <v>0</v>
      </c>
      <c r="BW317" s="171">
        <f t="shared" si="517"/>
        <v>0</v>
      </c>
      <c r="BX317" s="171">
        <f t="shared" si="517"/>
        <v>0</v>
      </c>
      <c r="BY317" s="171">
        <f t="shared" si="518"/>
        <v>0</v>
      </c>
      <c r="BZ317" s="171">
        <f t="shared" si="518"/>
        <v>0</v>
      </c>
      <c r="CA317" s="171">
        <f t="shared" si="518"/>
        <v>0</v>
      </c>
      <c r="CB317" s="171">
        <f t="shared" si="518"/>
        <v>0</v>
      </c>
      <c r="CC317" s="171">
        <f t="shared" si="518"/>
        <v>0</v>
      </c>
      <c r="CD317" s="171">
        <f t="shared" si="518"/>
        <v>0</v>
      </c>
      <c r="CE317" s="171">
        <f t="shared" si="518"/>
        <v>0</v>
      </c>
      <c r="CF317" s="171">
        <f t="shared" si="518"/>
        <v>0</v>
      </c>
      <c r="CG317" s="171">
        <f t="shared" si="518"/>
        <v>0</v>
      </c>
      <c r="CH317" s="171">
        <f t="shared" si="518"/>
        <v>0</v>
      </c>
      <c r="CI317" s="171">
        <f t="shared" si="518"/>
        <v>0</v>
      </c>
      <c r="CJ317" s="243"/>
      <c r="CK317" s="171">
        <f t="shared" si="452"/>
        <v>0</v>
      </c>
      <c r="CL317" s="171">
        <f t="shared" si="453"/>
        <v>0</v>
      </c>
      <c r="CM317" s="171">
        <f t="shared" si="454"/>
        <v>0</v>
      </c>
      <c r="CN317" s="171">
        <f t="shared" si="455"/>
        <v>0</v>
      </c>
      <c r="CO317" s="171">
        <f t="shared" si="456"/>
        <v>0</v>
      </c>
      <c r="CP317" s="171">
        <f t="shared" si="457"/>
        <v>0</v>
      </c>
      <c r="CQ317" s="171">
        <f t="shared" si="458"/>
        <v>0</v>
      </c>
      <c r="CR317" s="171">
        <f t="shared" si="459"/>
        <v>0</v>
      </c>
      <c r="CS317" s="171">
        <f t="shared" si="460"/>
        <v>0</v>
      </c>
      <c r="CT317" s="171">
        <f t="shared" si="461"/>
        <v>0</v>
      </c>
      <c r="CU317" s="171">
        <f t="shared" si="462"/>
        <v>0</v>
      </c>
      <c r="CV317" s="171">
        <f t="shared" si="463"/>
        <v>0</v>
      </c>
      <c r="CW317" s="171">
        <f t="shared" si="464"/>
        <v>0</v>
      </c>
      <c r="CX317" s="171">
        <f t="shared" si="465"/>
        <v>0</v>
      </c>
      <c r="CY317" s="171">
        <f t="shared" ca="1" si="466"/>
        <v>0</v>
      </c>
      <c r="CZ317" s="171">
        <f t="shared" ca="1" si="467"/>
        <v>0</v>
      </c>
      <c r="DA317" s="171">
        <f t="shared" ca="1" si="468"/>
        <v>0</v>
      </c>
      <c r="DB317" s="171">
        <f t="shared" ca="1" si="469"/>
        <v>0</v>
      </c>
      <c r="DC317" s="171">
        <f t="shared" ca="1" si="470"/>
        <v>0</v>
      </c>
      <c r="DD317" s="171">
        <f t="shared" ca="1" si="471"/>
        <v>0</v>
      </c>
      <c r="DE317" s="171">
        <f t="shared" ca="1" si="472"/>
        <v>0</v>
      </c>
      <c r="DF317" s="171">
        <f t="shared" ca="1" si="473"/>
        <v>0</v>
      </c>
      <c r="DG317" s="171">
        <f t="shared" ca="1" si="474"/>
        <v>0</v>
      </c>
      <c r="DH317" s="171">
        <f t="shared" ca="1" si="475"/>
        <v>0</v>
      </c>
      <c r="DI317" s="171">
        <f t="shared" ca="1" si="476"/>
        <v>0</v>
      </c>
      <c r="DJ317" s="171">
        <f t="shared" ca="1" si="477"/>
        <v>0</v>
      </c>
      <c r="DK317" s="171">
        <f t="shared" ca="1" si="478"/>
        <v>0</v>
      </c>
      <c r="DL317" s="171">
        <f t="shared" ca="1" si="479"/>
        <v>0</v>
      </c>
      <c r="DM317" s="171">
        <f t="shared" ca="1" si="480"/>
        <v>0</v>
      </c>
      <c r="DN317" s="171">
        <f t="shared" ca="1" si="481"/>
        <v>0</v>
      </c>
      <c r="DO317" s="171">
        <f t="shared" ca="1" si="482"/>
        <v>0</v>
      </c>
      <c r="DP317" s="171">
        <f t="shared" ca="1" si="483"/>
        <v>0</v>
      </c>
      <c r="DQ317" s="171">
        <f t="shared" ca="1" si="484"/>
        <v>0</v>
      </c>
      <c r="DR317" s="171">
        <f t="shared" ca="1" si="485"/>
        <v>0</v>
      </c>
      <c r="DS317" s="171">
        <f t="shared" ca="1" si="486"/>
        <v>0</v>
      </c>
      <c r="DT317" s="171">
        <f t="shared" ca="1" si="487"/>
        <v>0</v>
      </c>
      <c r="DU317" s="171">
        <f t="shared" ca="1" si="488"/>
        <v>0</v>
      </c>
      <c r="DV317" s="171">
        <f t="shared" ca="1" si="489"/>
        <v>0</v>
      </c>
      <c r="DW317" s="171">
        <f t="shared" ca="1" si="490"/>
        <v>0</v>
      </c>
      <c r="DX317" s="171">
        <f t="shared" ca="1" si="491"/>
        <v>0</v>
      </c>
      <c r="DY317" s="171">
        <f t="shared" ca="1" si="492"/>
        <v>0</v>
      </c>
      <c r="DZ317" s="171">
        <f t="shared" ca="1" si="493"/>
        <v>0</v>
      </c>
      <c r="EA317" s="171">
        <f t="shared" ca="1" si="494"/>
        <v>0</v>
      </c>
      <c r="EB317" s="171">
        <f t="shared" ca="1" si="495"/>
        <v>0</v>
      </c>
      <c r="EC317" s="171">
        <f t="shared" ca="1" si="496"/>
        <v>0</v>
      </c>
      <c r="ED317" s="171">
        <f t="shared" ca="1" si="497"/>
        <v>0</v>
      </c>
      <c r="EE317" s="171">
        <f t="shared" ca="1" si="498"/>
        <v>0</v>
      </c>
      <c r="EF317" s="171">
        <f t="shared" ca="1" si="499"/>
        <v>0</v>
      </c>
      <c r="EG317" s="171">
        <f t="shared" ca="1" si="500"/>
        <v>0</v>
      </c>
      <c r="EH317" s="171">
        <f t="shared" ca="1" si="501"/>
        <v>0</v>
      </c>
      <c r="EI317" s="171">
        <f t="shared" ca="1" si="502"/>
        <v>0</v>
      </c>
      <c r="EJ317" s="171">
        <f t="shared" ca="1" si="503"/>
        <v>0</v>
      </c>
      <c r="EK317" s="171">
        <f t="shared" ca="1" si="504"/>
        <v>0</v>
      </c>
      <c r="EL317" s="171">
        <f t="shared" ca="1" si="505"/>
        <v>0</v>
      </c>
      <c r="EM317" s="171">
        <f t="shared" ca="1" si="506"/>
        <v>0</v>
      </c>
      <c r="EN317" s="171">
        <f t="shared" ca="1" si="507"/>
        <v>0</v>
      </c>
      <c r="EO317" s="171">
        <f t="shared" ca="1" si="508"/>
        <v>0</v>
      </c>
      <c r="EP317" s="171">
        <f t="shared" ca="1" si="509"/>
        <v>0</v>
      </c>
      <c r="EQ317" s="171">
        <f t="shared" ca="1" si="510"/>
        <v>0</v>
      </c>
      <c r="ER317" s="171">
        <f t="shared" ca="1" si="511"/>
        <v>0</v>
      </c>
      <c r="ES317" s="171">
        <f t="shared" ca="1" si="512"/>
        <v>0</v>
      </c>
    </row>
    <row r="318" spans="3:149">
      <c r="C318" s="214"/>
      <c r="H318" s="216"/>
      <c r="I318" s="217"/>
      <c r="L318" s="163"/>
      <c r="M318" s="164" t="str">
        <f t="shared" si="443"/>
        <v/>
      </c>
      <c r="N318" s="164" t="str">
        <f t="shared" si="444"/>
        <v/>
      </c>
      <c r="O318" s="165" t="str">
        <f t="shared" si="445"/>
        <v/>
      </c>
      <c r="R318" s="168"/>
      <c r="U318" s="171">
        <f t="shared" si="446"/>
        <v>0</v>
      </c>
      <c r="V318" s="171">
        <f t="shared" ca="1" si="447"/>
        <v>0</v>
      </c>
      <c r="W318" s="171">
        <f t="shared" ca="1" si="448"/>
        <v>0</v>
      </c>
      <c r="X318" s="172">
        <f t="shared" si="449"/>
        <v>0</v>
      </c>
      <c r="Y318" s="172" t="str">
        <f t="shared" si="450"/>
        <v/>
      </c>
      <c r="Z318" s="173">
        <f t="shared" si="451"/>
        <v>0</v>
      </c>
      <c r="AA318" s="171">
        <f t="shared" si="513"/>
        <v>0</v>
      </c>
      <c r="AB318" s="171">
        <f t="shared" si="513"/>
        <v>0</v>
      </c>
      <c r="AC318" s="171">
        <f t="shared" si="513"/>
        <v>0</v>
      </c>
      <c r="AD318" s="171">
        <f t="shared" si="513"/>
        <v>0</v>
      </c>
      <c r="AE318" s="171">
        <f t="shared" si="513"/>
        <v>0</v>
      </c>
      <c r="AF318" s="171">
        <f t="shared" si="513"/>
        <v>0</v>
      </c>
      <c r="AG318" s="171">
        <f t="shared" si="513"/>
        <v>0</v>
      </c>
      <c r="AH318" s="171">
        <f t="shared" si="513"/>
        <v>0</v>
      </c>
      <c r="AI318" s="171">
        <f t="shared" si="513"/>
        <v>0</v>
      </c>
      <c r="AJ318" s="171">
        <f t="shared" si="513"/>
        <v>0</v>
      </c>
      <c r="AK318" s="171">
        <f t="shared" si="514"/>
        <v>0</v>
      </c>
      <c r="AL318" s="171">
        <f t="shared" si="514"/>
        <v>0</v>
      </c>
      <c r="AM318" s="171">
        <f t="shared" si="514"/>
        <v>0</v>
      </c>
      <c r="AN318" s="171">
        <f t="shared" si="514"/>
        <v>0</v>
      </c>
      <c r="AO318" s="171">
        <f t="shared" si="514"/>
        <v>0</v>
      </c>
      <c r="AP318" s="171">
        <f t="shared" si="514"/>
        <v>0</v>
      </c>
      <c r="AQ318" s="171">
        <f t="shared" si="514"/>
        <v>0</v>
      </c>
      <c r="AR318" s="171">
        <f t="shared" si="514"/>
        <v>0</v>
      </c>
      <c r="AS318" s="171">
        <f t="shared" si="514"/>
        <v>0</v>
      </c>
      <c r="AT318" s="171">
        <f t="shared" si="514"/>
        <v>0</v>
      </c>
      <c r="AU318" s="171">
        <f t="shared" si="515"/>
        <v>0</v>
      </c>
      <c r="AV318" s="171">
        <f t="shared" si="515"/>
        <v>0</v>
      </c>
      <c r="AW318" s="171">
        <f t="shared" si="515"/>
        <v>0</v>
      </c>
      <c r="AX318" s="171">
        <f t="shared" si="515"/>
        <v>0</v>
      </c>
      <c r="AY318" s="171">
        <f t="shared" si="515"/>
        <v>0</v>
      </c>
      <c r="AZ318" s="171">
        <f t="shared" si="515"/>
        <v>0</v>
      </c>
      <c r="BA318" s="171">
        <f t="shared" si="515"/>
        <v>0</v>
      </c>
      <c r="BB318" s="171">
        <f t="shared" si="515"/>
        <v>0</v>
      </c>
      <c r="BC318" s="171">
        <f t="shared" si="515"/>
        <v>0</v>
      </c>
      <c r="BD318" s="171">
        <f t="shared" si="515"/>
        <v>0</v>
      </c>
      <c r="BE318" s="171">
        <f t="shared" si="516"/>
        <v>0</v>
      </c>
      <c r="BF318" s="171">
        <f t="shared" si="516"/>
        <v>0</v>
      </c>
      <c r="BG318" s="171">
        <f t="shared" si="516"/>
        <v>0</v>
      </c>
      <c r="BH318" s="171">
        <f t="shared" si="516"/>
        <v>0</v>
      </c>
      <c r="BI318" s="171">
        <f t="shared" si="516"/>
        <v>0</v>
      </c>
      <c r="BJ318" s="171">
        <f t="shared" si="516"/>
        <v>0</v>
      </c>
      <c r="BK318" s="171">
        <f t="shared" si="516"/>
        <v>0</v>
      </c>
      <c r="BL318" s="171">
        <f t="shared" si="516"/>
        <v>0</v>
      </c>
      <c r="BM318" s="171">
        <f t="shared" si="516"/>
        <v>0</v>
      </c>
      <c r="BN318" s="171">
        <f t="shared" si="516"/>
        <v>0</v>
      </c>
      <c r="BO318" s="171">
        <f t="shared" si="517"/>
        <v>0</v>
      </c>
      <c r="BP318" s="171">
        <f t="shared" si="517"/>
        <v>0</v>
      </c>
      <c r="BQ318" s="171">
        <f t="shared" si="517"/>
        <v>0</v>
      </c>
      <c r="BR318" s="171">
        <f t="shared" si="517"/>
        <v>0</v>
      </c>
      <c r="BS318" s="171">
        <f t="shared" si="517"/>
        <v>0</v>
      </c>
      <c r="BT318" s="171">
        <f t="shared" si="517"/>
        <v>0</v>
      </c>
      <c r="BU318" s="171">
        <f t="shared" si="517"/>
        <v>0</v>
      </c>
      <c r="BV318" s="171">
        <f t="shared" si="517"/>
        <v>0</v>
      </c>
      <c r="BW318" s="171">
        <f t="shared" si="517"/>
        <v>0</v>
      </c>
      <c r="BX318" s="171">
        <f t="shared" si="517"/>
        <v>0</v>
      </c>
      <c r="BY318" s="171">
        <f t="shared" si="518"/>
        <v>0</v>
      </c>
      <c r="BZ318" s="171">
        <f t="shared" si="518"/>
        <v>0</v>
      </c>
      <c r="CA318" s="171">
        <f t="shared" si="518"/>
        <v>0</v>
      </c>
      <c r="CB318" s="171">
        <f t="shared" si="518"/>
        <v>0</v>
      </c>
      <c r="CC318" s="171">
        <f t="shared" si="518"/>
        <v>0</v>
      </c>
      <c r="CD318" s="171">
        <f t="shared" si="518"/>
        <v>0</v>
      </c>
      <c r="CE318" s="171">
        <f t="shared" si="518"/>
        <v>0</v>
      </c>
      <c r="CF318" s="171">
        <f t="shared" si="518"/>
        <v>0</v>
      </c>
      <c r="CG318" s="171">
        <f t="shared" si="518"/>
        <v>0</v>
      </c>
      <c r="CH318" s="171">
        <f t="shared" si="518"/>
        <v>0</v>
      </c>
      <c r="CI318" s="171">
        <f t="shared" si="518"/>
        <v>0</v>
      </c>
      <c r="CJ318" s="243"/>
      <c r="CK318" s="171">
        <f t="shared" si="452"/>
        <v>0</v>
      </c>
      <c r="CL318" s="171">
        <f t="shared" si="453"/>
        <v>0</v>
      </c>
      <c r="CM318" s="171">
        <f t="shared" si="454"/>
        <v>0</v>
      </c>
      <c r="CN318" s="171">
        <f t="shared" si="455"/>
        <v>0</v>
      </c>
      <c r="CO318" s="171">
        <f t="shared" si="456"/>
        <v>0</v>
      </c>
      <c r="CP318" s="171">
        <f t="shared" si="457"/>
        <v>0</v>
      </c>
      <c r="CQ318" s="171">
        <f t="shared" si="458"/>
        <v>0</v>
      </c>
      <c r="CR318" s="171">
        <f t="shared" si="459"/>
        <v>0</v>
      </c>
      <c r="CS318" s="171">
        <f t="shared" si="460"/>
        <v>0</v>
      </c>
      <c r="CT318" s="171">
        <f t="shared" si="461"/>
        <v>0</v>
      </c>
      <c r="CU318" s="171">
        <f t="shared" si="462"/>
        <v>0</v>
      </c>
      <c r="CV318" s="171">
        <f t="shared" si="463"/>
        <v>0</v>
      </c>
      <c r="CW318" s="171">
        <f t="shared" si="464"/>
        <v>0</v>
      </c>
      <c r="CX318" s="171">
        <f t="shared" si="465"/>
        <v>0</v>
      </c>
      <c r="CY318" s="171">
        <f t="shared" ca="1" si="466"/>
        <v>0</v>
      </c>
      <c r="CZ318" s="171">
        <f t="shared" ca="1" si="467"/>
        <v>0</v>
      </c>
      <c r="DA318" s="171">
        <f t="shared" ca="1" si="468"/>
        <v>0</v>
      </c>
      <c r="DB318" s="171">
        <f t="shared" ca="1" si="469"/>
        <v>0</v>
      </c>
      <c r="DC318" s="171">
        <f t="shared" ca="1" si="470"/>
        <v>0</v>
      </c>
      <c r="DD318" s="171">
        <f t="shared" ca="1" si="471"/>
        <v>0</v>
      </c>
      <c r="DE318" s="171">
        <f t="shared" ca="1" si="472"/>
        <v>0</v>
      </c>
      <c r="DF318" s="171">
        <f t="shared" ca="1" si="473"/>
        <v>0</v>
      </c>
      <c r="DG318" s="171">
        <f t="shared" ca="1" si="474"/>
        <v>0</v>
      </c>
      <c r="DH318" s="171">
        <f t="shared" ca="1" si="475"/>
        <v>0</v>
      </c>
      <c r="DI318" s="171">
        <f t="shared" ca="1" si="476"/>
        <v>0</v>
      </c>
      <c r="DJ318" s="171">
        <f t="shared" ca="1" si="477"/>
        <v>0</v>
      </c>
      <c r="DK318" s="171">
        <f t="shared" ca="1" si="478"/>
        <v>0</v>
      </c>
      <c r="DL318" s="171">
        <f t="shared" ca="1" si="479"/>
        <v>0</v>
      </c>
      <c r="DM318" s="171">
        <f t="shared" ca="1" si="480"/>
        <v>0</v>
      </c>
      <c r="DN318" s="171">
        <f t="shared" ca="1" si="481"/>
        <v>0</v>
      </c>
      <c r="DO318" s="171">
        <f t="shared" ca="1" si="482"/>
        <v>0</v>
      </c>
      <c r="DP318" s="171">
        <f t="shared" ca="1" si="483"/>
        <v>0</v>
      </c>
      <c r="DQ318" s="171">
        <f t="shared" ca="1" si="484"/>
        <v>0</v>
      </c>
      <c r="DR318" s="171">
        <f t="shared" ca="1" si="485"/>
        <v>0</v>
      </c>
      <c r="DS318" s="171">
        <f t="shared" ca="1" si="486"/>
        <v>0</v>
      </c>
      <c r="DT318" s="171">
        <f t="shared" ca="1" si="487"/>
        <v>0</v>
      </c>
      <c r="DU318" s="171">
        <f t="shared" ca="1" si="488"/>
        <v>0</v>
      </c>
      <c r="DV318" s="171">
        <f t="shared" ca="1" si="489"/>
        <v>0</v>
      </c>
      <c r="DW318" s="171">
        <f t="shared" ca="1" si="490"/>
        <v>0</v>
      </c>
      <c r="DX318" s="171">
        <f t="shared" ca="1" si="491"/>
        <v>0</v>
      </c>
      <c r="DY318" s="171">
        <f t="shared" ca="1" si="492"/>
        <v>0</v>
      </c>
      <c r="DZ318" s="171">
        <f t="shared" ca="1" si="493"/>
        <v>0</v>
      </c>
      <c r="EA318" s="171">
        <f t="shared" ca="1" si="494"/>
        <v>0</v>
      </c>
      <c r="EB318" s="171">
        <f t="shared" ca="1" si="495"/>
        <v>0</v>
      </c>
      <c r="EC318" s="171">
        <f t="shared" ca="1" si="496"/>
        <v>0</v>
      </c>
      <c r="ED318" s="171">
        <f t="shared" ca="1" si="497"/>
        <v>0</v>
      </c>
      <c r="EE318" s="171">
        <f t="shared" ca="1" si="498"/>
        <v>0</v>
      </c>
      <c r="EF318" s="171">
        <f t="shared" ca="1" si="499"/>
        <v>0</v>
      </c>
      <c r="EG318" s="171">
        <f t="shared" ca="1" si="500"/>
        <v>0</v>
      </c>
      <c r="EH318" s="171">
        <f t="shared" ca="1" si="501"/>
        <v>0</v>
      </c>
      <c r="EI318" s="171">
        <f t="shared" ca="1" si="502"/>
        <v>0</v>
      </c>
      <c r="EJ318" s="171">
        <f t="shared" ca="1" si="503"/>
        <v>0</v>
      </c>
      <c r="EK318" s="171">
        <f t="shared" ca="1" si="504"/>
        <v>0</v>
      </c>
      <c r="EL318" s="171">
        <f t="shared" ca="1" si="505"/>
        <v>0</v>
      </c>
      <c r="EM318" s="171">
        <f t="shared" ca="1" si="506"/>
        <v>0</v>
      </c>
      <c r="EN318" s="171">
        <f t="shared" ca="1" si="507"/>
        <v>0</v>
      </c>
      <c r="EO318" s="171">
        <f t="shared" ca="1" si="508"/>
        <v>0</v>
      </c>
      <c r="EP318" s="171">
        <f t="shared" ca="1" si="509"/>
        <v>0</v>
      </c>
      <c r="EQ318" s="171">
        <f t="shared" ca="1" si="510"/>
        <v>0</v>
      </c>
      <c r="ER318" s="171">
        <f t="shared" ca="1" si="511"/>
        <v>0</v>
      </c>
      <c r="ES318" s="171">
        <f t="shared" ca="1" si="512"/>
        <v>0</v>
      </c>
    </row>
    <row r="319" spans="3:149">
      <c r="C319" s="214"/>
      <c r="H319" s="216"/>
      <c r="I319" s="217"/>
      <c r="L319" s="163"/>
      <c r="M319" s="164" t="str">
        <f t="shared" si="443"/>
        <v/>
      </c>
      <c r="N319" s="164" t="str">
        <f t="shared" si="444"/>
        <v/>
      </c>
      <c r="O319" s="165" t="str">
        <f t="shared" si="445"/>
        <v/>
      </c>
      <c r="R319" s="168"/>
      <c r="U319" s="171">
        <f t="shared" si="446"/>
        <v>0</v>
      </c>
      <c r="V319" s="171">
        <f t="shared" ca="1" si="447"/>
        <v>0</v>
      </c>
      <c r="W319" s="171">
        <f t="shared" ca="1" si="448"/>
        <v>0</v>
      </c>
      <c r="X319" s="172">
        <f t="shared" si="449"/>
        <v>0</v>
      </c>
      <c r="Y319" s="172" t="str">
        <f t="shared" si="450"/>
        <v/>
      </c>
      <c r="Z319" s="173">
        <f t="shared" si="451"/>
        <v>0</v>
      </c>
      <c r="AA319" s="171">
        <f t="shared" ref="AA319:AJ328" si="519">IFERROR(
    IF($T319="Equity",
        IF(AND(AA$48&gt;=$E319, AA$48&lt;=($E319+$Q319)),
$K319*$P319*(VLOOKUP($C$39,$C$37:$BL$44,MATCH($E319,$C$37:$BL$37,0),FALSE)/VLOOKUP($L319,$C$37:$BL$44,MATCH($E319,$C$37:$BL$37,0),FALSE))*
IF($B$5="Foreign Currency",VLOOKUP($C$38,$C$37:$BL$44,MATCH(AA$48,$C$37:$BL$37,0),FALSE)/VLOOKUP($C$39,$C$37:$BL$44,MATCH(AA$48,$C$37:$BL$37,0),FALSE),1),
0),
    IF($T319="Lump Sum Principal",
        IF(AND(AA$48&gt;=$E319, AA$48&lt;($E319+$Q319)),
$K319*$P319*(VLOOKUP($C$39,$C$37:$BL$44,MATCH($E319,$C$37:$BL$37,0),FALSE)/VLOOKUP($L319,$C$37:$BL$44,MATCH($E319,$C$37:$BL$37,0),FALSE))*
IF($B$5="Foreign Currency",VLOOKUP($C$38,$C$37:$BL$44,MATCH(AA$48,$C$37:$BL$37,0),FALSE)/VLOOKUP($C$39,$C$37:$BL$44,MATCH(AA$48,$C$37:$BL$37,0),FALSE),1),
        IF(AA$48=($E319+$Q319),
$K319*(1+$P319)*(VLOOKUP($C$39,$C$37:$BL$44,MATCH($E319,$C$37:$BL$37,0),FALSE)/VLOOKUP($L319,$C$37:$BL$44,MATCH($E319,$C$37:$BL$37,0),FALSE))*
IF($B$5="Foreign Currency",VLOOKUP($C$38,$C$37:$BL$44,MATCH(AA$48,$C$37:$BL$37,0),FALSE)/VLOOKUP($C$39,$C$37:$BL$44,MATCH(AA$48,$C$37:$BL$37,0),FALSE),1),
0)),
    IF($T319="Lump Sum Principal and Interest",
        IF(AA$48=($E319+$Q319),
$K319*((1+$P319)^$Q319)*(VLOOKUP($C$39,$C$37:$BL$44,MATCH($E319,$C$37:$BL$37,0),FALSE)/VLOOKUP($L319,$C$37:$BL$44,MATCH($E319,$C$37:$BL$37,0),FALSE))*
IF($B$5="Foreign Currency",VLOOKUP($C$38,$C$37:$BL$44,MATCH(AA$48,$C$37:$BL$37,0),FALSE)/VLOOKUP($C$39,$C$37:$BL$44,MATCH(AA$48,$C$37:$BL$37,0),FALSE),1),
0),
    IF($T319="EPP with Grace Years for Principal",
        IF(AND(AA$48&gt;=$E319, AA$48&lt;($E319+$S319)),
$K319*$P319*(VLOOKUP($C$39,$C$37:$BL$44,MATCH($E319,$C$37:$BL$37,0),FALSE)/VLOOKUP($L319,$C$37:$BL$44,MATCH($E319,$C$37:$BL$37,0),FALSE))*
IF($B$5="Foreign Currency",VLOOKUP($C$38,$C$37:$BL$44,MATCH(AA$48,$C$37:$BL$37,0),FALSE)/VLOOKUP($C$39,$C$37:$BL$44,MATCH(AA$48,$C$37:$BL$37,0),FALSE),1),
        IF(AND(AA$48&gt;=($E319+$S319), AA$48&lt;=($E319+$Q319)),
-PMT($P319,($Q319-$S319+1),($K319*(VLOOKUP($C$39,$C$37:$BL$44,MATCH($E319,$C$37:$BL$37,0),FALSE)/VLOOKUP($L319,$C$37:$BL$44,MATCH($E319,$C$37:$BL$37,0),FALSE))*
IF($B$5="Foreign Currency",VLOOKUP($C$38,$C$37:$BL$44,MATCH(AA$48,$C$37:$BL$37,0),FALSE)/VLOOKUP($C$39,$C$37:$BL$44,MATCH(AA$48,$C$37:$BL$37,0),FALSE),1)),0),
0)),
    IF($T319="Equal Principal Payments (EPP)",
        IF(AND(AA$48&gt;=$E319, AA$48&lt;=($E319+$Q319)),
-PMT($P319,($Q319-$S319+1),($K319*(VLOOKUP($C$39,$C$37:$BL$44,MATCH($E319,$C$37:$BL$37,0),FALSE)/VLOOKUP($L319,$C$37:$BL$44,MATCH($E319,$C$37:$BL$37,0),FALSE))*
IF($B$5="Foreign Currency",VLOOKUP($C$38,$C$37:$BL$44,MATCH(AA$48,$C$37:$BL$37,0),FALSE)/VLOOKUP($C$39,$C$37:$BL$44,MATCH(AA$48,$C$37:$BL$37,0),FALSE),1)),0), 0),
    IF($T319="EPP with Grace Years for Principal and on Interest",
        IF(AND(AA$48&gt;=($E319+$S319), AA$48&lt;=($E319+$Q319)),
-PMT($P319,($Q319-$S319+1),($K319*(VLOOKUP($C$39,$C$37:$BL$44,MATCH($E319,$C$37:$BL$37,0),FALSE)/VLOOKUP($L319,$C$37:$BL$44,MATCH($E319,$C$37:$BL$37,0),FALSE))*
IF($B$5="Foreign Currency",VLOOKUP($C$38,$C$37:$BL$44,MATCH(AA$48,$C$37:$BL$37,0),FALSE)/VLOOKUP($C$39,$C$37:$BL$44,MATCH(AA$48,$C$37:$BL$37,0),FALSE),1))*((1+$P319)^$S319),0), 0),
    0)))))),"")</f>
        <v>0</v>
      </c>
      <c r="AB319" s="171">
        <f t="shared" si="519"/>
        <v>0</v>
      </c>
      <c r="AC319" s="171">
        <f t="shared" si="519"/>
        <v>0</v>
      </c>
      <c r="AD319" s="171">
        <f t="shared" si="519"/>
        <v>0</v>
      </c>
      <c r="AE319" s="171">
        <f t="shared" si="519"/>
        <v>0</v>
      </c>
      <c r="AF319" s="171">
        <f t="shared" si="519"/>
        <v>0</v>
      </c>
      <c r="AG319" s="171">
        <f t="shared" si="519"/>
        <v>0</v>
      </c>
      <c r="AH319" s="171">
        <f t="shared" si="519"/>
        <v>0</v>
      </c>
      <c r="AI319" s="171">
        <f t="shared" si="519"/>
        <v>0</v>
      </c>
      <c r="AJ319" s="171">
        <f t="shared" si="519"/>
        <v>0</v>
      </c>
      <c r="AK319" s="171">
        <f t="shared" ref="AK319:AT328" si="520">IFERROR(
    IF($T319="Equity",
        IF(AND(AK$48&gt;=$E319, AK$48&lt;=($E319+$Q319)),
$K319*$P319*(VLOOKUP($C$39,$C$37:$BL$44,MATCH($E319,$C$37:$BL$37,0),FALSE)/VLOOKUP($L319,$C$37:$BL$44,MATCH($E319,$C$37:$BL$37,0),FALSE))*
IF($B$5="Foreign Currency",VLOOKUP($C$38,$C$37:$BL$44,MATCH(AK$48,$C$37:$BL$37,0),FALSE)/VLOOKUP($C$39,$C$37:$BL$44,MATCH(AK$48,$C$37:$BL$37,0),FALSE),1),
0),
    IF($T319="Lump Sum Principal",
        IF(AND(AK$48&gt;=$E319, AK$48&lt;($E319+$Q319)),
$K319*$P319*(VLOOKUP($C$39,$C$37:$BL$44,MATCH($E319,$C$37:$BL$37,0),FALSE)/VLOOKUP($L319,$C$37:$BL$44,MATCH($E319,$C$37:$BL$37,0),FALSE))*
IF($B$5="Foreign Currency",VLOOKUP($C$38,$C$37:$BL$44,MATCH(AK$48,$C$37:$BL$37,0),FALSE)/VLOOKUP($C$39,$C$37:$BL$44,MATCH(AK$48,$C$37:$BL$37,0),FALSE),1),
        IF(AK$48=($E319+$Q319),
$K319*(1+$P319)*(VLOOKUP($C$39,$C$37:$BL$44,MATCH($E319,$C$37:$BL$37,0),FALSE)/VLOOKUP($L319,$C$37:$BL$44,MATCH($E319,$C$37:$BL$37,0),FALSE))*
IF($B$5="Foreign Currency",VLOOKUP($C$38,$C$37:$BL$44,MATCH(AK$48,$C$37:$BL$37,0),FALSE)/VLOOKUP($C$39,$C$37:$BL$44,MATCH(AK$48,$C$37:$BL$37,0),FALSE),1),
0)),
    IF($T319="Lump Sum Principal and Interest",
        IF(AK$48=($E319+$Q319),
$K319*((1+$P319)^$Q319)*(VLOOKUP($C$39,$C$37:$BL$44,MATCH($E319,$C$37:$BL$37,0),FALSE)/VLOOKUP($L319,$C$37:$BL$44,MATCH($E319,$C$37:$BL$37,0),FALSE))*
IF($B$5="Foreign Currency",VLOOKUP($C$38,$C$37:$BL$44,MATCH(AK$48,$C$37:$BL$37,0),FALSE)/VLOOKUP($C$39,$C$37:$BL$44,MATCH(AK$48,$C$37:$BL$37,0),FALSE),1),
0),
    IF($T319="EPP with Grace Years for Principal",
        IF(AND(AK$48&gt;=$E319, AK$48&lt;($E319+$S319)),
$K319*$P319*(VLOOKUP($C$39,$C$37:$BL$44,MATCH($E319,$C$37:$BL$37,0),FALSE)/VLOOKUP($L319,$C$37:$BL$44,MATCH($E319,$C$37:$BL$37,0),FALSE))*
IF($B$5="Foreign Currency",VLOOKUP($C$38,$C$37:$BL$44,MATCH(AK$48,$C$37:$BL$37,0),FALSE)/VLOOKUP($C$39,$C$37:$BL$44,MATCH(AK$48,$C$37:$BL$37,0),FALSE),1),
        IF(AND(AK$48&gt;=($E319+$S319), AK$48&lt;=($E319+$Q319)),
-PMT($P319,($Q319-$S319+1),($K319*(VLOOKUP($C$39,$C$37:$BL$44,MATCH($E319,$C$37:$BL$37,0),FALSE)/VLOOKUP($L319,$C$37:$BL$44,MATCH($E319,$C$37:$BL$37,0),FALSE))*
IF($B$5="Foreign Currency",VLOOKUP($C$38,$C$37:$BL$44,MATCH(AK$48,$C$37:$BL$37,0),FALSE)/VLOOKUP($C$39,$C$37:$BL$44,MATCH(AK$48,$C$37:$BL$37,0),FALSE),1)),0),
0)),
    IF($T319="Equal Principal Payments (EPP)",
        IF(AND(AK$48&gt;=$E319, AK$48&lt;=($E319+$Q319)),
-PMT($P319,($Q319-$S319+1),($K319*(VLOOKUP($C$39,$C$37:$BL$44,MATCH($E319,$C$37:$BL$37,0),FALSE)/VLOOKUP($L319,$C$37:$BL$44,MATCH($E319,$C$37:$BL$37,0),FALSE))*
IF($B$5="Foreign Currency",VLOOKUP($C$38,$C$37:$BL$44,MATCH(AK$48,$C$37:$BL$37,0),FALSE)/VLOOKUP($C$39,$C$37:$BL$44,MATCH(AK$48,$C$37:$BL$37,0),FALSE),1)),0), 0),
    IF($T319="EPP with Grace Years for Principal and on Interest",
        IF(AND(AK$48&gt;=($E319+$S319), AK$48&lt;=($E319+$Q319)),
-PMT($P319,($Q319-$S319+1),($K319*(VLOOKUP($C$39,$C$37:$BL$44,MATCH($E319,$C$37:$BL$37,0),FALSE)/VLOOKUP($L319,$C$37:$BL$44,MATCH($E319,$C$37:$BL$37,0),FALSE))*
IF($B$5="Foreign Currency",VLOOKUP($C$38,$C$37:$BL$44,MATCH(AK$48,$C$37:$BL$37,0),FALSE)/VLOOKUP($C$39,$C$37:$BL$44,MATCH(AK$48,$C$37:$BL$37,0),FALSE),1))*((1+$P319)^$S319),0), 0),
    0)))))),"")</f>
        <v>0</v>
      </c>
      <c r="AL319" s="171">
        <f t="shared" si="520"/>
        <v>0</v>
      </c>
      <c r="AM319" s="171">
        <f t="shared" si="520"/>
        <v>0</v>
      </c>
      <c r="AN319" s="171">
        <f t="shared" si="520"/>
        <v>0</v>
      </c>
      <c r="AO319" s="171">
        <f t="shared" si="520"/>
        <v>0</v>
      </c>
      <c r="AP319" s="171">
        <f t="shared" si="520"/>
        <v>0</v>
      </c>
      <c r="AQ319" s="171">
        <f t="shared" si="520"/>
        <v>0</v>
      </c>
      <c r="AR319" s="171">
        <f t="shared" si="520"/>
        <v>0</v>
      </c>
      <c r="AS319" s="171">
        <f t="shared" si="520"/>
        <v>0</v>
      </c>
      <c r="AT319" s="171">
        <f t="shared" si="520"/>
        <v>0</v>
      </c>
      <c r="AU319" s="171">
        <f t="shared" ref="AU319:BD328" si="521">IFERROR(
    IF($T319="Equity",
        IF(AND(AU$48&gt;=$E319, AU$48&lt;=($E319+$Q319)),
$K319*$P319*(VLOOKUP($C$39,$C$37:$BL$44,MATCH($E319,$C$37:$BL$37,0),FALSE)/VLOOKUP($L319,$C$37:$BL$44,MATCH($E319,$C$37:$BL$37,0),FALSE))*
IF($B$5="Foreign Currency",VLOOKUP($C$38,$C$37:$BL$44,MATCH(AU$48,$C$37:$BL$37,0),FALSE)/VLOOKUP($C$39,$C$37:$BL$44,MATCH(AU$48,$C$37:$BL$37,0),FALSE),1),
0),
    IF($T319="Lump Sum Principal",
        IF(AND(AU$48&gt;=$E319, AU$48&lt;($E319+$Q319)),
$K319*$P319*(VLOOKUP($C$39,$C$37:$BL$44,MATCH($E319,$C$37:$BL$37,0),FALSE)/VLOOKUP($L319,$C$37:$BL$44,MATCH($E319,$C$37:$BL$37,0),FALSE))*
IF($B$5="Foreign Currency",VLOOKUP($C$38,$C$37:$BL$44,MATCH(AU$48,$C$37:$BL$37,0),FALSE)/VLOOKUP($C$39,$C$37:$BL$44,MATCH(AU$48,$C$37:$BL$37,0),FALSE),1),
        IF(AU$48=($E319+$Q319),
$K319*(1+$P319)*(VLOOKUP($C$39,$C$37:$BL$44,MATCH($E319,$C$37:$BL$37,0),FALSE)/VLOOKUP($L319,$C$37:$BL$44,MATCH($E319,$C$37:$BL$37,0),FALSE))*
IF($B$5="Foreign Currency",VLOOKUP($C$38,$C$37:$BL$44,MATCH(AU$48,$C$37:$BL$37,0),FALSE)/VLOOKUP($C$39,$C$37:$BL$44,MATCH(AU$48,$C$37:$BL$37,0),FALSE),1),
0)),
    IF($T319="Lump Sum Principal and Interest",
        IF(AU$48=($E319+$Q319),
$K319*((1+$P319)^$Q319)*(VLOOKUP($C$39,$C$37:$BL$44,MATCH($E319,$C$37:$BL$37,0),FALSE)/VLOOKUP($L319,$C$37:$BL$44,MATCH($E319,$C$37:$BL$37,0),FALSE))*
IF($B$5="Foreign Currency",VLOOKUP($C$38,$C$37:$BL$44,MATCH(AU$48,$C$37:$BL$37,0),FALSE)/VLOOKUP($C$39,$C$37:$BL$44,MATCH(AU$48,$C$37:$BL$37,0),FALSE),1),
0),
    IF($T319="EPP with Grace Years for Principal",
        IF(AND(AU$48&gt;=$E319, AU$48&lt;($E319+$S319)),
$K319*$P319*(VLOOKUP($C$39,$C$37:$BL$44,MATCH($E319,$C$37:$BL$37,0),FALSE)/VLOOKUP($L319,$C$37:$BL$44,MATCH($E319,$C$37:$BL$37,0),FALSE))*
IF($B$5="Foreign Currency",VLOOKUP($C$38,$C$37:$BL$44,MATCH(AU$48,$C$37:$BL$37,0),FALSE)/VLOOKUP($C$39,$C$37:$BL$44,MATCH(AU$48,$C$37:$BL$37,0),FALSE),1),
        IF(AND(AU$48&gt;=($E319+$S319), AU$48&lt;=($E319+$Q319)),
-PMT($P319,($Q319-$S319+1),($K319*(VLOOKUP($C$39,$C$37:$BL$44,MATCH($E319,$C$37:$BL$37,0),FALSE)/VLOOKUP($L319,$C$37:$BL$44,MATCH($E319,$C$37:$BL$37,0),FALSE))*
IF($B$5="Foreign Currency",VLOOKUP($C$38,$C$37:$BL$44,MATCH(AU$48,$C$37:$BL$37,0),FALSE)/VLOOKUP($C$39,$C$37:$BL$44,MATCH(AU$48,$C$37:$BL$37,0),FALSE),1)),0),
0)),
    IF($T319="Equal Principal Payments (EPP)",
        IF(AND(AU$48&gt;=$E319, AU$48&lt;=($E319+$Q319)),
-PMT($P319,($Q319-$S319+1),($K319*(VLOOKUP($C$39,$C$37:$BL$44,MATCH($E319,$C$37:$BL$37,0),FALSE)/VLOOKUP($L319,$C$37:$BL$44,MATCH($E319,$C$37:$BL$37,0),FALSE))*
IF($B$5="Foreign Currency",VLOOKUP($C$38,$C$37:$BL$44,MATCH(AU$48,$C$37:$BL$37,0),FALSE)/VLOOKUP($C$39,$C$37:$BL$44,MATCH(AU$48,$C$37:$BL$37,0),FALSE),1)),0), 0),
    IF($T319="EPP with Grace Years for Principal and on Interest",
        IF(AND(AU$48&gt;=($E319+$S319), AU$48&lt;=($E319+$Q319)),
-PMT($P319,($Q319-$S319+1),($K319*(VLOOKUP($C$39,$C$37:$BL$44,MATCH($E319,$C$37:$BL$37,0),FALSE)/VLOOKUP($L319,$C$37:$BL$44,MATCH($E319,$C$37:$BL$37,0),FALSE))*
IF($B$5="Foreign Currency",VLOOKUP($C$38,$C$37:$BL$44,MATCH(AU$48,$C$37:$BL$37,0),FALSE)/VLOOKUP($C$39,$C$37:$BL$44,MATCH(AU$48,$C$37:$BL$37,0),FALSE),1))*((1+$P319)^$S319),0), 0),
    0)))))),"")</f>
        <v>0</v>
      </c>
      <c r="AV319" s="171">
        <f t="shared" si="521"/>
        <v>0</v>
      </c>
      <c r="AW319" s="171">
        <f t="shared" si="521"/>
        <v>0</v>
      </c>
      <c r="AX319" s="171">
        <f t="shared" si="521"/>
        <v>0</v>
      </c>
      <c r="AY319" s="171">
        <f t="shared" si="521"/>
        <v>0</v>
      </c>
      <c r="AZ319" s="171">
        <f t="shared" si="521"/>
        <v>0</v>
      </c>
      <c r="BA319" s="171">
        <f t="shared" si="521"/>
        <v>0</v>
      </c>
      <c r="BB319" s="171">
        <f t="shared" si="521"/>
        <v>0</v>
      </c>
      <c r="BC319" s="171">
        <f t="shared" si="521"/>
        <v>0</v>
      </c>
      <c r="BD319" s="171">
        <f t="shared" si="521"/>
        <v>0</v>
      </c>
      <c r="BE319" s="171">
        <f t="shared" ref="BE319:BN328" si="522">IFERROR(
    IF($T319="Equity",
        IF(AND(BE$48&gt;=$E319, BE$48&lt;=($E319+$Q319)),
$K319*$P319*(VLOOKUP($C$39,$C$37:$BL$44,MATCH($E319,$C$37:$BL$37,0),FALSE)/VLOOKUP($L319,$C$37:$BL$44,MATCH($E319,$C$37:$BL$37,0),FALSE))*
IF($B$5="Foreign Currency",VLOOKUP($C$38,$C$37:$BL$44,MATCH(BE$48,$C$37:$BL$37,0),FALSE)/VLOOKUP($C$39,$C$37:$BL$44,MATCH(BE$48,$C$37:$BL$37,0),FALSE),1),
0),
    IF($T319="Lump Sum Principal",
        IF(AND(BE$48&gt;=$E319, BE$48&lt;($E319+$Q319)),
$K319*$P319*(VLOOKUP($C$39,$C$37:$BL$44,MATCH($E319,$C$37:$BL$37,0),FALSE)/VLOOKUP($L319,$C$37:$BL$44,MATCH($E319,$C$37:$BL$37,0),FALSE))*
IF($B$5="Foreign Currency",VLOOKUP($C$38,$C$37:$BL$44,MATCH(BE$48,$C$37:$BL$37,0),FALSE)/VLOOKUP($C$39,$C$37:$BL$44,MATCH(BE$48,$C$37:$BL$37,0),FALSE),1),
        IF(BE$48=($E319+$Q319),
$K319*(1+$P319)*(VLOOKUP($C$39,$C$37:$BL$44,MATCH($E319,$C$37:$BL$37,0),FALSE)/VLOOKUP($L319,$C$37:$BL$44,MATCH($E319,$C$37:$BL$37,0),FALSE))*
IF($B$5="Foreign Currency",VLOOKUP($C$38,$C$37:$BL$44,MATCH(BE$48,$C$37:$BL$37,0),FALSE)/VLOOKUP($C$39,$C$37:$BL$44,MATCH(BE$48,$C$37:$BL$37,0),FALSE),1),
0)),
    IF($T319="Lump Sum Principal and Interest",
        IF(BE$48=($E319+$Q319),
$K319*((1+$P319)^$Q319)*(VLOOKUP($C$39,$C$37:$BL$44,MATCH($E319,$C$37:$BL$37,0),FALSE)/VLOOKUP($L319,$C$37:$BL$44,MATCH($E319,$C$37:$BL$37,0),FALSE))*
IF($B$5="Foreign Currency",VLOOKUP($C$38,$C$37:$BL$44,MATCH(BE$48,$C$37:$BL$37,0),FALSE)/VLOOKUP($C$39,$C$37:$BL$44,MATCH(BE$48,$C$37:$BL$37,0),FALSE),1),
0),
    IF($T319="EPP with Grace Years for Principal",
        IF(AND(BE$48&gt;=$E319, BE$48&lt;($E319+$S319)),
$K319*$P319*(VLOOKUP($C$39,$C$37:$BL$44,MATCH($E319,$C$37:$BL$37,0),FALSE)/VLOOKUP($L319,$C$37:$BL$44,MATCH($E319,$C$37:$BL$37,0),FALSE))*
IF($B$5="Foreign Currency",VLOOKUP($C$38,$C$37:$BL$44,MATCH(BE$48,$C$37:$BL$37,0),FALSE)/VLOOKUP($C$39,$C$37:$BL$44,MATCH(BE$48,$C$37:$BL$37,0),FALSE),1),
        IF(AND(BE$48&gt;=($E319+$S319), BE$48&lt;=($E319+$Q319)),
-PMT($P319,($Q319-$S319+1),($K319*(VLOOKUP($C$39,$C$37:$BL$44,MATCH($E319,$C$37:$BL$37,0),FALSE)/VLOOKUP($L319,$C$37:$BL$44,MATCH($E319,$C$37:$BL$37,0),FALSE))*
IF($B$5="Foreign Currency",VLOOKUP($C$38,$C$37:$BL$44,MATCH(BE$48,$C$37:$BL$37,0),FALSE)/VLOOKUP($C$39,$C$37:$BL$44,MATCH(BE$48,$C$37:$BL$37,0),FALSE),1)),0),
0)),
    IF($T319="Equal Principal Payments (EPP)",
        IF(AND(BE$48&gt;=$E319, BE$48&lt;=($E319+$Q319)),
-PMT($P319,($Q319-$S319+1),($K319*(VLOOKUP($C$39,$C$37:$BL$44,MATCH($E319,$C$37:$BL$37,0),FALSE)/VLOOKUP($L319,$C$37:$BL$44,MATCH($E319,$C$37:$BL$37,0),FALSE))*
IF($B$5="Foreign Currency",VLOOKUP($C$38,$C$37:$BL$44,MATCH(BE$48,$C$37:$BL$37,0),FALSE)/VLOOKUP($C$39,$C$37:$BL$44,MATCH(BE$48,$C$37:$BL$37,0),FALSE),1)),0), 0),
    IF($T319="EPP with Grace Years for Principal and on Interest",
        IF(AND(BE$48&gt;=($E319+$S319), BE$48&lt;=($E319+$Q319)),
-PMT($P319,($Q319-$S319+1),($K319*(VLOOKUP($C$39,$C$37:$BL$44,MATCH($E319,$C$37:$BL$37,0),FALSE)/VLOOKUP($L319,$C$37:$BL$44,MATCH($E319,$C$37:$BL$37,0),FALSE))*
IF($B$5="Foreign Currency",VLOOKUP($C$38,$C$37:$BL$44,MATCH(BE$48,$C$37:$BL$37,0),FALSE)/VLOOKUP($C$39,$C$37:$BL$44,MATCH(BE$48,$C$37:$BL$37,0),FALSE),1))*((1+$P319)^$S319),0), 0),
    0)))))),"")</f>
        <v>0</v>
      </c>
      <c r="BF319" s="171">
        <f t="shared" si="522"/>
        <v>0</v>
      </c>
      <c r="BG319" s="171">
        <f t="shared" si="522"/>
        <v>0</v>
      </c>
      <c r="BH319" s="171">
        <f t="shared" si="522"/>
        <v>0</v>
      </c>
      <c r="BI319" s="171">
        <f t="shared" si="522"/>
        <v>0</v>
      </c>
      <c r="BJ319" s="171">
        <f t="shared" si="522"/>
        <v>0</v>
      </c>
      <c r="BK319" s="171">
        <f t="shared" si="522"/>
        <v>0</v>
      </c>
      <c r="BL319" s="171">
        <f t="shared" si="522"/>
        <v>0</v>
      </c>
      <c r="BM319" s="171">
        <f t="shared" si="522"/>
        <v>0</v>
      </c>
      <c r="BN319" s="171">
        <f t="shared" si="522"/>
        <v>0</v>
      </c>
      <c r="BO319" s="171">
        <f t="shared" ref="BO319:BX328" si="523">IFERROR(
    IF($T319="Equity",
        IF(AND(BO$48&gt;=$E319, BO$48&lt;=($E319+$Q319)),
$K319*$P319*(VLOOKUP($C$39,$C$37:$BL$44,MATCH($E319,$C$37:$BL$37,0),FALSE)/VLOOKUP($L319,$C$37:$BL$44,MATCH($E319,$C$37:$BL$37,0),FALSE))*
IF($B$5="Foreign Currency",VLOOKUP($C$38,$C$37:$BL$44,MATCH(BO$48,$C$37:$BL$37,0),FALSE)/VLOOKUP($C$39,$C$37:$BL$44,MATCH(BO$48,$C$37:$BL$37,0),FALSE),1),
0),
    IF($T319="Lump Sum Principal",
        IF(AND(BO$48&gt;=$E319, BO$48&lt;($E319+$Q319)),
$K319*$P319*(VLOOKUP($C$39,$C$37:$BL$44,MATCH($E319,$C$37:$BL$37,0),FALSE)/VLOOKUP($L319,$C$37:$BL$44,MATCH($E319,$C$37:$BL$37,0),FALSE))*
IF($B$5="Foreign Currency",VLOOKUP($C$38,$C$37:$BL$44,MATCH(BO$48,$C$37:$BL$37,0),FALSE)/VLOOKUP($C$39,$C$37:$BL$44,MATCH(BO$48,$C$37:$BL$37,0),FALSE),1),
        IF(BO$48=($E319+$Q319),
$K319*(1+$P319)*(VLOOKUP($C$39,$C$37:$BL$44,MATCH($E319,$C$37:$BL$37,0),FALSE)/VLOOKUP($L319,$C$37:$BL$44,MATCH($E319,$C$37:$BL$37,0),FALSE))*
IF($B$5="Foreign Currency",VLOOKUP($C$38,$C$37:$BL$44,MATCH(BO$48,$C$37:$BL$37,0),FALSE)/VLOOKUP($C$39,$C$37:$BL$44,MATCH(BO$48,$C$37:$BL$37,0),FALSE),1),
0)),
    IF($T319="Lump Sum Principal and Interest",
        IF(BO$48=($E319+$Q319),
$K319*((1+$P319)^$Q319)*(VLOOKUP($C$39,$C$37:$BL$44,MATCH($E319,$C$37:$BL$37,0),FALSE)/VLOOKUP($L319,$C$37:$BL$44,MATCH($E319,$C$37:$BL$37,0),FALSE))*
IF($B$5="Foreign Currency",VLOOKUP($C$38,$C$37:$BL$44,MATCH(BO$48,$C$37:$BL$37,0),FALSE)/VLOOKUP($C$39,$C$37:$BL$44,MATCH(BO$48,$C$37:$BL$37,0),FALSE),1),
0),
    IF($T319="EPP with Grace Years for Principal",
        IF(AND(BO$48&gt;=$E319, BO$48&lt;($E319+$S319)),
$K319*$P319*(VLOOKUP($C$39,$C$37:$BL$44,MATCH($E319,$C$37:$BL$37,0),FALSE)/VLOOKUP($L319,$C$37:$BL$44,MATCH($E319,$C$37:$BL$37,0),FALSE))*
IF($B$5="Foreign Currency",VLOOKUP($C$38,$C$37:$BL$44,MATCH(BO$48,$C$37:$BL$37,0),FALSE)/VLOOKUP($C$39,$C$37:$BL$44,MATCH(BO$48,$C$37:$BL$37,0),FALSE),1),
        IF(AND(BO$48&gt;=($E319+$S319), BO$48&lt;=($E319+$Q319)),
-PMT($P319,($Q319-$S319+1),($K319*(VLOOKUP($C$39,$C$37:$BL$44,MATCH($E319,$C$37:$BL$37,0),FALSE)/VLOOKUP($L319,$C$37:$BL$44,MATCH($E319,$C$37:$BL$37,0),FALSE))*
IF($B$5="Foreign Currency",VLOOKUP($C$38,$C$37:$BL$44,MATCH(BO$48,$C$37:$BL$37,0),FALSE)/VLOOKUP($C$39,$C$37:$BL$44,MATCH(BO$48,$C$37:$BL$37,0),FALSE),1)),0),
0)),
    IF($T319="Equal Principal Payments (EPP)",
        IF(AND(BO$48&gt;=$E319, BO$48&lt;=($E319+$Q319)),
-PMT($P319,($Q319-$S319+1),($K319*(VLOOKUP($C$39,$C$37:$BL$44,MATCH($E319,$C$37:$BL$37,0),FALSE)/VLOOKUP($L319,$C$37:$BL$44,MATCH($E319,$C$37:$BL$37,0),FALSE))*
IF($B$5="Foreign Currency",VLOOKUP($C$38,$C$37:$BL$44,MATCH(BO$48,$C$37:$BL$37,0),FALSE)/VLOOKUP($C$39,$C$37:$BL$44,MATCH(BO$48,$C$37:$BL$37,0),FALSE),1)),0), 0),
    IF($T319="EPP with Grace Years for Principal and on Interest",
        IF(AND(BO$48&gt;=($E319+$S319), BO$48&lt;=($E319+$Q319)),
-PMT($P319,($Q319-$S319+1),($K319*(VLOOKUP($C$39,$C$37:$BL$44,MATCH($E319,$C$37:$BL$37,0),FALSE)/VLOOKUP($L319,$C$37:$BL$44,MATCH($E319,$C$37:$BL$37,0),FALSE))*
IF($B$5="Foreign Currency",VLOOKUP($C$38,$C$37:$BL$44,MATCH(BO$48,$C$37:$BL$37,0),FALSE)/VLOOKUP($C$39,$C$37:$BL$44,MATCH(BO$48,$C$37:$BL$37,0),FALSE),1))*((1+$P319)^$S319),0), 0),
    0)))))),"")</f>
        <v>0</v>
      </c>
      <c r="BP319" s="171">
        <f t="shared" si="523"/>
        <v>0</v>
      </c>
      <c r="BQ319" s="171">
        <f t="shared" si="523"/>
        <v>0</v>
      </c>
      <c r="BR319" s="171">
        <f t="shared" si="523"/>
        <v>0</v>
      </c>
      <c r="BS319" s="171">
        <f t="shared" si="523"/>
        <v>0</v>
      </c>
      <c r="BT319" s="171">
        <f t="shared" si="523"/>
        <v>0</v>
      </c>
      <c r="BU319" s="171">
        <f t="shared" si="523"/>
        <v>0</v>
      </c>
      <c r="BV319" s="171">
        <f t="shared" si="523"/>
        <v>0</v>
      </c>
      <c r="BW319" s="171">
        <f t="shared" si="523"/>
        <v>0</v>
      </c>
      <c r="BX319" s="171">
        <f t="shared" si="523"/>
        <v>0</v>
      </c>
      <c r="BY319" s="171">
        <f t="shared" ref="BY319:CI328" si="524">IFERROR(
    IF($T319="Equity",
        IF(AND(BY$48&gt;=$E319, BY$48&lt;=($E319+$Q319)),
$K319*$P319*(VLOOKUP($C$39,$C$37:$BL$44,MATCH($E319,$C$37:$BL$37,0),FALSE)/VLOOKUP($L319,$C$37:$BL$44,MATCH($E319,$C$37:$BL$37,0),FALSE))*
IF($B$5="Foreign Currency",VLOOKUP($C$38,$C$37:$BL$44,MATCH(BY$48,$C$37:$BL$37,0),FALSE)/VLOOKUP($C$39,$C$37:$BL$44,MATCH(BY$48,$C$37:$BL$37,0),FALSE),1),
0),
    IF($T319="Lump Sum Principal",
        IF(AND(BY$48&gt;=$E319, BY$48&lt;($E319+$Q319)),
$K319*$P319*(VLOOKUP($C$39,$C$37:$BL$44,MATCH($E319,$C$37:$BL$37,0),FALSE)/VLOOKUP($L319,$C$37:$BL$44,MATCH($E319,$C$37:$BL$37,0),FALSE))*
IF($B$5="Foreign Currency",VLOOKUP($C$38,$C$37:$BL$44,MATCH(BY$48,$C$37:$BL$37,0),FALSE)/VLOOKUP($C$39,$C$37:$BL$44,MATCH(BY$48,$C$37:$BL$37,0),FALSE),1),
        IF(BY$48=($E319+$Q319),
$K319*(1+$P319)*(VLOOKUP($C$39,$C$37:$BL$44,MATCH($E319,$C$37:$BL$37,0),FALSE)/VLOOKUP($L319,$C$37:$BL$44,MATCH($E319,$C$37:$BL$37,0),FALSE))*
IF($B$5="Foreign Currency",VLOOKUP($C$38,$C$37:$BL$44,MATCH(BY$48,$C$37:$BL$37,0),FALSE)/VLOOKUP($C$39,$C$37:$BL$44,MATCH(BY$48,$C$37:$BL$37,0),FALSE),1),
0)),
    IF($T319="Lump Sum Principal and Interest",
        IF(BY$48=($E319+$Q319),
$K319*((1+$P319)^$Q319)*(VLOOKUP($C$39,$C$37:$BL$44,MATCH($E319,$C$37:$BL$37,0),FALSE)/VLOOKUP($L319,$C$37:$BL$44,MATCH($E319,$C$37:$BL$37,0),FALSE))*
IF($B$5="Foreign Currency",VLOOKUP($C$38,$C$37:$BL$44,MATCH(BY$48,$C$37:$BL$37,0),FALSE)/VLOOKUP($C$39,$C$37:$BL$44,MATCH(BY$48,$C$37:$BL$37,0),FALSE),1),
0),
    IF($T319="EPP with Grace Years for Principal",
        IF(AND(BY$48&gt;=$E319, BY$48&lt;($E319+$S319)),
$K319*$P319*(VLOOKUP($C$39,$C$37:$BL$44,MATCH($E319,$C$37:$BL$37,0),FALSE)/VLOOKUP($L319,$C$37:$BL$44,MATCH($E319,$C$37:$BL$37,0),FALSE))*
IF($B$5="Foreign Currency",VLOOKUP($C$38,$C$37:$BL$44,MATCH(BY$48,$C$37:$BL$37,0),FALSE)/VLOOKUP($C$39,$C$37:$BL$44,MATCH(BY$48,$C$37:$BL$37,0),FALSE),1),
        IF(AND(BY$48&gt;=($E319+$S319), BY$48&lt;=($E319+$Q319)),
-PMT($P319,($Q319-$S319+1),($K319*(VLOOKUP($C$39,$C$37:$BL$44,MATCH($E319,$C$37:$BL$37,0),FALSE)/VLOOKUP($L319,$C$37:$BL$44,MATCH($E319,$C$37:$BL$37,0),FALSE))*
IF($B$5="Foreign Currency",VLOOKUP($C$38,$C$37:$BL$44,MATCH(BY$48,$C$37:$BL$37,0),FALSE)/VLOOKUP($C$39,$C$37:$BL$44,MATCH(BY$48,$C$37:$BL$37,0),FALSE),1)),0),
0)),
    IF($T319="Equal Principal Payments (EPP)",
        IF(AND(BY$48&gt;=$E319, BY$48&lt;=($E319+$Q319)),
-PMT($P319,($Q319-$S319+1),($K319*(VLOOKUP($C$39,$C$37:$BL$44,MATCH($E319,$C$37:$BL$37,0),FALSE)/VLOOKUP($L319,$C$37:$BL$44,MATCH($E319,$C$37:$BL$37,0),FALSE))*
IF($B$5="Foreign Currency",VLOOKUP($C$38,$C$37:$BL$44,MATCH(BY$48,$C$37:$BL$37,0),FALSE)/VLOOKUP($C$39,$C$37:$BL$44,MATCH(BY$48,$C$37:$BL$37,0),FALSE),1)),0), 0),
    IF($T319="EPP with Grace Years for Principal and on Interest",
        IF(AND(BY$48&gt;=($E319+$S319), BY$48&lt;=($E319+$Q319)),
-PMT($P319,($Q319-$S319+1),($K319*(VLOOKUP($C$39,$C$37:$BL$44,MATCH($E319,$C$37:$BL$37,0),FALSE)/VLOOKUP($L319,$C$37:$BL$44,MATCH($E319,$C$37:$BL$37,0),FALSE))*
IF($B$5="Foreign Currency",VLOOKUP($C$38,$C$37:$BL$44,MATCH(BY$48,$C$37:$BL$37,0),FALSE)/VLOOKUP($C$39,$C$37:$BL$44,MATCH(BY$48,$C$37:$BL$37,0),FALSE),1))*((1+$P319)^$S319),0), 0),
    0)))))),"")</f>
        <v>0</v>
      </c>
      <c r="BZ319" s="171">
        <f t="shared" si="524"/>
        <v>0</v>
      </c>
      <c r="CA319" s="171">
        <f t="shared" si="524"/>
        <v>0</v>
      </c>
      <c r="CB319" s="171">
        <f t="shared" si="524"/>
        <v>0</v>
      </c>
      <c r="CC319" s="171">
        <f t="shared" si="524"/>
        <v>0</v>
      </c>
      <c r="CD319" s="171">
        <f t="shared" si="524"/>
        <v>0</v>
      </c>
      <c r="CE319" s="171">
        <f t="shared" si="524"/>
        <v>0</v>
      </c>
      <c r="CF319" s="171">
        <f t="shared" si="524"/>
        <v>0</v>
      </c>
      <c r="CG319" s="171">
        <f t="shared" si="524"/>
        <v>0</v>
      </c>
      <c r="CH319" s="171">
        <f t="shared" si="524"/>
        <v>0</v>
      </c>
      <c r="CI319" s="171">
        <f t="shared" si="524"/>
        <v>0</v>
      </c>
      <c r="CJ319" s="243"/>
      <c r="CK319" s="171">
        <f t="shared" si="452"/>
        <v>0</v>
      </c>
      <c r="CL319" s="171">
        <f t="shared" si="453"/>
        <v>0</v>
      </c>
      <c r="CM319" s="171">
        <f t="shared" si="454"/>
        <v>0</v>
      </c>
      <c r="CN319" s="171">
        <f t="shared" si="455"/>
        <v>0</v>
      </c>
      <c r="CO319" s="171">
        <f t="shared" si="456"/>
        <v>0</v>
      </c>
      <c r="CP319" s="171">
        <f t="shared" si="457"/>
        <v>0</v>
      </c>
      <c r="CQ319" s="171">
        <f t="shared" si="458"/>
        <v>0</v>
      </c>
      <c r="CR319" s="171">
        <f t="shared" si="459"/>
        <v>0</v>
      </c>
      <c r="CS319" s="171">
        <f t="shared" si="460"/>
        <v>0</v>
      </c>
      <c r="CT319" s="171">
        <f t="shared" si="461"/>
        <v>0</v>
      </c>
      <c r="CU319" s="171">
        <f t="shared" si="462"/>
        <v>0</v>
      </c>
      <c r="CV319" s="171">
        <f t="shared" si="463"/>
        <v>0</v>
      </c>
      <c r="CW319" s="171">
        <f t="shared" si="464"/>
        <v>0</v>
      </c>
      <c r="CX319" s="171">
        <f t="shared" si="465"/>
        <v>0</v>
      </c>
      <c r="CY319" s="171">
        <f t="shared" ca="1" si="466"/>
        <v>0</v>
      </c>
      <c r="CZ319" s="171">
        <f t="shared" ca="1" si="467"/>
        <v>0</v>
      </c>
      <c r="DA319" s="171">
        <f t="shared" ca="1" si="468"/>
        <v>0</v>
      </c>
      <c r="DB319" s="171">
        <f t="shared" ca="1" si="469"/>
        <v>0</v>
      </c>
      <c r="DC319" s="171">
        <f t="shared" ca="1" si="470"/>
        <v>0</v>
      </c>
      <c r="DD319" s="171">
        <f t="shared" ca="1" si="471"/>
        <v>0</v>
      </c>
      <c r="DE319" s="171">
        <f t="shared" ca="1" si="472"/>
        <v>0</v>
      </c>
      <c r="DF319" s="171">
        <f t="shared" ca="1" si="473"/>
        <v>0</v>
      </c>
      <c r="DG319" s="171">
        <f t="shared" ca="1" si="474"/>
        <v>0</v>
      </c>
      <c r="DH319" s="171">
        <f t="shared" ca="1" si="475"/>
        <v>0</v>
      </c>
      <c r="DI319" s="171">
        <f t="shared" ca="1" si="476"/>
        <v>0</v>
      </c>
      <c r="DJ319" s="171">
        <f t="shared" ca="1" si="477"/>
        <v>0</v>
      </c>
      <c r="DK319" s="171">
        <f t="shared" ca="1" si="478"/>
        <v>0</v>
      </c>
      <c r="DL319" s="171">
        <f t="shared" ca="1" si="479"/>
        <v>0</v>
      </c>
      <c r="DM319" s="171">
        <f t="shared" ca="1" si="480"/>
        <v>0</v>
      </c>
      <c r="DN319" s="171">
        <f t="shared" ca="1" si="481"/>
        <v>0</v>
      </c>
      <c r="DO319" s="171">
        <f t="shared" ca="1" si="482"/>
        <v>0</v>
      </c>
      <c r="DP319" s="171">
        <f t="shared" ca="1" si="483"/>
        <v>0</v>
      </c>
      <c r="DQ319" s="171">
        <f t="shared" ca="1" si="484"/>
        <v>0</v>
      </c>
      <c r="DR319" s="171">
        <f t="shared" ca="1" si="485"/>
        <v>0</v>
      </c>
      <c r="DS319" s="171">
        <f t="shared" ca="1" si="486"/>
        <v>0</v>
      </c>
      <c r="DT319" s="171">
        <f t="shared" ca="1" si="487"/>
        <v>0</v>
      </c>
      <c r="DU319" s="171">
        <f t="shared" ca="1" si="488"/>
        <v>0</v>
      </c>
      <c r="DV319" s="171">
        <f t="shared" ca="1" si="489"/>
        <v>0</v>
      </c>
      <c r="DW319" s="171">
        <f t="shared" ca="1" si="490"/>
        <v>0</v>
      </c>
      <c r="DX319" s="171">
        <f t="shared" ca="1" si="491"/>
        <v>0</v>
      </c>
      <c r="DY319" s="171">
        <f t="shared" ca="1" si="492"/>
        <v>0</v>
      </c>
      <c r="DZ319" s="171">
        <f t="shared" ca="1" si="493"/>
        <v>0</v>
      </c>
      <c r="EA319" s="171">
        <f t="shared" ca="1" si="494"/>
        <v>0</v>
      </c>
      <c r="EB319" s="171">
        <f t="shared" ca="1" si="495"/>
        <v>0</v>
      </c>
      <c r="EC319" s="171">
        <f t="shared" ca="1" si="496"/>
        <v>0</v>
      </c>
      <c r="ED319" s="171">
        <f t="shared" ca="1" si="497"/>
        <v>0</v>
      </c>
      <c r="EE319" s="171">
        <f t="shared" ca="1" si="498"/>
        <v>0</v>
      </c>
      <c r="EF319" s="171">
        <f t="shared" ca="1" si="499"/>
        <v>0</v>
      </c>
      <c r="EG319" s="171">
        <f t="shared" ca="1" si="500"/>
        <v>0</v>
      </c>
      <c r="EH319" s="171">
        <f t="shared" ca="1" si="501"/>
        <v>0</v>
      </c>
      <c r="EI319" s="171">
        <f t="shared" ca="1" si="502"/>
        <v>0</v>
      </c>
      <c r="EJ319" s="171">
        <f t="shared" ca="1" si="503"/>
        <v>0</v>
      </c>
      <c r="EK319" s="171">
        <f t="shared" ca="1" si="504"/>
        <v>0</v>
      </c>
      <c r="EL319" s="171">
        <f t="shared" ca="1" si="505"/>
        <v>0</v>
      </c>
      <c r="EM319" s="171">
        <f t="shared" ca="1" si="506"/>
        <v>0</v>
      </c>
      <c r="EN319" s="171">
        <f t="shared" ca="1" si="507"/>
        <v>0</v>
      </c>
      <c r="EO319" s="171">
        <f t="shared" ca="1" si="508"/>
        <v>0</v>
      </c>
      <c r="EP319" s="171">
        <f t="shared" ca="1" si="509"/>
        <v>0</v>
      </c>
      <c r="EQ319" s="171">
        <f t="shared" ca="1" si="510"/>
        <v>0</v>
      </c>
      <c r="ER319" s="171">
        <f t="shared" ca="1" si="511"/>
        <v>0</v>
      </c>
      <c r="ES319" s="171">
        <f t="shared" ca="1" si="512"/>
        <v>0</v>
      </c>
    </row>
    <row r="320" spans="3:149">
      <c r="C320" s="214"/>
      <c r="H320" s="216"/>
      <c r="I320" s="217"/>
      <c r="L320" s="163"/>
      <c r="M320" s="164" t="str">
        <f t="shared" si="443"/>
        <v/>
      </c>
      <c r="N320" s="164" t="str">
        <f t="shared" si="444"/>
        <v/>
      </c>
      <c r="O320" s="165" t="str">
        <f t="shared" si="445"/>
        <v/>
      </c>
      <c r="R320" s="168"/>
      <c r="U320" s="171">
        <f t="shared" si="446"/>
        <v>0</v>
      </c>
      <c r="V320" s="171">
        <f t="shared" ca="1" si="447"/>
        <v>0</v>
      </c>
      <c r="W320" s="171">
        <f t="shared" ca="1" si="448"/>
        <v>0</v>
      </c>
      <c r="X320" s="172">
        <f t="shared" si="449"/>
        <v>0</v>
      </c>
      <c r="Y320" s="172" t="str">
        <f t="shared" si="450"/>
        <v/>
      </c>
      <c r="Z320" s="173">
        <f t="shared" si="451"/>
        <v>0</v>
      </c>
      <c r="AA320" s="171">
        <f t="shared" si="519"/>
        <v>0</v>
      </c>
      <c r="AB320" s="171">
        <f t="shared" si="519"/>
        <v>0</v>
      </c>
      <c r="AC320" s="171">
        <f t="shared" si="519"/>
        <v>0</v>
      </c>
      <c r="AD320" s="171">
        <f t="shared" si="519"/>
        <v>0</v>
      </c>
      <c r="AE320" s="171">
        <f t="shared" si="519"/>
        <v>0</v>
      </c>
      <c r="AF320" s="171">
        <f t="shared" si="519"/>
        <v>0</v>
      </c>
      <c r="AG320" s="171">
        <f t="shared" si="519"/>
        <v>0</v>
      </c>
      <c r="AH320" s="171">
        <f t="shared" si="519"/>
        <v>0</v>
      </c>
      <c r="AI320" s="171">
        <f t="shared" si="519"/>
        <v>0</v>
      </c>
      <c r="AJ320" s="171">
        <f t="shared" si="519"/>
        <v>0</v>
      </c>
      <c r="AK320" s="171">
        <f t="shared" si="520"/>
        <v>0</v>
      </c>
      <c r="AL320" s="171">
        <f t="shared" si="520"/>
        <v>0</v>
      </c>
      <c r="AM320" s="171">
        <f t="shared" si="520"/>
        <v>0</v>
      </c>
      <c r="AN320" s="171">
        <f t="shared" si="520"/>
        <v>0</v>
      </c>
      <c r="AO320" s="171">
        <f t="shared" si="520"/>
        <v>0</v>
      </c>
      <c r="AP320" s="171">
        <f t="shared" si="520"/>
        <v>0</v>
      </c>
      <c r="AQ320" s="171">
        <f t="shared" si="520"/>
        <v>0</v>
      </c>
      <c r="AR320" s="171">
        <f t="shared" si="520"/>
        <v>0</v>
      </c>
      <c r="AS320" s="171">
        <f t="shared" si="520"/>
        <v>0</v>
      </c>
      <c r="AT320" s="171">
        <f t="shared" si="520"/>
        <v>0</v>
      </c>
      <c r="AU320" s="171">
        <f t="shared" si="521"/>
        <v>0</v>
      </c>
      <c r="AV320" s="171">
        <f t="shared" si="521"/>
        <v>0</v>
      </c>
      <c r="AW320" s="171">
        <f t="shared" si="521"/>
        <v>0</v>
      </c>
      <c r="AX320" s="171">
        <f t="shared" si="521"/>
        <v>0</v>
      </c>
      <c r="AY320" s="171">
        <f t="shared" si="521"/>
        <v>0</v>
      </c>
      <c r="AZ320" s="171">
        <f t="shared" si="521"/>
        <v>0</v>
      </c>
      <c r="BA320" s="171">
        <f t="shared" si="521"/>
        <v>0</v>
      </c>
      <c r="BB320" s="171">
        <f t="shared" si="521"/>
        <v>0</v>
      </c>
      <c r="BC320" s="171">
        <f t="shared" si="521"/>
        <v>0</v>
      </c>
      <c r="BD320" s="171">
        <f t="shared" si="521"/>
        <v>0</v>
      </c>
      <c r="BE320" s="171">
        <f t="shared" si="522"/>
        <v>0</v>
      </c>
      <c r="BF320" s="171">
        <f t="shared" si="522"/>
        <v>0</v>
      </c>
      <c r="BG320" s="171">
        <f t="shared" si="522"/>
        <v>0</v>
      </c>
      <c r="BH320" s="171">
        <f t="shared" si="522"/>
        <v>0</v>
      </c>
      <c r="BI320" s="171">
        <f t="shared" si="522"/>
        <v>0</v>
      </c>
      <c r="BJ320" s="171">
        <f t="shared" si="522"/>
        <v>0</v>
      </c>
      <c r="BK320" s="171">
        <f t="shared" si="522"/>
        <v>0</v>
      </c>
      <c r="BL320" s="171">
        <f t="shared" si="522"/>
        <v>0</v>
      </c>
      <c r="BM320" s="171">
        <f t="shared" si="522"/>
        <v>0</v>
      </c>
      <c r="BN320" s="171">
        <f t="shared" si="522"/>
        <v>0</v>
      </c>
      <c r="BO320" s="171">
        <f t="shared" si="523"/>
        <v>0</v>
      </c>
      <c r="BP320" s="171">
        <f t="shared" si="523"/>
        <v>0</v>
      </c>
      <c r="BQ320" s="171">
        <f t="shared" si="523"/>
        <v>0</v>
      </c>
      <c r="BR320" s="171">
        <f t="shared" si="523"/>
        <v>0</v>
      </c>
      <c r="BS320" s="171">
        <f t="shared" si="523"/>
        <v>0</v>
      </c>
      <c r="BT320" s="171">
        <f t="shared" si="523"/>
        <v>0</v>
      </c>
      <c r="BU320" s="171">
        <f t="shared" si="523"/>
        <v>0</v>
      </c>
      <c r="BV320" s="171">
        <f t="shared" si="523"/>
        <v>0</v>
      </c>
      <c r="BW320" s="171">
        <f t="shared" si="523"/>
        <v>0</v>
      </c>
      <c r="BX320" s="171">
        <f t="shared" si="523"/>
        <v>0</v>
      </c>
      <c r="BY320" s="171">
        <f t="shared" si="524"/>
        <v>0</v>
      </c>
      <c r="BZ320" s="171">
        <f t="shared" si="524"/>
        <v>0</v>
      </c>
      <c r="CA320" s="171">
        <f t="shared" si="524"/>
        <v>0</v>
      </c>
      <c r="CB320" s="171">
        <f t="shared" si="524"/>
        <v>0</v>
      </c>
      <c r="CC320" s="171">
        <f t="shared" si="524"/>
        <v>0</v>
      </c>
      <c r="CD320" s="171">
        <f t="shared" si="524"/>
        <v>0</v>
      </c>
      <c r="CE320" s="171">
        <f t="shared" si="524"/>
        <v>0</v>
      </c>
      <c r="CF320" s="171">
        <f t="shared" si="524"/>
        <v>0</v>
      </c>
      <c r="CG320" s="171">
        <f t="shared" si="524"/>
        <v>0</v>
      </c>
      <c r="CH320" s="171">
        <f t="shared" si="524"/>
        <v>0</v>
      </c>
      <c r="CI320" s="171">
        <f t="shared" si="524"/>
        <v>0</v>
      </c>
      <c r="CJ320" s="243"/>
      <c r="CK320" s="171">
        <f t="shared" si="452"/>
        <v>0</v>
      </c>
      <c r="CL320" s="171">
        <f t="shared" si="453"/>
        <v>0</v>
      </c>
      <c r="CM320" s="171">
        <f t="shared" si="454"/>
        <v>0</v>
      </c>
      <c r="CN320" s="171">
        <f t="shared" si="455"/>
        <v>0</v>
      </c>
      <c r="CO320" s="171">
        <f t="shared" si="456"/>
        <v>0</v>
      </c>
      <c r="CP320" s="171">
        <f t="shared" si="457"/>
        <v>0</v>
      </c>
      <c r="CQ320" s="171">
        <f t="shared" si="458"/>
        <v>0</v>
      </c>
      <c r="CR320" s="171">
        <f t="shared" si="459"/>
        <v>0</v>
      </c>
      <c r="CS320" s="171">
        <f t="shared" si="460"/>
        <v>0</v>
      </c>
      <c r="CT320" s="171">
        <f t="shared" si="461"/>
        <v>0</v>
      </c>
      <c r="CU320" s="171">
        <f t="shared" si="462"/>
        <v>0</v>
      </c>
      <c r="CV320" s="171">
        <f t="shared" si="463"/>
        <v>0</v>
      </c>
      <c r="CW320" s="171">
        <f t="shared" si="464"/>
        <v>0</v>
      </c>
      <c r="CX320" s="171">
        <f t="shared" si="465"/>
        <v>0</v>
      </c>
      <c r="CY320" s="171">
        <f t="shared" ca="1" si="466"/>
        <v>0</v>
      </c>
      <c r="CZ320" s="171">
        <f t="shared" ca="1" si="467"/>
        <v>0</v>
      </c>
      <c r="DA320" s="171">
        <f t="shared" ca="1" si="468"/>
        <v>0</v>
      </c>
      <c r="DB320" s="171">
        <f t="shared" ca="1" si="469"/>
        <v>0</v>
      </c>
      <c r="DC320" s="171">
        <f t="shared" ca="1" si="470"/>
        <v>0</v>
      </c>
      <c r="DD320" s="171">
        <f t="shared" ca="1" si="471"/>
        <v>0</v>
      </c>
      <c r="DE320" s="171">
        <f t="shared" ca="1" si="472"/>
        <v>0</v>
      </c>
      <c r="DF320" s="171">
        <f t="shared" ca="1" si="473"/>
        <v>0</v>
      </c>
      <c r="DG320" s="171">
        <f t="shared" ca="1" si="474"/>
        <v>0</v>
      </c>
      <c r="DH320" s="171">
        <f t="shared" ca="1" si="475"/>
        <v>0</v>
      </c>
      <c r="DI320" s="171">
        <f t="shared" ca="1" si="476"/>
        <v>0</v>
      </c>
      <c r="DJ320" s="171">
        <f t="shared" ca="1" si="477"/>
        <v>0</v>
      </c>
      <c r="DK320" s="171">
        <f t="shared" ca="1" si="478"/>
        <v>0</v>
      </c>
      <c r="DL320" s="171">
        <f t="shared" ca="1" si="479"/>
        <v>0</v>
      </c>
      <c r="DM320" s="171">
        <f t="shared" ca="1" si="480"/>
        <v>0</v>
      </c>
      <c r="DN320" s="171">
        <f t="shared" ca="1" si="481"/>
        <v>0</v>
      </c>
      <c r="DO320" s="171">
        <f t="shared" ca="1" si="482"/>
        <v>0</v>
      </c>
      <c r="DP320" s="171">
        <f t="shared" ca="1" si="483"/>
        <v>0</v>
      </c>
      <c r="DQ320" s="171">
        <f t="shared" ca="1" si="484"/>
        <v>0</v>
      </c>
      <c r="DR320" s="171">
        <f t="shared" ca="1" si="485"/>
        <v>0</v>
      </c>
      <c r="DS320" s="171">
        <f t="shared" ca="1" si="486"/>
        <v>0</v>
      </c>
      <c r="DT320" s="171">
        <f t="shared" ca="1" si="487"/>
        <v>0</v>
      </c>
      <c r="DU320" s="171">
        <f t="shared" ca="1" si="488"/>
        <v>0</v>
      </c>
      <c r="DV320" s="171">
        <f t="shared" ca="1" si="489"/>
        <v>0</v>
      </c>
      <c r="DW320" s="171">
        <f t="shared" ca="1" si="490"/>
        <v>0</v>
      </c>
      <c r="DX320" s="171">
        <f t="shared" ca="1" si="491"/>
        <v>0</v>
      </c>
      <c r="DY320" s="171">
        <f t="shared" ca="1" si="492"/>
        <v>0</v>
      </c>
      <c r="DZ320" s="171">
        <f t="shared" ca="1" si="493"/>
        <v>0</v>
      </c>
      <c r="EA320" s="171">
        <f t="shared" ca="1" si="494"/>
        <v>0</v>
      </c>
      <c r="EB320" s="171">
        <f t="shared" ca="1" si="495"/>
        <v>0</v>
      </c>
      <c r="EC320" s="171">
        <f t="shared" ca="1" si="496"/>
        <v>0</v>
      </c>
      <c r="ED320" s="171">
        <f t="shared" ca="1" si="497"/>
        <v>0</v>
      </c>
      <c r="EE320" s="171">
        <f t="shared" ca="1" si="498"/>
        <v>0</v>
      </c>
      <c r="EF320" s="171">
        <f t="shared" ca="1" si="499"/>
        <v>0</v>
      </c>
      <c r="EG320" s="171">
        <f t="shared" ca="1" si="500"/>
        <v>0</v>
      </c>
      <c r="EH320" s="171">
        <f t="shared" ca="1" si="501"/>
        <v>0</v>
      </c>
      <c r="EI320" s="171">
        <f t="shared" ca="1" si="502"/>
        <v>0</v>
      </c>
      <c r="EJ320" s="171">
        <f t="shared" ca="1" si="503"/>
        <v>0</v>
      </c>
      <c r="EK320" s="171">
        <f t="shared" ca="1" si="504"/>
        <v>0</v>
      </c>
      <c r="EL320" s="171">
        <f t="shared" ca="1" si="505"/>
        <v>0</v>
      </c>
      <c r="EM320" s="171">
        <f t="shared" ca="1" si="506"/>
        <v>0</v>
      </c>
      <c r="EN320" s="171">
        <f t="shared" ca="1" si="507"/>
        <v>0</v>
      </c>
      <c r="EO320" s="171">
        <f t="shared" ca="1" si="508"/>
        <v>0</v>
      </c>
      <c r="EP320" s="171">
        <f t="shared" ca="1" si="509"/>
        <v>0</v>
      </c>
      <c r="EQ320" s="171">
        <f t="shared" ca="1" si="510"/>
        <v>0</v>
      </c>
      <c r="ER320" s="171">
        <f t="shared" ca="1" si="511"/>
        <v>0</v>
      </c>
      <c r="ES320" s="171">
        <f t="shared" ca="1" si="512"/>
        <v>0</v>
      </c>
    </row>
    <row r="321" spans="3:149">
      <c r="C321" s="214"/>
      <c r="H321" s="216"/>
      <c r="I321" s="217"/>
      <c r="L321" s="163"/>
      <c r="M321" s="164" t="str">
        <f t="shared" si="443"/>
        <v/>
      </c>
      <c r="N321" s="164" t="str">
        <f t="shared" si="444"/>
        <v/>
      </c>
      <c r="O321" s="165" t="str">
        <f t="shared" si="445"/>
        <v/>
      </c>
      <c r="R321" s="168"/>
      <c r="U321" s="171">
        <f t="shared" si="446"/>
        <v>0</v>
      </c>
      <c r="V321" s="171">
        <f t="shared" ca="1" si="447"/>
        <v>0</v>
      </c>
      <c r="W321" s="171">
        <f t="shared" ca="1" si="448"/>
        <v>0</v>
      </c>
      <c r="X321" s="172">
        <f t="shared" si="449"/>
        <v>0</v>
      </c>
      <c r="Y321" s="172" t="str">
        <f t="shared" si="450"/>
        <v/>
      </c>
      <c r="Z321" s="173">
        <f t="shared" si="451"/>
        <v>0</v>
      </c>
      <c r="AA321" s="171">
        <f t="shared" si="519"/>
        <v>0</v>
      </c>
      <c r="AB321" s="171">
        <f t="shared" si="519"/>
        <v>0</v>
      </c>
      <c r="AC321" s="171">
        <f t="shared" si="519"/>
        <v>0</v>
      </c>
      <c r="AD321" s="171">
        <f t="shared" si="519"/>
        <v>0</v>
      </c>
      <c r="AE321" s="171">
        <f t="shared" si="519"/>
        <v>0</v>
      </c>
      <c r="AF321" s="171">
        <f t="shared" si="519"/>
        <v>0</v>
      </c>
      <c r="AG321" s="171">
        <f t="shared" si="519"/>
        <v>0</v>
      </c>
      <c r="AH321" s="171">
        <f t="shared" si="519"/>
        <v>0</v>
      </c>
      <c r="AI321" s="171">
        <f t="shared" si="519"/>
        <v>0</v>
      </c>
      <c r="AJ321" s="171">
        <f t="shared" si="519"/>
        <v>0</v>
      </c>
      <c r="AK321" s="171">
        <f t="shared" si="520"/>
        <v>0</v>
      </c>
      <c r="AL321" s="171">
        <f t="shared" si="520"/>
        <v>0</v>
      </c>
      <c r="AM321" s="171">
        <f t="shared" si="520"/>
        <v>0</v>
      </c>
      <c r="AN321" s="171">
        <f t="shared" si="520"/>
        <v>0</v>
      </c>
      <c r="AO321" s="171">
        <f t="shared" si="520"/>
        <v>0</v>
      </c>
      <c r="AP321" s="171">
        <f t="shared" si="520"/>
        <v>0</v>
      </c>
      <c r="AQ321" s="171">
        <f t="shared" si="520"/>
        <v>0</v>
      </c>
      <c r="AR321" s="171">
        <f t="shared" si="520"/>
        <v>0</v>
      </c>
      <c r="AS321" s="171">
        <f t="shared" si="520"/>
        <v>0</v>
      </c>
      <c r="AT321" s="171">
        <f t="shared" si="520"/>
        <v>0</v>
      </c>
      <c r="AU321" s="171">
        <f t="shared" si="521"/>
        <v>0</v>
      </c>
      <c r="AV321" s="171">
        <f t="shared" si="521"/>
        <v>0</v>
      </c>
      <c r="AW321" s="171">
        <f t="shared" si="521"/>
        <v>0</v>
      </c>
      <c r="AX321" s="171">
        <f t="shared" si="521"/>
        <v>0</v>
      </c>
      <c r="AY321" s="171">
        <f t="shared" si="521"/>
        <v>0</v>
      </c>
      <c r="AZ321" s="171">
        <f t="shared" si="521"/>
        <v>0</v>
      </c>
      <c r="BA321" s="171">
        <f t="shared" si="521"/>
        <v>0</v>
      </c>
      <c r="BB321" s="171">
        <f t="shared" si="521"/>
        <v>0</v>
      </c>
      <c r="BC321" s="171">
        <f t="shared" si="521"/>
        <v>0</v>
      </c>
      <c r="BD321" s="171">
        <f t="shared" si="521"/>
        <v>0</v>
      </c>
      <c r="BE321" s="171">
        <f t="shared" si="522"/>
        <v>0</v>
      </c>
      <c r="BF321" s="171">
        <f t="shared" si="522"/>
        <v>0</v>
      </c>
      <c r="BG321" s="171">
        <f t="shared" si="522"/>
        <v>0</v>
      </c>
      <c r="BH321" s="171">
        <f t="shared" si="522"/>
        <v>0</v>
      </c>
      <c r="BI321" s="171">
        <f t="shared" si="522"/>
        <v>0</v>
      </c>
      <c r="BJ321" s="171">
        <f t="shared" si="522"/>
        <v>0</v>
      </c>
      <c r="BK321" s="171">
        <f t="shared" si="522"/>
        <v>0</v>
      </c>
      <c r="BL321" s="171">
        <f t="shared" si="522"/>
        <v>0</v>
      </c>
      <c r="BM321" s="171">
        <f t="shared" si="522"/>
        <v>0</v>
      </c>
      <c r="BN321" s="171">
        <f t="shared" si="522"/>
        <v>0</v>
      </c>
      <c r="BO321" s="171">
        <f t="shared" si="523"/>
        <v>0</v>
      </c>
      <c r="BP321" s="171">
        <f t="shared" si="523"/>
        <v>0</v>
      </c>
      <c r="BQ321" s="171">
        <f t="shared" si="523"/>
        <v>0</v>
      </c>
      <c r="BR321" s="171">
        <f t="shared" si="523"/>
        <v>0</v>
      </c>
      <c r="BS321" s="171">
        <f t="shared" si="523"/>
        <v>0</v>
      </c>
      <c r="BT321" s="171">
        <f t="shared" si="523"/>
        <v>0</v>
      </c>
      <c r="BU321" s="171">
        <f t="shared" si="523"/>
        <v>0</v>
      </c>
      <c r="BV321" s="171">
        <f t="shared" si="523"/>
        <v>0</v>
      </c>
      <c r="BW321" s="171">
        <f t="shared" si="523"/>
        <v>0</v>
      </c>
      <c r="BX321" s="171">
        <f t="shared" si="523"/>
        <v>0</v>
      </c>
      <c r="BY321" s="171">
        <f t="shared" si="524"/>
        <v>0</v>
      </c>
      <c r="BZ321" s="171">
        <f t="shared" si="524"/>
        <v>0</v>
      </c>
      <c r="CA321" s="171">
        <f t="shared" si="524"/>
        <v>0</v>
      </c>
      <c r="CB321" s="171">
        <f t="shared" si="524"/>
        <v>0</v>
      </c>
      <c r="CC321" s="171">
        <f t="shared" si="524"/>
        <v>0</v>
      </c>
      <c r="CD321" s="171">
        <f t="shared" si="524"/>
        <v>0</v>
      </c>
      <c r="CE321" s="171">
        <f t="shared" si="524"/>
        <v>0</v>
      </c>
      <c r="CF321" s="171">
        <f t="shared" si="524"/>
        <v>0</v>
      </c>
      <c r="CG321" s="171">
        <f t="shared" si="524"/>
        <v>0</v>
      </c>
      <c r="CH321" s="171">
        <f t="shared" si="524"/>
        <v>0</v>
      </c>
      <c r="CI321" s="171">
        <f t="shared" si="524"/>
        <v>0</v>
      </c>
      <c r="CJ321" s="243"/>
      <c r="CK321" s="171">
        <f t="shared" si="452"/>
        <v>0</v>
      </c>
      <c r="CL321" s="171">
        <f t="shared" si="453"/>
        <v>0</v>
      </c>
      <c r="CM321" s="171">
        <f t="shared" si="454"/>
        <v>0</v>
      </c>
      <c r="CN321" s="171">
        <f t="shared" si="455"/>
        <v>0</v>
      </c>
      <c r="CO321" s="171">
        <f t="shared" si="456"/>
        <v>0</v>
      </c>
      <c r="CP321" s="171">
        <f t="shared" si="457"/>
        <v>0</v>
      </c>
      <c r="CQ321" s="171">
        <f t="shared" si="458"/>
        <v>0</v>
      </c>
      <c r="CR321" s="171">
        <f t="shared" si="459"/>
        <v>0</v>
      </c>
      <c r="CS321" s="171">
        <f t="shared" si="460"/>
        <v>0</v>
      </c>
      <c r="CT321" s="171">
        <f t="shared" si="461"/>
        <v>0</v>
      </c>
      <c r="CU321" s="171">
        <f t="shared" si="462"/>
        <v>0</v>
      </c>
      <c r="CV321" s="171">
        <f t="shared" si="463"/>
        <v>0</v>
      </c>
      <c r="CW321" s="171">
        <f t="shared" si="464"/>
        <v>0</v>
      </c>
      <c r="CX321" s="171">
        <f t="shared" si="465"/>
        <v>0</v>
      </c>
      <c r="CY321" s="171">
        <f t="shared" ca="1" si="466"/>
        <v>0</v>
      </c>
      <c r="CZ321" s="171">
        <f t="shared" ca="1" si="467"/>
        <v>0</v>
      </c>
      <c r="DA321" s="171">
        <f t="shared" ca="1" si="468"/>
        <v>0</v>
      </c>
      <c r="DB321" s="171">
        <f t="shared" ca="1" si="469"/>
        <v>0</v>
      </c>
      <c r="DC321" s="171">
        <f t="shared" ca="1" si="470"/>
        <v>0</v>
      </c>
      <c r="DD321" s="171">
        <f t="shared" ca="1" si="471"/>
        <v>0</v>
      </c>
      <c r="DE321" s="171">
        <f t="shared" ca="1" si="472"/>
        <v>0</v>
      </c>
      <c r="DF321" s="171">
        <f t="shared" ca="1" si="473"/>
        <v>0</v>
      </c>
      <c r="DG321" s="171">
        <f t="shared" ca="1" si="474"/>
        <v>0</v>
      </c>
      <c r="DH321" s="171">
        <f t="shared" ca="1" si="475"/>
        <v>0</v>
      </c>
      <c r="DI321" s="171">
        <f t="shared" ca="1" si="476"/>
        <v>0</v>
      </c>
      <c r="DJ321" s="171">
        <f t="shared" ca="1" si="477"/>
        <v>0</v>
      </c>
      <c r="DK321" s="171">
        <f t="shared" ca="1" si="478"/>
        <v>0</v>
      </c>
      <c r="DL321" s="171">
        <f t="shared" ca="1" si="479"/>
        <v>0</v>
      </c>
      <c r="DM321" s="171">
        <f t="shared" ca="1" si="480"/>
        <v>0</v>
      </c>
      <c r="DN321" s="171">
        <f t="shared" ca="1" si="481"/>
        <v>0</v>
      </c>
      <c r="DO321" s="171">
        <f t="shared" ca="1" si="482"/>
        <v>0</v>
      </c>
      <c r="DP321" s="171">
        <f t="shared" ca="1" si="483"/>
        <v>0</v>
      </c>
      <c r="DQ321" s="171">
        <f t="shared" ca="1" si="484"/>
        <v>0</v>
      </c>
      <c r="DR321" s="171">
        <f t="shared" ca="1" si="485"/>
        <v>0</v>
      </c>
      <c r="DS321" s="171">
        <f t="shared" ca="1" si="486"/>
        <v>0</v>
      </c>
      <c r="DT321" s="171">
        <f t="shared" ca="1" si="487"/>
        <v>0</v>
      </c>
      <c r="DU321" s="171">
        <f t="shared" ca="1" si="488"/>
        <v>0</v>
      </c>
      <c r="DV321" s="171">
        <f t="shared" ca="1" si="489"/>
        <v>0</v>
      </c>
      <c r="DW321" s="171">
        <f t="shared" ca="1" si="490"/>
        <v>0</v>
      </c>
      <c r="DX321" s="171">
        <f t="shared" ca="1" si="491"/>
        <v>0</v>
      </c>
      <c r="DY321" s="171">
        <f t="shared" ca="1" si="492"/>
        <v>0</v>
      </c>
      <c r="DZ321" s="171">
        <f t="shared" ca="1" si="493"/>
        <v>0</v>
      </c>
      <c r="EA321" s="171">
        <f t="shared" ca="1" si="494"/>
        <v>0</v>
      </c>
      <c r="EB321" s="171">
        <f t="shared" ca="1" si="495"/>
        <v>0</v>
      </c>
      <c r="EC321" s="171">
        <f t="shared" ca="1" si="496"/>
        <v>0</v>
      </c>
      <c r="ED321" s="171">
        <f t="shared" ca="1" si="497"/>
        <v>0</v>
      </c>
      <c r="EE321" s="171">
        <f t="shared" ca="1" si="498"/>
        <v>0</v>
      </c>
      <c r="EF321" s="171">
        <f t="shared" ca="1" si="499"/>
        <v>0</v>
      </c>
      <c r="EG321" s="171">
        <f t="shared" ca="1" si="500"/>
        <v>0</v>
      </c>
      <c r="EH321" s="171">
        <f t="shared" ca="1" si="501"/>
        <v>0</v>
      </c>
      <c r="EI321" s="171">
        <f t="shared" ca="1" si="502"/>
        <v>0</v>
      </c>
      <c r="EJ321" s="171">
        <f t="shared" ca="1" si="503"/>
        <v>0</v>
      </c>
      <c r="EK321" s="171">
        <f t="shared" ca="1" si="504"/>
        <v>0</v>
      </c>
      <c r="EL321" s="171">
        <f t="shared" ca="1" si="505"/>
        <v>0</v>
      </c>
      <c r="EM321" s="171">
        <f t="shared" ca="1" si="506"/>
        <v>0</v>
      </c>
      <c r="EN321" s="171">
        <f t="shared" ca="1" si="507"/>
        <v>0</v>
      </c>
      <c r="EO321" s="171">
        <f t="shared" ca="1" si="508"/>
        <v>0</v>
      </c>
      <c r="EP321" s="171">
        <f t="shared" ca="1" si="509"/>
        <v>0</v>
      </c>
      <c r="EQ321" s="171">
        <f t="shared" ca="1" si="510"/>
        <v>0</v>
      </c>
      <c r="ER321" s="171">
        <f t="shared" ca="1" si="511"/>
        <v>0</v>
      </c>
      <c r="ES321" s="171">
        <f t="shared" ca="1" si="512"/>
        <v>0</v>
      </c>
    </row>
    <row r="322" spans="3:149">
      <c r="C322" s="214"/>
      <c r="H322" s="216"/>
      <c r="I322" s="217"/>
      <c r="L322" s="163"/>
      <c r="M322" s="164" t="str">
        <f t="shared" si="443"/>
        <v/>
      </c>
      <c r="N322" s="164" t="str">
        <f t="shared" si="444"/>
        <v/>
      </c>
      <c r="O322" s="165" t="str">
        <f t="shared" si="445"/>
        <v/>
      </c>
      <c r="R322" s="168"/>
      <c r="U322" s="171">
        <f t="shared" si="446"/>
        <v>0</v>
      </c>
      <c r="V322" s="171">
        <f t="shared" ca="1" si="447"/>
        <v>0</v>
      </c>
      <c r="W322" s="171">
        <f t="shared" ca="1" si="448"/>
        <v>0</v>
      </c>
      <c r="X322" s="172">
        <f t="shared" si="449"/>
        <v>0</v>
      </c>
      <c r="Y322" s="172" t="str">
        <f t="shared" si="450"/>
        <v/>
      </c>
      <c r="Z322" s="173">
        <f t="shared" si="451"/>
        <v>0</v>
      </c>
      <c r="AA322" s="171">
        <f t="shared" si="519"/>
        <v>0</v>
      </c>
      <c r="AB322" s="171">
        <f t="shared" si="519"/>
        <v>0</v>
      </c>
      <c r="AC322" s="171">
        <f t="shared" si="519"/>
        <v>0</v>
      </c>
      <c r="AD322" s="171">
        <f t="shared" si="519"/>
        <v>0</v>
      </c>
      <c r="AE322" s="171">
        <f t="shared" si="519"/>
        <v>0</v>
      </c>
      <c r="AF322" s="171">
        <f t="shared" si="519"/>
        <v>0</v>
      </c>
      <c r="AG322" s="171">
        <f t="shared" si="519"/>
        <v>0</v>
      </c>
      <c r="AH322" s="171">
        <f t="shared" si="519"/>
        <v>0</v>
      </c>
      <c r="AI322" s="171">
        <f t="shared" si="519"/>
        <v>0</v>
      </c>
      <c r="AJ322" s="171">
        <f t="shared" si="519"/>
        <v>0</v>
      </c>
      <c r="AK322" s="171">
        <f t="shared" si="520"/>
        <v>0</v>
      </c>
      <c r="AL322" s="171">
        <f t="shared" si="520"/>
        <v>0</v>
      </c>
      <c r="AM322" s="171">
        <f t="shared" si="520"/>
        <v>0</v>
      </c>
      <c r="AN322" s="171">
        <f t="shared" si="520"/>
        <v>0</v>
      </c>
      <c r="AO322" s="171">
        <f t="shared" si="520"/>
        <v>0</v>
      </c>
      <c r="AP322" s="171">
        <f t="shared" si="520"/>
        <v>0</v>
      </c>
      <c r="AQ322" s="171">
        <f t="shared" si="520"/>
        <v>0</v>
      </c>
      <c r="AR322" s="171">
        <f t="shared" si="520"/>
        <v>0</v>
      </c>
      <c r="AS322" s="171">
        <f t="shared" si="520"/>
        <v>0</v>
      </c>
      <c r="AT322" s="171">
        <f t="shared" si="520"/>
        <v>0</v>
      </c>
      <c r="AU322" s="171">
        <f t="shared" si="521"/>
        <v>0</v>
      </c>
      <c r="AV322" s="171">
        <f t="shared" si="521"/>
        <v>0</v>
      </c>
      <c r="AW322" s="171">
        <f t="shared" si="521"/>
        <v>0</v>
      </c>
      <c r="AX322" s="171">
        <f t="shared" si="521"/>
        <v>0</v>
      </c>
      <c r="AY322" s="171">
        <f t="shared" si="521"/>
        <v>0</v>
      </c>
      <c r="AZ322" s="171">
        <f t="shared" si="521"/>
        <v>0</v>
      </c>
      <c r="BA322" s="171">
        <f t="shared" si="521"/>
        <v>0</v>
      </c>
      <c r="BB322" s="171">
        <f t="shared" si="521"/>
        <v>0</v>
      </c>
      <c r="BC322" s="171">
        <f t="shared" si="521"/>
        <v>0</v>
      </c>
      <c r="BD322" s="171">
        <f t="shared" si="521"/>
        <v>0</v>
      </c>
      <c r="BE322" s="171">
        <f t="shared" si="522"/>
        <v>0</v>
      </c>
      <c r="BF322" s="171">
        <f t="shared" si="522"/>
        <v>0</v>
      </c>
      <c r="BG322" s="171">
        <f t="shared" si="522"/>
        <v>0</v>
      </c>
      <c r="BH322" s="171">
        <f t="shared" si="522"/>
        <v>0</v>
      </c>
      <c r="BI322" s="171">
        <f t="shared" si="522"/>
        <v>0</v>
      </c>
      <c r="BJ322" s="171">
        <f t="shared" si="522"/>
        <v>0</v>
      </c>
      <c r="BK322" s="171">
        <f t="shared" si="522"/>
        <v>0</v>
      </c>
      <c r="BL322" s="171">
        <f t="shared" si="522"/>
        <v>0</v>
      </c>
      <c r="BM322" s="171">
        <f t="shared" si="522"/>
        <v>0</v>
      </c>
      <c r="BN322" s="171">
        <f t="shared" si="522"/>
        <v>0</v>
      </c>
      <c r="BO322" s="171">
        <f t="shared" si="523"/>
        <v>0</v>
      </c>
      <c r="BP322" s="171">
        <f t="shared" si="523"/>
        <v>0</v>
      </c>
      <c r="BQ322" s="171">
        <f t="shared" si="523"/>
        <v>0</v>
      </c>
      <c r="BR322" s="171">
        <f t="shared" si="523"/>
        <v>0</v>
      </c>
      <c r="BS322" s="171">
        <f t="shared" si="523"/>
        <v>0</v>
      </c>
      <c r="BT322" s="171">
        <f t="shared" si="523"/>
        <v>0</v>
      </c>
      <c r="BU322" s="171">
        <f t="shared" si="523"/>
        <v>0</v>
      </c>
      <c r="BV322" s="171">
        <f t="shared" si="523"/>
        <v>0</v>
      </c>
      <c r="BW322" s="171">
        <f t="shared" si="523"/>
        <v>0</v>
      </c>
      <c r="BX322" s="171">
        <f t="shared" si="523"/>
        <v>0</v>
      </c>
      <c r="BY322" s="171">
        <f t="shared" si="524"/>
        <v>0</v>
      </c>
      <c r="BZ322" s="171">
        <f t="shared" si="524"/>
        <v>0</v>
      </c>
      <c r="CA322" s="171">
        <f t="shared" si="524"/>
        <v>0</v>
      </c>
      <c r="CB322" s="171">
        <f t="shared" si="524"/>
        <v>0</v>
      </c>
      <c r="CC322" s="171">
        <f t="shared" si="524"/>
        <v>0</v>
      </c>
      <c r="CD322" s="171">
        <f t="shared" si="524"/>
        <v>0</v>
      </c>
      <c r="CE322" s="171">
        <f t="shared" si="524"/>
        <v>0</v>
      </c>
      <c r="CF322" s="171">
        <f t="shared" si="524"/>
        <v>0</v>
      </c>
      <c r="CG322" s="171">
        <f t="shared" si="524"/>
        <v>0</v>
      </c>
      <c r="CH322" s="171">
        <f t="shared" si="524"/>
        <v>0</v>
      </c>
      <c r="CI322" s="171">
        <f t="shared" si="524"/>
        <v>0</v>
      </c>
      <c r="CJ322" s="243"/>
      <c r="CK322" s="171">
        <f t="shared" si="452"/>
        <v>0</v>
      </c>
      <c r="CL322" s="171">
        <f t="shared" si="453"/>
        <v>0</v>
      </c>
      <c r="CM322" s="171">
        <f t="shared" si="454"/>
        <v>0</v>
      </c>
      <c r="CN322" s="171">
        <f t="shared" si="455"/>
        <v>0</v>
      </c>
      <c r="CO322" s="171">
        <f t="shared" si="456"/>
        <v>0</v>
      </c>
      <c r="CP322" s="171">
        <f t="shared" si="457"/>
        <v>0</v>
      </c>
      <c r="CQ322" s="171">
        <f t="shared" si="458"/>
        <v>0</v>
      </c>
      <c r="CR322" s="171">
        <f t="shared" si="459"/>
        <v>0</v>
      </c>
      <c r="CS322" s="171">
        <f t="shared" si="460"/>
        <v>0</v>
      </c>
      <c r="CT322" s="171">
        <f t="shared" si="461"/>
        <v>0</v>
      </c>
      <c r="CU322" s="171">
        <f t="shared" si="462"/>
        <v>0</v>
      </c>
      <c r="CV322" s="171">
        <f t="shared" si="463"/>
        <v>0</v>
      </c>
      <c r="CW322" s="171">
        <f t="shared" si="464"/>
        <v>0</v>
      </c>
      <c r="CX322" s="171">
        <f t="shared" si="465"/>
        <v>0</v>
      </c>
      <c r="CY322" s="171">
        <f t="shared" ca="1" si="466"/>
        <v>0</v>
      </c>
      <c r="CZ322" s="171">
        <f t="shared" ca="1" si="467"/>
        <v>0</v>
      </c>
      <c r="DA322" s="171">
        <f t="shared" ca="1" si="468"/>
        <v>0</v>
      </c>
      <c r="DB322" s="171">
        <f t="shared" ca="1" si="469"/>
        <v>0</v>
      </c>
      <c r="DC322" s="171">
        <f t="shared" ca="1" si="470"/>
        <v>0</v>
      </c>
      <c r="DD322" s="171">
        <f t="shared" ca="1" si="471"/>
        <v>0</v>
      </c>
      <c r="DE322" s="171">
        <f t="shared" ca="1" si="472"/>
        <v>0</v>
      </c>
      <c r="DF322" s="171">
        <f t="shared" ca="1" si="473"/>
        <v>0</v>
      </c>
      <c r="DG322" s="171">
        <f t="shared" ca="1" si="474"/>
        <v>0</v>
      </c>
      <c r="DH322" s="171">
        <f t="shared" ca="1" si="475"/>
        <v>0</v>
      </c>
      <c r="DI322" s="171">
        <f t="shared" ca="1" si="476"/>
        <v>0</v>
      </c>
      <c r="DJ322" s="171">
        <f t="shared" ca="1" si="477"/>
        <v>0</v>
      </c>
      <c r="DK322" s="171">
        <f t="shared" ca="1" si="478"/>
        <v>0</v>
      </c>
      <c r="DL322" s="171">
        <f t="shared" ca="1" si="479"/>
        <v>0</v>
      </c>
      <c r="DM322" s="171">
        <f t="shared" ca="1" si="480"/>
        <v>0</v>
      </c>
      <c r="DN322" s="171">
        <f t="shared" ca="1" si="481"/>
        <v>0</v>
      </c>
      <c r="DO322" s="171">
        <f t="shared" ca="1" si="482"/>
        <v>0</v>
      </c>
      <c r="DP322" s="171">
        <f t="shared" ca="1" si="483"/>
        <v>0</v>
      </c>
      <c r="DQ322" s="171">
        <f t="shared" ca="1" si="484"/>
        <v>0</v>
      </c>
      <c r="DR322" s="171">
        <f t="shared" ca="1" si="485"/>
        <v>0</v>
      </c>
      <c r="DS322" s="171">
        <f t="shared" ca="1" si="486"/>
        <v>0</v>
      </c>
      <c r="DT322" s="171">
        <f t="shared" ca="1" si="487"/>
        <v>0</v>
      </c>
      <c r="DU322" s="171">
        <f t="shared" ca="1" si="488"/>
        <v>0</v>
      </c>
      <c r="DV322" s="171">
        <f t="shared" ca="1" si="489"/>
        <v>0</v>
      </c>
      <c r="DW322" s="171">
        <f t="shared" ca="1" si="490"/>
        <v>0</v>
      </c>
      <c r="DX322" s="171">
        <f t="shared" ca="1" si="491"/>
        <v>0</v>
      </c>
      <c r="DY322" s="171">
        <f t="shared" ca="1" si="492"/>
        <v>0</v>
      </c>
      <c r="DZ322" s="171">
        <f t="shared" ca="1" si="493"/>
        <v>0</v>
      </c>
      <c r="EA322" s="171">
        <f t="shared" ca="1" si="494"/>
        <v>0</v>
      </c>
      <c r="EB322" s="171">
        <f t="shared" ca="1" si="495"/>
        <v>0</v>
      </c>
      <c r="EC322" s="171">
        <f t="shared" ca="1" si="496"/>
        <v>0</v>
      </c>
      <c r="ED322" s="171">
        <f t="shared" ca="1" si="497"/>
        <v>0</v>
      </c>
      <c r="EE322" s="171">
        <f t="shared" ca="1" si="498"/>
        <v>0</v>
      </c>
      <c r="EF322" s="171">
        <f t="shared" ca="1" si="499"/>
        <v>0</v>
      </c>
      <c r="EG322" s="171">
        <f t="shared" ca="1" si="500"/>
        <v>0</v>
      </c>
      <c r="EH322" s="171">
        <f t="shared" ca="1" si="501"/>
        <v>0</v>
      </c>
      <c r="EI322" s="171">
        <f t="shared" ca="1" si="502"/>
        <v>0</v>
      </c>
      <c r="EJ322" s="171">
        <f t="shared" ca="1" si="503"/>
        <v>0</v>
      </c>
      <c r="EK322" s="171">
        <f t="shared" ca="1" si="504"/>
        <v>0</v>
      </c>
      <c r="EL322" s="171">
        <f t="shared" ca="1" si="505"/>
        <v>0</v>
      </c>
      <c r="EM322" s="171">
        <f t="shared" ca="1" si="506"/>
        <v>0</v>
      </c>
      <c r="EN322" s="171">
        <f t="shared" ca="1" si="507"/>
        <v>0</v>
      </c>
      <c r="EO322" s="171">
        <f t="shared" ca="1" si="508"/>
        <v>0</v>
      </c>
      <c r="EP322" s="171">
        <f t="shared" ca="1" si="509"/>
        <v>0</v>
      </c>
      <c r="EQ322" s="171">
        <f t="shared" ca="1" si="510"/>
        <v>0</v>
      </c>
      <c r="ER322" s="171">
        <f t="shared" ca="1" si="511"/>
        <v>0</v>
      </c>
      <c r="ES322" s="171">
        <f t="shared" ca="1" si="512"/>
        <v>0</v>
      </c>
    </row>
    <row r="323" spans="3:149">
      <c r="C323" s="214"/>
      <c r="H323" s="216"/>
      <c r="I323" s="217"/>
      <c r="L323" s="163"/>
      <c r="M323" s="164" t="str">
        <f t="shared" si="443"/>
        <v/>
      </c>
      <c r="N323" s="164" t="str">
        <f t="shared" si="444"/>
        <v/>
      </c>
      <c r="O323" s="165" t="str">
        <f t="shared" si="445"/>
        <v/>
      </c>
      <c r="R323" s="168"/>
      <c r="U323" s="171">
        <f t="shared" si="446"/>
        <v>0</v>
      </c>
      <c r="V323" s="171">
        <f t="shared" ca="1" si="447"/>
        <v>0</v>
      </c>
      <c r="W323" s="171">
        <f t="shared" ca="1" si="448"/>
        <v>0</v>
      </c>
      <c r="X323" s="172">
        <f t="shared" si="449"/>
        <v>0</v>
      </c>
      <c r="Y323" s="172" t="str">
        <f t="shared" si="450"/>
        <v/>
      </c>
      <c r="Z323" s="173">
        <f t="shared" si="451"/>
        <v>0</v>
      </c>
      <c r="AA323" s="171">
        <f t="shared" si="519"/>
        <v>0</v>
      </c>
      <c r="AB323" s="171">
        <f t="shared" si="519"/>
        <v>0</v>
      </c>
      <c r="AC323" s="171">
        <f t="shared" si="519"/>
        <v>0</v>
      </c>
      <c r="AD323" s="171">
        <f t="shared" si="519"/>
        <v>0</v>
      </c>
      <c r="AE323" s="171">
        <f t="shared" si="519"/>
        <v>0</v>
      </c>
      <c r="AF323" s="171">
        <f t="shared" si="519"/>
        <v>0</v>
      </c>
      <c r="AG323" s="171">
        <f t="shared" si="519"/>
        <v>0</v>
      </c>
      <c r="AH323" s="171">
        <f t="shared" si="519"/>
        <v>0</v>
      </c>
      <c r="AI323" s="171">
        <f t="shared" si="519"/>
        <v>0</v>
      </c>
      <c r="AJ323" s="171">
        <f t="shared" si="519"/>
        <v>0</v>
      </c>
      <c r="AK323" s="171">
        <f t="shared" si="520"/>
        <v>0</v>
      </c>
      <c r="AL323" s="171">
        <f t="shared" si="520"/>
        <v>0</v>
      </c>
      <c r="AM323" s="171">
        <f t="shared" si="520"/>
        <v>0</v>
      </c>
      <c r="AN323" s="171">
        <f t="shared" si="520"/>
        <v>0</v>
      </c>
      <c r="AO323" s="171">
        <f t="shared" si="520"/>
        <v>0</v>
      </c>
      <c r="AP323" s="171">
        <f t="shared" si="520"/>
        <v>0</v>
      </c>
      <c r="AQ323" s="171">
        <f t="shared" si="520"/>
        <v>0</v>
      </c>
      <c r="AR323" s="171">
        <f t="shared" si="520"/>
        <v>0</v>
      </c>
      <c r="AS323" s="171">
        <f t="shared" si="520"/>
        <v>0</v>
      </c>
      <c r="AT323" s="171">
        <f t="shared" si="520"/>
        <v>0</v>
      </c>
      <c r="AU323" s="171">
        <f t="shared" si="521"/>
        <v>0</v>
      </c>
      <c r="AV323" s="171">
        <f t="shared" si="521"/>
        <v>0</v>
      </c>
      <c r="AW323" s="171">
        <f t="shared" si="521"/>
        <v>0</v>
      </c>
      <c r="AX323" s="171">
        <f t="shared" si="521"/>
        <v>0</v>
      </c>
      <c r="AY323" s="171">
        <f t="shared" si="521"/>
        <v>0</v>
      </c>
      <c r="AZ323" s="171">
        <f t="shared" si="521"/>
        <v>0</v>
      </c>
      <c r="BA323" s="171">
        <f t="shared" si="521"/>
        <v>0</v>
      </c>
      <c r="BB323" s="171">
        <f t="shared" si="521"/>
        <v>0</v>
      </c>
      <c r="BC323" s="171">
        <f t="shared" si="521"/>
        <v>0</v>
      </c>
      <c r="BD323" s="171">
        <f t="shared" si="521"/>
        <v>0</v>
      </c>
      <c r="BE323" s="171">
        <f t="shared" si="522"/>
        <v>0</v>
      </c>
      <c r="BF323" s="171">
        <f t="shared" si="522"/>
        <v>0</v>
      </c>
      <c r="BG323" s="171">
        <f t="shared" si="522"/>
        <v>0</v>
      </c>
      <c r="BH323" s="171">
        <f t="shared" si="522"/>
        <v>0</v>
      </c>
      <c r="BI323" s="171">
        <f t="shared" si="522"/>
        <v>0</v>
      </c>
      <c r="BJ323" s="171">
        <f t="shared" si="522"/>
        <v>0</v>
      </c>
      <c r="BK323" s="171">
        <f t="shared" si="522"/>
        <v>0</v>
      </c>
      <c r="BL323" s="171">
        <f t="shared" si="522"/>
        <v>0</v>
      </c>
      <c r="BM323" s="171">
        <f t="shared" si="522"/>
        <v>0</v>
      </c>
      <c r="BN323" s="171">
        <f t="shared" si="522"/>
        <v>0</v>
      </c>
      <c r="BO323" s="171">
        <f t="shared" si="523"/>
        <v>0</v>
      </c>
      <c r="BP323" s="171">
        <f t="shared" si="523"/>
        <v>0</v>
      </c>
      <c r="BQ323" s="171">
        <f t="shared" si="523"/>
        <v>0</v>
      </c>
      <c r="BR323" s="171">
        <f t="shared" si="523"/>
        <v>0</v>
      </c>
      <c r="BS323" s="171">
        <f t="shared" si="523"/>
        <v>0</v>
      </c>
      <c r="BT323" s="171">
        <f t="shared" si="523"/>
        <v>0</v>
      </c>
      <c r="BU323" s="171">
        <f t="shared" si="523"/>
        <v>0</v>
      </c>
      <c r="BV323" s="171">
        <f t="shared" si="523"/>
        <v>0</v>
      </c>
      <c r="BW323" s="171">
        <f t="shared" si="523"/>
        <v>0</v>
      </c>
      <c r="BX323" s="171">
        <f t="shared" si="523"/>
        <v>0</v>
      </c>
      <c r="BY323" s="171">
        <f t="shared" si="524"/>
        <v>0</v>
      </c>
      <c r="BZ323" s="171">
        <f t="shared" si="524"/>
        <v>0</v>
      </c>
      <c r="CA323" s="171">
        <f t="shared" si="524"/>
        <v>0</v>
      </c>
      <c r="CB323" s="171">
        <f t="shared" si="524"/>
        <v>0</v>
      </c>
      <c r="CC323" s="171">
        <f t="shared" si="524"/>
        <v>0</v>
      </c>
      <c r="CD323" s="171">
        <f t="shared" si="524"/>
        <v>0</v>
      </c>
      <c r="CE323" s="171">
        <f t="shared" si="524"/>
        <v>0</v>
      </c>
      <c r="CF323" s="171">
        <f t="shared" si="524"/>
        <v>0</v>
      </c>
      <c r="CG323" s="171">
        <f t="shared" si="524"/>
        <v>0</v>
      </c>
      <c r="CH323" s="171">
        <f t="shared" si="524"/>
        <v>0</v>
      </c>
      <c r="CI323" s="171">
        <f t="shared" si="524"/>
        <v>0</v>
      </c>
      <c r="CJ323" s="243"/>
      <c r="CK323" s="171">
        <f t="shared" si="452"/>
        <v>0</v>
      </c>
      <c r="CL323" s="171">
        <f t="shared" si="453"/>
        <v>0</v>
      </c>
      <c r="CM323" s="171">
        <f t="shared" si="454"/>
        <v>0</v>
      </c>
      <c r="CN323" s="171">
        <f t="shared" si="455"/>
        <v>0</v>
      </c>
      <c r="CO323" s="171">
        <f t="shared" si="456"/>
        <v>0</v>
      </c>
      <c r="CP323" s="171">
        <f t="shared" si="457"/>
        <v>0</v>
      </c>
      <c r="CQ323" s="171">
        <f t="shared" si="458"/>
        <v>0</v>
      </c>
      <c r="CR323" s="171">
        <f t="shared" si="459"/>
        <v>0</v>
      </c>
      <c r="CS323" s="171">
        <f t="shared" si="460"/>
        <v>0</v>
      </c>
      <c r="CT323" s="171">
        <f t="shared" si="461"/>
        <v>0</v>
      </c>
      <c r="CU323" s="171">
        <f t="shared" si="462"/>
        <v>0</v>
      </c>
      <c r="CV323" s="171">
        <f t="shared" si="463"/>
        <v>0</v>
      </c>
      <c r="CW323" s="171">
        <f t="shared" si="464"/>
        <v>0</v>
      </c>
      <c r="CX323" s="171">
        <f t="shared" si="465"/>
        <v>0</v>
      </c>
      <c r="CY323" s="171">
        <f t="shared" ca="1" si="466"/>
        <v>0</v>
      </c>
      <c r="CZ323" s="171">
        <f t="shared" ca="1" si="467"/>
        <v>0</v>
      </c>
      <c r="DA323" s="171">
        <f t="shared" ca="1" si="468"/>
        <v>0</v>
      </c>
      <c r="DB323" s="171">
        <f t="shared" ca="1" si="469"/>
        <v>0</v>
      </c>
      <c r="DC323" s="171">
        <f t="shared" ca="1" si="470"/>
        <v>0</v>
      </c>
      <c r="DD323" s="171">
        <f t="shared" ca="1" si="471"/>
        <v>0</v>
      </c>
      <c r="DE323" s="171">
        <f t="shared" ca="1" si="472"/>
        <v>0</v>
      </c>
      <c r="DF323" s="171">
        <f t="shared" ca="1" si="473"/>
        <v>0</v>
      </c>
      <c r="DG323" s="171">
        <f t="shared" ca="1" si="474"/>
        <v>0</v>
      </c>
      <c r="DH323" s="171">
        <f t="shared" ca="1" si="475"/>
        <v>0</v>
      </c>
      <c r="DI323" s="171">
        <f t="shared" ca="1" si="476"/>
        <v>0</v>
      </c>
      <c r="DJ323" s="171">
        <f t="shared" ca="1" si="477"/>
        <v>0</v>
      </c>
      <c r="DK323" s="171">
        <f t="shared" ca="1" si="478"/>
        <v>0</v>
      </c>
      <c r="DL323" s="171">
        <f t="shared" ca="1" si="479"/>
        <v>0</v>
      </c>
      <c r="DM323" s="171">
        <f t="shared" ca="1" si="480"/>
        <v>0</v>
      </c>
      <c r="DN323" s="171">
        <f t="shared" ca="1" si="481"/>
        <v>0</v>
      </c>
      <c r="DO323" s="171">
        <f t="shared" ca="1" si="482"/>
        <v>0</v>
      </c>
      <c r="DP323" s="171">
        <f t="shared" ca="1" si="483"/>
        <v>0</v>
      </c>
      <c r="DQ323" s="171">
        <f t="shared" ca="1" si="484"/>
        <v>0</v>
      </c>
      <c r="DR323" s="171">
        <f t="shared" ca="1" si="485"/>
        <v>0</v>
      </c>
      <c r="DS323" s="171">
        <f t="shared" ca="1" si="486"/>
        <v>0</v>
      </c>
      <c r="DT323" s="171">
        <f t="shared" ca="1" si="487"/>
        <v>0</v>
      </c>
      <c r="DU323" s="171">
        <f t="shared" ca="1" si="488"/>
        <v>0</v>
      </c>
      <c r="DV323" s="171">
        <f t="shared" ca="1" si="489"/>
        <v>0</v>
      </c>
      <c r="DW323" s="171">
        <f t="shared" ca="1" si="490"/>
        <v>0</v>
      </c>
      <c r="DX323" s="171">
        <f t="shared" ca="1" si="491"/>
        <v>0</v>
      </c>
      <c r="DY323" s="171">
        <f t="shared" ca="1" si="492"/>
        <v>0</v>
      </c>
      <c r="DZ323" s="171">
        <f t="shared" ca="1" si="493"/>
        <v>0</v>
      </c>
      <c r="EA323" s="171">
        <f t="shared" ca="1" si="494"/>
        <v>0</v>
      </c>
      <c r="EB323" s="171">
        <f t="shared" ca="1" si="495"/>
        <v>0</v>
      </c>
      <c r="EC323" s="171">
        <f t="shared" ca="1" si="496"/>
        <v>0</v>
      </c>
      <c r="ED323" s="171">
        <f t="shared" ca="1" si="497"/>
        <v>0</v>
      </c>
      <c r="EE323" s="171">
        <f t="shared" ca="1" si="498"/>
        <v>0</v>
      </c>
      <c r="EF323" s="171">
        <f t="shared" ca="1" si="499"/>
        <v>0</v>
      </c>
      <c r="EG323" s="171">
        <f t="shared" ca="1" si="500"/>
        <v>0</v>
      </c>
      <c r="EH323" s="171">
        <f t="shared" ca="1" si="501"/>
        <v>0</v>
      </c>
      <c r="EI323" s="171">
        <f t="shared" ca="1" si="502"/>
        <v>0</v>
      </c>
      <c r="EJ323" s="171">
        <f t="shared" ca="1" si="503"/>
        <v>0</v>
      </c>
      <c r="EK323" s="171">
        <f t="shared" ca="1" si="504"/>
        <v>0</v>
      </c>
      <c r="EL323" s="171">
        <f t="shared" ca="1" si="505"/>
        <v>0</v>
      </c>
      <c r="EM323" s="171">
        <f t="shared" ca="1" si="506"/>
        <v>0</v>
      </c>
      <c r="EN323" s="171">
        <f t="shared" ca="1" si="507"/>
        <v>0</v>
      </c>
      <c r="EO323" s="171">
        <f t="shared" ca="1" si="508"/>
        <v>0</v>
      </c>
      <c r="EP323" s="171">
        <f t="shared" ca="1" si="509"/>
        <v>0</v>
      </c>
      <c r="EQ323" s="171">
        <f t="shared" ca="1" si="510"/>
        <v>0</v>
      </c>
      <c r="ER323" s="171">
        <f t="shared" ca="1" si="511"/>
        <v>0</v>
      </c>
      <c r="ES323" s="171">
        <f t="shared" ca="1" si="512"/>
        <v>0</v>
      </c>
    </row>
    <row r="324" spans="3:149">
      <c r="C324" s="214"/>
      <c r="H324" s="216"/>
      <c r="I324" s="217"/>
      <c r="L324" s="163"/>
      <c r="M324" s="164" t="str">
        <f t="shared" si="443"/>
        <v/>
      </c>
      <c r="N324" s="164" t="str">
        <f t="shared" si="444"/>
        <v/>
      </c>
      <c r="O324" s="165" t="str">
        <f t="shared" si="445"/>
        <v/>
      </c>
      <c r="R324" s="168"/>
      <c r="U324" s="171">
        <f t="shared" si="446"/>
        <v>0</v>
      </c>
      <c r="V324" s="171">
        <f t="shared" ca="1" si="447"/>
        <v>0</v>
      </c>
      <c r="W324" s="171">
        <f t="shared" ca="1" si="448"/>
        <v>0</v>
      </c>
      <c r="X324" s="172">
        <f t="shared" si="449"/>
        <v>0</v>
      </c>
      <c r="Y324" s="172" t="str">
        <f t="shared" si="450"/>
        <v/>
      </c>
      <c r="Z324" s="173">
        <f t="shared" si="451"/>
        <v>0</v>
      </c>
      <c r="AA324" s="171">
        <f t="shared" si="519"/>
        <v>0</v>
      </c>
      <c r="AB324" s="171">
        <f t="shared" si="519"/>
        <v>0</v>
      </c>
      <c r="AC324" s="171">
        <f t="shared" si="519"/>
        <v>0</v>
      </c>
      <c r="AD324" s="171">
        <f t="shared" si="519"/>
        <v>0</v>
      </c>
      <c r="AE324" s="171">
        <f t="shared" si="519"/>
        <v>0</v>
      </c>
      <c r="AF324" s="171">
        <f t="shared" si="519"/>
        <v>0</v>
      </c>
      <c r="AG324" s="171">
        <f t="shared" si="519"/>
        <v>0</v>
      </c>
      <c r="AH324" s="171">
        <f t="shared" si="519"/>
        <v>0</v>
      </c>
      <c r="AI324" s="171">
        <f t="shared" si="519"/>
        <v>0</v>
      </c>
      <c r="AJ324" s="171">
        <f t="shared" si="519"/>
        <v>0</v>
      </c>
      <c r="AK324" s="171">
        <f t="shared" si="520"/>
        <v>0</v>
      </c>
      <c r="AL324" s="171">
        <f t="shared" si="520"/>
        <v>0</v>
      </c>
      <c r="AM324" s="171">
        <f t="shared" si="520"/>
        <v>0</v>
      </c>
      <c r="AN324" s="171">
        <f t="shared" si="520"/>
        <v>0</v>
      </c>
      <c r="AO324" s="171">
        <f t="shared" si="520"/>
        <v>0</v>
      </c>
      <c r="AP324" s="171">
        <f t="shared" si="520"/>
        <v>0</v>
      </c>
      <c r="AQ324" s="171">
        <f t="shared" si="520"/>
        <v>0</v>
      </c>
      <c r="AR324" s="171">
        <f t="shared" si="520"/>
        <v>0</v>
      </c>
      <c r="AS324" s="171">
        <f t="shared" si="520"/>
        <v>0</v>
      </c>
      <c r="AT324" s="171">
        <f t="shared" si="520"/>
        <v>0</v>
      </c>
      <c r="AU324" s="171">
        <f t="shared" si="521"/>
        <v>0</v>
      </c>
      <c r="AV324" s="171">
        <f t="shared" si="521"/>
        <v>0</v>
      </c>
      <c r="AW324" s="171">
        <f t="shared" si="521"/>
        <v>0</v>
      </c>
      <c r="AX324" s="171">
        <f t="shared" si="521"/>
        <v>0</v>
      </c>
      <c r="AY324" s="171">
        <f t="shared" si="521"/>
        <v>0</v>
      </c>
      <c r="AZ324" s="171">
        <f t="shared" si="521"/>
        <v>0</v>
      </c>
      <c r="BA324" s="171">
        <f t="shared" si="521"/>
        <v>0</v>
      </c>
      <c r="BB324" s="171">
        <f t="shared" si="521"/>
        <v>0</v>
      </c>
      <c r="BC324" s="171">
        <f t="shared" si="521"/>
        <v>0</v>
      </c>
      <c r="BD324" s="171">
        <f t="shared" si="521"/>
        <v>0</v>
      </c>
      <c r="BE324" s="171">
        <f t="shared" si="522"/>
        <v>0</v>
      </c>
      <c r="BF324" s="171">
        <f t="shared" si="522"/>
        <v>0</v>
      </c>
      <c r="BG324" s="171">
        <f t="shared" si="522"/>
        <v>0</v>
      </c>
      <c r="BH324" s="171">
        <f t="shared" si="522"/>
        <v>0</v>
      </c>
      <c r="BI324" s="171">
        <f t="shared" si="522"/>
        <v>0</v>
      </c>
      <c r="BJ324" s="171">
        <f t="shared" si="522"/>
        <v>0</v>
      </c>
      <c r="BK324" s="171">
        <f t="shared" si="522"/>
        <v>0</v>
      </c>
      <c r="BL324" s="171">
        <f t="shared" si="522"/>
        <v>0</v>
      </c>
      <c r="BM324" s="171">
        <f t="shared" si="522"/>
        <v>0</v>
      </c>
      <c r="BN324" s="171">
        <f t="shared" si="522"/>
        <v>0</v>
      </c>
      <c r="BO324" s="171">
        <f t="shared" si="523"/>
        <v>0</v>
      </c>
      <c r="BP324" s="171">
        <f t="shared" si="523"/>
        <v>0</v>
      </c>
      <c r="BQ324" s="171">
        <f t="shared" si="523"/>
        <v>0</v>
      </c>
      <c r="BR324" s="171">
        <f t="shared" si="523"/>
        <v>0</v>
      </c>
      <c r="BS324" s="171">
        <f t="shared" si="523"/>
        <v>0</v>
      </c>
      <c r="BT324" s="171">
        <f t="shared" si="523"/>
        <v>0</v>
      </c>
      <c r="BU324" s="171">
        <f t="shared" si="523"/>
        <v>0</v>
      </c>
      <c r="BV324" s="171">
        <f t="shared" si="523"/>
        <v>0</v>
      </c>
      <c r="BW324" s="171">
        <f t="shared" si="523"/>
        <v>0</v>
      </c>
      <c r="BX324" s="171">
        <f t="shared" si="523"/>
        <v>0</v>
      </c>
      <c r="BY324" s="171">
        <f t="shared" si="524"/>
        <v>0</v>
      </c>
      <c r="BZ324" s="171">
        <f t="shared" si="524"/>
        <v>0</v>
      </c>
      <c r="CA324" s="171">
        <f t="shared" si="524"/>
        <v>0</v>
      </c>
      <c r="CB324" s="171">
        <f t="shared" si="524"/>
        <v>0</v>
      </c>
      <c r="CC324" s="171">
        <f t="shared" si="524"/>
        <v>0</v>
      </c>
      <c r="CD324" s="171">
        <f t="shared" si="524"/>
        <v>0</v>
      </c>
      <c r="CE324" s="171">
        <f t="shared" si="524"/>
        <v>0</v>
      </c>
      <c r="CF324" s="171">
        <f t="shared" si="524"/>
        <v>0</v>
      </c>
      <c r="CG324" s="171">
        <f t="shared" si="524"/>
        <v>0</v>
      </c>
      <c r="CH324" s="171">
        <f t="shared" si="524"/>
        <v>0</v>
      </c>
      <c r="CI324" s="171">
        <f t="shared" si="524"/>
        <v>0</v>
      </c>
      <c r="CJ324" s="243"/>
      <c r="CK324" s="171">
        <f t="shared" si="452"/>
        <v>0</v>
      </c>
      <c r="CL324" s="171">
        <f t="shared" si="453"/>
        <v>0</v>
      </c>
      <c r="CM324" s="171">
        <f t="shared" si="454"/>
        <v>0</v>
      </c>
      <c r="CN324" s="171">
        <f t="shared" si="455"/>
        <v>0</v>
      </c>
      <c r="CO324" s="171">
        <f t="shared" si="456"/>
        <v>0</v>
      </c>
      <c r="CP324" s="171">
        <f t="shared" si="457"/>
        <v>0</v>
      </c>
      <c r="CQ324" s="171">
        <f t="shared" si="458"/>
        <v>0</v>
      </c>
      <c r="CR324" s="171">
        <f t="shared" si="459"/>
        <v>0</v>
      </c>
      <c r="CS324" s="171">
        <f t="shared" si="460"/>
        <v>0</v>
      </c>
      <c r="CT324" s="171">
        <f t="shared" si="461"/>
        <v>0</v>
      </c>
      <c r="CU324" s="171">
        <f t="shared" si="462"/>
        <v>0</v>
      </c>
      <c r="CV324" s="171">
        <f t="shared" si="463"/>
        <v>0</v>
      </c>
      <c r="CW324" s="171">
        <f t="shared" si="464"/>
        <v>0</v>
      </c>
      <c r="CX324" s="171">
        <f t="shared" si="465"/>
        <v>0</v>
      </c>
      <c r="CY324" s="171">
        <f t="shared" ca="1" si="466"/>
        <v>0</v>
      </c>
      <c r="CZ324" s="171">
        <f t="shared" ca="1" si="467"/>
        <v>0</v>
      </c>
      <c r="DA324" s="171">
        <f t="shared" ca="1" si="468"/>
        <v>0</v>
      </c>
      <c r="DB324" s="171">
        <f t="shared" ca="1" si="469"/>
        <v>0</v>
      </c>
      <c r="DC324" s="171">
        <f t="shared" ca="1" si="470"/>
        <v>0</v>
      </c>
      <c r="DD324" s="171">
        <f t="shared" ca="1" si="471"/>
        <v>0</v>
      </c>
      <c r="DE324" s="171">
        <f t="shared" ca="1" si="472"/>
        <v>0</v>
      </c>
      <c r="DF324" s="171">
        <f t="shared" ca="1" si="473"/>
        <v>0</v>
      </c>
      <c r="DG324" s="171">
        <f t="shared" ca="1" si="474"/>
        <v>0</v>
      </c>
      <c r="DH324" s="171">
        <f t="shared" ca="1" si="475"/>
        <v>0</v>
      </c>
      <c r="DI324" s="171">
        <f t="shared" ca="1" si="476"/>
        <v>0</v>
      </c>
      <c r="DJ324" s="171">
        <f t="shared" ca="1" si="477"/>
        <v>0</v>
      </c>
      <c r="DK324" s="171">
        <f t="shared" ca="1" si="478"/>
        <v>0</v>
      </c>
      <c r="DL324" s="171">
        <f t="shared" ca="1" si="479"/>
        <v>0</v>
      </c>
      <c r="DM324" s="171">
        <f t="shared" ca="1" si="480"/>
        <v>0</v>
      </c>
      <c r="DN324" s="171">
        <f t="shared" ca="1" si="481"/>
        <v>0</v>
      </c>
      <c r="DO324" s="171">
        <f t="shared" ca="1" si="482"/>
        <v>0</v>
      </c>
      <c r="DP324" s="171">
        <f t="shared" ca="1" si="483"/>
        <v>0</v>
      </c>
      <c r="DQ324" s="171">
        <f t="shared" ca="1" si="484"/>
        <v>0</v>
      </c>
      <c r="DR324" s="171">
        <f t="shared" ca="1" si="485"/>
        <v>0</v>
      </c>
      <c r="DS324" s="171">
        <f t="shared" ca="1" si="486"/>
        <v>0</v>
      </c>
      <c r="DT324" s="171">
        <f t="shared" ca="1" si="487"/>
        <v>0</v>
      </c>
      <c r="DU324" s="171">
        <f t="shared" ca="1" si="488"/>
        <v>0</v>
      </c>
      <c r="DV324" s="171">
        <f t="shared" ca="1" si="489"/>
        <v>0</v>
      </c>
      <c r="DW324" s="171">
        <f t="shared" ca="1" si="490"/>
        <v>0</v>
      </c>
      <c r="DX324" s="171">
        <f t="shared" ca="1" si="491"/>
        <v>0</v>
      </c>
      <c r="DY324" s="171">
        <f t="shared" ca="1" si="492"/>
        <v>0</v>
      </c>
      <c r="DZ324" s="171">
        <f t="shared" ca="1" si="493"/>
        <v>0</v>
      </c>
      <c r="EA324" s="171">
        <f t="shared" ca="1" si="494"/>
        <v>0</v>
      </c>
      <c r="EB324" s="171">
        <f t="shared" ca="1" si="495"/>
        <v>0</v>
      </c>
      <c r="EC324" s="171">
        <f t="shared" ca="1" si="496"/>
        <v>0</v>
      </c>
      <c r="ED324" s="171">
        <f t="shared" ca="1" si="497"/>
        <v>0</v>
      </c>
      <c r="EE324" s="171">
        <f t="shared" ca="1" si="498"/>
        <v>0</v>
      </c>
      <c r="EF324" s="171">
        <f t="shared" ca="1" si="499"/>
        <v>0</v>
      </c>
      <c r="EG324" s="171">
        <f t="shared" ca="1" si="500"/>
        <v>0</v>
      </c>
      <c r="EH324" s="171">
        <f t="shared" ca="1" si="501"/>
        <v>0</v>
      </c>
      <c r="EI324" s="171">
        <f t="shared" ca="1" si="502"/>
        <v>0</v>
      </c>
      <c r="EJ324" s="171">
        <f t="shared" ca="1" si="503"/>
        <v>0</v>
      </c>
      <c r="EK324" s="171">
        <f t="shared" ca="1" si="504"/>
        <v>0</v>
      </c>
      <c r="EL324" s="171">
        <f t="shared" ca="1" si="505"/>
        <v>0</v>
      </c>
      <c r="EM324" s="171">
        <f t="shared" ca="1" si="506"/>
        <v>0</v>
      </c>
      <c r="EN324" s="171">
        <f t="shared" ca="1" si="507"/>
        <v>0</v>
      </c>
      <c r="EO324" s="171">
        <f t="shared" ca="1" si="508"/>
        <v>0</v>
      </c>
      <c r="EP324" s="171">
        <f t="shared" ca="1" si="509"/>
        <v>0</v>
      </c>
      <c r="EQ324" s="171">
        <f t="shared" ca="1" si="510"/>
        <v>0</v>
      </c>
      <c r="ER324" s="171">
        <f t="shared" ca="1" si="511"/>
        <v>0</v>
      </c>
      <c r="ES324" s="171">
        <f t="shared" ca="1" si="512"/>
        <v>0</v>
      </c>
    </row>
    <row r="325" spans="3:149">
      <c r="C325" s="214"/>
      <c r="H325" s="216"/>
      <c r="I325" s="217"/>
      <c r="L325" s="163"/>
      <c r="M325" s="164" t="str">
        <f t="shared" si="443"/>
        <v/>
      </c>
      <c r="N325" s="164" t="str">
        <f t="shared" si="444"/>
        <v/>
      </c>
      <c r="O325" s="165" t="str">
        <f t="shared" si="445"/>
        <v/>
      </c>
      <c r="R325" s="168"/>
      <c r="U325" s="171">
        <f t="shared" si="446"/>
        <v>0</v>
      </c>
      <c r="V325" s="171">
        <f t="shared" ca="1" si="447"/>
        <v>0</v>
      </c>
      <c r="W325" s="171">
        <f t="shared" ca="1" si="448"/>
        <v>0</v>
      </c>
      <c r="X325" s="172">
        <f t="shared" si="449"/>
        <v>0</v>
      </c>
      <c r="Y325" s="172" t="str">
        <f t="shared" si="450"/>
        <v/>
      </c>
      <c r="Z325" s="173">
        <f t="shared" si="451"/>
        <v>0</v>
      </c>
      <c r="AA325" s="171">
        <f t="shared" si="519"/>
        <v>0</v>
      </c>
      <c r="AB325" s="171">
        <f t="shared" si="519"/>
        <v>0</v>
      </c>
      <c r="AC325" s="171">
        <f t="shared" si="519"/>
        <v>0</v>
      </c>
      <c r="AD325" s="171">
        <f t="shared" si="519"/>
        <v>0</v>
      </c>
      <c r="AE325" s="171">
        <f t="shared" si="519"/>
        <v>0</v>
      </c>
      <c r="AF325" s="171">
        <f t="shared" si="519"/>
        <v>0</v>
      </c>
      <c r="AG325" s="171">
        <f t="shared" si="519"/>
        <v>0</v>
      </c>
      <c r="AH325" s="171">
        <f t="shared" si="519"/>
        <v>0</v>
      </c>
      <c r="AI325" s="171">
        <f t="shared" si="519"/>
        <v>0</v>
      </c>
      <c r="AJ325" s="171">
        <f t="shared" si="519"/>
        <v>0</v>
      </c>
      <c r="AK325" s="171">
        <f t="shared" si="520"/>
        <v>0</v>
      </c>
      <c r="AL325" s="171">
        <f t="shared" si="520"/>
        <v>0</v>
      </c>
      <c r="AM325" s="171">
        <f t="shared" si="520"/>
        <v>0</v>
      </c>
      <c r="AN325" s="171">
        <f t="shared" si="520"/>
        <v>0</v>
      </c>
      <c r="AO325" s="171">
        <f t="shared" si="520"/>
        <v>0</v>
      </c>
      <c r="AP325" s="171">
        <f t="shared" si="520"/>
        <v>0</v>
      </c>
      <c r="AQ325" s="171">
        <f t="shared" si="520"/>
        <v>0</v>
      </c>
      <c r="AR325" s="171">
        <f t="shared" si="520"/>
        <v>0</v>
      </c>
      <c r="AS325" s="171">
        <f t="shared" si="520"/>
        <v>0</v>
      </c>
      <c r="AT325" s="171">
        <f t="shared" si="520"/>
        <v>0</v>
      </c>
      <c r="AU325" s="171">
        <f t="shared" si="521"/>
        <v>0</v>
      </c>
      <c r="AV325" s="171">
        <f t="shared" si="521"/>
        <v>0</v>
      </c>
      <c r="AW325" s="171">
        <f t="shared" si="521"/>
        <v>0</v>
      </c>
      <c r="AX325" s="171">
        <f t="shared" si="521"/>
        <v>0</v>
      </c>
      <c r="AY325" s="171">
        <f t="shared" si="521"/>
        <v>0</v>
      </c>
      <c r="AZ325" s="171">
        <f t="shared" si="521"/>
        <v>0</v>
      </c>
      <c r="BA325" s="171">
        <f t="shared" si="521"/>
        <v>0</v>
      </c>
      <c r="BB325" s="171">
        <f t="shared" si="521"/>
        <v>0</v>
      </c>
      <c r="BC325" s="171">
        <f t="shared" si="521"/>
        <v>0</v>
      </c>
      <c r="BD325" s="171">
        <f t="shared" si="521"/>
        <v>0</v>
      </c>
      <c r="BE325" s="171">
        <f t="shared" si="522"/>
        <v>0</v>
      </c>
      <c r="BF325" s="171">
        <f t="shared" si="522"/>
        <v>0</v>
      </c>
      <c r="BG325" s="171">
        <f t="shared" si="522"/>
        <v>0</v>
      </c>
      <c r="BH325" s="171">
        <f t="shared" si="522"/>
        <v>0</v>
      </c>
      <c r="BI325" s="171">
        <f t="shared" si="522"/>
        <v>0</v>
      </c>
      <c r="BJ325" s="171">
        <f t="shared" si="522"/>
        <v>0</v>
      </c>
      <c r="BK325" s="171">
        <f t="shared" si="522"/>
        <v>0</v>
      </c>
      <c r="BL325" s="171">
        <f t="shared" si="522"/>
        <v>0</v>
      </c>
      <c r="BM325" s="171">
        <f t="shared" si="522"/>
        <v>0</v>
      </c>
      <c r="BN325" s="171">
        <f t="shared" si="522"/>
        <v>0</v>
      </c>
      <c r="BO325" s="171">
        <f t="shared" si="523"/>
        <v>0</v>
      </c>
      <c r="BP325" s="171">
        <f t="shared" si="523"/>
        <v>0</v>
      </c>
      <c r="BQ325" s="171">
        <f t="shared" si="523"/>
        <v>0</v>
      </c>
      <c r="BR325" s="171">
        <f t="shared" si="523"/>
        <v>0</v>
      </c>
      <c r="BS325" s="171">
        <f t="shared" si="523"/>
        <v>0</v>
      </c>
      <c r="BT325" s="171">
        <f t="shared" si="523"/>
        <v>0</v>
      </c>
      <c r="BU325" s="171">
        <f t="shared" si="523"/>
        <v>0</v>
      </c>
      <c r="BV325" s="171">
        <f t="shared" si="523"/>
        <v>0</v>
      </c>
      <c r="BW325" s="171">
        <f t="shared" si="523"/>
        <v>0</v>
      </c>
      <c r="BX325" s="171">
        <f t="shared" si="523"/>
        <v>0</v>
      </c>
      <c r="BY325" s="171">
        <f t="shared" si="524"/>
        <v>0</v>
      </c>
      <c r="BZ325" s="171">
        <f t="shared" si="524"/>
        <v>0</v>
      </c>
      <c r="CA325" s="171">
        <f t="shared" si="524"/>
        <v>0</v>
      </c>
      <c r="CB325" s="171">
        <f t="shared" si="524"/>
        <v>0</v>
      </c>
      <c r="CC325" s="171">
        <f t="shared" si="524"/>
        <v>0</v>
      </c>
      <c r="CD325" s="171">
        <f t="shared" si="524"/>
        <v>0</v>
      </c>
      <c r="CE325" s="171">
        <f t="shared" si="524"/>
        <v>0</v>
      </c>
      <c r="CF325" s="171">
        <f t="shared" si="524"/>
        <v>0</v>
      </c>
      <c r="CG325" s="171">
        <f t="shared" si="524"/>
        <v>0</v>
      </c>
      <c r="CH325" s="171">
        <f t="shared" si="524"/>
        <v>0</v>
      </c>
      <c r="CI325" s="171">
        <f t="shared" si="524"/>
        <v>0</v>
      </c>
      <c r="CJ325" s="243"/>
      <c r="CK325" s="171">
        <f t="shared" si="452"/>
        <v>0</v>
      </c>
      <c r="CL325" s="171">
        <f t="shared" si="453"/>
        <v>0</v>
      </c>
      <c r="CM325" s="171">
        <f t="shared" si="454"/>
        <v>0</v>
      </c>
      <c r="CN325" s="171">
        <f t="shared" si="455"/>
        <v>0</v>
      </c>
      <c r="CO325" s="171">
        <f t="shared" si="456"/>
        <v>0</v>
      </c>
      <c r="CP325" s="171">
        <f t="shared" si="457"/>
        <v>0</v>
      </c>
      <c r="CQ325" s="171">
        <f t="shared" si="458"/>
        <v>0</v>
      </c>
      <c r="CR325" s="171">
        <f t="shared" si="459"/>
        <v>0</v>
      </c>
      <c r="CS325" s="171">
        <f t="shared" si="460"/>
        <v>0</v>
      </c>
      <c r="CT325" s="171">
        <f t="shared" si="461"/>
        <v>0</v>
      </c>
      <c r="CU325" s="171">
        <f t="shared" si="462"/>
        <v>0</v>
      </c>
      <c r="CV325" s="171">
        <f t="shared" si="463"/>
        <v>0</v>
      </c>
      <c r="CW325" s="171">
        <f t="shared" si="464"/>
        <v>0</v>
      </c>
      <c r="CX325" s="171">
        <f t="shared" si="465"/>
        <v>0</v>
      </c>
      <c r="CY325" s="171">
        <f t="shared" ca="1" si="466"/>
        <v>0</v>
      </c>
      <c r="CZ325" s="171">
        <f t="shared" ca="1" si="467"/>
        <v>0</v>
      </c>
      <c r="DA325" s="171">
        <f t="shared" ca="1" si="468"/>
        <v>0</v>
      </c>
      <c r="DB325" s="171">
        <f t="shared" ca="1" si="469"/>
        <v>0</v>
      </c>
      <c r="DC325" s="171">
        <f t="shared" ca="1" si="470"/>
        <v>0</v>
      </c>
      <c r="DD325" s="171">
        <f t="shared" ca="1" si="471"/>
        <v>0</v>
      </c>
      <c r="DE325" s="171">
        <f t="shared" ca="1" si="472"/>
        <v>0</v>
      </c>
      <c r="DF325" s="171">
        <f t="shared" ca="1" si="473"/>
        <v>0</v>
      </c>
      <c r="DG325" s="171">
        <f t="shared" ca="1" si="474"/>
        <v>0</v>
      </c>
      <c r="DH325" s="171">
        <f t="shared" ca="1" si="475"/>
        <v>0</v>
      </c>
      <c r="DI325" s="171">
        <f t="shared" ca="1" si="476"/>
        <v>0</v>
      </c>
      <c r="DJ325" s="171">
        <f t="shared" ca="1" si="477"/>
        <v>0</v>
      </c>
      <c r="DK325" s="171">
        <f t="shared" ca="1" si="478"/>
        <v>0</v>
      </c>
      <c r="DL325" s="171">
        <f t="shared" ca="1" si="479"/>
        <v>0</v>
      </c>
      <c r="DM325" s="171">
        <f t="shared" ca="1" si="480"/>
        <v>0</v>
      </c>
      <c r="DN325" s="171">
        <f t="shared" ca="1" si="481"/>
        <v>0</v>
      </c>
      <c r="DO325" s="171">
        <f t="shared" ca="1" si="482"/>
        <v>0</v>
      </c>
      <c r="DP325" s="171">
        <f t="shared" ca="1" si="483"/>
        <v>0</v>
      </c>
      <c r="DQ325" s="171">
        <f t="shared" ca="1" si="484"/>
        <v>0</v>
      </c>
      <c r="DR325" s="171">
        <f t="shared" ca="1" si="485"/>
        <v>0</v>
      </c>
      <c r="DS325" s="171">
        <f t="shared" ca="1" si="486"/>
        <v>0</v>
      </c>
      <c r="DT325" s="171">
        <f t="shared" ca="1" si="487"/>
        <v>0</v>
      </c>
      <c r="DU325" s="171">
        <f t="shared" ca="1" si="488"/>
        <v>0</v>
      </c>
      <c r="DV325" s="171">
        <f t="shared" ca="1" si="489"/>
        <v>0</v>
      </c>
      <c r="DW325" s="171">
        <f t="shared" ca="1" si="490"/>
        <v>0</v>
      </c>
      <c r="DX325" s="171">
        <f t="shared" ca="1" si="491"/>
        <v>0</v>
      </c>
      <c r="DY325" s="171">
        <f t="shared" ca="1" si="492"/>
        <v>0</v>
      </c>
      <c r="DZ325" s="171">
        <f t="shared" ca="1" si="493"/>
        <v>0</v>
      </c>
      <c r="EA325" s="171">
        <f t="shared" ca="1" si="494"/>
        <v>0</v>
      </c>
      <c r="EB325" s="171">
        <f t="shared" ca="1" si="495"/>
        <v>0</v>
      </c>
      <c r="EC325" s="171">
        <f t="shared" ca="1" si="496"/>
        <v>0</v>
      </c>
      <c r="ED325" s="171">
        <f t="shared" ca="1" si="497"/>
        <v>0</v>
      </c>
      <c r="EE325" s="171">
        <f t="shared" ca="1" si="498"/>
        <v>0</v>
      </c>
      <c r="EF325" s="171">
        <f t="shared" ca="1" si="499"/>
        <v>0</v>
      </c>
      <c r="EG325" s="171">
        <f t="shared" ca="1" si="500"/>
        <v>0</v>
      </c>
      <c r="EH325" s="171">
        <f t="shared" ca="1" si="501"/>
        <v>0</v>
      </c>
      <c r="EI325" s="171">
        <f t="shared" ca="1" si="502"/>
        <v>0</v>
      </c>
      <c r="EJ325" s="171">
        <f t="shared" ca="1" si="503"/>
        <v>0</v>
      </c>
      <c r="EK325" s="171">
        <f t="shared" ca="1" si="504"/>
        <v>0</v>
      </c>
      <c r="EL325" s="171">
        <f t="shared" ca="1" si="505"/>
        <v>0</v>
      </c>
      <c r="EM325" s="171">
        <f t="shared" ca="1" si="506"/>
        <v>0</v>
      </c>
      <c r="EN325" s="171">
        <f t="shared" ca="1" si="507"/>
        <v>0</v>
      </c>
      <c r="EO325" s="171">
        <f t="shared" ca="1" si="508"/>
        <v>0</v>
      </c>
      <c r="EP325" s="171">
        <f t="shared" ca="1" si="509"/>
        <v>0</v>
      </c>
      <c r="EQ325" s="171">
        <f t="shared" ca="1" si="510"/>
        <v>0</v>
      </c>
      <c r="ER325" s="171">
        <f t="shared" ca="1" si="511"/>
        <v>0</v>
      </c>
      <c r="ES325" s="171">
        <f t="shared" ca="1" si="512"/>
        <v>0</v>
      </c>
    </row>
    <row r="326" spans="3:149">
      <c r="C326" s="214"/>
      <c r="H326" s="216"/>
      <c r="I326" s="217"/>
      <c r="L326" s="163"/>
      <c r="M326" s="164" t="str">
        <f t="shared" si="443"/>
        <v/>
      </c>
      <c r="N326" s="164" t="str">
        <f t="shared" si="444"/>
        <v/>
      </c>
      <c r="O326" s="165" t="str">
        <f t="shared" si="445"/>
        <v/>
      </c>
      <c r="R326" s="168"/>
      <c r="U326" s="171">
        <f t="shared" si="446"/>
        <v>0</v>
      </c>
      <c r="V326" s="171">
        <f t="shared" ca="1" si="447"/>
        <v>0</v>
      </c>
      <c r="W326" s="171">
        <f t="shared" ca="1" si="448"/>
        <v>0</v>
      </c>
      <c r="X326" s="172">
        <f t="shared" si="449"/>
        <v>0</v>
      </c>
      <c r="Y326" s="172" t="str">
        <f t="shared" si="450"/>
        <v/>
      </c>
      <c r="Z326" s="173">
        <f t="shared" si="451"/>
        <v>0</v>
      </c>
      <c r="AA326" s="171">
        <f t="shared" si="519"/>
        <v>0</v>
      </c>
      <c r="AB326" s="171">
        <f t="shared" si="519"/>
        <v>0</v>
      </c>
      <c r="AC326" s="171">
        <f t="shared" si="519"/>
        <v>0</v>
      </c>
      <c r="AD326" s="171">
        <f t="shared" si="519"/>
        <v>0</v>
      </c>
      <c r="AE326" s="171">
        <f t="shared" si="519"/>
        <v>0</v>
      </c>
      <c r="AF326" s="171">
        <f t="shared" si="519"/>
        <v>0</v>
      </c>
      <c r="AG326" s="171">
        <f t="shared" si="519"/>
        <v>0</v>
      </c>
      <c r="AH326" s="171">
        <f t="shared" si="519"/>
        <v>0</v>
      </c>
      <c r="AI326" s="171">
        <f t="shared" si="519"/>
        <v>0</v>
      </c>
      <c r="AJ326" s="171">
        <f t="shared" si="519"/>
        <v>0</v>
      </c>
      <c r="AK326" s="171">
        <f t="shared" si="520"/>
        <v>0</v>
      </c>
      <c r="AL326" s="171">
        <f t="shared" si="520"/>
        <v>0</v>
      </c>
      <c r="AM326" s="171">
        <f t="shared" si="520"/>
        <v>0</v>
      </c>
      <c r="AN326" s="171">
        <f t="shared" si="520"/>
        <v>0</v>
      </c>
      <c r="AO326" s="171">
        <f t="shared" si="520"/>
        <v>0</v>
      </c>
      <c r="AP326" s="171">
        <f t="shared" si="520"/>
        <v>0</v>
      </c>
      <c r="AQ326" s="171">
        <f t="shared" si="520"/>
        <v>0</v>
      </c>
      <c r="AR326" s="171">
        <f t="shared" si="520"/>
        <v>0</v>
      </c>
      <c r="AS326" s="171">
        <f t="shared" si="520"/>
        <v>0</v>
      </c>
      <c r="AT326" s="171">
        <f t="shared" si="520"/>
        <v>0</v>
      </c>
      <c r="AU326" s="171">
        <f t="shared" si="521"/>
        <v>0</v>
      </c>
      <c r="AV326" s="171">
        <f t="shared" si="521"/>
        <v>0</v>
      </c>
      <c r="AW326" s="171">
        <f t="shared" si="521"/>
        <v>0</v>
      </c>
      <c r="AX326" s="171">
        <f t="shared" si="521"/>
        <v>0</v>
      </c>
      <c r="AY326" s="171">
        <f t="shared" si="521"/>
        <v>0</v>
      </c>
      <c r="AZ326" s="171">
        <f t="shared" si="521"/>
        <v>0</v>
      </c>
      <c r="BA326" s="171">
        <f t="shared" si="521"/>
        <v>0</v>
      </c>
      <c r="BB326" s="171">
        <f t="shared" si="521"/>
        <v>0</v>
      </c>
      <c r="BC326" s="171">
        <f t="shared" si="521"/>
        <v>0</v>
      </c>
      <c r="BD326" s="171">
        <f t="shared" si="521"/>
        <v>0</v>
      </c>
      <c r="BE326" s="171">
        <f t="shared" si="522"/>
        <v>0</v>
      </c>
      <c r="BF326" s="171">
        <f t="shared" si="522"/>
        <v>0</v>
      </c>
      <c r="BG326" s="171">
        <f t="shared" si="522"/>
        <v>0</v>
      </c>
      <c r="BH326" s="171">
        <f t="shared" si="522"/>
        <v>0</v>
      </c>
      <c r="BI326" s="171">
        <f t="shared" si="522"/>
        <v>0</v>
      </c>
      <c r="BJ326" s="171">
        <f t="shared" si="522"/>
        <v>0</v>
      </c>
      <c r="BK326" s="171">
        <f t="shared" si="522"/>
        <v>0</v>
      </c>
      <c r="BL326" s="171">
        <f t="shared" si="522"/>
        <v>0</v>
      </c>
      <c r="BM326" s="171">
        <f t="shared" si="522"/>
        <v>0</v>
      </c>
      <c r="BN326" s="171">
        <f t="shared" si="522"/>
        <v>0</v>
      </c>
      <c r="BO326" s="171">
        <f t="shared" si="523"/>
        <v>0</v>
      </c>
      <c r="BP326" s="171">
        <f t="shared" si="523"/>
        <v>0</v>
      </c>
      <c r="BQ326" s="171">
        <f t="shared" si="523"/>
        <v>0</v>
      </c>
      <c r="BR326" s="171">
        <f t="shared" si="523"/>
        <v>0</v>
      </c>
      <c r="BS326" s="171">
        <f t="shared" si="523"/>
        <v>0</v>
      </c>
      <c r="BT326" s="171">
        <f t="shared" si="523"/>
        <v>0</v>
      </c>
      <c r="BU326" s="171">
        <f t="shared" si="523"/>
        <v>0</v>
      </c>
      <c r="BV326" s="171">
        <f t="shared" si="523"/>
        <v>0</v>
      </c>
      <c r="BW326" s="171">
        <f t="shared" si="523"/>
        <v>0</v>
      </c>
      <c r="BX326" s="171">
        <f t="shared" si="523"/>
        <v>0</v>
      </c>
      <c r="BY326" s="171">
        <f t="shared" si="524"/>
        <v>0</v>
      </c>
      <c r="BZ326" s="171">
        <f t="shared" si="524"/>
        <v>0</v>
      </c>
      <c r="CA326" s="171">
        <f t="shared" si="524"/>
        <v>0</v>
      </c>
      <c r="CB326" s="171">
        <f t="shared" si="524"/>
        <v>0</v>
      </c>
      <c r="CC326" s="171">
        <f t="shared" si="524"/>
        <v>0</v>
      </c>
      <c r="CD326" s="171">
        <f t="shared" si="524"/>
        <v>0</v>
      </c>
      <c r="CE326" s="171">
        <f t="shared" si="524"/>
        <v>0</v>
      </c>
      <c r="CF326" s="171">
        <f t="shared" si="524"/>
        <v>0</v>
      </c>
      <c r="CG326" s="171">
        <f t="shared" si="524"/>
        <v>0</v>
      </c>
      <c r="CH326" s="171">
        <f t="shared" si="524"/>
        <v>0</v>
      </c>
      <c r="CI326" s="171">
        <f t="shared" si="524"/>
        <v>0</v>
      </c>
      <c r="CJ326" s="243"/>
      <c r="CK326" s="171">
        <f t="shared" si="452"/>
        <v>0</v>
      </c>
      <c r="CL326" s="171">
        <f t="shared" si="453"/>
        <v>0</v>
      </c>
      <c r="CM326" s="171">
        <f t="shared" si="454"/>
        <v>0</v>
      </c>
      <c r="CN326" s="171">
        <f t="shared" si="455"/>
        <v>0</v>
      </c>
      <c r="CO326" s="171">
        <f t="shared" si="456"/>
        <v>0</v>
      </c>
      <c r="CP326" s="171">
        <f t="shared" si="457"/>
        <v>0</v>
      </c>
      <c r="CQ326" s="171">
        <f t="shared" si="458"/>
        <v>0</v>
      </c>
      <c r="CR326" s="171">
        <f t="shared" si="459"/>
        <v>0</v>
      </c>
      <c r="CS326" s="171">
        <f t="shared" si="460"/>
        <v>0</v>
      </c>
      <c r="CT326" s="171">
        <f t="shared" si="461"/>
        <v>0</v>
      </c>
      <c r="CU326" s="171">
        <f t="shared" si="462"/>
        <v>0</v>
      </c>
      <c r="CV326" s="171">
        <f t="shared" si="463"/>
        <v>0</v>
      </c>
      <c r="CW326" s="171">
        <f t="shared" si="464"/>
        <v>0</v>
      </c>
      <c r="CX326" s="171">
        <f t="shared" si="465"/>
        <v>0</v>
      </c>
      <c r="CY326" s="171">
        <f t="shared" ca="1" si="466"/>
        <v>0</v>
      </c>
      <c r="CZ326" s="171">
        <f t="shared" ca="1" si="467"/>
        <v>0</v>
      </c>
      <c r="DA326" s="171">
        <f t="shared" ca="1" si="468"/>
        <v>0</v>
      </c>
      <c r="DB326" s="171">
        <f t="shared" ca="1" si="469"/>
        <v>0</v>
      </c>
      <c r="DC326" s="171">
        <f t="shared" ca="1" si="470"/>
        <v>0</v>
      </c>
      <c r="DD326" s="171">
        <f t="shared" ca="1" si="471"/>
        <v>0</v>
      </c>
      <c r="DE326" s="171">
        <f t="shared" ca="1" si="472"/>
        <v>0</v>
      </c>
      <c r="DF326" s="171">
        <f t="shared" ca="1" si="473"/>
        <v>0</v>
      </c>
      <c r="DG326" s="171">
        <f t="shared" ca="1" si="474"/>
        <v>0</v>
      </c>
      <c r="DH326" s="171">
        <f t="shared" ca="1" si="475"/>
        <v>0</v>
      </c>
      <c r="DI326" s="171">
        <f t="shared" ca="1" si="476"/>
        <v>0</v>
      </c>
      <c r="DJ326" s="171">
        <f t="shared" ca="1" si="477"/>
        <v>0</v>
      </c>
      <c r="DK326" s="171">
        <f t="shared" ca="1" si="478"/>
        <v>0</v>
      </c>
      <c r="DL326" s="171">
        <f t="shared" ca="1" si="479"/>
        <v>0</v>
      </c>
      <c r="DM326" s="171">
        <f t="shared" ca="1" si="480"/>
        <v>0</v>
      </c>
      <c r="DN326" s="171">
        <f t="shared" ca="1" si="481"/>
        <v>0</v>
      </c>
      <c r="DO326" s="171">
        <f t="shared" ca="1" si="482"/>
        <v>0</v>
      </c>
      <c r="DP326" s="171">
        <f t="shared" ca="1" si="483"/>
        <v>0</v>
      </c>
      <c r="DQ326" s="171">
        <f t="shared" ca="1" si="484"/>
        <v>0</v>
      </c>
      <c r="DR326" s="171">
        <f t="shared" ca="1" si="485"/>
        <v>0</v>
      </c>
      <c r="DS326" s="171">
        <f t="shared" ca="1" si="486"/>
        <v>0</v>
      </c>
      <c r="DT326" s="171">
        <f t="shared" ca="1" si="487"/>
        <v>0</v>
      </c>
      <c r="DU326" s="171">
        <f t="shared" ca="1" si="488"/>
        <v>0</v>
      </c>
      <c r="DV326" s="171">
        <f t="shared" ca="1" si="489"/>
        <v>0</v>
      </c>
      <c r="DW326" s="171">
        <f t="shared" ca="1" si="490"/>
        <v>0</v>
      </c>
      <c r="DX326" s="171">
        <f t="shared" ca="1" si="491"/>
        <v>0</v>
      </c>
      <c r="DY326" s="171">
        <f t="shared" ca="1" si="492"/>
        <v>0</v>
      </c>
      <c r="DZ326" s="171">
        <f t="shared" ca="1" si="493"/>
        <v>0</v>
      </c>
      <c r="EA326" s="171">
        <f t="shared" ca="1" si="494"/>
        <v>0</v>
      </c>
      <c r="EB326" s="171">
        <f t="shared" ca="1" si="495"/>
        <v>0</v>
      </c>
      <c r="EC326" s="171">
        <f t="shared" ca="1" si="496"/>
        <v>0</v>
      </c>
      <c r="ED326" s="171">
        <f t="shared" ca="1" si="497"/>
        <v>0</v>
      </c>
      <c r="EE326" s="171">
        <f t="shared" ca="1" si="498"/>
        <v>0</v>
      </c>
      <c r="EF326" s="171">
        <f t="shared" ca="1" si="499"/>
        <v>0</v>
      </c>
      <c r="EG326" s="171">
        <f t="shared" ca="1" si="500"/>
        <v>0</v>
      </c>
      <c r="EH326" s="171">
        <f t="shared" ca="1" si="501"/>
        <v>0</v>
      </c>
      <c r="EI326" s="171">
        <f t="shared" ca="1" si="502"/>
        <v>0</v>
      </c>
      <c r="EJ326" s="171">
        <f t="shared" ca="1" si="503"/>
        <v>0</v>
      </c>
      <c r="EK326" s="171">
        <f t="shared" ca="1" si="504"/>
        <v>0</v>
      </c>
      <c r="EL326" s="171">
        <f t="shared" ca="1" si="505"/>
        <v>0</v>
      </c>
      <c r="EM326" s="171">
        <f t="shared" ca="1" si="506"/>
        <v>0</v>
      </c>
      <c r="EN326" s="171">
        <f t="shared" ca="1" si="507"/>
        <v>0</v>
      </c>
      <c r="EO326" s="171">
        <f t="shared" ca="1" si="508"/>
        <v>0</v>
      </c>
      <c r="EP326" s="171">
        <f t="shared" ca="1" si="509"/>
        <v>0</v>
      </c>
      <c r="EQ326" s="171">
        <f t="shared" ca="1" si="510"/>
        <v>0</v>
      </c>
      <c r="ER326" s="171">
        <f t="shared" ca="1" si="511"/>
        <v>0</v>
      </c>
      <c r="ES326" s="171">
        <f t="shared" ca="1" si="512"/>
        <v>0</v>
      </c>
    </row>
    <row r="327" spans="3:149">
      <c r="C327" s="214"/>
      <c r="H327" s="216"/>
      <c r="I327" s="217"/>
      <c r="L327" s="163"/>
      <c r="M327" s="164" t="str">
        <f t="shared" si="443"/>
        <v/>
      </c>
      <c r="N327" s="164" t="str">
        <f t="shared" si="444"/>
        <v/>
      </c>
      <c r="O327" s="165" t="str">
        <f t="shared" si="445"/>
        <v/>
      </c>
      <c r="R327" s="168"/>
      <c r="U327" s="171">
        <f t="shared" si="446"/>
        <v>0</v>
      </c>
      <c r="V327" s="171">
        <f t="shared" ca="1" si="447"/>
        <v>0</v>
      </c>
      <c r="W327" s="171">
        <f t="shared" ca="1" si="448"/>
        <v>0</v>
      </c>
      <c r="X327" s="172">
        <f t="shared" si="449"/>
        <v>0</v>
      </c>
      <c r="Y327" s="172" t="str">
        <f t="shared" si="450"/>
        <v/>
      </c>
      <c r="Z327" s="173">
        <f t="shared" si="451"/>
        <v>0</v>
      </c>
      <c r="AA327" s="171">
        <f t="shared" si="519"/>
        <v>0</v>
      </c>
      <c r="AB327" s="171">
        <f t="shared" si="519"/>
        <v>0</v>
      </c>
      <c r="AC327" s="171">
        <f t="shared" si="519"/>
        <v>0</v>
      </c>
      <c r="AD327" s="171">
        <f t="shared" si="519"/>
        <v>0</v>
      </c>
      <c r="AE327" s="171">
        <f t="shared" si="519"/>
        <v>0</v>
      </c>
      <c r="AF327" s="171">
        <f t="shared" si="519"/>
        <v>0</v>
      </c>
      <c r="AG327" s="171">
        <f t="shared" si="519"/>
        <v>0</v>
      </c>
      <c r="AH327" s="171">
        <f t="shared" si="519"/>
        <v>0</v>
      </c>
      <c r="AI327" s="171">
        <f t="shared" si="519"/>
        <v>0</v>
      </c>
      <c r="AJ327" s="171">
        <f t="shared" si="519"/>
        <v>0</v>
      </c>
      <c r="AK327" s="171">
        <f t="shared" si="520"/>
        <v>0</v>
      </c>
      <c r="AL327" s="171">
        <f t="shared" si="520"/>
        <v>0</v>
      </c>
      <c r="AM327" s="171">
        <f t="shared" si="520"/>
        <v>0</v>
      </c>
      <c r="AN327" s="171">
        <f t="shared" si="520"/>
        <v>0</v>
      </c>
      <c r="AO327" s="171">
        <f t="shared" si="520"/>
        <v>0</v>
      </c>
      <c r="AP327" s="171">
        <f t="shared" si="520"/>
        <v>0</v>
      </c>
      <c r="AQ327" s="171">
        <f t="shared" si="520"/>
        <v>0</v>
      </c>
      <c r="AR327" s="171">
        <f t="shared" si="520"/>
        <v>0</v>
      </c>
      <c r="AS327" s="171">
        <f t="shared" si="520"/>
        <v>0</v>
      </c>
      <c r="AT327" s="171">
        <f t="shared" si="520"/>
        <v>0</v>
      </c>
      <c r="AU327" s="171">
        <f t="shared" si="521"/>
        <v>0</v>
      </c>
      <c r="AV327" s="171">
        <f t="shared" si="521"/>
        <v>0</v>
      </c>
      <c r="AW327" s="171">
        <f t="shared" si="521"/>
        <v>0</v>
      </c>
      <c r="AX327" s="171">
        <f t="shared" si="521"/>
        <v>0</v>
      </c>
      <c r="AY327" s="171">
        <f t="shared" si="521"/>
        <v>0</v>
      </c>
      <c r="AZ327" s="171">
        <f t="shared" si="521"/>
        <v>0</v>
      </c>
      <c r="BA327" s="171">
        <f t="shared" si="521"/>
        <v>0</v>
      </c>
      <c r="BB327" s="171">
        <f t="shared" si="521"/>
        <v>0</v>
      </c>
      <c r="BC327" s="171">
        <f t="shared" si="521"/>
        <v>0</v>
      </c>
      <c r="BD327" s="171">
        <f t="shared" si="521"/>
        <v>0</v>
      </c>
      <c r="BE327" s="171">
        <f t="shared" si="522"/>
        <v>0</v>
      </c>
      <c r="BF327" s="171">
        <f t="shared" si="522"/>
        <v>0</v>
      </c>
      <c r="BG327" s="171">
        <f t="shared" si="522"/>
        <v>0</v>
      </c>
      <c r="BH327" s="171">
        <f t="shared" si="522"/>
        <v>0</v>
      </c>
      <c r="BI327" s="171">
        <f t="shared" si="522"/>
        <v>0</v>
      </c>
      <c r="BJ327" s="171">
        <f t="shared" si="522"/>
        <v>0</v>
      </c>
      <c r="BK327" s="171">
        <f t="shared" si="522"/>
        <v>0</v>
      </c>
      <c r="BL327" s="171">
        <f t="shared" si="522"/>
        <v>0</v>
      </c>
      <c r="BM327" s="171">
        <f t="shared" si="522"/>
        <v>0</v>
      </c>
      <c r="BN327" s="171">
        <f t="shared" si="522"/>
        <v>0</v>
      </c>
      <c r="BO327" s="171">
        <f t="shared" si="523"/>
        <v>0</v>
      </c>
      <c r="BP327" s="171">
        <f t="shared" si="523"/>
        <v>0</v>
      </c>
      <c r="BQ327" s="171">
        <f t="shared" si="523"/>
        <v>0</v>
      </c>
      <c r="BR327" s="171">
        <f t="shared" si="523"/>
        <v>0</v>
      </c>
      <c r="BS327" s="171">
        <f t="shared" si="523"/>
        <v>0</v>
      </c>
      <c r="BT327" s="171">
        <f t="shared" si="523"/>
        <v>0</v>
      </c>
      <c r="BU327" s="171">
        <f t="shared" si="523"/>
        <v>0</v>
      </c>
      <c r="BV327" s="171">
        <f t="shared" si="523"/>
        <v>0</v>
      </c>
      <c r="BW327" s="171">
        <f t="shared" si="523"/>
        <v>0</v>
      </c>
      <c r="BX327" s="171">
        <f t="shared" si="523"/>
        <v>0</v>
      </c>
      <c r="BY327" s="171">
        <f t="shared" si="524"/>
        <v>0</v>
      </c>
      <c r="BZ327" s="171">
        <f t="shared" si="524"/>
        <v>0</v>
      </c>
      <c r="CA327" s="171">
        <f t="shared" si="524"/>
        <v>0</v>
      </c>
      <c r="CB327" s="171">
        <f t="shared" si="524"/>
        <v>0</v>
      </c>
      <c r="CC327" s="171">
        <f t="shared" si="524"/>
        <v>0</v>
      </c>
      <c r="CD327" s="171">
        <f t="shared" si="524"/>
        <v>0</v>
      </c>
      <c r="CE327" s="171">
        <f t="shared" si="524"/>
        <v>0</v>
      </c>
      <c r="CF327" s="171">
        <f t="shared" si="524"/>
        <v>0</v>
      </c>
      <c r="CG327" s="171">
        <f t="shared" si="524"/>
        <v>0</v>
      </c>
      <c r="CH327" s="171">
        <f t="shared" si="524"/>
        <v>0</v>
      </c>
      <c r="CI327" s="171">
        <f t="shared" si="524"/>
        <v>0</v>
      </c>
      <c r="CJ327" s="243"/>
      <c r="CK327" s="171">
        <f t="shared" si="452"/>
        <v>0</v>
      </c>
      <c r="CL327" s="171">
        <f t="shared" si="453"/>
        <v>0</v>
      </c>
      <c r="CM327" s="171">
        <f t="shared" si="454"/>
        <v>0</v>
      </c>
      <c r="CN327" s="171">
        <f t="shared" si="455"/>
        <v>0</v>
      </c>
      <c r="CO327" s="171">
        <f t="shared" si="456"/>
        <v>0</v>
      </c>
      <c r="CP327" s="171">
        <f t="shared" si="457"/>
        <v>0</v>
      </c>
      <c r="CQ327" s="171">
        <f t="shared" si="458"/>
        <v>0</v>
      </c>
      <c r="CR327" s="171">
        <f t="shared" si="459"/>
        <v>0</v>
      </c>
      <c r="CS327" s="171">
        <f t="shared" si="460"/>
        <v>0</v>
      </c>
      <c r="CT327" s="171">
        <f t="shared" si="461"/>
        <v>0</v>
      </c>
      <c r="CU327" s="171">
        <f t="shared" si="462"/>
        <v>0</v>
      </c>
      <c r="CV327" s="171">
        <f t="shared" si="463"/>
        <v>0</v>
      </c>
      <c r="CW327" s="171">
        <f t="shared" si="464"/>
        <v>0</v>
      </c>
      <c r="CX327" s="171">
        <f t="shared" si="465"/>
        <v>0</v>
      </c>
      <c r="CY327" s="171">
        <f t="shared" ca="1" si="466"/>
        <v>0</v>
      </c>
      <c r="CZ327" s="171">
        <f t="shared" ca="1" si="467"/>
        <v>0</v>
      </c>
      <c r="DA327" s="171">
        <f t="shared" ca="1" si="468"/>
        <v>0</v>
      </c>
      <c r="DB327" s="171">
        <f t="shared" ca="1" si="469"/>
        <v>0</v>
      </c>
      <c r="DC327" s="171">
        <f t="shared" ca="1" si="470"/>
        <v>0</v>
      </c>
      <c r="DD327" s="171">
        <f t="shared" ca="1" si="471"/>
        <v>0</v>
      </c>
      <c r="DE327" s="171">
        <f t="shared" ca="1" si="472"/>
        <v>0</v>
      </c>
      <c r="DF327" s="171">
        <f t="shared" ca="1" si="473"/>
        <v>0</v>
      </c>
      <c r="DG327" s="171">
        <f t="shared" ca="1" si="474"/>
        <v>0</v>
      </c>
      <c r="DH327" s="171">
        <f t="shared" ca="1" si="475"/>
        <v>0</v>
      </c>
      <c r="DI327" s="171">
        <f t="shared" ca="1" si="476"/>
        <v>0</v>
      </c>
      <c r="DJ327" s="171">
        <f t="shared" ca="1" si="477"/>
        <v>0</v>
      </c>
      <c r="DK327" s="171">
        <f t="shared" ca="1" si="478"/>
        <v>0</v>
      </c>
      <c r="DL327" s="171">
        <f t="shared" ca="1" si="479"/>
        <v>0</v>
      </c>
      <c r="DM327" s="171">
        <f t="shared" ca="1" si="480"/>
        <v>0</v>
      </c>
      <c r="DN327" s="171">
        <f t="shared" ca="1" si="481"/>
        <v>0</v>
      </c>
      <c r="DO327" s="171">
        <f t="shared" ca="1" si="482"/>
        <v>0</v>
      </c>
      <c r="DP327" s="171">
        <f t="shared" ca="1" si="483"/>
        <v>0</v>
      </c>
      <c r="DQ327" s="171">
        <f t="shared" ca="1" si="484"/>
        <v>0</v>
      </c>
      <c r="DR327" s="171">
        <f t="shared" ca="1" si="485"/>
        <v>0</v>
      </c>
      <c r="DS327" s="171">
        <f t="shared" ca="1" si="486"/>
        <v>0</v>
      </c>
      <c r="DT327" s="171">
        <f t="shared" ca="1" si="487"/>
        <v>0</v>
      </c>
      <c r="DU327" s="171">
        <f t="shared" ca="1" si="488"/>
        <v>0</v>
      </c>
      <c r="DV327" s="171">
        <f t="shared" ca="1" si="489"/>
        <v>0</v>
      </c>
      <c r="DW327" s="171">
        <f t="shared" ca="1" si="490"/>
        <v>0</v>
      </c>
      <c r="DX327" s="171">
        <f t="shared" ca="1" si="491"/>
        <v>0</v>
      </c>
      <c r="DY327" s="171">
        <f t="shared" ca="1" si="492"/>
        <v>0</v>
      </c>
      <c r="DZ327" s="171">
        <f t="shared" ca="1" si="493"/>
        <v>0</v>
      </c>
      <c r="EA327" s="171">
        <f t="shared" ca="1" si="494"/>
        <v>0</v>
      </c>
      <c r="EB327" s="171">
        <f t="shared" ca="1" si="495"/>
        <v>0</v>
      </c>
      <c r="EC327" s="171">
        <f t="shared" ca="1" si="496"/>
        <v>0</v>
      </c>
      <c r="ED327" s="171">
        <f t="shared" ca="1" si="497"/>
        <v>0</v>
      </c>
      <c r="EE327" s="171">
        <f t="shared" ca="1" si="498"/>
        <v>0</v>
      </c>
      <c r="EF327" s="171">
        <f t="shared" ca="1" si="499"/>
        <v>0</v>
      </c>
      <c r="EG327" s="171">
        <f t="shared" ca="1" si="500"/>
        <v>0</v>
      </c>
      <c r="EH327" s="171">
        <f t="shared" ca="1" si="501"/>
        <v>0</v>
      </c>
      <c r="EI327" s="171">
        <f t="shared" ca="1" si="502"/>
        <v>0</v>
      </c>
      <c r="EJ327" s="171">
        <f t="shared" ca="1" si="503"/>
        <v>0</v>
      </c>
      <c r="EK327" s="171">
        <f t="shared" ca="1" si="504"/>
        <v>0</v>
      </c>
      <c r="EL327" s="171">
        <f t="shared" ca="1" si="505"/>
        <v>0</v>
      </c>
      <c r="EM327" s="171">
        <f t="shared" ca="1" si="506"/>
        <v>0</v>
      </c>
      <c r="EN327" s="171">
        <f t="shared" ca="1" si="507"/>
        <v>0</v>
      </c>
      <c r="EO327" s="171">
        <f t="shared" ca="1" si="508"/>
        <v>0</v>
      </c>
      <c r="EP327" s="171">
        <f t="shared" ca="1" si="509"/>
        <v>0</v>
      </c>
      <c r="EQ327" s="171">
        <f t="shared" ca="1" si="510"/>
        <v>0</v>
      </c>
      <c r="ER327" s="171">
        <f t="shared" ca="1" si="511"/>
        <v>0</v>
      </c>
      <c r="ES327" s="171">
        <f t="shared" ca="1" si="512"/>
        <v>0</v>
      </c>
    </row>
    <row r="328" spans="3:149">
      <c r="C328" s="214"/>
      <c r="H328" s="216"/>
      <c r="I328" s="217"/>
      <c r="L328" s="163"/>
      <c r="M328" s="164" t="str">
        <f t="shared" si="443"/>
        <v/>
      </c>
      <c r="N328" s="164" t="str">
        <f t="shared" si="444"/>
        <v/>
      </c>
      <c r="O328" s="165" t="str">
        <f t="shared" si="445"/>
        <v/>
      </c>
      <c r="R328" s="168"/>
      <c r="U328" s="171">
        <f t="shared" si="446"/>
        <v>0</v>
      </c>
      <c r="V328" s="171">
        <f t="shared" ca="1" si="447"/>
        <v>0</v>
      </c>
      <c r="W328" s="171">
        <f t="shared" ca="1" si="448"/>
        <v>0</v>
      </c>
      <c r="X328" s="172">
        <f t="shared" si="449"/>
        <v>0</v>
      </c>
      <c r="Y328" s="172" t="str">
        <f t="shared" si="450"/>
        <v/>
      </c>
      <c r="Z328" s="173">
        <f t="shared" si="451"/>
        <v>0</v>
      </c>
      <c r="AA328" s="171">
        <f t="shared" si="519"/>
        <v>0</v>
      </c>
      <c r="AB328" s="171">
        <f t="shared" si="519"/>
        <v>0</v>
      </c>
      <c r="AC328" s="171">
        <f t="shared" si="519"/>
        <v>0</v>
      </c>
      <c r="AD328" s="171">
        <f t="shared" si="519"/>
        <v>0</v>
      </c>
      <c r="AE328" s="171">
        <f t="shared" si="519"/>
        <v>0</v>
      </c>
      <c r="AF328" s="171">
        <f t="shared" si="519"/>
        <v>0</v>
      </c>
      <c r="AG328" s="171">
        <f t="shared" si="519"/>
        <v>0</v>
      </c>
      <c r="AH328" s="171">
        <f t="shared" si="519"/>
        <v>0</v>
      </c>
      <c r="AI328" s="171">
        <f t="shared" si="519"/>
        <v>0</v>
      </c>
      <c r="AJ328" s="171">
        <f t="shared" si="519"/>
        <v>0</v>
      </c>
      <c r="AK328" s="171">
        <f t="shared" si="520"/>
        <v>0</v>
      </c>
      <c r="AL328" s="171">
        <f t="shared" si="520"/>
        <v>0</v>
      </c>
      <c r="AM328" s="171">
        <f t="shared" si="520"/>
        <v>0</v>
      </c>
      <c r="AN328" s="171">
        <f t="shared" si="520"/>
        <v>0</v>
      </c>
      <c r="AO328" s="171">
        <f t="shared" si="520"/>
        <v>0</v>
      </c>
      <c r="AP328" s="171">
        <f t="shared" si="520"/>
        <v>0</v>
      </c>
      <c r="AQ328" s="171">
        <f t="shared" si="520"/>
        <v>0</v>
      </c>
      <c r="AR328" s="171">
        <f t="shared" si="520"/>
        <v>0</v>
      </c>
      <c r="AS328" s="171">
        <f t="shared" si="520"/>
        <v>0</v>
      </c>
      <c r="AT328" s="171">
        <f t="shared" si="520"/>
        <v>0</v>
      </c>
      <c r="AU328" s="171">
        <f t="shared" si="521"/>
        <v>0</v>
      </c>
      <c r="AV328" s="171">
        <f t="shared" si="521"/>
        <v>0</v>
      </c>
      <c r="AW328" s="171">
        <f t="shared" si="521"/>
        <v>0</v>
      </c>
      <c r="AX328" s="171">
        <f t="shared" si="521"/>
        <v>0</v>
      </c>
      <c r="AY328" s="171">
        <f t="shared" si="521"/>
        <v>0</v>
      </c>
      <c r="AZ328" s="171">
        <f t="shared" si="521"/>
        <v>0</v>
      </c>
      <c r="BA328" s="171">
        <f t="shared" si="521"/>
        <v>0</v>
      </c>
      <c r="BB328" s="171">
        <f t="shared" si="521"/>
        <v>0</v>
      </c>
      <c r="BC328" s="171">
        <f t="shared" si="521"/>
        <v>0</v>
      </c>
      <c r="BD328" s="171">
        <f t="shared" si="521"/>
        <v>0</v>
      </c>
      <c r="BE328" s="171">
        <f t="shared" si="522"/>
        <v>0</v>
      </c>
      <c r="BF328" s="171">
        <f t="shared" si="522"/>
        <v>0</v>
      </c>
      <c r="BG328" s="171">
        <f t="shared" si="522"/>
        <v>0</v>
      </c>
      <c r="BH328" s="171">
        <f t="shared" si="522"/>
        <v>0</v>
      </c>
      <c r="BI328" s="171">
        <f t="shared" si="522"/>
        <v>0</v>
      </c>
      <c r="BJ328" s="171">
        <f t="shared" si="522"/>
        <v>0</v>
      </c>
      <c r="BK328" s="171">
        <f t="shared" si="522"/>
        <v>0</v>
      </c>
      <c r="BL328" s="171">
        <f t="shared" si="522"/>
        <v>0</v>
      </c>
      <c r="BM328" s="171">
        <f t="shared" si="522"/>
        <v>0</v>
      </c>
      <c r="BN328" s="171">
        <f t="shared" si="522"/>
        <v>0</v>
      </c>
      <c r="BO328" s="171">
        <f t="shared" si="523"/>
        <v>0</v>
      </c>
      <c r="BP328" s="171">
        <f t="shared" si="523"/>
        <v>0</v>
      </c>
      <c r="BQ328" s="171">
        <f t="shared" si="523"/>
        <v>0</v>
      </c>
      <c r="BR328" s="171">
        <f t="shared" si="523"/>
        <v>0</v>
      </c>
      <c r="BS328" s="171">
        <f t="shared" si="523"/>
        <v>0</v>
      </c>
      <c r="BT328" s="171">
        <f t="shared" si="523"/>
        <v>0</v>
      </c>
      <c r="BU328" s="171">
        <f t="shared" si="523"/>
        <v>0</v>
      </c>
      <c r="BV328" s="171">
        <f t="shared" si="523"/>
        <v>0</v>
      </c>
      <c r="BW328" s="171">
        <f t="shared" si="523"/>
        <v>0</v>
      </c>
      <c r="BX328" s="171">
        <f t="shared" si="523"/>
        <v>0</v>
      </c>
      <c r="BY328" s="171">
        <f t="shared" si="524"/>
        <v>0</v>
      </c>
      <c r="BZ328" s="171">
        <f t="shared" si="524"/>
        <v>0</v>
      </c>
      <c r="CA328" s="171">
        <f t="shared" si="524"/>
        <v>0</v>
      </c>
      <c r="CB328" s="171">
        <f t="shared" si="524"/>
        <v>0</v>
      </c>
      <c r="CC328" s="171">
        <f t="shared" si="524"/>
        <v>0</v>
      </c>
      <c r="CD328" s="171">
        <f t="shared" si="524"/>
        <v>0</v>
      </c>
      <c r="CE328" s="171">
        <f t="shared" si="524"/>
        <v>0</v>
      </c>
      <c r="CF328" s="171">
        <f t="shared" si="524"/>
        <v>0</v>
      </c>
      <c r="CG328" s="171">
        <f t="shared" si="524"/>
        <v>0</v>
      </c>
      <c r="CH328" s="171">
        <f t="shared" si="524"/>
        <v>0</v>
      </c>
      <c r="CI328" s="171">
        <f t="shared" si="524"/>
        <v>0</v>
      </c>
      <c r="CJ328" s="243"/>
      <c r="CK328" s="171">
        <f t="shared" si="452"/>
        <v>0</v>
      </c>
      <c r="CL328" s="171">
        <f t="shared" si="453"/>
        <v>0</v>
      </c>
      <c r="CM328" s="171">
        <f t="shared" si="454"/>
        <v>0</v>
      </c>
      <c r="CN328" s="171">
        <f t="shared" si="455"/>
        <v>0</v>
      </c>
      <c r="CO328" s="171">
        <f t="shared" si="456"/>
        <v>0</v>
      </c>
      <c r="CP328" s="171">
        <f t="shared" si="457"/>
        <v>0</v>
      </c>
      <c r="CQ328" s="171">
        <f t="shared" si="458"/>
        <v>0</v>
      </c>
      <c r="CR328" s="171">
        <f t="shared" si="459"/>
        <v>0</v>
      </c>
      <c r="CS328" s="171">
        <f t="shared" si="460"/>
        <v>0</v>
      </c>
      <c r="CT328" s="171">
        <f t="shared" si="461"/>
        <v>0</v>
      </c>
      <c r="CU328" s="171">
        <f t="shared" si="462"/>
        <v>0</v>
      </c>
      <c r="CV328" s="171">
        <f t="shared" si="463"/>
        <v>0</v>
      </c>
      <c r="CW328" s="171">
        <f t="shared" si="464"/>
        <v>0</v>
      </c>
      <c r="CX328" s="171">
        <f t="shared" si="465"/>
        <v>0</v>
      </c>
      <c r="CY328" s="171">
        <f t="shared" ca="1" si="466"/>
        <v>0</v>
      </c>
      <c r="CZ328" s="171">
        <f t="shared" ca="1" si="467"/>
        <v>0</v>
      </c>
      <c r="DA328" s="171">
        <f t="shared" ca="1" si="468"/>
        <v>0</v>
      </c>
      <c r="DB328" s="171">
        <f t="shared" ca="1" si="469"/>
        <v>0</v>
      </c>
      <c r="DC328" s="171">
        <f t="shared" ca="1" si="470"/>
        <v>0</v>
      </c>
      <c r="DD328" s="171">
        <f t="shared" ca="1" si="471"/>
        <v>0</v>
      </c>
      <c r="DE328" s="171">
        <f t="shared" ca="1" si="472"/>
        <v>0</v>
      </c>
      <c r="DF328" s="171">
        <f t="shared" ca="1" si="473"/>
        <v>0</v>
      </c>
      <c r="DG328" s="171">
        <f t="shared" ca="1" si="474"/>
        <v>0</v>
      </c>
      <c r="DH328" s="171">
        <f t="shared" ca="1" si="475"/>
        <v>0</v>
      </c>
      <c r="DI328" s="171">
        <f t="shared" ca="1" si="476"/>
        <v>0</v>
      </c>
      <c r="DJ328" s="171">
        <f t="shared" ca="1" si="477"/>
        <v>0</v>
      </c>
      <c r="DK328" s="171">
        <f t="shared" ca="1" si="478"/>
        <v>0</v>
      </c>
      <c r="DL328" s="171">
        <f t="shared" ca="1" si="479"/>
        <v>0</v>
      </c>
      <c r="DM328" s="171">
        <f t="shared" ca="1" si="480"/>
        <v>0</v>
      </c>
      <c r="DN328" s="171">
        <f t="shared" ca="1" si="481"/>
        <v>0</v>
      </c>
      <c r="DO328" s="171">
        <f t="shared" ca="1" si="482"/>
        <v>0</v>
      </c>
      <c r="DP328" s="171">
        <f t="shared" ca="1" si="483"/>
        <v>0</v>
      </c>
      <c r="DQ328" s="171">
        <f t="shared" ca="1" si="484"/>
        <v>0</v>
      </c>
      <c r="DR328" s="171">
        <f t="shared" ca="1" si="485"/>
        <v>0</v>
      </c>
      <c r="DS328" s="171">
        <f t="shared" ca="1" si="486"/>
        <v>0</v>
      </c>
      <c r="DT328" s="171">
        <f t="shared" ca="1" si="487"/>
        <v>0</v>
      </c>
      <c r="DU328" s="171">
        <f t="shared" ca="1" si="488"/>
        <v>0</v>
      </c>
      <c r="DV328" s="171">
        <f t="shared" ca="1" si="489"/>
        <v>0</v>
      </c>
      <c r="DW328" s="171">
        <f t="shared" ca="1" si="490"/>
        <v>0</v>
      </c>
      <c r="DX328" s="171">
        <f t="shared" ca="1" si="491"/>
        <v>0</v>
      </c>
      <c r="DY328" s="171">
        <f t="shared" ca="1" si="492"/>
        <v>0</v>
      </c>
      <c r="DZ328" s="171">
        <f t="shared" ca="1" si="493"/>
        <v>0</v>
      </c>
      <c r="EA328" s="171">
        <f t="shared" ca="1" si="494"/>
        <v>0</v>
      </c>
      <c r="EB328" s="171">
        <f t="shared" ca="1" si="495"/>
        <v>0</v>
      </c>
      <c r="EC328" s="171">
        <f t="shared" ca="1" si="496"/>
        <v>0</v>
      </c>
      <c r="ED328" s="171">
        <f t="shared" ca="1" si="497"/>
        <v>0</v>
      </c>
      <c r="EE328" s="171">
        <f t="shared" ca="1" si="498"/>
        <v>0</v>
      </c>
      <c r="EF328" s="171">
        <f t="shared" ca="1" si="499"/>
        <v>0</v>
      </c>
      <c r="EG328" s="171">
        <f t="shared" ca="1" si="500"/>
        <v>0</v>
      </c>
      <c r="EH328" s="171">
        <f t="shared" ca="1" si="501"/>
        <v>0</v>
      </c>
      <c r="EI328" s="171">
        <f t="shared" ca="1" si="502"/>
        <v>0</v>
      </c>
      <c r="EJ328" s="171">
        <f t="shared" ca="1" si="503"/>
        <v>0</v>
      </c>
      <c r="EK328" s="171">
        <f t="shared" ca="1" si="504"/>
        <v>0</v>
      </c>
      <c r="EL328" s="171">
        <f t="shared" ca="1" si="505"/>
        <v>0</v>
      </c>
      <c r="EM328" s="171">
        <f t="shared" ca="1" si="506"/>
        <v>0</v>
      </c>
      <c r="EN328" s="171">
        <f t="shared" ca="1" si="507"/>
        <v>0</v>
      </c>
      <c r="EO328" s="171">
        <f t="shared" ca="1" si="508"/>
        <v>0</v>
      </c>
      <c r="EP328" s="171">
        <f t="shared" ca="1" si="509"/>
        <v>0</v>
      </c>
      <c r="EQ328" s="171">
        <f t="shared" ca="1" si="510"/>
        <v>0</v>
      </c>
      <c r="ER328" s="171">
        <f t="shared" ca="1" si="511"/>
        <v>0</v>
      </c>
      <c r="ES328" s="171">
        <f t="shared" ca="1" si="512"/>
        <v>0</v>
      </c>
    </row>
    <row r="329" spans="3:149">
      <c r="C329" s="214"/>
      <c r="H329" s="216"/>
      <c r="I329" s="217"/>
      <c r="L329" s="163"/>
      <c r="M329" s="164" t="str">
        <f t="shared" si="443"/>
        <v/>
      </c>
      <c r="N329" s="164" t="str">
        <f t="shared" si="444"/>
        <v/>
      </c>
      <c r="O329" s="165" t="str">
        <f t="shared" si="445"/>
        <v/>
      </c>
      <c r="R329" s="168"/>
      <c r="U329" s="171">
        <f t="shared" si="446"/>
        <v>0</v>
      </c>
      <c r="V329" s="171">
        <f t="shared" ca="1" si="447"/>
        <v>0</v>
      </c>
      <c r="W329" s="171">
        <f t="shared" ca="1" si="448"/>
        <v>0</v>
      </c>
      <c r="X329" s="172">
        <f t="shared" si="449"/>
        <v>0</v>
      </c>
      <c r="Y329" s="172" t="str">
        <f t="shared" si="450"/>
        <v/>
      </c>
      <c r="Z329" s="173">
        <f t="shared" si="451"/>
        <v>0</v>
      </c>
      <c r="AA329" s="171">
        <f t="shared" ref="AA329:AJ338" si="525">IFERROR(
    IF($T329="Equity",
        IF(AND(AA$48&gt;=$E329, AA$48&lt;=($E329+$Q329)),
$K329*$P329*(VLOOKUP($C$39,$C$37:$BL$44,MATCH($E329,$C$37:$BL$37,0),FALSE)/VLOOKUP($L329,$C$37:$BL$44,MATCH($E329,$C$37:$BL$37,0),FALSE))*
IF($B$5="Foreign Currency",VLOOKUP($C$38,$C$37:$BL$44,MATCH(AA$48,$C$37:$BL$37,0),FALSE)/VLOOKUP($C$39,$C$37:$BL$44,MATCH(AA$48,$C$37:$BL$37,0),FALSE),1),
0),
    IF($T329="Lump Sum Principal",
        IF(AND(AA$48&gt;=$E329, AA$48&lt;($E329+$Q329)),
$K329*$P329*(VLOOKUP($C$39,$C$37:$BL$44,MATCH($E329,$C$37:$BL$37,0),FALSE)/VLOOKUP($L329,$C$37:$BL$44,MATCH($E329,$C$37:$BL$37,0),FALSE))*
IF($B$5="Foreign Currency",VLOOKUP($C$38,$C$37:$BL$44,MATCH(AA$48,$C$37:$BL$37,0),FALSE)/VLOOKUP($C$39,$C$37:$BL$44,MATCH(AA$48,$C$37:$BL$37,0),FALSE),1),
        IF(AA$48=($E329+$Q329),
$K329*(1+$P329)*(VLOOKUP($C$39,$C$37:$BL$44,MATCH($E329,$C$37:$BL$37,0),FALSE)/VLOOKUP($L329,$C$37:$BL$44,MATCH($E329,$C$37:$BL$37,0),FALSE))*
IF($B$5="Foreign Currency",VLOOKUP($C$38,$C$37:$BL$44,MATCH(AA$48,$C$37:$BL$37,0),FALSE)/VLOOKUP($C$39,$C$37:$BL$44,MATCH(AA$48,$C$37:$BL$37,0),FALSE),1),
0)),
    IF($T329="Lump Sum Principal and Interest",
        IF(AA$48=($E329+$Q329),
$K329*((1+$P329)^$Q329)*(VLOOKUP($C$39,$C$37:$BL$44,MATCH($E329,$C$37:$BL$37,0),FALSE)/VLOOKUP($L329,$C$37:$BL$44,MATCH($E329,$C$37:$BL$37,0),FALSE))*
IF($B$5="Foreign Currency",VLOOKUP($C$38,$C$37:$BL$44,MATCH(AA$48,$C$37:$BL$37,0),FALSE)/VLOOKUP($C$39,$C$37:$BL$44,MATCH(AA$48,$C$37:$BL$37,0),FALSE),1),
0),
    IF($T329="EPP with Grace Years for Principal",
        IF(AND(AA$48&gt;=$E329, AA$48&lt;($E329+$S329)),
$K329*$P329*(VLOOKUP($C$39,$C$37:$BL$44,MATCH($E329,$C$37:$BL$37,0),FALSE)/VLOOKUP($L329,$C$37:$BL$44,MATCH($E329,$C$37:$BL$37,0),FALSE))*
IF($B$5="Foreign Currency",VLOOKUP($C$38,$C$37:$BL$44,MATCH(AA$48,$C$37:$BL$37,0),FALSE)/VLOOKUP($C$39,$C$37:$BL$44,MATCH(AA$48,$C$37:$BL$37,0),FALSE),1),
        IF(AND(AA$48&gt;=($E329+$S329), AA$48&lt;=($E329+$Q329)),
-PMT($P329,($Q329-$S329+1),($K329*(VLOOKUP($C$39,$C$37:$BL$44,MATCH($E329,$C$37:$BL$37,0),FALSE)/VLOOKUP($L329,$C$37:$BL$44,MATCH($E329,$C$37:$BL$37,0),FALSE))*
IF($B$5="Foreign Currency",VLOOKUP($C$38,$C$37:$BL$44,MATCH(AA$48,$C$37:$BL$37,0),FALSE)/VLOOKUP($C$39,$C$37:$BL$44,MATCH(AA$48,$C$37:$BL$37,0),FALSE),1)),0),
0)),
    IF($T329="Equal Principal Payments (EPP)",
        IF(AND(AA$48&gt;=$E329, AA$48&lt;=($E329+$Q329)),
-PMT($P329,($Q329-$S329+1),($K329*(VLOOKUP($C$39,$C$37:$BL$44,MATCH($E329,$C$37:$BL$37,0),FALSE)/VLOOKUP($L329,$C$37:$BL$44,MATCH($E329,$C$37:$BL$37,0),FALSE))*
IF($B$5="Foreign Currency",VLOOKUP($C$38,$C$37:$BL$44,MATCH(AA$48,$C$37:$BL$37,0),FALSE)/VLOOKUP($C$39,$C$37:$BL$44,MATCH(AA$48,$C$37:$BL$37,0),FALSE),1)),0), 0),
    IF($T329="EPP with Grace Years for Principal and on Interest",
        IF(AND(AA$48&gt;=($E329+$S329), AA$48&lt;=($E329+$Q329)),
-PMT($P329,($Q329-$S329+1),($K329*(VLOOKUP($C$39,$C$37:$BL$44,MATCH($E329,$C$37:$BL$37,0),FALSE)/VLOOKUP($L329,$C$37:$BL$44,MATCH($E329,$C$37:$BL$37,0),FALSE))*
IF($B$5="Foreign Currency",VLOOKUP($C$38,$C$37:$BL$44,MATCH(AA$48,$C$37:$BL$37,0),FALSE)/VLOOKUP($C$39,$C$37:$BL$44,MATCH(AA$48,$C$37:$BL$37,0),FALSE),1))*((1+$P329)^$S329),0), 0),
    0)))))),"")</f>
        <v>0</v>
      </c>
      <c r="AB329" s="171">
        <f t="shared" si="525"/>
        <v>0</v>
      </c>
      <c r="AC329" s="171">
        <f t="shared" si="525"/>
        <v>0</v>
      </c>
      <c r="AD329" s="171">
        <f t="shared" si="525"/>
        <v>0</v>
      </c>
      <c r="AE329" s="171">
        <f t="shared" si="525"/>
        <v>0</v>
      </c>
      <c r="AF329" s="171">
        <f t="shared" si="525"/>
        <v>0</v>
      </c>
      <c r="AG329" s="171">
        <f t="shared" si="525"/>
        <v>0</v>
      </c>
      <c r="AH329" s="171">
        <f t="shared" si="525"/>
        <v>0</v>
      </c>
      <c r="AI329" s="171">
        <f t="shared" si="525"/>
        <v>0</v>
      </c>
      <c r="AJ329" s="171">
        <f t="shared" si="525"/>
        <v>0</v>
      </c>
      <c r="AK329" s="171">
        <f t="shared" ref="AK329:AT338" si="526">IFERROR(
    IF($T329="Equity",
        IF(AND(AK$48&gt;=$E329, AK$48&lt;=($E329+$Q329)),
$K329*$P329*(VLOOKUP($C$39,$C$37:$BL$44,MATCH($E329,$C$37:$BL$37,0),FALSE)/VLOOKUP($L329,$C$37:$BL$44,MATCH($E329,$C$37:$BL$37,0),FALSE))*
IF($B$5="Foreign Currency",VLOOKUP($C$38,$C$37:$BL$44,MATCH(AK$48,$C$37:$BL$37,0),FALSE)/VLOOKUP($C$39,$C$37:$BL$44,MATCH(AK$48,$C$37:$BL$37,0),FALSE),1),
0),
    IF($T329="Lump Sum Principal",
        IF(AND(AK$48&gt;=$E329, AK$48&lt;($E329+$Q329)),
$K329*$P329*(VLOOKUP($C$39,$C$37:$BL$44,MATCH($E329,$C$37:$BL$37,0),FALSE)/VLOOKUP($L329,$C$37:$BL$44,MATCH($E329,$C$37:$BL$37,0),FALSE))*
IF($B$5="Foreign Currency",VLOOKUP($C$38,$C$37:$BL$44,MATCH(AK$48,$C$37:$BL$37,0),FALSE)/VLOOKUP($C$39,$C$37:$BL$44,MATCH(AK$48,$C$37:$BL$37,0),FALSE),1),
        IF(AK$48=($E329+$Q329),
$K329*(1+$P329)*(VLOOKUP($C$39,$C$37:$BL$44,MATCH($E329,$C$37:$BL$37,0),FALSE)/VLOOKUP($L329,$C$37:$BL$44,MATCH($E329,$C$37:$BL$37,0),FALSE))*
IF($B$5="Foreign Currency",VLOOKUP($C$38,$C$37:$BL$44,MATCH(AK$48,$C$37:$BL$37,0),FALSE)/VLOOKUP($C$39,$C$37:$BL$44,MATCH(AK$48,$C$37:$BL$37,0),FALSE),1),
0)),
    IF($T329="Lump Sum Principal and Interest",
        IF(AK$48=($E329+$Q329),
$K329*((1+$P329)^$Q329)*(VLOOKUP($C$39,$C$37:$BL$44,MATCH($E329,$C$37:$BL$37,0),FALSE)/VLOOKUP($L329,$C$37:$BL$44,MATCH($E329,$C$37:$BL$37,0),FALSE))*
IF($B$5="Foreign Currency",VLOOKUP($C$38,$C$37:$BL$44,MATCH(AK$48,$C$37:$BL$37,0),FALSE)/VLOOKUP($C$39,$C$37:$BL$44,MATCH(AK$48,$C$37:$BL$37,0),FALSE),1),
0),
    IF($T329="EPP with Grace Years for Principal",
        IF(AND(AK$48&gt;=$E329, AK$48&lt;($E329+$S329)),
$K329*$P329*(VLOOKUP($C$39,$C$37:$BL$44,MATCH($E329,$C$37:$BL$37,0),FALSE)/VLOOKUP($L329,$C$37:$BL$44,MATCH($E329,$C$37:$BL$37,0),FALSE))*
IF($B$5="Foreign Currency",VLOOKUP($C$38,$C$37:$BL$44,MATCH(AK$48,$C$37:$BL$37,0),FALSE)/VLOOKUP($C$39,$C$37:$BL$44,MATCH(AK$48,$C$37:$BL$37,0),FALSE),1),
        IF(AND(AK$48&gt;=($E329+$S329), AK$48&lt;=($E329+$Q329)),
-PMT($P329,($Q329-$S329+1),($K329*(VLOOKUP($C$39,$C$37:$BL$44,MATCH($E329,$C$37:$BL$37,0),FALSE)/VLOOKUP($L329,$C$37:$BL$44,MATCH($E329,$C$37:$BL$37,0),FALSE))*
IF($B$5="Foreign Currency",VLOOKUP($C$38,$C$37:$BL$44,MATCH(AK$48,$C$37:$BL$37,0),FALSE)/VLOOKUP($C$39,$C$37:$BL$44,MATCH(AK$48,$C$37:$BL$37,0),FALSE),1)),0),
0)),
    IF($T329="Equal Principal Payments (EPP)",
        IF(AND(AK$48&gt;=$E329, AK$48&lt;=($E329+$Q329)),
-PMT($P329,($Q329-$S329+1),($K329*(VLOOKUP($C$39,$C$37:$BL$44,MATCH($E329,$C$37:$BL$37,0),FALSE)/VLOOKUP($L329,$C$37:$BL$44,MATCH($E329,$C$37:$BL$37,0),FALSE))*
IF($B$5="Foreign Currency",VLOOKUP($C$38,$C$37:$BL$44,MATCH(AK$48,$C$37:$BL$37,0),FALSE)/VLOOKUP($C$39,$C$37:$BL$44,MATCH(AK$48,$C$37:$BL$37,0),FALSE),1)),0), 0),
    IF($T329="EPP with Grace Years for Principal and on Interest",
        IF(AND(AK$48&gt;=($E329+$S329), AK$48&lt;=($E329+$Q329)),
-PMT($P329,($Q329-$S329+1),($K329*(VLOOKUP($C$39,$C$37:$BL$44,MATCH($E329,$C$37:$BL$37,0),FALSE)/VLOOKUP($L329,$C$37:$BL$44,MATCH($E329,$C$37:$BL$37,0),FALSE))*
IF($B$5="Foreign Currency",VLOOKUP($C$38,$C$37:$BL$44,MATCH(AK$48,$C$37:$BL$37,0),FALSE)/VLOOKUP($C$39,$C$37:$BL$44,MATCH(AK$48,$C$37:$BL$37,0),FALSE),1))*((1+$P329)^$S329),0), 0),
    0)))))),"")</f>
        <v>0</v>
      </c>
      <c r="AL329" s="171">
        <f t="shared" si="526"/>
        <v>0</v>
      </c>
      <c r="AM329" s="171">
        <f t="shared" si="526"/>
        <v>0</v>
      </c>
      <c r="AN329" s="171">
        <f t="shared" si="526"/>
        <v>0</v>
      </c>
      <c r="AO329" s="171">
        <f t="shared" si="526"/>
        <v>0</v>
      </c>
      <c r="AP329" s="171">
        <f t="shared" si="526"/>
        <v>0</v>
      </c>
      <c r="AQ329" s="171">
        <f t="shared" si="526"/>
        <v>0</v>
      </c>
      <c r="AR329" s="171">
        <f t="shared" si="526"/>
        <v>0</v>
      </c>
      <c r="AS329" s="171">
        <f t="shared" si="526"/>
        <v>0</v>
      </c>
      <c r="AT329" s="171">
        <f t="shared" si="526"/>
        <v>0</v>
      </c>
      <c r="AU329" s="171">
        <f t="shared" ref="AU329:BD338" si="527">IFERROR(
    IF($T329="Equity",
        IF(AND(AU$48&gt;=$E329, AU$48&lt;=($E329+$Q329)),
$K329*$P329*(VLOOKUP($C$39,$C$37:$BL$44,MATCH($E329,$C$37:$BL$37,0),FALSE)/VLOOKUP($L329,$C$37:$BL$44,MATCH($E329,$C$37:$BL$37,0),FALSE))*
IF($B$5="Foreign Currency",VLOOKUP($C$38,$C$37:$BL$44,MATCH(AU$48,$C$37:$BL$37,0),FALSE)/VLOOKUP($C$39,$C$37:$BL$44,MATCH(AU$48,$C$37:$BL$37,0),FALSE),1),
0),
    IF($T329="Lump Sum Principal",
        IF(AND(AU$48&gt;=$E329, AU$48&lt;($E329+$Q329)),
$K329*$P329*(VLOOKUP($C$39,$C$37:$BL$44,MATCH($E329,$C$37:$BL$37,0),FALSE)/VLOOKUP($L329,$C$37:$BL$44,MATCH($E329,$C$37:$BL$37,0),FALSE))*
IF($B$5="Foreign Currency",VLOOKUP($C$38,$C$37:$BL$44,MATCH(AU$48,$C$37:$BL$37,0),FALSE)/VLOOKUP($C$39,$C$37:$BL$44,MATCH(AU$48,$C$37:$BL$37,0),FALSE),1),
        IF(AU$48=($E329+$Q329),
$K329*(1+$P329)*(VLOOKUP($C$39,$C$37:$BL$44,MATCH($E329,$C$37:$BL$37,0),FALSE)/VLOOKUP($L329,$C$37:$BL$44,MATCH($E329,$C$37:$BL$37,0),FALSE))*
IF($B$5="Foreign Currency",VLOOKUP($C$38,$C$37:$BL$44,MATCH(AU$48,$C$37:$BL$37,0),FALSE)/VLOOKUP($C$39,$C$37:$BL$44,MATCH(AU$48,$C$37:$BL$37,0),FALSE),1),
0)),
    IF($T329="Lump Sum Principal and Interest",
        IF(AU$48=($E329+$Q329),
$K329*((1+$P329)^$Q329)*(VLOOKUP($C$39,$C$37:$BL$44,MATCH($E329,$C$37:$BL$37,0),FALSE)/VLOOKUP($L329,$C$37:$BL$44,MATCH($E329,$C$37:$BL$37,0),FALSE))*
IF($B$5="Foreign Currency",VLOOKUP($C$38,$C$37:$BL$44,MATCH(AU$48,$C$37:$BL$37,0),FALSE)/VLOOKUP($C$39,$C$37:$BL$44,MATCH(AU$48,$C$37:$BL$37,0),FALSE),1),
0),
    IF($T329="EPP with Grace Years for Principal",
        IF(AND(AU$48&gt;=$E329, AU$48&lt;($E329+$S329)),
$K329*$P329*(VLOOKUP($C$39,$C$37:$BL$44,MATCH($E329,$C$37:$BL$37,0),FALSE)/VLOOKUP($L329,$C$37:$BL$44,MATCH($E329,$C$37:$BL$37,0),FALSE))*
IF($B$5="Foreign Currency",VLOOKUP($C$38,$C$37:$BL$44,MATCH(AU$48,$C$37:$BL$37,0),FALSE)/VLOOKUP($C$39,$C$37:$BL$44,MATCH(AU$48,$C$37:$BL$37,0),FALSE),1),
        IF(AND(AU$48&gt;=($E329+$S329), AU$48&lt;=($E329+$Q329)),
-PMT($P329,($Q329-$S329+1),($K329*(VLOOKUP($C$39,$C$37:$BL$44,MATCH($E329,$C$37:$BL$37,0),FALSE)/VLOOKUP($L329,$C$37:$BL$44,MATCH($E329,$C$37:$BL$37,0),FALSE))*
IF($B$5="Foreign Currency",VLOOKUP($C$38,$C$37:$BL$44,MATCH(AU$48,$C$37:$BL$37,0),FALSE)/VLOOKUP($C$39,$C$37:$BL$44,MATCH(AU$48,$C$37:$BL$37,0),FALSE),1)),0),
0)),
    IF($T329="Equal Principal Payments (EPP)",
        IF(AND(AU$48&gt;=$E329, AU$48&lt;=($E329+$Q329)),
-PMT($P329,($Q329-$S329+1),($K329*(VLOOKUP($C$39,$C$37:$BL$44,MATCH($E329,$C$37:$BL$37,0),FALSE)/VLOOKUP($L329,$C$37:$BL$44,MATCH($E329,$C$37:$BL$37,0),FALSE))*
IF($B$5="Foreign Currency",VLOOKUP($C$38,$C$37:$BL$44,MATCH(AU$48,$C$37:$BL$37,0),FALSE)/VLOOKUP($C$39,$C$37:$BL$44,MATCH(AU$48,$C$37:$BL$37,0),FALSE),1)),0), 0),
    IF($T329="EPP with Grace Years for Principal and on Interest",
        IF(AND(AU$48&gt;=($E329+$S329), AU$48&lt;=($E329+$Q329)),
-PMT($P329,($Q329-$S329+1),($K329*(VLOOKUP($C$39,$C$37:$BL$44,MATCH($E329,$C$37:$BL$37,0),FALSE)/VLOOKUP($L329,$C$37:$BL$44,MATCH($E329,$C$37:$BL$37,0),FALSE))*
IF($B$5="Foreign Currency",VLOOKUP($C$38,$C$37:$BL$44,MATCH(AU$48,$C$37:$BL$37,0),FALSE)/VLOOKUP($C$39,$C$37:$BL$44,MATCH(AU$48,$C$37:$BL$37,0),FALSE),1))*((1+$P329)^$S329),0), 0),
    0)))))),"")</f>
        <v>0</v>
      </c>
      <c r="AV329" s="171">
        <f t="shared" si="527"/>
        <v>0</v>
      </c>
      <c r="AW329" s="171">
        <f t="shared" si="527"/>
        <v>0</v>
      </c>
      <c r="AX329" s="171">
        <f t="shared" si="527"/>
        <v>0</v>
      </c>
      <c r="AY329" s="171">
        <f t="shared" si="527"/>
        <v>0</v>
      </c>
      <c r="AZ329" s="171">
        <f t="shared" si="527"/>
        <v>0</v>
      </c>
      <c r="BA329" s="171">
        <f t="shared" si="527"/>
        <v>0</v>
      </c>
      <c r="BB329" s="171">
        <f t="shared" si="527"/>
        <v>0</v>
      </c>
      <c r="BC329" s="171">
        <f t="shared" si="527"/>
        <v>0</v>
      </c>
      <c r="BD329" s="171">
        <f t="shared" si="527"/>
        <v>0</v>
      </c>
      <c r="BE329" s="171">
        <f t="shared" ref="BE329:BN338" si="528">IFERROR(
    IF($T329="Equity",
        IF(AND(BE$48&gt;=$E329, BE$48&lt;=($E329+$Q329)),
$K329*$P329*(VLOOKUP($C$39,$C$37:$BL$44,MATCH($E329,$C$37:$BL$37,0),FALSE)/VLOOKUP($L329,$C$37:$BL$44,MATCH($E329,$C$37:$BL$37,0),FALSE))*
IF($B$5="Foreign Currency",VLOOKUP($C$38,$C$37:$BL$44,MATCH(BE$48,$C$37:$BL$37,0),FALSE)/VLOOKUP($C$39,$C$37:$BL$44,MATCH(BE$48,$C$37:$BL$37,0),FALSE),1),
0),
    IF($T329="Lump Sum Principal",
        IF(AND(BE$48&gt;=$E329, BE$48&lt;($E329+$Q329)),
$K329*$P329*(VLOOKUP($C$39,$C$37:$BL$44,MATCH($E329,$C$37:$BL$37,0),FALSE)/VLOOKUP($L329,$C$37:$BL$44,MATCH($E329,$C$37:$BL$37,0),FALSE))*
IF($B$5="Foreign Currency",VLOOKUP($C$38,$C$37:$BL$44,MATCH(BE$48,$C$37:$BL$37,0),FALSE)/VLOOKUP($C$39,$C$37:$BL$44,MATCH(BE$48,$C$37:$BL$37,0),FALSE),1),
        IF(BE$48=($E329+$Q329),
$K329*(1+$P329)*(VLOOKUP($C$39,$C$37:$BL$44,MATCH($E329,$C$37:$BL$37,0),FALSE)/VLOOKUP($L329,$C$37:$BL$44,MATCH($E329,$C$37:$BL$37,0),FALSE))*
IF($B$5="Foreign Currency",VLOOKUP($C$38,$C$37:$BL$44,MATCH(BE$48,$C$37:$BL$37,0),FALSE)/VLOOKUP($C$39,$C$37:$BL$44,MATCH(BE$48,$C$37:$BL$37,0),FALSE),1),
0)),
    IF($T329="Lump Sum Principal and Interest",
        IF(BE$48=($E329+$Q329),
$K329*((1+$P329)^$Q329)*(VLOOKUP($C$39,$C$37:$BL$44,MATCH($E329,$C$37:$BL$37,0),FALSE)/VLOOKUP($L329,$C$37:$BL$44,MATCH($E329,$C$37:$BL$37,0),FALSE))*
IF($B$5="Foreign Currency",VLOOKUP($C$38,$C$37:$BL$44,MATCH(BE$48,$C$37:$BL$37,0),FALSE)/VLOOKUP($C$39,$C$37:$BL$44,MATCH(BE$48,$C$37:$BL$37,0),FALSE),1),
0),
    IF($T329="EPP with Grace Years for Principal",
        IF(AND(BE$48&gt;=$E329, BE$48&lt;($E329+$S329)),
$K329*$P329*(VLOOKUP($C$39,$C$37:$BL$44,MATCH($E329,$C$37:$BL$37,0),FALSE)/VLOOKUP($L329,$C$37:$BL$44,MATCH($E329,$C$37:$BL$37,0),FALSE))*
IF($B$5="Foreign Currency",VLOOKUP($C$38,$C$37:$BL$44,MATCH(BE$48,$C$37:$BL$37,0),FALSE)/VLOOKUP($C$39,$C$37:$BL$44,MATCH(BE$48,$C$37:$BL$37,0),FALSE),1),
        IF(AND(BE$48&gt;=($E329+$S329), BE$48&lt;=($E329+$Q329)),
-PMT($P329,($Q329-$S329+1),($K329*(VLOOKUP($C$39,$C$37:$BL$44,MATCH($E329,$C$37:$BL$37,0),FALSE)/VLOOKUP($L329,$C$37:$BL$44,MATCH($E329,$C$37:$BL$37,0),FALSE))*
IF($B$5="Foreign Currency",VLOOKUP($C$38,$C$37:$BL$44,MATCH(BE$48,$C$37:$BL$37,0),FALSE)/VLOOKUP($C$39,$C$37:$BL$44,MATCH(BE$48,$C$37:$BL$37,0),FALSE),1)),0),
0)),
    IF($T329="Equal Principal Payments (EPP)",
        IF(AND(BE$48&gt;=$E329, BE$48&lt;=($E329+$Q329)),
-PMT($P329,($Q329-$S329+1),($K329*(VLOOKUP($C$39,$C$37:$BL$44,MATCH($E329,$C$37:$BL$37,0),FALSE)/VLOOKUP($L329,$C$37:$BL$44,MATCH($E329,$C$37:$BL$37,0),FALSE))*
IF($B$5="Foreign Currency",VLOOKUP($C$38,$C$37:$BL$44,MATCH(BE$48,$C$37:$BL$37,0),FALSE)/VLOOKUP($C$39,$C$37:$BL$44,MATCH(BE$48,$C$37:$BL$37,0),FALSE),1)),0), 0),
    IF($T329="EPP with Grace Years for Principal and on Interest",
        IF(AND(BE$48&gt;=($E329+$S329), BE$48&lt;=($E329+$Q329)),
-PMT($P329,($Q329-$S329+1),($K329*(VLOOKUP($C$39,$C$37:$BL$44,MATCH($E329,$C$37:$BL$37,0),FALSE)/VLOOKUP($L329,$C$37:$BL$44,MATCH($E329,$C$37:$BL$37,0),FALSE))*
IF($B$5="Foreign Currency",VLOOKUP($C$38,$C$37:$BL$44,MATCH(BE$48,$C$37:$BL$37,0),FALSE)/VLOOKUP($C$39,$C$37:$BL$44,MATCH(BE$48,$C$37:$BL$37,0),FALSE),1))*((1+$P329)^$S329),0), 0),
    0)))))),"")</f>
        <v>0</v>
      </c>
      <c r="BF329" s="171">
        <f t="shared" si="528"/>
        <v>0</v>
      </c>
      <c r="BG329" s="171">
        <f t="shared" si="528"/>
        <v>0</v>
      </c>
      <c r="BH329" s="171">
        <f t="shared" si="528"/>
        <v>0</v>
      </c>
      <c r="BI329" s="171">
        <f t="shared" si="528"/>
        <v>0</v>
      </c>
      <c r="BJ329" s="171">
        <f t="shared" si="528"/>
        <v>0</v>
      </c>
      <c r="BK329" s="171">
        <f t="shared" si="528"/>
        <v>0</v>
      </c>
      <c r="BL329" s="171">
        <f t="shared" si="528"/>
        <v>0</v>
      </c>
      <c r="BM329" s="171">
        <f t="shared" si="528"/>
        <v>0</v>
      </c>
      <c r="BN329" s="171">
        <f t="shared" si="528"/>
        <v>0</v>
      </c>
      <c r="BO329" s="171">
        <f t="shared" ref="BO329:BX338" si="529">IFERROR(
    IF($T329="Equity",
        IF(AND(BO$48&gt;=$E329, BO$48&lt;=($E329+$Q329)),
$K329*$P329*(VLOOKUP($C$39,$C$37:$BL$44,MATCH($E329,$C$37:$BL$37,0),FALSE)/VLOOKUP($L329,$C$37:$BL$44,MATCH($E329,$C$37:$BL$37,0),FALSE))*
IF($B$5="Foreign Currency",VLOOKUP($C$38,$C$37:$BL$44,MATCH(BO$48,$C$37:$BL$37,0),FALSE)/VLOOKUP($C$39,$C$37:$BL$44,MATCH(BO$48,$C$37:$BL$37,0),FALSE),1),
0),
    IF($T329="Lump Sum Principal",
        IF(AND(BO$48&gt;=$E329, BO$48&lt;($E329+$Q329)),
$K329*$P329*(VLOOKUP($C$39,$C$37:$BL$44,MATCH($E329,$C$37:$BL$37,0),FALSE)/VLOOKUP($L329,$C$37:$BL$44,MATCH($E329,$C$37:$BL$37,0),FALSE))*
IF($B$5="Foreign Currency",VLOOKUP($C$38,$C$37:$BL$44,MATCH(BO$48,$C$37:$BL$37,0),FALSE)/VLOOKUP($C$39,$C$37:$BL$44,MATCH(BO$48,$C$37:$BL$37,0),FALSE),1),
        IF(BO$48=($E329+$Q329),
$K329*(1+$P329)*(VLOOKUP($C$39,$C$37:$BL$44,MATCH($E329,$C$37:$BL$37,0),FALSE)/VLOOKUP($L329,$C$37:$BL$44,MATCH($E329,$C$37:$BL$37,0),FALSE))*
IF($B$5="Foreign Currency",VLOOKUP($C$38,$C$37:$BL$44,MATCH(BO$48,$C$37:$BL$37,0),FALSE)/VLOOKUP($C$39,$C$37:$BL$44,MATCH(BO$48,$C$37:$BL$37,0),FALSE),1),
0)),
    IF($T329="Lump Sum Principal and Interest",
        IF(BO$48=($E329+$Q329),
$K329*((1+$P329)^$Q329)*(VLOOKUP($C$39,$C$37:$BL$44,MATCH($E329,$C$37:$BL$37,0),FALSE)/VLOOKUP($L329,$C$37:$BL$44,MATCH($E329,$C$37:$BL$37,0),FALSE))*
IF($B$5="Foreign Currency",VLOOKUP($C$38,$C$37:$BL$44,MATCH(BO$48,$C$37:$BL$37,0),FALSE)/VLOOKUP($C$39,$C$37:$BL$44,MATCH(BO$48,$C$37:$BL$37,0),FALSE),1),
0),
    IF($T329="EPP with Grace Years for Principal",
        IF(AND(BO$48&gt;=$E329, BO$48&lt;($E329+$S329)),
$K329*$P329*(VLOOKUP($C$39,$C$37:$BL$44,MATCH($E329,$C$37:$BL$37,0),FALSE)/VLOOKUP($L329,$C$37:$BL$44,MATCH($E329,$C$37:$BL$37,0),FALSE))*
IF($B$5="Foreign Currency",VLOOKUP($C$38,$C$37:$BL$44,MATCH(BO$48,$C$37:$BL$37,0),FALSE)/VLOOKUP($C$39,$C$37:$BL$44,MATCH(BO$48,$C$37:$BL$37,0),FALSE),1),
        IF(AND(BO$48&gt;=($E329+$S329), BO$48&lt;=($E329+$Q329)),
-PMT($P329,($Q329-$S329+1),($K329*(VLOOKUP($C$39,$C$37:$BL$44,MATCH($E329,$C$37:$BL$37,0),FALSE)/VLOOKUP($L329,$C$37:$BL$44,MATCH($E329,$C$37:$BL$37,0),FALSE))*
IF($B$5="Foreign Currency",VLOOKUP($C$38,$C$37:$BL$44,MATCH(BO$48,$C$37:$BL$37,0),FALSE)/VLOOKUP($C$39,$C$37:$BL$44,MATCH(BO$48,$C$37:$BL$37,0),FALSE),1)),0),
0)),
    IF($T329="Equal Principal Payments (EPP)",
        IF(AND(BO$48&gt;=$E329, BO$48&lt;=($E329+$Q329)),
-PMT($P329,($Q329-$S329+1),($K329*(VLOOKUP($C$39,$C$37:$BL$44,MATCH($E329,$C$37:$BL$37,0),FALSE)/VLOOKUP($L329,$C$37:$BL$44,MATCH($E329,$C$37:$BL$37,0),FALSE))*
IF($B$5="Foreign Currency",VLOOKUP($C$38,$C$37:$BL$44,MATCH(BO$48,$C$37:$BL$37,0),FALSE)/VLOOKUP($C$39,$C$37:$BL$44,MATCH(BO$48,$C$37:$BL$37,0),FALSE),1)),0), 0),
    IF($T329="EPP with Grace Years for Principal and on Interest",
        IF(AND(BO$48&gt;=($E329+$S329), BO$48&lt;=($E329+$Q329)),
-PMT($P329,($Q329-$S329+1),($K329*(VLOOKUP($C$39,$C$37:$BL$44,MATCH($E329,$C$37:$BL$37,0),FALSE)/VLOOKUP($L329,$C$37:$BL$44,MATCH($E329,$C$37:$BL$37,0),FALSE))*
IF($B$5="Foreign Currency",VLOOKUP($C$38,$C$37:$BL$44,MATCH(BO$48,$C$37:$BL$37,0),FALSE)/VLOOKUP($C$39,$C$37:$BL$44,MATCH(BO$48,$C$37:$BL$37,0),FALSE),1))*((1+$P329)^$S329),0), 0),
    0)))))),"")</f>
        <v>0</v>
      </c>
      <c r="BP329" s="171">
        <f t="shared" si="529"/>
        <v>0</v>
      </c>
      <c r="BQ329" s="171">
        <f t="shared" si="529"/>
        <v>0</v>
      </c>
      <c r="BR329" s="171">
        <f t="shared" si="529"/>
        <v>0</v>
      </c>
      <c r="BS329" s="171">
        <f t="shared" si="529"/>
        <v>0</v>
      </c>
      <c r="BT329" s="171">
        <f t="shared" si="529"/>
        <v>0</v>
      </c>
      <c r="BU329" s="171">
        <f t="shared" si="529"/>
        <v>0</v>
      </c>
      <c r="BV329" s="171">
        <f t="shared" si="529"/>
        <v>0</v>
      </c>
      <c r="BW329" s="171">
        <f t="shared" si="529"/>
        <v>0</v>
      </c>
      <c r="BX329" s="171">
        <f t="shared" si="529"/>
        <v>0</v>
      </c>
      <c r="BY329" s="171">
        <f t="shared" ref="BY329:CI338" si="530">IFERROR(
    IF($T329="Equity",
        IF(AND(BY$48&gt;=$E329, BY$48&lt;=($E329+$Q329)),
$K329*$P329*(VLOOKUP($C$39,$C$37:$BL$44,MATCH($E329,$C$37:$BL$37,0),FALSE)/VLOOKUP($L329,$C$37:$BL$44,MATCH($E329,$C$37:$BL$37,0),FALSE))*
IF($B$5="Foreign Currency",VLOOKUP($C$38,$C$37:$BL$44,MATCH(BY$48,$C$37:$BL$37,0),FALSE)/VLOOKUP($C$39,$C$37:$BL$44,MATCH(BY$48,$C$37:$BL$37,0),FALSE),1),
0),
    IF($T329="Lump Sum Principal",
        IF(AND(BY$48&gt;=$E329, BY$48&lt;($E329+$Q329)),
$K329*$P329*(VLOOKUP($C$39,$C$37:$BL$44,MATCH($E329,$C$37:$BL$37,0),FALSE)/VLOOKUP($L329,$C$37:$BL$44,MATCH($E329,$C$37:$BL$37,0),FALSE))*
IF($B$5="Foreign Currency",VLOOKUP($C$38,$C$37:$BL$44,MATCH(BY$48,$C$37:$BL$37,0),FALSE)/VLOOKUP($C$39,$C$37:$BL$44,MATCH(BY$48,$C$37:$BL$37,0),FALSE),1),
        IF(BY$48=($E329+$Q329),
$K329*(1+$P329)*(VLOOKUP($C$39,$C$37:$BL$44,MATCH($E329,$C$37:$BL$37,0),FALSE)/VLOOKUP($L329,$C$37:$BL$44,MATCH($E329,$C$37:$BL$37,0),FALSE))*
IF($B$5="Foreign Currency",VLOOKUP($C$38,$C$37:$BL$44,MATCH(BY$48,$C$37:$BL$37,0),FALSE)/VLOOKUP($C$39,$C$37:$BL$44,MATCH(BY$48,$C$37:$BL$37,0),FALSE),1),
0)),
    IF($T329="Lump Sum Principal and Interest",
        IF(BY$48=($E329+$Q329),
$K329*((1+$P329)^$Q329)*(VLOOKUP($C$39,$C$37:$BL$44,MATCH($E329,$C$37:$BL$37,0),FALSE)/VLOOKUP($L329,$C$37:$BL$44,MATCH($E329,$C$37:$BL$37,0),FALSE))*
IF($B$5="Foreign Currency",VLOOKUP($C$38,$C$37:$BL$44,MATCH(BY$48,$C$37:$BL$37,0),FALSE)/VLOOKUP($C$39,$C$37:$BL$44,MATCH(BY$48,$C$37:$BL$37,0),FALSE),1),
0),
    IF($T329="EPP with Grace Years for Principal",
        IF(AND(BY$48&gt;=$E329, BY$48&lt;($E329+$S329)),
$K329*$P329*(VLOOKUP($C$39,$C$37:$BL$44,MATCH($E329,$C$37:$BL$37,0),FALSE)/VLOOKUP($L329,$C$37:$BL$44,MATCH($E329,$C$37:$BL$37,0),FALSE))*
IF($B$5="Foreign Currency",VLOOKUP($C$38,$C$37:$BL$44,MATCH(BY$48,$C$37:$BL$37,0),FALSE)/VLOOKUP($C$39,$C$37:$BL$44,MATCH(BY$48,$C$37:$BL$37,0),FALSE),1),
        IF(AND(BY$48&gt;=($E329+$S329), BY$48&lt;=($E329+$Q329)),
-PMT($P329,($Q329-$S329+1),($K329*(VLOOKUP($C$39,$C$37:$BL$44,MATCH($E329,$C$37:$BL$37,0),FALSE)/VLOOKUP($L329,$C$37:$BL$44,MATCH($E329,$C$37:$BL$37,0),FALSE))*
IF($B$5="Foreign Currency",VLOOKUP($C$38,$C$37:$BL$44,MATCH(BY$48,$C$37:$BL$37,0),FALSE)/VLOOKUP($C$39,$C$37:$BL$44,MATCH(BY$48,$C$37:$BL$37,0),FALSE),1)),0),
0)),
    IF($T329="Equal Principal Payments (EPP)",
        IF(AND(BY$48&gt;=$E329, BY$48&lt;=($E329+$Q329)),
-PMT($P329,($Q329-$S329+1),($K329*(VLOOKUP($C$39,$C$37:$BL$44,MATCH($E329,$C$37:$BL$37,0),FALSE)/VLOOKUP($L329,$C$37:$BL$44,MATCH($E329,$C$37:$BL$37,0),FALSE))*
IF($B$5="Foreign Currency",VLOOKUP($C$38,$C$37:$BL$44,MATCH(BY$48,$C$37:$BL$37,0),FALSE)/VLOOKUP($C$39,$C$37:$BL$44,MATCH(BY$48,$C$37:$BL$37,0),FALSE),1)),0), 0),
    IF($T329="EPP with Grace Years for Principal and on Interest",
        IF(AND(BY$48&gt;=($E329+$S329), BY$48&lt;=($E329+$Q329)),
-PMT($P329,($Q329-$S329+1),($K329*(VLOOKUP($C$39,$C$37:$BL$44,MATCH($E329,$C$37:$BL$37,0),FALSE)/VLOOKUP($L329,$C$37:$BL$44,MATCH($E329,$C$37:$BL$37,0),FALSE))*
IF($B$5="Foreign Currency",VLOOKUP($C$38,$C$37:$BL$44,MATCH(BY$48,$C$37:$BL$37,0),FALSE)/VLOOKUP($C$39,$C$37:$BL$44,MATCH(BY$48,$C$37:$BL$37,0),FALSE),1))*((1+$P329)^$S329),0), 0),
    0)))))),"")</f>
        <v>0</v>
      </c>
      <c r="BZ329" s="171">
        <f t="shared" si="530"/>
        <v>0</v>
      </c>
      <c r="CA329" s="171">
        <f t="shared" si="530"/>
        <v>0</v>
      </c>
      <c r="CB329" s="171">
        <f t="shared" si="530"/>
        <v>0</v>
      </c>
      <c r="CC329" s="171">
        <f t="shared" si="530"/>
        <v>0</v>
      </c>
      <c r="CD329" s="171">
        <f t="shared" si="530"/>
        <v>0</v>
      </c>
      <c r="CE329" s="171">
        <f t="shared" si="530"/>
        <v>0</v>
      </c>
      <c r="CF329" s="171">
        <f t="shared" si="530"/>
        <v>0</v>
      </c>
      <c r="CG329" s="171">
        <f t="shared" si="530"/>
        <v>0</v>
      </c>
      <c r="CH329" s="171">
        <f t="shared" si="530"/>
        <v>0</v>
      </c>
      <c r="CI329" s="171">
        <f t="shared" si="530"/>
        <v>0</v>
      </c>
      <c r="CJ329" s="243"/>
      <c r="CK329" s="171">
        <f t="shared" si="452"/>
        <v>0</v>
      </c>
      <c r="CL329" s="171">
        <f t="shared" si="453"/>
        <v>0</v>
      </c>
      <c r="CM329" s="171">
        <f t="shared" si="454"/>
        <v>0</v>
      </c>
      <c r="CN329" s="171">
        <f t="shared" si="455"/>
        <v>0</v>
      </c>
      <c r="CO329" s="171">
        <f t="shared" si="456"/>
        <v>0</v>
      </c>
      <c r="CP329" s="171">
        <f t="shared" si="457"/>
        <v>0</v>
      </c>
      <c r="CQ329" s="171">
        <f t="shared" si="458"/>
        <v>0</v>
      </c>
      <c r="CR329" s="171">
        <f t="shared" si="459"/>
        <v>0</v>
      </c>
      <c r="CS329" s="171">
        <f t="shared" si="460"/>
        <v>0</v>
      </c>
      <c r="CT329" s="171">
        <f t="shared" si="461"/>
        <v>0</v>
      </c>
      <c r="CU329" s="171">
        <f t="shared" si="462"/>
        <v>0</v>
      </c>
      <c r="CV329" s="171">
        <f t="shared" si="463"/>
        <v>0</v>
      </c>
      <c r="CW329" s="171">
        <f t="shared" si="464"/>
        <v>0</v>
      </c>
      <c r="CX329" s="171">
        <f t="shared" si="465"/>
        <v>0</v>
      </c>
      <c r="CY329" s="171">
        <f t="shared" ca="1" si="466"/>
        <v>0</v>
      </c>
      <c r="CZ329" s="171">
        <f t="shared" ca="1" si="467"/>
        <v>0</v>
      </c>
      <c r="DA329" s="171">
        <f t="shared" ca="1" si="468"/>
        <v>0</v>
      </c>
      <c r="DB329" s="171">
        <f t="shared" ca="1" si="469"/>
        <v>0</v>
      </c>
      <c r="DC329" s="171">
        <f t="shared" ca="1" si="470"/>
        <v>0</v>
      </c>
      <c r="DD329" s="171">
        <f t="shared" ca="1" si="471"/>
        <v>0</v>
      </c>
      <c r="DE329" s="171">
        <f t="shared" ca="1" si="472"/>
        <v>0</v>
      </c>
      <c r="DF329" s="171">
        <f t="shared" ca="1" si="473"/>
        <v>0</v>
      </c>
      <c r="DG329" s="171">
        <f t="shared" ca="1" si="474"/>
        <v>0</v>
      </c>
      <c r="DH329" s="171">
        <f t="shared" ca="1" si="475"/>
        <v>0</v>
      </c>
      <c r="DI329" s="171">
        <f t="shared" ca="1" si="476"/>
        <v>0</v>
      </c>
      <c r="DJ329" s="171">
        <f t="shared" ca="1" si="477"/>
        <v>0</v>
      </c>
      <c r="DK329" s="171">
        <f t="shared" ca="1" si="478"/>
        <v>0</v>
      </c>
      <c r="DL329" s="171">
        <f t="shared" ca="1" si="479"/>
        <v>0</v>
      </c>
      <c r="DM329" s="171">
        <f t="shared" ca="1" si="480"/>
        <v>0</v>
      </c>
      <c r="DN329" s="171">
        <f t="shared" ca="1" si="481"/>
        <v>0</v>
      </c>
      <c r="DO329" s="171">
        <f t="shared" ca="1" si="482"/>
        <v>0</v>
      </c>
      <c r="DP329" s="171">
        <f t="shared" ca="1" si="483"/>
        <v>0</v>
      </c>
      <c r="DQ329" s="171">
        <f t="shared" ca="1" si="484"/>
        <v>0</v>
      </c>
      <c r="DR329" s="171">
        <f t="shared" ca="1" si="485"/>
        <v>0</v>
      </c>
      <c r="DS329" s="171">
        <f t="shared" ca="1" si="486"/>
        <v>0</v>
      </c>
      <c r="DT329" s="171">
        <f t="shared" ca="1" si="487"/>
        <v>0</v>
      </c>
      <c r="DU329" s="171">
        <f t="shared" ca="1" si="488"/>
        <v>0</v>
      </c>
      <c r="DV329" s="171">
        <f t="shared" ca="1" si="489"/>
        <v>0</v>
      </c>
      <c r="DW329" s="171">
        <f t="shared" ca="1" si="490"/>
        <v>0</v>
      </c>
      <c r="DX329" s="171">
        <f t="shared" ca="1" si="491"/>
        <v>0</v>
      </c>
      <c r="DY329" s="171">
        <f t="shared" ca="1" si="492"/>
        <v>0</v>
      </c>
      <c r="DZ329" s="171">
        <f t="shared" ca="1" si="493"/>
        <v>0</v>
      </c>
      <c r="EA329" s="171">
        <f t="shared" ca="1" si="494"/>
        <v>0</v>
      </c>
      <c r="EB329" s="171">
        <f t="shared" ca="1" si="495"/>
        <v>0</v>
      </c>
      <c r="EC329" s="171">
        <f t="shared" ca="1" si="496"/>
        <v>0</v>
      </c>
      <c r="ED329" s="171">
        <f t="shared" ca="1" si="497"/>
        <v>0</v>
      </c>
      <c r="EE329" s="171">
        <f t="shared" ca="1" si="498"/>
        <v>0</v>
      </c>
      <c r="EF329" s="171">
        <f t="shared" ca="1" si="499"/>
        <v>0</v>
      </c>
      <c r="EG329" s="171">
        <f t="shared" ca="1" si="500"/>
        <v>0</v>
      </c>
      <c r="EH329" s="171">
        <f t="shared" ca="1" si="501"/>
        <v>0</v>
      </c>
      <c r="EI329" s="171">
        <f t="shared" ca="1" si="502"/>
        <v>0</v>
      </c>
      <c r="EJ329" s="171">
        <f t="shared" ca="1" si="503"/>
        <v>0</v>
      </c>
      <c r="EK329" s="171">
        <f t="shared" ca="1" si="504"/>
        <v>0</v>
      </c>
      <c r="EL329" s="171">
        <f t="shared" ca="1" si="505"/>
        <v>0</v>
      </c>
      <c r="EM329" s="171">
        <f t="shared" ca="1" si="506"/>
        <v>0</v>
      </c>
      <c r="EN329" s="171">
        <f t="shared" ca="1" si="507"/>
        <v>0</v>
      </c>
      <c r="EO329" s="171">
        <f t="shared" ca="1" si="508"/>
        <v>0</v>
      </c>
      <c r="EP329" s="171">
        <f t="shared" ca="1" si="509"/>
        <v>0</v>
      </c>
      <c r="EQ329" s="171">
        <f t="shared" ca="1" si="510"/>
        <v>0</v>
      </c>
      <c r="ER329" s="171">
        <f t="shared" ca="1" si="511"/>
        <v>0</v>
      </c>
      <c r="ES329" s="171">
        <f t="shared" ca="1" si="512"/>
        <v>0</v>
      </c>
    </row>
    <row r="330" spans="3:149">
      <c r="C330" s="214"/>
      <c r="H330" s="216"/>
      <c r="I330" s="217"/>
      <c r="L330" s="163"/>
      <c r="M330" s="164" t="str">
        <f t="shared" si="443"/>
        <v/>
      </c>
      <c r="N330" s="164" t="str">
        <f t="shared" si="444"/>
        <v/>
      </c>
      <c r="O330" s="165" t="str">
        <f t="shared" si="445"/>
        <v/>
      </c>
      <c r="R330" s="168"/>
      <c r="U330" s="171">
        <f t="shared" si="446"/>
        <v>0</v>
      </c>
      <c r="V330" s="171">
        <f t="shared" ca="1" si="447"/>
        <v>0</v>
      </c>
      <c r="W330" s="171">
        <f t="shared" ca="1" si="448"/>
        <v>0</v>
      </c>
      <c r="X330" s="172">
        <f t="shared" si="449"/>
        <v>0</v>
      </c>
      <c r="Y330" s="172" t="str">
        <f t="shared" si="450"/>
        <v/>
      </c>
      <c r="Z330" s="173">
        <f t="shared" si="451"/>
        <v>0</v>
      </c>
      <c r="AA330" s="171">
        <f t="shared" si="525"/>
        <v>0</v>
      </c>
      <c r="AB330" s="171">
        <f t="shared" si="525"/>
        <v>0</v>
      </c>
      <c r="AC330" s="171">
        <f t="shared" si="525"/>
        <v>0</v>
      </c>
      <c r="AD330" s="171">
        <f t="shared" si="525"/>
        <v>0</v>
      </c>
      <c r="AE330" s="171">
        <f t="shared" si="525"/>
        <v>0</v>
      </c>
      <c r="AF330" s="171">
        <f t="shared" si="525"/>
        <v>0</v>
      </c>
      <c r="AG330" s="171">
        <f t="shared" si="525"/>
        <v>0</v>
      </c>
      <c r="AH330" s="171">
        <f t="shared" si="525"/>
        <v>0</v>
      </c>
      <c r="AI330" s="171">
        <f t="shared" si="525"/>
        <v>0</v>
      </c>
      <c r="AJ330" s="171">
        <f t="shared" si="525"/>
        <v>0</v>
      </c>
      <c r="AK330" s="171">
        <f t="shared" si="526"/>
        <v>0</v>
      </c>
      <c r="AL330" s="171">
        <f t="shared" si="526"/>
        <v>0</v>
      </c>
      <c r="AM330" s="171">
        <f t="shared" si="526"/>
        <v>0</v>
      </c>
      <c r="AN330" s="171">
        <f t="shared" si="526"/>
        <v>0</v>
      </c>
      <c r="AO330" s="171">
        <f t="shared" si="526"/>
        <v>0</v>
      </c>
      <c r="AP330" s="171">
        <f t="shared" si="526"/>
        <v>0</v>
      </c>
      <c r="AQ330" s="171">
        <f t="shared" si="526"/>
        <v>0</v>
      </c>
      <c r="AR330" s="171">
        <f t="shared" si="526"/>
        <v>0</v>
      </c>
      <c r="AS330" s="171">
        <f t="shared" si="526"/>
        <v>0</v>
      </c>
      <c r="AT330" s="171">
        <f t="shared" si="526"/>
        <v>0</v>
      </c>
      <c r="AU330" s="171">
        <f t="shared" si="527"/>
        <v>0</v>
      </c>
      <c r="AV330" s="171">
        <f t="shared" si="527"/>
        <v>0</v>
      </c>
      <c r="AW330" s="171">
        <f t="shared" si="527"/>
        <v>0</v>
      </c>
      <c r="AX330" s="171">
        <f t="shared" si="527"/>
        <v>0</v>
      </c>
      <c r="AY330" s="171">
        <f t="shared" si="527"/>
        <v>0</v>
      </c>
      <c r="AZ330" s="171">
        <f t="shared" si="527"/>
        <v>0</v>
      </c>
      <c r="BA330" s="171">
        <f t="shared" si="527"/>
        <v>0</v>
      </c>
      <c r="BB330" s="171">
        <f t="shared" si="527"/>
        <v>0</v>
      </c>
      <c r="BC330" s="171">
        <f t="shared" si="527"/>
        <v>0</v>
      </c>
      <c r="BD330" s="171">
        <f t="shared" si="527"/>
        <v>0</v>
      </c>
      <c r="BE330" s="171">
        <f t="shared" si="528"/>
        <v>0</v>
      </c>
      <c r="BF330" s="171">
        <f t="shared" si="528"/>
        <v>0</v>
      </c>
      <c r="BG330" s="171">
        <f t="shared" si="528"/>
        <v>0</v>
      </c>
      <c r="BH330" s="171">
        <f t="shared" si="528"/>
        <v>0</v>
      </c>
      <c r="BI330" s="171">
        <f t="shared" si="528"/>
        <v>0</v>
      </c>
      <c r="BJ330" s="171">
        <f t="shared" si="528"/>
        <v>0</v>
      </c>
      <c r="BK330" s="171">
        <f t="shared" si="528"/>
        <v>0</v>
      </c>
      <c r="BL330" s="171">
        <f t="shared" si="528"/>
        <v>0</v>
      </c>
      <c r="BM330" s="171">
        <f t="shared" si="528"/>
        <v>0</v>
      </c>
      <c r="BN330" s="171">
        <f t="shared" si="528"/>
        <v>0</v>
      </c>
      <c r="BO330" s="171">
        <f t="shared" si="529"/>
        <v>0</v>
      </c>
      <c r="BP330" s="171">
        <f t="shared" si="529"/>
        <v>0</v>
      </c>
      <c r="BQ330" s="171">
        <f t="shared" si="529"/>
        <v>0</v>
      </c>
      <c r="BR330" s="171">
        <f t="shared" si="529"/>
        <v>0</v>
      </c>
      <c r="BS330" s="171">
        <f t="shared" si="529"/>
        <v>0</v>
      </c>
      <c r="BT330" s="171">
        <f t="shared" si="529"/>
        <v>0</v>
      </c>
      <c r="BU330" s="171">
        <f t="shared" si="529"/>
        <v>0</v>
      </c>
      <c r="BV330" s="171">
        <f t="shared" si="529"/>
        <v>0</v>
      </c>
      <c r="BW330" s="171">
        <f t="shared" si="529"/>
        <v>0</v>
      </c>
      <c r="BX330" s="171">
        <f t="shared" si="529"/>
        <v>0</v>
      </c>
      <c r="BY330" s="171">
        <f t="shared" si="530"/>
        <v>0</v>
      </c>
      <c r="BZ330" s="171">
        <f t="shared" si="530"/>
        <v>0</v>
      </c>
      <c r="CA330" s="171">
        <f t="shared" si="530"/>
        <v>0</v>
      </c>
      <c r="CB330" s="171">
        <f t="shared" si="530"/>
        <v>0</v>
      </c>
      <c r="CC330" s="171">
        <f t="shared" si="530"/>
        <v>0</v>
      </c>
      <c r="CD330" s="171">
        <f t="shared" si="530"/>
        <v>0</v>
      </c>
      <c r="CE330" s="171">
        <f t="shared" si="530"/>
        <v>0</v>
      </c>
      <c r="CF330" s="171">
        <f t="shared" si="530"/>
        <v>0</v>
      </c>
      <c r="CG330" s="171">
        <f t="shared" si="530"/>
        <v>0</v>
      </c>
      <c r="CH330" s="171">
        <f t="shared" si="530"/>
        <v>0</v>
      </c>
      <c r="CI330" s="171">
        <f t="shared" si="530"/>
        <v>0</v>
      </c>
      <c r="CJ330" s="243"/>
      <c r="CK330" s="171">
        <f t="shared" si="452"/>
        <v>0</v>
      </c>
      <c r="CL330" s="171">
        <f t="shared" si="453"/>
        <v>0</v>
      </c>
      <c r="CM330" s="171">
        <f t="shared" si="454"/>
        <v>0</v>
      </c>
      <c r="CN330" s="171">
        <f t="shared" si="455"/>
        <v>0</v>
      </c>
      <c r="CO330" s="171">
        <f t="shared" si="456"/>
        <v>0</v>
      </c>
      <c r="CP330" s="171">
        <f t="shared" si="457"/>
        <v>0</v>
      </c>
      <c r="CQ330" s="171">
        <f t="shared" si="458"/>
        <v>0</v>
      </c>
      <c r="CR330" s="171">
        <f t="shared" si="459"/>
        <v>0</v>
      </c>
      <c r="CS330" s="171">
        <f t="shared" si="460"/>
        <v>0</v>
      </c>
      <c r="CT330" s="171">
        <f t="shared" si="461"/>
        <v>0</v>
      </c>
      <c r="CU330" s="171">
        <f t="shared" si="462"/>
        <v>0</v>
      </c>
      <c r="CV330" s="171">
        <f t="shared" si="463"/>
        <v>0</v>
      </c>
      <c r="CW330" s="171">
        <f t="shared" si="464"/>
        <v>0</v>
      </c>
      <c r="CX330" s="171">
        <f t="shared" si="465"/>
        <v>0</v>
      </c>
      <c r="CY330" s="171">
        <f t="shared" ca="1" si="466"/>
        <v>0</v>
      </c>
      <c r="CZ330" s="171">
        <f t="shared" ca="1" si="467"/>
        <v>0</v>
      </c>
      <c r="DA330" s="171">
        <f t="shared" ca="1" si="468"/>
        <v>0</v>
      </c>
      <c r="DB330" s="171">
        <f t="shared" ca="1" si="469"/>
        <v>0</v>
      </c>
      <c r="DC330" s="171">
        <f t="shared" ca="1" si="470"/>
        <v>0</v>
      </c>
      <c r="DD330" s="171">
        <f t="shared" ca="1" si="471"/>
        <v>0</v>
      </c>
      <c r="DE330" s="171">
        <f t="shared" ca="1" si="472"/>
        <v>0</v>
      </c>
      <c r="DF330" s="171">
        <f t="shared" ca="1" si="473"/>
        <v>0</v>
      </c>
      <c r="DG330" s="171">
        <f t="shared" ca="1" si="474"/>
        <v>0</v>
      </c>
      <c r="DH330" s="171">
        <f t="shared" ca="1" si="475"/>
        <v>0</v>
      </c>
      <c r="DI330" s="171">
        <f t="shared" ca="1" si="476"/>
        <v>0</v>
      </c>
      <c r="DJ330" s="171">
        <f t="shared" ca="1" si="477"/>
        <v>0</v>
      </c>
      <c r="DK330" s="171">
        <f t="shared" ca="1" si="478"/>
        <v>0</v>
      </c>
      <c r="DL330" s="171">
        <f t="shared" ca="1" si="479"/>
        <v>0</v>
      </c>
      <c r="DM330" s="171">
        <f t="shared" ca="1" si="480"/>
        <v>0</v>
      </c>
      <c r="DN330" s="171">
        <f t="shared" ca="1" si="481"/>
        <v>0</v>
      </c>
      <c r="DO330" s="171">
        <f t="shared" ca="1" si="482"/>
        <v>0</v>
      </c>
      <c r="DP330" s="171">
        <f t="shared" ca="1" si="483"/>
        <v>0</v>
      </c>
      <c r="DQ330" s="171">
        <f t="shared" ca="1" si="484"/>
        <v>0</v>
      </c>
      <c r="DR330" s="171">
        <f t="shared" ca="1" si="485"/>
        <v>0</v>
      </c>
      <c r="DS330" s="171">
        <f t="shared" ca="1" si="486"/>
        <v>0</v>
      </c>
      <c r="DT330" s="171">
        <f t="shared" ca="1" si="487"/>
        <v>0</v>
      </c>
      <c r="DU330" s="171">
        <f t="shared" ca="1" si="488"/>
        <v>0</v>
      </c>
      <c r="DV330" s="171">
        <f t="shared" ca="1" si="489"/>
        <v>0</v>
      </c>
      <c r="DW330" s="171">
        <f t="shared" ca="1" si="490"/>
        <v>0</v>
      </c>
      <c r="DX330" s="171">
        <f t="shared" ca="1" si="491"/>
        <v>0</v>
      </c>
      <c r="DY330" s="171">
        <f t="shared" ca="1" si="492"/>
        <v>0</v>
      </c>
      <c r="DZ330" s="171">
        <f t="shared" ca="1" si="493"/>
        <v>0</v>
      </c>
      <c r="EA330" s="171">
        <f t="shared" ca="1" si="494"/>
        <v>0</v>
      </c>
      <c r="EB330" s="171">
        <f t="shared" ca="1" si="495"/>
        <v>0</v>
      </c>
      <c r="EC330" s="171">
        <f t="shared" ca="1" si="496"/>
        <v>0</v>
      </c>
      <c r="ED330" s="171">
        <f t="shared" ca="1" si="497"/>
        <v>0</v>
      </c>
      <c r="EE330" s="171">
        <f t="shared" ca="1" si="498"/>
        <v>0</v>
      </c>
      <c r="EF330" s="171">
        <f t="shared" ca="1" si="499"/>
        <v>0</v>
      </c>
      <c r="EG330" s="171">
        <f t="shared" ca="1" si="500"/>
        <v>0</v>
      </c>
      <c r="EH330" s="171">
        <f t="shared" ca="1" si="501"/>
        <v>0</v>
      </c>
      <c r="EI330" s="171">
        <f t="shared" ca="1" si="502"/>
        <v>0</v>
      </c>
      <c r="EJ330" s="171">
        <f t="shared" ca="1" si="503"/>
        <v>0</v>
      </c>
      <c r="EK330" s="171">
        <f t="shared" ca="1" si="504"/>
        <v>0</v>
      </c>
      <c r="EL330" s="171">
        <f t="shared" ca="1" si="505"/>
        <v>0</v>
      </c>
      <c r="EM330" s="171">
        <f t="shared" ca="1" si="506"/>
        <v>0</v>
      </c>
      <c r="EN330" s="171">
        <f t="shared" ca="1" si="507"/>
        <v>0</v>
      </c>
      <c r="EO330" s="171">
        <f t="shared" ca="1" si="508"/>
        <v>0</v>
      </c>
      <c r="EP330" s="171">
        <f t="shared" ca="1" si="509"/>
        <v>0</v>
      </c>
      <c r="EQ330" s="171">
        <f t="shared" ca="1" si="510"/>
        <v>0</v>
      </c>
      <c r="ER330" s="171">
        <f t="shared" ca="1" si="511"/>
        <v>0</v>
      </c>
      <c r="ES330" s="171">
        <f t="shared" ca="1" si="512"/>
        <v>0</v>
      </c>
    </row>
    <row r="331" spans="3:149">
      <c r="C331" s="214"/>
      <c r="H331" s="216"/>
      <c r="I331" s="217"/>
      <c r="L331" s="163"/>
      <c r="M331" s="164" t="str">
        <f t="shared" si="443"/>
        <v/>
      </c>
      <c r="N331" s="164" t="str">
        <f t="shared" si="444"/>
        <v/>
      </c>
      <c r="O331" s="165" t="str">
        <f t="shared" si="445"/>
        <v/>
      </c>
      <c r="R331" s="168"/>
      <c r="U331" s="171">
        <f t="shared" si="446"/>
        <v>0</v>
      </c>
      <c r="V331" s="171">
        <f t="shared" ca="1" si="447"/>
        <v>0</v>
      </c>
      <c r="W331" s="171">
        <f t="shared" ca="1" si="448"/>
        <v>0</v>
      </c>
      <c r="X331" s="172">
        <f t="shared" si="449"/>
        <v>0</v>
      </c>
      <c r="Y331" s="172" t="str">
        <f t="shared" si="450"/>
        <v/>
      </c>
      <c r="Z331" s="173">
        <f t="shared" si="451"/>
        <v>0</v>
      </c>
      <c r="AA331" s="171">
        <f t="shared" si="525"/>
        <v>0</v>
      </c>
      <c r="AB331" s="171">
        <f t="shared" si="525"/>
        <v>0</v>
      </c>
      <c r="AC331" s="171">
        <f t="shared" si="525"/>
        <v>0</v>
      </c>
      <c r="AD331" s="171">
        <f t="shared" si="525"/>
        <v>0</v>
      </c>
      <c r="AE331" s="171">
        <f t="shared" si="525"/>
        <v>0</v>
      </c>
      <c r="AF331" s="171">
        <f t="shared" si="525"/>
        <v>0</v>
      </c>
      <c r="AG331" s="171">
        <f t="shared" si="525"/>
        <v>0</v>
      </c>
      <c r="AH331" s="171">
        <f t="shared" si="525"/>
        <v>0</v>
      </c>
      <c r="AI331" s="171">
        <f t="shared" si="525"/>
        <v>0</v>
      </c>
      <c r="AJ331" s="171">
        <f t="shared" si="525"/>
        <v>0</v>
      </c>
      <c r="AK331" s="171">
        <f t="shared" si="526"/>
        <v>0</v>
      </c>
      <c r="AL331" s="171">
        <f t="shared" si="526"/>
        <v>0</v>
      </c>
      <c r="AM331" s="171">
        <f t="shared" si="526"/>
        <v>0</v>
      </c>
      <c r="AN331" s="171">
        <f t="shared" si="526"/>
        <v>0</v>
      </c>
      <c r="AO331" s="171">
        <f t="shared" si="526"/>
        <v>0</v>
      </c>
      <c r="AP331" s="171">
        <f t="shared" si="526"/>
        <v>0</v>
      </c>
      <c r="AQ331" s="171">
        <f t="shared" si="526"/>
        <v>0</v>
      </c>
      <c r="AR331" s="171">
        <f t="shared" si="526"/>
        <v>0</v>
      </c>
      <c r="AS331" s="171">
        <f t="shared" si="526"/>
        <v>0</v>
      </c>
      <c r="AT331" s="171">
        <f t="shared" si="526"/>
        <v>0</v>
      </c>
      <c r="AU331" s="171">
        <f t="shared" si="527"/>
        <v>0</v>
      </c>
      <c r="AV331" s="171">
        <f t="shared" si="527"/>
        <v>0</v>
      </c>
      <c r="AW331" s="171">
        <f t="shared" si="527"/>
        <v>0</v>
      </c>
      <c r="AX331" s="171">
        <f t="shared" si="527"/>
        <v>0</v>
      </c>
      <c r="AY331" s="171">
        <f t="shared" si="527"/>
        <v>0</v>
      </c>
      <c r="AZ331" s="171">
        <f t="shared" si="527"/>
        <v>0</v>
      </c>
      <c r="BA331" s="171">
        <f t="shared" si="527"/>
        <v>0</v>
      </c>
      <c r="BB331" s="171">
        <f t="shared" si="527"/>
        <v>0</v>
      </c>
      <c r="BC331" s="171">
        <f t="shared" si="527"/>
        <v>0</v>
      </c>
      <c r="BD331" s="171">
        <f t="shared" si="527"/>
        <v>0</v>
      </c>
      <c r="BE331" s="171">
        <f t="shared" si="528"/>
        <v>0</v>
      </c>
      <c r="BF331" s="171">
        <f t="shared" si="528"/>
        <v>0</v>
      </c>
      <c r="BG331" s="171">
        <f t="shared" si="528"/>
        <v>0</v>
      </c>
      <c r="BH331" s="171">
        <f t="shared" si="528"/>
        <v>0</v>
      </c>
      <c r="BI331" s="171">
        <f t="shared" si="528"/>
        <v>0</v>
      </c>
      <c r="BJ331" s="171">
        <f t="shared" si="528"/>
        <v>0</v>
      </c>
      <c r="BK331" s="171">
        <f t="shared" si="528"/>
        <v>0</v>
      </c>
      <c r="BL331" s="171">
        <f t="shared" si="528"/>
        <v>0</v>
      </c>
      <c r="BM331" s="171">
        <f t="shared" si="528"/>
        <v>0</v>
      </c>
      <c r="BN331" s="171">
        <f t="shared" si="528"/>
        <v>0</v>
      </c>
      <c r="BO331" s="171">
        <f t="shared" si="529"/>
        <v>0</v>
      </c>
      <c r="BP331" s="171">
        <f t="shared" si="529"/>
        <v>0</v>
      </c>
      <c r="BQ331" s="171">
        <f t="shared" si="529"/>
        <v>0</v>
      </c>
      <c r="BR331" s="171">
        <f t="shared" si="529"/>
        <v>0</v>
      </c>
      <c r="BS331" s="171">
        <f t="shared" si="529"/>
        <v>0</v>
      </c>
      <c r="BT331" s="171">
        <f t="shared" si="529"/>
        <v>0</v>
      </c>
      <c r="BU331" s="171">
        <f t="shared" si="529"/>
        <v>0</v>
      </c>
      <c r="BV331" s="171">
        <f t="shared" si="529"/>
        <v>0</v>
      </c>
      <c r="BW331" s="171">
        <f t="shared" si="529"/>
        <v>0</v>
      </c>
      <c r="BX331" s="171">
        <f t="shared" si="529"/>
        <v>0</v>
      </c>
      <c r="BY331" s="171">
        <f t="shared" si="530"/>
        <v>0</v>
      </c>
      <c r="BZ331" s="171">
        <f t="shared" si="530"/>
        <v>0</v>
      </c>
      <c r="CA331" s="171">
        <f t="shared" si="530"/>
        <v>0</v>
      </c>
      <c r="CB331" s="171">
        <f t="shared" si="530"/>
        <v>0</v>
      </c>
      <c r="CC331" s="171">
        <f t="shared" si="530"/>
        <v>0</v>
      </c>
      <c r="CD331" s="171">
        <f t="shared" si="530"/>
        <v>0</v>
      </c>
      <c r="CE331" s="171">
        <f t="shared" si="530"/>
        <v>0</v>
      </c>
      <c r="CF331" s="171">
        <f t="shared" si="530"/>
        <v>0</v>
      </c>
      <c r="CG331" s="171">
        <f t="shared" si="530"/>
        <v>0</v>
      </c>
      <c r="CH331" s="171">
        <f t="shared" si="530"/>
        <v>0</v>
      </c>
      <c r="CI331" s="171">
        <f t="shared" si="530"/>
        <v>0</v>
      </c>
      <c r="CJ331" s="243"/>
      <c r="CK331" s="171">
        <f t="shared" si="452"/>
        <v>0</v>
      </c>
      <c r="CL331" s="171">
        <f t="shared" si="453"/>
        <v>0</v>
      </c>
      <c r="CM331" s="171">
        <f t="shared" si="454"/>
        <v>0</v>
      </c>
      <c r="CN331" s="171">
        <f t="shared" si="455"/>
        <v>0</v>
      </c>
      <c r="CO331" s="171">
        <f t="shared" si="456"/>
        <v>0</v>
      </c>
      <c r="CP331" s="171">
        <f t="shared" si="457"/>
        <v>0</v>
      </c>
      <c r="CQ331" s="171">
        <f t="shared" si="458"/>
        <v>0</v>
      </c>
      <c r="CR331" s="171">
        <f t="shared" si="459"/>
        <v>0</v>
      </c>
      <c r="CS331" s="171">
        <f t="shared" si="460"/>
        <v>0</v>
      </c>
      <c r="CT331" s="171">
        <f t="shared" si="461"/>
        <v>0</v>
      </c>
      <c r="CU331" s="171">
        <f t="shared" si="462"/>
        <v>0</v>
      </c>
      <c r="CV331" s="171">
        <f t="shared" si="463"/>
        <v>0</v>
      </c>
      <c r="CW331" s="171">
        <f t="shared" si="464"/>
        <v>0</v>
      </c>
      <c r="CX331" s="171">
        <f t="shared" si="465"/>
        <v>0</v>
      </c>
      <c r="CY331" s="171">
        <f t="shared" ca="1" si="466"/>
        <v>0</v>
      </c>
      <c r="CZ331" s="171">
        <f t="shared" ca="1" si="467"/>
        <v>0</v>
      </c>
      <c r="DA331" s="171">
        <f t="shared" ca="1" si="468"/>
        <v>0</v>
      </c>
      <c r="DB331" s="171">
        <f t="shared" ca="1" si="469"/>
        <v>0</v>
      </c>
      <c r="DC331" s="171">
        <f t="shared" ca="1" si="470"/>
        <v>0</v>
      </c>
      <c r="DD331" s="171">
        <f t="shared" ca="1" si="471"/>
        <v>0</v>
      </c>
      <c r="DE331" s="171">
        <f t="shared" ca="1" si="472"/>
        <v>0</v>
      </c>
      <c r="DF331" s="171">
        <f t="shared" ca="1" si="473"/>
        <v>0</v>
      </c>
      <c r="DG331" s="171">
        <f t="shared" ca="1" si="474"/>
        <v>0</v>
      </c>
      <c r="DH331" s="171">
        <f t="shared" ca="1" si="475"/>
        <v>0</v>
      </c>
      <c r="DI331" s="171">
        <f t="shared" ca="1" si="476"/>
        <v>0</v>
      </c>
      <c r="DJ331" s="171">
        <f t="shared" ca="1" si="477"/>
        <v>0</v>
      </c>
      <c r="DK331" s="171">
        <f t="shared" ca="1" si="478"/>
        <v>0</v>
      </c>
      <c r="DL331" s="171">
        <f t="shared" ca="1" si="479"/>
        <v>0</v>
      </c>
      <c r="DM331" s="171">
        <f t="shared" ca="1" si="480"/>
        <v>0</v>
      </c>
      <c r="DN331" s="171">
        <f t="shared" ca="1" si="481"/>
        <v>0</v>
      </c>
      <c r="DO331" s="171">
        <f t="shared" ca="1" si="482"/>
        <v>0</v>
      </c>
      <c r="DP331" s="171">
        <f t="shared" ca="1" si="483"/>
        <v>0</v>
      </c>
      <c r="DQ331" s="171">
        <f t="shared" ca="1" si="484"/>
        <v>0</v>
      </c>
      <c r="DR331" s="171">
        <f t="shared" ca="1" si="485"/>
        <v>0</v>
      </c>
      <c r="DS331" s="171">
        <f t="shared" ca="1" si="486"/>
        <v>0</v>
      </c>
      <c r="DT331" s="171">
        <f t="shared" ca="1" si="487"/>
        <v>0</v>
      </c>
      <c r="DU331" s="171">
        <f t="shared" ca="1" si="488"/>
        <v>0</v>
      </c>
      <c r="DV331" s="171">
        <f t="shared" ca="1" si="489"/>
        <v>0</v>
      </c>
      <c r="DW331" s="171">
        <f t="shared" ca="1" si="490"/>
        <v>0</v>
      </c>
      <c r="DX331" s="171">
        <f t="shared" ca="1" si="491"/>
        <v>0</v>
      </c>
      <c r="DY331" s="171">
        <f t="shared" ca="1" si="492"/>
        <v>0</v>
      </c>
      <c r="DZ331" s="171">
        <f t="shared" ca="1" si="493"/>
        <v>0</v>
      </c>
      <c r="EA331" s="171">
        <f t="shared" ca="1" si="494"/>
        <v>0</v>
      </c>
      <c r="EB331" s="171">
        <f t="shared" ca="1" si="495"/>
        <v>0</v>
      </c>
      <c r="EC331" s="171">
        <f t="shared" ca="1" si="496"/>
        <v>0</v>
      </c>
      <c r="ED331" s="171">
        <f t="shared" ca="1" si="497"/>
        <v>0</v>
      </c>
      <c r="EE331" s="171">
        <f t="shared" ca="1" si="498"/>
        <v>0</v>
      </c>
      <c r="EF331" s="171">
        <f t="shared" ca="1" si="499"/>
        <v>0</v>
      </c>
      <c r="EG331" s="171">
        <f t="shared" ca="1" si="500"/>
        <v>0</v>
      </c>
      <c r="EH331" s="171">
        <f t="shared" ca="1" si="501"/>
        <v>0</v>
      </c>
      <c r="EI331" s="171">
        <f t="shared" ca="1" si="502"/>
        <v>0</v>
      </c>
      <c r="EJ331" s="171">
        <f t="shared" ca="1" si="503"/>
        <v>0</v>
      </c>
      <c r="EK331" s="171">
        <f t="shared" ca="1" si="504"/>
        <v>0</v>
      </c>
      <c r="EL331" s="171">
        <f t="shared" ca="1" si="505"/>
        <v>0</v>
      </c>
      <c r="EM331" s="171">
        <f t="shared" ca="1" si="506"/>
        <v>0</v>
      </c>
      <c r="EN331" s="171">
        <f t="shared" ca="1" si="507"/>
        <v>0</v>
      </c>
      <c r="EO331" s="171">
        <f t="shared" ca="1" si="508"/>
        <v>0</v>
      </c>
      <c r="EP331" s="171">
        <f t="shared" ca="1" si="509"/>
        <v>0</v>
      </c>
      <c r="EQ331" s="171">
        <f t="shared" ca="1" si="510"/>
        <v>0</v>
      </c>
      <c r="ER331" s="171">
        <f t="shared" ca="1" si="511"/>
        <v>0</v>
      </c>
      <c r="ES331" s="171">
        <f t="shared" ca="1" si="512"/>
        <v>0</v>
      </c>
    </row>
    <row r="332" spans="3:149">
      <c r="C332" s="214"/>
      <c r="H332" s="216"/>
      <c r="I332" s="217"/>
      <c r="L332" s="163"/>
      <c r="M332" s="164" t="str">
        <f t="shared" si="443"/>
        <v/>
      </c>
      <c r="N332" s="164" t="str">
        <f t="shared" si="444"/>
        <v/>
      </c>
      <c r="O332" s="165" t="str">
        <f t="shared" si="445"/>
        <v/>
      </c>
      <c r="R332" s="168"/>
      <c r="U332" s="171">
        <f t="shared" si="446"/>
        <v>0</v>
      </c>
      <c r="V332" s="171">
        <f t="shared" ca="1" si="447"/>
        <v>0</v>
      </c>
      <c r="W332" s="171">
        <f t="shared" ca="1" si="448"/>
        <v>0</v>
      </c>
      <c r="X332" s="172">
        <f t="shared" si="449"/>
        <v>0</v>
      </c>
      <c r="Y332" s="172" t="str">
        <f t="shared" si="450"/>
        <v/>
      </c>
      <c r="Z332" s="173">
        <f t="shared" si="451"/>
        <v>0</v>
      </c>
      <c r="AA332" s="171">
        <f t="shared" si="525"/>
        <v>0</v>
      </c>
      <c r="AB332" s="171">
        <f t="shared" si="525"/>
        <v>0</v>
      </c>
      <c r="AC332" s="171">
        <f t="shared" si="525"/>
        <v>0</v>
      </c>
      <c r="AD332" s="171">
        <f t="shared" si="525"/>
        <v>0</v>
      </c>
      <c r="AE332" s="171">
        <f t="shared" si="525"/>
        <v>0</v>
      </c>
      <c r="AF332" s="171">
        <f t="shared" si="525"/>
        <v>0</v>
      </c>
      <c r="AG332" s="171">
        <f t="shared" si="525"/>
        <v>0</v>
      </c>
      <c r="AH332" s="171">
        <f t="shared" si="525"/>
        <v>0</v>
      </c>
      <c r="AI332" s="171">
        <f t="shared" si="525"/>
        <v>0</v>
      </c>
      <c r="AJ332" s="171">
        <f t="shared" si="525"/>
        <v>0</v>
      </c>
      <c r="AK332" s="171">
        <f t="shared" si="526"/>
        <v>0</v>
      </c>
      <c r="AL332" s="171">
        <f t="shared" si="526"/>
        <v>0</v>
      </c>
      <c r="AM332" s="171">
        <f t="shared" si="526"/>
        <v>0</v>
      </c>
      <c r="AN332" s="171">
        <f t="shared" si="526"/>
        <v>0</v>
      </c>
      <c r="AO332" s="171">
        <f t="shared" si="526"/>
        <v>0</v>
      </c>
      <c r="AP332" s="171">
        <f t="shared" si="526"/>
        <v>0</v>
      </c>
      <c r="AQ332" s="171">
        <f t="shared" si="526"/>
        <v>0</v>
      </c>
      <c r="AR332" s="171">
        <f t="shared" si="526"/>
        <v>0</v>
      </c>
      <c r="AS332" s="171">
        <f t="shared" si="526"/>
        <v>0</v>
      </c>
      <c r="AT332" s="171">
        <f t="shared" si="526"/>
        <v>0</v>
      </c>
      <c r="AU332" s="171">
        <f t="shared" si="527"/>
        <v>0</v>
      </c>
      <c r="AV332" s="171">
        <f t="shared" si="527"/>
        <v>0</v>
      </c>
      <c r="AW332" s="171">
        <f t="shared" si="527"/>
        <v>0</v>
      </c>
      <c r="AX332" s="171">
        <f t="shared" si="527"/>
        <v>0</v>
      </c>
      <c r="AY332" s="171">
        <f t="shared" si="527"/>
        <v>0</v>
      </c>
      <c r="AZ332" s="171">
        <f t="shared" si="527"/>
        <v>0</v>
      </c>
      <c r="BA332" s="171">
        <f t="shared" si="527"/>
        <v>0</v>
      </c>
      <c r="BB332" s="171">
        <f t="shared" si="527"/>
        <v>0</v>
      </c>
      <c r="BC332" s="171">
        <f t="shared" si="527"/>
        <v>0</v>
      </c>
      <c r="BD332" s="171">
        <f t="shared" si="527"/>
        <v>0</v>
      </c>
      <c r="BE332" s="171">
        <f t="shared" si="528"/>
        <v>0</v>
      </c>
      <c r="BF332" s="171">
        <f t="shared" si="528"/>
        <v>0</v>
      </c>
      <c r="BG332" s="171">
        <f t="shared" si="528"/>
        <v>0</v>
      </c>
      <c r="BH332" s="171">
        <f t="shared" si="528"/>
        <v>0</v>
      </c>
      <c r="BI332" s="171">
        <f t="shared" si="528"/>
        <v>0</v>
      </c>
      <c r="BJ332" s="171">
        <f t="shared" si="528"/>
        <v>0</v>
      </c>
      <c r="BK332" s="171">
        <f t="shared" si="528"/>
        <v>0</v>
      </c>
      <c r="BL332" s="171">
        <f t="shared" si="528"/>
        <v>0</v>
      </c>
      <c r="BM332" s="171">
        <f t="shared" si="528"/>
        <v>0</v>
      </c>
      <c r="BN332" s="171">
        <f t="shared" si="528"/>
        <v>0</v>
      </c>
      <c r="BO332" s="171">
        <f t="shared" si="529"/>
        <v>0</v>
      </c>
      <c r="BP332" s="171">
        <f t="shared" si="529"/>
        <v>0</v>
      </c>
      <c r="BQ332" s="171">
        <f t="shared" si="529"/>
        <v>0</v>
      </c>
      <c r="BR332" s="171">
        <f t="shared" si="529"/>
        <v>0</v>
      </c>
      <c r="BS332" s="171">
        <f t="shared" si="529"/>
        <v>0</v>
      </c>
      <c r="BT332" s="171">
        <f t="shared" si="529"/>
        <v>0</v>
      </c>
      <c r="BU332" s="171">
        <f t="shared" si="529"/>
        <v>0</v>
      </c>
      <c r="BV332" s="171">
        <f t="shared" si="529"/>
        <v>0</v>
      </c>
      <c r="BW332" s="171">
        <f t="shared" si="529"/>
        <v>0</v>
      </c>
      <c r="BX332" s="171">
        <f t="shared" si="529"/>
        <v>0</v>
      </c>
      <c r="BY332" s="171">
        <f t="shared" si="530"/>
        <v>0</v>
      </c>
      <c r="BZ332" s="171">
        <f t="shared" si="530"/>
        <v>0</v>
      </c>
      <c r="CA332" s="171">
        <f t="shared" si="530"/>
        <v>0</v>
      </c>
      <c r="CB332" s="171">
        <f t="shared" si="530"/>
        <v>0</v>
      </c>
      <c r="CC332" s="171">
        <f t="shared" si="530"/>
        <v>0</v>
      </c>
      <c r="CD332" s="171">
        <f t="shared" si="530"/>
        <v>0</v>
      </c>
      <c r="CE332" s="171">
        <f t="shared" si="530"/>
        <v>0</v>
      </c>
      <c r="CF332" s="171">
        <f t="shared" si="530"/>
        <v>0</v>
      </c>
      <c r="CG332" s="171">
        <f t="shared" si="530"/>
        <v>0</v>
      </c>
      <c r="CH332" s="171">
        <f t="shared" si="530"/>
        <v>0</v>
      </c>
      <c r="CI332" s="171">
        <f t="shared" si="530"/>
        <v>0</v>
      </c>
      <c r="CJ332" s="243"/>
      <c r="CK332" s="171">
        <f t="shared" si="452"/>
        <v>0</v>
      </c>
      <c r="CL332" s="171">
        <f t="shared" si="453"/>
        <v>0</v>
      </c>
      <c r="CM332" s="171">
        <f t="shared" si="454"/>
        <v>0</v>
      </c>
      <c r="CN332" s="171">
        <f t="shared" si="455"/>
        <v>0</v>
      </c>
      <c r="CO332" s="171">
        <f t="shared" si="456"/>
        <v>0</v>
      </c>
      <c r="CP332" s="171">
        <f t="shared" si="457"/>
        <v>0</v>
      </c>
      <c r="CQ332" s="171">
        <f t="shared" si="458"/>
        <v>0</v>
      </c>
      <c r="CR332" s="171">
        <f t="shared" si="459"/>
        <v>0</v>
      </c>
      <c r="CS332" s="171">
        <f t="shared" si="460"/>
        <v>0</v>
      </c>
      <c r="CT332" s="171">
        <f t="shared" si="461"/>
        <v>0</v>
      </c>
      <c r="CU332" s="171">
        <f t="shared" si="462"/>
        <v>0</v>
      </c>
      <c r="CV332" s="171">
        <f t="shared" si="463"/>
        <v>0</v>
      </c>
      <c r="CW332" s="171">
        <f t="shared" si="464"/>
        <v>0</v>
      </c>
      <c r="CX332" s="171">
        <f t="shared" si="465"/>
        <v>0</v>
      </c>
      <c r="CY332" s="171">
        <f t="shared" ca="1" si="466"/>
        <v>0</v>
      </c>
      <c r="CZ332" s="171">
        <f t="shared" ca="1" si="467"/>
        <v>0</v>
      </c>
      <c r="DA332" s="171">
        <f t="shared" ca="1" si="468"/>
        <v>0</v>
      </c>
      <c r="DB332" s="171">
        <f t="shared" ca="1" si="469"/>
        <v>0</v>
      </c>
      <c r="DC332" s="171">
        <f t="shared" ca="1" si="470"/>
        <v>0</v>
      </c>
      <c r="DD332" s="171">
        <f t="shared" ca="1" si="471"/>
        <v>0</v>
      </c>
      <c r="DE332" s="171">
        <f t="shared" ca="1" si="472"/>
        <v>0</v>
      </c>
      <c r="DF332" s="171">
        <f t="shared" ca="1" si="473"/>
        <v>0</v>
      </c>
      <c r="DG332" s="171">
        <f t="shared" ca="1" si="474"/>
        <v>0</v>
      </c>
      <c r="DH332" s="171">
        <f t="shared" ca="1" si="475"/>
        <v>0</v>
      </c>
      <c r="DI332" s="171">
        <f t="shared" ca="1" si="476"/>
        <v>0</v>
      </c>
      <c r="DJ332" s="171">
        <f t="shared" ca="1" si="477"/>
        <v>0</v>
      </c>
      <c r="DK332" s="171">
        <f t="shared" ca="1" si="478"/>
        <v>0</v>
      </c>
      <c r="DL332" s="171">
        <f t="shared" ca="1" si="479"/>
        <v>0</v>
      </c>
      <c r="DM332" s="171">
        <f t="shared" ca="1" si="480"/>
        <v>0</v>
      </c>
      <c r="DN332" s="171">
        <f t="shared" ca="1" si="481"/>
        <v>0</v>
      </c>
      <c r="DO332" s="171">
        <f t="shared" ca="1" si="482"/>
        <v>0</v>
      </c>
      <c r="DP332" s="171">
        <f t="shared" ca="1" si="483"/>
        <v>0</v>
      </c>
      <c r="DQ332" s="171">
        <f t="shared" ca="1" si="484"/>
        <v>0</v>
      </c>
      <c r="DR332" s="171">
        <f t="shared" ca="1" si="485"/>
        <v>0</v>
      </c>
      <c r="DS332" s="171">
        <f t="shared" ca="1" si="486"/>
        <v>0</v>
      </c>
      <c r="DT332" s="171">
        <f t="shared" ca="1" si="487"/>
        <v>0</v>
      </c>
      <c r="DU332" s="171">
        <f t="shared" ca="1" si="488"/>
        <v>0</v>
      </c>
      <c r="DV332" s="171">
        <f t="shared" ca="1" si="489"/>
        <v>0</v>
      </c>
      <c r="DW332" s="171">
        <f t="shared" ca="1" si="490"/>
        <v>0</v>
      </c>
      <c r="DX332" s="171">
        <f t="shared" ca="1" si="491"/>
        <v>0</v>
      </c>
      <c r="DY332" s="171">
        <f t="shared" ca="1" si="492"/>
        <v>0</v>
      </c>
      <c r="DZ332" s="171">
        <f t="shared" ca="1" si="493"/>
        <v>0</v>
      </c>
      <c r="EA332" s="171">
        <f t="shared" ca="1" si="494"/>
        <v>0</v>
      </c>
      <c r="EB332" s="171">
        <f t="shared" ca="1" si="495"/>
        <v>0</v>
      </c>
      <c r="EC332" s="171">
        <f t="shared" ca="1" si="496"/>
        <v>0</v>
      </c>
      <c r="ED332" s="171">
        <f t="shared" ca="1" si="497"/>
        <v>0</v>
      </c>
      <c r="EE332" s="171">
        <f t="shared" ca="1" si="498"/>
        <v>0</v>
      </c>
      <c r="EF332" s="171">
        <f t="shared" ca="1" si="499"/>
        <v>0</v>
      </c>
      <c r="EG332" s="171">
        <f t="shared" ca="1" si="500"/>
        <v>0</v>
      </c>
      <c r="EH332" s="171">
        <f t="shared" ca="1" si="501"/>
        <v>0</v>
      </c>
      <c r="EI332" s="171">
        <f t="shared" ca="1" si="502"/>
        <v>0</v>
      </c>
      <c r="EJ332" s="171">
        <f t="shared" ca="1" si="503"/>
        <v>0</v>
      </c>
      <c r="EK332" s="171">
        <f t="shared" ca="1" si="504"/>
        <v>0</v>
      </c>
      <c r="EL332" s="171">
        <f t="shared" ca="1" si="505"/>
        <v>0</v>
      </c>
      <c r="EM332" s="171">
        <f t="shared" ca="1" si="506"/>
        <v>0</v>
      </c>
      <c r="EN332" s="171">
        <f t="shared" ca="1" si="507"/>
        <v>0</v>
      </c>
      <c r="EO332" s="171">
        <f t="shared" ca="1" si="508"/>
        <v>0</v>
      </c>
      <c r="EP332" s="171">
        <f t="shared" ca="1" si="509"/>
        <v>0</v>
      </c>
      <c r="EQ332" s="171">
        <f t="shared" ca="1" si="510"/>
        <v>0</v>
      </c>
      <c r="ER332" s="171">
        <f t="shared" ca="1" si="511"/>
        <v>0</v>
      </c>
      <c r="ES332" s="171">
        <f t="shared" ca="1" si="512"/>
        <v>0</v>
      </c>
    </row>
    <row r="333" spans="3:149">
      <c r="C333" s="214"/>
      <c r="H333" s="216"/>
      <c r="I333" s="217"/>
      <c r="L333" s="163"/>
      <c r="M333" s="164" t="str">
        <f t="shared" si="443"/>
        <v/>
      </c>
      <c r="N333" s="164" t="str">
        <f t="shared" si="444"/>
        <v/>
      </c>
      <c r="O333" s="165" t="str">
        <f t="shared" si="445"/>
        <v/>
      </c>
      <c r="R333" s="168"/>
      <c r="U333" s="171">
        <f t="shared" si="446"/>
        <v>0</v>
      </c>
      <c r="V333" s="171">
        <f t="shared" ca="1" si="447"/>
        <v>0</v>
      </c>
      <c r="W333" s="171">
        <f t="shared" ca="1" si="448"/>
        <v>0</v>
      </c>
      <c r="X333" s="172">
        <f t="shared" si="449"/>
        <v>0</v>
      </c>
      <c r="Y333" s="172" t="str">
        <f t="shared" si="450"/>
        <v/>
      </c>
      <c r="Z333" s="173">
        <f t="shared" si="451"/>
        <v>0</v>
      </c>
      <c r="AA333" s="171">
        <f t="shared" si="525"/>
        <v>0</v>
      </c>
      <c r="AB333" s="171">
        <f t="shared" si="525"/>
        <v>0</v>
      </c>
      <c r="AC333" s="171">
        <f t="shared" si="525"/>
        <v>0</v>
      </c>
      <c r="AD333" s="171">
        <f t="shared" si="525"/>
        <v>0</v>
      </c>
      <c r="AE333" s="171">
        <f t="shared" si="525"/>
        <v>0</v>
      </c>
      <c r="AF333" s="171">
        <f t="shared" si="525"/>
        <v>0</v>
      </c>
      <c r="AG333" s="171">
        <f t="shared" si="525"/>
        <v>0</v>
      </c>
      <c r="AH333" s="171">
        <f t="shared" si="525"/>
        <v>0</v>
      </c>
      <c r="AI333" s="171">
        <f t="shared" si="525"/>
        <v>0</v>
      </c>
      <c r="AJ333" s="171">
        <f t="shared" si="525"/>
        <v>0</v>
      </c>
      <c r="AK333" s="171">
        <f t="shared" si="526"/>
        <v>0</v>
      </c>
      <c r="AL333" s="171">
        <f t="shared" si="526"/>
        <v>0</v>
      </c>
      <c r="AM333" s="171">
        <f t="shared" si="526"/>
        <v>0</v>
      </c>
      <c r="AN333" s="171">
        <f t="shared" si="526"/>
        <v>0</v>
      </c>
      <c r="AO333" s="171">
        <f t="shared" si="526"/>
        <v>0</v>
      </c>
      <c r="AP333" s="171">
        <f t="shared" si="526"/>
        <v>0</v>
      </c>
      <c r="AQ333" s="171">
        <f t="shared" si="526"/>
        <v>0</v>
      </c>
      <c r="AR333" s="171">
        <f t="shared" si="526"/>
        <v>0</v>
      </c>
      <c r="AS333" s="171">
        <f t="shared" si="526"/>
        <v>0</v>
      </c>
      <c r="AT333" s="171">
        <f t="shared" si="526"/>
        <v>0</v>
      </c>
      <c r="AU333" s="171">
        <f t="shared" si="527"/>
        <v>0</v>
      </c>
      <c r="AV333" s="171">
        <f t="shared" si="527"/>
        <v>0</v>
      </c>
      <c r="AW333" s="171">
        <f t="shared" si="527"/>
        <v>0</v>
      </c>
      <c r="AX333" s="171">
        <f t="shared" si="527"/>
        <v>0</v>
      </c>
      <c r="AY333" s="171">
        <f t="shared" si="527"/>
        <v>0</v>
      </c>
      <c r="AZ333" s="171">
        <f t="shared" si="527"/>
        <v>0</v>
      </c>
      <c r="BA333" s="171">
        <f t="shared" si="527"/>
        <v>0</v>
      </c>
      <c r="BB333" s="171">
        <f t="shared" si="527"/>
        <v>0</v>
      </c>
      <c r="BC333" s="171">
        <f t="shared" si="527"/>
        <v>0</v>
      </c>
      <c r="BD333" s="171">
        <f t="shared" si="527"/>
        <v>0</v>
      </c>
      <c r="BE333" s="171">
        <f t="shared" si="528"/>
        <v>0</v>
      </c>
      <c r="BF333" s="171">
        <f t="shared" si="528"/>
        <v>0</v>
      </c>
      <c r="BG333" s="171">
        <f t="shared" si="528"/>
        <v>0</v>
      </c>
      <c r="BH333" s="171">
        <f t="shared" si="528"/>
        <v>0</v>
      </c>
      <c r="BI333" s="171">
        <f t="shared" si="528"/>
        <v>0</v>
      </c>
      <c r="BJ333" s="171">
        <f t="shared" si="528"/>
        <v>0</v>
      </c>
      <c r="BK333" s="171">
        <f t="shared" si="528"/>
        <v>0</v>
      </c>
      <c r="BL333" s="171">
        <f t="shared" si="528"/>
        <v>0</v>
      </c>
      <c r="BM333" s="171">
        <f t="shared" si="528"/>
        <v>0</v>
      </c>
      <c r="BN333" s="171">
        <f t="shared" si="528"/>
        <v>0</v>
      </c>
      <c r="BO333" s="171">
        <f t="shared" si="529"/>
        <v>0</v>
      </c>
      <c r="BP333" s="171">
        <f t="shared" si="529"/>
        <v>0</v>
      </c>
      <c r="BQ333" s="171">
        <f t="shared" si="529"/>
        <v>0</v>
      </c>
      <c r="BR333" s="171">
        <f t="shared" si="529"/>
        <v>0</v>
      </c>
      <c r="BS333" s="171">
        <f t="shared" si="529"/>
        <v>0</v>
      </c>
      <c r="BT333" s="171">
        <f t="shared" si="529"/>
        <v>0</v>
      </c>
      <c r="BU333" s="171">
        <f t="shared" si="529"/>
        <v>0</v>
      </c>
      <c r="BV333" s="171">
        <f t="shared" si="529"/>
        <v>0</v>
      </c>
      <c r="BW333" s="171">
        <f t="shared" si="529"/>
        <v>0</v>
      </c>
      <c r="BX333" s="171">
        <f t="shared" si="529"/>
        <v>0</v>
      </c>
      <c r="BY333" s="171">
        <f t="shared" si="530"/>
        <v>0</v>
      </c>
      <c r="BZ333" s="171">
        <f t="shared" si="530"/>
        <v>0</v>
      </c>
      <c r="CA333" s="171">
        <f t="shared" si="530"/>
        <v>0</v>
      </c>
      <c r="CB333" s="171">
        <f t="shared" si="530"/>
        <v>0</v>
      </c>
      <c r="CC333" s="171">
        <f t="shared" si="530"/>
        <v>0</v>
      </c>
      <c r="CD333" s="171">
        <f t="shared" si="530"/>
        <v>0</v>
      </c>
      <c r="CE333" s="171">
        <f t="shared" si="530"/>
        <v>0</v>
      </c>
      <c r="CF333" s="171">
        <f t="shared" si="530"/>
        <v>0</v>
      </c>
      <c r="CG333" s="171">
        <f t="shared" si="530"/>
        <v>0</v>
      </c>
      <c r="CH333" s="171">
        <f t="shared" si="530"/>
        <v>0</v>
      </c>
      <c r="CI333" s="171">
        <f t="shared" si="530"/>
        <v>0</v>
      </c>
      <c r="CJ333" s="243"/>
      <c r="CK333" s="171">
        <f t="shared" si="452"/>
        <v>0</v>
      </c>
      <c r="CL333" s="171">
        <f t="shared" si="453"/>
        <v>0</v>
      </c>
      <c r="CM333" s="171">
        <f t="shared" si="454"/>
        <v>0</v>
      </c>
      <c r="CN333" s="171">
        <f t="shared" si="455"/>
        <v>0</v>
      </c>
      <c r="CO333" s="171">
        <f t="shared" si="456"/>
        <v>0</v>
      </c>
      <c r="CP333" s="171">
        <f t="shared" si="457"/>
        <v>0</v>
      </c>
      <c r="CQ333" s="171">
        <f t="shared" si="458"/>
        <v>0</v>
      </c>
      <c r="CR333" s="171">
        <f t="shared" si="459"/>
        <v>0</v>
      </c>
      <c r="CS333" s="171">
        <f t="shared" si="460"/>
        <v>0</v>
      </c>
      <c r="CT333" s="171">
        <f t="shared" si="461"/>
        <v>0</v>
      </c>
      <c r="CU333" s="171">
        <f t="shared" si="462"/>
        <v>0</v>
      </c>
      <c r="CV333" s="171">
        <f t="shared" si="463"/>
        <v>0</v>
      </c>
      <c r="CW333" s="171">
        <f t="shared" si="464"/>
        <v>0</v>
      </c>
      <c r="CX333" s="171">
        <f t="shared" si="465"/>
        <v>0</v>
      </c>
      <c r="CY333" s="171">
        <f t="shared" ca="1" si="466"/>
        <v>0</v>
      </c>
      <c r="CZ333" s="171">
        <f t="shared" ca="1" si="467"/>
        <v>0</v>
      </c>
      <c r="DA333" s="171">
        <f t="shared" ca="1" si="468"/>
        <v>0</v>
      </c>
      <c r="DB333" s="171">
        <f t="shared" ca="1" si="469"/>
        <v>0</v>
      </c>
      <c r="DC333" s="171">
        <f t="shared" ca="1" si="470"/>
        <v>0</v>
      </c>
      <c r="DD333" s="171">
        <f t="shared" ca="1" si="471"/>
        <v>0</v>
      </c>
      <c r="DE333" s="171">
        <f t="shared" ca="1" si="472"/>
        <v>0</v>
      </c>
      <c r="DF333" s="171">
        <f t="shared" ca="1" si="473"/>
        <v>0</v>
      </c>
      <c r="DG333" s="171">
        <f t="shared" ca="1" si="474"/>
        <v>0</v>
      </c>
      <c r="DH333" s="171">
        <f t="shared" ca="1" si="475"/>
        <v>0</v>
      </c>
      <c r="DI333" s="171">
        <f t="shared" ca="1" si="476"/>
        <v>0</v>
      </c>
      <c r="DJ333" s="171">
        <f t="shared" ca="1" si="477"/>
        <v>0</v>
      </c>
      <c r="DK333" s="171">
        <f t="shared" ca="1" si="478"/>
        <v>0</v>
      </c>
      <c r="DL333" s="171">
        <f t="shared" ca="1" si="479"/>
        <v>0</v>
      </c>
      <c r="DM333" s="171">
        <f t="shared" ca="1" si="480"/>
        <v>0</v>
      </c>
      <c r="DN333" s="171">
        <f t="shared" ca="1" si="481"/>
        <v>0</v>
      </c>
      <c r="DO333" s="171">
        <f t="shared" ca="1" si="482"/>
        <v>0</v>
      </c>
      <c r="DP333" s="171">
        <f t="shared" ca="1" si="483"/>
        <v>0</v>
      </c>
      <c r="DQ333" s="171">
        <f t="shared" ca="1" si="484"/>
        <v>0</v>
      </c>
      <c r="DR333" s="171">
        <f t="shared" ca="1" si="485"/>
        <v>0</v>
      </c>
      <c r="DS333" s="171">
        <f t="shared" ca="1" si="486"/>
        <v>0</v>
      </c>
      <c r="DT333" s="171">
        <f t="shared" ca="1" si="487"/>
        <v>0</v>
      </c>
      <c r="DU333" s="171">
        <f t="shared" ca="1" si="488"/>
        <v>0</v>
      </c>
      <c r="DV333" s="171">
        <f t="shared" ca="1" si="489"/>
        <v>0</v>
      </c>
      <c r="DW333" s="171">
        <f t="shared" ca="1" si="490"/>
        <v>0</v>
      </c>
      <c r="DX333" s="171">
        <f t="shared" ca="1" si="491"/>
        <v>0</v>
      </c>
      <c r="DY333" s="171">
        <f t="shared" ca="1" si="492"/>
        <v>0</v>
      </c>
      <c r="DZ333" s="171">
        <f t="shared" ca="1" si="493"/>
        <v>0</v>
      </c>
      <c r="EA333" s="171">
        <f t="shared" ca="1" si="494"/>
        <v>0</v>
      </c>
      <c r="EB333" s="171">
        <f t="shared" ca="1" si="495"/>
        <v>0</v>
      </c>
      <c r="EC333" s="171">
        <f t="shared" ca="1" si="496"/>
        <v>0</v>
      </c>
      <c r="ED333" s="171">
        <f t="shared" ca="1" si="497"/>
        <v>0</v>
      </c>
      <c r="EE333" s="171">
        <f t="shared" ca="1" si="498"/>
        <v>0</v>
      </c>
      <c r="EF333" s="171">
        <f t="shared" ca="1" si="499"/>
        <v>0</v>
      </c>
      <c r="EG333" s="171">
        <f t="shared" ca="1" si="500"/>
        <v>0</v>
      </c>
      <c r="EH333" s="171">
        <f t="shared" ca="1" si="501"/>
        <v>0</v>
      </c>
      <c r="EI333" s="171">
        <f t="shared" ca="1" si="502"/>
        <v>0</v>
      </c>
      <c r="EJ333" s="171">
        <f t="shared" ca="1" si="503"/>
        <v>0</v>
      </c>
      <c r="EK333" s="171">
        <f t="shared" ca="1" si="504"/>
        <v>0</v>
      </c>
      <c r="EL333" s="171">
        <f t="shared" ca="1" si="505"/>
        <v>0</v>
      </c>
      <c r="EM333" s="171">
        <f t="shared" ca="1" si="506"/>
        <v>0</v>
      </c>
      <c r="EN333" s="171">
        <f t="shared" ca="1" si="507"/>
        <v>0</v>
      </c>
      <c r="EO333" s="171">
        <f t="shared" ca="1" si="508"/>
        <v>0</v>
      </c>
      <c r="EP333" s="171">
        <f t="shared" ca="1" si="509"/>
        <v>0</v>
      </c>
      <c r="EQ333" s="171">
        <f t="shared" ca="1" si="510"/>
        <v>0</v>
      </c>
      <c r="ER333" s="171">
        <f t="shared" ca="1" si="511"/>
        <v>0</v>
      </c>
      <c r="ES333" s="171">
        <f t="shared" ca="1" si="512"/>
        <v>0</v>
      </c>
    </row>
    <row r="334" spans="3:149">
      <c r="C334" s="214"/>
      <c r="H334" s="216"/>
      <c r="I334" s="217"/>
      <c r="L334" s="163"/>
      <c r="M334" s="164" t="str">
        <f t="shared" si="443"/>
        <v/>
      </c>
      <c r="N334" s="164" t="str">
        <f t="shared" si="444"/>
        <v/>
      </c>
      <c r="O334" s="165" t="str">
        <f t="shared" si="445"/>
        <v/>
      </c>
      <c r="R334" s="168"/>
      <c r="U334" s="171">
        <f t="shared" si="446"/>
        <v>0</v>
      </c>
      <c r="V334" s="171">
        <f t="shared" ca="1" si="447"/>
        <v>0</v>
      </c>
      <c r="W334" s="171">
        <f t="shared" ca="1" si="448"/>
        <v>0</v>
      </c>
      <c r="X334" s="172">
        <f t="shared" si="449"/>
        <v>0</v>
      </c>
      <c r="Y334" s="172" t="str">
        <f t="shared" si="450"/>
        <v/>
      </c>
      <c r="Z334" s="173">
        <f t="shared" si="451"/>
        <v>0</v>
      </c>
      <c r="AA334" s="171">
        <f t="shared" si="525"/>
        <v>0</v>
      </c>
      <c r="AB334" s="171">
        <f t="shared" si="525"/>
        <v>0</v>
      </c>
      <c r="AC334" s="171">
        <f t="shared" si="525"/>
        <v>0</v>
      </c>
      <c r="AD334" s="171">
        <f t="shared" si="525"/>
        <v>0</v>
      </c>
      <c r="AE334" s="171">
        <f t="shared" si="525"/>
        <v>0</v>
      </c>
      <c r="AF334" s="171">
        <f t="shared" si="525"/>
        <v>0</v>
      </c>
      <c r="AG334" s="171">
        <f t="shared" si="525"/>
        <v>0</v>
      </c>
      <c r="AH334" s="171">
        <f t="shared" si="525"/>
        <v>0</v>
      </c>
      <c r="AI334" s="171">
        <f t="shared" si="525"/>
        <v>0</v>
      </c>
      <c r="AJ334" s="171">
        <f t="shared" si="525"/>
        <v>0</v>
      </c>
      <c r="AK334" s="171">
        <f t="shared" si="526"/>
        <v>0</v>
      </c>
      <c r="AL334" s="171">
        <f t="shared" si="526"/>
        <v>0</v>
      </c>
      <c r="AM334" s="171">
        <f t="shared" si="526"/>
        <v>0</v>
      </c>
      <c r="AN334" s="171">
        <f t="shared" si="526"/>
        <v>0</v>
      </c>
      <c r="AO334" s="171">
        <f t="shared" si="526"/>
        <v>0</v>
      </c>
      <c r="AP334" s="171">
        <f t="shared" si="526"/>
        <v>0</v>
      </c>
      <c r="AQ334" s="171">
        <f t="shared" si="526"/>
        <v>0</v>
      </c>
      <c r="AR334" s="171">
        <f t="shared" si="526"/>
        <v>0</v>
      </c>
      <c r="AS334" s="171">
        <f t="shared" si="526"/>
        <v>0</v>
      </c>
      <c r="AT334" s="171">
        <f t="shared" si="526"/>
        <v>0</v>
      </c>
      <c r="AU334" s="171">
        <f t="shared" si="527"/>
        <v>0</v>
      </c>
      <c r="AV334" s="171">
        <f t="shared" si="527"/>
        <v>0</v>
      </c>
      <c r="AW334" s="171">
        <f t="shared" si="527"/>
        <v>0</v>
      </c>
      <c r="AX334" s="171">
        <f t="shared" si="527"/>
        <v>0</v>
      </c>
      <c r="AY334" s="171">
        <f t="shared" si="527"/>
        <v>0</v>
      </c>
      <c r="AZ334" s="171">
        <f t="shared" si="527"/>
        <v>0</v>
      </c>
      <c r="BA334" s="171">
        <f t="shared" si="527"/>
        <v>0</v>
      </c>
      <c r="BB334" s="171">
        <f t="shared" si="527"/>
        <v>0</v>
      </c>
      <c r="BC334" s="171">
        <f t="shared" si="527"/>
        <v>0</v>
      </c>
      <c r="BD334" s="171">
        <f t="shared" si="527"/>
        <v>0</v>
      </c>
      <c r="BE334" s="171">
        <f t="shared" si="528"/>
        <v>0</v>
      </c>
      <c r="BF334" s="171">
        <f t="shared" si="528"/>
        <v>0</v>
      </c>
      <c r="BG334" s="171">
        <f t="shared" si="528"/>
        <v>0</v>
      </c>
      <c r="BH334" s="171">
        <f t="shared" si="528"/>
        <v>0</v>
      </c>
      <c r="BI334" s="171">
        <f t="shared" si="528"/>
        <v>0</v>
      </c>
      <c r="BJ334" s="171">
        <f t="shared" si="528"/>
        <v>0</v>
      </c>
      <c r="BK334" s="171">
        <f t="shared" si="528"/>
        <v>0</v>
      </c>
      <c r="BL334" s="171">
        <f t="shared" si="528"/>
        <v>0</v>
      </c>
      <c r="BM334" s="171">
        <f t="shared" si="528"/>
        <v>0</v>
      </c>
      <c r="BN334" s="171">
        <f t="shared" si="528"/>
        <v>0</v>
      </c>
      <c r="BO334" s="171">
        <f t="shared" si="529"/>
        <v>0</v>
      </c>
      <c r="BP334" s="171">
        <f t="shared" si="529"/>
        <v>0</v>
      </c>
      <c r="BQ334" s="171">
        <f t="shared" si="529"/>
        <v>0</v>
      </c>
      <c r="BR334" s="171">
        <f t="shared" si="529"/>
        <v>0</v>
      </c>
      <c r="BS334" s="171">
        <f t="shared" si="529"/>
        <v>0</v>
      </c>
      <c r="BT334" s="171">
        <f t="shared" si="529"/>
        <v>0</v>
      </c>
      <c r="BU334" s="171">
        <f t="shared" si="529"/>
        <v>0</v>
      </c>
      <c r="BV334" s="171">
        <f t="shared" si="529"/>
        <v>0</v>
      </c>
      <c r="BW334" s="171">
        <f t="shared" si="529"/>
        <v>0</v>
      </c>
      <c r="BX334" s="171">
        <f t="shared" si="529"/>
        <v>0</v>
      </c>
      <c r="BY334" s="171">
        <f t="shared" si="530"/>
        <v>0</v>
      </c>
      <c r="BZ334" s="171">
        <f t="shared" si="530"/>
        <v>0</v>
      </c>
      <c r="CA334" s="171">
        <f t="shared" si="530"/>
        <v>0</v>
      </c>
      <c r="CB334" s="171">
        <f t="shared" si="530"/>
        <v>0</v>
      </c>
      <c r="CC334" s="171">
        <f t="shared" si="530"/>
        <v>0</v>
      </c>
      <c r="CD334" s="171">
        <f t="shared" si="530"/>
        <v>0</v>
      </c>
      <c r="CE334" s="171">
        <f t="shared" si="530"/>
        <v>0</v>
      </c>
      <c r="CF334" s="171">
        <f t="shared" si="530"/>
        <v>0</v>
      </c>
      <c r="CG334" s="171">
        <f t="shared" si="530"/>
        <v>0</v>
      </c>
      <c r="CH334" s="171">
        <f t="shared" si="530"/>
        <v>0</v>
      </c>
      <c r="CI334" s="171">
        <f t="shared" si="530"/>
        <v>0</v>
      </c>
      <c r="CJ334" s="243"/>
      <c r="CK334" s="171">
        <f t="shared" si="452"/>
        <v>0</v>
      </c>
      <c r="CL334" s="171">
        <f t="shared" si="453"/>
        <v>0</v>
      </c>
      <c r="CM334" s="171">
        <f t="shared" si="454"/>
        <v>0</v>
      </c>
      <c r="CN334" s="171">
        <f t="shared" si="455"/>
        <v>0</v>
      </c>
      <c r="CO334" s="171">
        <f t="shared" si="456"/>
        <v>0</v>
      </c>
      <c r="CP334" s="171">
        <f t="shared" si="457"/>
        <v>0</v>
      </c>
      <c r="CQ334" s="171">
        <f t="shared" si="458"/>
        <v>0</v>
      </c>
      <c r="CR334" s="171">
        <f t="shared" si="459"/>
        <v>0</v>
      </c>
      <c r="CS334" s="171">
        <f t="shared" si="460"/>
        <v>0</v>
      </c>
      <c r="CT334" s="171">
        <f t="shared" si="461"/>
        <v>0</v>
      </c>
      <c r="CU334" s="171">
        <f t="shared" si="462"/>
        <v>0</v>
      </c>
      <c r="CV334" s="171">
        <f t="shared" si="463"/>
        <v>0</v>
      </c>
      <c r="CW334" s="171">
        <f t="shared" si="464"/>
        <v>0</v>
      </c>
      <c r="CX334" s="171">
        <f t="shared" si="465"/>
        <v>0</v>
      </c>
      <c r="CY334" s="171">
        <f t="shared" ca="1" si="466"/>
        <v>0</v>
      </c>
      <c r="CZ334" s="171">
        <f t="shared" ca="1" si="467"/>
        <v>0</v>
      </c>
      <c r="DA334" s="171">
        <f t="shared" ca="1" si="468"/>
        <v>0</v>
      </c>
      <c r="DB334" s="171">
        <f t="shared" ca="1" si="469"/>
        <v>0</v>
      </c>
      <c r="DC334" s="171">
        <f t="shared" ca="1" si="470"/>
        <v>0</v>
      </c>
      <c r="DD334" s="171">
        <f t="shared" ca="1" si="471"/>
        <v>0</v>
      </c>
      <c r="DE334" s="171">
        <f t="shared" ca="1" si="472"/>
        <v>0</v>
      </c>
      <c r="DF334" s="171">
        <f t="shared" ca="1" si="473"/>
        <v>0</v>
      </c>
      <c r="DG334" s="171">
        <f t="shared" ca="1" si="474"/>
        <v>0</v>
      </c>
      <c r="DH334" s="171">
        <f t="shared" ca="1" si="475"/>
        <v>0</v>
      </c>
      <c r="DI334" s="171">
        <f t="shared" ca="1" si="476"/>
        <v>0</v>
      </c>
      <c r="DJ334" s="171">
        <f t="shared" ca="1" si="477"/>
        <v>0</v>
      </c>
      <c r="DK334" s="171">
        <f t="shared" ca="1" si="478"/>
        <v>0</v>
      </c>
      <c r="DL334" s="171">
        <f t="shared" ca="1" si="479"/>
        <v>0</v>
      </c>
      <c r="DM334" s="171">
        <f t="shared" ca="1" si="480"/>
        <v>0</v>
      </c>
      <c r="DN334" s="171">
        <f t="shared" ca="1" si="481"/>
        <v>0</v>
      </c>
      <c r="DO334" s="171">
        <f t="shared" ca="1" si="482"/>
        <v>0</v>
      </c>
      <c r="DP334" s="171">
        <f t="shared" ca="1" si="483"/>
        <v>0</v>
      </c>
      <c r="DQ334" s="171">
        <f t="shared" ca="1" si="484"/>
        <v>0</v>
      </c>
      <c r="DR334" s="171">
        <f t="shared" ca="1" si="485"/>
        <v>0</v>
      </c>
      <c r="DS334" s="171">
        <f t="shared" ca="1" si="486"/>
        <v>0</v>
      </c>
      <c r="DT334" s="171">
        <f t="shared" ca="1" si="487"/>
        <v>0</v>
      </c>
      <c r="DU334" s="171">
        <f t="shared" ca="1" si="488"/>
        <v>0</v>
      </c>
      <c r="DV334" s="171">
        <f t="shared" ca="1" si="489"/>
        <v>0</v>
      </c>
      <c r="DW334" s="171">
        <f t="shared" ca="1" si="490"/>
        <v>0</v>
      </c>
      <c r="DX334" s="171">
        <f t="shared" ca="1" si="491"/>
        <v>0</v>
      </c>
      <c r="DY334" s="171">
        <f t="shared" ca="1" si="492"/>
        <v>0</v>
      </c>
      <c r="DZ334" s="171">
        <f t="shared" ca="1" si="493"/>
        <v>0</v>
      </c>
      <c r="EA334" s="171">
        <f t="shared" ca="1" si="494"/>
        <v>0</v>
      </c>
      <c r="EB334" s="171">
        <f t="shared" ca="1" si="495"/>
        <v>0</v>
      </c>
      <c r="EC334" s="171">
        <f t="shared" ca="1" si="496"/>
        <v>0</v>
      </c>
      <c r="ED334" s="171">
        <f t="shared" ca="1" si="497"/>
        <v>0</v>
      </c>
      <c r="EE334" s="171">
        <f t="shared" ca="1" si="498"/>
        <v>0</v>
      </c>
      <c r="EF334" s="171">
        <f t="shared" ca="1" si="499"/>
        <v>0</v>
      </c>
      <c r="EG334" s="171">
        <f t="shared" ca="1" si="500"/>
        <v>0</v>
      </c>
      <c r="EH334" s="171">
        <f t="shared" ca="1" si="501"/>
        <v>0</v>
      </c>
      <c r="EI334" s="171">
        <f t="shared" ca="1" si="502"/>
        <v>0</v>
      </c>
      <c r="EJ334" s="171">
        <f t="shared" ca="1" si="503"/>
        <v>0</v>
      </c>
      <c r="EK334" s="171">
        <f t="shared" ca="1" si="504"/>
        <v>0</v>
      </c>
      <c r="EL334" s="171">
        <f t="shared" ca="1" si="505"/>
        <v>0</v>
      </c>
      <c r="EM334" s="171">
        <f t="shared" ca="1" si="506"/>
        <v>0</v>
      </c>
      <c r="EN334" s="171">
        <f t="shared" ca="1" si="507"/>
        <v>0</v>
      </c>
      <c r="EO334" s="171">
        <f t="shared" ca="1" si="508"/>
        <v>0</v>
      </c>
      <c r="EP334" s="171">
        <f t="shared" ca="1" si="509"/>
        <v>0</v>
      </c>
      <c r="EQ334" s="171">
        <f t="shared" ca="1" si="510"/>
        <v>0</v>
      </c>
      <c r="ER334" s="171">
        <f t="shared" ca="1" si="511"/>
        <v>0</v>
      </c>
      <c r="ES334" s="171">
        <f t="shared" ca="1" si="512"/>
        <v>0</v>
      </c>
    </row>
    <row r="335" spans="3:149">
      <c r="C335" s="214"/>
      <c r="H335" s="216"/>
      <c r="I335" s="217"/>
      <c r="L335" s="163"/>
      <c r="M335" s="164" t="str">
        <f t="shared" si="443"/>
        <v/>
      </c>
      <c r="N335" s="164" t="str">
        <f t="shared" si="444"/>
        <v/>
      </c>
      <c r="O335" s="165" t="str">
        <f t="shared" si="445"/>
        <v/>
      </c>
      <c r="R335" s="168"/>
      <c r="U335" s="171">
        <f t="shared" si="446"/>
        <v>0</v>
      </c>
      <c r="V335" s="171">
        <f t="shared" ca="1" si="447"/>
        <v>0</v>
      </c>
      <c r="W335" s="171">
        <f t="shared" ca="1" si="448"/>
        <v>0</v>
      </c>
      <c r="X335" s="172">
        <f t="shared" si="449"/>
        <v>0</v>
      </c>
      <c r="Y335" s="172" t="str">
        <f t="shared" si="450"/>
        <v/>
      </c>
      <c r="Z335" s="173">
        <f t="shared" si="451"/>
        <v>0</v>
      </c>
      <c r="AA335" s="171">
        <f t="shared" si="525"/>
        <v>0</v>
      </c>
      <c r="AB335" s="171">
        <f t="shared" si="525"/>
        <v>0</v>
      </c>
      <c r="AC335" s="171">
        <f t="shared" si="525"/>
        <v>0</v>
      </c>
      <c r="AD335" s="171">
        <f t="shared" si="525"/>
        <v>0</v>
      </c>
      <c r="AE335" s="171">
        <f t="shared" si="525"/>
        <v>0</v>
      </c>
      <c r="AF335" s="171">
        <f t="shared" si="525"/>
        <v>0</v>
      </c>
      <c r="AG335" s="171">
        <f t="shared" si="525"/>
        <v>0</v>
      </c>
      <c r="AH335" s="171">
        <f t="shared" si="525"/>
        <v>0</v>
      </c>
      <c r="AI335" s="171">
        <f t="shared" si="525"/>
        <v>0</v>
      </c>
      <c r="AJ335" s="171">
        <f t="shared" si="525"/>
        <v>0</v>
      </c>
      <c r="AK335" s="171">
        <f t="shared" si="526"/>
        <v>0</v>
      </c>
      <c r="AL335" s="171">
        <f t="shared" si="526"/>
        <v>0</v>
      </c>
      <c r="AM335" s="171">
        <f t="shared" si="526"/>
        <v>0</v>
      </c>
      <c r="AN335" s="171">
        <f t="shared" si="526"/>
        <v>0</v>
      </c>
      <c r="AO335" s="171">
        <f t="shared" si="526"/>
        <v>0</v>
      </c>
      <c r="AP335" s="171">
        <f t="shared" si="526"/>
        <v>0</v>
      </c>
      <c r="AQ335" s="171">
        <f t="shared" si="526"/>
        <v>0</v>
      </c>
      <c r="AR335" s="171">
        <f t="shared" si="526"/>
        <v>0</v>
      </c>
      <c r="AS335" s="171">
        <f t="shared" si="526"/>
        <v>0</v>
      </c>
      <c r="AT335" s="171">
        <f t="shared" si="526"/>
        <v>0</v>
      </c>
      <c r="AU335" s="171">
        <f t="shared" si="527"/>
        <v>0</v>
      </c>
      <c r="AV335" s="171">
        <f t="shared" si="527"/>
        <v>0</v>
      </c>
      <c r="AW335" s="171">
        <f t="shared" si="527"/>
        <v>0</v>
      </c>
      <c r="AX335" s="171">
        <f t="shared" si="527"/>
        <v>0</v>
      </c>
      <c r="AY335" s="171">
        <f t="shared" si="527"/>
        <v>0</v>
      </c>
      <c r="AZ335" s="171">
        <f t="shared" si="527"/>
        <v>0</v>
      </c>
      <c r="BA335" s="171">
        <f t="shared" si="527"/>
        <v>0</v>
      </c>
      <c r="BB335" s="171">
        <f t="shared" si="527"/>
        <v>0</v>
      </c>
      <c r="BC335" s="171">
        <f t="shared" si="527"/>
        <v>0</v>
      </c>
      <c r="BD335" s="171">
        <f t="shared" si="527"/>
        <v>0</v>
      </c>
      <c r="BE335" s="171">
        <f t="shared" si="528"/>
        <v>0</v>
      </c>
      <c r="BF335" s="171">
        <f t="shared" si="528"/>
        <v>0</v>
      </c>
      <c r="BG335" s="171">
        <f t="shared" si="528"/>
        <v>0</v>
      </c>
      <c r="BH335" s="171">
        <f t="shared" si="528"/>
        <v>0</v>
      </c>
      <c r="BI335" s="171">
        <f t="shared" si="528"/>
        <v>0</v>
      </c>
      <c r="BJ335" s="171">
        <f t="shared" si="528"/>
        <v>0</v>
      </c>
      <c r="BK335" s="171">
        <f t="shared" si="528"/>
        <v>0</v>
      </c>
      <c r="BL335" s="171">
        <f t="shared" si="528"/>
        <v>0</v>
      </c>
      <c r="BM335" s="171">
        <f t="shared" si="528"/>
        <v>0</v>
      </c>
      <c r="BN335" s="171">
        <f t="shared" si="528"/>
        <v>0</v>
      </c>
      <c r="BO335" s="171">
        <f t="shared" si="529"/>
        <v>0</v>
      </c>
      <c r="BP335" s="171">
        <f t="shared" si="529"/>
        <v>0</v>
      </c>
      <c r="BQ335" s="171">
        <f t="shared" si="529"/>
        <v>0</v>
      </c>
      <c r="BR335" s="171">
        <f t="shared" si="529"/>
        <v>0</v>
      </c>
      <c r="BS335" s="171">
        <f t="shared" si="529"/>
        <v>0</v>
      </c>
      <c r="BT335" s="171">
        <f t="shared" si="529"/>
        <v>0</v>
      </c>
      <c r="BU335" s="171">
        <f t="shared" si="529"/>
        <v>0</v>
      </c>
      <c r="BV335" s="171">
        <f t="shared" si="529"/>
        <v>0</v>
      </c>
      <c r="BW335" s="171">
        <f t="shared" si="529"/>
        <v>0</v>
      </c>
      <c r="BX335" s="171">
        <f t="shared" si="529"/>
        <v>0</v>
      </c>
      <c r="BY335" s="171">
        <f t="shared" si="530"/>
        <v>0</v>
      </c>
      <c r="BZ335" s="171">
        <f t="shared" si="530"/>
        <v>0</v>
      </c>
      <c r="CA335" s="171">
        <f t="shared" si="530"/>
        <v>0</v>
      </c>
      <c r="CB335" s="171">
        <f t="shared" si="530"/>
        <v>0</v>
      </c>
      <c r="CC335" s="171">
        <f t="shared" si="530"/>
        <v>0</v>
      </c>
      <c r="CD335" s="171">
        <f t="shared" si="530"/>
        <v>0</v>
      </c>
      <c r="CE335" s="171">
        <f t="shared" si="530"/>
        <v>0</v>
      </c>
      <c r="CF335" s="171">
        <f t="shared" si="530"/>
        <v>0</v>
      </c>
      <c r="CG335" s="171">
        <f t="shared" si="530"/>
        <v>0</v>
      </c>
      <c r="CH335" s="171">
        <f t="shared" si="530"/>
        <v>0</v>
      </c>
      <c r="CI335" s="171">
        <f t="shared" si="530"/>
        <v>0</v>
      </c>
      <c r="CJ335" s="243"/>
      <c r="CK335" s="171">
        <f t="shared" si="452"/>
        <v>0</v>
      </c>
      <c r="CL335" s="171">
        <f t="shared" si="453"/>
        <v>0</v>
      </c>
      <c r="CM335" s="171">
        <f t="shared" si="454"/>
        <v>0</v>
      </c>
      <c r="CN335" s="171">
        <f t="shared" si="455"/>
        <v>0</v>
      </c>
      <c r="CO335" s="171">
        <f t="shared" si="456"/>
        <v>0</v>
      </c>
      <c r="CP335" s="171">
        <f t="shared" si="457"/>
        <v>0</v>
      </c>
      <c r="CQ335" s="171">
        <f t="shared" si="458"/>
        <v>0</v>
      </c>
      <c r="CR335" s="171">
        <f t="shared" si="459"/>
        <v>0</v>
      </c>
      <c r="CS335" s="171">
        <f t="shared" si="460"/>
        <v>0</v>
      </c>
      <c r="CT335" s="171">
        <f t="shared" si="461"/>
        <v>0</v>
      </c>
      <c r="CU335" s="171">
        <f t="shared" si="462"/>
        <v>0</v>
      </c>
      <c r="CV335" s="171">
        <f t="shared" si="463"/>
        <v>0</v>
      </c>
      <c r="CW335" s="171">
        <f t="shared" si="464"/>
        <v>0</v>
      </c>
      <c r="CX335" s="171">
        <f t="shared" si="465"/>
        <v>0</v>
      </c>
      <c r="CY335" s="171">
        <f t="shared" ca="1" si="466"/>
        <v>0</v>
      </c>
      <c r="CZ335" s="171">
        <f t="shared" ca="1" si="467"/>
        <v>0</v>
      </c>
      <c r="DA335" s="171">
        <f t="shared" ca="1" si="468"/>
        <v>0</v>
      </c>
      <c r="DB335" s="171">
        <f t="shared" ca="1" si="469"/>
        <v>0</v>
      </c>
      <c r="DC335" s="171">
        <f t="shared" ca="1" si="470"/>
        <v>0</v>
      </c>
      <c r="DD335" s="171">
        <f t="shared" ca="1" si="471"/>
        <v>0</v>
      </c>
      <c r="DE335" s="171">
        <f t="shared" ca="1" si="472"/>
        <v>0</v>
      </c>
      <c r="DF335" s="171">
        <f t="shared" ca="1" si="473"/>
        <v>0</v>
      </c>
      <c r="DG335" s="171">
        <f t="shared" ca="1" si="474"/>
        <v>0</v>
      </c>
      <c r="DH335" s="171">
        <f t="shared" ca="1" si="475"/>
        <v>0</v>
      </c>
      <c r="DI335" s="171">
        <f t="shared" ca="1" si="476"/>
        <v>0</v>
      </c>
      <c r="DJ335" s="171">
        <f t="shared" ca="1" si="477"/>
        <v>0</v>
      </c>
      <c r="DK335" s="171">
        <f t="shared" ca="1" si="478"/>
        <v>0</v>
      </c>
      <c r="DL335" s="171">
        <f t="shared" ca="1" si="479"/>
        <v>0</v>
      </c>
      <c r="DM335" s="171">
        <f t="shared" ca="1" si="480"/>
        <v>0</v>
      </c>
      <c r="DN335" s="171">
        <f t="shared" ca="1" si="481"/>
        <v>0</v>
      </c>
      <c r="DO335" s="171">
        <f t="shared" ca="1" si="482"/>
        <v>0</v>
      </c>
      <c r="DP335" s="171">
        <f t="shared" ca="1" si="483"/>
        <v>0</v>
      </c>
      <c r="DQ335" s="171">
        <f t="shared" ca="1" si="484"/>
        <v>0</v>
      </c>
      <c r="DR335" s="171">
        <f t="shared" ca="1" si="485"/>
        <v>0</v>
      </c>
      <c r="DS335" s="171">
        <f t="shared" ca="1" si="486"/>
        <v>0</v>
      </c>
      <c r="DT335" s="171">
        <f t="shared" ca="1" si="487"/>
        <v>0</v>
      </c>
      <c r="DU335" s="171">
        <f t="shared" ca="1" si="488"/>
        <v>0</v>
      </c>
      <c r="DV335" s="171">
        <f t="shared" ca="1" si="489"/>
        <v>0</v>
      </c>
      <c r="DW335" s="171">
        <f t="shared" ca="1" si="490"/>
        <v>0</v>
      </c>
      <c r="DX335" s="171">
        <f t="shared" ca="1" si="491"/>
        <v>0</v>
      </c>
      <c r="DY335" s="171">
        <f t="shared" ca="1" si="492"/>
        <v>0</v>
      </c>
      <c r="DZ335" s="171">
        <f t="shared" ca="1" si="493"/>
        <v>0</v>
      </c>
      <c r="EA335" s="171">
        <f t="shared" ca="1" si="494"/>
        <v>0</v>
      </c>
      <c r="EB335" s="171">
        <f t="shared" ca="1" si="495"/>
        <v>0</v>
      </c>
      <c r="EC335" s="171">
        <f t="shared" ca="1" si="496"/>
        <v>0</v>
      </c>
      <c r="ED335" s="171">
        <f t="shared" ca="1" si="497"/>
        <v>0</v>
      </c>
      <c r="EE335" s="171">
        <f t="shared" ca="1" si="498"/>
        <v>0</v>
      </c>
      <c r="EF335" s="171">
        <f t="shared" ca="1" si="499"/>
        <v>0</v>
      </c>
      <c r="EG335" s="171">
        <f t="shared" ca="1" si="500"/>
        <v>0</v>
      </c>
      <c r="EH335" s="171">
        <f t="shared" ca="1" si="501"/>
        <v>0</v>
      </c>
      <c r="EI335" s="171">
        <f t="shared" ca="1" si="502"/>
        <v>0</v>
      </c>
      <c r="EJ335" s="171">
        <f t="shared" ca="1" si="503"/>
        <v>0</v>
      </c>
      <c r="EK335" s="171">
        <f t="shared" ca="1" si="504"/>
        <v>0</v>
      </c>
      <c r="EL335" s="171">
        <f t="shared" ca="1" si="505"/>
        <v>0</v>
      </c>
      <c r="EM335" s="171">
        <f t="shared" ca="1" si="506"/>
        <v>0</v>
      </c>
      <c r="EN335" s="171">
        <f t="shared" ca="1" si="507"/>
        <v>0</v>
      </c>
      <c r="EO335" s="171">
        <f t="shared" ca="1" si="508"/>
        <v>0</v>
      </c>
      <c r="EP335" s="171">
        <f t="shared" ca="1" si="509"/>
        <v>0</v>
      </c>
      <c r="EQ335" s="171">
        <f t="shared" ca="1" si="510"/>
        <v>0</v>
      </c>
      <c r="ER335" s="171">
        <f t="shared" ca="1" si="511"/>
        <v>0</v>
      </c>
      <c r="ES335" s="171">
        <f t="shared" ca="1" si="512"/>
        <v>0</v>
      </c>
    </row>
    <row r="336" spans="3:149">
      <c r="C336" s="214"/>
      <c r="H336" s="216"/>
      <c r="I336" s="217"/>
      <c r="L336" s="163"/>
      <c r="M336" s="164" t="str">
        <f t="shared" si="443"/>
        <v/>
      </c>
      <c r="N336" s="164" t="str">
        <f t="shared" si="444"/>
        <v/>
      </c>
      <c r="O336" s="165" t="str">
        <f t="shared" si="445"/>
        <v/>
      </c>
      <c r="R336" s="168"/>
      <c r="U336" s="171">
        <f t="shared" si="446"/>
        <v>0</v>
      </c>
      <c r="V336" s="171">
        <f t="shared" ca="1" si="447"/>
        <v>0</v>
      </c>
      <c r="W336" s="171">
        <f t="shared" ca="1" si="448"/>
        <v>0</v>
      </c>
      <c r="X336" s="172">
        <f t="shared" si="449"/>
        <v>0</v>
      </c>
      <c r="Y336" s="172" t="str">
        <f t="shared" si="450"/>
        <v/>
      </c>
      <c r="Z336" s="173">
        <f t="shared" si="451"/>
        <v>0</v>
      </c>
      <c r="AA336" s="171">
        <f t="shared" si="525"/>
        <v>0</v>
      </c>
      <c r="AB336" s="171">
        <f t="shared" si="525"/>
        <v>0</v>
      </c>
      <c r="AC336" s="171">
        <f t="shared" si="525"/>
        <v>0</v>
      </c>
      <c r="AD336" s="171">
        <f t="shared" si="525"/>
        <v>0</v>
      </c>
      <c r="AE336" s="171">
        <f t="shared" si="525"/>
        <v>0</v>
      </c>
      <c r="AF336" s="171">
        <f t="shared" si="525"/>
        <v>0</v>
      </c>
      <c r="AG336" s="171">
        <f t="shared" si="525"/>
        <v>0</v>
      </c>
      <c r="AH336" s="171">
        <f t="shared" si="525"/>
        <v>0</v>
      </c>
      <c r="AI336" s="171">
        <f t="shared" si="525"/>
        <v>0</v>
      </c>
      <c r="AJ336" s="171">
        <f t="shared" si="525"/>
        <v>0</v>
      </c>
      <c r="AK336" s="171">
        <f t="shared" si="526"/>
        <v>0</v>
      </c>
      <c r="AL336" s="171">
        <f t="shared" si="526"/>
        <v>0</v>
      </c>
      <c r="AM336" s="171">
        <f t="shared" si="526"/>
        <v>0</v>
      </c>
      <c r="AN336" s="171">
        <f t="shared" si="526"/>
        <v>0</v>
      </c>
      <c r="AO336" s="171">
        <f t="shared" si="526"/>
        <v>0</v>
      </c>
      <c r="AP336" s="171">
        <f t="shared" si="526"/>
        <v>0</v>
      </c>
      <c r="AQ336" s="171">
        <f t="shared" si="526"/>
        <v>0</v>
      </c>
      <c r="AR336" s="171">
        <f t="shared" si="526"/>
        <v>0</v>
      </c>
      <c r="AS336" s="171">
        <f t="shared" si="526"/>
        <v>0</v>
      </c>
      <c r="AT336" s="171">
        <f t="shared" si="526"/>
        <v>0</v>
      </c>
      <c r="AU336" s="171">
        <f t="shared" si="527"/>
        <v>0</v>
      </c>
      <c r="AV336" s="171">
        <f t="shared" si="527"/>
        <v>0</v>
      </c>
      <c r="AW336" s="171">
        <f t="shared" si="527"/>
        <v>0</v>
      </c>
      <c r="AX336" s="171">
        <f t="shared" si="527"/>
        <v>0</v>
      </c>
      <c r="AY336" s="171">
        <f t="shared" si="527"/>
        <v>0</v>
      </c>
      <c r="AZ336" s="171">
        <f t="shared" si="527"/>
        <v>0</v>
      </c>
      <c r="BA336" s="171">
        <f t="shared" si="527"/>
        <v>0</v>
      </c>
      <c r="BB336" s="171">
        <f t="shared" si="527"/>
        <v>0</v>
      </c>
      <c r="BC336" s="171">
        <f t="shared" si="527"/>
        <v>0</v>
      </c>
      <c r="BD336" s="171">
        <f t="shared" si="527"/>
        <v>0</v>
      </c>
      <c r="BE336" s="171">
        <f t="shared" si="528"/>
        <v>0</v>
      </c>
      <c r="BF336" s="171">
        <f t="shared" si="528"/>
        <v>0</v>
      </c>
      <c r="BG336" s="171">
        <f t="shared" si="528"/>
        <v>0</v>
      </c>
      <c r="BH336" s="171">
        <f t="shared" si="528"/>
        <v>0</v>
      </c>
      <c r="BI336" s="171">
        <f t="shared" si="528"/>
        <v>0</v>
      </c>
      <c r="BJ336" s="171">
        <f t="shared" si="528"/>
        <v>0</v>
      </c>
      <c r="BK336" s="171">
        <f t="shared" si="528"/>
        <v>0</v>
      </c>
      <c r="BL336" s="171">
        <f t="shared" si="528"/>
        <v>0</v>
      </c>
      <c r="BM336" s="171">
        <f t="shared" si="528"/>
        <v>0</v>
      </c>
      <c r="BN336" s="171">
        <f t="shared" si="528"/>
        <v>0</v>
      </c>
      <c r="BO336" s="171">
        <f t="shared" si="529"/>
        <v>0</v>
      </c>
      <c r="BP336" s="171">
        <f t="shared" si="529"/>
        <v>0</v>
      </c>
      <c r="BQ336" s="171">
        <f t="shared" si="529"/>
        <v>0</v>
      </c>
      <c r="BR336" s="171">
        <f t="shared" si="529"/>
        <v>0</v>
      </c>
      <c r="BS336" s="171">
        <f t="shared" si="529"/>
        <v>0</v>
      </c>
      <c r="BT336" s="171">
        <f t="shared" si="529"/>
        <v>0</v>
      </c>
      <c r="BU336" s="171">
        <f t="shared" si="529"/>
        <v>0</v>
      </c>
      <c r="BV336" s="171">
        <f t="shared" si="529"/>
        <v>0</v>
      </c>
      <c r="BW336" s="171">
        <f t="shared" si="529"/>
        <v>0</v>
      </c>
      <c r="BX336" s="171">
        <f t="shared" si="529"/>
        <v>0</v>
      </c>
      <c r="BY336" s="171">
        <f t="shared" si="530"/>
        <v>0</v>
      </c>
      <c r="BZ336" s="171">
        <f t="shared" si="530"/>
        <v>0</v>
      </c>
      <c r="CA336" s="171">
        <f t="shared" si="530"/>
        <v>0</v>
      </c>
      <c r="CB336" s="171">
        <f t="shared" si="530"/>
        <v>0</v>
      </c>
      <c r="CC336" s="171">
        <f t="shared" si="530"/>
        <v>0</v>
      </c>
      <c r="CD336" s="171">
        <f t="shared" si="530"/>
        <v>0</v>
      </c>
      <c r="CE336" s="171">
        <f t="shared" si="530"/>
        <v>0</v>
      </c>
      <c r="CF336" s="171">
        <f t="shared" si="530"/>
        <v>0</v>
      </c>
      <c r="CG336" s="171">
        <f t="shared" si="530"/>
        <v>0</v>
      </c>
      <c r="CH336" s="171">
        <f t="shared" si="530"/>
        <v>0</v>
      </c>
      <c r="CI336" s="171">
        <f t="shared" si="530"/>
        <v>0</v>
      </c>
      <c r="CJ336" s="243"/>
      <c r="CK336" s="171">
        <f t="shared" si="452"/>
        <v>0</v>
      </c>
      <c r="CL336" s="171">
        <f t="shared" si="453"/>
        <v>0</v>
      </c>
      <c r="CM336" s="171">
        <f t="shared" si="454"/>
        <v>0</v>
      </c>
      <c r="CN336" s="171">
        <f t="shared" si="455"/>
        <v>0</v>
      </c>
      <c r="CO336" s="171">
        <f t="shared" si="456"/>
        <v>0</v>
      </c>
      <c r="CP336" s="171">
        <f t="shared" si="457"/>
        <v>0</v>
      </c>
      <c r="CQ336" s="171">
        <f t="shared" si="458"/>
        <v>0</v>
      </c>
      <c r="CR336" s="171">
        <f t="shared" si="459"/>
        <v>0</v>
      </c>
      <c r="CS336" s="171">
        <f t="shared" si="460"/>
        <v>0</v>
      </c>
      <c r="CT336" s="171">
        <f t="shared" si="461"/>
        <v>0</v>
      </c>
      <c r="CU336" s="171">
        <f t="shared" si="462"/>
        <v>0</v>
      </c>
      <c r="CV336" s="171">
        <f t="shared" si="463"/>
        <v>0</v>
      </c>
      <c r="CW336" s="171">
        <f t="shared" si="464"/>
        <v>0</v>
      </c>
      <c r="CX336" s="171">
        <f t="shared" si="465"/>
        <v>0</v>
      </c>
      <c r="CY336" s="171">
        <f t="shared" ca="1" si="466"/>
        <v>0</v>
      </c>
      <c r="CZ336" s="171">
        <f t="shared" ca="1" si="467"/>
        <v>0</v>
      </c>
      <c r="DA336" s="171">
        <f t="shared" ca="1" si="468"/>
        <v>0</v>
      </c>
      <c r="DB336" s="171">
        <f t="shared" ca="1" si="469"/>
        <v>0</v>
      </c>
      <c r="DC336" s="171">
        <f t="shared" ca="1" si="470"/>
        <v>0</v>
      </c>
      <c r="DD336" s="171">
        <f t="shared" ca="1" si="471"/>
        <v>0</v>
      </c>
      <c r="DE336" s="171">
        <f t="shared" ca="1" si="472"/>
        <v>0</v>
      </c>
      <c r="DF336" s="171">
        <f t="shared" ca="1" si="473"/>
        <v>0</v>
      </c>
      <c r="DG336" s="171">
        <f t="shared" ca="1" si="474"/>
        <v>0</v>
      </c>
      <c r="DH336" s="171">
        <f t="shared" ca="1" si="475"/>
        <v>0</v>
      </c>
      <c r="DI336" s="171">
        <f t="shared" ca="1" si="476"/>
        <v>0</v>
      </c>
      <c r="DJ336" s="171">
        <f t="shared" ca="1" si="477"/>
        <v>0</v>
      </c>
      <c r="DK336" s="171">
        <f t="shared" ca="1" si="478"/>
        <v>0</v>
      </c>
      <c r="DL336" s="171">
        <f t="shared" ca="1" si="479"/>
        <v>0</v>
      </c>
      <c r="DM336" s="171">
        <f t="shared" ca="1" si="480"/>
        <v>0</v>
      </c>
      <c r="DN336" s="171">
        <f t="shared" ca="1" si="481"/>
        <v>0</v>
      </c>
      <c r="DO336" s="171">
        <f t="shared" ca="1" si="482"/>
        <v>0</v>
      </c>
      <c r="DP336" s="171">
        <f t="shared" ca="1" si="483"/>
        <v>0</v>
      </c>
      <c r="DQ336" s="171">
        <f t="shared" ca="1" si="484"/>
        <v>0</v>
      </c>
      <c r="DR336" s="171">
        <f t="shared" ca="1" si="485"/>
        <v>0</v>
      </c>
      <c r="DS336" s="171">
        <f t="shared" ca="1" si="486"/>
        <v>0</v>
      </c>
      <c r="DT336" s="171">
        <f t="shared" ca="1" si="487"/>
        <v>0</v>
      </c>
      <c r="DU336" s="171">
        <f t="shared" ca="1" si="488"/>
        <v>0</v>
      </c>
      <c r="DV336" s="171">
        <f t="shared" ca="1" si="489"/>
        <v>0</v>
      </c>
      <c r="DW336" s="171">
        <f t="shared" ca="1" si="490"/>
        <v>0</v>
      </c>
      <c r="DX336" s="171">
        <f t="shared" ca="1" si="491"/>
        <v>0</v>
      </c>
      <c r="DY336" s="171">
        <f t="shared" ca="1" si="492"/>
        <v>0</v>
      </c>
      <c r="DZ336" s="171">
        <f t="shared" ca="1" si="493"/>
        <v>0</v>
      </c>
      <c r="EA336" s="171">
        <f t="shared" ca="1" si="494"/>
        <v>0</v>
      </c>
      <c r="EB336" s="171">
        <f t="shared" ca="1" si="495"/>
        <v>0</v>
      </c>
      <c r="EC336" s="171">
        <f t="shared" ca="1" si="496"/>
        <v>0</v>
      </c>
      <c r="ED336" s="171">
        <f t="shared" ca="1" si="497"/>
        <v>0</v>
      </c>
      <c r="EE336" s="171">
        <f t="shared" ca="1" si="498"/>
        <v>0</v>
      </c>
      <c r="EF336" s="171">
        <f t="shared" ca="1" si="499"/>
        <v>0</v>
      </c>
      <c r="EG336" s="171">
        <f t="shared" ca="1" si="500"/>
        <v>0</v>
      </c>
      <c r="EH336" s="171">
        <f t="shared" ca="1" si="501"/>
        <v>0</v>
      </c>
      <c r="EI336" s="171">
        <f t="shared" ca="1" si="502"/>
        <v>0</v>
      </c>
      <c r="EJ336" s="171">
        <f t="shared" ca="1" si="503"/>
        <v>0</v>
      </c>
      <c r="EK336" s="171">
        <f t="shared" ca="1" si="504"/>
        <v>0</v>
      </c>
      <c r="EL336" s="171">
        <f t="shared" ca="1" si="505"/>
        <v>0</v>
      </c>
      <c r="EM336" s="171">
        <f t="shared" ca="1" si="506"/>
        <v>0</v>
      </c>
      <c r="EN336" s="171">
        <f t="shared" ca="1" si="507"/>
        <v>0</v>
      </c>
      <c r="EO336" s="171">
        <f t="shared" ca="1" si="508"/>
        <v>0</v>
      </c>
      <c r="EP336" s="171">
        <f t="shared" ca="1" si="509"/>
        <v>0</v>
      </c>
      <c r="EQ336" s="171">
        <f t="shared" ca="1" si="510"/>
        <v>0</v>
      </c>
      <c r="ER336" s="171">
        <f t="shared" ca="1" si="511"/>
        <v>0</v>
      </c>
      <c r="ES336" s="171">
        <f t="shared" ca="1" si="512"/>
        <v>0</v>
      </c>
    </row>
    <row r="337" spans="3:149">
      <c r="C337" s="214"/>
      <c r="H337" s="216"/>
      <c r="I337" s="217"/>
      <c r="L337" s="163"/>
      <c r="M337" s="164" t="str">
        <f t="shared" si="443"/>
        <v/>
      </c>
      <c r="N337" s="164" t="str">
        <f t="shared" si="444"/>
        <v/>
      </c>
      <c r="O337" s="165" t="str">
        <f t="shared" si="445"/>
        <v/>
      </c>
      <c r="R337" s="168"/>
      <c r="U337" s="171">
        <f t="shared" si="446"/>
        <v>0</v>
      </c>
      <c r="V337" s="171">
        <f t="shared" ca="1" si="447"/>
        <v>0</v>
      </c>
      <c r="W337" s="171">
        <f t="shared" ca="1" si="448"/>
        <v>0</v>
      </c>
      <c r="X337" s="172">
        <f t="shared" si="449"/>
        <v>0</v>
      </c>
      <c r="Y337" s="172" t="str">
        <f t="shared" si="450"/>
        <v/>
      </c>
      <c r="Z337" s="173">
        <f t="shared" si="451"/>
        <v>0</v>
      </c>
      <c r="AA337" s="171">
        <f t="shared" si="525"/>
        <v>0</v>
      </c>
      <c r="AB337" s="171">
        <f t="shared" si="525"/>
        <v>0</v>
      </c>
      <c r="AC337" s="171">
        <f t="shared" si="525"/>
        <v>0</v>
      </c>
      <c r="AD337" s="171">
        <f t="shared" si="525"/>
        <v>0</v>
      </c>
      <c r="AE337" s="171">
        <f t="shared" si="525"/>
        <v>0</v>
      </c>
      <c r="AF337" s="171">
        <f t="shared" si="525"/>
        <v>0</v>
      </c>
      <c r="AG337" s="171">
        <f t="shared" si="525"/>
        <v>0</v>
      </c>
      <c r="AH337" s="171">
        <f t="shared" si="525"/>
        <v>0</v>
      </c>
      <c r="AI337" s="171">
        <f t="shared" si="525"/>
        <v>0</v>
      </c>
      <c r="AJ337" s="171">
        <f t="shared" si="525"/>
        <v>0</v>
      </c>
      <c r="AK337" s="171">
        <f t="shared" si="526"/>
        <v>0</v>
      </c>
      <c r="AL337" s="171">
        <f t="shared" si="526"/>
        <v>0</v>
      </c>
      <c r="AM337" s="171">
        <f t="shared" si="526"/>
        <v>0</v>
      </c>
      <c r="AN337" s="171">
        <f t="shared" si="526"/>
        <v>0</v>
      </c>
      <c r="AO337" s="171">
        <f t="shared" si="526"/>
        <v>0</v>
      </c>
      <c r="AP337" s="171">
        <f t="shared" si="526"/>
        <v>0</v>
      </c>
      <c r="AQ337" s="171">
        <f t="shared" si="526"/>
        <v>0</v>
      </c>
      <c r="AR337" s="171">
        <f t="shared" si="526"/>
        <v>0</v>
      </c>
      <c r="AS337" s="171">
        <f t="shared" si="526"/>
        <v>0</v>
      </c>
      <c r="AT337" s="171">
        <f t="shared" si="526"/>
        <v>0</v>
      </c>
      <c r="AU337" s="171">
        <f t="shared" si="527"/>
        <v>0</v>
      </c>
      <c r="AV337" s="171">
        <f t="shared" si="527"/>
        <v>0</v>
      </c>
      <c r="AW337" s="171">
        <f t="shared" si="527"/>
        <v>0</v>
      </c>
      <c r="AX337" s="171">
        <f t="shared" si="527"/>
        <v>0</v>
      </c>
      <c r="AY337" s="171">
        <f t="shared" si="527"/>
        <v>0</v>
      </c>
      <c r="AZ337" s="171">
        <f t="shared" si="527"/>
        <v>0</v>
      </c>
      <c r="BA337" s="171">
        <f t="shared" si="527"/>
        <v>0</v>
      </c>
      <c r="BB337" s="171">
        <f t="shared" si="527"/>
        <v>0</v>
      </c>
      <c r="BC337" s="171">
        <f t="shared" si="527"/>
        <v>0</v>
      </c>
      <c r="BD337" s="171">
        <f t="shared" si="527"/>
        <v>0</v>
      </c>
      <c r="BE337" s="171">
        <f t="shared" si="528"/>
        <v>0</v>
      </c>
      <c r="BF337" s="171">
        <f t="shared" si="528"/>
        <v>0</v>
      </c>
      <c r="BG337" s="171">
        <f t="shared" si="528"/>
        <v>0</v>
      </c>
      <c r="BH337" s="171">
        <f t="shared" si="528"/>
        <v>0</v>
      </c>
      <c r="BI337" s="171">
        <f t="shared" si="528"/>
        <v>0</v>
      </c>
      <c r="BJ337" s="171">
        <f t="shared" si="528"/>
        <v>0</v>
      </c>
      <c r="BK337" s="171">
        <f t="shared" si="528"/>
        <v>0</v>
      </c>
      <c r="BL337" s="171">
        <f t="shared" si="528"/>
        <v>0</v>
      </c>
      <c r="BM337" s="171">
        <f t="shared" si="528"/>
        <v>0</v>
      </c>
      <c r="BN337" s="171">
        <f t="shared" si="528"/>
        <v>0</v>
      </c>
      <c r="BO337" s="171">
        <f t="shared" si="529"/>
        <v>0</v>
      </c>
      <c r="BP337" s="171">
        <f t="shared" si="529"/>
        <v>0</v>
      </c>
      <c r="BQ337" s="171">
        <f t="shared" si="529"/>
        <v>0</v>
      </c>
      <c r="BR337" s="171">
        <f t="shared" si="529"/>
        <v>0</v>
      </c>
      <c r="BS337" s="171">
        <f t="shared" si="529"/>
        <v>0</v>
      </c>
      <c r="BT337" s="171">
        <f t="shared" si="529"/>
        <v>0</v>
      </c>
      <c r="BU337" s="171">
        <f t="shared" si="529"/>
        <v>0</v>
      </c>
      <c r="BV337" s="171">
        <f t="shared" si="529"/>
        <v>0</v>
      </c>
      <c r="BW337" s="171">
        <f t="shared" si="529"/>
        <v>0</v>
      </c>
      <c r="BX337" s="171">
        <f t="shared" si="529"/>
        <v>0</v>
      </c>
      <c r="BY337" s="171">
        <f t="shared" si="530"/>
        <v>0</v>
      </c>
      <c r="BZ337" s="171">
        <f t="shared" si="530"/>
        <v>0</v>
      </c>
      <c r="CA337" s="171">
        <f t="shared" si="530"/>
        <v>0</v>
      </c>
      <c r="CB337" s="171">
        <f t="shared" si="530"/>
        <v>0</v>
      </c>
      <c r="CC337" s="171">
        <f t="shared" si="530"/>
        <v>0</v>
      </c>
      <c r="CD337" s="171">
        <f t="shared" si="530"/>
        <v>0</v>
      </c>
      <c r="CE337" s="171">
        <f t="shared" si="530"/>
        <v>0</v>
      </c>
      <c r="CF337" s="171">
        <f t="shared" si="530"/>
        <v>0</v>
      </c>
      <c r="CG337" s="171">
        <f t="shared" si="530"/>
        <v>0</v>
      </c>
      <c r="CH337" s="171">
        <f t="shared" si="530"/>
        <v>0</v>
      </c>
      <c r="CI337" s="171">
        <f t="shared" si="530"/>
        <v>0</v>
      </c>
      <c r="CJ337" s="243"/>
      <c r="CK337" s="171">
        <f t="shared" si="452"/>
        <v>0</v>
      </c>
      <c r="CL337" s="171">
        <f t="shared" si="453"/>
        <v>0</v>
      </c>
      <c r="CM337" s="171">
        <f t="shared" si="454"/>
        <v>0</v>
      </c>
      <c r="CN337" s="171">
        <f t="shared" si="455"/>
        <v>0</v>
      </c>
      <c r="CO337" s="171">
        <f t="shared" si="456"/>
        <v>0</v>
      </c>
      <c r="CP337" s="171">
        <f t="shared" si="457"/>
        <v>0</v>
      </c>
      <c r="CQ337" s="171">
        <f t="shared" si="458"/>
        <v>0</v>
      </c>
      <c r="CR337" s="171">
        <f t="shared" si="459"/>
        <v>0</v>
      </c>
      <c r="CS337" s="171">
        <f t="shared" si="460"/>
        <v>0</v>
      </c>
      <c r="CT337" s="171">
        <f t="shared" si="461"/>
        <v>0</v>
      </c>
      <c r="CU337" s="171">
        <f t="shared" si="462"/>
        <v>0</v>
      </c>
      <c r="CV337" s="171">
        <f t="shared" si="463"/>
        <v>0</v>
      </c>
      <c r="CW337" s="171">
        <f t="shared" si="464"/>
        <v>0</v>
      </c>
      <c r="CX337" s="171">
        <f t="shared" si="465"/>
        <v>0</v>
      </c>
      <c r="CY337" s="171">
        <f t="shared" ca="1" si="466"/>
        <v>0</v>
      </c>
      <c r="CZ337" s="171">
        <f t="shared" ca="1" si="467"/>
        <v>0</v>
      </c>
      <c r="DA337" s="171">
        <f t="shared" ca="1" si="468"/>
        <v>0</v>
      </c>
      <c r="DB337" s="171">
        <f t="shared" ca="1" si="469"/>
        <v>0</v>
      </c>
      <c r="DC337" s="171">
        <f t="shared" ca="1" si="470"/>
        <v>0</v>
      </c>
      <c r="DD337" s="171">
        <f t="shared" ca="1" si="471"/>
        <v>0</v>
      </c>
      <c r="DE337" s="171">
        <f t="shared" ca="1" si="472"/>
        <v>0</v>
      </c>
      <c r="DF337" s="171">
        <f t="shared" ca="1" si="473"/>
        <v>0</v>
      </c>
      <c r="DG337" s="171">
        <f t="shared" ca="1" si="474"/>
        <v>0</v>
      </c>
      <c r="DH337" s="171">
        <f t="shared" ca="1" si="475"/>
        <v>0</v>
      </c>
      <c r="DI337" s="171">
        <f t="shared" ca="1" si="476"/>
        <v>0</v>
      </c>
      <c r="DJ337" s="171">
        <f t="shared" ca="1" si="477"/>
        <v>0</v>
      </c>
      <c r="DK337" s="171">
        <f t="shared" ca="1" si="478"/>
        <v>0</v>
      </c>
      <c r="DL337" s="171">
        <f t="shared" ca="1" si="479"/>
        <v>0</v>
      </c>
      <c r="DM337" s="171">
        <f t="shared" ca="1" si="480"/>
        <v>0</v>
      </c>
      <c r="DN337" s="171">
        <f t="shared" ca="1" si="481"/>
        <v>0</v>
      </c>
      <c r="DO337" s="171">
        <f t="shared" ca="1" si="482"/>
        <v>0</v>
      </c>
      <c r="DP337" s="171">
        <f t="shared" ca="1" si="483"/>
        <v>0</v>
      </c>
      <c r="DQ337" s="171">
        <f t="shared" ca="1" si="484"/>
        <v>0</v>
      </c>
      <c r="DR337" s="171">
        <f t="shared" ca="1" si="485"/>
        <v>0</v>
      </c>
      <c r="DS337" s="171">
        <f t="shared" ca="1" si="486"/>
        <v>0</v>
      </c>
      <c r="DT337" s="171">
        <f t="shared" ca="1" si="487"/>
        <v>0</v>
      </c>
      <c r="DU337" s="171">
        <f t="shared" ca="1" si="488"/>
        <v>0</v>
      </c>
      <c r="DV337" s="171">
        <f t="shared" ca="1" si="489"/>
        <v>0</v>
      </c>
      <c r="DW337" s="171">
        <f t="shared" ca="1" si="490"/>
        <v>0</v>
      </c>
      <c r="DX337" s="171">
        <f t="shared" ca="1" si="491"/>
        <v>0</v>
      </c>
      <c r="DY337" s="171">
        <f t="shared" ca="1" si="492"/>
        <v>0</v>
      </c>
      <c r="DZ337" s="171">
        <f t="shared" ca="1" si="493"/>
        <v>0</v>
      </c>
      <c r="EA337" s="171">
        <f t="shared" ca="1" si="494"/>
        <v>0</v>
      </c>
      <c r="EB337" s="171">
        <f t="shared" ca="1" si="495"/>
        <v>0</v>
      </c>
      <c r="EC337" s="171">
        <f t="shared" ca="1" si="496"/>
        <v>0</v>
      </c>
      <c r="ED337" s="171">
        <f t="shared" ca="1" si="497"/>
        <v>0</v>
      </c>
      <c r="EE337" s="171">
        <f t="shared" ca="1" si="498"/>
        <v>0</v>
      </c>
      <c r="EF337" s="171">
        <f t="shared" ca="1" si="499"/>
        <v>0</v>
      </c>
      <c r="EG337" s="171">
        <f t="shared" ca="1" si="500"/>
        <v>0</v>
      </c>
      <c r="EH337" s="171">
        <f t="shared" ca="1" si="501"/>
        <v>0</v>
      </c>
      <c r="EI337" s="171">
        <f t="shared" ca="1" si="502"/>
        <v>0</v>
      </c>
      <c r="EJ337" s="171">
        <f t="shared" ca="1" si="503"/>
        <v>0</v>
      </c>
      <c r="EK337" s="171">
        <f t="shared" ca="1" si="504"/>
        <v>0</v>
      </c>
      <c r="EL337" s="171">
        <f t="shared" ca="1" si="505"/>
        <v>0</v>
      </c>
      <c r="EM337" s="171">
        <f t="shared" ca="1" si="506"/>
        <v>0</v>
      </c>
      <c r="EN337" s="171">
        <f t="shared" ca="1" si="507"/>
        <v>0</v>
      </c>
      <c r="EO337" s="171">
        <f t="shared" ca="1" si="508"/>
        <v>0</v>
      </c>
      <c r="EP337" s="171">
        <f t="shared" ca="1" si="509"/>
        <v>0</v>
      </c>
      <c r="EQ337" s="171">
        <f t="shared" ca="1" si="510"/>
        <v>0</v>
      </c>
      <c r="ER337" s="171">
        <f t="shared" ca="1" si="511"/>
        <v>0</v>
      </c>
      <c r="ES337" s="171">
        <f t="shared" ca="1" si="512"/>
        <v>0</v>
      </c>
    </row>
    <row r="338" spans="3:149">
      <c r="C338" s="214"/>
      <c r="H338" s="216"/>
      <c r="I338" s="217"/>
      <c r="L338" s="163"/>
      <c r="M338" s="164" t="str">
        <f t="shared" si="443"/>
        <v/>
      </c>
      <c r="N338" s="164" t="str">
        <f t="shared" si="444"/>
        <v/>
      </c>
      <c r="O338" s="165" t="str">
        <f t="shared" si="445"/>
        <v/>
      </c>
      <c r="R338" s="168"/>
      <c r="U338" s="171">
        <f t="shared" si="446"/>
        <v>0</v>
      </c>
      <c r="V338" s="171">
        <f t="shared" ca="1" si="447"/>
        <v>0</v>
      </c>
      <c r="W338" s="171">
        <f t="shared" ca="1" si="448"/>
        <v>0</v>
      </c>
      <c r="X338" s="172">
        <f t="shared" si="449"/>
        <v>0</v>
      </c>
      <c r="Y338" s="172" t="str">
        <f t="shared" si="450"/>
        <v/>
      </c>
      <c r="Z338" s="173">
        <f t="shared" si="451"/>
        <v>0</v>
      </c>
      <c r="AA338" s="171">
        <f t="shared" si="525"/>
        <v>0</v>
      </c>
      <c r="AB338" s="171">
        <f t="shared" si="525"/>
        <v>0</v>
      </c>
      <c r="AC338" s="171">
        <f t="shared" si="525"/>
        <v>0</v>
      </c>
      <c r="AD338" s="171">
        <f t="shared" si="525"/>
        <v>0</v>
      </c>
      <c r="AE338" s="171">
        <f t="shared" si="525"/>
        <v>0</v>
      </c>
      <c r="AF338" s="171">
        <f t="shared" si="525"/>
        <v>0</v>
      </c>
      <c r="AG338" s="171">
        <f t="shared" si="525"/>
        <v>0</v>
      </c>
      <c r="AH338" s="171">
        <f t="shared" si="525"/>
        <v>0</v>
      </c>
      <c r="AI338" s="171">
        <f t="shared" si="525"/>
        <v>0</v>
      </c>
      <c r="AJ338" s="171">
        <f t="shared" si="525"/>
        <v>0</v>
      </c>
      <c r="AK338" s="171">
        <f t="shared" si="526"/>
        <v>0</v>
      </c>
      <c r="AL338" s="171">
        <f t="shared" si="526"/>
        <v>0</v>
      </c>
      <c r="AM338" s="171">
        <f t="shared" si="526"/>
        <v>0</v>
      </c>
      <c r="AN338" s="171">
        <f t="shared" si="526"/>
        <v>0</v>
      </c>
      <c r="AO338" s="171">
        <f t="shared" si="526"/>
        <v>0</v>
      </c>
      <c r="AP338" s="171">
        <f t="shared" si="526"/>
        <v>0</v>
      </c>
      <c r="AQ338" s="171">
        <f t="shared" si="526"/>
        <v>0</v>
      </c>
      <c r="AR338" s="171">
        <f t="shared" si="526"/>
        <v>0</v>
      </c>
      <c r="AS338" s="171">
        <f t="shared" si="526"/>
        <v>0</v>
      </c>
      <c r="AT338" s="171">
        <f t="shared" si="526"/>
        <v>0</v>
      </c>
      <c r="AU338" s="171">
        <f t="shared" si="527"/>
        <v>0</v>
      </c>
      <c r="AV338" s="171">
        <f t="shared" si="527"/>
        <v>0</v>
      </c>
      <c r="AW338" s="171">
        <f t="shared" si="527"/>
        <v>0</v>
      </c>
      <c r="AX338" s="171">
        <f t="shared" si="527"/>
        <v>0</v>
      </c>
      <c r="AY338" s="171">
        <f t="shared" si="527"/>
        <v>0</v>
      </c>
      <c r="AZ338" s="171">
        <f t="shared" si="527"/>
        <v>0</v>
      </c>
      <c r="BA338" s="171">
        <f t="shared" si="527"/>
        <v>0</v>
      </c>
      <c r="BB338" s="171">
        <f t="shared" si="527"/>
        <v>0</v>
      </c>
      <c r="BC338" s="171">
        <f t="shared" si="527"/>
        <v>0</v>
      </c>
      <c r="BD338" s="171">
        <f t="shared" si="527"/>
        <v>0</v>
      </c>
      <c r="BE338" s="171">
        <f t="shared" si="528"/>
        <v>0</v>
      </c>
      <c r="BF338" s="171">
        <f t="shared" si="528"/>
        <v>0</v>
      </c>
      <c r="BG338" s="171">
        <f t="shared" si="528"/>
        <v>0</v>
      </c>
      <c r="BH338" s="171">
        <f t="shared" si="528"/>
        <v>0</v>
      </c>
      <c r="BI338" s="171">
        <f t="shared" si="528"/>
        <v>0</v>
      </c>
      <c r="BJ338" s="171">
        <f t="shared" si="528"/>
        <v>0</v>
      </c>
      <c r="BK338" s="171">
        <f t="shared" si="528"/>
        <v>0</v>
      </c>
      <c r="BL338" s="171">
        <f t="shared" si="528"/>
        <v>0</v>
      </c>
      <c r="BM338" s="171">
        <f t="shared" si="528"/>
        <v>0</v>
      </c>
      <c r="BN338" s="171">
        <f t="shared" si="528"/>
        <v>0</v>
      </c>
      <c r="BO338" s="171">
        <f t="shared" si="529"/>
        <v>0</v>
      </c>
      <c r="BP338" s="171">
        <f t="shared" si="529"/>
        <v>0</v>
      </c>
      <c r="BQ338" s="171">
        <f t="shared" si="529"/>
        <v>0</v>
      </c>
      <c r="BR338" s="171">
        <f t="shared" si="529"/>
        <v>0</v>
      </c>
      <c r="BS338" s="171">
        <f t="shared" si="529"/>
        <v>0</v>
      </c>
      <c r="BT338" s="171">
        <f t="shared" si="529"/>
        <v>0</v>
      </c>
      <c r="BU338" s="171">
        <f t="shared" si="529"/>
        <v>0</v>
      </c>
      <c r="BV338" s="171">
        <f t="shared" si="529"/>
        <v>0</v>
      </c>
      <c r="BW338" s="171">
        <f t="shared" si="529"/>
        <v>0</v>
      </c>
      <c r="BX338" s="171">
        <f t="shared" si="529"/>
        <v>0</v>
      </c>
      <c r="BY338" s="171">
        <f t="shared" si="530"/>
        <v>0</v>
      </c>
      <c r="BZ338" s="171">
        <f t="shared" si="530"/>
        <v>0</v>
      </c>
      <c r="CA338" s="171">
        <f t="shared" si="530"/>
        <v>0</v>
      </c>
      <c r="CB338" s="171">
        <f t="shared" si="530"/>
        <v>0</v>
      </c>
      <c r="CC338" s="171">
        <f t="shared" si="530"/>
        <v>0</v>
      </c>
      <c r="CD338" s="171">
        <f t="shared" si="530"/>
        <v>0</v>
      </c>
      <c r="CE338" s="171">
        <f t="shared" si="530"/>
        <v>0</v>
      </c>
      <c r="CF338" s="171">
        <f t="shared" si="530"/>
        <v>0</v>
      </c>
      <c r="CG338" s="171">
        <f t="shared" si="530"/>
        <v>0</v>
      </c>
      <c r="CH338" s="171">
        <f t="shared" si="530"/>
        <v>0</v>
      </c>
      <c r="CI338" s="171">
        <f t="shared" si="530"/>
        <v>0</v>
      </c>
      <c r="CJ338" s="243"/>
      <c r="CK338" s="171">
        <f t="shared" si="452"/>
        <v>0</v>
      </c>
      <c r="CL338" s="171">
        <f t="shared" si="453"/>
        <v>0</v>
      </c>
      <c r="CM338" s="171">
        <f t="shared" si="454"/>
        <v>0</v>
      </c>
      <c r="CN338" s="171">
        <f t="shared" si="455"/>
        <v>0</v>
      </c>
      <c r="CO338" s="171">
        <f t="shared" si="456"/>
        <v>0</v>
      </c>
      <c r="CP338" s="171">
        <f t="shared" si="457"/>
        <v>0</v>
      </c>
      <c r="CQ338" s="171">
        <f t="shared" si="458"/>
        <v>0</v>
      </c>
      <c r="CR338" s="171">
        <f t="shared" si="459"/>
        <v>0</v>
      </c>
      <c r="CS338" s="171">
        <f t="shared" si="460"/>
        <v>0</v>
      </c>
      <c r="CT338" s="171">
        <f t="shared" si="461"/>
        <v>0</v>
      </c>
      <c r="CU338" s="171">
        <f t="shared" si="462"/>
        <v>0</v>
      </c>
      <c r="CV338" s="171">
        <f t="shared" si="463"/>
        <v>0</v>
      </c>
      <c r="CW338" s="171">
        <f t="shared" si="464"/>
        <v>0</v>
      </c>
      <c r="CX338" s="171">
        <f t="shared" si="465"/>
        <v>0</v>
      </c>
      <c r="CY338" s="171">
        <f t="shared" ca="1" si="466"/>
        <v>0</v>
      </c>
      <c r="CZ338" s="171">
        <f t="shared" ca="1" si="467"/>
        <v>0</v>
      </c>
      <c r="DA338" s="171">
        <f t="shared" ca="1" si="468"/>
        <v>0</v>
      </c>
      <c r="DB338" s="171">
        <f t="shared" ca="1" si="469"/>
        <v>0</v>
      </c>
      <c r="DC338" s="171">
        <f t="shared" ca="1" si="470"/>
        <v>0</v>
      </c>
      <c r="DD338" s="171">
        <f t="shared" ca="1" si="471"/>
        <v>0</v>
      </c>
      <c r="DE338" s="171">
        <f t="shared" ca="1" si="472"/>
        <v>0</v>
      </c>
      <c r="DF338" s="171">
        <f t="shared" ca="1" si="473"/>
        <v>0</v>
      </c>
      <c r="DG338" s="171">
        <f t="shared" ca="1" si="474"/>
        <v>0</v>
      </c>
      <c r="DH338" s="171">
        <f t="shared" ca="1" si="475"/>
        <v>0</v>
      </c>
      <c r="DI338" s="171">
        <f t="shared" ca="1" si="476"/>
        <v>0</v>
      </c>
      <c r="DJ338" s="171">
        <f t="shared" ca="1" si="477"/>
        <v>0</v>
      </c>
      <c r="DK338" s="171">
        <f t="shared" ca="1" si="478"/>
        <v>0</v>
      </c>
      <c r="DL338" s="171">
        <f t="shared" ca="1" si="479"/>
        <v>0</v>
      </c>
      <c r="DM338" s="171">
        <f t="shared" ca="1" si="480"/>
        <v>0</v>
      </c>
      <c r="DN338" s="171">
        <f t="shared" ca="1" si="481"/>
        <v>0</v>
      </c>
      <c r="DO338" s="171">
        <f t="shared" ca="1" si="482"/>
        <v>0</v>
      </c>
      <c r="DP338" s="171">
        <f t="shared" ca="1" si="483"/>
        <v>0</v>
      </c>
      <c r="DQ338" s="171">
        <f t="shared" ca="1" si="484"/>
        <v>0</v>
      </c>
      <c r="DR338" s="171">
        <f t="shared" ca="1" si="485"/>
        <v>0</v>
      </c>
      <c r="DS338" s="171">
        <f t="shared" ca="1" si="486"/>
        <v>0</v>
      </c>
      <c r="DT338" s="171">
        <f t="shared" ca="1" si="487"/>
        <v>0</v>
      </c>
      <c r="DU338" s="171">
        <f t="shared" ca="1" si="488"/>
        <v>0</v>
      </c>
      <c r="DV338" s="171">
        <f t="shared" ca="1" si="489"/>
        <v>0</v>
      </c>
      <c r="DW338" s="171">
        <f t="shared" ca="1" si="490"/>
        <v>0</v>
      </c>
      <c r="DX338" s="171">
        <f t="shared" ca="1" si="491"/>
        <v>0</v>
      </c>
      <c r="DY338" s="171">
        <f t="shared" ca="1" si="492"/>
        <v>0</v>
      </c>
      <c r="DZ338" s="171">
        <f t="shared" ca="1" si="493"/>
        <v>0</v>
      </c>
      <c r="EA338" s="171">
        <f t="shared" ca="1" si="494"/>
        <v>0</v>
      </c>
      <c r="EB338" s="171">
        <f t="shared" ca="1" si="495"/>
        <v>0</v>
      </c>
      <c r="EC338" s="171">
        <f t="shared" ca="1" si="496"/>
        <v>0</v>
      </c>
      <c r="ED338" s="171">
        <f t="shared" ca="1" si="497"/>
        <v>0</v>
      </c>
      <c r="EE338" s="171">
        <f t="shared" ca="1" si="498"/>
        <v>0</v>
      </c>
      <c r="EF338" s="171">
        <f t="shared" ca="1" si="499"/>
        <v>0</v>
      </c>
      <c r="EG338" s="171">
        <f t="shared" ca="1" si="500"/>
        <v>0</v>
      </c>
      <c r="EH338" s="171">
        <f t="shared" ca="1" si="501"/>
        <v>0</v>
      </c>
      <c r="EI338" s="171">
        <f t="shared" ca="1" si="502"/>
        <v>0</v>
      </c>
      <c r="EJ338" s="171">
        <f t="shared" ca="1" si="503"/>
        <v>0</v>
      </c>
      <c r="EK338" s="171">
        <f t="shared" ca="1" si="504"/>
        <v>0</v>
      </c>
      <c r="EL338" s="171">
        <f t="shared" ca="1" si="505"/>
        <v>0</v>
      </c>
      <c r="EM338" s="171">
        <f t="shared" ca="1" si="506"/>
        <v>0</v>
      </c>
      <c r="EN338" s="171">
        <f t="shared" ca="1" si="507"/>
        <v>0</v>
      </c>
      <c r="EO338" s="171">
        <f t="shared" ca="1" si="508"/>
        <v>0</v>
      </c>
      <c r="EP338" s="171">
        <f t="shared" ca="1" si="509"/>
        <v>0</v>
      </c>
      <c r="EQ338" s="171">
        <f t="shared" ca="1" si="510"/>
        <v>0</v>
      </c>
      <c r="ER338" s="171">
        <f t="shared" ca="1" si="511"/>
        <v>0</v>
      </c>
      <c r="ES338" s="171">
        <f t="shared" ca="1" si="512"/>
        <v>0</v>
      </c>
    </row>
    <row r="339" spans="3:149">
      <c r="C339" s="214"/>
      <c r="H339" s="216"/>
      <c r="I339" s="217"/>
      <c r="L339" s="163"/>
      <c r="M339" s="164" t="str">
        <f t="shared" si="443"/>
        <v/>
      </c>
      <c r="N339" s="164" t="str">
        <f t="shared" si="444"/>
        <v/>
      </c>
      <c r="O339" s="165" t="str">
        <f t="shared" si="445"/>
        <v/>
      </c>
      <c r="R339" s="168"/>
      <c r="U339" s="171">
        <f t="shared" si="446"/>
        <v>0</v>
      </c>
      <c r="V339" s="171">
        <f t="shared" ca="1" si="447"/>
        <v>0</v>
      </c>
      <c r="W339" s="171">
        <f t="shared" ca="1" si="448"/>
        <v>0</v>
      </c>
      <c r="X339" s="172">
        <f t="shared" si="449"/>
        <v>0</v>
      </c>
      <c r="Y339" s="172" t="str">
        <f t="shared" si="450"/>
        <v/>
      </c>
      <c r="Z339" s="173">
        <f t="shared" si="451"/>
        <v>0</v>
      </c>
      <c r="AA339" s="171">
        <f t="shared" ref="AA339:AJ348" si="531">IFERROR(
    IF($T339="Equity",
        IF(AND(AA$48&gt;=$E339, AA$48&lt;=($E339+$Q339)),
$K339*$P339*(VLOOKUP($C$39,$C$37:$BL$44,MATCH($E339,$C$37:$BL$37,0),FALSE)/VLOOKUP($L339,$C$37:$BL$44,MATCH($E339,$C$37:$BL$37,0),FALSE))*
IF($B$5="Foreign Currency",VLOOKUP($C$38,$C$37:$BL$44,MATCH(AA$48,$C$37:$BL$37,0),FALSE)/VLOOKUP($C$39,$C$37:$BL$44,MATCH(AA$48,$C$37:$BL$37,0),FALSE),1),
0),
    IF($T339="Lump Sum Principal",
        IF(AND(AA$48&gt;=$E339, AA$48&lt;($E339+$Q339)),
$K339*$P339*(VLOOKUP($C$39,$C$37:$BL$44,MATCH($E339,$C$37:$BL$37,0),FALSE)/VLOOKUP($L339,$C$37:$BL$44,MATCH($E339,$C$37:$BL$37,0),FALSE))*
IF($B$5="Foreign Currency",VLOOKUP($C$38,$C$37:$BL$44,MATCH(AA$48,$C$37:$BL$37,0),FALSE)/VLOOKUP($C$39,$C$37:$BL$44,MATCH(AA$48,$C$37:$BL$37,0),FALSE),1),
        IF(AA$48=($E339+$Q339),
$K339*(1+$P339)*(VLOOKUP($C$39,$C$37:$BL$44,MATCH($E339,$C$37:$BL$37,0),FALSE)/VLOOKUP($L339,$C$37:$BL$44,MATCH($E339,$C$37:$BL$37,0),FALSE))*
IF($B$5="Foreign Currency",VLOOKUP($C$38,$C$37:$BL$44,MATCH(AA$48,$C$37:$BL$37,0),FALSE)/VLOOKUP($C$39,$C$37:$BL$44,MATCH(AA$48,$C$37:$BL$37,0),FALSE),1),
0)),
    IF($T339="Lump Sum Principal and Interest",
        IF(AA$48=($E339+$Q339),
$K339*((1+$P339)^$Q339)*(VLOOKUP($C$39,$C$37:$BL$44,MATCH($E339,$C$37:$BL$37,0),FALSE)/VLOOKUP($L339,$C$37:$BL$44,MATCH($E339,$C$37:$BL$37,0),FALSE))*
IF($B$5="Foreign Currency",VLOOKUP($C$38,$C$37:$BL$44,MATCH(AA$48,$C$37:$BL$37,0),FALSE)/VLOOKUP($C$39,$C$37:$BL$44,MATCH(AA$48,$C$37:$BL$37,0),FALSE),1),
0),
    IF($T339="EPP with Grace Years for Principal",
        IF(AND(AA$48&gt;=$E339, AA$48&lt;($E339+$S339)),
$K339*$P339*(VLOOKUP($C$39,$C$37:$BL$44,MATCH($E339,$C$37:$BL$37,0),FALSE)/VLOOKUP($L339,$C$37:$BL$44,MATCH($E339,$C$37:$BL$37,0),FALSE))*
IF($B$5="Foreign Currency",VLOOKUP($C$38,$C$37:$BL$44,MATCH(AA$48,$C$37:$BL$37,0),FALSE)/VLOOKUP($C$39,$C$37:$BL$44,MATCH(AA$48,$C$37:$BL$37,0),FALSE),1),
        IF(AND(AA$48&gt;=($E339+$S339), AA$48&lt;=($E339+$Q339)),
-PMT($P339,($Q339-$S339+1),($K339*(VLOOKUP($C$39,$C$37:$BL$44,MATCH($E339,$C$37:$BL$37,0),FALSE)/VLOOKUP($L339,$C$37:$BL$44,MATCH($E339,$C$37:$BL$37,0),FALSE))*
IF($B$5="Foreign Currency",VLOOKUP($C$38,$C$37:$BL$44,MATCH(AA$48,$C$37:$BL$37,0),FALSE)/VLOOKUP($C$39,$C$37:$BL$44,MATCH(AA$48,$C$37:$BL$37,0),FALSE),1)),0),
0)),
    IF($T339="Equal Principal Payments (EPP)",
        IF(AND(AA$48&gt;=$E339, AA$48&lt;=($E339+$Q339)),
-PMT($P339,($Q339-$S339+1),($K339*(VLOOKUP($C$39,$C$37:$BL$44,MATCH($E339,$C$37:$BL$37,0),FALSE)/VLOOKUP($L339,$C$37:$BL$44,MATCH($E339,$C$37:$BL$37,0),FALSE))*
IF($B$5="Foreign Currency",VLOOKUP($C$38,$C$37:$BL$44,MATCH(AA$48,$C$37:$BL$37,0),FALSE)/VLOOKUP($C$39,$C$37:$BL$44,MATCH(AA$48,$C$37:$BL$37,0),FALSE),1)),0), 0),
    IF($T339="EPP with Grace Years for Principal and on Interest",
        IF(AND(AA$48&gt;=($E339+$S339), AA$48&lt;=($E339+$Q339)),
-PMT($P339,($Q339-$S339+1),($K339*(VLOOKUP($C$39,$C$37:$BL$44,MATCH($E339,$C$37:$BL$37,0),FALSE)/VLOOKUP($L339,$C$37:$BL$44,MATCH($E339,$C$37:$BL$37,0),FALSE))*
IF($B$5="Foreign Currency",VLOOKUP($C$38,$C$37:$BL$44,MATCH(AA$48,$C$37:$BL$37,0),FALSE)/VLOOKUP($C$39,$C$37:$BL$44,MATCH(AA$48,$C$37:$BL$37,0),FALSE),1))*((1+$P339)^$S339),0), 0),
    0)))))),"")</f>
        <v>0</v>
      </c>
      <c r="AB339" s="171">
        <f t="shared" si="531"/>
        <v>0</v>
      </c>
      <c r="AC339" s="171">
        <f t="shared" si="531"/>
        <v>0</v>
      </c>
      <c r="AD339" s="171">
        <f t="shared" si="531"/>
        <v>0</v>
      </c>
      <c r="AE339" s="171">
        <f t="shared" si="531"/>
        <v>0</v>
      </c>
      <c r="AF339" s="171">
        <f t="shared" si="531"/>
        <v>0</v>
      </c>
      <c r="AG339" s="171">
        <f t="shared" si="531"/>
        <v>0</v>
      </c>
      <c r="AH339" s="171">
        <f t="shared" si="531"/>
        <v>0</v>
      </c>
      <c r="AI339" s="171">
        <f t="shared" si="531"/>
        <v>0</v>
      </c>
      <c r="AJ339" s="171">
        <f t="shared" si="531"/>
        <v>0</v>
      </c>
      <c r="AK339" s="171">
        <f t="shared" ref="AK339:AT348" si="532">IFERROR(
    IF($T339="Equity",
        IF(AND(AK$48&gt;=$E339, AK$48&lt;=($E339+$Q339)),
$K339*$P339*(VLOOKUP($C$39,$C$37:$BL$44,MATCH($E339,$C$37:$BL$37,0),FALSE)/VLOOKUP($L339,$C$37:$BL$44,MATCH($E339,$C$37:$BL$37,0),FALSE))*
IF($B$5="Foreign Currency",VLOOKUP($C$38,$C$37:$BL$44,MATCH(AK$48,$C$37:$BL$37,0),FALSE)/VLOOKUP($C$39,$C$37:$BL$44,MATCH(AK$48,$C$37:$BL$37,0),FALSE),1),
0),
    IF($T339="Lump Sum Principal",
        IF(AND(AK$48&gt;=$E339, AK$48&lt;($E339+$Q339)),
$K339*$P339*(VLOOKUP($C$39,$C$37:$BL$44,MATCH($E339,$C$37:$BL$37,0),FALSE)/VLOOKUP($L339,$C$37:$BL$44,MATCH($E339,$C$37:$BL$37,0),FALSE))*
IF($B$5="Foreign Currency",VLOOKUP($C$38,$C$37:$BL$44,MATCH(AK$48,$C$37:$BL$37,0),FALSE)/VLOOKUP($C$39,$C$37:$BL$44,MATCH(AK$48,$C$37:$BL$37,0),FALSE),1),
        IF(AK$48=($E339+$Q339),
$K339*(1+$P339)*(VLOOKUP($C$39,$C$37:$BL$44,MATCH($E339,$C$37:$BL$37,0),FALSE)/VLOOKUP($L339,$C$37:$BL$44,MATCH($E339,$C$37:$BL$37,0),FALSE))*
IF($B$5="Foreign Currency",VLOOKUP($C$38,$C$37:$BL$44,MATCH(AK$48,$C$37:$BL$37,0),FALSE)/VLOOKUP($C$39,$C$37:$BL$44,MATCH(AK$48,$C$37:$BL$37,0),FALSE),1),
0)),
    IF($T339="Lump Sum Principal and Interest",
        IF(AK$48=($E339+$Q339),
$K339*((1+$P339)^$Q339)*(VLOOKUP($C$39,$C$37:$BL$44,MATCH($E339,$C$37:$BL$37,0),FALSE)/VLOOKUP($L339,$C$37:$BL$44,MATCH($E339,$C$37:$BL$37,0),FALSE))*
IF($B$5="Foreign Currency",VLOOKUP($C$38,$C$37:$BL$44,MATCH(AK$48,$C$37:$BL$37,0),FALSE)/VLOOKUP($C$39,$C$37:$BL$44,MATCH(AK$48,$C$37:$BL$37,0),FALSE),1),
0),
    IF($T339="EPP with Grace Years for Principal",
        IF(AND(AK$48&gt;=$E339, AK$48&lt;($E339+$S339)),
$K339*$P339*(VLOOKUP($C$39,$C$37:$BL$44,MATCH($E339,$C$37:$BL$37,0),FALSE)/VLOOKUP($L339,$C$37:$BL$44,MATCH($E339,$C$37:$BL$37,0),FALSE))*
IF($B$5="Foreign Currency",VLOOKUP($C$38,$C$37:$BL$44,MATCH(AK$48,$C$37:$BL$37,0),FALSE)/VLOOKUP($C$39,$C$37:$BL$44,MATCH(AK$48,$C$37:$BL$37,0),FALSE),1),
        IF(AND(AK$48&gt;=($E339+$S339), AK$48&lt;=($E339+$Q339)),
-PMT($P339,($Q339-$S339+1),($K339*(VLOOKUP($C$39,$C$37:$BL$44,MATCH($E339,$C$37:$BL$37,0),FALSE)/VLOOKUP($L339,$C$37:$BL$44,MATCH($E339,$C$37:$BL$37,0),FALSE))*
IF($B$5="Foreign Currency",VLOOKUP($C$38,$C$37:$BL$44,MATCH(AK$48,$C$37:$BL$37,0),FALSE)/VLOOKUP($C$39,$C$37:$BL$44,MATCH(AK$48,$C$37:$BL$37,0),FALSE),1)),0),
0)),
    IF($T339="Equal Principal Payments (EPP)",
        IF(AND(AK$48&gt;=$E339, AK$48&lt;=($E339+$Q339)),
-PMT($P339,($Q339-$S339+1),($K339*(VLOOKUP($C$39,$C$37:$BL$44,MATCH($E339,$C$37:$BL$37,0),FALSE)/VLOOKUP($L339,$C$37:$BL$44,MATCH($E339,$C$37:$BL$37,0),FALSE))*
IF($B$5="Foreign Currency",VLOOKUP($C$38,$C$37:$BL$44,MATCH(AK$48,$C$37:$BL$37,0),FALSE)/VLOOKUP($C$39,$C$37:$BL$44,MATCH(AK$48,$C$37:$BL$37,0),FALSE),1)),0), 0),
    IF($T339="EPP with Grace Years for Principal and on Interest",
        IF(AND(AK$48&gt;=($E339+$S339), AK$48&lt;=($E339+$Q339)),
-PMT($P339,($Q339-$S339+1),($K339*(VLOOKUP($C$39,$C$37:$BL$44,MATCH($E339,$C$37:$BL$37,0),FALSE)/VLOOKUP($L339,$C$37:$BL$44,MATCH($E339,$C$37:$BL$37,0),FALSE))*
IF($B$5="Foreign Currency",VLOOKUP($C$38,$C$37:$BL$44,MATCH(AK$48,$C$37:$BL$37,0),FALSE)/VLOOKUP($C$39,$C$37:$BL$44,MATCH(AK$48,$C$37:$BL$37,0),FALSE),1))*((1+$P339)^$S339),0), 0),
    0)))))),"")</f>
        <v>0</v>
      </c>
      <c r="AL339" s="171">
        <f t="shared" si="532"/>
        <v>0</v>
      </c>
      <c r="AM339" s="171">
        <f t="shared" si="532"/>
        <v>0</v>
      </c>
      <c r="AN339" s="171">
        <f t="shared" si="532"/>
        <v>0</v>
      </c>
      <c r="AO339" s="171">
        <f t="shared" si="532"/>
        <v>0</v>
      </c>
      <c r="AP339" s="171">
        <f t="shared" si="532"/>
        <v>0</v>
      </c>
      <c r="AQ339" s="171">
        <f t="shared" si="532"/>
        <v>0</v>
      </c>
      <c r="AR339" s="171">
        <f t="shared" si="532"/>
        <v>0</v>
      </c>
      <c r="AS339" s="171">
        <f t="shared" si="532"/>
        <v>0</v>
      </c>
      <c r="AT339" s="171">
        <f t="shared" si="532"/>
        <v>0</v>
      </c>
      <c r="AU339" s="171">
        <f t="shared" ref="AU339:BD348" si="533">IFERROR(
    IF($T339="Equity",
        IF(AND(AU$48&gt;=$E339, AU$48&lt;=($E339+$Q339)),
$K339*$P339*(VLOOKUP($C$39,$C$37:$BL$44,MATCH($E339,$C$37:$BL$37,0),FALSE)/VLOOKUP($L339,$C$37:$BL$44,MATCH($E339,$C$37:$BL$37,0),FALSE))*
IF($B$5="Foreign Currency",VLOOKUP($C$38,$C$37:$BL$44,MATCH(AU$48,$C$37:$BL$37,0),FALSE)/VLOOKUP($C$39,$C$37:$BL$44,MATCH(AU$48,$C$37:$BL$37,0),FALSE),1),
0),
    IF($T339="Lump Sum Principal",
        IF(AND(AU$48&gt;=$E339, AU$48&lt;($E339+$Q339)),
$K339*$P339*(VLOOKUP($C$39,$C$37:$BL$44,MATCH($E339,$C$37:$BL$37,0),FALSE)/VLOOKUP($L339,$C$37:$BL$44,MATCH($E339,$C$37:$BL$37,0),FALSE))*
IF($B$5="Foreign Currency",VLOOKUP($C$38,$C$37:$BL$44,MATCH(AU$48,$C$37:$BL$37,0),FALSE)/VLOOKUP($C$39,$C$37:$BL$44,MATCH(AU$48,$C$37:$BL$37,0),FALSE),1),
        IF(AU$48=($E339+$Q339),
$K339*(1+$P339)*(VLOOKUP($C$39,$C$37:$BL$44,MATCH($E339,$C$37:$BL$37,0),FALSE)/VLOOKUP($L339,$C$37:$BL$44,MATCH($E339,$C$37:$BL$37,0),FALSE))*
IF($B$5="Foreign Currency",VLOOKUP($C$38,$C$37:$BL$44,MATCH(AU$48,$C$37:$BL$37,0),FALSE)/VLOOKUP($C$39,$C$37:$BL$44,MATCH(AU$48,$C$37:$BL$37,0),FALSE),1),
0)),
    IF($T339="Lump Sum Principal and Interest",
        IF(AU$48=($E339+$Q339),
$K339*((1+$P339)^$Q339)*(VLOOKUP($C$39,$C$37:$BL$44,MATCH($E339,$C$37:$BL$37,0),FALSE)/VLOOKUP($L339,$C$37:$BL$44,MATCH($E339,$C$37:$BL$37,0),FALSE))*
IF($B$5="Foreign Currency",VLOOKUP($C$38,$C$37:$BL$44,MATCH(AU$48,$C$37:$BL$37,0),FALSE)/VLOOKUP($C$39,$C$37:$BL$44,MATCH(AU$48,$C$37:$BL$37,0),FALSE),1),
0),
    IF($T339="EPP with Grace Years for Principal",
        IF(AND(AU$48&gt;=$E339, AU$48&lt;($E339+$S339)),
$K339*$P339*(VLOOKUP($C$39,$C$37:$BL$44,MATCH($E339,$C$37:$BL$37,0),FALSE)/VLOOKUP($L339,$C$37:$BL$44,MATCH($E339,$C$37:$BL$37,0),FALSE))*
IF($B$5="Foreign Currency",VLOOKUP($C$38,$C$37:$BL$44,MATCH(AU$48,$C$37:$BL$37,0),FALSE)/VLOOKUP($C$39,$C$37:$BL$44,MATCH(AU$48,$C$37:$BL$37,0),FALSE),1),
        IF(AND(AU$48&gt;=($E339+$S339), AU$48&lt;=($E339+$Q339)),
-PMT($P339,($Q339-$S339+1),($K339*(VLOOKUP($C$39,$C$37:$BL$44,MATCH($E339,$C$37:$BL$37,0),FALSE)/VLOOKUP($L339,$C$37:$BL$44,MATCH($E339,$C$37:$BL$37,0),FALSE))*
IF($B$5="Foreign Currency",VLOOKUP($C$38,$C$37:$BL$44,MATCH(AU$48,$C$37:$BL$37,0),FALSE)/VLOOKUP($C$39,$C$37:$BL$44,MATCH(AU$48,$C$37:$BL$37,0),FALSE),1)),0),
0)),
    IF($T339="Equal Principal Payments (EPP)",
        IF(AND(AU$48&gt;=$E339, AU$48&lt;=($E339+$Q339)),
-PMT($P339,($Q339-$S339+1),($K339*(VLOOKUP($C$39,$C$37:$BL$44,MATCH($E339,$C$37:$BL$37,0),FALSE)/VLOOKUP($L339,$C$37:$BL$44,MATCH($E339,$C$37:$BL$37,0),FALSE))*
IF($B$5="Foreign Currency",VLOOKUP($C$38,$C$37:$BL$44,MATCH(AU$48,$C$37:$BL$37,0),FALSE)/VLOOKUP($C$39,$C$37:$BL$44,MATCH(AU$48,$C$37:$BL$37,0),FALSE),1)),0), 0),
    IF($T339="EPP with Grace Years for Principal and on Interest",
        IF(AND(AU$48&gt;=($E339+$S339), AU$48&lt;=($E339+$Q339)),
-PMT($P339,($Q339-$S339+1),($K339*(VLOOKUP($C$39,$C$37:$BL$44,MATCH($E339,$C$37:$BL$37,0),FALSE)/VLOOKUP($L339,$C$37:$BL$44,MATCH($E339,$C$37:$BL$37,0),FALSE))*
IF($B$5="Foreign Currency",VLOOKUP($C$38,$C$37:$BL$44,MATCH(AU$48,$C$37:$BL$37,0),FALSE)/VLOOKUP($C$39,$C$37:$BL$44,MATCH(AU$48,$C$37:$BL$37,0),FALSE),1))*((1+$P339)^$S339),0), 0),
    0)))))),"")</f>
        <v>0</v>
      </c>
      <c r="AV339" s="171">
        <f t="shared" si="533"/>
        <v>0</v>
      </c>
      <c r="AW339" s="171">
        <f t="shared" si="533"/>
        <v>0</v>
      </c>
      <c r="AX339" s="171">
        <f t="shared" si="533"/>
        <v>0</v>
      </c>
      <c r="AY339" s="171">
        <f t="shared" si="533"/>
        <v>0</v>
      </c>
      <c r="AZ339" s="171">
        <f t="shared" si="533"/>
        <v>0</v>
      </c>
      <c r="BA339" s="171">
        <f t="shared" si="533"/>
        <v>0</v>
      </c>
      <c r="BB339" s="171">
        <f t="shared" si="533"/>
        <v>0</v>
      </c>
      <c r="BC339" s="171">
        <f t="shared" si="533"/>
        <v>0</v>
      </c>
      <c r="BD339" s="171">
        <f t="shared" si="533"/>
        <v>0</v>
      </c>
      <c r="BE339" s="171">
        <f t="shared" ref="BE339:BN348" si="534">IFERROR(
    IF($T339="Equity",
        IF(AND(BE$48&gt;=$E339, BE$48&lt;=($E339+$Q339)),
$K339*$P339*(VLOOKUP($C$39,$C$37:$BL$44,MATCH($E339,$C$37:$BL$37,0),FALSE)/VLOOKUP($L339,$C$37:$BL$44,MATCH($E339,$C$37:$BL$37,0),FALSE))*
IF($B$5="Foreign Currency",VLOOKUP($C$38,$C$37:$BL$44,MATCH(BE$48,$C$37:$BL$37,0),FALSE)/VLOOKUP($C$39,$C$37:$BL$44,MATCH(BE$48,$C$37:$BL$37,0),FALSE),1),
0),
    IF($T339="Lump Sum Principal",
        IF(AND(BE$48&gt;=$E339, BE$48&lt;($E339+$Q339)),
$K339*$P339*(VLOOKUP($C$39,$C$37:$BL$44,MATCH($E339,$C$37:$BL$37,0),FALSE)/VLOOKUP($L339,$C$37:$BL$44,MATCH($E339,$C$37:$BL$37,0),FALSE))*
IF($B$5="Foreign Currency",VLOOKUP($C$38,$C$37:$BL$44,MATCH(BE$48,$C$37:$BL$37,0),FALSE)/VLOOKUP($C$39,$C$37:$BL$44,MATCH(BE$48,$C$37:$BL$37,0),FALSE),1),
        IF(BE$48=($E339+$Q339),
$K339*(1+$P339)*(VLOOKUP($C$39,$C$37:$BL$44,MATCH($E339,$C$37:$BL$37,0),FALSE)/VLOOKUP($L339,$C$37:$BL$44,MATCH($E339,$C$37:$BL$37,0),FALSE))*
IF($B$5="Foreign Currency",VLOOKUP($C$38,$C$37:$BL$44,MATCH(BE$48,$C$37:$BL$37,0),FALSE)/VLOOKUP($C$39,$C$37:$BL$44,MATCH(BE$48,$C$37:$BL$37,0),FALSE),1),
0)),
    IF($T339="Lump Sum Principal and Interest",
        IF(BE$48=($E339+$Q339),
$K339*((1+$P339)^$Q339)*(VLOOKUP($C$39,$C$37:$BL$44,MATCH($E339,$C$37:$BL$37,0),FALSE)/VLOOKUP($L339,$C$37:$BL$44,MATCH($E339,$C$37:$BL$37,0),FALSE))*
IF($B$5="Foreign Currency",VLOOKUP($C$38,$C$37:$BL$44,MATCH(BE$48,$C$37:$BL$37,0),FALSE)/VLOOKUP($C$39,$C$37:$BL$44,MATCH(BE$48,$C$37:$BL$37,0),FALSE),1),
0),
    IF($T339="EPP with Grace Years for Principal",
        IF(AND(BE$48&gt;=$E339, BE$48&lt;($E339+$S339)),
$K339*$P339*(VLOOKUP($C$39,$C$37:$BL$44,MATCH($E339,$C$37:$BL$37,0),FALSE)/VLOOKUP($L339,$C$37:$BL$44,MATCH($E339,$C$37:$BL$37,0),FALSE))*
IF($B$5="Foreign Currency",VLOOKUP($C$38,$C$37:$BL$44,MATCH(BE$48,$C$37:$BL$37,0),FALSE)/VLOOKUP($C$39,$C$37:$BL$44,MATCH(BE$48,$C$37:$BL$37,0),FALSE),1),
        IF(AND(BE$48&gt;=($E339+$S339), BE$48&lt;=($E339+$Q339)),
-PMT($P339,($Q339-$S339+1),($K339*(VLOOKUP($C$39,$C$37:$BL$44,MATCH($E339,$C$37:$BL$37,0),FALSE)/VLOOKUP($L339,$C$37:$BL$44,MATCH($E339,$C$37:$BL$37,0),FALSE))*
IF($B$5="Foreign Currency",VLOOKUP($C$38,$C$37:$BL$44,MATCH(BE$48,$C$37:$BL$37,0),FALSE)/VLOOKUP($C$39,$C$37:$BL$44,MATCH(BE$48,$C$37:$BL$37,0),FALSE),1)),0),
0)),
    IF($T339="Equal Principal Payments (EPP)",
        IF(AND(BE$48&gt;=$E339, BE$48&lt;=($E339+$Q339)),
-PMT($P339,($Q339-$S339+1),($K339*(VLOOKUP($C$39,$C$37:$BL$44,MATCH($E339,$C$37:$BL$37,0),FALSE)/VLOOKUP($L339,$C$37:$BL$44,MATCH($E339,$C$37:$BL$37,0),FALSE))*
IF($B$5="Foreign Currency",VLOOKUP($C$38,$C$37:$BL$44,MATCH(BE$48,$C$37:$BL$37,0),FALSE)/VLOOKUP($C$39,$C$37:$BL$44,MATCH(BE$48,$C$37:$BL$37,0),FALSE),1)),0), 0),
    IF($T339="EPP with Grace Years for Principal and on Interest",
        IF(AND(BE$48&gt;=($E339+$S339), BE$48&lt;=($E339+$Q339)),
-PMT($P339,($Q339-$S339+1),($K339*(VLOOKUP($C$39,$C$37:$BL$44,MATCH($E339,$C$37:$BL$37,0),FALSE)/VLOOKUP($L339,$C$37:$BL$44,MATCH($E339,$C$37:$BL$37,0),FALSE))*
IF($B$5="Foreign Currency",VLOOKUP($C$38,$C$37:$BL$44,MATCH(BE$48,$C$37:$BL$37,0),FALSE)/VLOOKUP($C$39,$C$37:$BL$44,MATCH(BE$48,$C$37:$BL$37,0),FALSE),1))*((1+$P339)^$S339),0), 0),
    0)))))),"")</f>
        <v>0</v>
      </c>
      <c r="BF339" s="171">
        <f t="shared" si="534"/>
        <v>0</v>
      </c>
      <c r="BG339" s="171">
        <f t="shared" si="534"/>
        <v>0</v>
      </c>
      <c r="BH339" s="171">
        <f t="shared" si="534"/>
        <v>0</v>
      </c>
      <c r="BI339" s="171">
        <f t="shared" si="534"/>
        <v>0</v>
      </c>
      <c r="BJ339" s="171">
        <f t="shared" si="534"/>
        <v>0</v>
      </c>
      <c r="BK339" s="171">
        <f t="shared" si="534"/>
        <v>0</v>
      </c>
      <c r="BL339" s="171">
        <f t="shared" si="534"/>
        <v>0</v>
      </c>
      <c r="BM339" s="171">
        <f t="shared" si="534"/>
        <v>0</v>
      </c>
      <c r="BN339" s="171">
        <f t="shared" si="534"/>
        <v>0</v>
      </c>
      <c r="BO339" s="171">
        <f t="shared" ref="BO339:BX348" si="535">IFERROR(
    IF($T339="Equity",
        IF(AND(BO$48&gt;=$E339, BO$48&lt;=($E339+$Q339)),
$K339*$P339*(VLOOKUP($C$39,$C$37:$BL$44,MATCH($E339,$C$37:$BL$37,0),FALSE)/VLOOKUP($L339,$C$37:$BL$44,MATCH($E339,$C$37:$BL$37,0),FALSE))*
IF($B$5="Foreign Currency",VLOOKUP($C$38,$C$37:$BL$44,MATCH(BO$48,$C$37:$BL$37,0),FALSE)/VLOOKUP($C$39,$C$37:$BL$44,MATCH(BO$48,$C$37:$BL$37,0),FALSE),1),
0),
    IF($T339="Lump Sum Principal",
        IF(AND(BO$48&gt;=$E339, BO$48&lt;($E339+$Q339)),
$K339*$P339*(VLOOKUP($C$39,$C$37:$BL$44,MATCH($E339,$C$37:$BL$37,0),FALSE)/VLOOKUP($L339,$C$37:$BL$44,MATCH($E339,$C$37:$BL$37,0),FALSE))*
IF($B$5="Foreign Currency",VLOOKUP($C$38,$C$37:$BL$44,MATCH(BO$48,$C$37:$BL$37,0),FALSE)/VLOOKUP($C$39,$C$37:$BL$44,MATCH(BO$48,$C$37:$BL$37,0),FALSE),1),
        IF(BO$48=($E339+$Q339),
$K339*(1+$P339)*(VLOOKUP($C$39,$C$37:$BL$44,MATCH($E339,$C$37:$BL$37,0),FALSE)/VLOOKUP($L339,$C$37:$BL$44,MATCH($E339,$C$37:$BL$37,0),FALSE))*
IF($B$5="Foreign Currency",VLOOKUP($C$38,$C$37:$BL$44,MATCH(BO$48,$C$37:$BL$37,0),FALSE)/VLOOKUP($C$39,$C$37:$BL$44,MATCH(BO$48,$C$37:$BL$37,0),FALSE),1),
0)),
    IF($T339="Lump Sum Principal and Interest",
        IF(BO$48=($E339+$Q339),
$K339*((1+$P339)^$Q339)*(VLOOKUP($C$39,$C$37:$BL$44,MATCH($E339,$C$37:$BL$37,0),FALSE)/VLOOKUP($L339,$C$37:$BL$44,MATCH($E339,$C$37:$BL$37,0),FALSE))*
IF($B$5="Foreign Currency",VLOOKUP($C$38,$C$37:$BL$44,MATCH(BO$48,$C$37:$BL$37,0),FALSE)/VLOOKUP($C$39,$C$37:$BL$44,MATCH(BO$48,$C$37:$BL$37,0),FALSE),1),
0),
    IF($T339="EPP with Grace Years for Principal",
        IF(AND(BO$48&gt;=$E339, BO$48&lt;($E339+$S339)),
$K339*$P339*(VLOOKUP($C$39,$C$37:$BL$44,MATCH($E339,$C$37:$BL$37,0),FALSE)/VLOOKUP($L339,$C$37:$BL$44,MATCH($E339,$C$37:$BL$37,0),FALSE))*
IF($B$5="Foreign Currency",VLOOKUP($C$38,$C$37:$BL$44,MATCH(BO$48,$C$37:$BL$37,0),FALSE)/VLOOKUP($C$39,$C$37:$BL$44,MATCH(BO$48,$C$37:$BL$37,0),FALSE),1),
        IF(AND(BO$48&gt;=($E339+$S339), BO$48&lt;=($E339+$Q339)),
-PMT($P339,($Q339-$S339+1),($K339*(VLOOKUP($C$39,$C$37:$BL$44,MATCH($E339,$C$37:$BL$37,0),FALSE)/VLOOKUP($L339,$C$37:$BL$44,MATCH($E339,$C$37:$BL$37,0),FALSE))*
IF($B$5="Foreign Currency",VLOOKUP($C$38,$C$37:$BL$44,MATCH(BO$48,$C$37:$BL$37,0),FALSE)/VLOOKUP($C$39,$C$37:$BL$44,MATCH(BO$48,$C$37:$BL$37,0),FALSE),1)),0),
0)),
    IF($T339="Equal Principal Payments (EPP)",
        IF(AND(BO$48&gt;=$E339, BO$48&lt;=($E339+$Q339)),
-PMT($P339,($Q339-$S339+1),($K339*(VLOOKUP($C$39,$C$37:$BL$44,MATCH($E339,$C$37:$BL$37,0),FALSE)/VLOOKUP($L339,$C$37:$BL$44,MATCH($E339,$C$37:$BL$37,0),FALSE))*
IF($B$5="Foreign Currency",VLOOKUP($C$38,$C$37:$BL$44,MATCH(BO$48,$C$37:$BL$37,0),FALSE)/VLOOKUP($C$39,$C$37:$BL$44,MATCH(BO$48,$C$37:$BL$37,0),FALSE),1)),0), 0),
    IF($T339="EPP with Grace Years for Principal and on Interest",
        IF(AND(BO$48&gt;=($E339+$S339), BO$48&lt;=($E339+$Q339)),
-PMT($P339,($Q339-$S339+1),($K339*(VLOOKUP($C$39,$C$37:$BL$44,MATCH($E339,$C$37:$BL$37,0),FALSE)/VLOOKUP($L339,$C$37:$BL$44,MATCH($E339,$C$37:$BL$37,0),FALSE))*
IF($B$5="Foreign Currency",VLOOKUP($C$38,$C$37:$BL$44,MATCH(BO$48,$C$37:$BL$37,0),FALSE)/VLOOKUP($C$39,$C$37:$BL$44,MATCH(BO$48,$C$37:$BL$37,0),FALSE),1))*((1+$P339)^$S339),0), 0),
    0)))))),"")</f>
        <v>0</v>
      </c>
      <c r="BP339" s="171">
        <f t="shared" si="535"/>
        <v>0</v>
      </c>
      <c r="BQ339" s="171">
        <f t="shared" si="535"/>
        <v>0</v>
      </c>
      <c r="BR339" s="171">
        <f t="shared" si="535"/>
        <v>0</v>
      </c>
      <c r="BS339" s="171">
        <f t="shared" si="535"/>
        <v>0</v>
      </c>
      <c r="BT339" s="171">
        <f t="shared" si="535"/>
        <v>0</v>
      </c>
      <c r="BU339" s="171">
        <f t="shared" si="535"/>
        <v>0</v>
      </c>
      <c r="BV339" s="171">
        <f t="shared" si="535"/>
        <v>0</v>
      </c>
      <c r="BW339" s="171">
        <f t="shared" si="535"/>
        <v>0</v>
      </c>
      <c r="BX339" s="171">
        <f t="shared" si="535"/>
        <v>0</v>
      </c>
      <c r="BY339" s="171">
        <f t="shared" ref="BY339:CI348" si="536">IFERROR(
    IF($T339="Equity",
        IF(AND(BY$48&gt;=$E339, BY$48&lt;=($E339+$Q339)),
$K339*$P339*(VLOOKUP($C$39,$C$37:$BL$44,MATCH($E339,$C$37:$BL$37,0),FALSE)/VLOOKUP($L339,$C$37:$BL$44,MATCH($E339,$C$37:$BL$37,0),FALSE))*
IF($B$5="Foreign Currency",VLOOKUP($C$38,$C$37:$BL$44,MATCH(BY$48,$C$37:$BL$37,0),FALSE)/VLOOKUP($C$39,$C$37:$BL$44,MATCH(BY$48,$C$37:$BL$37,0),FALSE),1),
0),
    IF($T339="Lump Sum Principal",
        IF(AND(BY$48&gt;=$E339, BY$48&lt;($E339+$Q339)),
$K339*$P339*(VLOOKUP($C$39,$C$37:$BL$44,MATCH($E339,$C$37:$BL$37,0),FALSE)/VLOOKUP($L339,$C$37:$BL$44,MATCH($E339,$C$37:$BL$37,0),FALSE))*
IF($B$5="Foreign Currency",VLOOKUP($C$38,$C$37:$BL$44,MATCH(BY$48,$C$37:$BL$37,0),FALSE)/VLOOKUP($C$39,$C$37:$BL$44,MATCH(BY$48,$C$37:$BL$37,0),FALSE),1),
        IF(BY$48=($E339+$Q339),
$K339*(1+$P339)*(VLOOKUP($C$39,$C$37:$BL$44,MATCH($E339,$C$37:$BL$37,0),FALSE)/VLOOKUP($L339,$C$37:$BL$44,MATCH($E339,$C$37:$BL$37,0),FALSE))*
IF($B$5="Foreign Currency",VLOOKUP($C$38,$C$37:$BL$44,MATCH(BY$48,$C$37:$BL$37,0),FALSE)/VLOOKUP($C$39,$C$37:$BL$44,MATCH(BY$48,$C$37:$BL$37,0),FALSE),1),
0)),
    IF($T339="Lump Sum Principal and Interest",
        IF(BY$48=($E339+$Q339),
$K339*((1+$P339)^$Q339)*(VLOOKUP($C$39,$C$37:$BL$44,MATCH($E339,$C$37:$BL$37,0),FALSE)/VLOOKUP($L339,$C$37:$BL$44,MATCH($E339,$C$37:$BL$37,0),FALSE))*
IF($B$5="Foreign Currency",VLOOKUP($C$38,$C$37:$BL$44,MATCH(BY$48,$C$37:$BL$37,0),FALSE)/VLOOKUP($C$39,$C$37:$BL$44,MATCH(BY$48,$C$37:$BL$37,0),FALSE),1),
0),
    IF($T339="EPP with Grace Years for Principal",
        IF(AND(BY$48&gt;=$E339, BY$48&lt;($E339+$S339)),
$K339*$P339*(VLOOKUP($C$39,$C$37:$BL$44,MATCH($E339,$C$37:$BL$37,0),FALSE)/VLOOKUP($L339,$C$37:$BL$44,MATCH($E339,$C$37:$BL$37,0),FALSE))*
IF($B$5="Foreign Currency",VLOOKUP($C$38,$C$37:$BL$44,MATCH(BY$48,$C$37:$BL$37,0),FALSE)/VLOOKUP($C$39,$C$37:$BL$44,MATCH(BY$48,$C$37:$BL$37,0),FALSE),1),
        IF(AND(BY$48&gt;=($E339+$S339), BY$48&lt;=($E339+$Q339)),
-PMT($P339,($Q339-$S339+1),($K339*(VLOOKUP($C$39,$C$37:$BL$44,MATCH($E339,$C$37:$BL$37,0),FALSE)/VLOOKUP($L339,$C$37:$BL$44,MATCH($E339,$C$37:$BL$37,0),FALSE))*
IF($B$5="Foreign Currency",VLOOKUP($C$38,$C$37:$BL$44,MATCH(BY$48,$C$37:$BL$37,0),FALSE)/VLOOKUP($C$39,$C$37:$BL$44,MATCH(BY$48,$C$37:$BL$37,0),FALSE),1)),0),
0)),
    IF($T339="Equal Principal Payments (EPP)",
        IF(AND(BY$48&gt;=$E339, BY$48&lt;=($E339+$Q339)),
-PMT($P339,($Q339-$S339+1),($K339*(VLOOKUP($C$39,$C$37:$BL$44,MATCH($E339,$C$37:$BL$37,0),FALSE)/VLOOKUP($L339,$C$37:$BL$44,MATCH($E339,$C$37:$BL$37,0),FALSE))*
IF($B$5="Foreign Currency",VLOOKUP($C$38,$C$37:$BL$44,MATCH(BY$48,$C$37:$BL$37,0),FALSE)/VLOOKUP($C$39,$C$37:$BL$44,MATCH(BY$48,$C$37:$BL$37,0),FALSE),1)),0), 0),
    IF($T339="EPP with Grace Years for Principal and on Interest",
        IF(AND(BY$48&gt;=($E339+$S339), BY$48&lt;=($E339+$Q339)),
-PMT($P339,($Q339-$S339+1),($K339*(VLOOKUP($C$39,$C$37:$BL$44,MATCH($E339,$C$37:$BL$37,0),FALSE)/VLOOKUP($L339,$C$37:$BL$44,MATCH($E339,$C$37:$BL$37,0),FALSE))*
IF($B$5="Foreign Currency",VLOOKUP($C$38,$C$37:$BL$44,MATCH(BY$48,$C$37:$BL$37,0),FALSE)/VLOOKUP($C$39,$C$37:$BL$44,MATCH(BY$48,$C$37:$BL$37,0),FALSE),1))*((1+$P339)^$S339),0), 0),
    0)))))),"")</f>
        <v>0</v>
      </c>
      <c r="BZ339" s="171">
        <f t="shared" si="536"/>
        <v>0</v>
      </c>
      <c r="CA339" s="171">
        <f t="shared" si="536"/>
        <v>0</v>
      </c>
      <c r="CB339" s="171">
        <f t="shared" si="536"/>
        <v>0</v>
      </c>
      <c r="CC339" s="171">
        <f t="shared" si="536"/>
        <v>0</v>
      </c>
      <c r="CD339" s="171">
        <f t="shared" si="536"/>
        <v>0</v>
      </c>
      <c r="CE339" s="171">
        <f t="shared" si="536"/>
        <v>0</v>
      </c>
      <c r="CF339" s="171">
        <f t="shared" si="536"/>
        <v>0</v>
      </c>
      <c r="CG339" s="171">
        <f t="shared" si="536"/>
        <v>0</v>
      </c>
      <c r="CH339" s="171">
        <f t="shared" si="536"/>
        <v>0</v>
      </c>
      <c r="CI339" s="171">
        <f t="shared" si="536"/>
        <v>0</v>
      </c>
      <c r="CJ339" s="243"/>
      <c r="CK339" s="171">
        <f t="shared" si="452"/>
        <v>0</v>
      </c>
      <c r="CL339" s="171">
        <f t="shared" si="453"/>
        <v>0</v>
      </c>
      <c r="CM339" s="171">
        <f t="shared" si="454"/>
        <v>0</v>
      </c>
      <c r="CN339" s="171">
        <f t="shared" si="455"/>
        <v>0</v>
      </c>
      <c r="CO339" s="171">
        <f t="shared" si="456"/>
        <v>0</v>
      </c>
      <c r="CP339" s="171">
        <f t="shared" si="457"/>
        <v>0</v>
      </c>
      <c r="CQ339" s="171">
        <f t="shared" si="458"/>
        <v>0</v>
      </c>
      <c r="CR339" s="171">
        <f t="shared" si="459"/>
        <v>0</v>
      </c>
      <c r="CS339" s="171">
        <f t="shared" si="460"/>
        <v>0</v>
      </c>
      <c r="CT339" s="171">
        <f t="shared" si="461"/>
        <v>0</v>
      </c>
      <c r="CU339" s="171">
        <f t="shared" si="462"/>
        <v>0</v>
      </c>
      <c r="CV339" s="171">
        <f t="shared" si="463"/>
        <v>0</v>
      </c>
      <c r="CW339" s="171">
        <f t="shared" si="464"/>
        <v>0</v>
      </c>
      <c r="CX339" s="171">
        <f t="shared" si="465"/>
        <v>0</v>
      </c>
      <c r="CY339" s="171">
        <f t="shared" ca="1" si="466"/>
        <v>0</v>
      </c>
      <c r="CZ339" s="171">
        <f t="shared" ca="1" si="467"/>
        <v>0</v>
      </c>
      <c r="DA339" s="171">
        <f t="shared" ca="1" si="468"/>
        <v>0</v>
      </c>
      <c r="DB339" s="171">
        <f t="shared" ca="1" si="469"/>
        <v>0</v>
      </c>
      <c r="DC339" s="171">
        <f t="shared" ca="1" si="470"/>
        <v>0</v>
      </c>
      <c r="DD339" s="171">
        <f t="shared" ca="1" si="471"/>
        <v>0</v>
      </c>
      <c r="DE339" s="171">
        <f t="shared" ca="1" si="472"/>
        <v>0</v>
      </c>
      <c r="DF339" s="171">
        <f t="shared" ca="1" si="473"/>
        <v>0</v>
      </c>
      <c r="DG339" s="171">
        <f t="shared" ca="1" si="474"/>
        <v>0</v>
      </c>
      <c r="DH339" s="171">
        <f t="shared" ca="1" si="475"/>
        <v>0</v>
      </c>
      <c r="DI339" s="171">
        <f t="shared" ca="1" si="476"/>
        <v>0</v>
      </c>
      <c r="DJ339" s="171">
        <f t="shared" ca="1" si="477"/>
        <v>0</v>
      </c>
      <c r="DK339" s="171">
        <f t="shared" ca="1" si="478"/>
        <v>0</v>
      </c>
      <c r="DL339" s="171">
        <f t="shared" ca="1" si="479"/>
        <v>0</v>
      </c>
      <c r="DM339" s="171">
        <f t="shared" ca="1" si="480"/>
        <v>0</v>
      </c>
      <c r="DN339" s="171">
        <f t="shared" ca="1" si="481"/>
        <v>0</v>
      </c>
      <c r="DO339" s="171">
        <f t="shared" ca="1" si="482"/>
        <v>0</v>
      </c>
      <c r="DP339" s="171">
        <f t="shared" ca="1" si="483"/>
        <v>0</v>
      </c>
      <c r="DQ339" s="171">
        <f t="shared" ca="1" si="484"/>
        <v>0</v>
      </c>
      <c r="DR339" s="171">
        <f t="shared" ca="1" si="485"/>
        <v>0</v>
      </c>
      <c r="DS339" s="171">
        <f t="shared" ca="1" si="486"/>
        <v>0</v>
      </c>
      <c r="DT339" s="171">
        <f t="shared" ca="1" si="487"/>
        <v>0</v>
      </c>
      <c r="DU339" s="171">
        <f t="shared" ca="1" si="488"/>
        <v>0</v>
      </c>
      <c r="DV339" s="171">
        <f t="shared" ca="1" si="489"/>
        <v>0</v>
      </c>
      <c r="DW339" s="171">
        <f t="shared" ca="1" si="490"/>
        <v>0</v>
      </c>
      <c r="DX339" s="171">
        <f t="shared" ca="1" si="491"/>
        <v>0</v>
      </c>
      <c r="DY339" s="171">
        <f t="shared" ca="1" si="492"/>
        <v>0</v>
      </c>
      <c r="DZ339" s="171">
        <f t="shared" ca="1" si="493"/>
        <v>0</v>
      </c>
      <c r="EA339" s="171">
        <f t="shared" ca="1" si="494"/>
        <v>0</v>
      </c>
      <c r="EB339" s="171">
        <f t="shared" ca="1" si="495"/>
        <v>0</v>
      </c>
      <c r="EC339" s="171">
        <f t="shared" ca="1" si="496"/>
        <v>0</v>
      </c>
      <c r="ED339" s="171">
        <f t="shared" ca="1" si="497"/>
        <v>0</v>
      </c>
      <c r="EE339" s="171">
        <f t="shared" ca="1" si="498"/>
        <v>0</v>
      </c>
      <c r="EF339" s="171">
        <f t="shared" ca="1" si="499"/>
        <v>0</v>
      </c>
      <c r="EG339" s="171">
        <f t="shared" ca="1" si="500"/>
        <v>0</v>
      </c>
      <c r="EH339" s="171">
        <f t="shared" ca="1" si="501"/>
        <v>0</v>
      </c>
      <c r="EI339" s="171">
        <f t="shared" ca="1" si="502"/>
        <v>0</v>
      </c>
      <c r="EJ339" s="171">
        <f t="shared" ca="1" si="503"/>
        <v>0</v>
      </c>
      <c r="EK339" s="171">
        <f t="shared" ca="1" si="504"/>
        <v>0</v>
      </c>
      <c r="EL339" s="171">
        <f t="shared" ca="1" si="505"/>
        <v>0</v>
      </c>
      <c r="EM339" s="171">
        <f t="shared" ca="1" si="506"/>
        <v>0</v>
      </c>
      <c r="EN339" s="171">
        <f t="shared" ca="1" si="507"/>
        <v>0</v>
      </c>
      <c r="EO339" s="171">
        <f t="shared" ca="1" si="508"/>
        <v>0</v>
      </c>
      <c r="EP339" s="171">
        <f t="shared" ca="1" si="509"/>
        <v>0</v>
      </c>
      <c r="EQ339" s="171">
        <f t="shared" ca="1" si="510"/>
        <v>0</v>
      </c>
      <c r="ER339" s="171">
        <f t="shared" ca="1" si="511"/>
        <v>0</v>
      </c>
      <c r="ES339" s="171">
        <f t="shared" ca="1" si="512"/>
        <v>0</v>
      </c>
    </row>
    <row r="340" spans="3:149">
      <c r="C340" s="214"/>
      <c r="H340" s="216"/>
      <c r="I340" s="217"/>
      <c r="L340" s="163"/>
      <c r="M340" s="164" t="str">
        <f t="shared" si="443"/>
        <v/>
      </c>
      <c r="N340" s="164" t="str">
        <f t="shared" si="444"/>
        <v/>
      </c>
      <c r="O340" s="165" t="str">
        <f t="shared" si="445"/>
        <v/>
      </c>
      <c r="R340" s="168"/>
      <c r="U340" s="171">
        <f t="shared" si="446"/>
        <v>0</v>
      </c>
      <c r="V340" s="171">
        <f t="shared" ca="1" si="447"/>
        <v>0</v>
      </c>
      <c r="W340" s="171">
        <f t="shared" ca="1" si="448"/>
        <v>0</v>
      </c>
      <c r="X340" s="172">
        <f t="shared" si="449"/>
        <v>0</v>
      </c>
      <c r="Y340" s="172" t="str">
        <f t="shared" si="450"/>
        <v/>
      </c>
      <c r="Z340" s="173">
        <f t="shared" si="451"/>
        <v>0</v>
      </c>
      <c r="AA340" s="171">
        <f t="shared" si="531"/>
        <v>0</v>
      </c>
      <c r="AB340" s="171">
        <f t="shared" si="531"/>
        <v>0</v>
      </c>
      <c r="AC340" s="171">
        <f t="shared" si="531"/>
        <v>0</v>
      </c>
      <c r="AD340" s="171">
        <f t="shared" si="531"/>
        <v>0</v>
      </c>
      <c r="AE340" s="171">
        <f t="shared" si="531"/>
        <v>0</v>
      </c>
      <c r="AF340" s="171">
        <f t="shared" si="531"/>
        <v>0</v>
      </c>
      <c r="AG340" s="171">
        <f t="shared" si="531"/>
        <v>0</v>
      </c>
      <c r="AH340" s="171">
        <f t="shared" si="531"/>
        <v>0</v>
      </c>
      <c r="AI340" s="171">
        <f t="shared" si="531"/>
        <v>0</v>
      </c>
      <c r="AJ340" s="171">
        <f t="shared" si="531"/>
        <v>0</v>
      </c>
      <c r="AK340" s="171">
        <f t="shared" si="532"/>
        <v>0</v>
      </c>
      <c r="AL340" s="171">
        <f t="shared" si="532"/>
        <v>0</v>
      </c>
      <c r="AM340" s="171">
        <f t="shared" si="532"/>
        <v>0</v>
      </c>
      <c r="AN340" s="171">
        <f t="shared" si="532"/>
        <v>0</v>
      </c>
      <c r="AO340" s="171">
        <f t="shared" si="532"/>
        <v>0</v>
      </c>
      <c r="AP340" s="171">
        <f t="shared" si="532"/>
        <v>0</v>
      </c>
      <c r="AQ340" s="171">
        <f t="shared" si="532"/>
        <v>0</v>
      </c>
      <c r="AR340" s="171">
        <f t="shared" si="532"/>
        <v>0</v>
      </c>
      <c r="AS340" s="171">
        <f t="shared" si="532"/>
        <v>0</v>
      </c>
      <c r="AT340" s="171">
        <f t="shared" si="532"/>
        <v>0</v>
      </c>
      <c r="AU340" s="171">
        <f t="shared" si="533"/>
        <v>0</v>
      </c>
      <c r="AV340" s="171">
        <f t="shared" si="533"/>
        <v>0</v>
      </c>
      <c r="AW340" s="171">
        <f t="shared" si="533"/>
        <v>0</v>
      </c>
      <c r="AX340" s="171">
        <f t="shared" si="533"/>
        <v>0</v>
      </c>
      <c r="AY340" s="171">
        <f t="shared" si="533"/>
        <v>0</v>
      </c>
      <c r="AZ340" s="171">
        <f t="shared" si="533"/>
        <v>0</v>
      </c>
      <c r="BA340" s="171">
        <f t="shared" si="533"/>
        <v>0</v>
      </c>
      <c r="BB340" s="171">
        <f t="shared" si="533"/>
        <v>0</v>
      </c>
      <c r="BC340" s="171">
        <f t="shared" si="533"/>
        <v>0</v>
      </c>
      <c r="BD340" s="171">
        <f t="shared" si="533"/>
        <v>0</v>
      </c>
      <c r="BE340" s="171">
        <f t="shared" si="534"/>
        <v>0</v>
      </c>
      <c r="BF340" s="171">
        <f t="shared" si="534"/>
        <v>0</v>
      </c>
      <c r="BG340" s="171">
        <f t="shared" si="534"/>
        <v>0</v>
      </c>
      <c r="BH340" s="171">
        <f t="shared" si="534"/>
        <v>0</v>
      </c>
      <c r="BI340" s="171">
        <f t="shared" si="534"/>
        <v>0</v>
      </c>
      <c r="BJ340" s="171">
        <f t="shared" si="534"/>
        <v>0</v>
      </c>
      <c r="BK340" s="171">
        <f t="shared" si="534"/>
        <v>0</v>
      </c>
      <c r="BL340" s="171">
        <f t="shared" si="534"/>
        <v>0</v>
      </c>
      <c r="BM340" s="171">
        <f t="shared" si="534"/>
        <v>0</v>
      </c>
      <c r="BN340" s="171">
        <f t="shared" si="534"/>
        <v>0</v>
      </c>
      <c r="BO340" s="171">
        <f t="shared" si="535"/>
        <v>0</v>
      </c>
      <c r="BP340" s="171">
        <f t="shared" si="535"/>
        <v>0</v>
      </c>
      <c r="BQ340" s="171">
        <f t="shared" si="535"/>
        <v>0</v>
      </c>
      <c r="BR340" s="171">
        <f t="shared" si="535"/>
        <v>0</v>
      </c>
      <c r="BS340" s="171">
        <f t="shared" si="535"/>
        <v>0</v>
      </c>
      <c r="BT340" s="171">
        <f t="shared" si="535"/>
        <v>0</v>
      </c>
      <c r="BU340" s="171">
        <f t="shared" si="535"/>
        <v>0</v>
      </c>
      <c r="BV340" s="171">
        <f t="shared" si="535"/>
        <v>0</v>
      </c>
      <c r="BW340" s="171">
        <f t="shared" si="535"/>
        <v>0</v>
      </c>
      <c r="BX340" s="171">
        <f t="shared" si="535"/>
        <v>0</v>
      </c>
      <c r="BY340" s="171">
        <f t="shared" si="536"/>
        <v>0</v>
      </c>
      <c r="BZ340" s="171">
        <f t="shared" si="536"/>
        <v>0</v>
      </c>
      <c r="CA340" s="171">
        <f t="shared" si="536"/>
        <v>0</v>
      </c>
      <c r="CB340" s="171">
        <f t="shared" si="536"/>
        <v>0</v>
      </c>
      <c r="CC340" s="171">
        <f t="shared" si="536"/>
        <v>0</v>
      </c>
      <c r="CD340" s="171">
        <f t="shared" si="536"/>
        <v>0</v>
      </c>
      <c r="CE340" s="171">
        <f t="shared" si="536"/>
        <v>0</v>
      </c>
      <c r="CF340" s="171">
        <f t="shared" si="536"/>
        <v>0</v>
      </c>
      <c r="CG340" s="171">
        <f t="shared" si="536"/>
        <v>0</v>
      </c>
      <c r="CH340" s="171">
        <f t="shared" si="536"/>
        <v>0</v>
      </c>
      <c r="CI340" s="171">
        <f t="shared" si="536"/>
        <v>0</v>
      </c>
      <c r="CJ340" s="243"/>
      <c r="CK340" s="171">
        <f t="shared" si="452"/>
        <v>0</v>
      </c>
      <c r="CL340" s="171">
        <f t="shared" si="453"/>
        <v>0</v>
      </c>
      <c r="CM340" s="171">
        <f t="shared" si="454"/>
        <v>0</v>
      </c>
      <c r="CN340" s="171">
        <f t="shared" si="455"/>
        <v>0</v>
      </c>
      <c r="CO340" s="171">
        <f t="shared" si="456"/>
        <v>0</v>
      </c>
      <c r="CP340" s="171">
        <f t="shared" si="457"/>
        <v>0</v>
      </c>
      <c r="CQ340" s="171">
        <f t="shared" si="458"/>
        <v>0</v>
      </c>
      <c r="CR340" s="171">
        <f t="shared" si="459"/>
        <v>0</v>
      </c>
      <c r="CS340" s="171">
        <f t="shared" si="460"/>
        <v>0</v>
      </c>
      <c r="CT340" s="171">
        <f t="shared" si="461"/>
        <v>0</v>
      </c>
      <c r="CU340" s="171">
        <f t="shared" si="462"/>
        <v>0</v>
      </c>
      <c r="CV340" s="171">
        <f t="shared" si="463"/>
        <v>0</v>
      </c>
      <c r="CW340" s="171">
        <f t="shared" si="464"/>
        <v>0</v>
      </c>
      <c r="CX340" s="171">
        <f t="shared" si="465"/>
        <v>0</v>
      </c>
      <c r="CY340" s="171">
        <f t="shared" ca="1" si="466"/>
        <v>0</v>
      </c>
      <c r="CZ340" s="171">
        <f t="shared" ca="1" si="467"/>
        <v>0</v>
      </c>
      <c r="DA340" s="171">
        <f t="shared" ca="1" si="468"/>
        <v>0</v>
      </c>
      <c r="DB340" s="171">
        <f t="shared" ca="1" si="469"/>
        <v>0</v>
      </c>
      <c r="DC340" s="171">
        <f t="shared" ca="1" si="470"/>
        <v>0</v>
      </c>
      <c r="DD340" s="171">
        <f t="shared" ca="1" si="471"/>
        <v>0</v>
      </c>
      <c r="DE340" s="171">
        <f t="shared" ca="1" si="472"/>
        <v>0</v>
      </c>
      <c r="DF340" s="171">
        <f t="shared" ca="1" si="473"/>
        <v>0</v>
      </c>
      <c r="DG340" s="171">
        <f t="shared" ca="1" si="474"/>
        <v>0</v>
      </c>
      <c r="DH340" s="171">
        <f t="shared" ca="1" si="475"/>
        <v>0</v>
      </c>
      <c r="DI340" s="171">
        <f t="shared" ca="1" si="476"/>
        <v>0</v>
      </c>
      <c r="DJ340" s="171">
        <f t="shared" ca="1" si="477"/>
        <v>0</v>
      </c>
      <c r="DK340" s="171">
        <f t="shared" ca="1" si="478"/>
        <v>0</v>
      </c>
      <c r="DL340" s="171">
        <f t="shared" ca="1" si="479"/>
        <v>0</v>
      </c>
      <c r="DM340" s="171">
        <f t="shared" ca="1" si="480"/>
        <v>0</v>
      </c>
      <c r="DN340" s="171">
        <f t="shared" ca="1" si="481"/>
        <v>0</v>
      </c>
      <c r="DO340" s="171">
        <f t="shared" ca="1" si="482"/>
        <v>0</v>
      </c>
      <c r="DP340" s="171">
        <f t="shared" ca="1" si="483"/>
        <v>0</v>
      </c>
      <c r="DQ340" s="171">
        <f t="shared" ca="1" si="484"/>
        <v>0</v>
      </c>
      <c r="DR340" s="171">
        <f t="shared" ca="1" si="485"/>
        <v>0</v>
      </c>
      <c r="DS340" s="171">
        <f t="shared" ca="1" si="486"/>
        <v>0</v>
      </c>
      <c r="DT340" s="171">
        <f t="shared" ca="1" si="487"/>
        <v>0</v>
      </c>
      <c r="DU340" s="171">
        <f t="shared" ca="1" si="488"/>
        <v>0</v>
      </c>
      <c r="DV340" s="171">
        <f t="shared" ca="1" si="489"/>
        <v>0</v>
      </c>
      <c r="DW340" s="171">
        <f t="shared" ca="1" si="490"/>
        <v>0</v>
      </c>
      <c r="DX340" s="171">
        <f t="shared" ca="1" si="491"/>
        <v>0</v>
      </c>
      <c r="DY340" s="171">
        <f t="shared" ca="1" si="492"/>
        <v>0</v>
      </c>
      <c r="DZ340" s="171">
        <f t="shared" ca="1" si="493"/>
        <v>0</v>
      </c>
      <c r="EA340" s="171">
        <f t="shared" ca="1" si="494"/>
        <v>0</v>
      </c>
      <c r="EB340" s="171">
        <f t="shared" ca="1" si="495"/>
        <v>0</v>
      </c>
      <c r="EC340" s="171">
        <f t="shared" ca="1" si="496"/>
        <v>0</v>
      </c>
      <c r="ED340" s="171">
        <f t="shared" ca="1" si="497"/>
        <v>0</v>
      </c>
      <c r="EE340" s="171">
        <f t="shared" ca="1" si="498"/>
        <v>0</v>
      </c>
      <c r="EF340" s="171">
        <f t="shared" ca="1" si="499"/>
        <v>0</v>
      </c>
      <c r="EG340" s="171">
        <f t="shared" ca="1" si="500"/>
        <v>0</v>
      </c>
      <c r="EH340" s="171">
        <f t="shared" ca="1" si="501"/>
        <v>0</v>
      </c>
      <c r="EI340" s="171">
        <f t="shared" ca="1" si="502"/>
        <v>0</v>
      </c>
      <c r="EJ340" s="171">
        <f t="shared" ca="1" si="503"/>
        <v>0</v>
      </c>
      <c r="EK340" s="171">
        <f t="shared" ca="1" si="504"/>
        <v>0</v>
      </c>
      <c r="EL340" s="171">
        <f t="shared" ca="1" si="505"/>
        <v>0</v>
      </c>
      <c r="EM340" s="171">
        <f t="shared" ca="1" si="506"/>
        <v>0</v>
      </c>
      <c r="EN340" s="171">
        <f t="shared" ca="1" si="507"/>
        <v>0</v>
      </c>
      <c r="EO340" s="171">
        <f t="shared" ca="1" si="508"/>
        <v>0</v>
      </c>
      <c r="EP340" s="171">
        <f t="shared" ca="1" si="509"/>
        <v>0</v>
      </c>
      <c r="EQ340" s="171">
        <f t="shared" ca="1" si="510"/>
        <v>0</v>
      </c>
      <c r="ER340" s="171">
        <f t="shared" ca="1" si="511"/>
        <v>0</v>
      </c>
      <c r="ES340" s="171">
        <f t="shared" ca="1" si="512"/>
        <v>0</v>
      </c>
    </row>
    <row r="341" spans="3:149">
      <c r="C341" s="214"/>
      <c r="H341" s="216"/>
      <c r="I341" s="217"/>
      <c r="L341" s="163"/>
      <c r="M341" s="164" t="str">
        <f t="shared" si="443"/>
        <v/>
      </c>
      <c r="N341" s="164" t="str">
        <f t="shared" si="444"/>
        <v/>
      </c>
      <c r="O341" s="165" t="str">
        <f t="shared" si="445"/>
        <v/>
      </c>
      <c r="R341" s="168"/>
      <c r="U341" s="171">
        <f t="shared" si="446"/>
        <v>0</v>
      </c>
      <c r="V341" s="171">
        <f t="shared" ca="1" si="447"/>
        <v>0</v>
      </c>
      <c r="W341" s="171">
        <f t="shared" ca="1" si="448"/>
        <v>0</v>
      </c>
      <c r="X341" s="172">
        <f t="shared" si="449"/>
        <v>0</v>
      </c>
      <c r="Y341" s="172" t="str">
        <f t="shared" si="450"/>
        <v/>
      </c>
      <c r="Z341" s="173">
        <f t="shared" si="451"/>
        <v>0</v>
      </c>
      <c r="AA341" s="171">
        <f t="shared" si="531"/>
        <v>0</v>
      </c>
      <c r="AB341" s="171">
        <f t="shared" si="531"/>
        <v>0</v>
      </c>
      <c r="AC341" s="171">
        <f t="shared" si="531"/>
        <v>0</v>
      </c>
      <c r="AD341" s="171">
        <f t="shared" si="531"/>
        <v>0</v>
      </c>
      <c r="AE341" s="171">
        <f t="shared" si="531"/>
        <v>0</v>
      </c>
      <c r="AF341" s="171">
        <f t="shared" si="531"/>
        <v>0</v>
      </c>
      <c r="AG341" s="171">
        <f t="shared" si="531"/>
        <v>0</v>
      </c>
      <c r="AH341" s="171">
        <f t="shared" si="531"/>
        <v>0</v>
      </c>
      <c r="AI341" s="171">
        <f t="shared" si="531"/>
        <v>0</v>
      </c>
      <c r="AJ341" s="171">
        <f t="shared" si="531"/>
        <v>0</v>
      </c>
      <c r="AK341" s="171">
        <f t="shared" si="532"/>
        <v>0</v>
      </c>
      <c r="AL341" s="171">
        <f t="shared" si="532"/>
        <v>0</v>
      </c>
      <c r="AM341" s="171">
        <f t="shared" si="532"/>
        <v>0</v>
      </c>
      <c r="AN341" s="171">
        <f t="shared" si="532"/>
        <v>0</v>
      </c>
      <c r="AO341" s="171">
        <f t="shared" si="532"/>
        <v>0</v>
      </c>
      <c r="AP341" s="171">
        <f t="shared" si="532"/>
        <v>0</v>
      </c>
      <c r="AQ341" s="171">
        <f t="shared" si="532"/>
        <v>0</v>
      </c>
      <c r="AR341" s="171">
        <f t="shared" si="532"/>
        <v>0</v>
      </c>
      <c r="AS341" s="171">
        <f t="shared" si="532"/>
        <v>0</v>
      </c>
      <c r="AT341" s="171">
        <f t="shared" si="532"/>
        <v>0</v>
      </c>
      <c r="AU341" s="171">
        <f t="shared" si="533"/>
        <v>0</v>
      </c>
      <c r="AV341" s="171">
        <f t="shared" si="533"/>
        <v>0</v>
      </c>
      <c r="AW341" s="171">
        <f t="shared" si="533"/>
        <v>0</v>
      </c>
      <c r="AX341" s="171">
        <f t="shared" si="533"/>
        <v>0</v>
      </c>
      <c r="AY341" s="171">
        <f t="shared" si="533"/>
        <v>0</v>
      </c>
      <c r="AZ341" s="171">
        <f t="shared" si="533"/>
        <v>0</v>
      </c>
      <c r="BA341" s="171">
        <f t="shared" si="533"/>
        <v>0</v>
      </c>
      <c r="BB341" s="171">
        <f t="shared" si="533"/>
        <v>0</v>
      </c>
      <c r="BC341" s="171">
        <f t="shared" si="533"/>
        <v>0</v>
      </c>
      <c r="BD341" s="171">
        <f t="shared" si="533"/>
        <v>0</v>
      </c>
      <c r="BE341" s="171">
        <f t="shared" si="534"/>
        <v>0</v>
      </c>
      <c r="BF341" s="171">
        <f t="shared" si="534"/>
        <v>0</v>
      </c>
      <c r="BG341" s="171">
        <f t="shared" si="534"/>
        <v>0</v>
      </c>
      <c r="BH341" s="171">
        <f t="shared" si="534"/>
        <v>0</v>
      </c>
      <c r="BI341" s="171">
        <f t="shared" si="534"/>
        <v>0</v>
      </c>
      <c r="BJ341" s="171">
        <f t="shared" si="534"/>
        <v>0</v>
      </c>
      <c r="BK341" s="171">
        <f t="shared" si="534"/>
        <v>0</v>
      </c>
      <c r="BL341" s="171">
        <f t="shared" si="534"/>
        <v>0</v>
      </c>
      <c r="BM341" s="171">
        <f t="shared" si="534"/>
        <v>0</v>
      </c>
      <c r="BN341" s="171">
        <f t="shared" si="534"/>
        <v>0</v>
      </c>
      <c r="BO341" s="171">
        <f t="shared" si="535"/>
        <v>0</v>
      </c>
      <c r="BP341" s="171">
        <f t="shared" si="535"/>
        <v>0</v>
      </c>
      <c r="BQ341" s="171">
        <f t="shared" si="535"/>
        <v>0</v>
      </c>
      <c r="BR341" s="171">
        <f t="shared" si="535"/>
        <v>0</v>
      </c>
      <c r="BS341" s="171">
        <f t="shared" si="535"/>
        <v>0</v>
      </c>
      <c r="BT341" s="171">
        <f t="shared" si="535"/>
        <v>0</v>
      </c>
      <c r="BU341" s="171">
        <f t="shared" si="535"/>
        <v>0</v>
      </c>
      <c r="BV341" s="171">
        <f t="shared" si="535"/>
        <v>0</v>
      </c>
      <c r="BW341" s="171">
        <f t="shared" si="535"/>
        <v>0</v>
      </c>
      <c r="BX341" s="171">
        <f t="shared" si="535"/>
        <v>0</v>
      </c>
      <c r="BY341" s="171">
        <f t="shared" si="536"/>
        <v>0</v>
      </c>
      <c r="BZ341" s="171">
        <f t="shared" si="536"/>
        <v>0</v>
      </c>
      <c r="CA341" s="171">
        <f t="shared" si="536"/>
        <v>0</v>
      </c>
      <c r="CB341" s="171">
        <f t="shared" si="536"/>
        <v>0</v>
      </c>
      <c r="CC341" s="171">
        <f t="shared" si="536"/>
        <v>0</v>
      </c>
      <c r="CD341" s="171">
        <f t="shared" si="536"/>
        <v>0</v>
      </c>
      <c r="CE341" s="171">
        <f t="shared" si="536"/>
        <v>0</v>
      </c>
      <c r="CF341" s="171">
        <f t="shared" si="536"/>
        <v>0</v>
      </c>
      <c r="CG341" s="171">
        <f t="shared" si="536"/>
        <v>0</v>
      </c>
      <c r="CH341" s="171">
        <f t="shared" si="536"/>
        <v>0</v>
      </c>
      <c r="CI341" s="171">
        <f t="shared" si="536"/>
        <v>0</v>
      </c>
      <c r="CJ341" s="243"/>
      <c r="CK341" s="171">
        <f t="shared" si="452"/>
        <v>0</v>
      </c>
      <c r="CL341" s="171">
        <f t="shared" si="453"/>
        <v>0</v>
      </c>
      <c r="CM341" s="171">
        <f t="shared" si="454"/>
        <v>0</v>
      </c>
      <c r="CN341" s="171">
        <f t="shared" si="455"/>
        <v>0</v>
      </c>
      <c r="CO341" s="171">
        <f t="shared" si="456"/>
        <v>0</v>
      </c>
      <c r="CP341" s="171">
        <f t="shared" si="457"/>
        <v>0</v>
      </c>
      <c r="CQ341" s="171">
        <f t="shared" si="458"/>
        <v>0</v>
      </c>
      <c r="CR341" s="171">
        <f t="shared" si="459"/>
        <v>0</v>
      </c>
      <c r="CS341" s="171">
        <f t="shared" si="460"/>
        <v>0</v>
      </c>
      <c r="CT341" s="171">
        <f t="shared" si="461"/>
        <v>0</v>
      </c>
      <c r="CU341" s="171">
        <f t="shared" si="462"/>
        <v>0</v>
      </c>
      <c r="CV341" s="171">
        <f t="shared" si="463"/>
        <v>0</v>
      </c>
      <c r="CW341" s="171">
        <f t="shared" si="464"/>
        <v>0</v>
      </c>
      <c r="CX341" s="171">
        <f t="shared" si="465"/>
        <v>0</v>
      </c>
      <c r="CY341" s="171">
        <f t="shared" ca="1" si="466"/>
        <v>0</v>
      </c>
      <c r="CZ341" s="171">
        <f t="shared" ca="1" si="467"/>
        <v>0</v>
      </c>
      <c r="DA341" s="171">
        <f t="shared" ca="1" si="468"/>
        <v>0</v>
      </c>
      <c r="DB341" s="171">
        <f t="shared" ca="1" si="469"/>
        <v>0</v>
      </c>
      <c r="DC341" s="171">
        <f t="shared" ca="1" si="470"/>
        <v>0</v>
      </c>
      <c r="DD341" s="171">
        <f t="shared" ca="1" si="471"/>
        <v>0</v>
      </c>
      <c r="DE341" s="171">
        <f t="shared" ca="1" si="472"/>
        <v>0</v>
      </c>
      <c r="DF341" s="171">
        <f t="shared" ca="1" si="473"/>
        <v>0</v>
      </c>
      <c r="DG341" s="171">
        <f t="shared" ca="1" si="474"/>
        <v>0</v>
      </c>
      <c r="DH341" s="171">
        <f t="shared" ca="1" si="475"/>
        <v>0</v>
      </c>
      <c r="DI341" s="171">
        <f t="shared" ca="1" si="476"/>
        <v>0</v>
      </c>
      <c r="DJ341" s="171">
        <f t="shared" ca="1" si="477"/>
        <v>0</v>
      </c>
      <c r="DK341" s="171">
        <f t="shared" ca="1" si="478"/>
        <v>0</v>
      </c>
      <c r="DL341" s="171">
        <f t="shared" ca="1" si="479"/>
        <v>0</v>
      </c>
      <c r="DM341" s="171">
        <f t="shared" ca="1" si="480"/>
        <v>0</v>
      </c>
      <c r="DN341" s="171">
        <f t="shared" ca="1" si="481"/>
        <v>0</v>
      </c>
      <c r="DO341" s="171">
        <f t="shared" ca="1" si="482"/>
        <v>0</v>
      </c>
      <c r="DP341" s="171">
        <f t="shared" ca="1" si="483"/>
        <v>0</v>
      </c>
      <c r="DQ341" s="171">
        <f t="shared" ca="1" si="484"/>
        <v>0</v>
      </c>
      <c r="DR341" s="171">
        <f t="shared" ca="1" si="485"/>
        <v>0</v>
      </c>
      <c r="DS341" s="171">
        <f t="shared" ca="1" si="486"/>
        <v>0</v>
      </c>
      <c r="DT341" s="171">
        <f t="shared" ca="1" si="487"/>
        <v>0</v>
      </c>
      <c r="DU341" s="171">
        <f t="shared" ca="1" si="488"/>
        <v>0</v>
      </c>
      <c r="DV341" s="171">
        <f t="shared" ca="1" si="489"/>
        <v>0</v>
      </c>
      <c r="DW341" s="171">
        <f t="shared" ca="1" si="490"/>
        <v>0</v>
      </c>
      <c r="DX341" s="171">
        <f t="shared" ca="1" si="491"/>
        <v>0</v>
      </c>
      <c r="DY341" s="171">
        <f t="shared" ca="1" si="492"/>
        <v>0</v>
      </c>
      <c r="DZ341" s="171">
        <f t="shared" ca="1" si="493"/>
        <v>0</v>
      </c>
      <c r="EA341" s="171">
        <f t="shared" ca="1" si="494"/>
        <v>0</v>
      </c>
      <c r="EB341" s="171">
        <f t="shared" ca="1" si="495"/>
        <v>0</v>
      </c>
      <c r="EC341" s="171">
        <f t="shared" ca="1" si="496"/>
        <v>0</v>
      </c>
      <c r="ED341" s="171">
        <f t="shared" ca="1" si="497"/>
        <v>0</v>
      </c>
      <c r="EE341" s="171">
        <f t="shared" ca="1" si="498"/>
        <v>0</v>
      </c>
      <c r="EF341" s="171">
        <f t="shared" ca="1" si="499"/>
        <v>0</v>
      </c>
      <c r="EG341" s="171">
        <f t="shared" ca="1" si="500"/>
        <v>0</v>
      </c>
      <c r="EH341" s="171">
        <f t="shared" ca="1" si="501"/>
        <v>0</v>
      </c>
      <c r="EI341" s="171">
        <f t="shared" ca="1" si="502"/>
        <v>0</v>
      </c>
      <c r="EJ341" s="171">
        <f t="shared" ca="1" si="503"/>
        <v>0</v>
      </c>
      <c r="EK341" s="171">
        <f t="shared" ca="1" si="504"/>
        <v>0</v>
      </c>
      <c r="EL341" s="171">
        <f t="shared" ca="1" si="505"/>
        <v>0</v>
      </c>
      <c r="EM341" s="171">
        <f t="shared" ca="1" si="506"/>
        <v>0</v>
      </c>
      <c r="EN341" s="171">
        <f t="shared" ca="1" si="507"/>
        <v>0</v>
      </c>
      <c r="EO341" s="171">
        <f t="shared" ca="1" si="508"/>
        <v>0</v>
      </c>
      <c r="EP341" s="171">
        <f t="shared" ca="1" si="509"/>
        <v>0</v>
      </c>
      <c r="EQ341" s="171">
        <f t="shared" ca="1" si="510"/>
        <v>0</v>
      </c>
      <c r="ER341" s="171">
        <f t="shared" ca="1" si="511"/>
        <v>0</v>
      </c>
      <c r="ES341" s="171">
        <f t="shared" ca="1" si="512"/>
        <v>0</v>
      </c>
    </row>
    <row r="342" spans="3:149">
      <c r="C342" s="214"/>
      <c r="H342" s="216"/>
      <c r="I342" s="217"/>
      <c r="L342" s="163"/>
      <c r="M342" s="164" t="str">
        <f t="shared" si="443"/>
        <v/>
      </c>
      <c r="N342" s="164" t="str">
        <f t="shared" si="444"/>
        <v/>
      </c>
      <c r="O342" s="165" t="str">
        <f t="shared" si="445"/>
        <v/>
      </c>
      <c r="R342" s="168"/>
      <c r="U342" s="171">
        <f t="shared" si="446"/>
        <v>0</v>
      </c>
      <c r="V342" s="171">
        <f t="shared" ca="1" si="447"/>
        <v>0</v>
      </c>
      <c r="W342" s="171">
        <f t="shared" ca="1" si="448"/>
        <v>0</v>
      </c>
      <c r="X342" s="172">
        <f t="shared" si="449"/>
        <v>0</v>
      </c>
      <c r="Y342" s="172" t="str">
        <f t="shared" si="450"/>
        <v/>
      </c>
      <c r="Z342" s="173">
        <f t="shared" si="451"/>
        <v>0</v>
      </c>
      <c r="AA342" s="171">
        <f t="shared" si="531"/>
        <v>0</v>
      </c>
      <c r="AB342" s="171">
        <f t="shared" si="531"/>
        <v>0</v>
      </c>
      <c r="AC342" s="171">
        <f t="shared" si="531"/>
        <v>0</v>
      </c>
      <c r="AD342" s="171">
        <f t="shared" si="531"/>
        <v>0</v>
      </c>
      <c r="AE342" s="171">
        <f t="shared" si="531"/>
        <v>0</v>
      </c>
      <c r="AF342" s="171">
        <f t="shared" si="531"/>
        <v>0</v>
      </c>
      <c r="AG342" s="171">
        <f t="shared" si="531"/>
        <v>0</v>
      </c>
      <c r="AH342" s="171">
        <f t="shared" si="531"/>
        <v>0</v>
      </c>
      <c r="AI342" s="171">
        <f t="shared" si="531"/>
        <v>0</v>
      </c>
      <c r="AJ342" s="171">
        <f t="shared" si="531"/>
        <v>0</v>
      </c>
      <c r="AK342" s="171">
        <f t="shared" si="532"/>
        <v>0</v>
      </c>
      <c r="AL342" s="171">
        <f t="shared" si="532"/>
        <v>0</v>
      </c>
      <c r="AM342" s="171">
        <f t="shared" si="532"/>
        <v>0</v>
      </c>
      <c r="AN342" s="171">
        <f t="shared" si="532"/>
        <v>0</v>
      </c>
      <c r="AO342" s="171">
        <f t="shared" si="532"/>
        <v>0</v>
      </c>
      <c r="AP342" s="171">
        <f t="shared" si="532"/>
        <v>0</v>
      </c>
      <c r="AQ342" s="171">
        <f t="shared" si="532"/>
        <v>0</v>
      </c>
      <c r="AR342" s="171">
        <f t="shared" si="532"/>
        <v>0</v>
      </c>
      <c r="AS342" s="171">
        <f t="shared" si="532"/>
        <v>0</v>
      </c>
      <c r="AT342" s="171">
        <f t="shared" si="532"/>
        <v>0</v>
      </c>
      <c r="AU342" s="171">
        <f t="shared" si="533"/>
        <v>0</v>
      </c>
      <c r="AV342" s="171">
        <f t="shared" si="533"/>
        <v>0</v>
      </c>
      <c r="AW342" s="171">
        <f t="shared" si="533"/>
        <v>0</v>
      </c>
      <c r="AX342" s="171">
        <f t="shared" si="533"/>
        <v>0</v>
      </c>
      <c r="AY342" s="171">
        <f t="shared" si="533"/>
        <v>0</v>
      </c>
      <c r="AZ342" s="171">
        <f t="shared" si="533"/>
        <v>0</v>
      </c>
      <c r="BA342" s="171">
        <f t="shared" si="533"/>
        <v>0</v>
      </c>
      <c r="BB342" s="171">
        <f t="shared" si="533"/>
        <v>0</v>
      </c>
      <c r="BC342" s="171">
        <f t="shared" si="533"/>
        <v>0</v>
      </c>
      <c r="BD342" s="171">
        <f t="shared" si="533"/>
        <v>0</v>
      </c>
      <c r="BE342" s="171">
        <f t="shared" si="534"/>
        <v>0</v>
      </c>
      <c r="BF342" s="171">
        <f t="shared" si="534"/>
        <v>0</v>
      </c>
      <c r="BG342" s="171">
        <f t="shared" si="534"/>
        <v>0</v>
      </c>
      <c r="BH342" s="171">
        <f t="shared" si="534"/>
        <v>0</v>
      </c>
      <c r="BI342" s="171">
        <f t="shared" si="534"/>
        <v>0</v>
      </c>
      <c r="BJ342" s="171">
        <f t="shared" si="534"/>
        <v>0</v>
      </c>
      <c r="BK342" s="171">
        <f t="shared" si="534"/>
        <v>0</v>
      </c>
      <c r="BL342" s="171">
        <f t="shared" si="534"/>
        <v>0</v>
      </c>
      <c r="BM342" s="171">
        <f t="shared" si="534"/>
        <v>0</v>
      </c>
      <c r="BN342" s="171">
        <f t="shared" si="534"/>
        <v>0</v>
      </c>
      <c r="BO342" s="171">
        <f t="shared" si="535"/>
        <v>0</v>
      </c>
      <c r="BP342" s="171">
        <f t="shared" si="535"/>
        <v>0</v>
      </c>
      <c r="BQ342" s="171">
        <f t="shared" si="535"/>
        <v>0</v>
      </c>
      <c r="BR342" s="171">
        <f t="shared" si="535"/>
        <v>0</v>
      </c>
      <c r="BS342" s="171">
        <f t="shared" si="535"/>
        <v>0</v>
      </c>
      <c r="BT342" s="171">
        <f t="shared" si="535"/>
        <v>0</v>
      </c>
      <c r="BU342" s="171">
        <f t="shared" si="535"/>
        <v>0</v>
      </c>
      <c r="BV342" s="171">
        <f t="shared" si="535"/>
        <v>0</v>
      </c>
      <c r="BW342" s="171">
        <f t="shared" si="535"/>
        <v>0</v>
      </c>
      <c r="BX342" s="171">
        <f t="shared" si="535"/>
        <v>0</v>
      </c>
      <c r="BY342" s="171">
        <f t="shared" si="536"/>
        <v>0</v>
      </c>
      <c r="BZ342" s="171">
        <f t="shared" si="536"/>
        <v>0</v>
      </c>
      <c r="CA342" s="171">
        <f t="shared" si="536"/>
        <v>0</v>
      </c>
      <c r="CB342" s="171">
        <f t="shared" si="536"/>
        <v>0</v>
      </c>
      <c r="CC342" s="171">
        <f t="shared" si="536"/>
        <v>0</v>
      </c>
      <c r="CD342" s="171">
        <f t="shared" si="536"/>
        <v>0</v>
      </c>
      <c r="CE342" s="171">
        <f t="shared" si="536"/>
        <v>0</v>
      </c>
      <c r="CF342" s="171">
        <f t="shared" si="536"/>
        <v>0</v>
      </c>
      <c r="CG342" s="171">
        <f t="shared" si="536"/>
        <v>0</v>
      </c>
      <c r="CH342" s="171">
        <f t="shared" si="536"/>
        <v>0</v>
      </c>
      <c r="CI342" s="171">
        <f t="shared" si="536"/>
        <v>0</v>
      </c>
      <c r="CJ342" s="243"/>
      <c r="CK342" s="171">
        <f t="shared" si="452"/>
        <v>0</v>
      </c>
      <c r="CL342" s="171">
        <f t="shared" si="453"/>
        <v>0</v>
      </c>
      <c r="CM342" s="171">
        <f t="shared" si="454"/>
        <v>0</v>
      </c>
      <c r="CN342" s="171">
        <f t="shared" si="455"/>
        <v>0</v>
      </c>
      <c r="CO342" s="171">
        <f t="shared" si="456"/>
        <v>0</v>
      </c>
      <c r="CP342" s="171">
        <f t="shared" si="457"/>
        <v>0</v>
      </c>
      <c r="CQ342" s="171">
        <f t="shared" si="458"/>
        <v>0</v>
      </c>
      <c r="CR342" s="171">
        <f t="shared" si="459"/>
        <v>0</v>
      </c>
      <c r="CS342" s="171">
        <f t="shared" si="460"/>
        <v>0</v>
      </c>
      <c r="CT342" s="171">
        <f t="shared" si="461"/>
        <v>0</v>
      </c>
      <c r="CU342" s="171">
        <f t="shared" si="462"/>
        <v>0</v>
      </c>
      <c r="CV342" s="171">
        <f t="shared" si="463"/>
        <v>0</v>
      </c>
      <c r="CW342" s="171">
        <f t="shared" si="464"/>
        <v>0</v>
      </c>
      <c r="CX342" s="171">
        <f t="shared" si="465"/>
        <v>0</v>
      </c>
      <c r="CY342" s="171">
        <f t="shared" ca="1" si="466"/>
        <v>0</v>
      </c>
      <c r="CZ342" s="171">
        <f t="shared" ca="1" si="467"/>
        <v>0</v>
      </c>
      <c r="DA342" s="171">
        <f t="shared" ca="1" si="468"/>
        <v>0</v>
      </c>
      <c r="DB342" s="171">
        <f t="shared" ca="1" si="469"/>
        <v>0</v>
      </c>
      <c r="DC342" s="171">
        <f t="shared" ca="1" si="470"/>
        <v>0</v>
      </c>
      <c r="DD342" s="171">
        <f t="shared" ca="1" si="471"/>
        <v>0</v>
      </c>
      <c r="DE342" s="171">
        <f t="shared" ca="1" si="472"/>
        <v>0</v>
      </c>
      <c r="DF342" s="171">
        <f t="shared" ca="1" si="473"/>
        <v>0</v>
      </c>
      <c r="DG342" s="171">
        <f t="shared" ca="1" si="474"/>
        <v>0</v>
      </c>
      <c r="DH342" s="171">
        <f t="shared" ca="1" si="475"/>
        <v>0</v>
      </c>
      <c r="DI342" s="171">
        <f t="shared" ca="1" si="476"/>
        <v>0</v>
      </c>
      <c r="DJ342" s="171">
        <f t="shared" ca="1" si="477"/>
        <v>0</v>
      </c>
      <c r="DK342" s="171">
        <f t="shared" ca="1" si="478"/>
        <v>0</v>
      </c>
      <c r="DL342" s="171">
        <f t="shared" ca="1" si="479"/>
        <v>0</v>
      </c>
      <c r="DM342" s="171">
        <f t="shared" ca="1" si="480"/>
        <v>0</v>
      </c>
      <c r="DN342" s="171">
        <f t="shared" ca="1" si="481"/>
        <v>0</v>
      </c>
      <c r="DO342" s="171">
        <f t="shared" ca="1" si="482"/>
        <v>0</v>
      </c>
      <c r="DP342" s="171">
        <f t="shared" ca="1" si="483"/>
        <v>0</v>
      </c>
      <c r="DQ342" s="171">
        <f t="shared" ca="1" si="484"/>
        <v>0</v>
      </c>
      <c r="DR342" s="171">
        <f t="shared" ca="1" si="485"/>
        <v>0</v>
      </c>
      <c r="DS342" s="171">
        <f t="shared" ca="1" si="486"/>
        <v>0</v>
      </c>
      <c r="DT342" s="171">
        <f t="shared" ca="1" si="487"/>
        <v>0</v>
      </c>
      <c r="DU342" s="171">
        <f t="shared" ca="1" si="488"/>
        <v>0</v>
      </c>
      <c r="DV342" s="171">
        <f t="shared" ca="1" si="489"/>
        <v>0</v>
      </c>
      <c r="DW342" s="171">
        <f t="shared" ca="1" si="490"/>
        <v>0</v>
      </c>
      <c r="DX342" s="171">
        <f t="shared" ca="1" si="491"/>
        <v>0</v>
      </c>
      <c r="DY342" s="171">
        <f t="shared" ca="1" si="492"/>
        <v>0</v>
      </c>
      <c r="DZ342" s="171">
        <f t="shared" ca="1" si="493"/>
        <v>0</v>
      </c>
      <c r="EA342" s="171">
        <f t="shared" ca="1" si="494"/>
        <v>0</v>
      </c>
      <c r="EB342" s="171">
        <f t="shared" ca="1" si="495"/>
        <v>0</v>
      </c>
      <c r="EC342" s="171">
        <f t="shared" ca="1" si="496"/>
        <v>0</v>
      </c>
      <c r="ED342" s="171">
        <f t="shared" ca="1" si="497"/>
        <v>0</v>
      </c>
      <c r="EE342" s="171">
        <f t="shared" ca="1" si="498"/>
        <v>0</v>
      </c>
      <c r="EF342" s="171">
        <f t="shared" ca="1" si="499"/>
        <v>0</v>
      </c>
      <c r="EG342" s="171">
        <f t="shared" ca="1" si="500"/>
        <v>0</v>
      </c>
      <c r="EH342" s="171">
        <f t="shared" ca="1" si="501"/>
        <v>0</v>
      </c>
      <c r="EI342" s="171">
        <f t="shared" ca="1" si="502"/>
        <v>0</v>
      </c>
      <c r="EJ342" s="171">
        <f t="shared" ca="1" si="503"/>
        <v>0</v>
      </c>
      <c r="EK342" s="171">
        <f t="shared" ca="1" si="504"/>
        <v>0</v>
      </c>
      <c r="EL342" s="171">
        <f t="shared" ca="1" si="505"/>
        <v>0</v>
      </c>
      <c r="EM342" s="171">
        <f t="shared" ca="1" si="506"/>
        <v>0</v>
      </c>
      <c r="EN342" s="171">
        <f t="shared" ca="1" si="507"/>
        <v>0</v>
      </c>
      <c r="EO342" s="171">
        <f t="shared" ca="1" si="508"/>
        <v>0</v>
      </c>
      <c r="EP342" s="171">
        <f t="shared" ca="1" si="509"/>
        <v>0</v>
      </c>
      <c r="EQ342" s="171">
        <f t="shared" ca="1" si="510"/>
        <v>0</v>
      </c>
      <c r="ER342" s="171">
        <f t="shared" ca="1" si="511"/>
        <v>0</v>
      </c>
      <c r="ES342" s="171">
        <f t="shared" ca="1" si="512"/>
        <v>0</v>
      </c>
    </row>
    <row r="343" spans="3:149">
      <c r="C343" s="214"/>
      <c r="H343" s="216"/>
      <c r="I343" s="217"/>
      <c r="L343" s="163"/>
      <c r="M343" s="164" t="str">
        <f t="shared" si="443"/>
        <v/>
      </c>
      <c r="N343" s="164" t="str">
        <f t="shared" si="444"/>
        <v/>
      </c>
      <c r="O343" s="165" t="str">
        <f t="shared" si="445"/>
        <v/>
      </c>
      <c r="R343" s="168"/>
      <c r="U343" s="171">
        <f t="shared" si="446"/>
        <v>0</v>
      </c>
      <c r="V343" s="171">
        <f t="shared" ca="1" si="447"/>
        <v>0</v>
      </c>
      <c r="W343" s="171">
        <f t="shared" ca="1" si="448"/>
        <v>0</v>
      </c>
      <c r="X343" s="172">
        <f t="shared" si="449"/>
        <v>0</v>
      </c>
      <c r="Y343" s="172" t="str">
        <f t="shared" si="450"/>
        <v/>
      </c>
      <c r="Z343" s="173">
        <f t="shared" si="451"/>
        <v>0</v>
      </c>
      <c r="AA343" s="171">
        <f t="shared" si="531"/>
        <v>0</v>
      </c>
      <c r="AB343" s="171">
        <f t="shared" si="531"/>
        <v>0</v>
      </c>
      <c r="AC343" s="171">
        <f t="shared" si="531"/>
        <v>0</v>
      </c>
      <c r="AD343" s="171">
        <f t="shared" si="531"/>
        <v>0</v>
      </c>
      <c r="AE343" s="171">
        <f t="shared" si="531"/>
        <v>0</v>
      </c>
      <c r="AF343" s="171">
        <f t="shared" si="531"/>
        <v>0</v>
      </c>
      <c r="AG343" s="171">
        <f t="shared" si="531"/>
        <v>0</v>
      </c>
      <c r="AH343" s="171">
        <f t="shared" si="531"/>
        <v>0</v>
      </c>
      <c r="AI343" s="171">
        <f t="shared" si="531"/>
        <v>0</v>
      </c>
      <c r="AJ343" s="171">
        <f t="shared" si="531"/>
        <v>0</v>
      </c>
      <c r="AK343" s="171">
        <f t="shared" si="532"/>
        <v>0</v>
      </c>
      <c r="AL343" s="171">
        <f t="shared" si="532"/>
        <v>0</v>
      </c>
      <c r="AM343" s="171">
        <f t="shared" si="532"/>
        <v>0</v>
      </c>
      <c r="AN343" s="171">
        <f t="shared" si="532"/>
        <v>0</v>
      </c>
      <c r="AO343" s="171">
        <f t="shared" si="532"/>
        <v>0</v>
      </c>
      <c r="AP343" s="171">
        <f t="shared" si="532"/>
        <v>0</v>
      </c>
      <c r="AQ343" s="171">
        <f t="shared" si="532"/>
        <v>0</v>
      </c>
      <c r="AR343" s="171">
        <f t="shared" si="532"/>
        <v>0</v>
      </c>
      <c r="AS343" s="171">
        <f t="shared" si="532"/>
        <v>0</v>
      </c>
      <c r="AT343" s="171">
        <f t="shared" si="532"/>
        <v>0</v>
      </c>
      <c r="AU343" s="171">
        <f t="shared" si="533"/>
        <v>0</v>
      </c>
      <c r="AV343" s="171">
        <f t="shared" si="533"/>
        <v>0</v>
      </c>
      <c r="AW343" s="171">
        <f t="shared" si="533"/>
        <v>0</v>
      </c>
      <c r="AX343" s="171">
        <f t="shared" si="533"/>
        <v>0</v>
      </c>
      <c r="AY343" s="171">
        <f t="shared" si="533"/>
        <v>0</v>
      </c>
      <c r="AZ343" s="171">
        <f t="shared" si="533"/>
        <v>0</v>
      </c>
      <c r="BA343" s="171">
        <f t="shared" si="533"/>
        <v>0</v>
      </c>
      <c r="BB343" s="171">
        <f t="shared" si="533"/>
        <v>0</v>
      </c>
      <c r="BC343" s="171">
        <f t="shared" si="533"/>
        <v>0</v>
      </c>
      <c r="BD343" s="171">
        <f t="shared" si="533"/>
        <v>0</v>
      </c>
      <c r="BE343" s="171">
        <f t="shared" si="534"/>
        <v>0</v>
      </c>
      <c r="BF343" s="171">
        <f t="shared" si="534"/>
        <v>0</v>
      </c>
      <c r="BG343" s="171">
        <f t="shared" si="534"/>
        <v>0</v>
      </c>
      <c r="BH343" s="171">
        <f t="shared" si="534"/>
        <v>0</v>
      </c>
      <c r="BI343" s="171">
        <f t="shared" si="534"/>
        <v>0</v>
      </c>
      <c r="BJ343" s="171">
        <f t="shared" si="534"/>
        <v>0</v>
      </c>
      <c r="BK343" s="171">
        <f t="shared" si="534"/>
        <v>0</v>
      </c>
      <c r="BL343" s="171">
        <f t="shared" si="534"/>
        <v>0</v>
      </c>
      <c r="BM343" s="171">
        <f t="shared" si="534"/>
        <v>0</v>
      </c>
      <c r="BN343" s="171">
        <f t="shared" si="534"/>
        <v>0</v>
      </c>
      <c r="BO343" s="171">
        <f t="shared" si="535"/>
        <v>0</v>
      </c>
      <c r="BP343" s="171">
        <f t="shared" si="535"/>
        <v>0</v>
      </c>
      <c r="BQ343" s="171">
        <f t="shared" si="535"/>
        <v>0</v>
      </c>
      <c r="BR343" s="171">
        <f t="shared" si="535"/>
        <v>0</v>
      </c>
      <c r="BS343" s="171">
        <f t="shared" si="535"/>
        <v>0</v>
      </c>
      <c r="BT343" s="171">
        <f t="shared" si="535"/>
        <v>0</v>
      </c>
      <c r="BU343" s="171">
        <f t="shared" si="535"/>
        <v>0</v>
      </c>
      <c r="BV343" s="171">
        <f t="shared" si="535"/>
        <v>0</v>
      </c>
      <c r="BW343" s="171">
        <f t="shared" si="535"/>
        <v>0</v>
      </c>
      <c r="BX343" s="171">
        <f t="shared" si="535"/>
        <v>0</v>
      </c>
      <c r="BY343" s="171">
        <f t="shared" si="536"/>
        <v>0</v>
      </c>
      <c r="BZ343" s="171">
        <f t="shared" si="536"/>
        <v>0</v>
      </c>
      <c r="CA343" s="171">
        <f t="shared" si="536"/>
        <v>0</v>
      </c>
      <c r="CB343" s="171">
        <f t="shared" si="536"/>
        <v>0</v>
      </c>
      <c r="CC343" s="171">
        <f t="shared" si="536"/>
        <v>0</v>
      </c>
      <c r="CD343" s="171">
        <f t="shared" si="536"/>
        <v>0</v>
      </c>
      <c r="CE343" s="171">
        <f t="shared" si="536"/>
        <v>0</v>
      </c>
      <c r="CF343" s="171">
        <f t="shared" si="536"/>
        <v>0</v>
      </c>
      <c r="CG343" s="171">
        <f t="shared" si="536"/>
        <v>0</v>
      </c>
      <c r="CH343" s="171">
        <f t="shared" si="536"/>
        <v>0</v>
      </c>
      <c r="CI343" s="171">
        <f t="shared" si="536"/>
        <v>0</v>
      </c>
      <c r="CJ343" s="243"/>
      <c r="CK343" s="171">
        <f t="shared" si="452"/>
        <v>0</v>
      </c>
      <c r="CL343" s="171">
        <f t="shared" si="453"/>
        <v>0</v>
      </c>
      <c r="CM343" s="171">
        <f t="shared" si="454"/>
        <v>0</v>
      </c>
      <c r="CN343" s="171">
        <f t="shared" si="455"/>
        <v>0</v>
      </c>
      <c r="CO343" s="171">
        <f t="shared" si="456"/>
        <v>0</v>
      </c>
      <c r="CP343" s="171">
        <f t="shared" si="457"/>
        <v>0</v>
      </c>
      <c r="CQ343" s="171">
        <f t="shared" si="458"/>
        <v>0</v>
      </c>
      <c r="CR343" s="171">
        <f t="shared" si="459"/>
        <v>0</v>
      </c>
      <c r="CS343" s="171">
        <f t="shared" si="460"/>
        <v>0</v>
      </c>
      <c r="CT343" s="171">
        <f t="shared" si="461"/>
        <v>0</v>
      </c>
      <c r="CU343" s="171">
        <f t="shared" si="462"/>
        <v>0</v>
      </c>
      <c r="CV343" s="171">
        <f t="shared" si="463"/>
        <v>0</v>
      </c>
      <c r="CW343" s="171">
        <f t="shared" si="464"/>
        <v>0</v>
      </c>
      <c r="CX343" s="171">
        <f t="shared" si="465"/>
        <v>0</v>
      </c>
      <c r="CY343" s="171">
        <f t="shared" ca="1" si="466"/>
        <v>0</v>
      </c>
      <c r="CZ343" s="171">
        <f t="shared" ca="1" si="467"/>
        <v>0</v>
      </c>
      <c r="DA343" s="171">
        <f t="shared" ca="1" si="468"/>
        <v>0</v>
      </c>
      <c r="DB343" s="171">
        <f t="shared" ca="1" si="469"/>
        <v>0</v>
      </c>
      <c r="DC343" s="171">
        <f t="shared" ca="1" si="470"/>
        <v>0</v>
      </c>
      <c r="DD343" s="171">
        <f t="shared" ca="1" si="471"/>
        <v>0</v>
      </c>
      <c r="DE343" s="171">
        <f t="shared" ca="1" si="472"/>
        <v>0</v>
      </c>
      <c r="DF343" s="171">
        <f t="shared" ca="1" si="473"/>
        <v>0</v>
      </c>
      <c r="DG343" s="171">
        <f t="shared" ca="1" si="474"/>
        <v>0</v>
      </c>
      <c r="DH343" s="171">
        <f t="shared" ca="1" si="475"/>
        <v>0</v>
      </c>
      <c r="DI343" s="171">
        <f t="shared" ca="1" si="476"/>
        <v>0</v>
      </c>
      <c r="DJ343" s="171">
        <f t="shared" ca="1" si="477"/>
        <v>0</v>
      </c>
      <c r="DK343" s="171">
        <f t="shared" ca="1" si="478"/>
        <v>0</v>
      </c>
      <c r="DL343" s="171">
        <f t="shared" ca="1" si="479"/>
        <v>0</v>
      </c>
      <c r="DM343" s="171">
        <f t="shared" ca="1" si="480"/>
        <v>0</v>
      </c>
      <c r="DN343" s="171">
        <f t="shared" ca="1" si="481"/>
        <v>0</v>
      </c>
      <c r="DO343" s="171">
        <f t="shared" ca="1" si="482"/>
        <v>0</v>
      </c>
      <c r="DP343" s="171">
        <f t="shared" ca="1" si="483"/>
        <v>0</v>
      </c>
      <c r="DQ343" s="171">
        <f t="shared" ca="1" si="484"/>
        <v>0</v>
      </c>
      <c r="DR343" s="171">
        <f t="shared" ca="1" si="485"/>
        <v>0</v>
      </c>
      <c r="DS343" s="171">
        <f t="shared" ca="1" si="486"/>
        <v>0</v>
      </c>
      <c r="DT343" s="171">
        <f t="shared" ca="1" si="487"/>
        <v>0</v>
      </c>
      <c r="DU343" s="171">
        <f t="shared" ca="1" si="488"/>
        <v>0</v>
      </c>
      <c r="DV343" s="171">
        <f t="shared" ca="1" si="489"/>
        <v>0</v>
      </c>
      <c r="DW343" s="171">
        <f t="shared" ca="1" si="490"/>
        <v>0</v>
      </c>
      <c r="DX343" s="171">
        <f t="shared" ca="1" si="491"/>
        <v>0</v>
      </c>
      <c r="DY343" s="171">
        <f t="shared" ca="1" si="492"/>
        <v>0</v>
      </c>
      <c r="DZ343" s="171">
        <f t="shared" ca="1" si="493"/>
        <v>0</v>
      </c>
      <c r="EA343" s="171">
        <f t="shared" ca="1" si="494"/>
        <v>0</v>
      </c>
      <c r="EB343" s="171">
        <f t="shared" ca="1" si="495"/>
        <v>0</v>
      </c>
      <c r="EC343" s="171">
        <f t="shared" ca="1" si="496"/>
        <v>0</v>
      </c>
      <c r="ED343" s="171">
        <f t="shared" ca="1" si="497"/>
        <v>0</v>
      </c>
      <c r="EE343" s="171">
        <f t="shared" ca="1" si="498"/>
        <v>0</v>
      </c>
      <c r="EF343" s="171">
        <f t="shared" ca="1" si="499"/>
        <v>0</v>
      </c>
      <c r="EG343" s="171">
        <f t="shared" ca="1" si="500"/>
        <v>0</v>
      </c>
      <c r="EH343" s="171">
        <f t="shared" ca="1" si="501"/>
        <v>0</v>
      </c>
      <c r="EI343" s="171">
        <f t="shared" ca="1" si="502"/>
        <v>0</v>
      </c>
      <c r="EJ343" s="171">
        <f t="shared" ca="1" si="503"/>
        <v>0</v>
      </c>
      <c r="EK343" s="171">
        <f t="shared" ca="1" si="504"/>
        <v>0</v>
      </c>
      <c r="EL343" s="171">
        <f t="shared" ca="1" si="505"/>
        <v>0</v>
      </c>
      <c r="EM343" s="171">
        <f t="shared" ca="1" si="506"/>
        <v>0</v>
      </c>
      <c r="EN343" s="171">
        <f t="shared" ca="1" si="507"/>
        <v>0</v>
      </c>
      <c r="EO343" s="171">
        <f t="shared" ca="1" si="508"/>
        <v>0</v>
      </c>
      <c r="EP343" s="171">
        <f t="shared" ca="1" si="509"/>
        <v>0</v>
      </c>
      <c r="EQ343" s="171">
        <f t="shared" ca="1" si="510"/>
        <v>0</v>
      </c>
      <c r="ER343" s="171">
        <f t="shared" ca="1" si="511"/>
        <v>0</v>
      </c>
      <c r="ES343" s="171">
        <f t="shared" ca="1" si="512"/>
        <v>0</v>
      </c>
    </row>
    <row r="344" spans="3:149">
      <c r="C344" s="214"/>
      <c r="H344" s="216"/>
      <c r="I344" s="217"/>
      <c r="L344" s="163"/>
      <c r="M344" s="164" t="str">
        <f t="shared" si="443"/>
        <v/>
      </c>
      <c r="N344" s="164" t="str">
        <f t="shared" si="444"/>
        <v/>
      </c>
      <c r="O344" s="165" t="str">
        <f t="shared" si="445"/>
        <v/>
      </c>
      <c r="R344" s="168"/>
      <c r="U344" s="171">
        <f t="shared" si="446"/>
        <v>0</v>
      </c>
      <c r="V344" s="171">
        <f t="shared" ca="1" si="447"/>
        <v>0</v>
      </c>
      <c r="W344" s="171">
        <f t="shared" ca="1" si="448"/>
        <v>0</v>
      </c>
      <c r="X344" s="172">
        <f t="shared" si="449"/>
        <v>0</v>
      </c>
      <c r="Y344" s="172" t="str">
        <f t="shared" si="450"/>
        <v/>
      </c>
      <c r="Z344" s="173">
        <f t="shared" si="451"/>
        <v>0</v>
      </c>
      <c r="AA344" s="171">
        <f t="shared" si="531"/>
        <v>0</v>
      </c>
      <c r="AB344" s="171">
        <f t="shared" si="531"/>
        <v>0</v>
      </c>
      <c r="AC344" s="171">
        <f t="shared" si="531"/>
        <v>0</v>
      </c>
      <c r="AD344" s="171">
        <f t="shared" si="531"/>
        <v>0</v>
      </c>
      <c r="AE344" s="171">
        <f t="shared" si="531"/>
        <v>0</v>
      </c>
      <c r="AF344" s="171">
        <f t="shared" si="531"/>
        <v>0</v>
      </c>
      <c r="AG344" s="171">
        <f t="shared" si="531"/>
        <v>0</v>
      </c>
      <c r="AH344" s="171">
        <f t="shared" si="531"/>
        <v>0</v>
      </c>
      <c r="AI344" s="171">
        <f t="shared" si="531"/>
        <v>0</v>
      </c>
      <c r="AJ344" s="171">
        <f t="shared" si="531"/>
        <v>0</v>
      </c>
      <c r="AK344" s="171">
        <f t="shared" si="532"/>
        <v>0</v>
      </c>
      <c r="AL344" s="171">
        <f t="shared" si="532"/>
        <v>0</v>
      </c>
      <c r="AM344" s="171">
        <f t="shared" si="532"/>
        <v>0</v>
      </c>
      <c r="AN344" s="171">
        <f t="shared" si="532"/>
        <v>0</v>
      </c>
      <c r="AO344" s="171">
        <f t="shared" si="532"/>
        <v>0</v>
      </c>
      <c r="AP344" s="171">
        <f t="shared" si="532"/>
        <v>0</v>
      </c>
      <c r="AQ344" s="171">
        <f t="shared" si="532"/>
        <v>0</v>
      </c>
      <c r="AR344" s="171">
        <f t="shared" si="532"/>
        <v>0</v>
      </c>
      <c r="AS344" s="171">
        <f t="shared" si="532"/>
        <v>0</v>
      </c>
      <c r="AT344" s="171">
        <f t="shared" si="532"/>
        <v>0</v>
      </c>
      <c r="AU344" s="171">
        <f t="shared" si="533"/>
        <v>0</v>
      </c>
      <c r="AV344" s="171">
        <f t="shared" si="533"/>
        <v>0</v>
      </c>
      <c r="AW344" s="171">
        <f t="shared" si="533"/>
        <v>0</v>
      </c>
      <c r="AX344" s="171">
        <f t="shared" si="533"/>
        <v>0</v>
      </c>
      <c r="AY344" s="171">
        <f t="shared" si="533"/>
        <v>0</v>
      </c>
      <c r="AZ344" s="171">
        <f t="shared" si="533"/>
        <v>0</v>
      </c>
      <c r="BA344" s="171">
        <f t="shared" si="533"/>
        <v>0</v>
      </c>
      <c r="BB344" s="171">
        <f t="shared" si="533"/>
        <v>0</v>
      </c>
      <c r="BC344" s="171">
        <f t="shared" si="533"/>
        <v>0</v>
      </c>
      <c r="BD344" s="171">
        <f t="shared" si="533"/>
        <v>0</v>
      </c>
      <c r="BE344" s="171">
        <f t="shared" si="534"/>
        <v>0</v>
      </c>
      <c r="BF344" s="171">
        <f t="shared" si="534"/>
        <v>0</v>
      </c>
      <c r="BG344" s="171">
        <f t="shared" si="534"/>
        <v>0</v>
      </c>
      <c r="BH344" s="171">
        <f t="shared" si="534"/>
        <v>0</v>
      </c>
      <c r="BI344" s="171">
        <f t="shared" si="534"/>
        <v>0</v>
      </c>
      <c r="BJ344" s="171">
        <f t="shared" si="534"/>
        <v>0</v>
      </c>
      <c r="BK344" s="171">
        <f t="shared" si="534"/>
        <v>0</v>
      </c>
      <c r="BL344" s="171">
        <f t="shared" si="534"/>
        <v>0</v>
      </c>
      <c r="BM344" s="171">
        <f t="shared" si="534"/>
        <v>0</v>
      </c>
      <c r="BN344" s="171">
        <f t="shared" si="534"/>
        <v>0</v>
      </c>
      <c r="BO344" s="171">
        <f t="shared" si="535"/>
        <v>0</v>
      </c>
      <c r="BP344" s="171">
        <f t="shared" si="535"/>
        <v>0</v>
      </c>
      <c r="BQ344" s="171">
        <f t="shared" si="535"/>
        <v>0</v>
      </c>
      <c r="BR344" s="171">
        <f t="shared" si="535"/>
        <v>0</v>
      </c>
      <c r="BS344" s="171">
        <f t="shared" si="535"/>
        <v>0</v>
      </c>
      <c r="BT344" s="171">
        <f t="shared" si="535"/>
        <v>0</v>
      </c>
      <c r="BU344" s="171">
        <f t="shared" si="535"/>
        <v>0</v>
      </c>
      <c r="BV344" s="171">
        <f t="shared" si="535"/>
        <v>0</v>
      </c>
      <c r="BW344" s="171">
        <f t="shared" si="535"/>
        <v>0</v>
      </c>
      <c r="BX344" s="171">
        <f t="shared" si="535"/>
        <v>0</v>
      </c>
      <c r="BY344" s="171">
        <f t="shared" si="536"/>
        <v>0</v>
      </c>
      <c r="BZ344" s="171">
        <f t="shared" si="536"/>
        <v>0</v>
      </c>
      <c r="CA344" s="171">
        <f t="shared" si="536"/>
        <v>0</v>
      </c>
      <c r="CB344" s="171">
        <f t="shared" si="536"/>
        <v>0</v>
      </c>
      <c r="CC344" s="171">
        <f t="shared" si="536"/>
        <v>0</v>
      </c>
      <c r="CD344" s="171">
        <f t="shared" si="536"/>
        <v>0</v>
      </c>
      <c r="CE344" s="171">
        <f t="shared" si="536"/>
        <v>0</v>
      </c>
      <c r="CF344" s="171">
        <f t="shared" si="536"/>
        <v>0</v>
      </c>
      <c r="CG344" s="171">
        <f t="shared" si="536"/>
        <v>0</v>
      </c>
      <c r="CH344" s="171">
        <f t="shared" si="536"/>
        <v>0</v>
      </c>
      <c r="CI344" s="171">
        <f t="shared" si="536"/>
        <v>0</v>
      </c>
      <c r="CJ344" s="243"/>
      <c r="CK344" s="171">
        <f t="shared" si="452"/>
        <v>0</v>
      </c>
      <c r="CL344" s="171">
        <f t="shared" si="453"/>
        <v>0</v>
      </c>
      <c r="CM344" s="171">
        <f t="shared" si="454"/>
        <v>0</v>
      </c>
      <c r="CN344" s="171">
        <f t="shared" si="455"/>
        <v>0</v>
      </c>
      <c r="CO344" s="171">
        <f t="shared" si="456"/>
        <v>0</v>
      </c>
      <c r="CP344" s="171">
        <f t="shared" si="457"/>
        <v>0</v>
      </c>
      <c r="CQ344" s="171">
        <f t="shared" si="458"/>
        <v>0</v>
      </c>
      <c r="CR344" s="171">
        <f t="shared" si="459"/>
        <v>0</v>
      </c>
      <c r="CS344" s="171">
        <f t="shared" si="460"/>
        <v>0</v>
      </c>
      <c r="CT344" s="171">
        <f t="shared" si="461"/>
        <v>0</v>
      </c>
      <c r="CU344" s="171">
        <f t="shared" si="462"/>
        <v>0</v>
      </c>
      <c r="CV344" s="171">
        <f t="shared" si="463"/>
        <v>0</v>
      </c>
      <c r="CW344" s="171">
        <f t="shared" si="464"/>
        <v>0</v>
      </c>
      <c r="CX344" s="171">
        <f t="shared" si="465"/>
        <v>0</v>
      </c>
      <c r="CY344" s="171">
        <f t="shared" ca="1" si="466"/>
        <v>0</v>
      </c>
      <c r="CZ344" s="171">
        <f t="shared" ca="1" si="467"/>
        <v>0</v>
      </c>
      <c r="DA344" s="171">
        <f t="shared" ca="1" si="468"/>
        <v>0</v>
      </c>
      <c r="DB344" s="171">
        <f t="shared" ca="1" si="469"/>
        <v>0</v>
      </c>
      <c r="DC344" s="171">
        <f t="shared" ca="1" si="470"/>
        <v>0</v>
      </c>
      <c r="DD344" s="171">
        <f t="shared" ca="1" si="471"/>
        <v>0</v>
      </c>
      <c r="DE344" s="171">
        <f t="shared" ca="1" si="472"/>
        <v>0</v>
      </c>
      <c r="DF344" s="171">
        <f t="shared" ca="1" si="473"/>
        <v>0</v>
      </c>
      <c r="DG344" s="171">
        <f t="shared" ca="1" si="474"/>
        <v>0</v>
      </c>
      <c r="DH344" s="171">
        <f t="shared" ca="1" si="475"/>
        <v>0</v>
      </c>
      <c r="DI344" s="171">
        <f t="shared" ca="1" si="476"/>
        <v>0</v>
      </c>
      <c r="DJ344" s="171">
        <f t="shared" ca="1" si="477"/>
        <v>0</v>
      </c>
      <c r="DK344" s="171">
        <f t="shared" ca="1" si="478"/>
        <v>0</v>
      </c>
      <c r="DL344" s="171">
        <f t="shared" ca="1" si="479"/>
        <v>0</v>
      </c>
      <c r="DM344" s="171">
        <f t="shared" ca="1" si="480"/>
        <v>0</v>
      </c>
      <c r="DN344" s="171">
        <f t="shared" ca="1" si="481"/>
        <v>0</v>
      </c>
      <c r="DO344" s="171">
        <f t="shared" ca="1" si="482"/>
        <v>0</v>
      </c>
      <c r="DP344" s="171">
        <f t="shared" ca="1" si="483"/>
        <v>0</v>
      </c>
      <c r="DQ344" s="171">
        <f t="shared" ca="1" si="484"/>
        <v>0</v>
      </c>
      <c r="DR344" s="171">
        <f t="shared" ca="1" si="485"/>
        <v>0</v>
      </c>
      <c r="DS344" s="171">
        <f t="shared" ca="1" si="486"/>
        <v>0</v>
      </c>
      <c r="DT344" s="171">
        <f t="shared" ca="1" si="487"/>
        <v>0</v>
      </c>
      <c r="DU344" s="171">
        <f t="shared" ca="1" si="488"/>
        <v>0</v>
      </c>
      <c r="DV344" s="171">
        <f t="shared" ca="1" si="489"/>
        <v>0</v>
      </c>
      <c r="DW344" s="171">
        <f t="shared" ca="1" si="490"/>
        <v>0</v>
      </c>
      <c r="DX344" s="171">
        <f t="shared" ca="1" si="491"/>
        <v>0</v>
      </c>
      <c r="DY344" s="171">
        <f t="shared" ca="1" si="492"/>
        <v>0</v>
      </c>
      <c r="DZ344" s="171">
        <f t="shared" ca="1" si="493"/>
        <v>0</v>
      </c>
      <c r="EA344" s="171">
        <f t="shared" ca="1" si="494"/>
        <v>0</v>
      </c>
      <c r="EB344" s="171">
        <f t="shared" ca="1" si="495"/>
        <v>0</v>
      </c>
      <c r="EC344" s="171">
        <f t="shared" ca="1" si="496"/>
        <v>0</v>
      </c>
      <c r="ED344" s="171">
        <f t="shared" ca="1" si="497"/>
        <v>0</v>
      </c>
      <c r="EE344" s="171">
        <f t="shared" ca="1" si="498"/>
        <v>0</v>
      </c>
      <c r="EF344" s="171">
        <f t="shared" ca="1" si="499"/>
        <v>0</v>
      </c>
      <c r="EG344" s="171">
        <f t="shared" ca="1" si="500"/>
        <v>0</v>
      </c>
      <c r="EH344" s="171">
        <f t="shared" ca="1" si="501"/>
        <v>0</v>
      </c>
      <c r="EI344" s="171">
        <f t="shared" ca="1" si="502"/>
        <v>0</v>
      </c>
      <c r="EJ344" s="171">
        <f t="shared" ca="1" si="503"/>
        <v>0</v>
      </c>
      <c r="EK344" s="171">
        <f t="shared" ca="1" si="504"/>
        <v>0</v>
      </c>
      <c r="EL344" s="171">
        <f t="shared" ca="1" si="505"/>
        <v>0</v>
      </c>
      <c r="EM344" s="171">
        <f t="shared" ca="1" si="506"/>
        <v>0</v>
      </c>
      <c r="EN344" s="171">
        <f t="shared" ca="1" si="507"/>
        <v>0</v>
      </c>
      <c r="EO344" s="171">
        <f t="shared" ca="1" si="508"/>
        <v>0</v>
      </c>
      <c r="EP344" s="171">
        <f t="shared" ca="1" si="509"/>
        <v>0</v>
      </c>
      <c r="EQ344" s="171">
        <f t="shared" ca="1" si="510"/>
        <v>0</v>
      </c>
      <c r="ER344" s="171">
        <f t="shared" ca="1" si="511"/>
        <v>0</v>
      </c>
      <c r="ES344" s="171">
        <f t="shared" ca="1" si="512"/>
        <v>0</v>
      </c>
    </row>
    <row r="345" spans="3:149">
      <c r="C345" s="214"/>
      <c r="H345" s="216"/>
      <c r="I345" s="217"/>
      <c r="L345" s="163"/>
      <c r="M345" s="164" t="str">
        <f t="shared" si="443"/>
        <v/>
      </c>
      <c r="N345" s="164" t="str">
        <f t="shared" si="444"/>
        <v/>
      </c>
      <c r="O345" s="165" t="str">
        <f t="shared" si="445"/>
        <v/>
      </c>
      <c r="R345" s="168"/>
      <c r="U345" s="171">
        <f t="shared" si="446"/>
        <v>0</v>
      </c>
      <c r="V345" s="171">
        <f t="shared" ca="1" si="447"/>
        <v>0</v>
      </c>
      <c r="W345" s="171">
        <f t="shared" ca="1" si="448"/>
        <v>0</v>
      </c>
      <c r="X345" s="172">
        <f t="shared" si="449"/>
        <v>0</v>
      </c>
      <c r="Y345" s="172" t="str">
        <f t="shared" si="450"/>
        <v/>
      </c>
      <c r="Z345" s="173">
        <f t="shared" si="451"/>
        <v>0</v>
      </c>
      <c r="AA345" s="171">
        <f t="shared" si="531"/>
        <v>0</v>
      </c>
      <c r="AB345" s="171">
        <f t="shared" si="531"/>
        <v>0</v>
      </c>
      <c r="AC345" s="171">
        <f t="shared" si="531"/>
        <v>0</v>
      </c>
      <c r="AD345" s="171">
        <f t="shared" si="531"/>
        <v>0</v>
      </c>
      <c r="AE345" s="171">
        <f t="shared" si="531"/>
        <v>0</v>
      </c>
      <c r="AF345" s="171">
        <f t="shared" si="531"/>
        <v>0</v>
      </c>
      <c r="AG345" s="171">
        <f t="shared" si="531"/>
        <v>0</v>
      </c>
      <c r="AH345" s="171">
        <f t="shared" si="531"/>
        <v>0</v>
      </c>
      <c r="AI345" s="171">
        <f t="shared" si="531"/>
        <v>0</v>
      </c>
      <c r="AJ345" s="171">
        <f t="shared" si="531"/>
        <v>0</v>
      </c>
      <c r="AK345" s="171">
        <f t="shared" si="532"/>
        <v>0</v>
      </c>
      <c r="AL345" s="171">
        <f t="shared" si="532"/>
        <v>0</v>
      </c>
      <c r="AM345" s="171">
        <f t="shared" si="532"/>
        <v>0</v>
      </c>
      <c r="AN345" s="171">
        <f t="shared" si="532"/>
        <v>0</v>
      </c>
      <c r="AO345" s="171">
        <f t="shared" si="532"/>
        <v>0</v>
      </c>
      <c r="AP345" s="171">
        <f t="shared" si="532"/>
        <v>0</v>
      </c>
      <c r="AQ345" s="171">
        <f t="shared" si="532"/>
        <v>0</v>
      </c>
      <c r="AR345" s="171">
        <f t="shared" si="532"/>
        <v>0</v>
      </c>
      <c r="AS345" s="171">
        <f t="shared" si="532"/>
        <v>0</v>
      </c>
      <c r="AT345" s="171">
        <f t="shared" si="532"/>
        <v>0</v>
      </c>
      <c r="AU345" s="171">
        <f t="shared" si="533"/>
        <v>0</v>
      </c>
      <c r="AV345" s="171">
        <f t="shared" si="533"/>
        <v>0</v>
      </c>
      <c r="AW345" s="171">
        <f t="shared" si="533"/>
        <v>0</v>
      </c>
      <c r="AX345" s="171">
        <f t="shared" si="533"/>
        <v>0</v>
      </c>
      <c r="AY345" s="171">
        <f t="shared" si="533"/>
        <v>0</v>
      </c>
      <c r="AZ345" s="171">
        <f t="shared" si="533"/>
        <v>0</v>
      </c>
      <c r="BA345" s="171">
        <f t="shared" si="533"/>
        <v>0</v>
      </c>
      <c r="BB345" s="171">
        <f t="shared" si="533"/>
        <v>0</v>
      </c>
      <c r="BC345" s="171">
        <f t="shared" si="533"/>
        <v>0</v>
      </c>
      <c r="BD345" s="171">
        <f t="shared" si="533"/>
        <v>0</v>
      </c>
      <c r="BE345" s="171">
        <f t="shared" si="534"/>
        <v>0</v>
      </c>
      <c r="BF345" s="171">
        <f t="shared" si="534"/>
        <v>0</v>
      </c>
      <c r="BG345" s="171">
        <f t="shared" si="534"/>
        <v>0</v>
      </c>
      <c r="BH345" s="171">
        <f t="shared" si="534"/>
        <v>0</v>
      </c>
      <c r="BI345" s="171">
        <f t="shared" si="534"/>
        <v>0</v>
      </c>
      <c r="BJ345" s="171">
        <f t="shared" si="534"/>
        <v>0</v>
      </c>
      <c r="BK345" s="171">
        <f t="shared" si="534"/>
        <v>0</v>
      </c>
      <c r="BL345" s="171">
        <f t="shared" si="534"/>
        <v>0</v>
      </c>
      <c r="BM345" s="171">
        <f t="shared" si="534"/>
        <v>0</v>
      </c>
      <c r="BN345" s="171">
        <f t="shared" si="534"/>
        <v>0</v>
      </c>
      <c r="BO345" s="171">
        <f t="shared" si="535"/>
        <v>0</v>
      </c>
      <c r="BP345" s="171">
        <f t="shared" si="535"/>
        <v>0</v>
      </c>
      <c r="BQ345" s="171">
        <f t="shared" si="535"/>
        <v>0</v>
      </c>
      <c r="BR345" s="171">
        <f t="shared" si="535"/>
        <v>0</v>
      </c>
      <c r="BS345" s="171">
        <f t="shared" si="535"/>
        <v>0</v>
      </c>
      <c r="BT345" s="171">
        <f t="shared" si="535"/>
        <v>0</v>
      </c>
      <c r="BU345" s="171">
        <f t="shared" si="535"/>
        <v>0</v>
      </c>
      <c r="BV345" s="171">
        <f t="shared" si="535"/>
        <v>0</v>
      </c>
      <c r="BW345" s="171">
        <f t="shared" si="535"/>
        <v>0</v>
      </c>
      <c r="BX345" s="171">
        <f t="shared" si="535"/>
        <v>0</v>
      </c>
      <c r="BY345" s="171">
        <f t="shared" si="536"/>
        <v>0</v>
      </c>
      <c r="BZ345" s="171">
        <f t="shared" si="536"/>
        <v>0</v>
      </c>
      <c r="CA345" s="171">
        <f t="shared" si="536"/>
        <v>0</v>
      </c>
      <c r="CB345" s="171">
        <f t="shared" si="536"/>
        <v>0</v>
      </c>
      <c r="CC345" s="171">
        <f t="shared" si="536"/>
        <v>0</v>
      </c>
      <c r="CD345" s="171">
        <f t="shared" si="536"/>
        <v>0</v>
      </c>
      <c r="CE345" s="171">
        <f t="shared" si="536"/>
        <v>0</v>
      </c>
      <c r="CF345" s="171">
        <f t="shared" si="536"/>
        <v>0</v>
      </c>
      <c r="CG345" s="171">
        <f t="shared" si="536"/>
        <v>0</v>
      </c>
      <c r="CH345" s="171">
        <f t="shared" si="536"/>
        <v>0</v>
      </c>
      <c r="CI345" s="171">
        <f t="shared" si="536"/>
        <v>0</v>
      </c>
      <c r="CJ345" s="243"/>
      <c r="CK345" s="171">
        <f t="shared" si="452"/>
        <v>0</v>
      </c>
      <c r="CL345" s="171">
        <f t="shared" si="453"/>
        <v>0</v>
      </c>
      <c r="CM345" s="171">
        <f t="shared" si="454"/>
        <v>0</v>
      </c>
      <c r="CN345" s="171">
        <f t="shared" si="455"/>
        <v>0</v>
      </c>
      <c r="CO345" s="171">
        <f t="shared" si="456"/>
        <v>0</v>
      </c>
      <c r="CP345" s="171">
        <f t="shared" si="457"/>
        <v>0</v>
      </c>
      <c r="CQ345" s="171">
        <f t="shared" si="458"/>
        <v>0</v>
      </c>
      <c r="CR345" s="171">
        <f t="shared" si="459"/>
        <v>0</v>
      </c>
      <c r="CS345" s="171">
        <f t="shared" si="460"/>
        <v>0</v>
      </c>
      <c r="CT345" s="171">
        <f t="shared" si="461"/>
        <v>0</v>
      </c>
      <c r="CU345" s="171">
        <f t="shared" si="462"/>
        <v>0</v>
      </c>
      <c r="CV345" s="171">
        <f t="shared" si="463"/>
        <v>0</v>
      </c>
      <c r="CW345" s="171">
        <f t="shared" si="464"/>
        <v>0</v>
      </c>
      <c r="CX345" s="171">
        <f t="shared" si="465"/>
        <v>0</v>
      </c>
      <c r="CY345" s="171">
        <f t="shared" ca="1" si="466"/>
        <v>0</v>
      </c>
      <c r="CZ345" s="171">
        <f t="shared" ca="1" si="467"/>
        <v>0</v>
      </c>
      <c r="DA345" s="171">
        <f t="shared" ca="1" si="468"/>
        <v>0</v>
      </c>
      <c r="DB345" s="171">
        <f t="shared" ca="1" si="469"/>
        <v>0</v>
      </c>
      <c r="DC345" s="171">
        <f t="shared" ca="1" si="470"/>
        <v>0</v>
      </c>
      <c r="DD345" s="171">
        <f t="shared" ca="1" si="471"/>
        <v>0</v>
      </c>
      <c r="DE345" s="171">
        <f t="shared" ca="1" si="472"/>
        <v>0</v>
      </c>
      <c r="DF345" s="171">
        <f t="shared" ca="1" si="473"/>
        <v>0</v>
      </c>
      <c r="DG345" s="171">
        <f t="shared" ca="1" si="474"/>
        <v>0</v>
      </c>
      <c r="DH345" s="171">
        <f t="shared" ca="1" si="475"/>
        <v>0</v>
      </c>
      <c r="DI345" s="171">
        <f t="shared" ca="1" si="476"/>
        <v>0</v>
      </c>
      <c r="DJ345" s="171">
        <f t="shared" ca="1" si="477"/>
        <v>0</v>
      </c>
      <c r="DK345" s="171">
        <f t="shared" ca="1" si="478"/>
        <v>0</v>
      </c>
      <c r="DL345" s="171">
        <f t="shared" ca="1" si="479"/>
        <v>0</v>
      </c>
      <c r="DM345" s="171">
        <f t="shared" ca="1" si="480"/>
        <v>0</v>
      </c>
      <c r="DN345" s="171">
        <f t="shared" ca="1" si="481"/>
        <v>0</v>
      </c>
      <c r="DO345" s="171">
        <f t="shared" ca="1" si="482"/>
        <v>0</v>
      </c>
      <c r="DP345" s="171">
        <f t="shared" ca="1" si="483"/>
        <v>0</v>
      </c>
      <c r="DQ345" s="171">
        <f t="shared" ca="1" si="484"/>
        <v>0</v>
      </c>
      <c r="DR345" s="171">
        <f t="shared" ca="1" si="485"/>
        <v>0</v>
      </c>
      <c r="DS345" s="171">
        <f t="shared" ca="1" si="486"/>
        <v>0</v>
      </c>
      <c r="DT345" s="171">
        <f t="shared" ca="1" si="487"/>
        <v>0</v>
      </c>
      <c r="DU345" s="171">
        <f t="shared" ca="1" si="488"/>
        <v>0</v>
      </c>
      <c r="DV345" s="171">
        <f t="shared" ca="1" si="489"/>
        <v>0</v>
      </c>
      <c r="DW345" s="171">
        <f t="shared" ca="1" si="490"/>
        <v>0</v>
      </c>
      <c r="DX345" s="171">
        <f t="shared" ca="1" si="491"/>
        <v>0</v>
      </c>
      <c r="DY345" s="171">
        <f t="shared" ca="1" si="492"/>
        <v>0</v>
      </c>
      <c r="DZ345" s="171">
        <f t="shared" ca="1" si="493"/>
        <v>0</v>
      </c>
      <c r="EA345" s="171">
        <f t="shared" ca="1" si="494"/>
        <v>0</v>
      </c>
      <c r="EB345" s="171">
        <f t="shared" ca="1" si="495"/>
        <v>0</v>
      </c>
      <c r="EC345" s="171">
        <f t="shared" ca="1" si="496"/>
        <v>0</v>
      </c>
      <c r="ED345" s="171">
        <f t="shared" ca="1" si="497"/>
        <v>0</v>
      </c>
      <c r="EE345" s="171">
        <f t="shared" ca="1" si="498"/>
        <v>0</v>
      </c>
      <c r="EF345" s="171">
        <f t="shared" ca="1" si="499"/>
        <v>0</v>
      </c>
      <c r="EG345" s="171">
        <f t="shared" ca="1" si="500"/>
        <v>0</v>
      </c>
      <c r="EH345" s="171">
        <f t="shared" ca="1" si="501"/>
        <v>0</v>
      </c>
      <c r="EI345" s="171">
        <f t="shared" ca="1" si="502"/>
        <v>0</v>
      </c>
      <c r="EJ345" s="171">
        <f t="shared" ca="1" si="503"/>
        <v>0</v>
      </c>
      <c r="EK345" s="171">
        <f t="shared" ca="1" si="504"/>
        <v>0</v>
      </c>
      <c r="EL345" s="171">
        <f t="shared" ca="1" si="505"/>
        <v>0</v>
      </c>
      <c r="EM345" s="171">
        <f t="shared" ca="1" si="506"/>
        <v>0</v>
      </c>
      <c r="EN345" s="171">
        <f t="shared" ca="1" si="507"/>
        <v>0</v>
      </c>
      <c r="EO345" s="171">
        <f t="shared" ca="1" si="508"/>
        <v>0</v>
      </c>
      <c r="EP345" s="171">
        <f t="shared" ca="1" si="509"/>
        <v>0</v>
      </c>
      <c r="EQ345" s="171">
        <f t="shared" ca="1" si="510"/>
        <v>0</v>
      </c>
      <c r="ER345" s="171">
        <f t="shared" ca="1" si="511"/>
        <v>0</v>
      </c>
      <c r="ES345" s="171">
        <f t="shared" ca="1" si="512"/>
        <v>0</v>
      </c>
    </row>
    <row r="346" spans="3:149">
      <c r="C346" s="214"/>
      <c r="H346" s="216"/>
      <c r="I346" s="217"/>
      <c r="L346" s="163"/>
      <c r="M346" s="164" t="str">
        <f t="shared" si="443"/>
        <v/>
      </c>
      <c r="N346" s="164" t="str">
        <f t="shared" si="444"/>
        <v/>
      </c>
      <c r="O346" s="165" t="str">
        <f t="shared" si="445"/>
        <v/>
      </c>
      <c r="R346" s="168"/>
      <c r="U346" s="171">
        <f t="shared" si="446"/>
        <v>0</v>
      </c>
      <c r="V346" s="171">
        <f t="shared" ca="1" si="447"/>
        <v>0</v>
      </c>
      <c r="W346" s="171">
        <f t="shared" ca="1" si="448"/>
        <v>0</v>
      </c>
      <c r="X346" s="172">
        <f t="shared" si="449"/>
        <v>0</v>
      </c>
      <c r="Y346" s="172" t="str">
        <f t="shared" si="450"/>
        <v/>
      </c>
      <c r="Z346" s="173">
        <f t="shared" si="451"/>
        <v>0</v>
      </c>
      <c r="AA346" s="171">
        <f t="shared" si="531"/>
        <v>0</v>
      </c>
      <c r="AB346" s="171">
        <f t="shared" si="531"/>
        <v>0</v>
      </c>
      <c r="AC346" s="171">
        <f t="shared" si="531"/>
        <v>0</v>
      </c>
      <c r="AD346" s="171">
        <f t="shared" si="531"/>
        <v>0</v>
      </c>
      <c r="AE346" s="171">
        <f t="shared" si="531"/>
        <v>0</v>
      </c>
      <c r="AF346" s="171">
        <f t="shared" si="531"/>
        <v>0</v>
      </c>
      <c r="AG346" s="171">
        <f t="shared" si="531"/>
        <v>0</v>
      </c>
      <c r="AH346" s="171">
        <f t="shared" si="531"/>
        <v>0</v>
      </c>
      <c r="AI346" s="171">
        <f t="shared" si="531"/>
        <v>0</v>
      </c>
      <c r="AJ346" s="171">
        <f t="shared" si="531"/>
        <v>0</v>
      </c>
      <c r="AK346" s="171">
        <f t="shared" si="532"/>
        <v>0</v>
      </c>
      <c r="AL346" s="171">
        <f t="shared" si="532"/>
        <v>0</v>
      </c>
      <c r="AM346" s="171">
        <f t="shared" si="532"/>
        <v>0</v>
      </c>
      <c r="AN346" s="171">
        <f t="shared" si="532"/>
        <v>0</v>
      </c>
      <c r="AO346" s="171">
        <f t="shared" si="532"/>
        <v>0</v>
      </c>
      <c r="AP346" s="171">
        <f t="shared" si="532"/>
        <v>0</v>
      </c>
      <c r="AQ346" s="171">
        <f t="shared" si="532"/>
        <v>0</v>
      </c>
      <c r="AR346" s="171">
        <f t="shared" si="532"/>
        <v>0</v>
      </c>
      <c r="AS346" s="171">
        <f t="shared" si="532"/>
        <v>0</v>
      </c>
      <c r="AT346" s="171">
        <f t="shared" si="532"/>
        <v>0</v>
      </c>
      <c r="AU346" s="171">
        <f t="shared" si="533"/>
        <v>0</v>
      </c>
      <c r="AV346" s="171">
        <f t="shared" si="533"/>
        <v>0</v>
      </c>
      <c r="AW346" s="171">
        <f t="shared" si="533"/>
        <v>0</v>
      </c>
      <c r="AX346" s="171">
        <f t="shared" si="533"/>
        <v>0</v>
      </c>
      <c r="AY346" s="171">
        <f t="shared" si="533"/>
        <v>0</v>
      </c>
      <c r="AZ346" s="171">
        <f t="shared" si="533"/>
        <v>0</v>
      </c>
      <c r="BA346" s="171">
        <f t="shared" si="533"/>
        <v>0</v>
      </c>
      <c r="BB346" s="171">
        <f t="shared" si="533"/>
        <v>0</v>
      </c>
      <c r="BC346" s="171">
        <f t="shared" si="533"/>
        <v>0</v>
      </c>
      <c r="BD346" s="171">
        <f t="shared" si="533"/>
        <v>0</v>
      </c>
      <c r="BE346" s="171">
        <f t="shared" si="534"/>
        <v>0</v>
      </c>
      <c r="BF346" s="171">
        <f t="shared" si="534"/>
        <v>0</v>
      </c>
      <c r="BG346" s="171">
        <f t="shared" si="534"/>
        <v>0</v>
      </c>
      <c r="BH346" s="171">
        <f t="shared" si="534"/>
        <v>0</v>
      </c>
      <c r="BI346" s="171">
        <f t="shared" si="534"/>
        <v>0</v>
      </c>
      <c r="BJ346" s="171">
        <f t="shared" si="534"/>
        <v>0</v>
      </c>
      <c r="BK346" s="171">
        <f t="shared" si="534"/>
        <v>0</v>
      </c>
      <c r="BL346" s="171">
        <f t="shared" si="534"/>
        <v>0</v>
      </c>
      <c r="BM346" s="171">
        <f t="shared" si="534"/>
        <v>0</v>
      </c>
      <c r="BN346" s="171">
        <f t="shared" si="534"/>
        <v>0</v>
      </c>
      <c r="BO346" s="171">
        <f t="shared" si="535"/>
        <v>0</v>
      </c>
      <c r="BP346" s="171">
        <f t="shared" si="535"/>
        <v>0</v>
      </c>
      <c r="BQ346" s="171">
        <f t="shared" si="535"/>
        <v>0</v>
      </c>
      <c r="BR346" s="171">
        <f t="shared" si="535"/>
        <v>0</v>
      </c>
      <c r="BS346" s="171">
        <f t="shared" si="535"/>
        <v>0</v>
      </c>
      <c r="BT346" s="171">
        <f t="shared" si="535"/>
        <v>0</v>
      </c>
      <c r="BU346" s="171">
        <f t="shared" si="535"/>
        <v>0</v>
      </c>
      <c r="BV346" s="171">
        <f t="shared" si="535"/>
        <v>0</v>
      </c>
      <c r="BW346" s="171">
        <f t="shared" si="535"/>
        <v>0</v>
      </c>
      <c r="BX346" s="171">
        <f t="shared" si="535"/>
        <v>0</v>
      </c>
      <c r="BY346" s="171">
        <f t="shared" si="536"/>
        <v>0</v>
      </c>
      <c r="BZ346" s="171">
        <f t="shared" si="536"/>
        <v>0</v>
      </c>
      <c r="CA346" s="171">
        <f t="shared" si="536"/>
        <v>0</v>
      </c>
      <c r="CB346" s="171">
        <f t="shared" si="536"/>
        <v>0</v>
      </c>
      <c r="CC346" s="171">
        <f t="shared" si="536"/>
        <v>0</v>
      </c>
      <c r="CD346" s="171">
        <f t="shared" si="536"/>
        <v>0</v>
      </c>
      <c r="CE346" s="171">
        <f t="shared" si="536"/>
        <v>0</v>
      </c>
      <c r="CF346" s="171">
        <f t="shared" si="536"/>
        <v>0</v>
      </c>
      <c r="CG346" s="171">
        <f t="shared" si="536"/>
        <v>0</v>
      </c>
      <c r="CH346" s="171">
        <f t="shared" si="536"/>
        <v>0</v>
      </c>
      <c r="CI346" s="171">
        <f t="shared" si="536"/>
        <v>0</v>
      </c>
      <c r="CJ346" s="243"/>
      <c r="CK346" s="171">
        <f t="shared" si="452"/>
        <v>0</v>
      </c>
      <c r="CL346" s="171">
        <f t="shared" si="453"/>
        <v>0</v>
      </c>
      <c r="CM346" s="171">
        <f t="shared" si="454"/>
        <v>0</v>
      </c>
      <c r="CN346" s="171">
        <f t="shared" si="455"/>
        <v>0</v>
      </c>
      <c r="CO346" s="171">
        <f t="shared" si="456"/>
        <v>0</v>
      </c>
      <c r="CP346" s="171">
        <f t="shared" si="457"/>
        <v>0</v>
      </c>
      <c r="CQ346" s="171">
        <f t="shared" si="458"/>
        <v>0</v>
      </c>
      <c r="CR346" s="171">
        <f t="shared" si="459"/>
        <v>0</v>
      </c>
      <c r="CS346" s="171">
        <f t="shared" si="460"/>
        <v>0</v>
      </c>
      <c r="CT346" s="171">
        <f t="shared" si="461"/>
        <v>0</v>
      </c>
      <c r="CU346" s="171">
        <f t="shared" si="462"/>
        <v>0</v>
      </c>
      <c r="CV346" s="171">
        <f t="shared" si="463"/>
        <v>0</v>
      </c>
      <c r="CW346" s="171">
        <f t="shared" si="464"/>
        <v>0</v>
      </c>
      <c r="CX346" s="171">
        <f t="shared" si="465"/>
        <v>0</v>
      </c>
      <c r="CY346" s="171">
        <f t="shared" ca="1" si="466"/>
        <v>0</v>
      </c>
      <c r="CZ346" s="171">
        <f t="shared" ca="1" si="467"/>
        <v>0</v>
      </c>
      <c r="DA346" s="171">
        <f t="shared" ca="1" si="468"/>
        <v>0</v>
      </c>
      <c r="DB346" s="171">
        <f t="shared" ca="1" si="469"/>
        <v>0</v>
      </c>
      <c r="DC346" s="171">
        <f t="shared" ca="1" si="470"/>
        <v>0</v>
      </c>
      <c r="DD346" s="171">
        <f t="shared" ca="1" si="471"/>
        <v>0</v>
      </c>
      <c r="DE346" s="171">
        <f t="shared" ca="1" si="472"/>
        <v>0</v>
      </c>
      <c r="DF346" s="171">
        <f t="shared" ca="1" si="473"/>
        <v>0</v>
      </c>
      <c r="DG346" s="171">
        <f t="shared" ca="1" si="474"/>
        <v>0</v>
      </c>
      <c r="DH346" s="171">
        <f t="shared" ca="1" si="475"/>
        <v>0</v>
      </c>
      <c r="DI346" s="171">
        <f t="shared" ca="1" si="476"/>
        <v>0</v>
      </c>
      <c r="DJ346" s="171">
        <f t="shared" ca="1" si="477"/>
        <v>0</v>
      </c>
      <c r="DK346" s="171">
        <f t="shared" ca="1" si="478"/>
        <v>0</v>
      </c>
      <c r="DL346" s="171">
        <f t="shared" ca="1" si="479"/>
        <v>0</v>
      </c>
      <c r="DM346" s="171">
        <f t="shared" ca="1" si="480"/>
        <v>0</v>
      </c>
      <c r="DN346" s="171">
        <f t="shared" ca="1" si="481"/>
        <v>0</v>
      </c>
      <c r="DO346" s="171">
        <f t="shared" ca="1" si="482"/>
        <v>0</v>
      </c>
      <c r="DP346" s="171">
        <f t="shared" ca="1" si="483"/>
        <v>0</v>
      </c>
      <c r="DQ346" s="171">
        <f t="shared" ca="1" si="484"/>
        <v>0</v>
      </c>
      <c r="DR346" s="171">
        <f t="shared" ca="1" si="485"/>
        <v>0</v>
      </c>
      <c r="DS346" s="171">
        <f t="shared" ca="1" si="486"/>
        <v>0</v>
      </c>
      <c r="DT346" s="171">
        <f t="shared" ca="1" si="487"/>
        <v>0</v>
      </c>
      <c r="DU346" s="171">
        <f t="shared" ca="1" si="488"/>
        <v>0</v>
      </c>
      <c r="DV346" s="171">
        <f t="shared" ca="1" si="489"/>
        <v>0</v>
      </c>
      <c r="DW346" s="171">
        <f t="shared" ca="1" si="490"/>
        <v>0</v>
      </c>
      <c r="DX346" s="171">
        <f t="shared" ca="1" si="491"/>
        <v>0</v>
      </c>
      <c r="DY346" s="171">
        <f t="shared" ca="1" si="492"/>
        <v>0</v>
      </c>
      <c r="DZ346" s="171">
        <f t="shared" ca="1" si="493"/>
        <v>0</v>
      </c>
      <c r="EA346" s="171">
        <f t="shared" ca="1" si="494"/>
        <v>0</v>
      </c>
      <c r="EB346" s="171">
        <f t="shared" ca="1" si="495"/>
        <v>0</v>
      </c>
      <c r="EC346" s="171">
        <f t="shared" ca="1" si="496"/>
        <v>0</v>
      </c>
      <c r="ED346" s="171">
        <f t="shared" ca="1" si="497"/>
        <v>0</v>
      </c>
      <c r="EE346" s="171">
        <f t="shared" ca="1" si="498"/>
        <v>0</v>
      </c>
      <c r="EF346" s="171">
        <f t="shared" ca="1" si="499"/>
        <v>0</v>
      </c>
      <c r="EG346" s="171">
        <f t="shared" ca="1" si="500"/>
        <v>0</v>
      </c>
      <c r="EH346" s="171">
        <f t="shared" ca="1" si="501"/>
        <v>0</v>
      </c>
      <c r="EI346" s="171">
        <f t="shared" ca="1" si="502"/>
        <v>0</v>
      </c>
      <c r="EJ346" s="171">
        <f t="shared" ca="1" si="503"/>
        <v>0</v>
      </c>
      <c r="EK346" s="171">
        <f t="shared" ca="1" si="504"/>
        <v>0</v>
      </c>
      <c r="EL346" s="171">
        <f t="shared" ca="1" si="505"/>
        <v>0</v>
      </c>
      <c r="EM346" s="171">
        <f t="shared" ca="1" si="506"/>
        <v>0</v>
      </c>
      <c r="EN346" s="171">
        <f t="shared" ca="1" si="507"/>
        <v>0</v>
      </c>
      <c r="EO346" s="171">
        <f t="shared" ca="1" si="508"/>
        <v>0</v>
      </c>
      <c r="EP346" s="171">
        <f t="shared" ca="1" si="509"/>
        <v>0</v>
      </c>
      <c r="EQ346" s="171">
        <f t="shared" ca="1" si="510"/>
        <v>0</v>
      </c>
      <c r="ER346" s="171">
        <f t="shared" ca="1" si="511"/>
        <v>0</v>
      </c>
      <c r="ES346" s="171">
        <f t="shared" ca="1" si="512"/>
        <v>0</v>
      </c>
    </row>
    <row r="347" spans="3:149">
      <c r="C347" s="214"/>
      <c r="H347" s="216"/>
      <c r="I347" s="217"/>
      <c r="L347" s="163"/>
      <c r="M347" s="164" t="str">
        <f t="shared" si="443"/>
        <v/>
      </c>
      <c r="N347" s="164" t="str">
        <f t="shared" si="444"/>
        <v/>
      </c>
      <c r="O347" s="165" t="str">
        <f t="shared" si="445"/>
        <v/>
      </c>
      <c r="R347" s="168"/>
      <c r="U347" s="171">
        <f t="shared" si="446"/>
        <v>0</v>
      </c>
      <c r="V347" s="171">
        <f t="shared" ca="1" si="447"/>
        <v>0</v>
      </c>
      <c r="W347" s="171">
        <f t="shared" ca="1" si="448"/>
        <v>0</v>
      </c>
      <c r="X347" s="172">
        <f t="shared" si="449"/>
        <v>0</v>
      </c>
      <c r="Y347" s="172" t="str">
        <f t="shared" si="450"/>
        <v/>
      </c>
      <c r="Z347" s="173">
        <f t="shared" si="451"/>
        <v>0</v>
      </c>
      <c r="AA347" s="171">
        <f t="shared" si="531"/>
        <v>0</v>
      </c>
      <c r="AB347" s="171">
        <f t="shared" si="531"/>
        <v>0</v>
      </c>
      <c r="AC347" s="171">
        <f t="shared" si="531"/>
        <v>0</v>
      </c>
      <c r="AD347" s="171">
        <f t="shared" si="531"/>
        <v>0</v>
      </c>
      <c r="AE347" s="171">
        <f t="shared" si="531"/>
        <v>0</v>
      </c>
      <c r="AF347" s="171">
        <f t="shared" si="531"/>
        <v>0</v>
      </c>
      <c r="AG347" s="171">
        <f t="shared" si="531"/>
        <v>0</v>
      </c>
      <c r="AH347" s="171">
        <f t="shared" si="531"/>
        <v>0</v>
      </c>
      <c r="AI347" s="171">
        <f t="shared" si="531"/>
        <v>0</v>
      </c>
      <c r="AJ347" s="171">
        <f t="shared" si="531"/>
        <v>0</v>
      </c>
      <c r="AK347" s="171">
        <f t="shared" si="532"/>
        <v>0</v>
      </c>
      <c r="AL347" s="171">
        <f t="shared" si="532"/>
        <v>0</v>
      </c>
      <c r="AM347" s="171">
        <f t="shared" si="532"/>
        <v>0</v>
      </c>
      <c r="AN347" s="171">
        <f t="shared" si="532"/>
        <v>0</v>
      </c>
      <c r="AO347" s="171">
        <f t="shared" si="532"/>
        <v>0</v>
      </c>
      <c r="AP347" s="171">
        <f t="shared" si="532"/>
        <v>0</v>
      </c>
      <c r="AQ347" s="171">
        <f t="shared" si="532"/>
        <v>0</v>
      </c>
      <c r="AR347" s="171">
        <f t="shared" si="532"/>
        <v>0</v>
      </c>
      <c r="AS347" s="171">
        <f t="shared" si="532"/>
        <v>0</v>
      </c>
      <c r="AT347" s="171">
        <f t="shared" si="532"/>
        <v>0</v>
      </c>
      <c r="AU347" s="171">
        <f t="shared" si="533"/>
        <v>0</v>
      </c>
      <c r="AV347" s="171">
        <f t="shared" si="533"/>
        <v>0</v>
      </c>
      <c r="AW347" s="171">
        <f t="shared" si="533"/>
        <v>0</v>
      </c>
      <c r="AX347" s="171">
        <f t="shared" si="533"/>
        <v>0</v>
      </c>
      <c r="AY347" s="171">
        <f t="shared" si="533"/>
        <v>0</v>
      </c>
      <c r="AZ347" s="171">
        <f t="shared" si="533"/>
        <v>0</v>
      </c>
      <c r="BA347" s="171">
        <f t="shared" si="533"/>
        <v>0</v>
      </c>
      <c r="BB347" s="171">
        <f t="shared" si="533"/>
        <v>0</v>
      </c>
      <c r="BC347" s="171">
        <f t="shared" si="533"/>
        <v>0</v>
      </c>
      <c r="BD347" s="171">
        <f t="shared" si="533"/>
        <v>0</v>
      </c>
      <c r="BE347" s="171">
        <f t="shared" si="534"/>
        <v>0</v>
      </c>
      <c r="BF347" s="171">
        <f t="shared" si="534"/>
        <v>0</v>
      </c>
      <c r="BG347" s="171">
        <f t="shared" si="534"/>
        <v>0</v>
      </c>
      <c r="BH347" s="171">
        <f t="shared" si="534"/>
        <v>0</v>
      </c>
      <c r="BI347" s="171">
        <f t="shared" si="534"/>
        <v>0</v>
      </c>
      <c r="BJ347" s="171">
        <f t="shared" si="534"/>
        <v>0</v>
      </c>
      <c r="BK347" s="171">
        <f t="shared" si="534"/>
        <v>0</v>
      </c>
      <c r="BL347" s="171">
        <f t="shared" si="534"/>
        <v>0</v>
      </c>
      <c r="BM347" s="171">
        <f t="shared" si="534"/>
        <v>0</v>
      </c>
      <c r="BN347" s="171">
        <f t="shared" si="534"/>
        <v>0</v>
      </c>
      <c r="BO347" s="171">
        <f t="shared" si="535"/>
        <v>0</v>
      </c>
      <c r="BP347" s="171">
        <f t="shared" si="535"/>
        <v>0</v>
      </c>
      <c r="BQ347" s="171">
        <f t="shared" si="535"/>
        <v>0</v>
      </c>
      <c r="BR347" s="171">
        <f t="shared" si="535"/>
        <v>0</v>
      </c>
      <c r="BS347" s="171">
        <f t="shared" si="535"/>
        <v>0</v>
      </c>
      <c r="BT347" s="171">
        <f t="shared" si="535"/>
        <v>0</v>
      </c>
      <c r="BU347" s="171">
        <f t="shared" si="535"/>
        <v>0</v>
      </c>
      <c r="BV347" s="171">
        <f t="shared" si="535"/>
        <v>0</v>
      </c>
      <c r="BW347" s="171">
        <f t="shared" si="535"/>
        <v>0</v>
      </c>
      <c r="BX347" s="171">
        <f t="shared" si="535"/>
        <v>0</v>
      </c>
      <c r="BY347" s="171">
        <f t="shared" si="536"/>
        <v>0</v>
      </c>
      <c r="BZ347" s="171">
        <f t="shared" si="536"/>
        <v>0</v>
      </c>
      <c r="CA347" s="171">
        <f t="shared" si="536"/>
        <v>0</v>
      </c>
      <c r="CB347" s="171">
        <f t="shared" si="536"/>
        <v>0</v>
      </c>
      <c r="CC347" s="171">
        <f t="shared" si="536"/>
        <v>0</v>
      </c>
      <c r="CD347" s="171">
        <f t="shared" si="536"/>
        <v>0</v>
      </c>
      <c r="CE347" s="171">
        <f t="shared" si="536"/>
        <v>0</v>
      </c>
      <c r="CF347" s="171">
        <f t="shared" si="536"/>
        <v>0</v>
      </c>
      <c r="CG347" s="171">
        <f t="shared" si="536"/>
        <v>0</v>
      </c>
      <c r="CH347" s="171">
        <f t="shared" si="536"/>
        <v>0</v>
      </c>
      <c r="CI347" s="171">
        <f t="shared" si="536"/>
        <v>0</v>
      </c>
      <c r="CJ347" s="243"/>
      <c r="CK347" s="171">
        <f t="shared" si="452"/>
        <v>0</v>
      </c>
      <c r="CL347" s="171">
        <f t="shared" si="453"/>
        <v>0</v>
      </c>
      <c r="CM347" s="171">
        <f t="shared" si="454"/>
        <v>0</v>
      </c>
      <c r="CN347" s="171">
        <f t="shared" si="455"/>
        <v>0</v>
      </c>
      <c r="CO347" s="171">
        <f t="shared" si="456"/>
        <v>0</v>
      </c>
      <c r="CP347" s="171">
        <f t="shared" si="457"/>
        <v>0</v>
      </c>
      <c r="CQ347" s="171">
        <f t="shared" si="458"/>
        <v>0</v>
      </c>
      <c r="CR347" s="171">
        <f t="shared" si="459"/>
        <v>0</v>
      </c>
      <c r="CS347" s="171">
        <f t="shared" si="460"/>
        <v>0</v>
      </c>
      <c r="CT347" s="171">
        <f t="shared" si="461"/>
        <v>0</v>
      </c>
      <c r="CU347" s="171">
        <f t="shared" si="462"/>
        <v>0</v>
      </c>
      <c r="CV347" s="171">
        <f t="shared" si="463"/>
        <v>0</v>
      </c>
      <c r="CW347" s="171">
        <f t="shared" si="464"/>
        <v>0</v>
      </c>
      <c r="CX347" s="171">
        <f t="shared" si="465"/>
        <v>0</v>
      </c>
      <c r="CY347" s="171">
        <f t="shared" ca="1" si="466"/>
        <v>0</v>
      </c>
      <c r="CZ347" s="171">
        <f t="shared" ca="1" si="467"/>
        <v>0</v>
      </c>
      <c r="DA347" s="171">
        <f t="shared" ca="1" si="468"/>
        <v>0</v>
      </c>
      <c r="DB347" s="171">
        <f t="shared" ca="1" si="469"/>
        <v>0</v>
      </c>
      <c r="DC347" s="171">
        <f t="shared" ca="1" si="470"/>
        <v>0</v>
      </c>
      <c r="DD347" s="171">
        <f t="shared" ca="1" si="471"/>
        <v>0</v>
      </c>
      <c r="DE347" s="171">
        <f t="shared" ca="1" si="472"/>
        <v>0</v>
      </c>
      <c r="DF347" s="171">
        <f t="shared" ca="1" si="473"/>
        <v>0</v>
      </c>
      <c r="DG347" s="171">
        <f t="shared" ca="1" si="474"/>
        <v>0</v>
      </c>
      <c r="DH347" s="171">
        <f t="shared" ca="1" si="475"/>
        <v>0</v>
      </c>
      <c r="DI347" s="171">
        <f t="shared" ca="1" si="476"/>
        <v>0</v>
      </c>
      <c r="DJ347" s="171">
        <f t="shared" ca="1" si="477"/>
        <v>0</v>
      </c>
      <c r="DK347" s="171">
        <f t="shared" ca="1" si="478"/>
        <v>0</v>
      </c>
      <c r="DL347" s="171">
        <f t="shared" ca="1" si="479"/>
        <v>0</v>
      </c>
      <c r="DM347" s="171">
        <f t="shared" ca="1" si="480"/>
        <v>0</v>
      </c>
      <c r="DN347" s="171">
        <f t="shared" ca="1" si="481"/>
        <v>0</v>
      </c>
      <c r="DO347" s="171">
        <f t="shared" ca="1" si="482"/>
        <v>0</v>
      </c>
      <c r="DP347" s="171">
        <f t="shared" ca="1" si="483"/>
        <v>0</v>
      </c>
      <c r="DQ347" s="171">
        <f t="shared" ca="1" si="484"/>
        <v>0</v>
      </c>
      <c r="DR347" s="171">
        <f t="shared" ca="1" si="485"/>
        <v>0</v>
      </c>
      <c r="DS347" s="171">
        <f t="shared" ca="1" si="486"/>
        <v>0</v>
      </c>
      <c r="DT347" s="171">
        <f t="shared" ca="1" si="487"/>
        <v>0</v>
      </c>
      <c r="DU347" s="171">
        <f t="shared" ca="1" si="488"/>
        <v>0</v>
      </c>
      <c r="DV347" s="171">
        <f t="shared" ca="1" si="489"/>
        <v>0</v>
      </c>
      <c r="DW347" s="171">
        <f t="shared" ca="1" si="490"/>
        <v>0</v>
      </c>
      <c r="DX347" s="171">
        <f t="shared" ca="1" si="491"/>
        <v>0</v>
      </c>
      <c r="DY347" s="171">
        <f t="shared" ca="1" si="492"/>
        <v>0</v>
      </c>
      <c r="DZ347" s="171">
        <f t="shared" ca="1" si="493"/>
        <v>0</v>
      </c>
      <c r="EA347" s="171">
        <f t="shared" ca="1" si="494"/>
        <v>0</v>
      </c>
      <c r="EB347" s="171">
        <f t="shared" ca="1" si="495"/>
        <v>0</v>
      </c>
      <c r="EC347" s="171">
        <f t="shared" ca="1" si="496"/>
        <v>0</v>
      </c>
      <c r="ED347" s="171">
        <f t="shared" ca="1" si="497"/>
        <v>0</v>
      </c>
      <c r="EE347" s="171">
        <f t="shared" ca="1" si="498"/>
        <v>0</v>
      </c>
      <c r="EF347" s="171">
        <f t="shared" ca="1" si="499"/>
        <v>0</v>
      </c>
      <c r="EG347" s="171">
        <f t="shared" ca="1" si="500"/>
        <v>0</v>
      </c>
      <c r="EH347" s="171">
        <f t="shared" ca="1" si="501"/>
        <v>0</v>
      </c>
      <c r="EI347" s="171">
        <f t="shared" ca="1" si="502"/>
        <v>0</v>
      </c>
      <c r="EJ347" s="171">
        <f t="shared" ca="1" si="503"/>
        <v>0</v>
      </c>
      <c r="EK347" s="171">
        <f t="shared" ca="1" si="504"/>
        <v>0</v>
      </c>
      <c r="EL347" s="171">
        <f t="shared" ca="1" si="505"/>
        <v>0</v>
      </c>
      <c r="EM347" s="171">
        <f t="shared" ca="1" si="506"/>
        <v>0</v>
      </c>
      <c r="EN347" s="171">
        <f t="shared" ca="1" si="507"/>
        <v>0</v>
      </c>
      <c r="EO347" s="171">
        <f t="shared" ca="1" si="508"/>
        <v>0</v>
      </c>
      <c r="EP347" s="171">
        <f t="shared" ca="1" si="509"/>
        <v>0</v>
      </c>
      <c r="EQ347" s="171">
        <f t="shared" ca="1" si="510"/>
        <v>0</v>
      </c>
      <c r="ER347" s="171">
        <f t="shared" ca="1" si="511"/>
        <v>0</v>
      </c>
      <c r="ES347" s="171">
        <f t="shared" ca="1" si="512"/>
        <v>0</v>
      </c>
    </row>
    <row r="348" spans="3:149">
      <c r="C348" s="214"/>
      <c r="H348" s="216"/>
      <c r="I348" s="217"/>
      <c r="L348" s="163"/>
      <c r="M348" s="164" t="str">
        <f t="shared" si="443"/>
        <v/>
      </c>
      <c r="N348" s="164" t="str">
        <f t="shared" si="444"/>
        <v/>
      </c>
      <c r="O348" s="165" t="str">
        <f t="shared" si="445"/>
        <v/>
      </c>
      <c r="R348" s="168"/>
      <c r="U348" s="171">
        <f t="shared" si="446"/>
        <v>0</v>
      </c>
      <c r="V348" s="171">
        <f t="shared" ca="1" si="447"/>
        <v>0</v>
      </c>
      <c r="W348" s="171">
        <f t="shared" ca="1" si="448"/>
        <v>0</v>
      </c>
      <c r="X348" s="172">
        <f t="shared" si="449"/>
        <v>0</v>
      </c>
      <c r="Y348" s="172" t="str">
        <f t="shared" si="450"/>
        <v/>
      </c>
      <c r="Z348" s="173">
        <f t="shared" si="451"/>
        <v>0</v>
      </c>
      <c r="AA348" s="171">
        <f t="shared" si="531"/>
        <v>0</v>
      </c>
      <c r="AB348" s="171">
        <f t="shared" si="531"/>
        <v>0</v>
      </c>
      <c r="AC348" s="171">
        <f t="shared" si="531"/>
        <v>0</v>
      </c>
      <c r="AD348" s="171">
        <f t="shared" si="531"/>
        <v>0</v>
      </c>
      <c r="AE348" s="171">
        <f t="shared" si="531"/>
        <v>0</v>
      </c>
      <c r="AF348" s="171">
        <f t="shared" si="531"/>
        <v>0</v>
      </c>
      <c r="AG348" s="171">
        <f t="shared" si="531"/>
        <v>0</v>
      </c>
      <c r="AH348" s="171">
        <f t="shared" si="531"/>
        <v>0</v>
      </c>
      <c r="AI348" s="171">
        <f t="shared" si="531"/>
        <v>0</v>
      </c>
      <c r="AJ348" s="171">
        <f t="shared" si="531"/>
        <v>0</v>
      </c>
      <c r="AK348" s="171">
        <f t="shared" si="532"/>
        <v>0</v>
      </c>
      <c r="AL348" s="171">
        <f t="shared" si="532"/>
        <v>0</v>
      </c>
      <c r="AM348" s="171">
        <f t="shared" si="532"/>
        <v>0</v>
      </c>
      <c r="AN348" s="171">
        <f t="shared" si="532"/>
        <v>0</v>
      </c>
      <c r="AO348" s="171">
        <f t="shared" si="532"/>
        <v>0</v>
      </c>
      <c r="AP348" s="171">
        <f t="shared" si="532"/>
        <v>0</v>
      </c>
      <c r="AQ348" s="171">
        <f t="shared" si="532"/>
        <v>0</v>
      </c>
      <c r="AR348" s="171">
        <f t="shared" si="532"/>
        <v>0</v>
      </c>
      <c r="AS348" s="171">
        <f t="shared" si="532"/>
        <v>0</v>
      </c>
      <c r="AT348" s="171">
        <f t="shared" si="532"/>
        <v>0</v>
      </c>
      <c r="AU348" s="171">
        <f t="shared" si="533"/>
        <v>0</v>
      </c>
      <c r="AV348" s="171">
        <f t="shared" si="533"/>
        <v>0</v>
      </c>
      <c r="AW348" s="171">
        <f t="shared" si="533"/>
        <v>0</v>
      </c>
      <c r="AX348" s="171">
        <f t="shared" si="533"/>
        <v>0</v>
      </c>
      <c r="AY348" s="171">
        <f t="shared" si="533"/>
        <v>0</v>
      </c>
      <c r="AZ348" s="171">
        <f t="shared" si="533"/>
        <v>0</v>
      </c>
      <c r="BA348" s="171">
        <f t="shared" si="533"/>
        <v>0</v>
      </c>
      <c r="BB348" s="171">
        <f t="shared" si="533"/>
        <v>0</v>
      </c>
      <c r="BC348" s="171">
        <f t="shared" si="533"/>
        <v>0</v>
      </c>
      <c r="BD348" s="171">
        <f t="shared" si="533"/>
        <v>0</v>
      </c>
      <c r="BE348" s="171">
        <f t="shared" si="534"/>
        <v>0</v>
      </c>
      <c r="BF348" s="171">
        <f t="shared" si="534"/>
        <v>0</v>
      </c>
      <c r="BG348" s="171">
        <f t="shared" si="534"/>
        <v>0</v>
      </c>
      <c r="BH348" s="171">
        <f t="shared" si="534"/>
        <v>0</v>
      </c>
      <c r="BI348" s="171">
        <f t="shared" si="534"/>
        <v>0</v>
      </c>
      <c r="BJ348" s="171">
        <f t="shared" si="534"/>
        <v>0</v>
      </c>
      <c r="BK348" s="171">
        <f t="shared" si="534"/>
        <v>0</v>
      </c>
      <c r="BL348" s="171">
        <f t="shared" si="534"/>
        <v>0</v>
      </c>
      <c r="BM348" s="171">
        <f t="shared" si="534"/>
        <v>0</v>
      </c>
      <c r="BN348" s="171">
        <f t="shared" si="534"/>
        <v>0</v>
      </c>
      <c r="BO348" s="171">
        <f t="shared" si="535"/>
        <v>0</v>
      </c>
      <c r="BP348" s="171">
        <f t="shared" si="535"/>
        <v>0</v>
      </c>
      <c r="BQ348" s="171">
        <f t="shared" si="535"/>
        <v>0</v>
      </c>
      <c r="BR348" s="171">
        <f t="shared" si="535"/>
        <v>0</v>
      </c>
      <c r="BS348" s="171">
        <f t="shared" si="535"/>
        <v>0</v>
      </c>
      <c r="BT348" s="171">
        <f t="shared" si="535"/>
        <v>0</v>
      </c>
      <c r="BU348" s="171">
        <f t="shared" si="535"/>
        <v>0</v>
      </c>
      <c r="BV348" s="171">
        <f t="shared" si="535"/>
        <v>0</v>
      </c>
      <c r="BW348" s="171">
        <f t="shared" si="535"/>
        <v>0</v>
      </c>
      <c r="BX348" s="171">
        <f t="shared" si="535"/>
        <v>0</v>
      </c>
      <c r="BY348" s="171">
        <f t="shared" si="536"/>
        <v>0</v>
      </c>
      <c r="BZ348" s="171">
        <f t="shared" si="536"/>
        <v>0</v>
      </c>
      <c r="CA348" s="171">
        <f t="shared" si="536"/>
        <v>0</v>
      </c>
      <c r="CB348" s="171">
        <f t="shared" si="536"/>
        <v>0</v>
      </c>
      <c r="CC348" s="171">
        <f t="shared" si="536"/>
        <v>0</v>
      </c>
      <c r="CD348" s="171">
        <f t="shared" si="536"/>
        <v>0</v>
      </c>
      <c r="CE348" s="171">
        <f t="shared" si="536"/>
        <v>0</v>
      </c>
      <c r="CF348" s="171">
        <f t="shared" si="536"/>
        <v>0</v>
      </c>
      <c r="CG348" s="171">
        <f t="shared" si="536"/>
        <v>0</v>
      </c>
      <c r="CH348" s="171">
        <f t="shared" si="536"/>
        <v>0</v>
      </c>
      <c r="CI348" s="171">
        <f t="shared" si="536"/>
        <v>0</v>
      </c>
      <c r="CJ348" s="243"/>
      <c r="CK348" s="171">
        <f t="shared" si="452"/>
        <v>0</v>
      </c>
      <c r="CL348" s="171">
        <f t="shared" si="453"/>
        <v>0</v>
      </c>
      <c r="CM348" s="171">
        <f t="shared" si="454"/>
        <v>0</v>
      </c>
      <c r="CN348" s="171">
        <f t="shared" si="455"/>
        <v>0</v>
      </c>
      <c r="CO348" s="171">
        <f t="shared" si="456"/>
        <v>0</v>
      </c>
      <c r="CP348" s="171">
        <f t="shared" si="457"/>
        <v>0</v>
      </c>
      <c r="CQ348" s="171">
        <f t="shared" si="458"/>
        <v>0</v>
      </c>
      <c r="CR348" s="171">
        <f t="shared" si="459"/>
        <v>0</v>
      </c>
      <c r="CS348" s="171">
        <f t="shared" si="460"/>
        <v>0</v>
      </c>
      <c r="CT348" s="171">
        <f t="shared" si="461"/>
        <v>0</v>
      </c>
      <c r="CU348" s="171">
        <f t="shared" si="462"/>
        <v>0</v>
      </c>
      <c r="CV348" s="171">
        <f t="shared" si="463"/>
        <v>0</v>
      </c>
      <c r="CW348" s="171">
        <f t="shared" si="464"/>
        <v>0</v>
      </c>
      <c r="CX348" s="171">
        <f t="shared" si="465"/>
        <v>0</v>
      </c>
      <c r="CY348" s="171">
        <f t="shared" ca="1" si="466"/>
        <v>0</v>
      </c>
      <c r="CZ348" s="171">
        <f t="shared" ca="1" si="467"/>
        <v>0</v>
      </c>
      <c r="DA348" s="171">
        <f t="shared" ca="1" si="468"/>
        <v>0</v>
      </c>
      <c r="DB348" s="171">
        <f t="shared" ca="1" si="469"/>
        <v>0</v>
      </c>
      <c r="DC348" s="171">
        <f t="shared" ca="1" si="470"/>
        <v>0</v>
      </c>
      <c r="DD348" s="171">
        <f t="shared" ca="1" si="471"/>
        <v>0</v>
      </c>
      <c r="DE348" s="171">
        <f t="shared" ca="1" si="472"/>
        <v>0</v>
      </c>
      <c r="DF348" s="171">
        <f t="shared" ca="1" si="473"/>
        <v>0</v>
      </c>
      <c r="DG348" s="171">
        <f t="shared" ca="1" si="474"/>
        <v>0</v>
      </c>
      <c r="DH348" s="171">
        <f t="shared" ca="1" si="475"/>
        <v>0</v>
      </c>
      <c r="DI348" s="171">
        <f t="shared" ca="1" si="476"/>
        <v>0</v>
      </c>
      <c r="DJ348" s="171">
        <f t="shared" ca="1" si="477"/>
        <v>0</v>
      </c>
      <c r="DK348" s="171">
        <f t="shared" ca="1" si="478"/>
        <v>0</v>
      </c>
      <c r="DL348" s="171">
        <f t="shared" ca="1" si="479"/>
        <v>0</v>
      </c>
      <c r="DM348" s="171">
        <f t="shared" ca="1" si="480"/>
        <v>0</v>
      </c>
      <c r="DN348" s="171">
        <f t="shared" ca="1" si="481"/>
        <v>0</v>
      </c>
      <c r="DO348" s="171">
        <f t="shared" ca="1" si="482"/>
        <v>0</v>
      </c>
      <c r="DP348" s="171">
        <f t="shared" ca="1" si="483"/>
        <v>0</v>
      </c>
      <c r="DQ348" s="171">
        <f t="shared" ca="1" si="484"/>
        <v>0</v>
      </c>
      <c r="DR348" s="171">
        <f t="shared" ca="1" si="485"/>
        <v>0</v>
      </c>
      <c r="DS348" s="171">
        <f t="shared" ca="1" si="486"/>
        <v>0</v>
      </c>
      <c r="DT348" s="171">
        <f t="shared" ca="1" si="487"/>
        <v>0</v>
      </c>
      <c r="DU348" s="171">
        <f t="shared" ca="1" si="488"/>
        <v>0</v>
      </c>
      <c r="DV348" s="171">
        <f t="shared" ca="1" si="489"/>
        <v>0</v>
      </c>
      <c r="DW348" s="171">
        <f t="shared" ca="1" si="490"/>
        <v>0</v>
      </c>
      <c r="DX348" s="171">
        <f t="shared" ca="1" si="491"/>
        <v>0</v>
      </c>
      <c r="DY348" s="171">
        <f t="shared" ca="1" si="492"/>
        <v>0</v>
      </c>
      <c r="DZ348" s="171">
        <f t="shared" ca="1" si="493"/>
        <v>0</v>
      </c>
      <c r="EA348" s="171">
        <f t="shared" ca="1" si="494"/>
        <v>0</v>
      </c>
      <c r="EB348" s="171">
        <f t="shared" ca="1" si="495"/>
        <v>0</v>
      </c>
      <c r="EC348" s="171">
        <f t="shared" ca="1" si="496"/>
        <v>0</v>
      </c>
      <c r="ED348" s="171">
        <f t="shared" ca="1" si="497"/>
        <v>0</v>
      </c>
      <c r="EE348" s="171">
        <f t="shared" ca="1" si="498"/>
        <v>0</v>
      </c>
      <c r="EF348" s="171">
        <f t="shared" ca="1" si="499"/>
        <v>0</v>
      </c>
      <c r="EG348" s="171">
        <f t="shared" ca="1" si="500"/>
        <v>0</v>
      </c>
      <c r="EH348" s="171">
        <f t="shared" ca="1" si="501"/>
        <v>0</v>
      </c>
      <c r="EI348" s="171">
        <f t="shared" ca="1" si="502"/>
        <v>0</v>
      </c>
      <c r="EJ348" s="171">
        <f t="shared" ca="1" si="503"/>
        <v>0</v>
      </c>
      <c r="EK348" s="171">
        <f t="shared" ca="1" si="504"/>
        <v>0</v>
      </c>
      <c r="EL348" s="171">
        <f t="shared" ca="1" si="505"/>
        <v>0</v>
      </c>
      <c r="EM348" s="171">
        <f t="shared" ca="1" si="506"/>
        <v>0</v>
      </c>
      <c r="EN348" s="171">
        <f t="shared" ca="1" si="507"/>
        <v>0</v>
      </c>
      <c r="EO348" s="171">
        <f t="shared" ca="1" si="508"/>
        <v>0</v>
      </c>
      <c r="EP348" s="171">
        <f t="shared" ca="1" si="509"/>
        <v>0</v>
      </c>
      <c r="EQ348" s="171">
        <f t="shared" ca="1" si="510"/>
        <v>0</v>
      </c>
      <c r="ER348" s="171">
        <f t="shared" ca="1" si="511"/>
        <v>0</v>
      </c>
      <c r="ES348" s="171">
        <f t="shared" ca="1" si="512"/>
        <v>0</v>
      </c>
    </row>
    <row r="349" spans="3:149">
      <c r="C349" s="214"/>
      <c r="L349" s="163"/>
      <c r="M349" s="164" t="str">
        <f t="shared" si="443"/>
        <v/>
      </c>
      <c r="N349" s="164" t="str">
        <f t="shared" si="444"/>
        <v/>
      </c>
      <c r="O349" s="165" t="str">
        <f t="shared" si="445"/>
        <v/>
      </c>
      <c r="R349" s="168" t="str">
        <f t="shared" ref="R349:R373" si="537">IFERROR(IF($Q349="","",IF(($Q349-($B$9-$E349))&lt;=0,0,(Q349-($B$9-$E349)))),"NA")</f>
        <v/>
      </c>
      <c r="U349" s="171">
        <f t="shared" si="446"/>
        <v>0</v>
      </c>
      <c r="V349" s="171">
        <f t="shared" ca="1" si="447"/>
        <v>0</v>
      </c>
      <c r="W349" s="171">
        <f t="shared" ca="1" si="448"/>
        <v>0</v>
      </c>
      <c r="X349" s="172">
        <f t="shared" si="449"/>
        <v>0</v>
      </c>
      <c r="Y349" s="172" t="str">
        <f t="shared" si="450"/>
        <v/>
      </c>
      <c r="Z349" s="173">
        <f t="shared" si="451"/>
        <v>0</v>
      </c>
      <c r="AA349" s="171">
        <f t="shared" ref="AA349:AJ358" si="538">IFERROR(
    IF($T349="Equity",
        IF(AND(AA$48&gt;=$E349, AA$48&lt;=($E349+$Q349)),
$K349*$P349*(VLOOKUP($C$39,$C$37:$BL$44,MATCH($E349,$C$37:$BL$37,0),FALSE)/VLOOKUP($L349,$C$37:$BL$44,MATCH($E349,$C$37:$BL$37,0),FALSE))*
IF($B$5="Foreign Currency",VLOOKUP($C$38,$C$37:$BL$44,MATCH(AA$48,$C$37:$BL$37,0),FALSE)/VLOOKUP($C$39,$C$37:$BL$44,MATCH(AA$48,$C$37:$BL$37,0),FALSE),1),
0),
    IF($T349="Lump Sum Principal",
        IF(AND(AA$48&gt;=$E349, AA$48&lt;($E349+$Q349)),
$K349*$P349*(VLOOKUP($C$39,$C$37:$BL$44,MATCH($E349,$C$37:$BL$37,0),FALSE)/VLOOKUP($L349,$C$37:$BL$44,MATCH($E349,$C$37:$BL$37,0),FALSE))*
IF($B$5="Foreign Currency",VLOOKUP($C$38,$C$37:$BL$44,MATCH(AA$48,$C$37:$BL$37,0),FALSE)/VLOOKUP($C$39,$C$37:$BL$44,MATCH(AA$48,$C$37:$BL$37,0),FALSE),1),
        IF(AA$48=($E349+$Q349),
$K349*(1+$P349)*(VLOOKUP($C$39,$C$37:$BL$44,MATCH($E349,$C$37:$BL$37,0),FALSE)/VLOOKUP($L349,$C$37:$BL$44,MATCH($E349,$C$37:$BL$37,0),FALSE))*
IF($B$5="Foreign Currency",VLOOKUP($C$38,$C$37:$BL$44,MATCH(AA$48,$C$37:$BL$37,0),FALSE)/VLOOKUP($C$39,$C$37:$BL$44,MATCH(AA$48,$C$37:$BL$37,0),FALSE),1),
0)),
    IF($T349="Lump Sum Principal and Interest",
        IF(AA$48=($E349+$Q349),
$K349*((1+$P349)^$Q349)*(VLOOKUP($C$39,$C$37:$BL$44,MATCH($E349,$C$37:$BL$37,0),FALSE)/VLOOKUP($L349,$C$37:$BL$44,MATCH($E349,$C$37:$BL$37,0),FALSE))*
IF($B$5="Foreign Currency",VLOOKUP($C$38,$C$37:$BL$44,MATCH(AA$48,$C$37:$BL$37,0),FALSE)/VLOOKUP($C$39,$C$37:$BL$44,MATCH(AA$48,$C$37:$BL$37,0),FALSE),1),
0),
    IF($T349="EPP with Grace Years for Principal",
        IF(AND(AA$48&gt;=$E349, AA$48&lt;($E349+$S349)),
$K349*$P349*(VLOOKUP($C$39,$C$37:$BL$44,MATCH($E349,$C$37:$BL$37,0),FALSE)/VLOOKUP($L349,$C$37:$BL$44,MATCH($E349,$C$37:$BL$37,0),FALSE))*
IF($B$5="Foreign Currency",VLOOKUP($C$38,$C$37:$BL$44,MATCH(AA$48,$C$37:$BL$37,0),FALSE)/VLOOKUP($C$39,$C$37:$BL$44,MATCH(AA$48,$C$37:$BL$37,0),FALSE),1),
        IF(AND(AA$48&gt;=($E349+$S349), AA$48&lt;=($E349+$Q349)),
-PMT($P349,($Q349-$S349+1),($K349*(VLOOKUP($C$39,$C$37:$BL$44,MATCH($E349,$C$37:$BL$37,0),FALSE)/VLOOKUP($L349,$C$37:$BL$44,MATCH($E349,$C$37:$BL$37,0),FALSE))*
IF($B$5="Foreign Currency",VLOOKUP($C$38,$C$37:$BL$44,MATCH(AA$48,$C$37:$BL$37,0),FALSE)/VLOOKUP($C$39,$C$37:$BL$44,MATCH(AA$48,$C$37:$BL$37,0),FALSE),1)),0),
0)),
    IF($T349="Equal Principal Payments (EPP)",
        IF(AND(AA$48&gt;=$E349, AA$48&lt;=($E349+$Q349)),
-PMT($P349,($Q349-$S349+1),($K349*(VLOOKUP($C$39,$C$37:$BL$44,MATCH($E349,$C$37:$BL$37,0),FALSE)/VLOOKUP($L349,$C$37:$BL$44,MATCH($E349,$C$37:$BL$37,0),FALSE))*
IF($B$5="Foreign Currency",VLOOKUP($C$38,$C$37:$BL$44,MATCH(AA$48,$C$37:$BL$37,0),FALSE)/VLOOKUP($C$39,$C$37:$BL$44,MATCH(AA$48,$C$37:$BL$37,0),FALSE),1)),0), 0),
    IF($T349="EPP with Grace Years for Principal and on Interest",
        IF(AND(AA$48&gt;=($E349+$S349), AA$48&lt;=($E349+$Q349)),
-PMT($P349,($Q349-$S349+1),($K349*(VLOOKUP($C$39,$C$37:$BL$44,MATCH($E349,$C$37:$BL$37,0),FALSE)/VLOOKUP($L349,$C$37:$BL$44,MATCH($E349,$C$37:$BL$37,0),FALSE))*
IF($B$5="Foreign Currency",VLOOKUP($C$38,$C$37:$BL$44,MATCH(AA$48,$C$37:$BL$37,0),FALSE)/VLOOKUP($C$39,$C$37:$BL$44,MATCH(AA$48,$C$37:$BL$37,0),FALSE),1))*((1+$P349)^$S349),0), 0),
    0)))))),"")</f>
        <v>0</v>
      </c>
      <c r="AB349" s="171">
        <f t="shared" si="538"/>
        <v>0</v>
      </c>
      <c r="AC349" s="171">
        <f t="shared" si="538"/>
        <v>0</v>
      </c>
      <c r="AD349" s="171">
        <f t="shared" si="538"/>
        <v>0</v>
      </c>
      <c r="AE349" s="171">
        <f t="shared" si="538"/>
        <v>0</v>
      </c>
      <c r="AF349" s="171">
        <f t="shared" si="538"/>
        <v>0</v>
      </c>
      <c r="AG349" s="171">
        <f t="shared" si="538"/>
        <v>0</v>
      </c>
      <c r="AH349" s="171">
        <f t="shared" si="538"/>
        <v>0</v>
      </c>
      <c r="AI349" s="171">
        <f t="shared" si="538"/>
        <v>0</v>
      </c>
      <c r="AJ349" s="171">
        <f t="shared" si="538"/>
        <v>0</v>
      </c>
      <c r="AK349" s="171">
        <f t="shared" ref="AK349:AT358" si="539">IFERROR(
    IF($T349="Equity",
        IF(AND(AK$48&gt;=$E349, AK$48&lt;=($E349+$Q349)),
$K349*$P349*(VLOOKUP($C$39,$C$37:$BL$44,MATCH($E349,$C$37:$BL$37,0),FALSE)/VLOOKUP($L349,$C$37:$BL$44,MATCH($E349,$C$37:$BL$37,0),FALSE))*
IF($B$5="Foreign Currency",VLOOKUP($C$38,$C$37:$BL$44,MATCH(AK$48,$C$37:$BL$37,0),FALSE)/VLOOKUP($C$39,$C$37:$BL$44,MATCH(AK$48,$C$37:$BL$37,0),FALSE),1),
0),
    IF($T349="Lump Sum Principal",
        IF(AND(AK$48&gt;=$E349, AK$48&lt;($E349+$Q349)),
$K349*$P349*(VLOOKUP($C$39,$C$37:$BL$44,MATCH($E349,$C$37:$BL$37,0),FALSE)/VLOOKUP($L349,$C$37:$BL$44,MATCH($E349,$C$37:$BL$37,0),FALSE))*
IF($B$5="Foreign Currency",VLOOKUP($C$38,$C$37:$BL$44,MATCH(AK$48,$C$37:$BL$37,0),FALSE)/VLOOKUP($C$39,$C$37:$BL$44,MATCH(AK$48,$C$37:$BL$37,0),FALSE),1),
        IF(AK$48=($E349+$Q349),
$K349*(1+$P349)*(VLOOKUP($C$39,$C$37:$BL$44,MATCH($E349,$C$37:$BL$37,0),FALSE)/VLOOKUP($L349,$C$37:$BL$44,MATCH($E349,$C$37:$BL$37,0),FALSE))*
IF($B$5="Foreign Currency",VLOOKUP($C$38,$C$37:$BL$44,MATCH(AK$48,$C$37:$BL$37,0),FALSE)/VLOOKUP($C$39,$C$37:$BL$44,MATCH(AK$48,$C$37:$BL$37,0),FALSE),1),
0)),
    IF($T349="Lump Sum Principal and Interest",
        IF(AK$48=($E349+$Q349),
$K349*((1+$P349)^$Q349)*(VLOOKUP($C$39,$C$37:$BL$44,MATCH($E349,$C$37:$BL$37,0),FALSE)/VLOOKUP($L349,$C$37:$BL$44,MATCH($E349,$C$37:$BL$37,0),FALSE))*
IF($B$5="Foreign Currency",VLOOKUP($C$38,$C$37:$BL$44,MATCH(AK$48,$C$37:$BL$37,0),FALSE)/VLOOKUP($C$39,$C$37:$BL$44,MATCH(AK$48,$C$37:$BL$37,0),FALSE),1),
0),
    IF($T349="EPP with Grace Years for Principal",
        IF(AND(AK$48&gt;=$E349, AK$48&lt;($E349+$S349)),
$K349*$P349*(VLOOKUP($C$39,$C$37:$BL$44,MATCH($E349,$C$37:$BL$37,0),FALSE)/VLOOKUP($L349,$C$37:$BL$44,MATCH($E349,$C$37:$BL$37,0),FALSE))*
IF($B$5="Foreign Currency",VLOOKUP($C$38,$C$37:$BL$44,MATCH(AK$48,$C$37:$BL$37,0),FALSE)/VLOOKUP($C$39,$C$37:$BL$44,MATCH(AK$48,$C$37:$BL$37,0),FALSE),1),
        IF(AND(AK$48&gt;=($E349+$S349), AK$48&lt;=($E349+$Q349)),
-PMT($P349,($Q349-$S349+1),($K349*(VLOOKUP($C$39,$C$37:$BL$44,MATCH($E349,$C$37:$BL$37,0),FALSE)/VLOOKUP($L349,$C$37:$BL$44,MATCH($E349,$C$37:$BL$37,0),FALSE))*
IF($B$5="Foreign Currency",VLOOKUP($C$38,$C$37:$BL$44,MATCH(AK$48,$C$37:$BL$37,0),FALSE)/VLOOKUP($C$39,$C$37:$BL$44,MATCH(AK$48,$C$37:$BL$37,0),FALSE),1)),0),
0)),
    IF($T349="Equal Principal Payments (EPP)",
        IF(AND(AK$48&gt;=$E349, AK$48&lt;=($E349+$Q349)),
-PMT($P349,($Q349-$S349+1),($K349*(VLOOKUP($C$39,$C$37:$BL$44,MATCH($E349,$C$37:$BL$37,0),FALSE)/VLOOKUP($L349,$C$37:$BL$44,MATCH($E349,$C$37:$BL$37,0),FALSE))*
IF($B$5="Foreign Currency",VLOOKUP($C$38,$C$37:$BL$44,MATCH(AK$48,$C$37:$BL$37,0),FALSE)/VLOOKUP($C$39,$C$37:$BL$44,MATCH(AK$48,$C$37:$BL$37,0),FALSE),1)),0), 0),
    IF($T349="EPP with Grace Years for Principal and on Interest",
        IF(AND(AK$48&gt;=($E349+$S349), AK$48&lt;=($E349+$Q349)),
-PMT($P349,($Q349-$S349+1),($K349*(VLOOKUP($C$39,$C$37:$BL$44,MATCH($E349,$C$37:$BL$37,0),FALSE)/VLOOKUP($L349,$C$37:$BL$44,MATCH($E349,$C$37:$BL$37,0),FALSE))*
IF($B$5="Foreign Currency",VLOOKUP($C$38,$C$37:$BL$44,MATCH(AK$48,$C$37:$BL$37,0),FALSE)/VLOOKUP($C$39,$C$37:$BL$44,MATCH(AK$48,$C$37:$BL$37,0),FALSE),1))*((1+$P349)^$S349),0), 0),
    0)))))),"")</f>
        <v>0</v>
      </c>
      <c r="AL349" s="171">
        <f t="shared" si="539"/>
        <v>0</v>
      </c>
      <c r="AM349" s="171">
        <f t="shared" si="539"/>
        <v>0</v>
      </c>
      <c r="AN349" s="171">
        <f t="shared" si="539"/>
        <v>0</v>
      </c>
      <c r="AO349" s="171">
        <f t="shared" si="539"/>
        <v>0</v>
      </c>
      <c r="AP349" s="171">
        <f t="shared" si="539"/>
        <v>0</v>
      </c>
      <c r="AQ349" s="171">
        <f t="shared" si="539"/>
        <v>0</v>
      </c>
      <c r="AR349" s="171">
        <f t="shared" si="539"/>
        <v>0</v>
      </c>
      <c r="AS349" s="171">
        <f t="shared" si="539"/>
        <v>0</v>
      </c>
      <c r="AT349" s="171">
        <f t="shared" si="539"/>
        <v>0</v>
      </c>
      <c r="AU349" s="171">
        <f t="shared" ref="AU349:BD358" si="540">IFERROR(
    IF($T349="Equity",
        IF(AND(AU$48&gt;=$E349, AU$48&lt;=($E349+$Q349)),
$K349*$P349*(VLOOKUP($C$39,$C$37:$BL$44,MATCH($E349,$C$37:$BL$37,0),FALSE)/VLOOKUP($L349,$C$37:$BL$44,MATCH($E349,$C$37:$BL$37,0),FALSE))*
IF($B$5="Foreign Currency",VLOOKUP($C$38,$C$37:$BL$44,MATCH(AU$48,$C$37:$BL$37,0),FALSE)/VLOOKUP($C$39,$C$37:$BL$44,MATCH(AU$48,$C$37:$BL$37,0),FALSE),1),
0),
    IF($T349="Lump Sum Principal",
        IF(AND(AU$48&gt;=$E349, AU$48&lt;($E349+$Q349)),
$K349*$P349*(VLOOKUP($C$39,$C$37:$BL$44,MATCH($E349,$C$37:$BL$37,0),FALSE)/VLOOKUP($L349,$C$37:$BL$44,MATCH($E349,$C$37:$BL$37,0),FALSE))*
IF($B$5="Foreign Currency",VLOOKUP($C$38,$C$37:$BL$44,MATCH(AU$48,$C$37:$BL$37,0),FALSE)/VLOOKUP($C$39,$C$37:$BL$44,MATCH(AU$48,$C$37:$BL$37,0),FALSE),1),
        IF(AU$48=($E349+$Q349),
$K349*(1+$P349)*(VLOOKUP($C$39,$C$37:$BL$44,MATCH($E349,$C$37:$BL$37,0),FALSE)/VLOOKUP($L349,$C$37:$BL$44,MATCH($E349,$C$37:$BL$37,0),FALSE))*
IF($B$5="Foreign Currency",VLOOKUP($C$38,$C$37:$BL$44,MATCH(AU$48,$C$37:$BL$37,0),FALSE)/VLOOKUP($C$39,$C$37:$BL$44,MATCH(AU$48,$C$37:$BL$37,0),FALSE),1),
0)),
    IF($T349="Lump Sum Principal and Interest",
        IF(AU$48=($E349+$Q349),
$K349*((1+$P349)^$Q349)*(VLOOKUP($C$39,$C$37:$BL$44,MATCH($E349,$C$37:$BL$37,0),FALSE)/VLOOKUP($L349,$C$37:$BL$44,MATCH($E349,$C$37:$BL$37,0),FALSE))*
IF($B$5="Foreign Currency",VLOOKUP($C$38,$C$37:$BL$44,MATCH(AU$48,$C$37:$BL$37,0),FALSE)/VLOOKUP($C$39,$C$37:$BL$44,MATCH(AU$48,$C$37:$BL$37,0),FALSE),1),
0),
    IF($T349="EPP with Grace Years for Principal",
        IF(AND(AU$48&gt;=$E349, AU$48&lt;($E349+$S349)),
$K349*$P349*(VLOOKUP($C$39,$C$37:$BL$44,MATCH($E349,$C$37:$BL$37,0),FALSE)/VLOOKUP($L349,$C$37:$BL$44,MATCH($E349,$C$37:$BL$37,0),FALSE))*
IF($B$5="Foreign Currency",VLOOKUP($C$38,$C$37:$BL$44,MATCH(AU$48,$C$37:$BL$37,0),FALSE)/VLOOKUP($C$39,$C$37:$BL$44,MATCH(AU$48,$C$37:$BL$37,0),FALSE),1),
        IF(AND(AU$48&gt;=($E349+$S349), AU$48&lt;=($E349+$Q349)),
-PMT($P349,($Q349-$S349+1),($K349*(VLOOKUP($C$39,$C$37:$BL$44,MATCH($E349,$C$37:$BL$37,0),FALSE)/VLOOKUP($L349,$C$37:$BL$44,MATCH($E349,$C$37:$BL$37,0),FALSE))*
IF($B$5="Foreign Currency",VLOOKUP($C$38,$C$37:$BL$44,MATCH(AU$48,$C$37:$BL$37,0),FALSE)/VLOOKUP($C$39,$C$37:$BL$44,MATCH(AU$48,$C$37:$BL$37,0),FALSE),1)),0),
0)),
    IF($T349="Equal Principal Payments (EPP)",
        IF(AND(AU$48&gt;=$E349, AU$48&lt;=($E349+$Q349)),
-PMT($P349,($Q349-$S349+1),($K349*(VLOOKUP($C$39,$C$37:$BL$44,MATCH($E349,$C$37:$BL$37,0),FALSE)/VLOOKUP($L349,$C$37:$BL$44,MATCH($E349,$C$37:$BL$37,0),FALSE))*
IF($B$5="Foreign Currency",VLOOKUP($C$38,$C$37:$BL$44,MATCH(AU$48,$C$37:$BL$37,0),FALSE)/VLOOKUP($C$39,$C$37:$BL$44,MATCH(AU$48,$C$37:$BL$37,0),FALSE),1)),0), 0),
    IF($T349="EPP with Grace Years for Principal and on Interest",
        IF(AND(AU$48&gt;=($E349+$S349), AU$48&lt;=($E349+$Q349)),
-PMT($P349,($Q349-$S349+1),($K349*(VLOOKUP($C$39,$C$37:$BL$44,MATCH($E349,$C$37:$BL$37,0),FALSE)/VLOOKUP($L349,$C$37:$BL$44,MATCH($E349,$C$37:$BL$37,0),FALSE))*
IF($B$5="Foreign Currency",VLOOKUP($C$38,$C$37:$BL$44,MATCH(AU$48,$C$37:$BL$37,0),FALSE)/VLOOKUP($C$39,$C$37:$BL$44,MATCH(AU$48,$C$37:$BL$37,0),FALSE),1))*((1+$P349)^$S349),0), 0),
    0)))))),"")</f>
        <v>0</v>
      </c>
      <c r="AV349" s="171">
        <f t="shared" si="540"/>
        <v>0</v>
      </c>
      <c r="AW349" s="171">
        <f t="shared" si="540"/>
        <v>0</v>
      </c>
      <c r="AX349" s="171">
        <f t="shared" si="540"/>
        <v>0</v>
      </c>
      <c r="AY349" s="171">
        <f t="shared" si="540"/>
        <v>0</v>
      </c>
      <c r="AZ349" s="171">
        <f t="shared" si="540"/>
        <v>0</v>
      </c>
      <c r="BA349" s="171">
        <f t="shared" si="540"/>
        <v>0</v>
      </c>
      <c r="BB349" s="171">
        <f t="shared" si="540"/>
        <v>0</v>
      </c>
      <c r="BC349" s="171">
        <f t="shared" si="540"/>
        <v>0</v>
      </c>
      <c r="BD349" s="171">
        <f t="shared" si="540"/>
        <v>0</v>
      </c>
      <c r="BE349" s="171">
        <f t="shared" ref="BE349:BN358" si="541">IFERROR(
    IF($T349="Equity",
        IF(AND(BE$48&gt;=$E349, BE$48&lt;=($E349+$Q349)),
$K349*$P349*(VLOOKUP($C$39,$C$37:$BL$44,MATCH($E349,$C$37:$BL$37,0),FALSE)/VLOOKUP($L349,$C$37:$BL$44,MATCH($E349,$C$37:$BL$37,0),FALSE))*
IF($B$5="Foreign Currency",VLOOKUP($C$38,$C$37:$BL$44,MATCH(BE$48,$C$37:$BL$37,0),FALSE)/VLOOKUP($C$39,$C$37:$BL$44,MATCH(BE$48,$C$37:$BL$37,0),FALSE),1),
0),
    IF($T349="Lump Sum Principal",
        IF(AND(BE$48&gt;=$E349, BE$48&lt;($E349+$Q349)),
$K349*$P349*(VLOOKUP($C$39,$C$37:$BL$44,MATCH($E349,$C$37:$BL$37,0),FALSE)/VLOOKUP($L349,$C$37:$BL$44,MATCH($E349,$C$37:$BL$37,0),FALSE))*
IF($B$5="Foreign Currency",VLOOKUP($C$38,$C$37:$BL$44,MATCH(BE$48,$C$37:$BL$37,0),FALSE)/VLOOKUP($C$39,$C$37:$BL$44,MATCH(BE$48,$C$37:$BL$37,0),FALSE),1),
        IF(BE$48=($E349+$Q349),
$K349*(1+$P349)*(VLOOKUP($C$39,$C$37:$BL$44,MATCH($E349,$C$37:$BL$37,0),FALSE)/VLOOKUP($L349,$C$37:$BL$44,MATCH($E349,$C$37:$BL$37,0),FALSE))*
IF($B$5="Foreign Currency",VLOOKUP($C$38,$C$37:$BL$44,MATCH(BE$48,$C$37:$BL$37,0),FALSE)/VLOOKUP($C$39,$C$37:$BL$44,MATCH(BE$48,$C$37:$BL$37,0),FALSE),1),
0)),
    IF($T349="Lump Sum Principal and Interest",
        IF(BE$48=($E349+$Q349),
$K349*((1+$P349)^$Q349)*(VLOOKUP($C$39,$C$37:$BL$44,MATCH($E349,$C$37:$BL$37,0),FALSE)/VLOOKUP($L349,$C$37:$BL$44,MATCH($E349,$C$37:$BL$37,0),FALSE))*
IF($B$5="Foreign Currency",VLOOKUP($C$38,$C$37:$BL$44,MATCH(BE$48,$C$37:$BL$37,0),FALSE)/VLOOKUP($C$39,$C$37:$BL$44,MATCH(BE$48,$C$37:$BL$37,0),FALSE),1),
0),
    IF($T349="EPP with Grace Years for Principal",
        IF(AND(BE$48&gt;=$E349, BE$48&lt;($E349+$S349)),
$K349*$P349*(VLOOKUP($C$39,$C$37:$BL$44,MATCH($E349,$C$37:$BL$37,0),FALSE)/VLOOKUP($L349,$C$37:$BL$44,MATCH($E349,$C$37:$BL$37,0),FALSE))*
IF($B$5="Foreign Currency",VLOOKUP($C$38,$C$37:$BL$44,MATCH(BE$48,$C$37:$BL$37,0),FALSE)/VLOOKUP($C$39,$C$37:$BL$44,MATCH(BE$48,$C$37:$BL$37,0),FALSE),1),
        IF(AND(BE$48&gt;=($E349+$S349), BE$48&lt;=($E349+$Q349)),
-PMT($P349,($Q349-$S349+1),($K349*(VLOOKUP($C$39,$C$37:$BL$44,MATCH($E349,$C$37:$BL$37,0),FALSE)/VLOOKUP($L349,$C$37:$BL$44,MATCH($E349,$C$37:$BL$37,0),FALSE))*
IF($B$5="Foreign Currency",VLOOKUP($C$38,$C$37:$BL$44,MATCH(BE$48,$C$37:$BL$37,0),FALSE)/VLOOKUP($C$39,$C$37:$BL$44,MATCH(BE$48,$C$37:$BL$37,0),FALSE),1)),0),
0)),
    IF($T349="Equal Principal Payments (EPP)",
        IF(AND(BE$48&gt;=$E349, BE$48&lt;=($E349+$Q349)),
-PMT($P349,($Q349-$S349+1),($K349*(VLOOKUP($C$39,$C$37:$BL$44,MATCH($E349,$C$37:$BL$37,0),FALSE)/VLOOKUP($L349,$C$37:$BL$44,MATCH($E349,$C$37:$BL$37,0),FALSE))*
IF($B$5="Foreign Currency",VLOOKUP($C$38,$C$37:$BL$44,MATCH(BE$48,$C$37:$BL$37,0),FALSE)/VLOOKUP($C$39,$C$37:$BL$44,MATCH(BE$48,$C$37:$BL$37,0),FALSE),1)),0), 0),
    IF($T349="EPP with Grace Years for Principal and on Interest",
        IF(AND(BE$48&gt;=($E349+$S349), BE$48&lt;=($E349+$Q349)),
-PMT($P349,($Q349-$S349+1),($K349*(VLOOKUP($C$39,$C$37:$BL$44,MATCH($E349,$C$37:$BL$37,0),FALSE)/VLOOKUP($L349,$C$37:$BL$44,MATCH($E349,$C$37:$BL$37,0),FALSE))*
IF($B$5="Foreign Currency",VLOOKUP($C$38,$C$37:$BL$44,MATCH(BE$48,$C$37:$BL$37,0),FALSE)/VLOOKUP($C$39,$C$37:$BL$44,MATCH(BE$48,$C$37:$BL$37,0),FALSE),1))*((1+$P349)^$S349),0), 0),
    0)))))),"")</f>
        <v>0</v>
      </c>
      <c r="BF349" s="171">
        <f t="shared" si="541"/>
        <v>0</v>
      </c>
      <c r="BG349" s="171">
        <f t="shared" si="541"/>
        <v>0</v>
      </c>
      <c r="BH349" s="171">
        <f t="shared" si="541"/>
        <v>0</v>
      </c>
      <c r="BI349" s="171">
        <f t="shared" si="541"/>
        <v>0</v>
      </c>
      <c r="BJ349" s="171">
        <f t="shared" si="541"/>
        <v>0</v>
      </c>
      <c r="BK349" s="171">
        <f t="shared" si="541"/>
        <v>0</v>
      </c>
      <c r="BL349" s="171">
        <f t="shared" si="541"/>
        <v>0</v>
      </c>
      <c r="BM349" s="171">
        <f t="shared" si="541"/>
        <v>0</v>
      </c>
      <c r="BN349" s="171">
        <f t="shared" si="541"/>
        <v>0</v>
      </c>
      <c r="BO349" s="171">
        <f t="shared" ref="BO349:BX358" si="542">IFERROR(
    IF($T349="Equity",
        IF(AND(BO$48&gt;=$E349, BO$48&lt;=($E349+$Q349)),
$K349*$P349*(VLOOKUP($C$39,$C$37:$BL$44,MATCH($E349,$C$37:$BL$37,0),FALSE)/VLOOKUP($L349,$C$37:$BL$44,MATCH($E349,$C$37:$BL$37,0),FALSE))*
IF($B$5="Foreign Currency",VLOOKUP($C$38,$C$37:$BL$44,MATCH(BO$48,$C$37:$BL$37,0),FALSE)/VLOOKUP($C$39,$C$37:$BL$44,MATCH(BO$48,$C$37:$BL$37,0),FALSE),1),
0),
    IF($T349="Lump Sum Principal",
        IF(AND(BO$48&gt;=$E349, BO$48&lt;($E349+$Q349)),
$K349*$P349*(VLOOKUP($C$39,$C$37:$BL$44,MATCH($E349,$C$37:$BL$37,0),FALSE)/VLOOKUP($L349,$C$37:$BL$44,MATCH($E349,$C$37:$BL$37,0),FALSE))*
IF($B$5="Foreign Currency",VLOOKUP($C$38,$C$37:$BL$44,MATCH(BO$48,$C$37:$BL$37,0),FALSE)/VLOOKUP($C$39,$C$37:$BL$44,MATCH(BO$48,$C$37:$BL$37,0),FALSE),1),
        IF(BO$48=($E349+$Q349),
$K349*(1+$P349)*(VLOOKUP($C$39,$C$37:$BL$44,MATCH($E349,$C$37:$BL$37,0),FALSE)/VLOOKUP($L349,$C$37:$BL$44,MATCH($E349,$C$37:$BL$37,0),FALSE))*
IF($B$5="Foreign Currency",VLOOKUP($C$38,$C$37:$BL$44,MATCH(BO$48,$C$37:$BL$37,0),FALSE)/VLOOKUP($C$39,$C$37:$BL$44,MATCH(BO$48,$C$37:$BL$37,0),FALSE),1),
0)),
    IF($T349="Lump Sum Principal and Interest",
        IF(BO$48=($E349+$Q349),
$K349*((1+$P349)^$Q349)*(VLOOKUP($C$39,$C$37:$BL$44,MATCH($E349,$C$37:$BL$37,0),FALSE)/VLOOKUP($L349,$C$37:$BL$44,MATCH($E349,$C$37:$BL$37,0),FALSE))*
IF($B$5="Foreign Currency",VLOOKUP($C$38,$C$37:$BL$44,MATCH(BO$48,$C$37:$BL$37,0),FALSE)/VLOOKUP($C$39,$C$37:$BL$44,MATCH(BO$48,$C$37:$BL$37,0),FALSE),1),
0),
    IF($T349="EPP with Grace Years for Principal",
        IF(AND(BO$48&gt;=$E349, BO$48&lt;($E349+$S349)),
$K349*$P349*(VLOOKUP($C$39,$C$37:$BL$44,MATCH($E349,$C$37:$BL$37,0),FALSE)/VLOOKUP($L349,$C$37:$BL$44,MATCH($E349,$C$37:$BL$37,0),FALSE))*
IF($B$5="Foreign Currency",VLOOKUP($C$38,$C$37:$BL$44,MATCH(BO$48,$C$37:$BL$37,0),FALSE)/VLOOKUP($C$39,$C$37:$BL$44,MATCH(BO$48,$C$37:$BL$37,0),FALSE),1),
        IF(AND(BO$48&gt;=($E349+$S349), BO$48&lt;=($E349+$Q349)),
-PMT($P349,($Q349-$S349+1),($K349*(VLOOKUP($C$39,$C$37:$BL$44,MATCH($E349,$C$37:$BL$37,0),FALSE)/VLOOKUP($L349,$C$37:$BL$44,MATCH($E349,$C$37:$BL$37,0),FALSE))*
IF($B$5="Foreign Currency",VLOOKUP($C$38,$C$37:$BL$44,MATCH(BO$48,$C$37:$BL$37,0),FALSE)/VLOOKUP($C$39,$C$37:$BL$44,MATCH(BO$48,$C$37:$BL$37,0),FALSE),1)),0),
0)),
    IF($T349="Equal Principal Payments (EPP)",
        IF(AND(BO$48&gt;=$E349, BO$48&lt;=($E349+$Q349)),
-PMT($P349,($Q349-$S349+1),($K349*(VLOOKUP($C$39,$C$37:$BL$44,MATCH($E349,$C$37:$BL$37,0),FALSE)/VLOOKUP($L349,$C$37:$BL$44,MATCH($E349,$C$37:$BL$37,0),FALSE))*
IF($B$5="Foreign Currency",VLOOKUP($C$38,$C$37:$BL$44,MATCH(BO$48,$C$37:$BL$37,0),FALSE)/VLOOKUP($C$39,$C$37:$BL$44,MATCH(BO$48,$C$37:$BL$37,0),FALSE),1)),0), 0),
    IF($T349="EPP with Grace Years for Principal and on Interest",
        IF(AND(BO$48&gt;=($E349+$S349), BO$48&lt;=($E349+$Q349)),
-PMT($P349,($Q349-$S349+1),($K349*(VLOOKUP($C$39,$C$37:$BL$44,MATCH($E349,$C$37:$BL$37,0),FALSE)/VLOOKUP($L349,$C$37:$BL$44,MATCH($E349,$C$37:$BL$37,0),FALSE))*
IF($B$5="Foreign Currency",VLOOKUP($C$38,$C$37:$BL$44,MATCH(BO$48,$C$37:$BL$37,0),FALSE)/VLOOKUP($C$39,$C$37:$BL$44,MATCH(BO$48,$C$37:$BL$37,0),FALSE),1))*((1+$P349)^$S349),0), 0),
    0)))))),"")</f>
        <v>0</v>
      </c>
      <c r="BP349" s="171">
        <f t="shared" si="542"/>
        <v>0</v>
      </c>
      <c r="BQ349" s="171">
        <f t="shared" si="542"/>
        <v>0</v>
      </c>
      <c r="BR349" s="171">
        <f t="shared" si="542"/>
        <v>0</v>
      </c>
      <c r="BS349" s="171">
        <f t="shared" si="542"/>
        <v>0</v>
      </c>
      <c r="BT349" s="171">
        <f t="shared" si="542"/>
        <v>0</v>
      </c>
      <c r="BU349" s="171">
        <f t="shared" si="542"/>
        <v>0</v>
      </c>
      <c r="BV349" s="171">
        <f t="shared" si="542"/>
        <v>0</v>
      </c>
      <c r="BW349" s="171">
        <f t="shared" si="542"/>
        <v>0</v>
      </c>
      <c r="BX349" s="171">
        <f t="shared" si="542"/>
        <v>0</v>
      </c>
      <c r="BY349" s="171">
        <f t="shared" ref="BY349:CI358" si="543">IFERROR(
    IF($T349="Equity",
        IF(AND(BY$48&gt;=$E349, BY$48&lt;=($E349+$Q349)),
$K349*$P349*(VLOOKUP($C$39,$C$37:$BL$44,MATCH($E349,$C$37:$BL$37,0),FALSE)/VLOOKUP($L349,$C$37:$BL$44,MATCH($E349,$C$37:$BL$37,0),FALSE))*
IF($B$5="Foreign Currency",VLOOKUP($C$38,$C$37:$BL$44,MATCH(BY$48,$C$37:$BL$37,0),FALSE)/VLOOKUP($C$39,$C$37:$BL$44,MATCH(BY$48,$C$37:$BL$37,0),FALSE),1),
0),
    IF($T349="Lump Sum Principal",
        IF(AND(BY$48&gt;=$E349, BY$48&lt;($E349+$Q349)),
$K349*$P349*(VLOOKUP($C$39,$C$37:$BL$44,MATCH($E349,$C$37:$BL$37,0),FALSE)/VLOOKUP($L349,$C$37:$BL$44,MATCH($E349,$C$37:$BL$37,0),FALSE))*
IF($B$5="Foreign Currency",VLOOKUP($C$38,$C$37:$BL$44,MATCH(BY$48,$C$37:$BL$37,0),FALSE)/VLOOKUP($C$39,$C$37:$BL$44,MATCH(BY$48,$C$37:$BL$37,0),FALSE),1),
        IF(BY$48=($E349+$Q349),
$K349*(1+$P349)*(VLOOKUP($C$39,$C$37:$BL$44,MATCH($E349,$C$37:$BL$37,0),FALSE)/VLOOKUP($L349,$C$37:$BL$44,MATCH($E349,$C$37:$BL$37,0),FALSE))*
IF($B$5="Foreign Currency",VLOOKUP($C$38,$C$37:$BL$44,MATCH(BY$48,$C$37:$BL$37,0),FALSE)/VLOOKUP($C$39,$C$37:$BL$44,MATCH(BY$48,$C$37:$BL$37,0),FALSE),1),
0)),
    IF($T349="Lump Sum Principal and Interest",
        IF(BY$48=($E349+$Q349),
$K349*((1+$P349)^$Q349)*(VLOOKUP($C$39,$C$37:$BL$44,MATCH($E349,$C$37:$BL$37,0),FALSE)/VLOOKUP($L349,$C$37:$BL$44,MATCH($E349,$C$37:$BL$37,0),FALSE))*
IF($B$5="Foreign Currency",VLOOKUP($C$38,$C$37:$BL$44,MATCH(BY$48,$C$37:$BL$37,0),FALSE)/VLOOKUP($C$39,$C$37:$BL$44,MATCH(BY$48,$C$37:$BL$37,0),FALSE),1),
0),
    IF($T349="EPP with Grace Years for Principal",
        IF(AND(BY$48&gt;=$E349, BY$48&lt;($E349+$S349)),
$K349*$P349*(VLOOKUP($C$39,$C$37:$BL$44,MATCH($E349,$C$37:$BL$37,0),FALSE)/VLOOKUP($L349,$C$37:$BL$44,MATCH($E349,$C$37:$BL$37,0),FALSE))*
IF($B$5="Foreign Currency",VLOOKUP($C$38,$C$37:$BL$44,MATCH(BY$48,$C$37:$BL$37,0),FALSE)/VLOOKUP($C$39,$C$37:$BL$44,MATCH(BY$48,$C$37:$BL$37,0),FALSE),1),
        IF(AND(BY$48&gt;=($E349+$S349), BY$48&lt;=($E349+$Q349)),
-PMT($P349,($Q349-$S349+1),($K349*(VLOOKUP($C$39,$C$37:$BL$44,MATCH($E349,$C$37:$BL$37,0),FALSE)/VLOOKUP($L349,$C$37:$BL$44,MATCH($E349,$C$37:$BL$37,0),FALSE))*
IF($B$5="Foreign Currency",VLOOKUP($C$38,$C$37:$BL$44,MATCH(BY$48,$C$37:$BL$37,0),FALSE)/VLOOKUP($C$39,$C$37:$BL$44,MATCH(BY$48,$C$37:$BL$37,0),FALSE),1)),0),
0)),
    IF($T349="Equal Principal Payments (EPP)",
        IF(AND(BY$48&gt;=$E349, BY$48&lt;=($E349+$Q349)),
-PMT($P349,($Q349-$S349+1),($K349*(VLOOKUP($C$39,$C$37:$BL$44,MATCH($E349,$C$37:$BL$37,0),FALSE)/VLOOKUP($L349,$C$37:$BL$44,MATCH($E349,$C$37:$BL$37,0),FALSE))*
IF($B$5="Foreign Currency",VLOOKUP($C$38,$C$37:$BL$44,MATCH(BY$48,$C$37:$BL$37,0),FALSE)/VLOOKUP($C$39,$C$37:$BL$44,MATCH(BY$48,$C$37:$BL$37,0),FALSE),1)),0), 0),
    IF($T349="EPP with Grace Years for Principal and on Interest",
        IF(AND(BY$48&gt;=($E349+$S349), BY$48&lt;=($E349+$Q349)),
-PMT($P349,($Q349-$S349+1),($K349*(VLOOKUP($C$39,$C$37:$BL$44,MATCH($E349,$C$37:$BL$37,0),FALSE)/VLOOKUP($L349,$C$37:$BL$44,MATCH($E349,$C$37:$BL$37,0),FALSE))*
IF($B$5="Foreign Currency",VLOOKUP($C$38,$C$37:$BL$44,MATCH(BY$48,$C$37:$BL$37,0),FALSE)/VLOOKUP($C$39,$C$37:$BL$44,MATCH(BY$48,$C$37:$BL$37,0),FALSE),1))*((1+$P349)^$S349),0), 0),
    0)))))),"")</f>
        <v>0</v>
      </c>
      <c r="BZ349" s="171">
        <f t="shared" si="543"/>
        <v>0</v>
      </c>
      <c r="CA349" s="171">
        <f t="shared" si="543"/>
        <v>0</v>
      </c>
      <c r="CB349" s="171">
        <f t="shared" si="543"/>
        <v>0</v>
      </c>
      <c r="CC349" s="171">
        <f t="shared" si="543"/>
        <v>0</v>
      </c>
      <c r="CD349" s="171">
        <f t="shared" si="543"/>
        <v>0</v>
      </c>
      <c r="CE349" s="171">
        <f t="shared" si="543"/>
        <v>0</v>
      </c>
      <c r="CF349" s="171">
        <f t="shared" si="543"/>
        <v>0</v>
      </c>
      <c r="CG349" s="171">
        <f t="shared" si="543"/>
        <v>0</v>
      </c>
      <c r="CH349" s="171">
        <f t="shared" si="543"/>
        <v>0</v>
      </c>
      <c r="CI349" s="171">
        <f t="shared" si="543"/>
        <v>0</v>
      </c>
      <c r="CJ349" s="243"/>
      <c r="CK349" s="171">
        <f t="shared" si="452"/>
        <v>0</v>
      </c>
      <c r="CL349" s="171">
        <f t="shared" si="453"/>
        <v>0</v>
      </c>
      <c r="CM349" s="171">
        <f t="shared" si="454"/>
        <v>0</v>
      </c>
      <c r="CN349" s="171">
        <f t="shared" si="455"/>
        <v>0</v>
      </c>
      <c r="CO349" s="171">
        <f t="shared" si="456"/>
        <v>0</v>
      </c>
      <c r="CP349" s="171">
        <f t="shared" si="457"/>
        <v>0</v>
      </c>
      <c r="CQ349" s="171">
        <f t="shared" si="458"/>
        <v>0</v>
      </c>
      <c r="CR349" s="171">
        <f t="shared" si="459"/>
        <v>0</v>
      </c>
      <c r="CS349" s="171">
        <f t="shared" si="460"/>
        <v>0</v>
      </c>
      <c r="CT349" s="171">
        <f t="shared" si="461"/>
        <v>0</v>
      </c>
      <c r="CU349" s="171">
        <f t="shared" si="462"/>
        <v>0</v>
      </c>
      <c r="CV349" s="171">
        <f t="shared" si="463"/>
        <v>0</v>
      </c>
      <c r="CW349" s="171">
        <f t="shared" si="464"/>
        <v>0</v>
      </c>
      <c r="CX349" s="171">
        <f t="shared" si="465"/>
        <v>0</v>
      </c>
      <c r="CY349" s="171">
        <f t="shared" ca="1" si="466"/>
        <v>0</v>
      </c>
      <c r="CZ349" s="171">
        <f t="shared" ca="1" si="467"/>
        <v>0</v>
      </c>
      <c r="DA349" s="171">
        <f t="shared" ca="1" si="468"/>
        <v>0</v>
      </c>
      <c r="DB349" s="171">
        <f t="shared" ca="1" si="469"/>
        <v>0</v>
      </c>
      <c r="DC349" s="171">
        <f t="shared" ca="1" si="470"/>
        <v>0</v>
      </c>
      <c r="DD349" s="171">
        <f t="shared" ca="1" si="471"/>
        <v>0</v>
      </c>
      <c r="DE349" s="171">
        <f t="shared" ca="1" si="472"/>
        <v>0</v>
      </c>
      <c r="DF349" s="171">
        <f t="shared" ca="1" si="473"/>
        <v>0</v>
      </c>
      <c r="DG349" s="171">
        <f t="shared" ca="1" si="474"/>
        <v>0</v>
      </c>
      <c r="DH349" s="171">
        <f t="shared" ca="1" si="475"/>
        <v>0</v>
      </c>
      <c r="DI349" s="171">
        <f t="shared" ca="1" si="476"/>
        <v>0</v>
      </c>
      <c r="DJ349" s="171">
        <f t="shared" ca="1" si="477"/>
        <v>0</v>
      </c>
      <c r="DK349" s="171">
        <f t="shared" ca="1" si="478"/>
        <v>0</v>
      </c>
      <c r="DL349" s="171">
        <f t="shared" ca="1" si="479"/>
        <v>0</v>
      </c>
      <c r="DM349" s="171">
        <f t="shared" ca="1" si="480"/>
        <v>0</v>
      </c>
      <c r="DN349" s="171">
        <f t="shared" ca="1" si="481"/>
        <v>0</v>
      </c>
      <c r="DO349" s="171">
        <f t="shared" ca="1" si="482"/>
        <v>0</v>
      </c>
      <c r="DP349" s="171">
        <f t="shared" ca="1" si="483"/>
        <v>0</v>
      </c>
      <c r="DQ349" s="171">
        <f t="shared" ca="1" si="484"/>
        <v>0</v>
      </c>
      <c r="DR349" s="171">
        <f t="shared" ca="1" si="485"/>
        <v>0</v>
      </c>
      <c r="DS349" s="171">
        <f t="shared" ca="1" si="486"/>
        <v>0</v>
      </c>
      <c r="DT349" s="171">
        <f t="shared" ca="1" si="487"/>
        <v>0</v>
      </c>
      <c r="DU349" s="171">
        <f t="shared" ca="1" si="488"/>
        <v>0</v>
      </c>
      <c r="DV349" s="171">
        <f t="shared" ca="1" si="489"/>
        <v>0</v>
      </c>
      <c r="DW349" s="171">
        <f t="shared" ca="1" si="490"/>
        <v>0</v>
      </c>
      <c r="DX349" s="171">
        <f t="shared" ca="1" si="491"/>
        <v>0</v>
      </c>
      <c r="DY349" s="171">
        <f t="shared" ca="1" si="492"/>
        <v>0</v>
      </c>
      <c r="DZ349" s="171">
        <f t="shared" ca="1" si="493"/>
        <v>0</v>
      </c>
      <c r="EA349" s="171">
        <f t="shared" ca="1" si="494"/>
        <v>0</v>
      </c>
      <c r="EB349" s="171">
        <f t="shared" ca="1" si="495"/>
        <v>0</v>
      </c>
      <c r="EC349" s="171">
        <f t="shared" ca="1" si="496"/>
        <v>0</v>
      </c>
      <c r="ED349" s="171">
        <f t="shared" ca="1" si="497"/>
        <v>0</v>
      </c>
      <c r="EE349" s="171">
        <f t="shared" ca="1" si="498"/>
        <v>0</v>
      </c>
      <c r="EF349" s="171">
        <f t="shared" ca="1" si="499"/>
        <v>0</v>
      </c>
      <c r="EG349" s="171">
        <f t="shared" ca="1" si="500"/>
        <v>0</v>
      </c>
      <c r="EH349" s="171">
        <f t="shared" ca="1" si="501"/>
        <v>0</v>
      </c>
      <c r="EI349" s="171">
        <f t="shared" ca="1" si="502"/>
        <v>0</v>
      </c>
      <c r="EJ349" s="171">
        <f t="shared" ca="1" si="503"/>
        <v>0</v>
      </c>
      <c r="EK349" s="171">
        <f t="shared" ca="1" si="504"/>
        <v>0</v>
      </c>
      <c r="EL349" s="171">
        <f t="shared" ca="1" si="505"/>
        <v>0</v>
      </c>
      <c r="EM349" s="171">
        <f t="shared" ca="1" si="506"/>
        <v>0</v>
      </c>
      <c r="EN349" s="171">
        <f t="shared" ca="1" si="507"/>
        <v>0</v>
      </c>
      <c r="EO349" s="171">
        <f t="shared" ca="1" si="508"/>
        <v>0</v>
      </c>
      <c r="EP349" s="171">
        <f t="shared" ca="1" si="509"/>
        <v>0</v>
      </c>
      <c r="EQ349" s="171">
        <f t="shared" ca="1" si="510"/>
        <v>0</v>
      </c>
      <c r="ER349" s="171">
        <f t="shared" ca="1" si="511"/>
        <v>0</v>
      </c>
      <c r="ES349" s="171">
        <f t="shared" ca="1" si="512"/>
        <v>0</v>
      </c>
    </row>
    <row r="350" spans="3:149">
      <c r="C350" s="214"/>
      <c r="I350" s="218"/>
      <c r="L350" s="163"/>
      <c r="M350" s="164" t="str">
        <f t="shared" si="443"/>
        <v/>
      </c>
      <c r="N350" s="164" t="str">
        <f t="shared" si="444"/>
        <v/>
      </c>
      <c r="O350" s="165" t="str">
        <f t="shared" si="445"/>
        <v/>
      </c>
      <c r="R350" s="168" t="str">
        <f t="shared" si="537"/>
        <v/>
      </c>
      <c r="U350" s="171">
        <f t="shared" si="446"/>
        <v>0</v>
      </c>
      <c r="V350" s="171">
        <f t="shared" ca="1" si="447"/>
        <v>0</v>
      </c>
      <c r="W350" s="171">
        <f t="shared" ca="1" si="448"/>
        <v>0</v>
      </c>
      <c r="X350" s="172">
        <f t="shared" si="449"/>
        <v>0</v>
      </c>
      <c r="Y350" s="172" t="str">
        <f t="shared" si="450"/>
        <v/>
      </c>
      <c r="Z350" s="173">
        <f t="shared" si="451"/>
        <v>0</v>
      </c>
      <c r="AA350" s="171">
        <f t="shared" si="538"/>
        <v>0</v>
      </c>
      <c r="AB350" s="171">
        <f t="shared" si="538"/>
        <v>0</v>
      </c>
      <c r="AC350" s="171">
        <f t="shared" si="538"/>
        <v>0</v>
      </c>
      <c r="AD350" s="171">
        <f t="shared" si="538"/>
        <v>0</v>
      </c>
      <c r="AE350" s="171">
        <f t="shared" si="538"/>
        <v>0</v>
      </c>
      <c r="AF350" s="171">
        <f t="shared" si="538"/>
        <v>0</v>
      </c>
      <c r="AG350" s="171">
        <f t="shared" si="538"/>
        <v>0</v>
      </c>
      <c r="AH350" s="171">
        <f t="shared" si="538"/>
        <v>0</v>
      </c>
      <c r="AI350" s="171">
        <f t="shared" si="538"/>
        <v>0</v>
      </c>
      <c r="AJ350" s="171">
        <f t="shared" si="538"/>
        <v>0</v>
      </c>
      <c r="AK350" s="171">
        <f t="shared" si="539"/>
        <v>0</v>
      </c>
      <c r="AL350" s="171">
        <f t="shared" si="539"/>
        <v>0</v>
      </c>
      <c r="AM350" s="171">
        <f t="shared" si="539"/>
        <v>0</v>
      </c>
      <c r="AN350" s="171">
        <f t="shared" si="539"/>
        <v>0</v>
      </c>
      <c r="AO350" s="171">
        <f t="shared" si="539"/>
        <v>0</v>
      </c>
      <c r="AP350" s="171">
        <f t="shared" si="539"/>
        <v>0</v>
      </c>
      <c r="AQ350" s="171">
        <f t="shared" si="539"/>
        <v>0</v>
      </c>
      <c r="AR350" s="171">
        <f t="shared" si="539"/>
        <v>0</v>
      </c>
      <c r="AS350" s="171">
        <f t="shared" si="539"/>
        <v>0</v>
      </c>
      <c r="AT350" s="171">
        <f t="shared" si="539"/>
        <v>0</v>
      </c>
      <c r="AU350" s="171">
        <f t="shared" si="540"/>
        <v>0</v>
      </c>
      <c r="AV350" s="171">
        <f t="shared" si="540"/>
        <v>0</v>
      </c>
      <c r="AW350" s="171">
        <f t="shared" si="540"/>
        <v>0</v>
      </c>
      <c r="AX350" s="171">
        <f t="shared" si="540"/>
        <v>0</v>
      </c>
      <c r="AY350" s="171">
        <f t="shared" si="540"/>
        <v>0</v>
      </c>
      <c r="AZ350" s="171">
        <f t="shared" si="540"/>
        <v>0</v>
      </c>
      <c r="BA350" s="171">
        <f t="shared" si="540"/>
        <v>0</v>
      </c>
      <c r="BB350" s="171">
        <f t="shared" si="540"/>
        <v>0</v>
      </c>
      <c r="BC350" s="171">
        <f t="shared" si="540"/>
        <v>0</v>
      </c>
      <c r="BD350" s="171">
        <f t="shared" si="540"/>
        <v>0</v>
      </c>
      <c r="BE350" s="171">
        <f t="shared" si="541"/>
        <v>0</v>
      </c>
      <c r="BF350" s="171">
        <f t="shared" si="541"/>
        <v>0</v>
      </c>
      <c r="BG350" s="171">
        <f t="shared" si="541"/>
        <v>0</v>
      </c>
      <c r="BH350" s="171">
        <f t="shared" si="541"/>
        <v>0</v>
      </c>
      <c r="BI350" s="171">
        <f t="shared" si="541"/>
        <v>0</v>
      </c>
      <c r="BJ350" s="171">
        <f t="shared" si="541"/>
        <v>0</v>
      </c>
      <c r="BK350" s="171">
        <f t="shared" si="541"/>
        <v>0</v>
      </c>
      <c r="BL350" s="171">
        <f t="shared" si="541"/>
        <v>0</v>
      </c>
      <c r="BM350" s="171">
        <f t="shared" si="541"/>
        <v>0</v>
      </c>
      <c r="BN350" s="171">
        <f t="shared" si="541"/>
        <v>0</v>
      </c>
      <c r="BO350" s="171">
        <f t="shared" si="542"/>
        <v>0</v>
      </c>
      <c r="BP350" s="171">
        <f t="shared" si="542"/>
        <v>0</v>
      </c>
      <c r="BQ350" s="171">
        <f t="shared" si="542"/>
        <v>0</v>
      </c>
      <c r="BR350" s="171">
        <f t="shared" si="542"/>
        <v>0</v>
      </c>
      <c r="BS350" s="171">
        <f t="shared" si="542"/>
        <v>0</v>
      </c>
      <c r="BT350" s="171">
        <f t="shared" si="542"/>
        <v>0</v>
      </c>
      <c r="BU350" s="171">
        <f t="shared" si="542"/>
        <v>0</v>
      </c>
      <c r="BV350" s="171">
        <f t="shared" si="542"/>
        <v>0</v>
      </c>
      <c r="BW350" s="171">
        <f t="shared" si="542"/>
        <v>0</v>
      </c>
      <c r="BX350" s="171">
        <f t="shared" si="542"/>
        <v>0</v>
      </c>
      <c r="BY350" s="171">
        <f t="shared" si="543"/>
        <v>0</v>
      </c>
      <c r="BZ350" s="171">
        <f t="shared" si="543"/>
        <v>0</v>
      </c>
      <c r="CA350" s="171">
        <f t="shared" si="543"/>
        <v>0</v>
      </c>
      <c r="CB350" s="171">
        <f t="shared" si="543"/>
        <v>0</v>
      </c>
      <c r="CC350" s="171">
        <f t="shared" si="543"/>
        <v>0</v>
      </c>
      <c r="CD350" s="171">
        <f t="shared" si="543"/>
        <v>0</v>
      </c>
      <c r="CE350" s="171">
        <f t="shared" si="543"/>
        <v>0</v>
      </c>
      <c r="CF350" s="171">
        <f t="shared" si="543"/>
        <v>0</v>
      </c>
      <c r="CG350" s="171">
        <f t="shared" si="543"/>
        <v>0</v>
      </c>
      <c r="CH350" s="171">
        <f t="shared" si="543"/>
        <v>0</v>
      </c>
      <c r="CI350" s="171">
        <f t="shared" si="543"/>
        <v>0</v>
      </c>
      <c r="CJ350" s="243"/>
      <c r="CK350" s="171">
        <f t="shared" si="452"/>
        <v>0</v>
      </c>
      <c r="CL350" s="171">
        <f t="shared" si="453"/>
        <v>0</v>
      </c>
      <c r="CM350" s="171">
        <f t="shared" si="454"/>
        <v>0</v>
      </c>
      <c r="CN350" s="171">
        <f t="shared" si="455"/>
        <v>0</v>
      </c>
      <c r="CO350" s="171">
        <f t="shared" si="456"/>
        <v>0</v>
      </c>
      <c r="CP350" s="171">
        <f t="shared" si="457"/>
        <v>0</v>
      </c>
      <c r="CQ350" s="171">
        <f t="shared" si="458"/>
        <v>0</v>
      </c>
      <c r="CR350" s="171">
        <f t="shared" si="459"/>
        <v>0</v>
      </c>
      <c r="CS350" s="171">
        <f t="shared" si="460"/>
        <v>0</v>
      </c>
      <c r="CT350" s="171">
        <f t="shared" si="461"/>
        <v>0</v>
      </c>
      <c r="CU350" s="171">
        <f t="shared" si="462"/>
        <v>0</v>
      </c>
      <c r="CV350" s="171">
        <f t="shared" si="463"/>
        <v>0</v>
      </c>
      <c r="CW350" s="171">
        <f t="shared" si="464"/>
        <v>0</v>
      </c>
      <c r="CX350" s="171">
        <f t="shared" si="465"/>
        <v>0</v>
      </c>
      <c r="CY350" s="171">
        <f t="shared" ca="1" si="466"/>
        <v>0</v>
      </c>
      <c r="CZ350" s="171">
        <f t="shared" ca="1" si="467"/>
        <v>0</v>
      </c>
      <c r="DA350" s="171">
        <f t="shared" ca="1" si="468"/>
        <v>0</v>
      </c>
      <c r="DB350" s="171">
        <f t="shared" ca="1" si="469"/>
        <v>0</v>
      </c>
      <c r="DC350" s="171">
        <f t="shared" ca="1" si="470"/>
        <v>0</v>
      </c>
      <c r="DD350" s="171">
        <f t="shared" ca="1" si="471"/>
        <v>0</v>
      </c>
      <c r="DE350" s="171">
        <f t="shared" ca="1" si="472"/>
        <v>0</v>
      </c>
      <c r="DF350" s="171">
        <f t="shared" ca="1" si="473"/>
        <v>0</v>
      </c>
      <c r="DG350" s="171">
        <f t="shared" ca="1" si="474"/>
        <v>0</v>
      </c>
      <c r="DH350" s="171">
        <f t="shared" ca="1" si="475"/>
        <v>0</v>
      </c>
      <c r="DI350" s="171">
        <f t="shared" ca="1" si="476"/>
        <v>0</v>
      </c>
      <c r="DJ350" s="171">
        <f t="shared" ca="1" si="477"/>
        <v>0</v>
      </c>
      <c r="DK350" s="171">
        <f t="shared" ca="1" si="478"/>
        <v>0</v>
      </c>
      <c r="DL350" s="171">
        <f t="shared" ca="1" si="479"/>
        <v>0</v>
      </c>
      <c r="DM350" s="171">
        <f t="shared" ca="1" si="480"/>
        <v>0</v>
      </c>
      <c r="DN350" s="171">
        <f t="shared" ca="1" si="481"/>
        <v>0</v>
      </c>
      <c r="DO350" s="171">
        <f t="shared" ca="1" si="482"/>
        <v>0</v>
      </c>
      <c r="DP350" s="171">
        <f t="shared" ca="1" si="483"/>
        <v>0</v>
      </c>
      <c r="DQ350" s="171">
        <f t="shared" ca="1" si="484"/>
        <v>0</v>
      </c>
      <c r="DR350" s="171">
        <f t="shared" ca="1" si="485"/>
        <v>0</v>
      </c>
      <c r="DS350" s="171">
        <f t="shared" ca="1" si="486"/>
        <v>0</v>
      </c>
      <c r="DT350" s="171">
        <f t="shared" ca="1" si="487"/>
        <v>0</v>
      </c>
      <c r="DU350" s="171">
        <f t="shared" ca="1" si="488"/>
        <v>0</v>
      </c>
      <c r="DV350" s="171">
        <f t="shared" ca="1" si="489"/>
        <v>0</v>
      </c>
      <c r="DW350" s="171">
        <f t="shared" ca="1" si="490"/>
        <v>0</v>
      </c>
      <c r="DX350" s="171">
        <f t="shared" ca="1" si="491"/>
        <v>0</v>
      </c>
      <c r="DY350" s="171">
        <f t="shared" ca="1" si="492"/>
        <v>0</v>
      </c>
      <c r="DZ350" s="171">
        <f t="shared" ca="1" si="493"/>
        <v>0</v>
      </c>
      <c r="EA350" s="171">
        <f t="shared" ca="1" si="494"/>
        <v>0</v>
      </c>
      <c r="EB350" s="171">
        <f t="shared" ca="1" si="495"/>
        <v>0</v>
      </c>
      <c r="EC350" s="171">
        <f t="shared" ca="1" si="496"/>
        <v>0</v>
      </c>
      <c r="ED350" s="171">
        <f t="shared" ca="1" si="497"/>
        <v>0</v>
      </c>
      <c r="EE350" s="171">
        <f t="shared" ca="1" si="498"/>
        <v>0</v>
      </c>
      <c r="EF350" s="171">
        <f t="shared" ca="1" si="499"/>
        <v>0</v>
      </c>
      <c r="EG350" s="171">
        <f t="shared" ca="1" si="500"/>
        <v>0</v>
      </c>
      <c r="EH350" s="171">
        <f t="shared" ca="1" si="501"/>
        <v>0</v>
      </c>
      <c r="EI350" s="171">
        <f t="shared" ca="1" si="502"/>
        <v>0</v>
      </c>
      <c r="EJ350" s="171">
        <f t="shared" ca="1" si="503"/>
        <v>0</v>
      </c>
      <c r="EK350" s="171">
        <f t="shared" ca="1" si="504"/>
        <v>0</v>
      </c>
      <c r="EL350" s="171">
        <f t="shared" ca="1" si="505"/>
        <v>0</v>
      </c>
      <c r="EM350" s="171">
        <f t="shared" ca="1" si="506"/>
        <v>0</v>
      </c>
      <c r="EN350" s="171">
        <f t="shared" ca="1" si="507"/>
        <v>0</v>
      </c>
      <c r="EO350" s="171">
        <f t="shared" ca="1" si="508"/>
        <v>0</v>
      </c>
      <c r="EP350" s="171">
        <f t="shared" ca="1" si="509"/>
        <v>0</v>
      </c>
      <c r="EQ350" s="171">
        <f t="shared" ca="1" si="510"/>
        <v>0</v>
      </c>
      <c r="ER350" s="171">
        <f t="shared" ca="1" si="511"/>
        <v>0</v>
      </c>
      <c r="ES350" s="171">
        <f t="shared" ca="1" si="512"/>
        <v>0</v>
      </c>
    </row>
    <row r="351" spans="3:149">
      <c r="C351" s="214"/>
      <c r="L351" s="163"/>
      <c r="M351" s="164" t="str">
        <f t="shared" si="443"/>
        <v/>
      </c>
      <c r="N351" s="164" t="str">
        <f t="shared" si="444"/>
        <v/>
      </c>
      <c r="O351" s="165" t="str">
        <f t="shared" si="445"/>
        <v/>
      </c>
      <c r="R351" s="168" t="str">
        <f t="shared" si="537"/>
        <v/>
      </c>
      <c r="U351" s="171">
        <f t="shared" si="446"/>
        <v>0</v>
      </c>
      <c r="V351" s="171">
        <f t="shared" ca="1" si="447"/>
        <v>0</v>
      </c>
      <c r="W351" s="171">
        <f t="shared" ca="1" si="448"/>
        <v>0</v>
      </c>
      <c r="X351" s="172">
        <f t="shared" si="449"/>
        <v>0</v>
      </c>
      <c r="Y351" s="172" t="str">
        <f t="shared" si="450"/>
        <v/>
      </c>
      <c r="Z351" s="173">
        <f t="shared" si="451"/>
        <v>0</v>
      </c>
      <c r="AA351" s="171">
        <f t="shared" si="538"/>
        <v>0</v>
      </c>
      <c r="AB351" s="171">
        <f t="shared" si="538"/>
        <v>0</v>
      </c>
      <c r="AC351" s="171">
        <f t="shared" si="538"/>
        <v>0</v>
      </c>
      <c r="AD351" s="171">
        <f t="shared" si="538"/>
        <v>0</v>
      </c>
      <c r="AE351" s="171">
        <f t="shared" si="538"/>
        <v>0</v>
      </c>
      <c r="AF351" s="171">
        <f t="shared" si="538"/>
        <v>0</v>
      </c>
      <c r="AG351" s="171">
        <f t="shared" si="538"/>
        <v>0</v>
      </c>
      <c r="AH351" s="171">
        <f t="shared" si="538"/>
        <v>0</v>
      </c>
      <c r="AI351" s="171">
        <f t="shared" si="538"/>
        <v>0</v>
      </c>
      <c r="AJ351" s="171">
        <f t="shared" si="538"/>
        <v>0</v>
      </c>
      <c r="AK351" s="171">
        <f t="shared" si="539"/>
        <v>0</v>
      </c>
      <c r="AL351" s="171">
        <f t="shared" si="539"/>
        <v>0</v>
      </c>
      <c r="AM351" s="171">
        <f t="shared" si="539"/>
        <v>0</v>
      </c>
      <c r="AN351" s="171">
        <f t="shared" si="539"/>
        <v>0</v>
      </c>
      <c r="AO351" s="171">
        <f t="shared" si="539"/>
        <v>0</v>
      </c>
      <c r="AP351" s="171">
        <f t="shared" si="539"/>
        <v>0</v>
      </c>
      <c r="AQ351" s="171">
        <f t="shared" si="539"/>
        <v>0</v>
      </c>
      <c r="AR351" s="171">
        <f t="shared" si="539"/>
        <v>0</v>
      </c>
      <c r="AS351" s="171">
        <f t="shared" si="539"/>
        <v>0</v>
      </c>
      <c r="AT351" s="171">
        <f t="shared" si="539"/>
        <v>0</v>
      </c>
      <c r="AU351" s="171">
        <f t="shared" si="540"/>
        <v>0</v>
      </c>
      <c r="AV351" s="171">
        <f t="shared" si="540"/>
        <v>0</v>
      </c>
      <c r="AW351" s="171">
        <f t="shared" si="540"/>
        <v>0</v>
      </c>
      <c r="AX351" s="171">
        <f t="shared" si="540"/>
        <v>0</v>
      </c>
      <c r="AY351" s="171">
        <f t="shared" si="540"/>
        <v>0</v>
      </c>
      <c r="AZ351" s="171">
        <f t="shared" si="540"/>
        <v>0</v>
      </c>
      <c r="BA351" s="171">
        <f t="shared" si="540"/>
        <v>0</v>
      </c>
      <c r="BB351" s="171">
        <f t="shared" si="540"/>
        <v>0</v>
      </c>
      <c r="BC351" s="171">
        <f t="shared" si="540"/>
        <v>0</v>
      </c>
      <c r="BD351" s="171">
        <f t="shared" si="540"/>
        <v>0</v>
      </c>
      <c r="BE351" s="171">
        <f t="shared" si="541"/>
        <v>0</v>
      </c>
      <c r="BF351" s="171">
        <f t="shared" si="541"/>
        <v>0</v>
      </c>
      <c r="BG351" s="171">
        <f t="shared" si="541"/>
        <v>0</v>
      </c>
      <c r="BH351" s="171">
        <f t="shared" si="541"/>
        <v>0</v>
      </c>
      <c r="BI351" s="171">
        <f t="shared" si="541"/>
        <v>0</v>
      </c>
      <c r="BJ351" s="171">
        <f t="shared" si="541"/>
        <v>0</v>
      </c>
      <c r="BK351" s="171">
        <f t="shared" si="541"/>
        <v>0</v>
      </c>
      <c r="BL351" s="171">
        <f t="shared" si="541"/>
        <v>0</v>
      </c>
      <c r="BM351" s="171">
        <f t="shared" si="541"/>
        <v>0</v>
      </c>
      <c r="BN351" s="171">
        <f t="shared" si="541"/>
        <v>0</v>
      </c>
      <c r="BO351" s="171">
        <f t="shared" si="542"/>
        <v>0</v>
      </c>
      <c r="BP351" s="171">
        <f t="shared" si="542"/>
        <v>0</v>
      </c>
      <c r="BQ351" s="171">
        <f t="shared" si="542"/>
        <v>0</v>
      </c>
      <c r="BR351" s="171">
        <f t="shared" si="542"/>
        <v>0</v>
      </c>
      <c r="BS351" s="171">
        <f t="shared" si="542"/>
        <v>0</v>
      </c>
      <c r="BT351" s="171">
        <f t="shared" si="542"/>
        <v>0</v>
      </c>
      <c r="BU351" s="171">
        <f t="shared" si="542"/>
        <v>0</v>
      </c>
      <c r="BV351" s="171">
        <f t="shared" si="542"/>
        <v>0</v>
      </c>
      <c r="BW351" s="171">
        <f t="shared" si="542"/>
        <v>0</v>
      </c>
      <c r="BX351" s="171">
        <f t="shared" si="542"/>
        <v>0</v>
      </c>
      <c r="BY351" s="171">
        <f t="shared" si="543"/>
        <v>0</v>
      </c>
      <c r="BZ351" s="171">
        <f t="shared" si="543"/>
        <v>0</v>
      </c>
      <c r="CA351" s="171">
        <f t="shared" si="543"/>
        <v>0</v>
      </c>
      <c r="CB351" s="171">
        <f t="shared" si="543"/>
        <v>0</v>
      </c>
      <c r="CC351" s="171">
        <f t="shared" si="543"/>
        <v>0</v>
      </c>
      <c r="CD351" s="171">
        <f t="shared" si="543"/>
        <v>0</v>
      </c>
      <c r="CE351" s="171">
        <f t="shared" si="543"/>
        <v>0</v>
      </c>
      <c r="CF351" s="171">
        <f t="shared" si="543"/>
        <v>0</v>
      </c>
      <c r="CG351" s="171">
        <f t="shared" si="543"/>
        <v>0</v>
      </c>
      <c r="CH351" s="171">
        <f t="shared" si="543"/>
        <v>0</v>
      </c>
      <c r="CI351" s="171">
        <f t="shared" si="543"/>
        <v>0</v>
      </c>
      <c r="CJ351" s="243"/>
      <c r="CK351" s="171">
        <f t="shared" si="452"/>
        <v>0</v>
      </c>
      <c r="CL351" s="171">
        <f t="shared" si="453"/>
        <v>0</v>
      </c>
      <c r="CM351" s="171">
        <f t="shared" si="454"/>
        <v>0</v>
      </c>
      <c r="CN351" s="171">
        <f t="shared" si="455"/>
        <v>0</v>
      </c>
      <c r="CO351" s="171">
        <f t="shared" si="456"/>
        <v>0</v>
      </c>
      <c r="CP351" s="171">
        <f t="shared" si="457"/>
        <v>0</v>
      </c>
      <c r="CQ351" s="171">
        <f t="shared" si="458"/>
        <v>0</v>
      </c>
      <c r="CR351" s="171">
        <f t="shared" si="459"/>
        <v>0</v>
      </c>
      <c r="CS351" s="171">
        <f t="shared" si="460"/>
        <v>0</v>
      </c>
      <c r="CT351" s="171">
        <f t="shared" si="461"/>
        <v>0</v>
      </c>
      <c r="CU351" s="171">
        <f t="shared" si="462"/>
        <v>0</v>
      </c>
      <c r="CV351" s="171">
        <f t="shared" si="463"/>
        <v>0</v>
      </c>
      <c r="CW351" s="171">
        <f t="shared" si="464"/>
        <v>0</v>
      </c>
      <c r="CX351" s="171">
        <f t="shared" si="465"/>
        <v>0</v>
      </c>
      <c r="CY351" s="171">
        <f t="shared" ca="1" si="466"/>
        <v>0</v>
      </c>
      <c r="CZ351" s="171">
        <f t="shared" ca="1" si="467"/>
        <v>0</v>
      </c>
      <c r="DA351" s="171">
        <f t="shared" ca="1" si="468"/>
        <v>0</v>
      </c>
      <c r="DB351" s="171">
        <f t="shared" ca="1" si="469"/>
        <v>0</v>
      </c>
      <c r="DC351" s="171">
        <f t="shared" ca="1" si="470"/>
        <v>0</v>
      </c>
      <c r="DD351" s="171">
        <f t="shared" ca="1" si="471"/>
        <v>0</v>
      </c>
      <c r="DE351" s="171">
        <f t="shared" ca="1" si="472"/>
        <v>0</v>
      </c>
      <c r="DF351" s="171">
        <f t="shared" ca="1" si="473"/>
        <v>0</v>
      </c>
      <c r="DG351" s="171">
        <f t="shared" ca="1" si="474"/>
        <v>0</v>
      </c>
      <c r="DH351" s="171">
        <f t="shared" ca="1" si="475"/>
        <v>0</v>
      </c>
      <c r="DI351" s="171">
        <f t="shared" ca="1" si="476"/>
        <v>0</v>
      </c>
      <c r="DJ351" s="171">
        <f t="shared" ca="1" si="477"/>
        <v>0</v>
      </c>
      <c r="DK351" s="171">
        <f t="shared" ca="1" si="478"/>
        <v>0</v>
      </c>
      <c r="DL351" s="171">
        <f t="shared" ca="1" si="479"/>
        <v>0</v>
      </c>
      <c r="DM351" s="171">
        <f t="shared" ca="1" si="480"/>
        <v>0</v>
      </c>
      <c r="DN351" s="171">
        <f t="shared" ca="1" si="481"/>
        <v>0</v>
      </c>
      <c r="DO351" s="171">
        <f t="shared" ca="1" si="482"/>
        <v>0</v>
      </c>
      <c r="DP351" s="171">
        <f t="shared" ca="1" si="483"/>
        <v>0</v>
      </c>
      <c r="DQ351" s="171">
        <f t="shared" ca="1" si="484"/>
        <v>0</v>
      </c>
      <c r="DR351" s="171">
        <f t="shared" ca="1" si="485"/>
        <v>0</v>
      </c>
      <c r="DS351" s="171">
        <f t="shared" ca="1" si="486"/>
        <v>0</v>
      </c>
      <c r="DT351" s="171">
        <f t="shared" ca="1" si="487"/>
        <v>0</v>
      </c>
      <c r="DU351" s="171">
        <f t="shared" ca="1" si="488"/>
        <v>0</v>
      </c>
      <c r="DV351" s="171">
        <f t="shared" ca="1" si="489"/>
        <v>0</v>
      </c>
      <c r="DW351" s="171">
        <f t="shared" ca="1" si="490"/>
        <v>0</v>
      </c>
      <c r="DX351" s="171">
        <f t="shared" ca="1" si="491"/>
        <v>0</v>
      </c>
      <c r="DY351" s="171">
        <f t="shared" ca="1" si="492"/>
        <v>0</v>
      </c>
      <c r="DZ351" s="171">
        <f t="shared" ca="1" si="493"/>
        <v>0</v>
      </c>
      <c r="EA351" s="171">
        <f t="shared" ca="1" si="494"/>
        <v>0</v>
      </c>
      <c r="EB351" s="171">
        <f t="shared" ca="1" si="495"/>
        <v>0</v>
      </c>
      <c r="EC351" s="171">
        <f t="shared" ca="1" si="496"/>
        <v>0</v>
      </c>
      <c r="ED351" s="171">
        <f t="shared" ca="1" si="497"/>
        <v>0</v>
      </c>
      <c r="EE351" s="171">
        <f t="shared" ca="1" si="498"/>
        <v>0</v>
      </c>
      <c r="EF351" s="171">
        <f t="shared" ca="1" si="499"/>
        <v>0</v>
      </c>
      <c r="EG351" s="171">
        <f t="shared" ca="1" si="500"/>
        <v>0</v>
      </c>
      <c r="EH351" s="171">
        <f t="shared" ca="1" si="501"/>
        <v>0</v>
      </c>
      <c r="EI351" s="171">
        <f t="shared" ca="1" si="502"/>
        <v>0</v>
      </c>
      <c r="EJ351" s="171">
        <f t="shared" ca="1" si="503"/>
        <v>0</v>
      </c>
      <c r="EK351" s="171">
        <f t="shared" ca="1" si="504"/>
        <v>0</v>
      </c>
      <c r="EL351" s="171">
        <f t="shared" ca="1" si="505"/>
        <v>0</v>
      </c>
      <c r="EM351" s="171">
        <f t="shared" ca="1" si="506"/>
        <v>0</v>
      </c>
      <c r="EN351" s="171">
        <f t="shared" ca="1" si="507"/>
        <v>0</v>
      </c>
      <c r="EO351" s="171">
        <f t="shared" ca="1" si="508"/>
        <v>0</v>
      </c>
      <c r="EP351" s="171">
        <f t="shared" ca="1" si="509"/>
        <v>0</v>
      </c>
      <c r="EQ351" s="171">
        <f t="shared" ca="1" si="510"/>
        <v>0</v>
      </c>
      <c r="ER351" s="171">
        <f t="shared" ca="1" si="511"/>
        <v>0</v>
      </c>
      <c r="ES351" s="171">
        <f t="shared" ca="1" si="512"/>
        <v>0</v>
      </c>
    </row>
    <row r="352" spans="3:149">
      <c r="C352" s="214"/>
      <c r="L352" s="163"/>
      <c r="M352" s="164" t="str">
        <f t="shared" si="443"/>
        <v/>
      </c>
      <c r="N352" s="164" t="str">
        <f t="shared" si="444"/>
        <v/>
      </c>
      <c r="O352" s="165" t="str">
        <f t="shared" si="445"/>
        <v/>
      </c>
      <c r="R352" s="168" t="str">
        <f t="shared" si="537"/>
        <v/>
      </c>
      <c r="U352" s="171">
        <f t="shared" si="446"/>
        <v>0</v>
      </c>
      <c r="V352" s="171">
        <f t="shared" ca="1" si="447"/>
        <v>0</v>
      </c>
      <c r="W352" s="171">
        <f t="shared" ca="1" si="448"/>
        <v>0</v>
      </c>
      <c r="X352" s="172">
        <f t="shared" si="449"/>
        <v>0</v>
      </c>
      <c r="Y352" s="172" t="str">
        <f t="shared" si="450"/>
        <v/>
      </c>
      <c r="Z352" s="173">
        <f t="shared" si="451"/>
        <v>0</v>
      </c>
      <c r="AA352" s="171">
        <f t="shared" si="538"/>
        <v>0</v>
      </c>
      <c r="AB352" s="171">
        <f t="shared" si="538"/>
        <v>0</v>
      </c>
      <c r="AC352" s="171">
        <f t="shared" si="538"/>
        <v>0</v>
      </c>
      <c r="AD352" s="171">
        <f t="shared" si="538"/>
        <v>0</v>
      </c>
      <c r="AE352" s="171">
        <f t="shared" si="538"/>
        <v>0</v>
      </c>
      <c r="AF352" s="171">
        <f t="shared" si="538"/>
        <v>0</v>
      </c>
      <c r="AG352" s="171">
        <f t="shared" si="538"/>
        <v>0</v>
      </c>
      <c r="AH352" s="171">
        <f t="shared" si="538"/>
        <v>0</v>
      </c>
      <c r="AI352" s="171">
        <f t="shared" si="538"/>
        <v>0</v>
      </c>
      <c r="AJ352" s="171">
        <f t="shared" si="538"/>
        <v>0</v>
      </c>
      <c r="AK352" s="171">
        <f t="shared" si="539"/>
        <v>0</v>
      </c>
      <c r="AL352" s="171">
        <f t="shared" si="539"/>
        <v>0</v>
      </c>
      <c r="AM352" s="171">
        <f t="shared" si="539"/>
        <v>0</v>
      </c>
      <c r="AN352" s="171">
        <f t="shared" si="539"/>
        <v>0</v>
      </c>
      <c r="AO352" s="171">
        <f t="shared" si="539"/>
        <v>0</v>
      </c>
      <c r="AP352" s="171">
        <f t="shared" si="539"/>
        <v>0</v>
      </c>
      <c r="AQ352" s="171">
        <f t="shared" si="539"/>
        <v>0</v>
      </c>
      <c r="AR352" s="171">
        <f t="shared" si="539"/>
        <v>0</v>
      </c>
      <c r="AS352" s="171">
        <f t="shared" si="539"/>
        <v>0</v>
      </c>
      <c r="AT352" s="171">
        <f t="shared" si="539"/>
        <v>0</v>
      </c>
      <c r="AU352" s="171">
        <f t="shared" si="540"/>
        <v>0</v>
      </c>
      <c r="AV352" s="171">
        <f t="shared" si="540"/>
        <v>0</v>
      </c>
      <c r="AW352" s="171">
        <f t="shared" si="540"/>
        <v>0</v>
      </c>
      <c r="AX352" s="171">
        <f t="shared" si="540"/>
        <v>0</v>
      </c>
      <c r="AY352" s="171">
        <f t="shared" si="540"/>
        <v>0</v>
      </c>
      <c r="AZ352" s="171">
        <f t="shared" si="540"/>
        <v>0</v>
      </c>
      <c r="BA352" s="171">
        <f t="shared" si="540"/>
        <v>0</v>
      </c>
      <c r="BB352" s="171">
        <f t="shared" si="540"/>
        <v>0</v>
      </c>
      <c r="BC352" s="171">
        <f t="shared" si="540"/>
        <v>0</v>
      </c>
      <c r="BD352" s="171">
        <f t="shared" si="540"/>
        <v>0</v>
      </c>
      <c r="BE352" s="171">
        <f t="shared" si="541"/>
        <v>0</v>
      </c>
      <c r="BF352" s="171">
        <f t="shared" si="541"/>
        <v>0</v>
      </c>
      <c r="BG352" s="171">
        <f t="shared" si="541"/>
        <v>0</v>
      </c>
      <c r="BH352" s="171">
        <f t="shared" si="541"/>
        <v>0</v>
      </c>
      <c r="BI352" s="171">
        <f t="shared" si="541"/>
        <v>0</v>
      </c>
      <c r="BJ352" s="171">
        <f t="shared" si="541"/>
        <v>0</v>
      </c>
      <c r="BK352" s="171">
        <f t="shared" si="541"/>
        <v>0</v>
      </c>
      <c r="BL352" s="171">
        <f t="shared" si="541"/>
        <v>0</v>
      </c>
      <c r="BM352" s="171">
        <f t="shared" si="541"/>
        <v>0</v>
      </c>
      <c r="BN352" s="171">
        <f t="shared" si="541"/>
        <v>0</v>
      </c>
      <c r="BO352" s="171">
        <f t="shared" si="542"/>
        <v>0</v>
      </c>
      <c r="BP352" s="171">
        <f t="shared" si="542"/>
        <v>0</v>
      </c>
      <c r="BQ352" s="171">
        <f t="shared" si="542"/>
        <v>0</v>
      </c>
      <c r="BR352" s="171">
        <f t="shared" si="542"/>
        <v>0</v>
      </c>
      <c r="BS352" s="171">
        <f t="shared" si="542"/>
        <v>0</v>
      </c>
      <c r="BT352" s="171">
        <f t="shared" si="542"/>
        <v>0</v>
      </c>
      <c r="BU352" s="171">
        <f t="shared" si="542"/>
        <v>0</v>
      </c>
      <c r="BV352" s="171">
        <f t="shared" si="542"/>
        <v>0</v>
      </c>
      <c r="BW352" s="171">
        <f t="shared" si="542"/>
        <v>0</v>
      </c>
      <c r="BX352" s="171">
        <f t="shared" si="542"/>
        <v>0</v>
      </c>
      <c r="BY352" s="171">
        <f t="shared" si="543"/>
        <v>0</v>
      </c>
      <c r="BZ352" s="171">
        <f t="shared" si="543"/>
        <v>0</v>
      </c>
      <c r="CA352" s="171">
        <f t="shared" si="543"/>
        <v>0</v>
      </c>
      <c r="CB352" s="171">
        <f t="shared" si="543"/>
        <v>0</v>
      </c>
      <c r="CC352" s="171">
        <f t="shared" si="543"/>
        <v>0</v>
      </c>
      <c r="CD352" s="171">
        <f t="shared" si="543"/>
        <v>0</v>
      </c>
      <c r="CE352" s="171">
        <f t="shared" si="543"/>
        <v>0</v>
      </c>
      <c r="CF352" s="171">
        <f t="shared" si="543"/>
        <v>0</v>
      </c>
      <c r="CG352" s="171">
        <f t="shared" si="543"/>
        <v>0</v>
      </c>
      <c r="CH352" s="171">
        <f t="shared" si="543"/>
        <v>0</v>
      </c>
      <c r="CI352" s="171">
        <f t="shared" si="543"/>
        <v>0</v>
      </c>
      <c r="CJ352" s="243"/>
      <c r="CK352" s="171">
        <f t="shared" si="452"/>
        <v>0</v>
      </c>
      <c r="CL352" s="171">
        <f t="shared" si="453"/>
        <v>0</v>
      </c>
      <c r="CM352" s="171">
        <f t="shared" si="454"/>
        <v>0</v>
      </c>
      <c r="CN352" s="171">
        <f t="shared" si="455"/>
        <v>0</v>
      </c>
      <c r="CO352" s="171">
        <f t="shared" si="456"/>
        <v>0</v>
      </c>
      <c r="CP352" s="171">
        <f t="shared" si="457"/>
        <v>0</v>
      </c>
      <c r="CQ352" s="171">
        <f t="shared" si="458"/>
        <v>0</v>
      </c>
      <c r="CR352" s="171">
        <f t="shared" si="459"/>
        <v>0</v>
      </c>
      <c r="CS352" s="171">
        <f t="shared" si="460"/>
        <v>0</v>
      </c>
      <c r="CT352" s="171">
        <f t="shared" si="461"/>
        <v>0</v>
      </c>
      <c r="CU352" s="171">
        <f t="shared" si="462"/>
        <v>0</v>
      </c>
      <c r="CV352" s="171">
        <f t="shared" si="463"/>
        <v>0</v>
      </c>
      <c r="CW352" s="171">
        <f t="shared" si="464"/>
        <v>0</v>
      </c>
      <c r="CX352" s="171">
        <f t="shared" si="465"/>
        <v>0</v>
      </c>
      <c r="CY352" s="171">
        <f t="shared" ca="1" si="466"/>
        <v>0</v>
      </c>
      <c r="CZ352" s="171">
        <f t="shared" ca="1" si="467"/>
        <v>0</v>
      </c>
      <c r="DA352" s="171">
        <f t="shared" ca="1" si="468"/>
        <v>0</v>
      </c>
      <c r="DB352" s="171">
        <f t="shared" ca="1" si="469"/>
        <v>0</v>
      </c>
      <c r="DC352" s="171">
        <f t="shared" ca="1" si="470"/>
        <v>0</v>
      </c>
      <c r="DD352" s="171">
        <f t="shared" ca="1" si="471"/>
        <v>0</v>
      </c>
      <c r="DE352" s="171">
        <f t="shared" ca="1" si="472"/>
        <v>0</v>
      </c>
      <c r="DF352" s="171">
        <f t="shared" ca="1" si="473"/>
        <v>0</v>
      </c>
      <c r="DG352" s="171">
        <f t="shared" ca="1" si="474"/>
        <v>0</v>
      </c>
      <c r="DH352" s="171">
        <f t="shared" ca="1" si="475"/>
        <v>0</v>
      </c>
      <c r="DI352" s="171">
        <f t="shared" ca="1" si="476"/>
        <v>0</v>
      </c>
      <c r="DJ352" s="171">
        <f t="shared" ca="1" si="477"/>
        <v>0</v>
      </c>
      <c r="DK352" s="171">
        <f t="shared" ca="1" si="478"/>
        <v>0</v>
      </c>
      <c r="DL352" s="171">
        <f t="shared" ca="1" si="479"/>
        <v>0</v>
      </c>
      <c r="DM352" s="171">
        <f t="shared" ca="1" si="480"/>
        <v>0</v>
      </c>
      <c r="DN352" s="171">
        <f t="shared" ca="1" si="481"/>
        <v>0</v>
      </c>
      <c r="DO352" s="171">
        <f t="shared" ca="1" si="482"/>
        <v>0</v>
      </c>
      <c r="DP352" s="171">
        <f t="shared" ca="1" si="483"/>
        <v>0</v>
      </c>
      <c r="DQ352" s="171">
        <f t="shared" ca="1" si="484"/>
        <v>0</v>
      </c>
      <c r="DR352" s="171">
        <f t="shared" ca="1" si="485"/>
        <v>0</v>
      </c>
      <c r="DS352" s="171">
        <f t="shared" ca="1" si="486"/>
        <v>0</v>
      </c>
      <c r="DT352" s="171">
        <f t="shared" ca="1" si="487"/>
        <v>0</v>
      </c>
      <c r="DU352" s="171">
        <f t="shared" ca="1" si="488"/>
        <v>0</v>
      </c>
      <c r="DV352" s="171">
        <f t="shared" ca="1" si="489"/>
        <v>0</v>
      </c>
      <c r="DW352" s="171">
        <f t="shared" ca="1" si="490"/>
        <v>0</v>
      </c>
      <c r="DX352" s="171">
        <f t="shared" ca="1" si="491"/>
        <v>0</v>
      </c>
      <c r="DY352" s="171">
        <f t="shared" ca="1" si="492"/>
        <v>0</v>
      </c>
      <c r="DZ352" s="171">
        <f t="shared" ca="1" si="493"/>
        <v>0</v>
      </c>
      <c r="EA352" s="171">
        <f t="shared" ca="1" si="494"/>
        <v>0</v>
      </c>
      <c r="EB352" s="171">
        <f t="shared" ca="1" si="495"/>
        <v>0</v>
      </c>
      <c r="EC352" s="171">
        <f t="shared" ca="1" si="496"/>
        <v>0</v>
      </c>
      <c r="ED352" s="171">
        <f t="shared" ca="1" si="497"/>
        <v>0</v>
      </c>
      <c r="EE352" s="171">
        <f t="shared" ca="1" si="498"/>
        <v>0</v>
      </c>
      <c r="EF352" s="171">
        <f t="shared" ca="1" si="499"/>
        <v>0</v>
      </c>
      <c r="EG352" s="171">
        <f t="shared" ca="1" si="500"/>
        <v>0</v>
      </c>
      <c r="EH352" s="171">
        <f t="shared" ca="1" si="501"/>
        <v>0</v>
      </c>
      <c r="EI352" s="171">
        <f t="shared" ca="1" si="502"/>
        <v>0</v>
      </c>
      <c r="EJ352" s="171">
        <f t="shared" ca="1" si="503"/>
        <v>0</v>
      </c>
      <c r="EK352" s="171">
        <f t="shared" ca="1" si="504"/>
        <v>0</v>
      </c>
      <c r="EL352" s="171">
        <f t="shared" ca="1" si="505"/>
        <v>0</v>
      </c>
      <c r="EM352" s="171">
        <f t="shared" ca="1" si="506"/>
        <v>0</v>
      </c>
      <c r="EN352" s="171">
        <f t="shared" ca="1" si="507"/>
        <v>0</v>
      </c>
      <c r="EO352" s="171">
        <f t="shared" ca="1" si="508"/>
        <v>0</v>
      </c>
      <c r="EP352" s="171">
        <f t="shared" ca="1" si="509"/>
        <v>0</v>
      </c>
      <c r="EQ352" s="171">
        <f t="shared" ca="1" si="510"/>
        <v>0</v>
      </c>
      <c r="ER352" s="171">
        <f t="shared" ca="1" si="511"/>
        <v>0</v>
      </c>
      <c r="ES352" s="171">
        <f t="shared" ca="1" si="512"/>
        <v>0</v>
      </c>
    </row>
    <row r="353" spans="3:149">
      <c r="C353" s="214"/>
      <c r="L353" s="163"/>
      <c r="M353" s="164" t="str">
        <f t="shared" si="443"/>
        <v/>
      </c>
      <c r="N353" s="164" t="str">
        <f t="shared" si="444"/>
        <v/>
      </c>
      <c r="O353" s="165" t="str">
        <f t="shared" si="445"/>
        <v/>
      </c>
      <c r="R353" s="168" t="str">
        <f t="shared" si="537"/>
        <v/>
      </c>
      <c r="U353" s="171">
        <f t="shared" si="446"/>
        <v>0</v>
      </c>
      <c r="V353" s="171">
        <f t="shared" ca="1" si="447"/>
        <v>0</v>
      </c>
      <c r="W353" s="171">
        <f t="shared" ca="1" si="448"/>
        <v>0</v>
      </c>
      <c r="X353" s="172">
        <f t="shared" si="449"/>
        <v>0</v>
      </c>
      <c r="Y353" s="172" t="str">
        <f t="shared" si="450"/>
        <v/>
      </c>
      <c r="Z353" s="173">
        <f t="shared" si="451"/>
        <v>0</v>
      </c>
      <c r="AA353" s="171">
        <f t="shared" si="538"/>
        <v>0</v>
      </c>
      <c r="AB353" s="171">
        <f t="shared" si="538"/>
        <v>0</v>
      </c>
      <c r="AC353" s="171">
        <f t="shared" si="538"/>
        <v>0</v>
      </c>
      <c r="AD353" s="171">
        <f t="shared" si="538"/>
        <v>0</v>
      </c>
      <c r="AE353" s="171">
        <f t="shared" si="538"/>
        <v>0</v>
      </c>
      <c r="AF353" s="171">
        <f t="shared" si="538"/>
        <v>0</v>
      </c>
      <c r="AG353" s="171">
        <f t="shared" si="538"/>
        <v>0</v>
      </c>
      <c r="AH353" s="171">
        <f t="shared" si="538"/>
        <v>0</v>
      </c>
      <c r="AI353" s="171">
        <f t="shared" si="538"/>
        <v>0</v>
      </c>
      <c r="AJ353" s="171">
        <f t="shared" si="538"/>
        <v>0</v>
      </c>
      <c r="AK353" s="171">
        <f t="shared" si="539"/>
        <v>0</v>
      </c>
      <c r="AL353" s="171">
        <f t="shared" si="539"/>
        <v>0</v>
      </c>
      <c r="AM353" s="171">
        <f t="shared" si="539"/>
        <v>0</v>
      </c>
      <c r="AN353" s="171">
        <f t="shared" si="539"/>
        <v>0</v>
      </c>
      <c r="AO353" s="171">
        <f t="shared" si="539"/>
        <v>0</v>
      </c>
      <c r="AP353" s="171">
        <f t="shared" si="539"/>
        <v>0</v>
      </c>
      <c r="AQ353" s="171">
        <f t="shared" si="539"/>
        <v>0</v>
      </c>
      <c r="AR353" s="171">
        <f t="shared" si="539"/>
        <v>0</v>
      </c>
      <c r="AS353" s="171">
        <f t="shared" si="539"/>
        <v>0</v>
      </c>
      <c r="AT353" s="171">
        <f t="shared" si="539"/>
        <v>0</v>
      </c>
      <c r="AU353" s="171">
        <f t="shared" si="540"/>
        <v>0</v>
      </c>
      <c r="AV353" s="171">
        <f t="shared" si="540"/>
        <v>0</v>
      </c>
      <c r="AW353" s="171">
        <f t="shared" si="540"/>
        <v>0</v>
      </c>
      <c r="AX353" s="171">
        <f t="shared" si="540"/>
        <v>0</v>
      </c>
      <c r="AY353" s="171">
        <f t="shared" si="540"/>
        <v>0</v>
      </c>
      <c r="AZ353" s="171">
        <f t="shared" si="540"/>
        <v>0</v>
      </c>
      <c r="BA353" s="171">
        <f t="shared" si="540"/>
        <v>0</v>
      </c>
      <c r="BB353" s="171">
        <f t="shared" si="540"/>
        <v>0</v>
      </c>
      <c r="BC353" s="171">
        <f t="shared" si="540"/>
        <v>0</v>
      </c>
      <c r="BD353" s="171">
        <f t="shared" si="540"/>
        <v>0</v>
      </c>
      <c r="BE353" s="171">
        <f t="shared" si="541"/>
        <v>0</v>
      </c>
      <c r="BF353" s="171">
        <f t="shared" si="541"/>
        <v>0</v>
      </c>
      <c r="BG353" s="171">
        <f t="shared" si="541"/>
        <v>0</v>
      </c>
      <c r="BH353" s="171">
        <f t="shared" si="541"/>
        <v>0</v>
      </c>
      <c r="BI353" s="171">
        <f t="shared" si="541"/>
        <v>0</v>
      </c>
      <c r="BJ353" s="171">
        <f t="shared" si="541"/>
        <v>0</v>
      </c>
      <c r="BK353" s="171">
        <f t="shared" si="541"/>
        <v>0</v>
      </c>
      <c r="BL353" s="171">
        <f t="shared" si="541"/>
        <v>0</v>
      </c>
      <c r="BM353" s="171">
        <f t="shared" si="541"/>
        <v>0</v>
      </c>
      <c r="BN353" s="171">
        <f t="shared" si="541"/>
        <v>0</v>
      </c>
      <c r="BO353" s="171">
        <f t="shared" si="542"/>
        <v>0</v>
      </c>
      <c r="BP353" s="171">
        <f t="shared" si="542"/>
        <v>0</v>
      </c>
      <c r="BQ353" s="171">
        <f t="shared" si="542"/>
        <v>0</v>
      </c>
      <c r="BR353" s="171">
        <f t="shared" si="542"/>
        <v>0</v>
      </c>
      <c r="BS353" s="171">
        <f t="shared" si="542"/>
        <v>0</v>
      </c>
      <c r="BT353" s="171">
        <f t="shared" si="542"/>
        <v>0</v>
      </c>
      <c r="BU353" s="171">
        <f t="shared" si="542"/>
        <v>0</v>
      </c>
      <c r="BV353" s="171">
        <f t="shared" si="542"/>
        <v>0</v>
      </c>
      <c r="BW353" s="171">
        <f t="shared" si="542"/>
        <v>0</v>
      </c>
      <c r="BX353" s="171">
        <f t="shared" si="542"/>
        <v>0</v>
      </c>
      <c r="BY353" s="171">
        <f t="shared" si="543"/>
        <v>0</v>
      </c>
      <c r="BZ353" s="171">
        <f t="shared" si="543"/>
        <v>0</v>
      </c>
      <c r="CA353" s="171">
        <f t="shared" si="543"/>
        <v>0</v>
      </c>
      <c r="CB353" s="171">
        <f t="shared" si="543"/>
        <v>0</v>
      </c>
      <c r="CC353" s="171">
        <f t="shared" si="543"/>
        <v>0</v>
      </c>
      <c r="CD353" s="171">
        <f t="shared" si="543"/>
        <v>0</v>
      </c>
      <c r="CE353" s="171">
        <f t="shared" si="543"/>
        <v>0</v>
      </c>
      <c r="CF353" s="171">
        <f t="shared" si="543"/>
        <v>0</v>
      </c>
      <c r="CG353" s="171">
        <f t="shared" si="543"/>
        <v>0</v>
      </c>
      <c r="CH353" s="171">
        <f t="shared" si="543"/>
        <v>0</v>
      </c>
      <c r="CI353" s="171">
        <f t="shared" si="543"/>
        <v>0</v>
      </c>
      <c r="CJ353" s="243"/>
      <c r="CK353" s="171">
        <f t="shared" si="452"/>
        <v>0</v>
      </c>
      <c r="CL353" s="171">
        <f t="shared" si="453"/>
        <v>0</v>
      </c>
      <c r="CM353" s="171">
        <f t="shared" si="454"/>
        <v>0</v>
      </c>
      <c r="CN353" s="171">
        <f t="shared" si="455"/>
        <v>0</v>
      </c>
      <c r="CO353" s="171">
        <f t="shared" si="456"/>
        <v>0</v>
      </c>
      <c r="CP353" s="171">
        <f t="shared" si="457"/>
        <v>0</v>
      </c>
      <c r="CQ353" s="171">
        <f t="shared" si="458"/>
        <v>0</v>
      </c>
      <c r="CR353" s="171">
        <f t="shared" si="459"/>
        <v>0</v>
      </c>
      <c r="CS353" s="171">
        <f t="shared" si="460"/>
        <v>0</v>
      </c>
      <c r="CT353" s="171">
        <f t="shared" si="461"/>
        <v>0</v>
      </c>
      <c r="CU353" s="171">
        <f t="shared" si="462"/>
        <v>0</v>
      </c>
      <c r="CV353" s="171">
        <f t="shared" si="463"/>
        <v>0</v>
      </c>
      <c r="CW353" s="171">
        <f t="shared" si="464"/>
        <v>0</v>
      </c>
      <c r="CX353" s="171">
        <f t="shared" si="465"/>
        <v>0</v>
      </c>
      <c r="CY353" s="171">
        <f t="shared" ca="1" si="466"/>
        <v>0</v>
      </c>
      <c r="CZ353" s="171">
        <f t="shared" ca="1" si="467"/>
        <v>0</v>
      </c>
      <c r="DA353" s="171">
        <f t="shared" ca="1" si="468"/>
        <v>0</v>
      </c>
      <c r="DB353" s="171">
        <f t="shared" ca="1" si="469"/>
        <v>0</v>
      </c>
      <c r="DC353" s="171">
        <f t="shared" ca="1" si="470"/>
        <v>0</v>
      </c>
      <c r="DD353" s="171">
        <f t="shared" ca="1" si="471"/>
        <v>0</v>
      </c>
      <c r="DE353" s="171">
        <f t="shared" ca="1" si="472"/>
        <v>0</v>
      </c>
      <c r="DF353" s="171">
        <f t="shared" ca="1" si="473"/>
        <v>0</v>
      </c>
      <c r="DG353" s="171">
        <f t="shared" ca="1" si="474"/>
        <v>0</v>
      </c>
      <c r="DH353" s="171">
        <f t="shared" ca="1" si="475"/>
        <v>0</v>
      </c>
      <c r="DI353" s="171">
        <f t="shared" ca="1" si="476"/>
        <v>0</v>
      </c>
      <c r="DJ353" s="171">
        <f t="shared" ca="1" si="477"/>
        <v>0</v>
      </c>
      <c r="DK353" s="171">
        <f t="shared" ca="1" si="478"/>
        <v>0</v>
      </c>
      <c r="DL353" s="171">
        <f t="shared" ca="1" si="479"/>
        <v>0</v>
      </c>
      <c r="DM353" s="171">
        <f t="shared" ca="1" si="480"/>
        <v>0</v>
      </c>
      <c r="DN353" s="171">
        <f t="shared" ca="1" si="481"/>
        <v>0</v>
      </c>
      <c r="DO353" s="171">
        <f t="shared" ca="1" si="482"/>
        <v>0</v>
      </c>
      <c r="DP353" s="171">
        <f t="shared" ca="1" si="483"/>
        <v>0</v>
      </c>
      <c r="DQ353" s="171">
        <f t="shared" ca="1" si="484"/>
        <v>0</v>
      </c>
      <c r="DR353" s="171">
        <f t="shared" ca="1" si="485"/>
        <v>0</v>
      </c>
      <c r="DS353" s="171">
        <f t="shared" ca="1" si="486"/>
        <v>0</v>
      </c>
      <c r="DT353" s="171">
        <f t="shared" ca="1" si="487"/>
        <v>0</v>
      </c>
      <c r="DU353" s="171">
        <f t="shared" ca="1" si="488"/>
        <v>0</v>
      </c>
      <c r="DV353" s="171">
        <f t="shared" ca="1" si="489"/>
        <v>0</v>
      </c>
      <c r="DW353" s="171">
        <f t="shared" ca="1" si="490"/>
        <v>0</v>
      </c>
      <c r="DX353" s="171">
        <f t="shared" ca="1" si="491"/>
        <v>0</v>
      </c>
      <c r="DY353" s="171">
        <f t="shared" ca="1" si="492"/>
        <v>0</v>
      </c>
      <c r="DZ353" s="171">
        <f t="shared" ca="1" si="493"/>
        <v>0</v>
      </c>
      <c r="EA353" s="171">
        <f t="shared" ca="1" si="494"/>
        <v>0</v>
      </c>
      <c r="EB353" s="171">
        <f t="shared" ca="1" si="495"/>
        <v>0</v>
      </c>
      <c r="EC353" s="171">
        <f t="shared" ca="1" si="496"/>
        <v>0</v>
      </c>
      <c r="ED353" s="171">
        <f t="shared" ca="1" si="497"/>
        <v>0</v>
      </c>
      <c r="EE353" s="171">
        <f t="shared" ca="1" si="498"/>
        <v>0</v>
      </c>
      <c r="EF353" s="171">
        <f t="shared" ca="1" si="499"/>
        <v>0</v>
      </c>
      <c r="EG353" s="171">
        <f t="shared" ca="1" si="500"/>
        <v>0</v>
      </c>
      <c r="EH353" s="171">
        <f t="shared" ca="1" si="501"/>
        <v>0</v>
      </c>
      <c r="EI353" s="171">
        <f t="shared" ca="1" si="502"/>
        <v>0</v>
      </c>
      <c r="EJ353" s="171">
        <f t="shared" ca="1" si="503"/>
        <v>0</v>
      </c>
      <c r="EK353" s="171">
        <f t="shared" ca="1" si="504"/>
        <v>0</v>
      </c>
      <c r="EL353" s="171">
        <f t="shared" ca="1" si="505"/>
        <v>0</v>
      </c>
      <c r="EM353" s="171">
        <f t="shared" ca="1" si="506"/>
        <v>0</v>
      </c>
      <c r="EN353" s="171">
        <f t="shared" ca="1" si="507"/>
        <v>0</v>
      </c>
      <c r="EO353" s="171">
        <f t="shared" ca="1" si="508"/>
        <v>0</v>
      </c>
      <c r="EP353" s="171">
        <f t="shared" ca="1" si="509"/>
        <v>0</v>
      </c>
      <c r="EQ353" s="171">
        <f t="shared" ca="1" si="510"/>
        <v>0</v>
      </c>
      <c r="ER353" s="171">
        <f t="shared" ca="1" si="511"/>
        <v>0</v>
      </c>
      <c r="ES353" s="171">
        <f t="shared" ca="1" si="512"/>
        <v>0</v>
      </c>
    </row>
    <row r="354" spans="3:149">
      <c r="C354" s="214"/>
      <c r="L354" s="163"/>
      <c r="M354" s="164" t="str">
        <f t="shared" si="443"/>
        <v/>
      </c>
      <c r="N354" s="164" t="str">
        <f t="shared" si="444"/>
        <v/>
      </c>
      <c r="O354" s="165" t="str">
        <f t="shared" si="445"/>
        <v/>
      </c>
      <c r="R354" s="168" t="str">
        <f t="shared" si="537"/>
        <v/>
      </c>
      <c r="U354" s="171">
        <f t="shared" si="446"/>
        <v>0</v>
      </c>
      <c r="V354" s="171">
        <f t="shared" ca="1" si="447"/>
        <v>0</v>
      </c>
      <c r="W354" s="171">
        <f t="shared" ca="1" si="448"/>
        <v>0</v>
      </c>
      <c r="X354" s="172">
        <f t="shared" si="449"/>
        <v>0</v>
      </c>
      <c r="Y354" s="172" t="str">
        <f t="shared" si="450"/>
        <v/>
      </c>
      <c r="Z354" s="173">
        <f t="shared" si="451"/>
        <v>0</v>
      </c>
      <c r="AA354" s="171">
        <f t="shared" si="538"/>
        <v>0</v>
      </c>
      <c r="AB354" s="171">
        <f t="shared" si="538"/>
        <v>0</v>
      </c>
      <c r="AC354" s="171">
        <f t="shared" si="538"/>
        <v>0</v>
      </c>
      <c r="AD354" s="171">
        <f t="shared" si="538"/>
        <v>0</v>
      </c>
      <c r="AE354" s="171">
        <f t="shared" si="538"/>
        <v>0</v>
      </c>
      <c r="AF354" s="171">
        <f t="shared" si="538"/>
        <v>0</v>
      </c>
      <c r="AG354" s="171">
        <f t="shared" si="538"/>
        <v>0</v>
      </c>
      <c r="AH354" s="171">
        <f t="shared" si="538"/>
        <v>0</v>
      </c>
      <c r="AI354" s="171">
        <f t="shared" si="538"/>
        <v>0</v>
      </c>
      <c r="AJ354" s="171">
        <f t="shared" si="538"/>
        <v>0</v>
      </c>
      <c r="AK354" s="171">
        <f t="shared" si="539"/>
        <v>0</v>
      </c>
      <c r="AL354" s="171">
        <f t="shared" si="539"/>
        <v>0</v>
      </c>
      <c r="AM354" s="171">
        <f t="shared" si="539"/>
        <v>0</v>
      </c>
      <c r="AN354" s="171">
        <f t="shared" si="539"/>
        <v>0</v>
      </c>
      <c r="AO354" s="171">
        <f t="shared" si="539"/>
        <v>0</v>
      </c>
      <c r="AP354" s="171">
        <f t="shared" si="539"/>
        <v>0</v>
      </c>
      <c r="AQ354" s="171">
        <f t="shared" si="539"/>
        <v>0</v>
      </c>
      <c r="AR354" s="171">
        <f t="shared" si="539"/>
        <v>0</v>
      </c>
      <c r="AS354" s="171">
        <f t="shared" si="539"/>
        <v>0</v>
      </c>
      <c r="AT354" s="171">
        <f t="shared" si="539"/>
        <v>0</v>
      </c>
      <c r="AU354" s="171">
        <f t="shared" si="540"/>
        <v>0</v>
      </c>
      <c r="AV354" s="171">
        <f t="shared" si="540"/>
        <v>0</v>
      </c>
      <c r="AW354" s="171">
        <f t="shared" si="540"/>
        <v>0</v>
      </c>
      <c r="AX354" s="171">
        <f t="shared" si="540"/>
        <v>0</v>
      </c>
      <c r="AY354" s="171">
        <f t="shared" si="540"/>
        <v>0</v>
      </c>
      <c r="AZ354" s="171">
        <f t="shared" si="540"/>
        <v>0</v>
      </c>
      <c r="BA354" s="171">
        <f t="shared" si="540"/>
        <v>0</v>
      </c>
      <c r="BB354" s="171">
        <f t="shared" si="540"/>
        <v>0</v>
      </c>
      <c r="BC354" s="171">
        <f t="shared" si="540"/>
        <v>0</v>
      </c>
      <c r="BD354" s="171">
        <f t="shared" si="540"/>
        <v>0</v>
      </c>
      <c r="BE354" s="171">
        <f t="shared" si="541"/>
        <v>0</v>
      </c>
      <c r="BF354" s="171">
        <f t="shared" si="541"/>
        <v>0</v>
      </c>
      <c r="BG354" s="171">
        <f t="shared" si="541"/>
        <v>0</v>
      </c>
      <c r="BH354" s="171">
        <f t="shared" si="541"/>
        <v>0</v>
      </c>
      <c r="BI354" s="171">
        <f t="shared" si="541"/>
        <v>0</v>
      </c>
      <c r="BJ354" s="171">
        <f t="shared" si="541"/>
        <v>0</v>
      </c>
      <c r="BK354" s="171">
        <f t="shared" si="541"/>
        <v>0</v>
      </c>
      <c r="BL354" s="171">
        <f t="shared" si="541"/>
        <v>0</v>
      </c>
      <c r="BM354" s="171">
        <f t="shared" si="541"/>
        <v>0</v>
      </c>
      <c r="BN354" s="171">
        <f t="shared" si="541"/>
        <v>0</v>
      </c>
      <c r="BO354" s="171">
        <f t="shared" si="542"/>
        <v>0</v>
      </c>
      <c r="BP354" s="171">
        <f t="shared" si="542"/>
        <v>0</v>
      </c>
      <c r="BQ354" s="171">
        <f t="shared" si="542"/>
        <v>0</v>
      </c>
      <c r="BR354" s="171">
        <f t="shared" si="542"/>
        <v>0</v>
      </c>
      <c r="BS354" s="171">
        <f t="shared" si="542"/>
        <v>0</v>
      </c>
      <c r="BT354" s="171">
        <f t="shared" si="542"/>
        <v>0</v>
      </c>
      <c r="BU354" s="171">
        <f t="shared" si="542"/>
        <v>0</v>
      </c>
      <c r="BV354" s="171">
        <f t="shared" si="542"/>
        <v>0</v>
      </c>
      <c r="BW354" s="171">
        <f t="shared" si="542"/>
        <v>0</v>
      </c>
      <c r="BX354" s="171">
        <f t="shared" si="542"/>
        <v>0</v>
      </c>
      <c r="BY354" s="171">
        <f t="shared" si="543"/>
        <v>0</v>
      </c>
      <c r="BZ354" s="171">
        <f t="shared" si="543"/>
        <v>0</v>
      </c>
      <c r="CA354" s="171">
        <f t="shared" si="543"/>
        <v>0</v>
      </c>
      <c r="CB354" s="171">
        <f t="shared" si="543"/>
        <v>0</v>
      </c>
      <c r="CC354" s="171">
        <f t="shared" si="543"/>
        <v>0</v>
      </c>
      <c r="CD354" s="171">
        <f t="shared" si="543"/>
        <v>0</v>
      </c>
      <c r="CE354" s="171">
        <f t="shared" si="543"/>
        <v>0</v>
      </c>
      <c r="CF354" s="171">
        <f t="shared" si="543"/>
        <v>0</v>
      </c>
      <c r="CG354" s="171">
        <f t="shared" si="543"/>
        <v>0</v>
      </c>
      <c r="CH354" s="171">
        <f t="shared" si="543"/>
        <v>0</v>
      </c>
      <c r="CI354" s="171">
        <f t="shared" si="543"/>
        <v>0</v>
      </c>
      <c r="CJ354" s="243"/>
      <c r="CK354" s="171">
        <f t="shared" si="452"/>
        <v>0</v>
      </c>
      <c r="CL354" s="171">
        <f t="shared" si="453"/>
        <v>0</v>
      </c>
      <c r="CM354" s="171">
        <f t="shared" si="454"/>
        <v>0</v>
      </c>
      <c r="CN354" s="171">
        <f t="shared" si="455"/>
        <v>0</v>
      </c>
      <c r="CO354" s="171">
        <f t="shared" si="456"/>
        <v>0</v>
      </c>
      <c r="CP354" s="171">
        <f t="shared" si="457"/>
        <v>0</v>
      </c>
      <c r="CQ354" s="171">
        <f t="shared" si="458"/>
        <v>0</v>
      </c>
      <c r="CR354" s="171">
        <f t="shared" si="459"/>
        <v>0</v>
      </c>
      <c r="CS354" s="171">
        <f t="shared" si="460"/>
        <v>0</v>
      </c>
      <c r="CT354" s="171">
        <f t="shared" si="461"/>
        <v>0</v>
      </c>
      <c r="CU354" s="171">
        <f t="shared" si="462"/>
        <v>0</v>
      </c>
      <c r="CV354" s="171">
        <f t="shared" si="463"/>
        <v>0</v>
      </c>
      <c r="CW354" s="171">
        <f t="shared" si="464"/>
        <v>0</v>
      </c>
      <c r="CX354" s="171">
        <f t="shared" si="465"/>
        <v>0</v>
      </c>
      <c r="CY354" s="171">
        <f t="shared" ca="1" si="466"/>
        <v>0</v>
      </c>
      <c r="CZ354" s="171">
        <f t="shared" ca="1" si="467"/>
        <v>0</v>
      </c>
      <c r="DA354" s="171">
        <f t="shared" ca="1" si="468"/>
        <v>0</v>
      </c>
      <c r="DB354" s="171">
        <f t="shared" ca="1" si="469"/>
        <v>0</v>
      </c>
      <c r="DC354" s="171">
        <f t="shared" ca="1" si="470"/>
        <v>0</v>
      </c>
      <c r="DD354" s="171">
        <f t="shared" ca="1" si="471"/>
        <v>0</v>
      </c>
      <c r="DE354" s="171">
        <f t="shared" ca="1" si="472"/>
        <v>0</v>
      </c>
      <c r="DF354" s="171">
        <f t="shared" ca="1" si="473"/>
        <v>0</v>
      </c>
      <c r="DG354" s="171">
        <f t="shared" ca="1" si="474"/>
        <v>0</v>
      </c>
      <c r="DH354" s="171">
        <f t="shared" ca="1" si="475"/>
        <v>0</v>
      </c>
      <c r="DI354" s="171">
        <f t="shared" ca="1" si="476"/>
        <v>0</v>
      </c>
      <c r="DJ354" s="171">
        <f t="shared" ca="1" si="477"/>
        <v>0</v>
      </c>
      <c r="DK354" s="171">
        <f t="shared" ca="1" si="478"/>
        <v>0</v>
      </c>
      <c r="DL354" s="171">
        <f t="shared" ca="1" si="479"/>
        <v>0</v>
      </c>
      <c r="DM354" s="171">
        <f t="shared" ca="1" si="480"/>
        <v>0</v>
      </c>
      <c r="DN354" s="171">
        <f t="shared" ca="1" si="481"/>
        <v>0</v>
      </c>
      <c r="DO354" s="171">
        <f t="shared" ca="1" si="482"/>
        <v>0</v>
      </c>
      <c r="DP354" s="171">
        <f t="shared" ca="1" si="483"/>
        <v>0</v>
      </c>
      <c r="DQ354" s="171">
        <f t="shared" ca="1" si="484"/>
        <v>0</v>
      </c>
      <c r="DR354" s="171">
        <f t="shared" ca="1" si="485"/>
        <v>0</v>
      </c>
      <c r="DS354" s="171">
        <f t="shared" ca="1" si="486"/>
        <v>0</v>
      </c>
      <c r="DT354" s="171">
        <f t="shared" ca="1" si="487"/>
        <v>0</v>
      </c>
      <c r="DU354" s="171">
        <f t="shared" ca="1" si="488"/>
        <v>0</v>
      </c>
      <c r="DV354" s="171">
        <f t="shared" ca="1" si="489"/>
        <v>0</v>
      </c>
      <c r="DW354" s="171">
        <f t="shared" ca="1" si="490"/>
        <v>0</v>
      </c>
      <c r="DX354" s="171">
        <f t="shared" ca="1" si="491"/>
        <v>0</v>
      </c>
      <c r="DY354" s="171">
        <f t="shared" ca="1" si="492"/>
        <v>0</v>
      </c>
      <c r="DZ354" s="171">
        <f t="shared" ca="1" si="493"/>
        <v>0</v>
      </c>
      <c r="EA354" s="171">
        <f t="shared" ca="1" si="494"/>
        <v>0</v>
      </c>
      <c r="EB354" s="171">
        <f t="shared" ca="1" si="495"/>
        <v>0</v>
      </c>
      <c r="EC354" s="171">
        <f t="shared" ca="1" si="496"/>
        <v>0</v>
      </c>
      <c r="ED354" s="171">
        <f t="shared" ca="1" si="497"/>
        <v>0</v>
      </c>
      <c r="EE354" s="171">
        <f t="shared" ca="1" si="498"/>
        <v>0</v>
      </c>
      <c r="EF354" s="171">
        <f t="shared" ca="1" si="499"/>
        <v>0</v>
      </c>
      <c r="EG354" s="171">
        <f t="shared" ca="1" si="500"/>
        <v>0</v>
      </c>
      <c r="EH354" s="171">
        <f t="shared" ca="1" si="501"/>
        <v>0</v>
      </c>
      <c r="EI354" s="171">
        <f t="shared" ca="1" si="502"/>
        <v>0</v>
      </c>
      <c r="EJ354" s="171">
        <f t="shared" ca="1" si="503"/>
        <v>0</v>
      </c>
      <c r="EK354" s="171">
        <f t="shared" ca="1" si="504"/>
        <v>0</v>
      </c>
      <c r="EL354" s="171">
        <f t="shared" ca="1" si="505"/>
        <v>0</v>
      </c>
      <c r="EM354" s="171">
        <f t="shared" ca="1" si="506"/>
        <v>0</v>
      </c>
      <c r="EN354" s="171">
        <f t="shared" ca="1" si="507"/>
        <v>0</v>
      </c>
      <c r="EO354" s="171">
        <f t="shared" ca="1" si="508"/>
        <v>0</v>
      </c>
      <c r="EP354" s="171">
        <f t="shared" ca="1" si="509"/>
        <v>0</v>
      </c>
      <c r="EQ354" s="171">
        <f t="shared" ca="1" si="510"/>
        <v>0</v>
      </c>
      <c r="ER354" s="171">
        <f t="shared" ca="1" si="511"/>
        <v>0</v>
      </c>
      <c r="ES354" s="171">
        <f t="shared" ca="1" si="512"/>
        <v>0</v>
      </c>
    </row>
    <row r="355" spans="3:149" ht="15" customHeight="1">
      <c r="C355" s="214"/>
      <c r="L355" s="163"/>
      <c r="M355" s="164" t="str">
        <f t="shared" si="443"/>
        <v/>
      </c>
      <c r="N355" s="164" t="str">
        <f t="shared" si="444"/>
        <v/>
      </c>
      <c r="O355" s="165" t="str">
        <f t="shared" si="445"/>
        <v/>
      </c>
      <c r="R355" s="168" t="str">
        <f t="shared" si="537"/>
        <v/>
      </c>
      <c r="S355" s="219"/>
      <c r="U355" s="171">
        <f t="shared" si="446"/>
        <v>0</v>
      </c>
      <c r="V355" s="171">
        <f t="shared" ca="1" si="447"/>
        <v>0</v>
      </c>
      <c r="W355" s="171">
        <f t="shared" ca="1" si="448"/>
        <v>0</v>
      </c>
      <c r="X355" s="172">
        <f t="shared" si="449"/>
        <v>0</v>
      </c>
      <c r="Y355" s="172" t="str">
        <f t="shared" si="450"/>
        <v/>
      </c>
      <c r="Z355" s="173">
        <f t="shared" si="451"/>
        <v>0</v>
      </c>
      <c r="AA355" s="171">
        <f t="shared" si="538"/>
        <v>0</v>
      </c>
      <c r="AB355" s="171">
        <f t="shared" si="538"/>
        <v>0</v>
      </c>
      <c r="AC355" s="171">
        <f t="shared" si="538"/>
        <v>0</v>
      </c>
      <c r="AD355" s="171">
        <f t="shared" si="538"/>
        <v>0</v>
      </c>
      <c r="AE355" s="171">
        <f t="shared" si="538"/>
        <v>0</v>
      </c>
      <c r="AF355" s="171">
        <f t="shared" si="538"/>
        <v>0</v>
      </c>
      <c r="AG355" s="171">
        <f t="shared" si="538"/>
        <v>0</v>
      </c>
      <c r="AH355" s="171">
        <f t="shared" si="538"/>
        <v>0</v>
      </c>
      <c r="AI355" s="171">
        <f t="shared" si="538"/>
        <v>0</v>
      </c>
      <c r="AJ355" s="171">
        <f t="shared" si="538"/>
        <v>0</v>
      </c>
      <c r="AK355" s="171">
        <f t="shared" si="539"/>
        <v>0</v>
      </c>
      <c r="AL355" s="171">
        <f t="shared" si="539"/>
        <v>0</v>
      </c>
      <c r="AM355" s="171">
        <f t="shared" si="539"/>
        <v>0</v>
      </c>
      <c r="AN355" s="171">
        <f t="shared" si="539"/>
        <v>0</v>
      </c>
      <c r="AO355" s="171">
        <f t="shared" si="539"/>
        <v>0</v>
      </c>
      <c r="AP355" s="171">
        <f t="shared" si="539"/>
        <v>0</v>
      </c>
      <c r="AQ355" s="171">
        <f t="shared" si="539"/>
        <v>0</v>
      </c>
      <c r="AR355" s="171">
        <f t="shared" si="539"/>
        <v>0</v>
      </c>
      <c r="AS355" s="171">
        <f t="shared" si="539"/>
        <v>0</v>
      </c>
      <c r="AT355" s="171">
        <f t="shared" si="539"/>
        <v>0</v>
      </c>
      <c r="AU355" s="171">
        <f t="shared" si="540"/>
        <v>0</v>
      </c>
      <c r="AV355" s="171">
        <f t="shared" si="540"/>
        <v>0</v>
      </c>
      <c r="AW355" s="171">
        <f t="shared" si="540"/>
        <v>0</v>
      </c>
      <c r="AX355" s="171">
        <f t="shared" si="540"/>
        <v>0</v>
      </c>
      <c r="AY355" s="171">
        <f t="shared" si="540"/>
        <v>0</v>
      </c>
      <c r="AZ355" s="171">
        <f t="shared" si="540"/>
        <v>0</v>
      </c>
      <c r="BA355" s="171">
        <f t="shared" si="540"/>
        <v>0</v>
      </c>
      <c r="BB355" s="171">
        <f t="shared" si="540"/>
        <v>0</v>
      </c>
      <c r="BC355" s="171">
        <f t="shared" si="540"/>
        <v>0</v>
      </c>
      <c r="BD355" s="171">
        <f t="shared" si="540"/>
        <v>0</v>
      </c>
      <c r="BE355" s="171">
        <f t="shared" si="541"/>
        <v>0</v>
      </c>
      <c r="BF355" s="171">
        <f t="shared" si="541"/>
        <v>0</v>
      </c>
      <c r="BG355" s="171">
        <f t="shared" si="541"/>
        <v>0</v>
      </c>
      <c r="BH355" s="171">
        <f t="shared" si="541"/>
        <v>0</v>
      </c>
      <c r="BI355" s="171">
        <f t="shared" si="541"/>
        <v>0</v>
      </c>
      <c r="BJ355" s="171">
        <f t="shared" si="541"/>
        <v>0</v>
      </c>
      <c r="BK355" s="171">
        <f t="shared" si="541"/>
        <v>0</v>
      </c>
      <c r="BL355" s="171">
        <f t="shared" si="541"/>
        <v>0</v>
      </c>
      <c r="BM355" s="171">
        <f t="shared" si="541"/>
        <v>0</v>
      </c>
      <c r="BN355" s="171">
        <f t="shared" si="541"/>
        <v>0</v>
      </c>
      <c r="BO355" s="171">
        <f t="shared" si="542"/>
        <v>0</v>
      </c>
      <c r="BP355" s="171">
        <f t="shared" si="542"/>
        <v>0</v>
      </c>
      <c r="BQ355" s="171">
        <f t="shared" si="542"/>
        <v>0</v>
      </c>
      <c r="BR355" s="171">
        <f t="shared" si="542"/>
        <v>0</v>
      </c>
      <c r="BS355" s="171">
        <f t="shared" si="542"/>
        <v>0</v>
      </c>
      <c r="BT355" s="171">
        <f t="shared" si="542"/>
        <v>0</v>
      </c>
      <c r="BU355" s="171">
        <f t="shared" si="542"/>
        <v>0</v>
      </c>
      <c r="BV355" s="171">
        <f t="shared" si="542"/>
        <v>0</v>
      </c>
      <c r="BW355" s="171">
        <f t="shared" si="542"/>
        <v>0</v>
      </c>
      <c r="BX355" s="171">
        <f t="shared" si="542"/>
        <v>0</v>
      </c>
      <c r="BY355" s="171">
        <f t="shared" si="543"/>
        <v>0</v>
      </c>
      <c r="BZ355" s="171">
        <f t="shared" si="543"/>
        <v>0</v>
      </c>
      <c r="CA355" s="171">
        <f t="shared" si="543"/>
        <v>0</v>
      </c>
      <c r="CB355" s="171">
        <f t="shared" si="543"/>
        <v>0</v>
      </c>
      <c r="CC355" s="171">
        <f t="shared" si="543"/>
        <v>0</v>
      </c>
      <c r="CD355" s="171">
        <f t="shared" si="543"/>
        <v>0</v>
      </c>
      <c r="CE355" s="171">
        <f t="shared" si="543"/>
        <v>0</v>
      </c>
      <c r="CF355" s="171">
        <f t="shared" si="543"/>
        <v>0</v>
      </c>
      <c r="CG355" s="171">
        <f t="shared" si="543"/>
        <v>0</v>
      </c>
      <c r="CH355" s="171">
        <f t="shared" si="543"/>
        <v>0</v>
      </c>
      <c r="CI355" s="171">
        <f t="shared" si="543"/>
        <v>0</v>
      </c>
      <c r="CJ355" s="243"/>
      <c r="CK355" s="171">
        <f t="shared" si="452"/>
        <v>0</v>
      </c>
      <c r="CL355" s="171">
        <f t="shared" si="453"/>
        <v>0</v>
      </c>
      <c r="CM355" s="171">
        <f t="shared" si="454"/>
        <v>0</v>
      </c>
      <c r="CN355" s="171">
        <f t="shared" si="455"/>
        <v>0</v>
      </c>
      <c r="CO355" s="171">
        <f t="shared" si="456"/>
        <v>0</v>
      </c>
      <c r="CP355" s="171">
        <f t="shared" si="457"/>
        <v>0</v>
      </c>
      <c r="CQ355" s="171">
        <f t="shared" si="458"/>
        <v>0</v>
      </c>
      <c r="CR355" s="171">
        <f t="shared" si="459"/>
        <v>0</v>
      </c>
      <c r="CS355" s="171">
        <f t="shared" si="460"/>
        <v>0</v>
      </c>
      <c r="CT355" s="171">
        <f t="shared" si="461"/>
        <v>0</v>
      </c>
      <c r="CU355" s="171">
        <f t="shared" si="462"/>
        <v>0</v>
      </c>
      <c r="CV355" s="171">
        <f t="shared" si="463"/>
        <v>0</v>
      </c>
      <c r="CW355" s="171">
        <f t="shared" si="464"/>
        <v>0</v>
      </c>
      <c r="CX355" s="171">
        <f t="shared" si="465"/>
        <v>0</v>
      </c>
      <c r="CY355" s="171">
        <f t="shared" ca="1" si="466"/>
        <v>0</v>
      </c>
      <c r="CZ355" s="171">
        <f t="shared" ca="1" si="467"/>
        <v>0</v>
      </c>
      <c r="DA355" s="171">
        <f t="shared" ca="1" si="468"/>
        <v>0</v>
      </c>
      <c r="DB355" s="171">
        <f t="shared" ca="1" si="469"/>
        <v>0</v>
      </c>
      <c r="DC355" s="171">
        <f t="shared" ca="1" si="470"/>
        <v>0</v>
      </c>
      <c r="DD355" s="171">
        <f t="shared" ca="1" si="471"/>
        <v>0</v>
      </c>
      <c r="DE355" s="171">
        <f t="shared" ca="1" si="472"/>
        <v>0</v>
      </c>
      <c r="DF355" s="171">
        <f t="shared" ca="1" si="473"/>
        <v>0</v>
      </c>
      <c r="DG355" s="171">
        <f t="shared" ca="1" si="474"/>
        <v>0</v>
      </c>
      <c r="DH355" s="171">
        <f t="shared" ca="1" si="475"/>
        <v>0</v>
      </c>
      <c r="DI355" s="171">
        <f t="shared" ca="1" si="476"/>
        <v>0</v>
      </c>
      <c r="DJ355" s="171">
        <f t="shared" ca="1" si="477"/>
        <v>0</v>
      </c>
      <c r="DK355" s="171">
        <f t="shared" ca="1" si="478"/>
        <v>0</v>
      </c>
      <c r="DL355" s="171">
        <f t="shared" ca="1" si="479"/>
        <v>0</v>
      </c>
      <c r="DM355" s="171">
        <f t="shared" ca="1" si="480"/>
        <v>0</v>
      </c>
      <c r="DN355" s="171">
        <f t="shared" ca="1" si="481"/>
        <v>0</v>
      </c>
      <c r="DO355" s="171">
        <f t="shared" ca="1" si="482"/>
        <v>0</v>
      </c>
      <c r="DP355" s="171">
        <f t="shared" ca="1" si="483"/>
        <v>0</v>
      </c>
      <c r="DQ355" s="171">
        <f t="shared" ca="1" si="484"/>
        <v>0</v>
      </c>
      <c r="DR355" s="171">
        <f t="shared" ca="1" si="485"/>
        <v>0</v>
      </c>
      <c r="DS355" s="171">
        <f t="shared" ca="1" si="486"/>
        <v>0</v>
      </c>
      <c r="DT355" s="171">
        <f t="shared" ca="1" si="487"/>
        <v>0</v>
      </c>
      <c r="DU355" s="171">
        <f t="shared" ca="1" si="488"/>
        <v>0</v>
      </c>
      <c r="DV355" s="171">
        <f t="shared" ca="1" si="489"/>
        <v>0</v>
      </c>
      <c r="DW355" s="171">
        <f t="shared" ca="1" si="490"/>
        <v>0</v>
      </c>
      <c r="DX355" s="171">
        <f t="shared" ca="1" si="491"/>
        <v>0</v>
      </c>
      <c r="DY355" s="171">
        <f t="shared" ca="1" si="492"/>
        <v>0</v>
      </c>
      <c r="DZ355" s="171">
        <f t="shared" ca="1" si="493"/>
        <v>0</v>
      </c>
      <c r="EA355" s="171">
        <f t="shared" ca="1" si="494"/>
        <v>0</v>
      </c>
      <c r="EB355" s="171">
        <f t="shared" ca="1" si="495"/>
        <v>0</v>
      </c>
      <c r="EC355" s="171">
        <f t="shared" ca="1" si="496"/>
        <v>0</v>
      </c>
      <c r="ED355" s="171">
        <f t="shared" ca="1" si="497"/>
        <v>0</v>
      </c>
      <c r="EE355" s="171">
        <f t="shared" ca="1" si="498"/>
        <v>0</v>
      </c>
      <c r="EF355" s="171">
        <f t="shared" ca="1" si="499"/>
        <v>0</v>
      </c>
      <c r="EG355" s="171">
        <f t="shared" ca="1" si="500"/>
        <v>0</v>
      </c>
      <c r="EH355" s="171">
        <f t="shared" ca="1" si="501"/>
        <v>0</v>
      </c>
      <c r="EI355" s="171">
        <f t="shared" ca="1" si="502"/>
        <v>0</v>
      </c>
      <c r="EJ355" s="171">
        <f t="shared" ca="1" si="503"/>
        <v>0</v>
      </c>
      <c r="EK355" s="171">
        <f t="shared" ca="1" si="504"/>
        <v>0</v>
      </c>
      <c r="EL355" s="171">
        <f t="shared" ca="1" si="505"/>
        <v>0</v>
      </c>
      <c r="EM355" s="171">
        <f t="shared" ca="1" si="506"/>
        <v>0</v>
      </c>
      <c r="EN355" s="171">
        <f t="shared" ca="1" si="507"/>
        <v>0</v>
      </c>
      <c r="EO355" s="171">
        <f t="shared" ca="1" si="508"/>
        <v>0</v>
      </c>
      <c r="EP355" s="171">
        <f t="shared" ca="1" si="509"/>
        <v>0</v>
      </c>
      <c r="EQ355" s="171">
        <f t="shared" ca="1" si="510"/>
        <v>0</v>
      </c>
      <c r="ER355" s="171">
        <f t="shared" ca="1" si="511"/>
        <v>0</v>
      </c>
      <c r="ES355" s="171">
        <f t="shared" ca="1" si="512"/>
        <v>0</v>
      </c>
    </row>
    <row r="356" spans="3:149">
      <c r="C356" s="214"/>
      <c r="L356" s="163"/>
      <c r="M356" s="164" t="str">
        <f t="shared" si="443"/>
        <v/>
      </c>
      <c r="N356" s="164" t="str">
        <f t="shared" si="444"/>
        <v/>
      </c>
      <c r="O356" s="165" t="str">
        <f t="shared" si="445"/>
        <v/>
      </c>
      <c r="R356" s="168" t="str">
        <f t="shared" si="537"/>
        <v/>
      </c>
      <c r="U356" s="171">
        <f t="shared" si="446"/>
        <v>0</v>
      </c>
      <c r="V356" s="171">
        <f t="shared" ca="1" si="447"/>
        <v>0</v>
      </c>
      <c r="W356" s="171">
        <f t="shared" ca="1" si="448"/>
        <v>0</v>
      </c>
      <c r="X356" s="172">
        <f t="shared" si="449"/>
        <v>0</v>
      </c>
      <c r="Y356" s="172" t="str">
        <f t="shared" si="450"/>
        <v/>
      </c>
      <c r="Z356" s="173">
        <f t="shared" si="451"/>
        <v>0</v>
      </c>
      <c r="AA356" s="171">
        <f t="shared" si="538"/>
        <v>0</v>
      </c>
      <c r="AB356" s="171">
        <f t="shared" si="538"/>
        <v>0</v>
      </c>
      <c r="AC356" s="171">
        <f t="shared" si="538"/>
        <v>0</v>
      </c>
      <c r="AD356" s="171">
        <f t="shared" si="538"/>
        <v>0</v>
      </c>
      <c r="AE356" s="171">
        <f t="shared" si="538"/>
        <v>0</v>
      </c>
      <c r="AF356" s="171">
        <f t="shared" si="538"/>
        <v>0</v>
      </c>
      <c r="AG356" s="171">
        <f t="shared" si="538"/>
        <v>0</v>
      </c>
      <c r="AH356" s="171">
        <f t="shared" si="538"/>
        <v>0</v>
      </c>
      <c r="AI356" s="171">
        <f t="shared" si="538"/>
        <v>0</v>
      </c>
      <c r="AJ356" s="171">
        <f t="shared" si="538"/>
        <v>0</v>
      </c>
      <c r="AK356" s="171">
        <f t="shared" si="539"/>
        <v>0</v>
      </c>
      <c r="AL356" s="171">
        <f t="shared" si="539"/>
        <v>0</v>
      </c>
      <c r="AM356" s="171">
        <f t="shared" si="539"/>
        <v>0</v>
      </c>
      <c r="AN356" s="171">
        <f t="shared" si="539"/>
        <v>0</v>
      </c>
      <c r="AO356" s="171">
        <f t="shared" si="539"/>
        <v>0</v>
      </c>
      <c r="AP356" s="171">
        <f t="shared" si="539"/>
        <v>0</v>
      </c>
      <c r="AQ356" s="171">
        <f t="shared" si="539"/>
        <v>0</v>
      </c>
      <c r="AR356" s="171">
        <f t="shared" si="539"/>
        <v>0</v>
      </c>
      <c r="AS356" s="171">
        <f t="shared" si="539"/>
        <v>0</v>
      </c>
      <c r="AT356" s="171">
        <f t="shared" si="539"/>
        <v>0</v>
      </c>
      <c r="AU356" s="171">
        <f t="shared" si="540"/>
        <v>0</v>
      </c>
      <c r="AV356" s="171">
        <f t="shared" si="540"/>
        <v>0</v>
      </c>
      <c r="AW356" s="171">
        <f t="shared" si="540"/>
        <v>0</v>
      </c>
      <c r="AX356" s="171">
        <f t="shared" si="540"/>
        <v>0</v>
      </c>
      <c r="AY356" s="171">
        <f t="shared" si="540"/>
        <v>0</v>
      </c>
      <c r="AZ356" s="171">
        <f t="shared" si="540"/>
        <v>0</v>
      </c>
      <c r="BA356" s="171">
        <f t="shared" si="540"/>
        <v>0</v>
      </c>
      <c r="BB356" s="171">
        <f t="shared" si="540"/>
        <v>0</v>
      </c>
      <c r="BC356" s="171">
        <f t="shared" si="540"/>
        <v>0</v>
      </c>
      <c r="BD356" s="171">
        <f t="shared" si="540"/>
        <v>0</v>
      </c>
      <c r="BE356" s="171">
        <f t="shared" si="541"/>
        <v>0</v>
      </c>
      <c r="BF356" s="171">
        <f t="shared" si="541"/>
        <v>0</v>
      </c>
      <c r="BG356" s="171">
        <f t="shared" si="541"/>
        <v>0</v>
      </c>
      <c r="BH356" s="171">
        <f t="shared" si="541"/>
        <v>0</v>
      </c>
      <c r="BI356" s="171">
        <f t="shared" si="541"/>
        <v>0</v>
      </c>
      <c r="BJ356" s="171">
        <f t="shared" si="541"/>
        <v>0</v>
      </c>
      <c r="BK356" s="171">
        <f t="shared" si="541"/>
        <v>0</v>
      </c>
      <c r="BL356" s="171">
        <f t="shared" si="541"/>
        <v>0</v>
      </c>
      <c r="BM356" s="171">
        <f t="shared" si="541"/>
        <v>0</v>
      </c>
      <c r="BN356" s="171">
        <f t="shared" si="541"/>
        <v>0</v>
      </c>
      <c r="BO356" s="171">
        <f t="shared" si="542"/>
        <v>0</v>
      </c>
      <c r="BP356" s="171">
        <f t="shared" si="542"/>
        <v>0</v>
      </c>
      <c r="BQ356" s="171">
        <f t="shared" si="542"/>
        <v>0</v>
      </c>
      <c r="BR356" s="171">
        <f t="shared" si="542"/>
        <v>0</v>
      </c>
      <c r="BS356" s="171">
        <f t="shared" si="542"/>
        <v>0</v>
      </c>
      <c r="BT356" s="171">
        <f t="shared" si="542"/>
        <v>0</v>
      </c>
      <c r="BU356" s="171">
        <f t="shared" si="542"/>
        <v>0</v>
      </c>
      <c r="BV356" s="171">
        <f t="shared" si="542"/>
        <v>0</v>
      </c>
      <c r="BW356" s="171">
        <f t="shared" si="542"/>
        <v>0</v>
      </c>
      <c r="BX356" s="171">
        <f t="shared" si="542"/>
        <v>0</v>
      </c>
      <c r="BY356" s="171">
        <f t="shared" si="543"/>
        <v>0</v>
      </c>
      <c r="BZ356" s="171">
        <f t="shared" si="543"/>
        <v>0</v>
      </c>
      <c r="CA356" s="171">
        <f t="shared" si="543"/>
        <v>0</v>
      </c>
      <c r="CB356" s="171">
        <f t="shared" si="543"/>
        <v>0</v>
      </c>
      <c r="CC356" s="171">
        <f t="shared" si="543"/>
        <v>0</v>
      </c>
      <c r="CD356" s="171">
        <f t="shared" si="543"/>
        <v>0</v>
      </c>
      <c r="CE356" s="171">
        <f t="shared" si="543"/>
        <v>0</v>
      </c>
      <c r="CF356" s="171">
        <f t="shared" si="543"/>
        <v>0</v>
      </c>
      <c r="CG356" s="171">
        <f t="shared" si="543"/>
        <v>0</v>
      </c>
      <c r="CH356" s="171">
        <f t="shared" si="543"/>
        <v>0</v>
      </c>
      <c r="CI356" s="171">
        <f t="shared" si="543"/>
        <v>0</v>
      </c>
      <c r="CJ356" s="243"/>
      <c r="CK356" s="171">
        <f t="shared" si="452"/>
        <v>0</v>
      </c>
      <c r="CL356" s="171">
        <f t="shared" si="453"/>
        <v>0</v>
      </c>
      <c r="CM356" s="171">
        <f t="shared" si="454"/>
        <v>0</v>
      </c>
      <c r="CN356" s="171">
        <f t="shared" si="455"/>
        <v>0</v>
      </c>
      <c r="CO356" s="171">
        <f t="shared" si="456"/>
        <v>0</v>
      </c>
      <c r="CP356" s="171">
        <f t="shared" si="457"/>
        <v>0</v>
      </c>
      <c r="CQ356" s="171">
        <f t="shared" si="458"/>
        <v>0</v>
      </c>
      <c r="CR356" s="171">
        <f t="shared" si="459"/>
        <v>0</v>
      </c>
      <c r="CS356" s="171">
        <f t="shared" si="460"/>
        <v>0</v>
      </c>
      <c r="CT356" s="171">
        <f t="shared" si="461"/>
        <v>0</v>
      </c>
      <c r="CU356" s="171">
        <f t="shared" si="462"/>
        <v>0</v>
      </c>
      <c r="CV356" s="171">
        <f t="shared" si="463"/>
        <v>0</v>
      </c>
      <c r="CW356" s="171">
        <f t="shared" si="464"/>
        <v>0</v>
      </c>
      <c r="CX356" s="171">
        <f t="shared" si="465"/>
        <v>0</v>
      </c>
      <c r="CY356" s="171">
        <f t="shared" ca="1" si="466"/>
        <v>0</v>
      </c>
      <c r="CZ356" s="171">
        <f t="shared" ca="1" si="467"/>
        <v>0</v>
      </c>
      <c r="DA356" s="171">
        <f t="shared" ca="1" si="468"/>
        <v>0</v>
      </c>
      <c r="DB356" s="171">
        <f t="shared" ca="1" si="469"/>
        <v>0</v>
      </c>
      <c r="DC356" s="171">
        <f t="shared" ca="1" si="470"/>
        <v>0</v>
      </c>
      <c r="DD356" s="171">
        <f t="shared" ca="1" si="471"/>
        <v>0</v>
      </c>
      <c r="DE356" s="171">
        <f t="shared" ca="1" si="472"/>
        <v>0</v>
      </c>
      <c r="DF356" s="171">
        <f t="shared" ca="1" si="473"/>
        <v>0</v>
      </c>
      <c r="DG356" s="171">
        <f t="shared" ca="1" si="474"/>
        <v>0</v>
      </c>
      <c r="DH356" s="171">
        <f t="shared" ca="1" si="475"/>
        <v>0</v>
      </c>
      <c r="DI356" s="171">
        <f t="shared" ca="1" si="476"/>
        <v>0</v>
      </c>
      <c r="DJ356" s="171">
        <f t="shared" ca="1" si="477"/>
        <v>0</v>
      </c>
      <c r="DK356" s="171">
        <f t="shared" ca="1" si="478"/>
        <v>0</v>
      </c>
      <c r="DL356" s="171">
        <f t="shared" ca="1" si="479"/>
        <v>0</v>
      </c>
      <c r="DM356" s="171">
        <f t="shared" ca="1" si="480"/>
        <v>0</v>
      </c>
      <c r="DN356" s="171">
        <f t="shared" ca="1" si="481"/>
        <v>0</v>
      </c>
      <c r="DO356" s="171">
        <f t="shared" ca="1" si="482"/>
        <v>0</v>
      </c>
      <c r="DP356" s="171">
        <f t="shared" ca="1" si="483"/>
        <v>0</v>
      </c>
      <c r="DQ356" s="171">
        <f t="shared" ca="1" si="484"/>
        <v>0</v>
      </c>
      <c r="DR356" s="171">
        <f t="shared" ca="1" si="485"/>
        <v>0</v>
      </c>
      <c r="DS356" s="171">
        <f t="shared" ca="1" si="486"/>
        <v>0</v>
      </c>
      <c r="DT356" s="171">
        <f t="shared" ca="1" si="487"/>
        <v>0</v>
      </c>
      <c r="DU356" s="171">
        <f t="shared" ca="1" si="488"/>
        <v>0</v>
      </c>
      <c r="DV356" s="171">
        <f t="shared" ca="1" si="489"/>
        <v>0</v>
      </c>
      <c r="DW356" s="171">
        <f t="shared" ca="1" si="490"/>
        <v>0</v>
      </c>
      <c r="DX356" s="171">
        <f t="shared" ca="1" si="491"/>
        <v>0</v>
      </c>
      <c r="DY356" s="171">
        <f t="shared" ca="1" si="492"/>
        <v>0</v>
      </c>
      <c r="DZ356" s="171">
        <f t="shared" ca="1" si="493"/>
        <v>0</v>
      </c>
      <c r="EA356" s="171">
        <f t="shared" ca="1" si="494"/>
        <v>0</v>
      </c>
      <c r="EB356" s="171">
        <f t="shared" ca="1" si="495"/>
        <v>0</v>
      </c>
      <c r="EC356" s="171">
        <f t="shared" ca="1" si="496"/>
        <v>0</v>
      </c>
      <c r="ED356" s="171">
        <f t="shared" ca="1" si="497"/>
        <v>0</v>
      </c>
      <c r="EE356" s="171">
        <f t="shared" ca="1" si="498"/>
        <v>0</v>
      </c>
      <c r="EF356" s="171">
        <f t="shared" ca="1" si="499"/>
        <v>0</v>
      </c>
      <c r="EG356" s="171">
        <f t="shared" ca="1" si="500"/>
        <v>0</v>
      </c>
      <c r="EH356" s="171">
        <f t="shared" ca="1" si="501"/>
        <v>0</v>
      </c>
      <c r="EI356" s="171">
        <f t="shared" ca="1" si="502"/>
        <v>0</v>
      </c>
      <c r="EJ356" s="171">
        <f t="shared" ca="1" si="503"/>
        <v>0</v>
      </c>
      <c r="EK356" s="171">
        <f t="shared" ca="1" si="504"/>
        <v>0</v>
      </c>
      <c r="EL356" s="171">
        <f t="shared" ca="1" si="505"/>
        <v>0</v>
      </c>
      <c r="EM356" s="171">
        <f t="shared" ca="1" si="506"/>
        <v>0</v>
      </c>
      <c r="EN356" s="171">
        <f t="shared" ca="1" si="507"/>
        <v>0</v>
      </c>
      <c r="EO356" s="171">
        <f t="shared" ca="1" si="508"/>
        <v>0</v>
      </c>
      <c r="EP356" s="171">
        <f t="shared" ca="1" si="509"/>
        <v>0</v>
      </c>
      <c r="EQ356" s="171">
        <f t="shared" ca="1" si="510"/>
        <v>0</v>
      </c>
      <c r="ER356" s="171">
        <f t="shared" ca="1" si="511"/>
        <v>0</v>
      </c>
      <c r="ES356" s="171">
        <f t="shared" ca="1" si="512"/>
        <v>0</v>
      </c>
    </row>
    <row r="357" spans="3:149">
      <c r="C357" s="214"/>
      <c r="L357" s="163"/>
      <c r="M357" s="164" t="str">
        <f t="shared" si="443"/>
        <v/>
      </c>
      <c r="N357" s="164" t="str">
        <f t="shared" si="444"/>
        <v/>
      </c>
      <c r="O357" s="165" t="str">
        <f t="shared" si="445"/>
        <v/>
      </c>
      <c r="R357" s="168" t="str">
        <f t="shared" si="537"/>
        <v/>
      </c>
      <c r="U357" s="171">
        <f t="shared" si="446"/>
        <v>0</v>
      </c>
      <c r="V357" s="171">
        <f t="shared" ca="1" si="447"/>
        <v>0</v>
      </c>
      <c r="W357" s="171">
        <f t="shared" ca="1" si="448"/>
        <v>0</v>
      </c>
      <c r="X357" s="172">
        <f t="shared" si="449"/>
        <v>0</v>
      </c>
      <c r="Y357" s="172" t="str">
        <f t="shared" si="450"/>
        <v/>
      </c>
      <c r="Z357" s="173">
        <f t="shared" si="451"/>
        <v>0</v>
      </c>
      <c r="AA357" s="171">
        <f t="shared" si="538"/>
        <v>0</v>
      </c>
      <c r="AB357" s="171">
        <f t="shared" si="538"/>
        <v>0</v>
      </c>
      <c r="AC357" s="171">
        <f t="shared" si="538"/>
        <v>0</v>
      </c>
      <c r="AD357" s="171">
        <f t="shared" si="538"/>
        <v>0</v>
      </c>
      <c r="AE357" s="171">
        <f t="shared" si="538"/>
        <v>0</v>
      </c>
      <c r="AF357" s="171">
        <f t="shared" si="538"/>
        <v>0</v>
      </c>
      <c r="AG357" s="171">
        <f t="shared" si="538"/>
        <v>0</v>
      </c>
      <c r="AH357" s="171">
        <f t="shared" si="538"/>
        <v>0</v>
      </c>
      <c r="AI357" s="171">
        <f t="shared" si="538"/>
        <v>0</v>
      </c>
      <c r="AJ357" s="171">
        <f t="shared" si="538"/>
        <v>0</v>
      </c>
      <c r="AK357" s="171">
        <f t="shared" si="539"/>
        <v>0</v>
      </c>
      <c r="AL357" s="171">
        <f t="shared" si="539"/>
        <v>0</v>
      </c>
      <c r="AM357" s="171">
        <f t="shared" si="539"/>
        <v>0</v>
      </c>
      <c r="AN357" s="171">
        <f t="shared" si="539"/>
        <v>0</v>
      </c>
      <c r="AO357" s="171">
        <f t="shared" si="539"/>
        <v>0</v>
      </c>
      <c r="AP357" s="171">
        <f t="shared" si="539"/>
        <v>0</v>
      </c>
      <c r="AQ357" s="171">
        <f t="shared" si="539"/>
        <v>0</v>
      </c>
      <c r="AR357" s="171">
        <f t="shared" si="539"/>
        <v>0</v>
      </c>
      <c r="AS357" s="171">
        <f t="shared" si="539"/>
        <v>0</v>
      </c>
      <c r="AT357" s="171">
        <f t="shared" si="539"/>
        <v>0</v>
      </c>
      <c r="AU357" s="171">
        <f t="shared" si="540"/>
        <v>0</v>
      </c>
      <c r="AV357" s="171">
        <f t="shared" si="540"/>
        <v>0</v>
      </c>
      <c r="AW357" s="171">
        <f t="shared" si="540"/>
        <v>0</v>
      </c>
      <c r="AX357" s="171">
        <f t="shared" si="540"/>
        <v>0</v>
      </c>
      <c r="AY357" s="171">
        <f t="shared" si="540"/>
        <v>0</v>
      </c>
      <c r="AZ357" s="171">
        <f t="shared" si="540"/>
        <v>0</v>
      </c>
      <c r="BA357" s="171">
        <f t="shared" si="540"/>
        <v>0</v>
      </c>
      <c r="BB357" s="171">
        <f t="shared" si="540"/>
        <v>0</v>
      </c>
      <c r="BC357" s="171">
        <f t="shared" si="540"/>
        <v>0</v>
      </c>
      <c r="BD357" s="171">
        <f t="shared" si="540"/>
        <v>0</v>
      </c>
      <c r="BE357" s="171">
        <f t="shared" si="541"/>
        <v>0</v>
      </c>
      <c r="BF357" s="171">
        <f t="shared" si="541"/>
        <v>0</v>
      </c>
      <c r="BG357" s="171">
        <f t="shared" si="541"/>
        <v>0</v>
      </c>
      <c r="BH357" s="171">
        <f t="shared" si="541"/>
        <v>0</v>
      </c>
      <c r="BI357" s="171">
        <f t="shared" si="541"/>
        <v>0</v>
      </c>
      <c r="BJ357" s="171">
        <f t="shared" si="541"/>
        <v>0</v>
      </c>
      <c r="BK357" s="171">
        <f t="shared" si="541"/>
        <v>0</v>
      </c>
      <c r="BL357" s="171">
        <f t="shared" si="541"/>
        <v>0</v>
      </c>
      <c r="BM357" s="171">
        <f t="shared" si="541"/>
        <v>0</v>
      </c>
      <c r="BN357" s="171">
        <f t="shared" si="541"/>
        <v>0</v>
      </c>
      <c r="BO357" s="171">
        <f t="shared" si="542"/>
        <v>0</v>
      </c>
      <c r="BP357" s="171">
        <f t="shared" si="542"/>
        <v>0</v>
      </c>
      <c r="BQ357" s="171">
        <f t="shared" si="542"/>
        <v>0</v>
      </c>
      <c r="BR357" s="171">
        <f t="shared" si="542"/>
        <v>0</v>
      </c>
      <c r="BS357" s="171">
        <f t="shared" si="542"/>
        <v>0</v>
      </c>
      <c r="BT357" s="171">
        <f t="shared" si="542"/>
        <v>0</v>
      </c>
      <c r="BU357" s="171">
        <f t="shared" si="542"/>
        <v>0</v>
      </c>
      <c r="BV357" s="171">
        <f t="shared" si="542"/>
        <v>0</v>
      </c>
      <c r="BW357" s="171">
        <f t="shared" si="542"/>
        <v>0</v>
      </c>
      <c r="BX357" s="171">
        <f t="shared" si="542"/>
        <v>0</v>
      </c>
      <c r="BY357" s="171">
        <f t="shared" si="543"/>
        <v>0</v>
      </c>
      <c r="BZ357" s="171">
        <f t="shared" si="543"/>
        <v>0</v>
      </c>
      <c r="CA357" s="171">
        <f t="shared" si="543"/>
        <v>0</v>
      </c>
      <c r="CB357" s="171">
        <f t="shared" si="543"/>
        <v>0</v>
      </c>
      <c r="CC357" s="171">
        <f t="shared" si="543"/>
        <v>0</v>
      </c>
      <c r="CD357" s="171">
        <f t="shared" si="543"/>
        <v>0</v>
      </c>
      <c r="CE357" s="171">
        <f t="shared" si="543"/>
        <v>0</v>
      </c>
      <c r="CF357" s="171">
        <f t="shared" si="543"/>
        <v>0</v>
      </c>
      <c r="CG357" s="171">
        <f t="shared" si="543"/>
        <v>0</v>
      </c>
      <c r="CH357" s="171">
        <f t="shared" si="543"/>
        <v>0</v>
      </c>
      <c r="CI357" s="171">
        <f t="shared" si="543"/>
        <v>0</v>
      </c>
      <c r="CJ357" s="243"/>
      <c r="CK357" s="171">
        <f t="shared" si="452"/>
        <v>0</v>
      </c>
      <c r="CL357" s="171">
        <f t="shared" si="453"/>
        <v>0</v>
      </c>
      <c r="CM357" s="171">
        <f t="shared" si="454"/>
        <v>0</v>
      </c>
      <c r="CN357" s="171">
        <f t="shared" si="455"/>
        <v>0</v>
      </c>
      <c r="CO357" s="171">
        <f t="shared" si="456"/>
        <v>0</v>
      </c>
      <c r="CP357" s="171">
        <f t="shared" si="457"/>
        <v>0</v>
      </c>
      <c r="CQ357" s="171">
        <f t="shared" si="458"/>
        <v>0</v>
      </c>
      <c r="CR357" s="171">
        <f t="shared" si="459"/>
        <v>0</v>
      </c>
      <c r="CS357" s="171">
        <f t="shared" si="460"/>
        <v>0</v>
      </c>
      <c r="CT357" s="171">
        <f t="shared" si="461"/>
        <v>0</v>
      </c>
      <c r="CU357" s="171">
        <f t="shared" si="462"/>
        <v>0</v>
      </c>
      <c r="CV357" s="171">
        <f t="shared" si="463"/>
        <v>0</v>
      </c>
      <c r="CW357" s="171">
        <f t="shared" si="464"/>
        <v>0</v>
      </c>
      <c r="CX357" s="171">
        <f t="shared" si="465"/>
        <v>0</v>
      </c>
      <c r="CY357" s="171">
        <f t="shared" ca="1" si="466"/>
        <v>0</v>
      </c>
      <c r="CZ357" s="171">
        <f t="shared" ca="1" si="467"/>
        <v>0</v>
      </c>
      <c r="DA357" s="171">
        <f t="shared" ca="1" si="468"/>
        <v>0</v>
      </c>
      <c r="DB357" s="171">
        <f t="shared" ca="1" si="469"/>
        <v>0</v>
      </c>
      <c r="DC357" s="171">
        <f t="shared" ca="1" si="470"/>
        <v>0</v>
      </c>
      <c r="DD357" s="171">
        <f t="shared" ca="1" si="471"/>
        <v>0</v>
      </c>
      <c r="DE357" s="171">
        <f t="shared" ca="1" si="472"/>
        <v>0</v>
      </c>
      <c r="DF357" s="171">
        <f t="shared" ca="1" si="473"/>
        <v>0</v>
      </c>
      <c r="DG357" s="171">
        <f t="shared" ca="1" si="474"/>
        <v>0</v>
      </c>
      <c r="DH357" s="171">
        <f t="shared" ca="1" si="475"/>
        <v>0</v>
      </c>
      <c r="DI357" s="171">
        <f t="shared" ca="1" si="476"/>
        <v>0</v>
      </c>
      <c r="DJ357" s="171">
        <f t="shared" ca="1" si="477"/>
        <v>0</v>
      </c>
      <c r="DK357" s="171">
        <f t="shared" ca="1" si="478"/>
        <v>0</v>
      </c>
      <c r="DL357" s="171">
        <f t="shared" ca="1" si="479"/>
        <v>0</v>
      </c>
      <c r="DM357" s="171">
        <f t="shared" ca="1" si="480"/>
        <v>0</v>
      </c>
      <c r="DN357" s="171">
        <f t="shared" ca="1" si="481"/>
        <v>0</v>
      </c>
      <c r="DO357" s="171">
        <f t="shared" ca="1" si="482"/>
        <v>0</v>
      </c>
      <c r="DP357" s="171">
        <f t="shared" ca="1" si="483"/>
        <v>0</v>
      </c>
      <c r="DQ357" s="171">
        <f t="shared" ca="1" si="484"/>
        <v>0</v>
      </c>
      <c r="DR357" s="171">
        <f t="shared" ca="1" si="485"/>
        <v>0</v>
      </c>
      <c r="DS357" s="171">
        <f t="shared" ca="1" si="486"/>
        <v>0</v>
      </c>
      <c r="DT357" s="171">
        <f t="shared" ca="1" si="487"/>
        <v>0</v>
      </c>
      <c r="DU357" s="171">
        <f t="shared" ca="1" si="488"/>
        <v>0</v>
      </c>
      <c r="DV357" s="171">
        <f t="shared" ca="1" si="489"/>
        <v>0</v>
      </c>
      <c r="DW357" s="171">
        <f t="shared" ca="1" si="490"/>
        <v>0</v>
      </c>
      <c r="DX357" s="171">
        <f t="shared" ca="1" si="491"/>
        <v>0</v>
      </c>
      <c r="DY357" s="171">
        <f t="shared" ca="1" si="492"/>
        <v>0</v>
      </c>
      <c r="DZ357" s="171">
        <f t="shared" ca="1" si="493"/>
        <v>0</v>
      </c>
      <c r="EA357" s="171">
        <f t="shared" ca="1" si="494"/>
        <v>0</v>
      </c>
      <c r="EB357" s="171">
        <f t="shared" ca="1" si="495"/>
        <v>0</v>
      </c>
      <c r="EC357" s="171">
        <f t="shared" ca="1" si="496"/>
        <v>0</v>
      </c>
      <c r="ED357" s="171">
        <f t="shared" ca="1" si="497"/>
        <v>0</v>
      </c>
      <c r="EE357" s="171">
        <f t="shared" ca="1" si="498"/>
        <v>0</v>
      </c>
      <c r="EF357" s="171">
        <f t="shared" ca="1" si="499"/>
        <v>0</v>
      </c>
      <c r="EG357" s="171">
        <f t="shared" ca="1" si="500"/>
        <v>0</v>
      </c>
      <c r="EH357" s="171">
        <f t="shared" ca="1" si="501"/>
        <v>0</v>
      </c>
      <c r="EI357" s="171">
        <f t="shared" ca="1" si="502"/>
        <v>0</v>
      </c>
      <c r="EJ357" s="171">
        <f t="shared" ca="1" si="503"/>
        <v>0</v>
      </c>
      <c r="EK357" s="171">
        <f t="shared" ca="1" si="504"/>
        <v>0</v>
      </c>
      <c r="EL357" s="171">
        <f t="shared" ca="1" si="505"/>
        <v>0</v>
      </c>
      <c r="EM357" s="171">
        <f t="shared" ca="1" si="506"/>
        <v>0</v>
      </c>
      <c r="EN357" s="171">
        <f t="shared" ca="1" si="507"/>
        <v>0</v>
      </c>
      <c r="EO357" s="171">
        <f t="shared" ca="1" si="508"/>
        <v>0</v>
      </c>
      <c r="EP357" s="171">
        <f t="shared" ca="1" si="509"/>
        <v>0</v>
      </c>
      <c r="EQ357" s="171">
        <f t="shared" ca="1" si="510"/>
        <v>0</v>
      </c>
      <c r="ER357" s="171">
        <f t="shared" ca="1" si="511"/>
        <v>0</v>
      </c>
      <c r="ES357" s="171">
        <f t="shared" ca="1" si="512"/>
        <v>0</v>
      </c>
    </row>
    <row r="358" spans="3:149">
      <c r="C358" s="214"/>
      <c r="L358" s="163"/>
      <c r="M358" s="164" t="str">
        <f t="shared" si="443"/>
        <v/>
      </c>
      <c r="N358" s="164" t="str">
        <f t="shared" si="444"/>
        <v/>
      </c>
      <c r="O358" s="165" t="str">
        <f t="shared" si="445"/>
        <v/>
      </c>
      <c r="R358" s="168" t="str">
        <f t="shared" si="537"/>
        <v/>
      </c>
      <c r="U358" s="171">
        <f t="shared" si="446"/>
        <v>0</v>
      </c>
      <c r="V358" s="171">
        <f t="shared" ca="1" si="447"/>
        <v>0</v>
      </c>
      <c r="W358" s="171">
        <f t="shared" ca="1" si="448"/>
        <v>0</v>
      </c>
      <c r="X358" s="172">
        <f t="shared" si="449"/>
        <v>0</v>
      </c>
      <c r="Y358" s="172" t="str">
        <f t="shared" si="450"/>
        <v/>
      </c>
      <c r="Z358" s="173">
        <f t="shared" si="451"/>
        <v>0</v>
      </c>
      <c r="AA358" s="171">
        <f t="shared" si="538"/>
        <v>0</v>
      </c>
      <c r="AB358" s="171">
        <f t="shared" si="538"/>
        <v>0</v>
      </c>
      <c r="AC358" s="171">
        <f t="shared" si="538"/>
        <v>0</v>
      </c>
      <c r="AD358" s="171">
        <f t="shared" si="538"/>
        <v>0</v>
      </c>
      <c r="AE358" s="171">
        <f t="shared" si="538"/>
        <v>0</v>
      </c>
      <c r="AF358" s="171">
        <f t="shared" si="538"/>
        <v>0</v>
      </c>
      <c r="AG358" s="171">
        <f t="shared" si="538"/>
        <v>0</v>
      </c>
      <c r="AH358" s="171">
        <f t="shared" si="538"/>
        <v>0</v>
      </c>
      <c r="AI358" s="171">
        <f t="shared" si="538"/>
        <v>0</v>
      </c>
      <c r="AJ358" s="171">
        <f t="shared" si="538"/>
        <v>0</v>
      </c>
      <c r="AK358" s="171">
        <f t="shared" si="539"/>
        <v>0</v>
      </c>
      <c r="AL358" s="171">
        <f t="shared" si="539"/>
        <v>0</v>
      </c>
      <c r="AM358" s="171">
        <f t="shared" si="539"/>
        <v>0</v>
      </c>
      <c r="AN358" s="171">
        <f t="shared" si="539"/>
        <v>0</v>
      </c>
      <c r="AO358" s="171">
        <f t="shared" si="539"/>
        <v>0</v>
      </c>
      <c r="AP358" s="171">
        <f t="shared" si="539"/>
        <v>0</v>
      </c>
      <c r="AQ358" s="171">
        <f t="shared" si="539"/>
        <v>0</v>
      </c>
      <c r="AR358" s="171">
        <f t="shared" si="539"/>
        <v>0</v>
      </c>
      <c r="AS358" s="171">
        <f t="shared" si="539"/>
        <v>0</v>
      </c>
      <c r="AT358" s="171">
        <f t="shared" si="539"/>
        <v>0</v>
      </c>
      <c r="AU358" s="171">
        <f t="shared" si="540"/>
        <v>0</v>
      </c>
      <c r="AV358" s="171">
        <f t="shared" si="540"/>
        <v>0</v>
      </c>
      <c r="AW358" s="171">
        <f t="shared" si="540"/>
        <v>0</v>
      </c>
      <c r="AX358" s="171">
        <f t="shared" si="540"/>
        <v>0</v>
      </c>
      <c r="AY358" s="171">
        <f t="shared" si="540"/>
        <v>0</v>
      </c>
      <c r="AZ358" s="171">
        <f t="shared" si="540"/>
        <v>0</v>
      </c>
      <c r="BA358" s="171">
        <f t="shared" si="540"/>
        <v>0</v>
      </c>
      <c r="BB358" s="171">
        <f t="shared" si="540"/>
        <v>0</v>
      </c>
      <c r="BC358" s="171">
        <f t="shared" si="540"/>
        <v>0</v>
      </c>
      <c r="BD358" s="171">
        <f t="shared" si="540"/>
        <v>0</v>
      </c>
      <c r="BE358" s="171">
        <f t="shared" si="541"/>
        <v>0</v>
      </c>
      <c r="BF358" s="171">
        <f t="shared" si="541"/>
        <v>0</v>
      </c>
      <c r="BG358" s="171">
        <f t="shared" si="541"/>
        <v>0</v>
      </c>
      <c r="BH358" s="171">
        <f t="shared" si="541"/>
        <v>0</v>
      </c>
      <c r="BI358" s="171">
        <f t="shared" si="541"/>
        <v>0</v>
      </c>
      <c r="BJ358" s="171">
        <f t="shared" si="541"/>
        <v>0</v>
      </c>
      <c r="BK358" s="171">
        <f t="shared" si="541"/>
        <v>0</v>
      </c>
      <c r="BL358" s="171">
        <f t="shared" si="541"/>
        <v>0</v>
      </c>
      <c r="BM358" s="171">
        <f t="shared" si="541"/>
        <v>0</v>
      </c>
      <c r="BN358" s="171">
        <f t="shared" si="541"/>
        <v>0</v>
      </c>
      <c r="BO358" s="171">
        <f t="shared" si="542"/>
        <v>0</v>
      </c>
      <c r="BP358" s="171">
        <f t="shared" si="542"/>
        <v>0</v>
      </c>
      <c r="BQ358" s="171">
        <f t="shared" si="542"/>
        <v>0</v>
      </c>
      <c r="BR358" s="171">
        <f t="shared" si="542"/>
        <v>0</v>
      </c>
      <c r="BS358" s="171">
        <f t="shared" si="542"/>
        <v>0</v>
      </c>
      <c r="BT358" s="171">
        <f t="shared" si="542"/>
        <v>0</v>
      </c>
      <c r="BU358" s="171">
        <f t="shared" si="542"/>
        <v>0</v>
      </c>
      <c r="BV358" s="171">
        <f t="shared" si="542"/>
        <v>0</v>
      </c>
      <c r="BW358" s="171">
        <f t="shared" si="542"/>
        <v>0</v>
      </c>
      <c r="BX358" s="171">
        <f t="shared" si="542"/>
        <v>0</v>
      </c>
      <c r="BY358" s="171">
        <f t="shared" si="543"/>
        <v>0</v>
      </c>
      <c r="BZ358" s="171">
        <f t="shared" si="543"/>
        <v>0</v>
      </c>
      <c r="CA358" s="171">
        <f t="shared" si="543"/>
        <v>0</v>
      </c>
      <c r="CB358" s="171">
        <f t="shared" si="543"/>
        <v>0</v>
      </c>
      <c r="CC358" s="171">
        <f t="shared" si="543"/>
        <v>0</v>
      </c>
      <c r="CD358" s="171">
        <f t="shared" si="543"/>
        <v>0</v>
      </c>
      <c r="CE358" s="171">
        <f t="shared" si="543"/>
        <v>0</v>
      </c>
      <c r="CF358" s="171">
        <f t="shared" si="543"/>
        <v>0</v>
      </c>
      <c r="CG358" s="171">
        <f t="shared" si="543"/>
        <v>0</v>
      </c>
      <c r="CH358" s="171">
        <f t="shared" si="543"/>
        <v>0</v>
      </c>
      <c r="CI358" s="171">
        <f t="shared" si="543"/>
        <v>0</v>
      </c>
      <c r="CJ358" s="243"/>
      <c r="CK358" s="171">
        <f t="shared" si="452"/>
        <v>0</v>
      </c>
      <c r="CL358" s="171">
        <f t="shared" si="453"/>
        <v>0</v>
      </c>
      <c r="CM358" s="171">
        <f t="shared" si="454"/>
        <v>0</v>
      </c>
      <c r="CN358" s="171">
        <f t="shared" si="455"/>
        <v>0</v>
      </c>
      <c r="CO358" s="171">
        <f t="shared" si="456"/>
        <v>0</v>
      </c>
      <c r="CP358" s="171">
        <f t="shared" si="457"/>
        <v>0</v>
      </c>
      <c r="CQ358" s="171">
        <f t="shared" si="458"/>
        <v>0</v>
      </c>
      <c r="CR358" s="171">
        <f t="shared" si="459"/>
        <v>0</v>
      </c>
      <c r="CS358" s="171">
        <f t="shared" si="460"/>
        <v>0</v>
      </c>
      <c r="CT358" s="171">
        <f t="shared" si="461"/>
        <v>0</v>
      </c>
      <c r="CU358" s="171">
        <f t="shared" si="462"/>
        <v>0</v>
      </c>
      <c r="CV358" s="171">
        <f t="shared" si="463"/>
        <v>0</v>
      </c>
      <c r="CW358" s="171">
        <f t="shared" si="464"/>
        <v>0</v>
      </c>
      <c r="CX358" s="171">
        <f t="shared" si="465"/>
        <v>0</v>
      </c>
      <c r="CY358" s="171">
        <f t="shared" ca="1" si="466"/>
        <v>0</v>
      </c>
      <c r="CZ358" s="171">
        <f t="shared" ca="1" si="467"/>
        <v>0</v>
      </c>
      <c r="DA358" s="171">
        <f t="shared" ca="1" si="468"/>
        <v>0</v>
      </c>
      <c r="DB358" s="171">
        <f t="shared" ca="1" si="469"/>
        <v>0</v>
      </c>
      <c r="DC358" s="171">
        <f t="shared" ca="1" si="470"/>
        <v>0</v>
      </c>
      <c r="DD358" s="171">
        <f t="shared" ca="1" si="471"/>
        <v>0</v>
      </c>
      <c r="DE358" s="171">
        <f t="shared" ca="1" si="472"/>
        <v>0</v>
      </c>
      <c r="DF358" s="171">
        <f t="shared" ca="1" si="473"/>
        <v>0</v>
      </c>
      <c r="DG358" s="171">
        <f t="shared" ca="1" si="474"/>
        <v>0</v>
      </c>
      <c r="DH358" s="171">
        <f t="shared" ca="1" si="475"/>
        <v>0</v>
      </c>
      <c r="DI358" s="171">
        <f t="shared" ca="1" si="476"/>
        <v>0</v>
      </c>
      <c r="DJ358" s="171">
        <f t="shared" ca="1" si="477"/>
        <v>0</v>
      </c>
      <c r="DK358" s="171">
        <f t="shared" ca="1" si="478"/>
        <v>0</v>
      </c>
      <c r="DL358" s="171">
        <f t="shared" ca="1" si="479"/>
        <v>0</v>
      </c>
      <c r="DM358" s="171">
        <f t="shared" ca="1" si="480"/>
        <v>0</v>
      </c>
      <c r="DN358" s="171">
        <f t="shared" ca="1" si="481"/>
        <v>0</v>
      </c>
      <c r="DO358" s="171">
        <f t="shared" ca="1" si="482"/>
        <v>0</v>
      </c>
      <c r="DP358" s="171">
        <f t="shared" ca="1" si="483"/>
        <v>0</v>
      </c>
      <c r="DQ358" s="171">
        <f t="shared" ca="1" si="484"/>
        <v>0</v>
      </c>
      <c r="DR358" s="171">
        <f t="shared" ca="1" si="485"/>
        <v>0</v>
      </c>
      <c r="DS358" s="171">
        <f t="shared" ca="1" si="486"/>
        <v>0</v>
      </c>
      <c r="DT358" s="171">
        <f t="shared" ca="1" si="487"/>
        <v>0</v>
      </c>
      <c r="DU358" s="171">
        <f t="shared" ca="1" si="488"/>
        <v>0</v>
      </c>
      <c r="DV358" s="171">
        <f t="shared" ca="1" si="489"/>
        <v>0</v>
      </c>
      <c r="DW358" s="171">
        <f t="shared" ca="1" si="490"/>
        <v>0</v>
      </c>
      <c r="DX358" s="171">
        <f t="shared" ca="1" si="491"/>
        <v>0</v>
      </c>
      <c r="DY358" s="171">
        <f t="shared" ca="1" si="492"/>
        <v>0</v>
      </c>
      <c r="DZ358" s="171">
        <f t="shared" ca="1" si="493"/>
        <v>0</v>
      </c>
      <c r="EA358" s="171">
        <f t="shared" ca="1" si="494"/>
        <v>0</v>
      </c>
      <c r="EB358" s="171">
        <f t="shared" ca="1" si="495"/>
        <v>0</v>
      </c>
      <c r="EC358" s="171">
        <f t="shared" ca="1" si="496"/>
        <v>0</v>
      </c>
      <c r="ED358" s="171">
        <f t="shared" ca="1" si="497"/>
        <v>0</v>
      </c>
      <c r="EE358" s="171">
        <f t="shared" ca="1" si="498"/>
        <v>0</v>
      </c>
      <c r="EF358" s="171">
        <f t="shared" ca="1" si="499"/>
        <v>0</v>
      </c>
      <c r="EG358" s="171">
        <f t="shared" ca="1" si="500"/>
        <v>0</v>
      </c>
      <c r="EH358" s="171">
        <f t="shared" ca="1" si="501"/>
        <v>0</v>
      </c>
      <c r="EI358" s="171">
        <f t="shared" ca="1" si="502"/>
        <v>0</v>
      </c>
      <c r="EJ358" s="171">
        <f t="shared" ca="1" si="503"/>
        <v>0</v>
      </c>
      <c r="EK358" s="171">
        <f t="shared" ca="1" si="504"/>
        <v>0</v>
      </c>
      <c r="EL358" s="171">
        <f t="shared" ca="1" si="505"/>
        <v>0</v>
      </c>
      <c r="EM358" s="171">
        <f t="shared" ca="1" si="506"/>
        <v>0</v>
      </c>
      <c r="EN358" s="171">
        <f t="shared" ca="1" si="507"/>
        <v>0</v>
      </c>
      <c r="EO358" s="171">
        <f t="shared" ca="1" si="508"/>
        <v>0</v>
      </c>
      <c r="EP358" s="171">
        <f t="shared" ca="1" si="509"/>
        <v>0</v>
      </c>
      <c r="EQ358" s="171">
        <f t="shared" ca="1" si="510"/>
        <v>0</v>
      </c>
      <c r="ER358" s="171">
        <f t="shared" ca="1" si="511"/>
        <v>0</v>
      </c>
      <c r="ES358" s="171">
        <f t="shared" ca="1" si="512"/>
        <v>0</v>
      </c>
    </row>
    <row r="359" spans="3:149">
      <c r="C359" s="214"/>
      <c r="L359" s="163"/>
      <c r="M359" s="164" t="str">
        <f t="shared" si="443"/>
        <v/>
      </c>
      <c r="N359" s="164" t="str">
        <f t="shared" si="444"/>
        <v/>
      </c>
      <c r="O359" s="165" t="str">
        <f t="shared" si="445"/>
        <v/>
      </c>
      <c r="R359" s="168" t="str">
        <f t="shared" si="537"/>
        <v/>
      </c>
      <c r="U359" s="171">
        <f t="shared" si="446"/>
        <v>0</v>
      </c>
      <c r="V359" s="171">
        <f t="shared" ca="1" si="447"/>
        <v>0</v>
      </c>
      <c r="W359" s="171">
        <f t="shared" ca="1" si="448"/>
        <v>0</v>
      </c>
      <c r="X359" s="172">
        <f t="shared" si="449"/>
        <v>0</v>
      </c>
      <c r="Y359" s="172" t="str">
        <f t="shared" si="450"/>
        <v/>
      </c>
      <c r="Z359" s="173">
        <f t="shared" si="451"/>
        <v>0</v>
      </c>
      <c r="AA359" s="171">
        <f t="shared" ref="AA359:AJ368" si="544">IFERROR(
    IF($T359="Equity",
        IF(AND(AA$48&gt;=$E359, AA$48&lt;=($E359+$Q359)),
$K359*$P359*(VLOOKUP($C$39,$C$37:$BL$44,MATCH($E359,$C$37:$BL$37,0),FALSE)/VLOOKUP($L359,$C$37:$BL$44,MATCH($E359,$C$37:$BL$37,0),FALSE))*
IF($B$5="Foreign Currency",VLOOKUP($C$38,$C$37:$BL$44,MATCH(AA$48,$C$37:$BL$37,0),FALSE)/VLOOKUP($C$39,$C$37:$BL$44,MATCH(AA$48,$C$37:$BL$37,0),FALSE),1),
0),
    IF($T359="Lump Sum Principal",
        IF(AND(AA$48&gt;=$E359, AA$48&lt;($E359+$Q359)),
$K359*$P359*(VLOOKUP($C$39,$C$37:$BL$44,MATCH($E359,$C$37:$BL$37,0),FALSE)/VLOOKUP($L359,$C$37:$BL$44,MATCH($E359,$C$37:$BL$37,0),FALSE))*
IF($B$5="Foreign Currency",VLOOKUP($C$38,$C$37:$BL$44,MATCH(AA$48,$C$37:$BL$37,0),FALSE)/VLOOKUP($C$39,$C$37:$BL$44,MATCH(AA$48,$C$37:$BL$37,0),FALSE),1),
        IF(AA$48=($E359+$Q359),
$K359*(1+$P359)*(VLOOKUP($C$39,$C$37:$BL$44,MATCH($E359,$C$37:$BL$37,0),FALSE)/VLOOKUP($L359,$C$37:$BL$44,MATCH($E359,$C$37:$BL$37,0),FALSE))*
IF($B$5="Foreign Currency",VLOOKUP($C$38,$C$37:$BL$44,MATCH(AA$48,$C$37:$BL$37,0),FALSE)/VLOOKUP($C$39,$C$37:$BL$44,MATCH(AA$48,$C$37:$BL$37,0),FALSE),1),
0)),
    IF($T359="Lump Sum Principal and Interest",
        IF(AA$48=($E359+$Q359),
$K359*((1+$P359)^$Q359)*(VLOOKUP($C$39,$C$37:$BL$44,MATCH($E359,$C$37:$BL$37,0),FALSE)/VLOOKUP($L359,$C$37:$BL$44,MATCH($E359,$C$37:$BL$37,0),FALSE))*
IF($B$5="Foreign Currency",VLOOKUP($C$38,$C$37:$BL$44,MATCH(AA$48,$C$37:$BL$37,0),FALSE)/VLOOKUP($C$39,$C$37:$BL$44,MATCH(AA$48,$C$37:$BL$37,0),FALSE),1),
0),
    IF($T359="EPP with Grace Years for Principal",
        IF(AND(AA$48&gt;=$E359, AA$48&lt;($E359+$S359)),
$K359*$P359*(VLOOKUP($C$39,$C$37:$BL$44,MATCH($E359,$C$37:$BL$37,0),FALSE)/VLOOKUP($L359,$C$37:$BL$44,MATCH($E359,$C$37:$BL$37,0),FALSE))*
IF($B$5="Foreign Currency",VLOOKUP($C$38,$C$37:$BL$44,MATCH(AA$48,$C$37:$BL$37,0),FALSE)/VLOOKUP($C$39,$C$37:$BL$44,MATCH(AA$48,$C$37:$BL$37,0),FALSE),1),
        IF(AND(AA$48&gt;=($E359+$S359), AA$48&lt;=($E359+$Q359)),
-PMT($P359,($Q359-$S359+1),($K359*(VLOOKUP($C$39,$C$37:$BL$44,MATCH($E359,$C$37:$BL$37,0),FALSE)/VLOOKUP($L359,$C$37:$BL$44,MATCH($E359,$C$37:$BL$37,0),FALSE))*
IF($B$5="Foreign Currency",VLOOKUP($C$38,$C$37:$BL$44,MATCH(AA$48,$C$37:$BL$37,0),FALSE)/VLOOKUP($C$39,$C$37:$BL$44,MATCH(AA$48,$C$37:$BL$37,0),FALSE),1)),0),
0)),
    IF($T359="Equal Principal Payments (EPP)",
        IF(AND(AA$48&gt;=$E359, AA$48&lt;=($E359+$Q359)),
-PMT($P359,($Q359-$S359+1),($K359*(VLOOKUP($C$39,$C$37:$BL$44,MATCH($E359,$C$37:$BL$37,0),FALSE)/VLOOKUP($L359,$C$37:$BL$44,MATCH($E359,$C$37:$BL$37,0),FALSE))*
IF($B$5="Foreign Currency",VLOOKUP($C$38,$C$37:$BL$44,MATCH(AA$48,$C$37:$BL$37,0),FALSE)/VLOOKUP($C$39,$C$37:$BL$44,MATCH(AA$48,$C$37:$BL$37,0),FALSE),1)),0), 0),
    IF($T359="EPP with Grace Years for Principal and on Interest",
        IF(AND(AA$48&gt;=($E359+$S359), AA$48&lt;=($E359+$Q359)),
-PMT($P359,($Q359-$S359+1),($K359*(VLOOKUP($C$39,$C$37:$BL$44,MATCH($E359,$C$37:$BL$37,0),FALSE)/VLOOKUP($L359,$C$37:$BL$44,MATCH($E359,$C$37:$BL$37,0),FALSE))*
IF($B$5="Foreign Currency",VLOOKUP($C$38,$C$37:$BL$44,MATCH(AA$48,$C$37:$BL$37,0),FALSE)/VLOOKUP($C$39,$C$37:$BL$44,MATCH(AA$48,$C$37:$BL$37,0),FALSE),1))*((1+$P359)^$S359),0), 0),
    0)))))),"")</f>
        <v>0</v>
      </c>
      <c r="AB359" s="171">
        <f t="shared" si="544"/>
        <v>0</v>
      </c>
      <c r="AC359" s="171">
        <f t="shared" si="544"/>
        <v>0</v>
      </c>
      <c r="AD359" s="171">
        <f t="shared" si="544"/>
        <v>0</v>
      </c>
      <c r="AE359" s="171">
        <f t="shared" si="544"/>
        <v>0</v>
      </c>
      <c r="AF359" s="171">
        <f t="shared" si="544"/>
        <v>0</v>
      </c>
      <c r="AG359" s="171">
        <f t="shared" si="544"/>
        <v>0</v>
      </c>
      <c r="AH359" s="171">
        <f t="shared" si="544"/>
        <v>0</v>
      </c>
      <c r="AI359" s="171">
        <f t="shared" si="544"/>
        <v>0</v>
      </c>
      <c r="AJ359" s="171">
        <f t="shared" si="544"/>
        <v>0</v>
      </c>
      <c r="AK359" s="171">
        <f t="shared" ref="AK359:AT368" si="545">IFERROR(
    IF($T359="Equity",
        IF(AND(AK$48&gt;=$E359, AK$48&lt;=($E359+$Q359)),
$K359*$P359*(VLOOKUP($C$39,$C$37:$BL$44,MATCH($E359,$C$37:$BL$37,0),FALSE)/VLOOKUP($L359,$C$37:$BL$44,MATCH($E359,$C$37:$BL$37,0),FALSE))*
IF($B$5="Foreign Currency",VLOOKUP($C$38,$C$37:$BL$44,MATCH(AK$48,$C$37:$BL$37,0),FALSE)/VLOOKUP($C$39,$C$37:$BL$44,MATCH(AK$48,$C$37:$BL$37,0),FALSE),1),
0),
    IF($T359="Lump Sum Principal",
        IF(AND(AK$48&gt;=$E359, AK$48&lt;($E359+$Q359)),
$K359*$P359*(VLOOKUP($C$39,$C$37:$BL$44,MATCH($E359,$C$37:$BL$37,0),FALSE)/VLOOKUP($L359,$C$37:$BL$44,MATCH($E359,$C$37:$BL$37,0),FALSE))*
IF($B$5="Foreign Currency",VLOOKUP($C$38,$C$37:$BL$44,MATCH(AK$48,$C$37:$BL$37,0),FALSE)/VLOOKUP($C$39,$C$37:$BL$44,MATCH(AK$48,$C$37:$BL$37,0),FALSE),1),
        IF(AK$48=($E359+$Q359),
$K359*(1+$P359)*(VLOOKUP($C$39,$C$37:$BL$44,MATCH($E359,$C$37:$BL$37,0),FALSE)/VLOOKUP($L359,$C$37:$BL$44,MATCH($E359,$C$37:$BL$37,0),FALSE))*
IF($B$5="Foreign Currency",VLOOKUP($C$38,$C$37:$BL$44,MATCH(AK$48,$C$37:$BL$37,0),FALSE)/VLOOKUP($C$39,$C$37:$BL$44,MATCH(AK$48,$C$37:$BL$37,0),FALSE),1),
0)),
    IF($T359="Lump Sum Principal and Interest",
        IF(AK$48=($E359+$Q359),
$K359*((1+$P359)^$Q359)*(VLOOKUP($C$39,$C$37:$BL$44,MATCH($E359,$C$37:$BL$37,0),FALSE)/VLOOKUP($L359,$C$37:$BL$44,MATCH($E359,$C$37:$BL$37,0),FALSE))*
IF($B$5="Foreign Currency",VLOOKUP($C$38,$C$37:$BL$44,MATCH(AK$48,$C$37:$BL$37,0),FALSE)/VLOOKUP($C$39,$C$37:$BL$44,MATCH(AK$48,$C$37:$BL$37,0),FALSE),1),
0),
    IF($T359="EPP with Grace Years for Principal",
        IF(AND(AK$48&gt;=$E359, AK$48&lt;($E359+$S359)),
$K359*$P359*(VLOOKUP($C$39,$C$37:$BL$44,MATCH($E359,$C$37:$BL$37,0),FALSE)/VLOOKUP($L359,$C$37:$BL$44,MATCH($E359,$C$37:$BL$37,0),FALSE))*
IF($B$5="Foreign Currency",VLOOKUP($C$38,$C$37:$BL$44,MATCH(AK$48,$C$37:$BL$37,0),FALSE)/VLOOKUP($C$39,$C$37:$BL$44,MATCH(AK$48,$C$37:$BL$37,0),FALSE),1),
        IF(AND(AK$48&gt;=($E359+$S359), AK$48&lt;=($E359+$Q359)),
-PMT($P359,($Q359-$S359+1),($K359*(VLOOKUP($C$39,$C$37:$BL$44,MATCH($E359,$C$37:$BL$37,0),FALSE)/VLOOKUP($L359,$C$37:$BL$44,MATCH($E359,$C$37:$BL$37,0),FALSE))*
IF($B$5="Foreign Currency",VLOOKUP($C$38,$C$37:$BL$44,MATCH(AK$48,$C$37:$BL$37,0),FALSE)/VLOOKUP($C$39,$C$37:$BL$44,MATCH(AK$48,$C$37:$BL$37,0),FALSE),1)),0),
0)),
    IF($T359="Equal Principal Payments (EPP)",
        IF(AND(AK$48&gt;=$E359, AK$48&lt;=($E359+$Q359)),
-PMT($P359,($Q359-$S359+1),($K359*(VLOOKUP($C$39,$C$37:$BL$44,MATCH($E359,$C$37:$BL$37,0),FALSE)/VLOOKUP($L359,$C$37:$BL$44,MATCH($E359,$C$37:$BL$37,0),FALSE))*
IF($B$5="Foreign Currency",VLOOKUP($C$38,$C$37:$BL$44,MATCH(AK$48,$C$37:$BL$37,0),FALSE)/VLOOKUP($C$39,$C$37:$BL$44,MATCH(AK$48,$C$37:$BL$37,0),FALSE),1)),0), 0),
    IF($T359="EPP with Grace Years for Principal and on Interest",
        IF(AND(AK$48&gt;=($E359+$S359), AK$48&lt;=($E359+$Q359)),
-PMT($P359,($Q359-$S359+1),($K359*(VLOOKUP($C$39,$C$37:$BL$44,MATCH($E359,$C$37:$BL$37,0),FALSE)/VLOOKUP($L359,$C$37:$BL$44,MATCH($E359,$C$37:$BL$37,0),FALSE))*
IF($B$5="Foreign Currency",VLOOKUP($C$38,$C$37:$BL$44,MATCH(AK$48,$C$37:$BL$37,0),FALSE)/VLOOKUP($C$39,$C$37:$BL$44,MATCH(AK$48,$C$37:$BL$37,0),FALSE),1))*((1+$P359)^$S359),0), 0),
    0)))))),"")</f>
        <v>0</v>
      </c>
      <c r="AL359" s="171">
        <f t="shared" si="545"/>
        <v>0</v>
      </c>
      <c r="AM359" s="171">
        <f t="shared" si="545"/>
        <v>0</v>
      </c>
      <c r="AN359" s="171">
        <f t="shared" si="545"/>
        <v>0</v>
      </c>
      <c r="AO359" s="171">
        <f t="shared" si="545"/>
        <v>0</v>
      </c>
      <c r="AP359" s="171">
        <f t="shared" si="545"/>
        <v>0</v>
      </c>
      <c r="AQ359" s="171">
        <f t="shared" si="545"/>
        <v>0</v>
      </c>
      <c r="AR359" s="171">
        <f t="shared" si="545"/>
        <v>0</v>
      </c>
      <c r="AS359" s="171">
        <f t="shared" si="545"/>
        <v>0</v>
      </c>
      <c r="AT359" s="171">
        <f t="shared" si="545"/>
        <v>0</v>
      </c>
      <c r="AU359" s="171">
        <f t="shared" ref="AU359:BD368" si="546">IFERROR(
    IF($T359="Equity",
        IF(AND(AU$48&gt;=$E359, AU$48&lt;=($E359+$Q359)),
$K359*$P359*(VLOOKUP($C$39,$C$37:$BL$44,MATCH($E359,$C$37:$BL$37,0),FALSE)/VLOOKUP($L359,$C$37:$BL$44,MATCH($E359,$C$37:$BL$37,0),FALSE))*
IF($B$5="Foreign Currency",VLOOKUP($C$38,$C$37:$BL$44,MATCH(AU$48,$C$37:$BL$37,0),FALSE)/VLOOKUP($C$39,$C$37:$BL$44,MATCH(AU$48,$C$37:$BL$37,0),FALSE),1),
0),
    IF($T359="Lump Sum Principal",
        IF(AND(AU$48&gt;=$E359, AU$48&lt;($E359+$Q359)),
$K359*$P359*(VLOOKUP($C$39,$C$37:$BL$44,MATCH($E359,$C$37:$BL$37,0),FALSE)/VLOOKUP($L359,$C$37:$BL$44,MATCH($E359,$C$37:$BL$37,0),FALSE))*
IF($B$5="Foreign Currency",VLOOKUP($C$38,$C$37:$BL$44,MATCH(AU$48,$C$37:$BL$37,0),FALSE)/VLOOKUP($C$39,$C$37:$BL$44,MATCH(AU$48,$C$37:$BL$37,0),FALSE),1),
        IF(AU$48=($E359+$Q359),
$K359*(1+$P359)*(VLOOKUP($C$39,$C$37:$BL$44,MATCH($E359,$C$37:$BL$37,0),FALSE)/VLOOKUP($L359,$C$37:$BL$44,MATCH($E359,$C$37:$BL$37,0),FALSE))*
IF($B$5="Foreign Currency",VLOOKUP($C$38,$C$37:$BL$44,MATCH(AU$48,$C$37:$BL$37,0),FALSE)/VLOOKUP($C$39,$C$37:$BL$44,MATCH(AU$48,$C$37:$BL$37,0),FALSE),1),
0)),
    IF($T359="Lump Sum Principal and Interest",
        IF(AU$48=($E359+$Q359),
$K359*((1+$P359)^$Q359)*(VLOOKUP($C$39,$C$37:$BL$44,MATCH($E359,$C$37:$BL$37,0),FALSE)/VLOOKUP($L359,$C$37:$BL$44,MATCH($E359,$C$37:$BL$37,0),FALSE))*
IF($B$5="Foreign Currency",VLOOKUP($C$38,$C$37:$BL$44,MATCH(AU$48,$C$37:$BL$37,0),FALSE)/VLOOKUP($C$39,$C$37:$BL$44,MATCH(AU$48,$C$37:$BL$37,0),FALSE),1),
0),
    IF($T359="EPP with Grace Years for Principal",
        IF(AND(AU$48&gt;=$E359, AU$48&lt;($E359+$S359)),
$K359*$P359*(VLOOKUP($C$39,$C$37:$BL$44,MATCH($E359,$C$37:$BL$37,0),FALSE)/VLOOKUP($L359,$C$37:$BL$44,MATCH($E359,$C$37:$BL$37,0),FALSE))*
IF($B$5="Foreign Currency",VLOOKUP($C$38,$C$37:$BL$44,MATCH(AU$48,$C$37:$BL$37,0),FALSE)/VLOOKUP($C$39,$C$37:$BL$44,MATCH(AU$48,$C$37:$BL$37,0),FALSE),1),
        IF(AND(AU$48&gt;=($E359+$S359), AU$48&lt;=($E359+$Q359)),
-PMT($P359,($Q359-$S359+1),($K359*(VLOOKUP($C$39,$C$37:$BL$44,MATCH($E359,$C$37:$BL$37,0),FALSE)/VLOOKUP($L359,$C$37:$BL$44,MATCH($E359,$C$37:$BL$37,0),FALSE))*
IF($B$5="Foreign Currency",VLOOKUP($C$38,$C$37:$BL$44,MATCH(AU$48,$C$37:$BL$37,0),FALSE)/VLOOKUP($C$39,$C$37:$BL$44,MATCH(AU$48,$C$37:$BL$37,0),FALSE),1)),0),
0)),
    IF($T359="Equal Principal Payments (EPP)",
        IF(AND(AU$48&gt;=$E359, AU$48&lt;=($E359+$Q359)),
-PMT($P359,($Q359-$S359+1),($K359*(VLOOKUP($C$39,$C$37:$BL$44,MATCH($E359,$C$37:$BL$37,0),FALSE)/VLOOKUP($L359,$C$37:$BL$44,MATCH($E359,$C$37:$BL$37,0),FALSE))*
IF($B$5="Foreign Currency",VLOOKUP($C$38,$C$37:$BL$44,MATCH(AU$48,$C$37:$BL$37,0),FALSE)/VLOOKUP($C$39,$C$37:$BL$44,MATCH(AU$48,$C$37:$BL$37,0),FALSE),1)),0), 0),
    IF($T359="EPP with Grace Years for Principal and on Interest",
        IF(AND(AU$48&gt;=($E359+$S359), AU$48&lt;=($E359+$Q359)),
-PMT($P359,($Q359-$S359+1),($K359*(VLOOKUP($C$39,$C$37:$BL$44,MATCH($E359,$C$37:$BL$37,0),FALSE)/VLOOKUP($L359,$C$37:$BL$44,MATCH($E359,$C$37:$BL$37,0),FALSE))*
IF($B$5="Foreign Currency",VLOOKUP($C$38,$C$37:$BL$44,MATCH(AU$48,$C$37:$BL$37,0),FALSE)/VLOOKUP($C$39,$C$37:$BL$44,MATCH(AU$48,$C$37:$BL$37,0),FALSE),1))*((1+$P359)^$S359),0), 0),
    0)))))),"")</f>
        <v>0</v>
      </c>
      <c r="AV359" s="171">
        <f t="shared" si="546"/>
        <v>0</v>
      </c>
      <c r="AW359" s="171">
        <f t="shared" si="546"/>
        <v>0</v>
      </c>
      <c r="AX359" s="171">
        <f t="shared" si="546"/>
        <v>0</v>
      </c>
      <c r="AY359" s="171">
        <f t="shared" si="546"/>
        <v>0</v>
      </c>
      <c r="AZ359" s="171">
        <f t="shared" si="546"/>
        <v>0</v>
      </c>
      <c r="BA359" s="171">
        <f t="shared" si="546"/>
        <v>0</v>
      </c>
      <c r="BB359" s="171">
        <f t="shared" si="546"/>
        <v>0</v>
      </c>
      <c r="BC359" s="171">
        <f t="shared" si="546"/>
        <v>0</v>
      </c>
      <c r="BD359" s="171">
        <f t="shared" si="546"/>
        <v>0</v>
      </c>
      <c r="BE359" s="171">
        <f t="shared" ref="BE359:BN368" si="547">IFERROR(
    IF($T359="Equity",
        IF(AND(BE$48&gt;=$E359, BE$48&lt;=($E359+$Q359)),
$K359*$P359*(VLOOKUP($C$39,$C$37:$BL$44,MATCH($E359,$C$37:$BL$37,0),FALSE)/VLOOKUP($L359,$C$37:$BL$44,MATCH($E359,$C$37:$BL$37,0),FALSE))*
IF($B$5="Foreign Currency",VLOOKUP($C$38,$C$37:$BL$44,MATCH(BE$48,$C$37:$BL$37,0),FALSE)/VLOOKUP($C$39,$C$37:$BL$44,MATCH(BE$48,$C$37:$BL$37,0),FALSE),1),
0),
    IF($T359="Lump Sum Principal",
        IF(AND(BE$48&gt;=$E359, BE$48&lt;($E359+$Q359)),
$K359*$P359*(VLOOKUP($C$39,$C$37:$BL$44,MATCH($E359,$C$37:$BL$37,0),FALSE)/VLOOKUP($L359,$C$37:$BL$44,MATCH($E359,$C$37:$BL$37,0),FALSE))*
IF($B$5="Foreign Currency",VLOOKUP($C$38,$C$37:$BL$44,MATCH(BE$48,$C$37:$BL$37,0),FALSE)/VLOOKUP($C$39,$C$37:$BL$44,MATCH(BE$48,$C$37:$BL$37,0),FALSE),1),
        IF(BE$48=($E359+$Q359),
$K359*(1+$P359)*(VLOOKUP($C$39,$C$37:$BL$44,MATCH($E359,$C$37:$BL$37,0),FALSE)/VLOOKUP($L359,$C$37:$BL$44,MATCH($E359,$C$37:$BL$37,0),FALSE))*
IF($B$5="Foreign Currency",VLOOKUP($C$38,$C$37:$BL$44,MATCH(BE$48,$C$37:$BL$37,0),FALSE)/VLOOKUP($C$39,$C$37:$BL$44,MATCH(BE$48,$C$37:$BL$37,0),FALSE),1),
0)),
    IF($T359="Lump Sum Principal and Interest",
        IF(BE$48=($E359+$Q359),
$K359*((1+$P359)^$Q359)*(VLOOKUP($C$39,$C$37:$BL$44,MATCH($E359,$C$37:$BL$37,0),FALSE)/VLOOKUP($L359,$C$37:$BL$44,MATCH($E359,$C$37:$BL$37,0),FALSE))*
IF($B$5="Foreign Currency",VLOOKUP($C$38,$C$37:$BL$44,MATCH(BE$48,$C$37:$BL$37,0),FALSE)/VLOOKUP($C$39,$C$37:$BL$44,MATCH(BE$48,$C$37:$BL$37,0),FALSE),1),
0),
    IF($T359="EPP with Grace Years for Principal",
        IF(AND(BE$48&gt;=$E359, BE$48&lt;($E359+$S359)),
$K359*$P359*(VLOOKUP($C$39,$C$37:$BL$44,MATCH($E359,$C$37:$BL$37,0),FALSE)/VLOOKUP($L359,$C$37:$BL$44,MATCH($E359,$C$37:$BL$37,0),FALSE))*
IF($B$5="Foreign Currency",VLOOKUP($C$38,$C$37:$BL$44,MATCH(BE$48,$C$37:$BL$37,0),FALSE)/VLOOKUP($C$39,$C$37:$BL$44,MATCH(BE$48,$C$37:$BL$37,0),FALSE),1),
        IF(AND(BE$48&gt;=($E359+$S359), BE$48&lt;=($E359+$Q359)),
-PMT($P359,($Q359-$S359+1),($K359*(VLOOKUP($C$39,$C$37:$BL$44,MATCH($E359,$C$37:$BL$37,0),FALSE)/VLOOKUP($L359,$C$37:$BL$44,MATCH($E359,$C$37:$BL$37,0),FALSE))*
IF($B$5="Foreign Currency",VLOOKUP($C$38,$C$37:$BL$44,MATCH(BE$48,$C$37:$BL$37,0),FALSE)/VLOOKUP($C$39,$C$37:$BL$44,MATCH(BE$48,$C$37:$BL$37,0),FALSE),1)),0),
0)),
    IF($T359="Equal Principal Payments (EPP)",
        IF(AND(BE$48&gt;=$E359, BE$48&lt;=($E359+$Q359)),
-PMT($P359,($Q359-$S359+1),($K359*(VLOOKUP($C$39,$C$37:$BL$44,MATCH($E359,$C$37:$BL$37,0),FALSE)/VLOOKUP($L359,$C$37:$BL$44,MATCH($E359,$C$37:$BL$37,0),FALSE))*
IF($B$5="Foreign Currency",VLOOKUP($C$38,$C$37:$BL$44,MATCH(BE$48,$C$37:$BL$37,0),FALSE)/VLOOKUP($C$39,$C$37:$BL$44,MATCH(BE$48,$C$37:$BL$37,0),FALSE),1)),0), 0),
    IF($T359="EPP with Grace Years for Principal and on Interest",
        IF(AND(BE$48&gt;=($E359+$S359), BE$48&lt;=($E359+$Q359)),
-PMT($P359,($Q359-$S359+1),($K359*(VLOOKUP($C$39,$C$37:$BL$44,MATCH($E359,$C$37:$BL$37,0),FALSE)/VLOOKUP($L359,$C$37:$BL$44,MATCH($E359,$C$37:$BL$37,0),FALSE))*
IF($B$5="Foreign Currency",VLOOKUP($C$38,$C$37:$BL$44,MATCH(BE$48,$C$37:$BL$37,0),FALSE)/VLOOKUP($C$39,$C$37:$BL$44,MATCH(BE$48,$C$37:$BL$37,0),FALSE),1))*((1+$P359)^$S359),0), 0),
    0)))))),"")</f>
        <v>0</v>
      </c>
      <c r="BF359" s="171">
        <f t="shared" si="547"/>
        <v>0</v>
      </c>
      <c r="BG359" s="171">
        <f t="shared" si="547"/>
        <v>0</v>
      </c>
      <c r="BH359" s="171">
        <f t="shared" si="547"/>
        <v>0</v>
      </c>
      <c r="BI359" s="171">
        <f t="shared" si="547"/>
        <v>0</v>
      </c>
      <c r="BJ359" s="171">
        <f t="shared" si="547"/>
        <v>0</v>
      </c>
      <c r="BK359" s="171">
        <f t="shared" si="547"/>
        <v>0</v>
      </c>
      <c r="BL359" s="171">
        <f t="shared" si="547"/>
        <v>0</v>
      </c>
      <c r="BM359" s="171">
        <f t="shared" si="547"/>
        <v>0</v>
      </c>
      <c r="BN359" s="171">
        <f t="shared" si="547"/>
        <v>0</v>
      </c>
      <c r="BO359" s="171">
        <f t="shared" ref="BO359:BX368" si="548">IFERROR(
    IF($T359="Equity",
        IF(AND(BO$48&gt;=$E359, BO$48&lt;=($E359+$Q359)),
$K359*$P359*(VLOOKUP($C$39,$C$37:$BL$44,MATCH($E359,$C$37:$BL$37,0),FALSE)/VLOOKUP($L359,$C$37:$BL$44,MATCH($E359,$C$37:$BL$37,0),FALSE))*
IF($B$5="Foreign Currency",VLOOKUP($C$38,$C$37:$BL$44,MATCH(BO$48,$C$37:$BL$37,0),FALSE)/VLOOKUP($C$39,$C$37:$BL$44,MATCH(BO$48,$C$37:$BL$37,0),FALSE),1),
0),
    IF($T359="Lump Sum Principal",
        IF(AND(BO$48&gt;=$E359, BO$48&lt;($E359+$Q359)),
$K359*$P359*(VLOOKUP($C$39,$C$37:$BL$44,MATCH($E359,$C$37:$BL$37,0),FALSE)/VLOOKUP($L359,$C$37:$BL$44,MATCH($E359,$C$37:$BL$37,0),FALSE))*
IF($B$5="Foreign Currency",VLOOKUP($C$38,$C$37:$BL$44,MATCH(BO$48,$C$37:$BL$37,0),FALSE)/VLOOKUP($C$39,$C$37:$BL$44,MATCH(BO$48,$C$37:$BL$37,0),FALSE),1),
        IF(BO$48=($E359+$Q359),
$K359*(1+$P359)*(VLOOKUP($C$39,$C$37:$BL$44,MATCH($E359,$C$37:$BL$37,0),FALSE)/VLOOKUP($L359,$C$37:$BL$44,MATCH($E359,$C$37:$BL$37,0),FALSE))*
IF($B$5="Foreign Currency",VLOOKUP($C$38,$C$37:$BL$44,MATCH(BO$48,$C$37:$BL$37,0),FALSE)/VLOOKUP($C$39,$C$37:$BL$44,MATCH(BO$48,$C$37:$BL$37,0),FALSE),1),
0)),
    IF($T359="Lump Sum Principal and Interest",
        IF(BO$48=($E359+$Q359),
$K359*((1+$P359)^$Q359)*(VLOOKUP($C$39,$C$37:$BL$44,MATCH($E359,$C$37:$BL$37,0),FALSE)/VLOOKUP($L359,$C$37:$BL$44,MATCH($E359,$C$37:$BL$37,0),FALSE))*
IF($B$5="Foreign Currency",VLOOKUP($C$38,$C$37:$BL$44,MATCH(BO$48,$C$37:$BL$37,0),FALSE)/VLOOKUP($C$39,$C$37:$BL$44,MATCH(BO$48,$C$37:$BL$37,0),FALSE),1),
0),
    IF($T359="EPP with Grace Years for Principal",
        IF(AND(BO$48&gt;=$E359, BO$48&lt;($E359+$S359)),
$K359*$P359*(VLOOKUP($C$39,$C$37:$BL$44,MATCH($E359,$C$37:$BL$37,0),FALSE)/VLOOKUP($L359,$C$37:$BL$44,MATCH($E359,$C$37:$BL$37,0),FALSE))*
IF($B$5="Foreign Currency",VLOOKUP($C$38,$C$37:$BL$44,MATCH(BO$48,$C$37:$BL$37,0),FALSE)/VLOOKUP($C$39,$C$37:$BL$44,MATCH(BO$48,$C$37:$BL$37,0),FALSE),1),
        IF(AND(BO$48&gt;=($E359+$S359), BO$48&lt;=($E359+$Q359)),
-PMT($P359,($Q359-$S359+1),($K359*(VLOOKUP($C$39,$C$37:$BL$44,MATCH($E359,$C$37:$BL$37,0),FALSE)/VLOOKUP($L359,$C$37:$BL$44,MATCH($E359,$C$37:$BL$37,0),FALSE))*
IF($B$5="Foreign Currency",VLOOKUP($C$38,$C$37:$BL$44,MATCH(BO$48,$C$37:$BL$37,0),FALSE)/VLOOKUP($C$39,$C$37:$BL$44,MATCH(BO$48,$C$37:$BL$37,0),FALSE),1)),0),
0)),
    IF($T359="Equal Principal Payments (EPP)",
        IF(AND(BO$48&gt;=$E359, BO$48&lt;=($E359+$Q359)),
-PMT($P359,($Q359-$S359+1),($K359*(VLOOKUP($C$39,$C$37:$BL$44,MATCH($E359,$C$37:$BL$37,0),FALSE)/VLOOKUP($L359,$C$37:$BL$44,MATCH($E359,$C$37:$BL$37,0),FALSE))*
IF($B$5="Foreign Currency",VLOOKUP($C$38,$C$37:$BL$44,MATCH(BO$48,$C$37:$BL$37,0),FALSE)/VLOOKUP($C$39,$C$37:$BL$44,MATCH(BO$48,$C$37:$BL$37,0),FALSE),1)),0), 0),
    IF($T359="EPP with Grace Years for Principal and on Interest",
        IF(AND(BO$48&gt;=($E359+$S359), BO$48&lt;=($E359+$Q359)),
-PMT($P359,($Q359-$S359+1),($K359*(VLOOKUP($C$39,$C$37:$BL$44,MATCH($E359,$C$37:$BL$37,0),FALSE)/VLOOKUP($L359,$C$37:$BL$44,MATCH($E359,$C$37:$BL$37,0),FALSE))*
IF($B$5="Foreign Currency",VLOOKUP($C$38,$C$37:$BL$44,MATCH(BO$48,$C$37:$BL$37,0),FALSE)/VLOOKUP($C$39,$C$37:$BL$44,MATCH(BO$48,$C$37:$BL$37,0),FALSE),1))*((1+$P359)^$S359),0), 0),
    0)))))),"")</f>
        <v>0</v>
      </c>
      <c r="BP359" s="171">
        <f t="shared" si="548"/>
        <v>0</v>
      </c>
      <c r="BQ359" s="171">
        <f t="shared" si="548"/>
        <v>0</v>
      </c>
      <c r="BR359" s="171">
        <f t="shared" si="548"/>
        <v>0</v>
      </c>
      <c r="BS359" s="171">
        <f t="shared" si="548"/>
        <v>0</v>
      </c>
      <c r="BT359" s="171">
        <f t="shared" si="548"/>
        <v>0</v>
      </c>
      <c r="BU359" s="171">
        <f t="shared" si="548"/>
        <v>0</v>
      </c>
      <c r="BV359" s="171">
        <f t="shared" si="548"/>
        <v>0</v>
      </c>
      <c r="BW359" s="171">
        <f t="shared" si="548"/>
        <v>0</v>
      </c>
      <c r="BX359" s="171">
        <f t="shared" si="548"/>
        <v>0</v>
      </c>
      <c r="BY359" s="171">
        <f t="shared" ref="BY359:CI368" si="549">IFERROR(
    IF($T359="Equity",
        IF(AND(BY$48&gt;=$E359, BY$48&lt;=($E359+$Q359)),
$K359*$P359*(VLOOKUP($C$39,$C$37:$BL$44,MATCH($E359,$C$37:$BL$37,0),FALSE)/VLOOKUP($L359,$C$37:$BL$44,MATCH($E359,$C$37:$BL$37,0),FALSE))*
IF($B$5="Foreign Currency",VLOOKUP($C$38,$C$37:$BL$44,MATCH(BY$48,$C$37:$BL$37,0),FALSE)/VLOOKUP($C$39,$C$37:$BL$44,MATCH(BY$48,$C$37:$BL$37,0),FALSE),1),
0),
    IF($T359="Lump Sum Principal",
        IF(AND(BY$48&gt;=$E359, BY$48&lt;($E359+$Q359)),
$K359*$P359*(VLOOKUP($C$39,$C$37:$BL$44,MATCH($E359,$C$37:$BL$37,0),FALSE)/VLOOKUP($L359,$C$37:$BL$44,MATCH($E359,$C$37:$BL$37,0),FALSE))*
IF($B$5="Foreign Currency",VLOOKUP($C$38,$C$37:$BL$44,MATCH(BY$48,$C$37:$BL$37,0),FALSE)/VLOOKUP($C$39,$C$37:$BL$44,MATCH(BY$48,$C$37:$BL$37,0),FALSE),1),
        IF(BY$48=($E359+$Q359),
$K359*(1+$P359)*(VLOOKUP($C$39,$C$37:$BL$44,MATCH($E359,$C$37:$BL$37,0),FALSE)/VLOOKUP($L359,$C$37:$BL$44,MATCH($E359,$C$37:$BL$37,0),FALSE))*
IF($B$5="Foreign Currency",VLOOKUP($C$38,$C$37:$BL$44,MATCH(BY$48,$C$37:$BL$37,0),FALSE)/VLOOKUP($C$39,$C$37:$BL$44,MATCH(BY$48,$C$37:$BL$37,0),FALSE),1),
0)),
    IF($T359="Lump Sum Principal and Interest",
        IF(BY$48=($E359+$Q359),
$K359*((1+$P359)^$Q359)*(VLOOKUP($C$39,$C$37:$BL$44,MATCH($E359,$C$37:$BL$37,0),FALSE)/VLOOKUP($L359,$C$37:$BL$44,MATCH($E359,$C$37:$BL$37,0),FALSE))*
IF($B$5="Foreign Currency",VLOOKUP($C$38,$C$37:$BL$44,MATCH(BY$48,$C$37:$BL$37,0),FALSE)/VLOOKUP($C$39,$C$37:$BL$44,MATCH(BY$48,$C$37:$BL$37,0),FALSE),1),
0),
    IF($T359="EPP with Grace Years for Principal",
        IF(AND(BY$48&gt;=$E359, BY$48&lt;($E359+$S359)),
$K359*$P359*(VLOOKUP($C$39,$C$37:$BL$44,MATCH($E359,$C$37:$BL$37,0),FALSE)/VLOOKUP($L359,$C$37:$BL$44,MATCH($E359,$C$37:$BL$37,0),FALSE))*
IF($B$5="Foreign Currency",VLOOKUP($C$38,$C$37:$BL$44,MATCH(BY$48,$C$37:$BL$37,0),FALSE)/VLOOKUP($C$39,$C$37:$BL$44,MATCH(BY$48,$C$37:$BL$37,0),FALSE),1),
        IF(AND(BY$48&gt;=($E359+$S359), BY$48&lt;=($E359+$Q359)),
-PMT($P359,($Q359-$S359+1),($K359*(VLOOKUP($C$39,$C$37:$BL$44,MATCH($E359,$C$37:$BL$37,0),FALSE)/VLOOKUP($L359,$C$37:$BL$44,MATCH($E359,$C$37:$BL$37,0),FALSE))*
IF($B$5="Foreign Currency",VLOOKUP($C$38,$C$37:$BL$44,MATCH(BY$48,$C$37:$BL$37,0),FALSE)/VLOOKUP($C$39,$C$37:$BL$44,MATCH(BY$48,$C$37:$BL$37,0),FALSE),1)),0),
0)),
    IF($T359="Equal Principal Payments (EPP)",
        IF(AND(BY$48&gt;=$E359, BY$48&lt;=($E359+$Q359)),
-PMT($P359,($Q359-$S359+1),($K359*(VLOOKUP($C$39,$C$37:$BL$44,MATCH($E359,$C$37:$BL$37,0),FALSE)/VLOOKUP($L359,$C$37:$BL$44,MATCH($E359,$C$37:$BL$37,0),FALSE))*
IF($B$5="Foreign Currency",VLOOKUP($C$38,$C$37:$BL$44,MATCH(BY$48,$C$37:$BL$37,0),FALSE)/VLOOKUP($C$39,$C$37:$BL$44,MATCH(BY$48,$C$37:$BL$37,0),FALSE),1)),0), 0),
    IF($T359="EPP with Grace Years for Principal and on Interest",
        IF(AND(BY$48&gt;=($E359+$S359), BY$48&lt;=($E359+$Q359)),
-PMT($P359,($Q359-$S359+1),($K359*(VLOOKUP($C$39,$C$37:$BL$44,MATCH($E359,$C$37:$BL$37,0),FALSE)/VLOOKUP($L359,$C$37:$BL$44,MATCH($E359,$C$37:$BL$37,0),FALSE))*
IF($B$5="Foreign Currency",VLOOKUP($C$38,$C$37:$BL$44,MATCH(BY$48,$C$37:$BL$37,0),FALSE)/VLOOKUP($C$39,$C$37:$BL$44,MATCH(BY$48,$C$37:$BL$37,0),FALSE),1))*((1+$P359)^$S359),0), 0),
    0)))))),"")</f>
        <v>0</v>
      </c>
      <c r="BZ359" s="171">
        <f t="shared" si="549"/>
        <v>0</v>
      </c>
      <c r="CA359" s="171">
        <f t="shared" si="549"/>
        <v>0</v>
      </c>
      <c r="CB359" s="171">
        <f t="shared" si="549"/>
        <v>0</v>
      </c>
      <c r="CC359" s="171">
        <f t="shared" si="549"/>
        <v>0</v>
      </c>
      <c r="CD359" s="171">
        <f t="shared" si="549"/>
        <v>0</v>
      </c>
      <c r="CE359" s="171">
        <f t="shared" si="549"/>
        <v>0</v>
      </c>
      <c r="CF359" s="171">
        <f t="shared" si="549"/>
        <v>0</v>
      </c>
      <c r="CG359" s="171">
        <f t="shared" si="549"/>
        <v>0</v>
      </c>
      <c r="CH359" s="171">
        <f t="shared" si="549"/>
        <v>0</v>
      </c>
      <c r="CI359" s="171">
        <f t="shared" si="549"/>
        <v>0</v>
      </c>
      <c r="CJ359" s="243"/>
      <c r="CK359" s="171">
        <f t="shared" si="452"/>
        <v>0</v>
      </c>
      <c r="CL359" s="171">
        <f t="shared" si="453"/>
        <v>0</v>
      </c>
      <c r="CM359" s="171">
        <f t="shared" si="454"/>
        <v>0</v>
      </c>
      <c r="CN359" s="171">
        <f t="shared" si="455"/>
        <v>0</v>
      </c>
      <c r="CO359" s="171">
        <f t="shared" si="456"/>
        <v>0</v>
      </c>
      <c r="CP359" s="171">
        <f t="shared" si="457"/>
        <v>0</v>
      </c>
      <c r="CQ359" s="171">
        <f t="shared" si="458"/>
        <v>0</v>
      </c>
      <c r="CR359" s="171">
        <f t="shared" si="459"/>
        <v>0</v>
      </c>
      <c r="CS359" s="171">
        <f t="shared" si="460"/>
        <v>0</v>
      </c>
      <c r="CT359" s="171">
        <f t="shared" si="461"/>
        <v>0</v>
      </c>
      <c r="CU359" s="171">
        <f t="shared" si="462"/>
        <v>0</v>
      </c>
      <c r="CV359" s="171">
        <f t="shared" si="463"/>
        <v>0</v>
      </c>
      <c r="CW359" s="171">
        <f t="shared" si="464"/>
        <v>0</v>
      </c>
      <c r="CX359" s="171">
        <f t="shared" si="465"/>
        <v>0</v>
      </c>
      <c r="CY359" s="171">
        <f t="shared" ca="1" si="466"/>
        <v>0</v>
      </c>
      <c r="CZ359" s="171">
        <f t="shared" ca="1" si="467"/>
        <v>0</v>
      </c>
      <c r="DA359" s="171">
        <f t="shared" ca="1" si="468"/>
        <v>0</v>
      </c>
      <c r="DB359" s="171">
        <f t="shared" ca="1" si="469"/>
        <v>0</v>
      </c>
      <c r="DC359" s="171">
        <f t="shared" ca="1" si="470"/>
        <v>0</v>
      </c>
      <c r="DD359" s="171">
        <f t="shared" ca="1" si="471"/>
        <v>0</v>
      </c>
      <c r="DE359" s="171">
        <f t="shared" ca="1" si="472"/>
        <v>0</v>
      </c>
      <c r="DF359" s="171">
        <f t="shared" ca="1" si="473"/>
        <v>0</v>
      </c>
      <c r="DG359" s="171">
        <f t="shared" ca="1" si="474"/>
        <v>0</v>
      </c>
      <c r="DH359" s="171">
        <f t="shared" ca="1" si="475"/>
        <v>0</v>
      </c>
      <c r="DI359" s="171">
        <f t="shared" ca="1" si="476"/>
        <v>0</v>
      </c>
      <c r="DJ359" s="171">
        <f t="shared" ca="1" si="477"/>
        <v>0</v>
      </c>
      <c r="DK359" s="171">
        <f t="shared" ca="1" si="478"/>
        <v>0</v>
      </c>
      <c r="DL359" s="171">
        <f t="shared" ca="1" si="479"/>
        <v>0</v>
      </c>
      <c r="DM359" s="171">
        <f t="shared" ca="1" si="480"/>
        <v>0</v>
      </c>
      <c r="DN359" s="171">
        <f t="shared" ca="1" si="481"/>
        <v>0</v>
      </c>
      <c r="DO359" s="171">
        <f t="shared" ca="1" si="482"/>
        <v>0</v>
      </c>
      <c r="DP359" s="171">
        <f t="shared" ca="1" si="483"/>
        <v>0</v>
      </c>
      <c r="DQ359" s="171">
        <f t="shared" ca="1" si="484"/>
        <v>0</v>
      </c>
      <c r="DR359" s="171">
        <f t="shared" ca="1" si="485"/>
        <v>0</v>
      </c>
      <c r="DS359" s="171">
        <f t="shared" ca="1" si="486"/>
        <v>0</v>
      </c>
      <c r="DT359" s="171">
        <f t="shared" ca="1" si="487"/>
        <v>0</v>
      </c>
      <c r="DU359" s="171">
        <f t="shared" ca="1" si="488"/>
        <v>0</v>
      </c>
      <c r="DV359" s="171">
        <f t="shared" ca="1" si="489"/>
        <v>0</v>
      </c>
      <c r="DW359" s="171">
        <f t="shared" ca="1" si="490"/>
        <v>0</v>
      </c>
      <c r="DX359" s="171">
        <f t="shared" ca="1" si="491"/>
        <v>0</v>
      </c>
      <c r="DY359" s="171">
        <f t="shared" ca="1" si="492"/>
        <v>0</v>
      </c>
      <c r="DZ359" s="171">
        <f t="shared" ca="1" si="493"/>
        <v>0</v>
      </c>
      <c r="EA359" s="171">
        <f t="shared" ca="1" si="494"/>
        <v>0</v>
      </c>
      <c r="EB359" s="171">
        <f t="shared" ca="1" si="495"/>
        <v>0</v>
      </c>
      <c r="EC359" s="171">
        <f t="shared" ca="1" si="496"/>
        <v>0</v>
      </c>
      <c r="ED359" s="171">
        <f t="shared" ca="1" si="497"/>
        <v>0</v>
      </c>
      <c r="EE359" s="171">
        <f t="shared" ca="1" si="498"/>
        <v>0</v>
      </c>
      <c r="EF359" s="171">
        <f t="shared" ca="1" si="499"/>
        <v>0</v>
      </c>
      <c r="EG359" s="171">
        <f t="shared" ca="1" si="500"/>
        <v>0</v>
      </c>
      <c r="EH359" s="171">
        <f t="shared" ca="1" si="501"/>
        <v>0</v>
      </c>
      <c r="EI359" s="171">
        <f t="shared" ca="1" si="502"/>
        <v>0</v>
      </c>
      <c r="EJ359" s="171">
        <f t="shared" ca="1" si="503"/>
        <v>0</v>
      </c>
      <c r="EK359" s="171">
        <f t="shared" ca="1" si="504"/>
        <v>0</v>
      </c>
      <c r="EL359" s="171">
        <f t="shared" ca="1" si="505"/>
        <v>0</v>
      </c>
      <c r="EM359" s="171">
        <f t="shared" ca="1" si="506"/>
        <v>0</v>
      </c>
      <c r="EN359" s="171">
        <f t="shared" ca="1" si="507"/>
        <v>0</v>
      </c>
      <c r="EO359" s="171">
        <f t="shared" ca="1" si="508"/>
        <v>0</v>
      </c>
      <c r="EP359" s="171">
        <f t="shared" ca="1" si="509"/>
        <v>0</v>
      </c>
      <c r="EQ359" s="171">
        <f t="shared" ca="1" si="510"/>
        <v>0</v>
      </c>
      <c r="ER359" s="171">
        <f t="shared" ca="1" si="511"/>
        <v>0</v>
      </c>
      <c r="ES359" s="171">
        <f t="shared" ca="1" si="512"/>
        <v>0</v>
      </c>
    </row>
    <row r="360" spans="3:149">
      <c r="C360" s="214"/>
      <c r="L360" s="163"/>
      <c r="M360" s="164" t="str">
        <f t="shared" si="443"/>
        <v/>
      </c>
      <c r="N360" s="164" t="str">
        <f t="shared" si="444"/>
        <v/>
      </c>
      <c r="O360" s="165" t="str">
        <f t="shared" si="445"/>
        <v/>
      </c>
      <c r="R360" s="168" t="str">
        <f t="shared" si="537"/>
        <v/>
      </c>
      <c r="U360" s="171">
        <f t="shared" si="446"/>
        <v>0</v>
      </c>
      <c r="V360" s="171">
        <f t="shared" ca="1" si="447"/>
        <v>0</v>
      </c>
      <c r="W360" s="171">
        <f t="shared" ca="1" si="448"/>
        <v>0</v>
      </c>
      <c r="X360" s="172">
        <f t="shared" si="449"/>
        <v>0</v>
      </c>
      <c r="Y360" s="172" t="str">
        <f t="shared" si="450"/>
        <v/>
      </c>
      <c r="Z360" s="173">
        <f t="shared" si="451"/>
        <v>0</v>
      </c>
      <c r="AA360" s="171">
        <f t="shared" si="544"/>
        <v>0</v>
      </c>
      <c r="AB360" s="171">
        <f t="shared" si="544"/>
        <v>0</v>
      </c>
      <c r="AC360" s="171">
        <f t="shared" si="544"/>
        <v>0</v>
      </c>
      <c r="AD360" s="171">
        <f t="shared" si="544"/>
        <v>0</v>
      </c>
      <c r="AE360" s="171">
        <f t="shared" si="544"/>
        <v>0</v>
      </c>
      <c r="AF360" s="171">
        <f t="shared" si="544"/>
        <v>0</v>
      </c>
      <c r="AG360" s="171">
        <f t="shared" si="544"/>
        <v>0</v>
      </c>
      <c r="AH360" s="171">
        <f t="shared" si="544"/>
        <v>0</v>
      </c>
      <c r="AI360" s="171">
        <f t="shared" si="544"/>
        <v>0</v>
      </c>
      <c r="AJ360" s="171">
        <f t="shared" si="544"/>
        <v>0</v>
      </c>
      <c r="AK360" s="171">
        <f t="shared" si="545"/>
        <v>0</v>
      </c>
      <c r="AL360" s="171">
        <f t="shared" si="545"/>
        <v>0</v>
      </c>
      <c r="AM360" s="171">
        <f t="shared" si="545"/>
        <v>0</v>
      </c>
      <c r="AN360" s="171">
        <f t="shared" si="545"/>
        <v>0</v>
      </c>
      <c r="AO360" s="171">
        <f t="shared" si="545"/>
        <v>0</v>
      </c>
      <c r="AP360" s="171">
        <f t="shared" si="545"/>
        <v>0</v>
      </c>
      <c r="AQ360" s="171">
        <f t="shared" si="545"/>
        <v>0</v>
      </c>
      <c r="AR360" s="171">
        <f t="shared" si="545"/>
        <v>0</v>
      </c>
      <c r="AS360" s="171">
        <f t="shared" si="545"/>
        <v>0</v>
      </c>
      <c r="AT360" s="171">
        <f t="shared" si="545"/>
        <v>0</v>
      </c>
      <c r="AU360" s="171">
        <f t="shared" si="546"/>
        <v>0</v>
      </c>
      <c r="AV360" s="171">
        <f t="shared" si="546"/>
        <v>0</v>
      </c>
      <c r="AW360" s="171">
        <f t="shared" si="546"/>
        <v>0</v>
      </c>
      <c r="AX360" s="171">
        <f t="shared" si="546"/>
        <v>0</v>
      </c>
      <c r="AY360" s="171">
        <f t="shared" si="546"/>
        <v>0</v>
      </c>
      <c r="AZ360" s="171">
        <f t="shared" si="546"/>
        <v>0</v>
      </c>
      <c r="BA360" s="171">
        <f t="shared" si="546"/>
        <v>0</v>
      </c>
      <c r="BB360" s="171">
        <f t="shared" si="546"/>
        <v>0</v>
      </c>
      <c r="BC360" s="171">
        <f t="shared" si="546"/>
        <v>0</v>
      </c>
      <c r="BD360" s="171">
        <f t="shared" si="546"/>
        <v>0</v>
      </c>
      <c r="BE360" s="171">
        <f t="shared" si="547"/>
        <v>0</v>
      </c>
      <c r="BF360" s="171">
        <f t="shared" si="547"/>
        <v>0</v>
      </c>
      <c r="BG360" s="171">
        <f t="shared" si="547"/>
        <v>0</v>
      </c>
      <c r="BH360" s="171">
        <f t="shared" si="547"/>
        <v>0</v>
      </c>
      <c r="BI360" s="171">
        <f t="shared" si="547"/>
        <v>0</v>
      </c>
      <c r="BJ360" s="171">
        <f t="shared" si="547"/>
        <v>0</v>
      </c>
      <c r="BK360" s="171">
        <f t="shared" si="547"/>
        <v>0</v>
      </c>
      <c r="BL360" s="171">
        <f t="shared" si="547"/>
        <v>0</v>
      </c>
      <c r="BM360" s="171">
        <f t="shared" si="547"/>
        <v>0</v>
      </c>
      <c r="BN360" s="171">
        <f t="shared" si="547"/>
        <v>0</v>
      </c>
      <c r="BO360" s="171">
        <f t="shared" si="548"/>
        <v>0</v>
      </c>
      <c r="BP360" s="171">
        <f t="shared" si="548"/>
        <v>0</v>
      </c>
      <c r="BQ360" s="171">
        <f t="shared" si="548"/>
        <v>0</v>
      </c>
      <c r="BR360" s="171">
        <f t="shared" si="548"/>
        <v>0</v>
      </c>
      <c r="BS360" s="171">
        <f t="shared" si="548"/>
        <v>0</v>
      </c>
      <c r="BT360" s="171">
        <f t="shared" si="548"/>
        <v>0</v>
      </c>
      <c r="BU360" s="171">
        <f t="shared" si="548"/>
        <v>0</v>
      </c>
      <c r="BV360" s="171">
        <f t="shared" si="548"/>
        <v>0</v>
      </c>
      <c r="BW360" s="171">
        <f t="shared" si="548"/>
        <v>0</v>
      </c>
      <c r="BX360" s="171">
        <f t="shared" si="548"/>
        <v>0</v>
      </c>
      <c r="BY360" s="171">
        <f t="shared" si="549"/>
        <v>0</v>
      </c>
      <c r="BZ360" s="171">
        <f t="shared" si="549"/>
        <v>0</v>
      </c>
      <c r="CA360" s="171">
        <f t="shared" si="549"/>
        <v>0</v>
      </c>
      <c r="CB360" s="171">
        <f t="shared" si="549"/>
        <v>0</v>
      </c>
      <c r="CC360" s="171">
        <f t="shared" si="549"/>
        <v>0</v>
      </c>
      <c r="CD360" s="171">
        <f t="shared" si="549"/>
        <v>0</v>
      </c>
      <c r="CE360" s="171">
        <f t="shared" si="549"/>
        <v>0</v>
      </c>
      <c r="CF360" s="171">
        <f t="shared" si="549"/>
        <v>0</v>
      </c>
      <c r="CG360" s="171">
        <f t="shared" si="549"/>
        <v>0</v>
      </c>
      <c r="CH360" s="171">
        <f t="shared" si="549"/>
        <v>0</v>
      </c>
      <c r="CI360" s="171">
        <f t="shared" si="549"/>
        <v>0</v>
      </c>
      <c r="CJ360" s="243"/>
      <c r="CK360" s="171">
        <f t="shared" si="452"/>
        <v>0</v>
      </c>
      <c r="CL360" s="171">
        <f t="shared" si="453"/>
        <v>0</v>
      </c>
      <c r="CM360" s="171">
        <f t="shared" si="454"/>
        <v>0</v>
      </c>
      <c r="CN360" s="171">
        <f t="shared" si="455"/>
        <v>0</v>
      </c>
      <c r="CO360" s="171">
        <f t="shared" si="456"/>
        <v>0</v>
      </c>
      <c r="CP360" s="171">
        <f t="shared" si="457"/>
        <v>0</v>
      </c>
      <c r="CQ360" s="171">
        <f t="shared" si="458"/>
        <v>0</v>
      </c>
      <c r="CR360" s="171">
        <f t="shared" si="459"/>
        <v>0</v>
      </c>
      <c r="CS360" s="171">
        <f t="shared" si="460"/>
        <v>0</v>
      </c>
      <c r="CT360" s="171">
        <f t="shared" si="461"/>
        <v>0</v>
      </c>
      <c r="CU360" s="171">
        <f t="shared" si="462"/>
        <v>0</v>
      </c>
      <c r="CV360" s="171">
        <f t="shared" si="463"/>
        <v>0</v>
      </c>
      <c r="CW360" s="171">
        <f t="shared" si="464"/>
        <v>0</v>
      </c>
      <c r="CX360" s="171">
        <f t="shared" si="465"/>
        <v>0</v>
      </c>
      <c r="CY360" s="171">
        <f t="shared" ca="1" si="466"/>
        <v>0</v>
      </c>
      <c r="CZ360" s="171">
        <f t="shared" ca="1" si="467"/>
        <v>0</v>
      </c>
      <c r="DA360" s="171">
        <f t="shared" ca="1" si="468"/>
        <v>0</v>
      </c>
      <c r="DB360" s="171">
        <f t="shared" ca="1" si="469"/>
        <v>0</v>
      </c>
      <c r="DC360" s="171">
        <f t="shared" ca="1" si="470"/>
        <v>0</v>
      </c>
      <c r="DD360" s="171">
        <f t="shared" ca="1" si="471"/>
        <v>0</v>
      </c>
      <c r="DE360" s="171">
        <f t="shared" ca="1" si="472"/>
        <v>0</v>
      </c>
      <c r="DF360" s="171">
        <f t="shared" ca="1" si="473"/>
        <v>0</v>
      </c>
      <c r="DG360" s="171">
        <f t="shared" ca="1" si="474"/>
        <v>0</v>
      </c>
      <c r="DH360" s="171">
        <f t="shared" ca="1" si="475"/>
        <v>0</v>
      </c>
      <c r="DI360" s="171">
        <f t="shared" ca="1" si="476"/>
        <v>0</v>
      </c>
      <c r="DJ360" s="171">
        <f t="shared" ca="1" si="477"/>
        <v>0</v>
      </c>
      <c r="DK360" s="171">
        <f t="shared" ca="1" si="478"/>
        <v>0</v>
      </c>
      <c r="DL360" s="171">
        <f t="shared" ca="1" si="479"/>
        <v>0</v>
      </c>
      <c r="DM360" s="171">
        <f t="shared" ca="1" si="480"/>
        <v>0</v>
      </c>
      <c r="DN360" s="171">
        <f t="shared" ca="1" si="481"/>
        <v>0</v>
      </c>
      <c r="DO360" s="171">
        <f t="shared" ca="1" si="482"/>
        <v>0</v>
      </c>
      <c r="DP360" s="171">
        <f t="shared" ca="1" si="483"/>
        <v>0</v>
      </c>
      <c r="DQ360" s="171">
        <f t="shared" ca="1" si="484"/>
        <v>0</v>
      </c>
      <c r="DR360" s="171">
        <f t="shared" ca="1" si="485"/>
        <v>0</v>
      </c>
      <c r="DS360" s="171">
        <f t="shared" ca="1" si="486"/>
        <v>0</v>
      </c>
      <c r="DT360" s="171">
        <f t="shared" ca="1" si="487"/>
        <v>0</v>
      </c>
      <c r="DU360" s="171">
        <f t="shared" ca="1" si="488"/>
        <v>0</v>
      </c>
      <c r="DV360" s="171">
        <f t="shared" ca="1" si="489"/>
        <v>0</v>
      </c>
      <c r="DW360" s="171">
        <f t="shared" ca="1" si="490"/>
        <v>0</v>
      </c>
      <c r="DX360" s="171">
        <f t="shared" ca="1" si="491"/>
        <v>0</v>
      </c>
      <c r="DY360" s="171">
        <f t="shared" ca="1" si="492"/>
        <v>0</v>
      </c>
      <c r="DZ360" s="171">
        <f t="shared" ca="1" si="493"/>
        <v>0</v>
      </c>
      <c r="EA360" s="171">
        <f t="shared" ca="1" si="494"/>
        <v>0</v>
      </c>
      <c r="EB360" s="171">
        <f t="shared" ca="1" si="495"/>
        <v>0</v>
      </c>
      <c r="EC360" s="171">
        <f t="shared" ca="1" si="496"/>
        <v>0</v>
      </c>
      <c r="ED360" s="171">
        <f t="shared" ca="1" si="497"/>
        <v>0</v>
      </c>
      <c r="EE360" s="171">
        <f t="shared" ca="1" si="498"/>
        <v>0</v>
      </c>
      <c r="EF360" s="171">
        <f t="shared" ca="1" si="499"/>
        <v>0</v>
      </c>
      <c r="EG360" s="171">
        <f t="shared" ca="1" si="500"/>
        <v>0</v>
      </c>
      <c r="EH360" s="171">
        <f t="shared" ca="1" si="501"/>
        <v>0</v>
      </c>
      <c r="EI360" s="171">
        <f t="shared" ca="1" si="502"/>
        <v>0</v>
      </c>
      <c r="EJ360" s="171">
        <f t="shared" ca="1" si="503"/>
        <v>0</v>
      </c>
      <c r="EK360" s="171">
        <f t="shared" ca="1" si="504"/>
        <v>0</v>
      </c>
      <c r="EL360" s="171">
        <f t="shared" ca="1" si="505"/>
        <v>0</v>
      </c>
      <c r="EM360" s="171">
        <f t="shared" ca="1" si="506"/>
        <v>0</v>
      </c>
      <c r="EN360" s="171">
        <f t="shared" ca="1" si="507"/>
        <v>0</v>
      </c>
      <c r="EO360" s="171">
        <f t="shared" ca="1" si="508"/>
        <v>0</v>
      </c>
      <c r="EP360" s="171">
        <f t="shared" ca="1" si="509"/>
        <v>0</v>
      </c>
      <c r="EQ360" s="171">
        <f t="shared" ca="1" si="510"/>
        <v>0</v>
      </c>
      <c r="ER360" s="171">
        <f t="shared" ca="1" si="511"/>
        <v>0</v>
      </c>
      <c r="ES360" s="171">
        <f t="shared" ca="1" si="512"/>
        <v>0</v>
      </c>
    </row>
    <row r="361" spans="3:149">
      <c r="C361" s="214"/>
      <c r="L361" s="163"/>
      <c r="M361" s="164" t="str">
        <f t="shared" si="443"/>
        <v/>
      </c>
      <c r="N361" s="164" t="str">
        <f t="shared" si="444"/>
        <v/>
      </c>
      <c r="O361" s="165" t="str">
        <f t="shared" si="445"/>
        <v/>
      </c>
      <c r="R361" s="168" t="str">
        <f t="shared" si="537"/>
        <v/>
      </c>
      <c r="U361" s="171">
        <f t="shared" si="446"/>
        <v>0</v>
      </c>
      <c r="V361" s="171">
        <f t="shared" ca="1" si="447"/>
        <v>0</v>
      </c>
      <c r="W361" s="171">
        <f t="shared" ca="1" si="448"/>
        <v>0</v>
      </c>
      <c r="X361" s="172">
        <f t="shared" si="449"/>
        <v>0</v>
      </c>
      <c r="Y361" s="172" t="str">
        <f t="shared" si="450"/>
        <v/>
      </c>
      <c r="Z361" s="173">
        <f t="shared" si="451"/>
        <v>0</v>
      </c>
      <c r="AA361" s="171">
        <f t="shared" si="544"/>
        <v>0</v>
      </c>
      <c r="AB361" s="171">
        <f t="shared" si="544"/>
        <v>0</v>
      </c>
      <c r="AC361" s="171">
        <f t="shared" si="544"/>
        <v>0</v>
      </c>
      <c r="AD361" s="171">
        <f t="shared" si="544"/>
        <v>0</v>
      </c>
      <c r="AE361" s="171">
        <f t="shared" si="544"/>
        <v>0</v>
      </c>
      <c r="AF361" s="171">
        <f t="shared" si="544"/>
        <v>0</v>
      </c>
      <c r="AG361" s="171">
        <f t="shared" si="544"/>
        <v>0</v>
      </c>
      <c r="AH361" s="171">
        <f t="shared" si="544"/>
        <v>0</v>
      </c>
      <c r="AI361" s="171">
        <f t="shared" si="544"/>
        <v>0</v>
      </c>
      <c r="AJ361" s="171">
        <f t="shared" si="544"/>
        <v>0</v>
      </c>
      <c r="AK361" s="171">
        <f t="shared" si="545"/>
        <v>0</v>
      </c>
      <c r="AL361" s="171">
        <f t="shared" si="545"/>
        <v>0</v>
      </c>
      <c r="AM361" s="171">
        <f t="shared" si="545"/>
        <v>0</v>
      </c>
      <c r="AN361" s="171">
        <f t="shared" si="545"/>
        <v>0</v>
      </c>
      <c r="AO361" s="171">
        <f t="shared" si="545"/>
        <v>0</v>
      </c>
      <c r="AP361" s="171">
        <f t="shared" si="545"/>
        <v>0</v>
      </c>
      <c r="AQ361" s="171">
        <f t="shared" si="545"/>
        <v>0</v>
      </c>
      <c r="AR361" s="171">
        <f t="shared" si="545"/>
        <v>0</v>
      </c>
      <c r="AS361" s="171">
        <f t="shared" si="545"/>
        <v>0</v>
      </c>
      <c r="AT361" s="171">
        <f t="shared" si="545"/>
        <v>0</v>
      </c>
      <c r="AU361" s="171">
        <f t="shared" si="546"/>
        <v>0</v>
      </c>
      <c r="AV361" s="171">
        <f t="shared" si="546"/>
        <v>0</v>
      </c>
      <c r="AW361" s="171">
        <f t="shared" si="546"/>
        <v>0</v>
      </c>
      <c r="AX361" s="171">
        <f t="shared" si="546"/>
        <v>0</v>
      </c>
      <c r="AY361" s="171">
        <f t="shared" si="546"/>
        <v>0</v>
      </c>
      <c r="AZ361" s="171">
        <f t="shared" si="546"/>
        <v>0</v>
      </c>
      <c r="BA361" s="171">
        <f t="shared" si="546"/>
        <v>0</v>
      </c>
      <c r="BB361" s="171">
        <f t="shared" si="546"/>
        <v>0</v>
      </c>
      <c r="BC361" s="171">
        <f t="shared" si="546"/>
        <v>0</v>
      </c>
      <c r="BD361" s="171">
        <f t="shared" si="546"/>
        <v>0</v>
      </c>
      <c r="BE361" s="171">
        <f t="shared" si="547"/>
        <v>0</v>
      </c>
      <c r="BF361" s="171">
        <f t="shared" si="547"/>
        <v>0</v>
      </c>
      <c r="BG361" s="171">
        <f t="shared" si="547"/>
        <v>0</v>
      </c>
      <c r="BH361" s="171">
        <f t="shared" si="547"/>
        <v>0</v>
      </c>
      <c r="BI361" s="171">
        <f t="shared" si="547"/>
        <v>0</v>
      </c>
      <c r="BJ361" s="171">
        <f t="shared" si="547"/>
        <v>0</v>
      </c>
      <c r="BK361" s="171">
        <f t="shared" si="547"/>
        <v>0</v>
      </c>
      <c r="BL361" s="171">
        <f t="shared" si="547"/>
        <v>0</v>
      </c>
      <c r="BM361" s="171">
        <f t="shared" si="547"/>
        <v>0</v>
      </c>
      <c r="BN361" s="171">
        <f t="shared" si="547"/>
        <v>0</v>
      </c>
      <c r="BO361" s="171">
        <f t="shared" si="548"/>
        <v>0</v>
      </c>
      <c r="BP361" s="171">
        <f t="shared" si="548"/>
        <v>0</v>
      </c>
      <c r="BQ361" s="171">
        <f t="shared" si="548"/>
        <v>0</v>
      </c>
      <c r="BR361" s="171">
        <f t="shared" si="548"/>
        <v>0</v>
      </c>
      <c r="BS361" s="171">
        <f t="shared" si="548"/>
        <v>0</v>
      </c>
      <c r="BT361" s="171">
        <f t="shared" si="548"/>
        <v>0</v>
      </c>
      <c r="BU361" s="171">
        <f t="shared" si="548"/>
        <v>0</v>
      </c>
      <c r="BV361" s="171">
        <f t="shared" si="548"/>
        <v>0</v>
      </c>
      <c r="BW361" s="171">
        <f t="shared" si="548"/>
        <v>0</v>
      </c>
      <c r="BX361" s="171">
        <f t="shared" si="548"/>
        <v>0</v>
      </c>
      <c r="BY361" s="171">
        <f t="shared" si="549"/>
        <v>0</v>
      </c>
      <c r="BZ361" s="171">
        <f t="shared" si="549"/>
        <v>0</v>
      </c>
      <c r="CA361" s="171">
        <f t="shared" si="549"/>
        <v>0</v>
      </c>
      <c r="CB361" s="171">
        <f t="shared" si="549"/>
        <v>0</v>
      </c>
      <c r="CC361" s="171">
        <f t="shared" si="549"/>
        <v>0</v>
      </c>
      <c r="CD361" s="171">
        <f t="shared" si="549"/>
        <v>0</v>
      </c>
      <c r="CE361" s="171">
        <f t="shared" si="549"/>
        <v>0</v>
      </c>
      <c r="CF361" s="171">
        <f t="shared" si="549"/>
        <v>0</v>
      </c>
      <c r="CG361" s="171">
        <f t="shared" si="549"/>
        <v>0</v>
      </c>
      <c r="CH361" s="171">
        <f t="shared" si="549"/>
        <v>0</v>
      </c>
      <c r="CI361" s="171">
        <f t="shared" si="549"/>
        <v>0</v>
      </c>
      <c r="CJ361" s="243"/>
      <c r="CK361" s="171">
        <f t="shared" si="452"/>
        <v>0</v>
      </c>
      <c r="CL361" s="171">
        <f t="shared" si="453"/>
        <v>0</v>
      </c>
      <c r="CM361" s="171">
        <f t="shared" si="454"/>
        <v>0</v>
      </c>
      <c r="CN361" s="171">
        <f t="shared" si="455"/>
        <v>0</v>
      </c>
      <c r="CO361" s="171">
        <f t="shared" si="456"/>
        <v>0</v>
      </c>
      <c r="CP361" s="171">
        <f t="shared" si="457"/>
        <v>0</v>
      </c>
      <c r="CQ361" s="171">
        <f t="shared" si="458"/>
        <v>0</v>
      </c>
      <c r="CR361" s="171">
        <f t="shared" si="459"/>
        <v>0</v>
      </c>
      <c r="CS361" s="171">
        <f t="shared" si="460"/>
        <v>0</v>
      </c>
      <c r="CT361" s="171">
        <f t="shared" si="461"/>
        <v>0</v>
      </c>
      <c r="CU361" s="171">
        <f t="shared" si="462"/>
        <v>0</v>
      </c>
      <c r="CV361" s="171">
        <f t="shared" si="463"/>
        <v>0</v>
      </c>
      <c r="CW361" s="171">
        <f t="shared" si="464"/>
        <v>0</v>
      </c>
      <c r="CX361" s="171">
        <f t="shared" si="465"/>
        <v>0</v>
      </c>
      <c r="CY361" s="171">
        <f t="shared" ca="1" si="466"/>
        <v>0</v>
      </c>
      <c r="CZ361" s="171">
        <f t="shared" ca="1" si="467"/>
        <v>0</v>
      </c>
      <c r="DA361" s="171">
        <f t="shared" ca="1" si="468"/>
        <v>0</v>
      </c>
      <c r="DB361" s="171">
        <f t="shared" ca="1" si="469"/>
        <v>0</v>
      </c>
      <c r="DC361" s="171">
        <f t="shared" ca="1" si="470"/>
        <v>0</v>
      </c>
      <c r="DD361" s="171">
        <f t="shared" ca="1" si="471"/>
        <v>0</v>
      </c>
      <c r="DE361" s="171">
        <f t="shared" ca="1" si="472"/>
        <v>0</v>
      </c>
      <c r="DF361" s="171">
        <f t="shared" ca="1" si="473"/>
        <v>0</v>
      </c>
      <c r="DG361" s="171">
        <f t="shared" ca="1" si="474"/>
        <v>0</v>
      </c>
      <c r="DH361" s="171">
        <f t="shared" ca="1" si="475"/>
        <v>0</v>
      </c>
      <c r="DI361" s="171">
        <f t="shared" ca="1" si="476"/>
        <v>0</v>
      </c>
      <c r="DJ361" s="171">
        <f t="shared" ca="1" si="477"/>
        <v>0</v>
      </c>
      <c r="DK361" s="171">
        <f t="shared" ca="1" si="478"/>
        <v>0</v>
      </c>
      <c r="DL361" s="171">
        <f t="shared" ca="1" si="479"/>
        <v>0</v>
      </c>
      <c r="DM361" s="171">
        <f t="shared" ca="1" si="480"/>
        <v>0</v>
      </c>
      <c r="DN361" s="171">
        <f t="shared" ca="1" si="481"/>
        <v>0</v>
      </c>
      <c r="DO361" s="171">
        <f t="shared" ca="1" si="482"/>
        <v>0</v>
      </c>
      <c r="DP361" s="171">
        <f t="shared" ca="1" si="483"/>
        <v>0</v>
      </c>
      <c r="DQ361" s="171">
        <f t="shared" ca="1" si="484"/>
        <v>0</v>
      </c>
      <c r="DR361" s="171">
        <f t="shared" ca="1" si="485"/>
        <v>0</v>
      </c>
      <c r="DS361" s="171">
        <f t="shared" ca="1" si="486"/>
        <v>0</v>
      </c>
      <c r="DT361" s="171">
        <f t="shared" ca="1" si="487"/>
        <v>0</v>
      </c>
      <c r="DU361" s="171">
        <f t="shared" ca="1" si="488"/>
        <v>0</v>
      </c>
      <c r="DV361" s="171">
        <f t="shared" ca="1" si="489"/>
        <v>0</v>
      </c>
      <c r="DW361" s="171">
        <f t="shared" ca="1" si="490"/>
        <v>0</v>
      </c>
      <c r="DX361" s="171">
        <f t="shared" ca="1" si="491"/>
        <v>0</v>
      </c>
      <c r="DY361" s="171">
        <f t="shared" ca="1" si="492"/>
        <v>0</v>
      </c>
      <c r="DZ361" s="171">
        <f t="shared" ca="1" si="493"/>
        <v>0</v>
      </c>
      <c r="EA361" s="171">
        <f t="shared" ca="1" si="494"/>
        <v>0</v>
      </c>
      <c r="EB361" s="171">
        <f t="shared" ca="1" si="495"/>
        <v>0</v>
      </c>
      <c r="EC361" s="171">
        <f t="shared" ca="1" si="496"/>
        <v>0</v>
      </c>
      <c r="ED361" s="171">
        <f t="shared" ca="1" si="497"/>
        <v>0</v>
      </c>
      <c r="EE361" s="171">
        <f t="shared" ca="1" si="498"/>
        <v>0</v>
      </c>
      <c r="EF361" s="171">
        <f t="shared" ca="1" si="499"/>
        <v>0</v>
      </c>
      <c r="EG361" s="171">
        <f t="shared" ca="1" si="500"/>
        <v>0</v>
      </c>
      <c r="EH361" s="171">
        <f t="shared" ca="1" si="501"/>
        <v>0</v>
      </c>
      <c r="EI361" s="171">
        <f t="shared" ca="1" si="502"/>
        <v>0</v>
      </c>
      <c r="EJ361" s="171">
        <f t="shared" ca="1" si="503"/>
        <v>0</v>
      </c>
      <c r="EK361" s="171">
        <f t="shared" ca="1" si="504"/>
        <v>0</v>
      </c>
      <c r="EL361" s="171">
        <f t="shared" ca="1" si="505"/>
        <v>0</v>
      </c>
      <c r="EM361" s="171">
        <f t="shared" ca="1" si="506"/>
        <v>0</v>
      </c>
      <c r="EN361" s="171">
        <f t="shared" ca="1" si="507"/>
        <v>0</v>
      </c>
      <c r="EO361" s="171">
        <f t="shared" ca="1" si="508"/>
        <v>0</v>
      </c>
      <c r="EP361" s="171">
        <f t="shared" ca="1" si="509"/>
        <v>0</v>
      </c>
      <c r="EQ361" s="171">
        <f t="shared" ca="1" si="510"/>
        <v>0</v>
      </c>
      <c r="ER361" s="171">
        <f t="shared" ca="1" si="511"/>
        <v>0</v>
      </c>
      <c r="ES361" s="171">
        <f t="shared" ca="1" si="512"/>
        <v>0</v>
      </c>
    </row>
    <row r="362" spans="3:149">
      <c r="C362" s="214"/>
      <c r="L362" s="163"/>
      <c r="M362" s="164" t="str">
        <f t="shared" si="443"/>
        <v/>
      </c>
      <c r="N362" s="164" t="str">
        <f t="shared" si="444"/>
        <v/>
      </c>
      <c r="O362" s="165" t="str">
        <f t="shared" si="445"/>
        <v/>
      </c>
      <c r="R362" s="168" t="str">
        <f t="shared" si="537"/>
        <v/>
      </c>
      <c r="U362" s="171">
        <f t="shared" si="446"/>
        <v>0</v>
      </c>
      <c r="V362" s="171">
        <f t="shared" ca="1" si="447"/>
        <v>0</v>
      </c>
      <c r="W362" s="171">
        <f t="shared" ca="1" si="448"/>
        <v>0</v>
      </c>
      <c r="X362" s="172">
        <f t="shared" si="449"/>
        <v>0</v>
      </c>
      <c r="Y362" s="172" t="str">
        <f t="shared" si="450"/>
        <v/>
      </c>
      <c r="Z362" s="173">
        <f t="shared" si="451"/>
        <v>0</v>
      </c>
      <c r="AA362" s="171">
        <f t="shared" si="544"/>
        <v>0</v>
      </c>
      <c r="AB362" s="171">
        <f t="shared" si="544"/>
        <v>0</v>
      </c>
      <c r="AC362" s="171">
        <f t="shared" si="544"/>
        <v>0</v>
      </c>
      <c r="AD362" s="171">
        <f t="shared" si="544"/>
        <v>0</v>
      </c>
      <c r="AE362" s="171">
        <f t="shared" si="544"/>
        <v>0</v>
      </c>
      <c r="AF362" s="171">
        <f t="shared" si="544"/>
        <v>0</v>
      </c>
      <c r="AG362" s="171">
        <f t="shared" si="544"/>
        <v>0</v>
      </c>
      <c r="AH362" s="171">
        <f t="shared" si="544"/>
        <v>0</v>
      </c>
      <c r="AI362" s="171">
        <f t="shared" si="544"/>
        <v>0</v>
      </c>
      <c r="AJ362" s="171">
        <f t="shared" si="544"/>
        <v>0</v>
      </c>
      <c r="AK362" s="171">
        <f t="shared" si="545"/>
        <v>0</v>
      </c>
      <c r="AL362" s="171">
        <f t="shared" si="545"/>
        <v>0</v>
      </c>
      <c r="AM362" s="171">
        <f t="shared" si="545"/>
        <v>0</v>
      </c>
      <c r="AN362" s="171">
        <f t="shared" si="545"/>
        <v>0</v>
      </c>
      <c r="AO362" s="171">
        <f t="shared" si="545"/>
        <v>0</v>
      </c>
      <c r="AP362" s="171">
        <f t="shared" si="545"/>
        <v>0</v>
      </c>
      <c r="AQ362" s="171">
        <f t="shared" si="545"/>
        <v>0</v>
      </c>
      <c r="AR362" s="171">
        <f t="shared" si="545"/>
        <v>0</v>
      </c>
      <c r="AS362" s="171">
        <f t="shared" si="545"/>
        <v>0</v>
      </c>
      <c r="AT362" s="171">
        <f t="shared" si="545"/>
        <v>0</v>
      </c>
      <c r="AU362" s="171">
        <f t="shared" si="546"/>
        <v>0</v>
      </c>
      <c r="AV362" s="171">
        <f t="shared" si="546"/>
        <v>0</v>
      </c>
      <c r="AW362" s="171">
        <f t="shared" si="546"/>
        <v>0</v>
      </c>
      <c r="AX362" s="171">
        <f t="shared" si="546"/>
        <v>0</v>
      </c>
      <c r="AY362" s="171">
        <f t="shared" si="546"/>
        <v>0</v>
      </c>
      <c r="AZ362" s="171">
        <f t="shared" si="546"/>
        <v>0</v>
      </c>
      <c r="BA362" s="171">
        <f t="shared" si="546"/>
        <v>0</v>
      </c>
      <c r="BB362" s="171">
        <f t="shared" si="546"/>
        <v>0</v>
      </c>
      <c r="BC362" s="171">
        <f t="shared" si="546"/>
        <v>0</v>
      </c>
      <c r="BD362" s="171">
        <f t="shared" si="546"/>
        <v>0</v>
      </c>
      <c r="BE362" s="171">
        <f t="shared" si="547"/>
        <v>0</v>
      </c>
      <c r="BF362" s="171">
        <f t="shared" si="547"/>
        <v>0</v>
      </c>
      <c r="BG362" s="171">
        <f t="shared" si="547"/>
        <v>0</v>
      </c>
      <c r="BH362" s="171">
        <f t="shared" si="547"/>
        <v>0</v>
      </c>
      <c r="BI362" s="171">
        <f t="shared" si="547"/>
        <v>0</v>
      </c>
      <c r="BJ362" s="171">
        <f t="shared" si="547"/>
        <v>0</v>
      </c>
      <c r="BK362" s="171">
        <f t="shared" si="547"/>
        <v>0</v>
      </c>
      <c r="BL362" s="171">
        <f t="shared" si="547"/>
        <v>0</v>
      </c>
      <c r="BM362" s="171">
        <f t="shared" si="547"/>
        <v>0</v>
      </c>
      <c r="BN362" s="171">
        <f t="shared" si="547"/>
        <v>0</v>
      </c>
      <c r="BO362" s="171">
        <f t="shared" si="548"/>
        <v>0</v>
      </c>
      <c r="BP362" s="171">
        <f t="shared" si="548"/>
        <v>0</v>
      </c>
      <c r="BQ362" s="171">
        <f t="shared" si="548"/>
        <v>0</v>
      </c>
      <c r="BR362" s="171">
        <f t="shared" si="548"/>
        <v>0</v>
      </c>
      <c r="BS362" s="171">
        <f t="shared" si="548"/>
        <v>0</v>
      </c>
      <c r="BT362" s="171">
        <f t="shared" si="548"/>
        <v>0</v>
      </c>
      <c r="BU362" s="171">
        <f t="shared" si="548"/>
        <v>0</v>
      </c>
      <c r="BV362" s="171">
        <f t="shared" si="548"/>
        <v>0</v>
      </c>
      <c r="BW362" s="171">
        <f t="shared" si="548"/>
        <v>0</v>
      </c>
      <c r="BX362" s="171">
        <f t="shared" si="548"/>
        <v>0</v>
      </c>
      <c r="BY362" s="171">
        <f t="shared" si="549"/>
        <v>0</v>
      </c>
      <c r="BZ362" s="171">
        <f t="shared" si="549"/>
        <v>0</v>
      </c>
      <c r="CA362" s="171">
        <f t="shared" si="549"/>
        <v>0</v>
      </c>
      <c r="CB362" s="171">
        <f t="shared" si="549"/>
        <v>0</v>
      </c>
      <c r="CC362" s="171">
        <f t="shared" si="549"/>
        <v>0</v>
      </c>
      <c r="CD362" s="171">
        <f t="shared" si="549"/>
        <v>0</v>
      </c>
      <c r="CE362" s="171">
        <f t="shared" si="549"/>
        <v>0</v>
      </c>
      <c r="CF362" s="171">
        <f t="shared" si="549"/>
        <v>0</v>
      </c>
      <c r="CG362" s="171">
        <f t="shared" si="549"/>
        <v>0</v>
      </c>
      <c r="CH362" s="171">
        <f t="shared" si="549"/>
        <v>0</v>
      </c>
      <c r="CI362" s="171">
        <f t="shared" si="549"/>
        <v>0</v>
      </c>
      <c r="CJ362" s="243"/>
      <c r="CK362" s="171">
        <f t="shared" si="452"/>
        <v>0</v>
      </c>
      <c r="CL362" s="171">
        <f t="shared" si="453"/>
        <v>0</v>
      </c>
      <c r="CM362" s="171">
        <f t="shared" si="454"/>
        <v>0</v>
      </c>
      <c r="CN362" s="171">
        <f t="shared" si="455"/>
        <v>0</v>
      </c>
      <c r="CO362" s="171">
        <f t="shared" si="456"/>
        <v>0</v>
      </c>
      <c r="CP362" s="171">
        <f t="shared" si="457"/>
        <v>0</v>
      </c>
      <c r="CQ362" s="171">
        <f t="shared" si="458"/>
        <v>0</v>
      </c>
      <c r="CR362" s="171">
        <f t="shared" si="459"/>
        <v>0</v>
      </c>
      <c r="CS362" s="171">
        <f t="shared" si="460"/>
        <v>0</v>
      </c>
      <c r="CT362" s="171">
        <f t="shared" si="461"/>
        <v>0</v>
      </c>
      <c r="CU362" s="171">
        <f t="shared" si="462"/>
        <v>0</v>
      </c>
      <c r="CV362" s="171">
        <f t="shared" si="463"/>
        <v>0</v>
      </c>
      <c r="CW362" s="171">
        <f t="shared" si="464"/>
        <v>0</v>
      </c>
      <c r="CX362" s="171">
        <f t="shared" si="465"/>
        <v>0</v>
      </c>
      <c r="CY362" s="171">
        <f t="shared" ca="1" si="466"/>
        <v>0</v>
      </c>
      <c r="CZ362" s="171">
        <f t="shared" ca="1" si="467"/>
        <v>0</v>
      </c>
      <c r="DA362" s="171">
        <f t="shared" ca="1" si="468"/>
        <v>0</v>
      </c>
      <c r="DB362" s="171">
        <f t="shared" ca="1" si="469"/>
        <v>0</v>
      </c>
      <c r="DC362" s="171">
        <f t="shared" ca="1" si="470"/>
        <v>0</v>
      </c>
      <c r="DD362" s="171">
        <f t="shared" ca="1" si="471"/>
        <v>0</v>
      </c>
      <c r="DE362" s="171">
        <f t="shared" ca="1" si="472"/>
        <v>0</v>
      </c>
      <c r="DF362" s="171">
        <f t="shared" ca="1" si="473"/>
        <v>0</v>
      </c>
      <c r="DG362" s="171">
        <f t="shared" ca="1" si="474"/>
        <v>0</v>
      </c>
      <c r="DH362" s="171">
        <f t="shared" ca="1" si="475"/>
        <v>0</v>
      </c>
      <c r="DI362" s="171">
        <f t="shared" ca="1" si="476"/>
        <v>0</v>
      </c>
      <c r="DJ362" s="171">
        <f t="shared" ca="1" si="477"/>
        <v>0</v>
      </c>
      <c r="DK362" s="171">
        <f t="shared" ca="1" si="478"/>
        <v>0</v>
      </c>
      <c r="DL362" s="171">
        <f t="shared" ca="1" si="479"/>
        <v>0</v>
      </c>
      <c r="DM362" s="171">
        <f t="shared" ca="1" si="480"/>
        <v>0</v>
      </c>
      <c r="DN362" s="171">
        <f t="shared" ca="1" si="481"/>
        <v>0</v>
      </c>
      <c r="DO362" s="171">
        <f t="shared" ca="1" si="482"/>
        <v>0</v>
      </c>
      <c r="DP362" s="171">
        <f t="shared" ca="1" si="483"/>
        <v>0</v>
      </c>
      <c r="DQ362" s="171">
        <f t="shared" ca="1" si="484"/>
        <v>0</v>
      </c>
      <c r="DR362" s="171">
        <f t="shared" ca="1" si="485"/>
        <v>0</v>
      </c>
      <c r="DS362" s="171">
        <f t="shared" ca="1" si="486"/>
        <v>0</v>
      </c>
      <c r="DT362" s="171">
        <f t="shared" ca="1" si="487"/>
        <v>0</v>
      </c>
      <c r="DU362" s="171">
        <f t="shared" ca="1" si="488"/>
        <v>0</v>
      </c>
      <c r="DV362" s="171">
        <f t="shared" ca="1" si="489"/>
        <v>0</v>
      </c>
      <c r="DW362" s="171">
        <f t="shared" ca="1" si="490"/>
        <v>0</v>
      </c>
      <c r="DX362" s="171">
        <f t="shared" ca="1" si="491"/>
        <v>0</v>
      </c>
      <c r="DY362" s="171">
        <f t="shared" ca="1" si="492"/>
        <v>0</v>
      </c>
      <c r="DZ362" s="171">
        <f t="shared" ca="1" si="493"/>
        <v>0</v>
      </c>
      <c r="EA362" s="171">
        <f t="shared" ca="1" si="494"/>
        <v>0</v>
      </c>
      <c r="EB362" s="171">
        <f t="shared" ca="1" si="495"/>
        <v>0</v>
      </c>
      <c r="EC362" s="171">
        <f t="shared" ca="1" si="496"/>
        <v>0</v>
      </c>
      <c r="ED362" s="171">
        <f t="shared" ca="1" si="497"/>
        <v>0</v>
      </c>
      <c r="EE362" s="171">
        <f t="shared" ca="1" si="498"/>
        <v>0</v>
      </c>
      <c r="EF362" s="171">
        <f t="shared" ca="1" si="499"/>
        <v>0</v>
      </c>
      <c r="EG362" s="171">
        <f t="shared" ca="1" si="500"/>
        <v>0</v>
      </c>
      <c r="EH362" s="171">
        <f t="shared" ca="1" si="501"/>
        <v>0</v>
      </c>
      <c r="EI362" s="171">
        <f t="shared" ca="1" si="502"/>
        <v>0</v>
      </c>
      <c r="EJ362" s="171">
        <f t="shared" ca="1" si="503"/>
        <v>0</v>
      </c>
      <c r="EK362" s="171">
        <f t="shared" ca="1" si="504"/>
        <v>0</v>
      </c>
      <c r="EL362" s="171">
        <f t="shared" ca="1" si="505"/>
        <v>0</v>
      </c>
      <c r="EM362" s="171">
        <f t="shared" ca="1" si="506"/>
        <v>0</v>
      </c>
      <c r="EN362" s="171">
        <f t="shared" ca="1" si="507"/>
        <v>0</v>
      </c>
      <c r="EO362" s="171">
        <f t="shared" ca="1" si="508"/>
        <v>0</v>
      </c>
      <c r="EP362" s="171">
        <f t="shared" ca="1" si="509"/>
        <v>0</v>
      </c>
      <c r="EQ362" s="171">
        <f t="shared" ca="1" si="510"/>
        <v>0</v>
      </c>
      <c r="ER362" s="171">
        <f t="shared" ca="1" si="511"/>
        <v>0</v>
      </c>
      <c r="ES362" s="171">
        <f t="shared" ca="1" si="512"/>
        <v>0</v>
      </c>
    </row>
    <row r="363" spans="3:149">
      <c r="C363" s="214"/>
      <c r="L363" s="163"/>
      <c r="M363" s="164" t="str">
        <f t="shared" si="443"/>
        <v/>
      </c>
      <c r="N363" s="164" t="str">
        <f t="shared" si="444"/>
        <v/>
      </c>
      <c r="O363" s="165" t="str">
        <f t="shared" si="445"/>
        <v/>
      </c>
      <c r="R363" s="168" t="str">
        <f t="shared" si="537"/>
        <v/>
      </c>
      <c r="U363" s="171">
        <f t="shared" si="446"/>
        <v>0</v>
      </c>
      <c r="V363" s="171">
        <f t="shared" ca="1" si="447"/>
        <v>0</v>
      </c>
      <c r="W363" s="171">
        <f t="shared" ca="1" si="448"/>
        <v>0</v>
      </c>
      <c r="X363" s="172">
        <f t="shared" si="449"/>
        <v>0</v>
      </c>
      <c r="Y363" s="172" t="str">
        <f t="shared" si="450"/>
        <v/>
      </c>
      <c r="Z363" s="173">
        <f t="shared" si="451"/>
        <v>0</v>
      </c>
      <c r="AA363" s="171">
        <f t="shared" si="544"/>
        <v>0</v>
      </c>
      <c r="AB363" s="171">
        <f t="shared" si="544"/>
        <v>0</v>
      </c>
      <c r="AC363" s="171">
        <f t="shared" si="544"/>
        <v>0</v>
      </c>
      <c r="AD363" s="171">
        <f t="shared" si="544"/>
        <v>0</v>
      </c>
      <c r="AE363" s="171">
        <f t="shared" si="544"/>
        <v>0</v>
      </c>
      <c r="AF363" s="171">
        <f t="shared" si="544"/>
        <v>0</v>
      </c>
      <c r="AG363" s="171">
        <f t="shared" si="544"/>
        <v>0</v>
      </c>
      <c r="AH363" s="171">
        <f t="shared" si="544"/>
        <v>0</v>
      </c>
      <c r="AI363" s="171">
        <f t="shared" si="544"/>
        <v>0</v>
      </c>
      <c r="AJ363" s="171">
        <f t="shared" si="544"/>
        <v>0</v>
      </c>
      <c r="AK363" s="171">
        <f t="shared" si="545"/>
        <v>0</v>
      </c>
      <c r="AL363" s="171">
        <f t="shared" si="545"/>
        <v>0</v>
      </c>
      <c r="AM363" s="171">
        <f t="shared" si="545"/>
        <v>0</v>
      </c>
      <c r="AN363" s="171">
        <f t="shared" si="545"/>
        <v>0</v>
      </c>
      <c r="AO363" s="171">
        <f t="shared" si="545"/>
        <v>0</v>
      </c>
      <c r="AP363" s="171">
        <f t="shared" si="545"/>
        <v>0</v>
      </c>
      <c r="AQ363" s="171">
        <f t="shared" si="545"/>
        <v>0</v>
      </c>
      <c r="AR363" s="171">
        <f t="shared" si="545"/>
        <v>0</v>
      </c>
      <c r="AS363" s="171">
        <f t="shared" si="545"/>
        <v>0</v>
      </c>
      <c r="AT363" s="171">
        <f t="shared" si="545"/>
        <v>0</v>
      </c>
      <c r="AU363" s="171">
        <f t="shared" si="546"/>
        <v>0</v>
      </c>
      <c r="AV363" s="171">
        <f t="shared" si="546"/>
        <v>0</v>
      </c>
      <c r="AW363" s="171">
        <f t="shared" si="546"/>
        <v>0</v>
      </c>
      <c r="AX363" s="171">
        <f t="shared" si="546"/>
        <v>0</v>
      </c>
      <c r="AY363" s="171">
        <f t="shared" si="546"/>
        <v>0</v>
      </c>
      <c r="AZ363" s="171">
        <f t="shared" si="546"/>
        <v>0</v>
      </c>
      <c r="BA363" s="171">
        <f t="shared" si="546"/>
        <v>0</v>
      </c>
      <c r="BB363" s="171">
        <f t="shared" si="546"/>
        <v>0</v>
      </c>
      <c r="BC363" s="171">
        <f t="shared" si="546"/>
        <v>0</v>
      </c>
      <c r="BD363" s="171">
        <f t="shared" si="546"/>
        <v>0</v>
      </c>
      <c r="BE363" s="171">
        <f t="shared" si="547"/>
        <v>0</v>
      </c>
      <c r="BF363" s="171">
        <f t="shared" si="547"/>
        <v>0</v>
      </c>
      <c r="BG363" s="171">
        <f t="shared" si="547"/>
        <v>0</v>
      </c>
      <c r="BH363" s="171">
        <f t="shared" si="547"/>
        <v>0</v>
      </c>
      <c r="BI363" s="171">
        <f t="shared" si="547"/>
        <v>0</v>
      </c>
      <c r="BJ363" s="171">
        <f t="shared" si="547"/>
        <v>0</v>
      </c>
      <c r="BK363" s="171">
        <f t="shared" si="547"/>
        <v>0</v>
      </c>
      <c r="BL363" s="171">
        <f t="shared" si="547"/>
        <v>0</v>
      </c>
      <c r="BM363" s="171">
        <f t="shared" si="547"/>
        <v>0</v>
      </c>
      <c r="BN363" s="171">
        <f t="shared" si="547"/>
        <v>0</v>
      </c>
      <c r="BO363" s="171">
        <f t="shared" si="548"/>
        <v>0</v>
      </c>
      <c r="BP363" s="171">
        <f t="shared" si="548"/>
        <v>0</v>
      </c>
      <c r="BQ363" s="171">
        <f t="shared" si="548"/>
        <v>0</v>
      </c>
      <c r="BR363" s="171">
        <f t="shared" si="548"/>
        <v>0</v>
      </c>
      <c r="BS363" s="171">
        <f t="shared" si="548"/>
        <v>0</v>
      </c>
      <c r="BT363" s="171">
        <f t="shared" si="548"/>
        <v>0</v>
      </c>
      <c r="BU363" s="171">
        <f t="shared" si="548"/>
        <v>0</v>
      </c>
      <c r="BV363" s="171">
        <f t="shared" si="548"/>
        <v>0</v>
      </c>
      <c r="BW363" s="171">
        <f t="shared" si="548"/>
        <v>0</v>
      </c>
      <c r="BX363" s="171">
        <f t="shared" si="548"/>
        <v>0</v>
      </c>
      <c r="BY363" s="171">
        <f t="shared" si="549"/>
        <v>0</v>
      </c>
      <c r="BZ363" s="171">
        <f t="shared" si="549"/>
        <v>0</v>
      </c>
      <c r="CA363" s="171">
        <f t="shared" si="549"/>
        <v>0</v>
      </c>
      <c r="CB363" s="171">
        <f t="shared" si="549"/>
        <v>0</v>
      </c>
      <c r="CC363" s="171">
        <f t="shared" si="549"/>
        <v>0</v>
      </c>
      <c r="CD363" s="171">
        <f t="shared" si="549"/>
        <v>0</v>
      </c>
      <c r="CE363" s="171">
        <f t="shared" si="549"/>
        <v>0</v>
      </c>
      <c r="CF363" s="171">
        <f t="shared" si="549"/>
        <v>0</v>
      </c>
      <c r="CG363" s="171">
        <f t="shared" si="549"/>
        <v>0</v>
      </c>
      <c r="CH363" s="171">
        <f t="shared" si="549"/>
        <v>0</v>
      </c>
      <c r="CI363" s="171">
        <f t="shared" si="549"/>
        <v>0</v>
      </c>
      <c r="CJ363" s="243"/>
      <c r="CK363" s="171">
        <f t="shared" si="452"/>
        <v>0</v>
      </c>
      <c r="CL363" s="171">
        <f t="shared" si="453"/>
        <v>0</v>
      </c>
      <c r="CM363" s="171">
        <f t="shared" si="454"/>
        <v>0</v>
      </c>
      <c r="CN363" s="171">
        <f t="shared" si="455"/>
        <v>0</v>
      </c>
      <c r="CO363" s="171">
        <f t="shared" si="456"/>
        <v>0</v>
      </c>
      <c r="CP363" s="171">
        <f t="shared" si="457"/>
        <v>0</v>
      </c>
      <c r="CQ363" s="171">
        <f t="shared" si="458"/>
        <v>0</v>
      </c>
      <c r="CR363" s="171">
        <f t="shared" si="459"/>
        <v>0</v>
      </c>
      <c r="CS363" s="171">
        <f t="shared" si="460"/>
        <v>0</v>
      </c>
      <c r="CT363" s="171">
        <f t="shared" si="461"/>
        <v>0</v>
      </c>
      <c r="CU363" s="171">
        <f t="shared" si="462"/>
        <v>0</v>
      </c>
      <c r="CV363" s="171">
        <f t="shared" si="463"/>
        <v>0</v>
      </c>
      <c r="CW363" s="171">
        <f t="shared" si="464"/>
        <v>0</v>
      </c>
      <c r="CX363" s="171">
        <f t="shared" si="465"/>
        <v>0</v>
      </c>
      <c r="CY363" s="171">
        <f t="shared" ca="1" si="466"/>
        <v>0</v>
      </c>
      <c r="CZ363" s="171">
        <f t="shared" ca="1" si="467"/>
        <v>0</v>
      </c>
      <c r="DA363" s="171">
        <f t="shared" ca="1" si="468"/>
        <v>0</v>
      </c>
      <c r="DB363" s="171">
        <f t="shared" ca="1" si="469"/>
        <v>0</v>
      </c>
      <c r="DC363" s="171">
        <f t="shared" ca="1" si="470"/>
        <v>0</v>
      </c>
      <c r="DD363" s="171">
        <f t="shared" ca="1" si="471"/>
        <v>0</v>
      </c>
      <c r="DE363" s="171">
        <f t="shared" ca="1" si="472"/>
        <v>0</v>
      </c>
      <c r="DF363" s="171">
        <f t="shared" ca="1" si="473"/>
        <v>0</v>
      </c>
      <c r="DG363" s="171">
        <f t="shared" ca="1" si="474"/>
        <v>0</v>
      </c>
      <c r="DH363" s="171">
        <f t="shared" ca="1" si="475"/>
        <v>0</v>
      </c>
      <c r="DI363" s="171">
        <f t="shared" ca="1" si="476"/>
        <v>0</v>
      </c>
      <c r="DJ363" s="171">
        <f t="shared" ca="1" si="477"/>
        <v>0</v>
      </c>
      <c r="DK363" s="171">
        <f t="shared" ca="1" si="478"/>
        <v>0</v>
      </c>
      <c r="DL363" s="171">
        <f t="shared" ca="1" si="479"/>
        <v>0</v>
      </c>
      <c r="DM363" s="171">
        <f t="shared" ca="1" si="480"/>
        <v>0</v>
      </c>
      <c r="DN363" s="171">
        <f t="shared" ca="1" si="481"/>
        <v>0</v>
      </c>
      <c r="DO363" s="171">
        <f t="shared" ca="1" si="482"/>
        <v>0</v>
      </c>
      <c r="DP363" s="171">
        <f t="shared" ca="1" si="483"/>
        <v>0</v>
      </c>
      <c r="DQ363" s="171">
        <f t="shared" ca="1" si="484"/>
        <v>0</v>
      </c>
      <c r="DR363" s="171">
        <f t="shared" ca="1" si="485"/>
        <v>0</v>
      </c>
      <c r="DS363" s="171">
        <f t="shared" ca="1" si="486"/>
        <v>0</v>
      </c>
      <c r="DT363" s="171">
        <f t="shared" ca="1" si="487"/>
        <v>0</v>
      </c>
      <c r="DU363" s="171">
        <f t="shared" ca="1" si="488"/>
        <v>0</v>
      </c>
      <c r="DV363" s="171">
        <f t="shared" ca="1" si="489"/>
        <v>0</v>
      </c>
      <c r="DW363" s="171">
        <f t="shared" ca="1" si="490"/>
        <v>0</v>
      </c>
      <c r="DX363" s="171">
        <f t="shared" ca="1" si="491"/>
        <v>0</v>
      </c>
      <c r="DY363" s="171">
        <f t="shared" ca="1" si="492"/>
        <v>0</v>
      </c>
      <c r="DZ363" s="171">
        <f t="shared" ca="1" si="493"/>
        <v>0</v>
      </c>
      <c r="EA363" s="171">
        <f t="shared" ca="1" si="494"/>
        <v>0</v>
      </c>
      <c r="EB363" s="171">
        <f t="shared" ca="1" si="495"/>
        <v>0</v>
      </c>
      <c r="EC363" s="171">
        <f t="shared" ca="1" si="496"/>
        <v>0</v>
      </c>
      <c r="ED363" s="171">
        <f t="shared" ca="1" si="497"/>
        <v>0</v>
      </c>
      <c r="EE363" s="171">
        <f t="shared" ca="1" si="498"/>
        <v>0</v>
      </c>
      <c r="EF363" s="171">
        <f t="shared" ca="1" si="499"/>
        <v>0</v>
      </c>
      <c r="EG363" s="171">
        <f t="shared" ca="1" si="500"/>
        <v>0</v>
      </c>
      <c r="EH363" s="171">
        <f t="shared" ca="1" si="501"/>
        <v>0</v>
      </c>
      <c r="EI363" s="171">
        <f t="shared" ca="1" si="502"/>
        <v>0</v>
      </c>
      <c r="EJ363" s="171">
        <f t="shared" ca="1" si="503"/>
        <v>0</v>
      </c>
      <c r="EK363" s="171">
        <f t="shared" ca="1" si="504"/>
        <v>0</v>
      </c>
      <c r="EL363" s="171">
        <f t="shared" ca="1" si="505"/>
        <v>0</v>
      </c>
      <c r="EM363" s="171">
        <f t="shared" ca="1" si="506"/>
        <v>0</v>
      </c>
      <c r="EN363" s="171">
        <f t="shared" ca="1" si="507"/>
        <v>0</v>
      </c>
      <c r="EO363" s="171">
        <f t="shared" ca="1" si="508"/>
        <v>0</v>
      </c>
      <c r="EP363" s="171">
        <f t="shared" ca="1" si="509"/>
        <v>0</v>
      </c>
      <c r="EQ363" s="171">
        <f t="shared" ca="1" si="510"/>
        <v>0</v>
      </c>
      <c r="ER363" s="171">
        <f t="shared" ca="1" si="511"/>
        <v>0</v>
      </c>
      <c r="ES363" s="171">
        <f t="shared" ca="1" si="512"/>
        <v>0</v>
      </c>
    </row>
    <row r="364" spans="3:149">
      <c r="C364" s="214"/>
      <c r="L364" s="163"/>
      <c r="M364" s="164" t="str">
        <f t="shared" si="443"/>
        <v/>
      </c>
      <c r="N364" s="164" t="str">
        <f t="shared" si="444"/>
        <v/>
      </c>
      <c r="O364" s="165" t="str">
        <f t="shared" si="445"/>
        <v/>
      </c>
      <c r="R364" s="168" t="str">
        <f t="shared" si="537"/>
        <v/>
      </c>
      <c r="U364" s="171">
        <f t="shared" si="446"/>
        <v>0</v>
      </c>
      <c r="V364" s="171">
        <f t="shared" ca="1" si="447"/>
        <v>0</v>
      </c>
      <c r="W364" s="171">
        <f t="shared" ca="1" si="448"/>
        <v>0</v>
      </c>
      <c r="X364" s="172">
        <f t="shared" si="449"/>
        <v>0</v>
      </c>
      <c r="Y364" s="172" t="str">
        <f t="shared" si="450"/>
        <v/>
      </c>
      <c r="Z364" s="173">
        <f t="shared" si="451"/>
        <v>0</v>
      </c>
      <c r="AA364" s="171">
        <f t="shared" si="544"/>
        <v>0</v>
      </c>
      <c r="AB364" s="171">
        <f t="shared" si="544"/>
        <v>0</v>
      </c>
      <c r="AC364" s="171">
        <f t="shared" si="544"/>
        <v>0</v>
      </c>
      <c r="AD364" s="171">
        <f t="shared" si="544"/>
        <v>0</v>
      </c>
      <c r="AE364" s="171">
        <f t="shared" si="544"/>
        <v>0</v>
      </c>
      <c r="AF364" s="171">
        <f t="shared" si="544"/>
        <v>0</v>
      </c>
      <c r="AG364" s="171">
        <f t="shared" si="544"/>
        <v>0</v>
      </c>
      <c r="AH364" s="171">
        <f t="shared" si="544"/>
        <v>0</v>
      </c>
      <c r="AI364" s="171">
        <f t="shared" si="544"/>
        <v>0</v>
      </c>
      <c r="AJ364" s="171">
        <f t="shared" si="544"/>
        <v>0</v>
      </c>
      <c r="AK364" s="171">
        <f t="shared" si="545"/>
        <v>0</v>
      </c>
      <c r="AL364" s="171">
        <f t="shared" si="545"/>
        <v>0</v>
      </c>
      <c r="AM364" s="171">
        <f t="shared" si="545"/>
        <v>0</v>
      </c>
      <c r="AN364" s="171">
        <f t="shared" si="545"/>
        <v>0</v>
      </c>
      <c r="AO364" s="171">
        <f t="shared" si="545"/>
        <v>0</v>
      </c>
      <c r="AP364" s="171">
        <f t="shared" si="545"/>
        <v>0</v>
      </c>
      <c r="AQ364" s="171">
        <f t="shared" si="545"/>
        <v>0</v>
      </c>
      <c r="AR364" s="171">
        <f t="shared" si="545"/>
        <v>0</v>
      </c>
      <c r="AS364" s="171">
        <f t="shared" si="545"/>
        <v>0</v>
      </c>
      <c r="AT364" s="171">
        <f t="shared" si="545"/>
        <v>0</v>
      </c>
      <c r="AU364" s="171">
        <f t="shared" si="546"/>
        <v>0</v>
      </c>
      <c r="AV364" s="171">
        <f t="shared" si="546"/>
        <v>0</v>
      </c>
      <c r="AW364" s="171">
        <f t="shared" si="546"/>
        <v>0</v>
      </c>
      <c r="AX364" s="171">
        <f t="shared" si="546"/>
        <v>0</v>
      </c>
      <c r="AY364" s="171">
        <f t="shared" si="546"/>
        <v>0</v>
      </c>
      <c r="AZ364" s="171">
        <f t="shared" si="546"/>
        <v>0</v>
      </c>
      <c r="BA364" s="171">
        <f t="shared" si="546"/>
        <v>0</v>
      </c>
      <c r="BB364" s="171">
        <f t="shared" si="546"/>
        <v>0</v>
      </c>
      <c r="BC364" s="171">
        <f t="shared" si="546"/>
        <v>0</v>
      </c>
      <c r="BD364" s="171">
        <f t="shared" si="546"/>
        <v>0</v>
      </c>
      <c r="BE364" s="171">
        <f t="shared" si="547"/>
        <v>0</v>
      </c>
      <c r="BF364" s="171">
        <f t="shared" si="547"/>
        <v>0</v>
      </c>
      <c r="BG364" s="171">
        <f t="shared" si="547"/>
        <v>0</v>
      </c>
      <c r="BH364" s="171">
        <f t="shared" si="547"/>
        <v>0</v>
      </c>
      <c r="BI364" s="171">
        <f t="shared" si="547"/>
        <v>0</v>
      </c>
      <c r="BJ364" s="171">
        <f t="shared" si="547"/>
        <v>0</v>
      </c>
      <c r="BK364" s="171">
        <f t="shared" si="547"/>
        <v>0</v>
      </c>
      <c r="BL364" s="171">
        <f t="shared" si="547"/>
        <v>0</v>
      </c>
      <c r="BM364" s="171">
        <f t="shared" si="547"/>
        <v>0</v>
      </c>
      <c r="BN364" s="171">
        <f t="shared" si="547"/>
        <v>0</v>
      </c>
      <c r="BO364" s="171">
        <f t="shared" si="548"/>
        <v>0</v>
      </c>
      <c r="BP364" s="171">
        <f t="shared" si="548"/>
        <v>0</v>
      </c>
      <c r="BQ364" s="171">
        <f t="shared" si="548"/>
        <v>0</v>
      </c>
      <c r="BR364" s="171">
        <f t="shared" si="548"/>
        <v>0</v>
      </c>
      <c r="BS364" s="171">
        <f t="shared" si="548"/>
        <v>0</v>
      </c>
      <c r="BT364" s="171">
        <f t="shared" si="548"/>
        <v>0</v>
      </c>
      <c r="BU364" s="171">
        <f t="shared" si="548"/>
        <v>0</v>
      </c>
      <c r="BV364" s="171">
        <f t="shared" si="548"/>
        <v>0</v>
      </c>
      <c r="BW364" s="171">
        <f t="shared" si="548"/>
        <v>0</v>
      </c>
      <c r="BX364" s="171">
        <f t="shared" si="548"/>
        <v>0</v>
      </c>
      <c r="BY364" s="171">
        <f t="shared" si="549"/>
        <v>0</v>
      </c>
      <c r="BZ364" s="171">
        <f t="shared" si="549"/>
        <v>0</v>
      </c>
      <c r="CA364" s="171">
        <f t="shared" si="549"/>
        <v>0</v>
      </c>
      <c r="CB364" s="171">
        <f t="shared" si="549"/>
        <v>0</v>
      </c>
      <c r="CC364" s="171">
        <f t="shared" si="549"/>
        <v>0</v>
      </c>
      <c r="CD364" s="171">
        <f t="shared" si="549"/>
        <v>0</v>
      </c>
      <c r="CE364" s="171">
        <f t="shared" si="549"/>
        <v>0</v>
      </c>
      <c r="CF364" s="171">
        <f t="shared" si="549"/>
        <v>0</v>
      </c>
      <c r="CG364" s="171">
        <f t="shared" si="549"/>
        <v>0</v>
      </c>
      <c r="CH364" s="171">
        <f t="shared" si="549"/>
        <v>0</v>
      </c>
      <c r="CI364" s="171">
        <f t="shared" si="549"/>
        <v>0</v>
      </c>
      <c r="CJ364" s="243"/>
      <c r="CK364" s="171">
        <f t="shared" si="452"/>
        <v>0</v>
      </c>
      <c r="CL364" s="171">
        <f t="shared" si="453"/>
        <v>0</v>
      </c>
      <c r="CM364" s="171">
        <f t="shared" si="454"/>
        <v>0</v>
      </c>
      <c r="CN364" s="171">
        <f t="shared" si="455"/>
        <v>0</v>
      </c>
      <c r="CO364" s="171">
        <f t="shared" si="456"/>
        <v>0</v>
      </c>
      <c r="CP364" s="171">
        <f t="shared" si="457"/>
        <v>0</v>
      </c>
      <c r="CQ364" s="171">
        <f t="shared" si="458"/>
        <v>0</v>
      </c>
      <c r="CR364" s="171">
        <f t="shared" si="459"/>
        <v>0</v>
      </c>
      <c r="CS364" s="171">
        <f t="shared" si="460"/>
        <v>0</v>
      </c>
      <c r="CT364" s="171">
        <f t="shared" si="461"/>
        <v>0</v>
      </c>
      <c r="CU364" s="171">
        <f t="shared" si="462"/>
        <v>0</v>
      </c>
      <c r="CV364" s="171">
        <f t="shared" si="463"/>
        <v>0</v>
      </c>
      <c r="CW364" s="171">
        <f t="shared" si="464"/>
        <v>0</v>
      </c>
      <c r="CX364" s="171">
        <f t="shared" si="465"/>
        <v>0</v>
      </c>
      <c r="CY364" s="171">
        <f t="shared" ca="1" si="466"/>
        <v>0</v>
      </c>
      <c r="CZ364" s="171">
        <f t="shared" ca="1" si="467"/>
        <v>0</v>
      </c>
      <c r="DA364" s="171">
        <f t="shared" ca="1" si="468"/>
        <v>0</v>
      </c>
      <c r="DB364" s="171">
        <f t="shared" ca="1" si="469"/>
        <v>0</v>
      </c>
      <c r="DC364" s="171">
        <f t="shared" ca="1" si="470"/>
        <v>0</v>
      </c>
      <c r="DD364" s="171">
        <f t="shared" ca="1" si="471"/>
        <v>0</v>
      </c>
      <c r="DE364" s="171">
        <f t="shared" ca="1" si="472"/>
        <v>0</v>
      </c>
      <c r="DF364" s="171">
        <f t="shared" ca="1" si="473"/>
        <v>0</v>
      </c>
      <c r="DG364" s="171">
        <f t="shared" ca="1" si="474"/>
        <v>0</v>
      </c>
      <c r="DH364" s="171">
        <f t="shared" ca="1" si="475"/>
        <v>0</v>
      </c>
      <c r="DI364" s="171">
        <f t="shared" ca="1" si="476"/>
        <v>0</v>
      </c>
      <c r="DJ364" s="171">
        <f t="shared" ca="1" si="477"/>
        <v>0</v>
      </c>
      <c r="DK364" s="171">
        <f t="shared" ca="1" si="478"/>
        <v>0</v>
      </c>
      <c r="DL364" s="171">
        <f t="shared" ca="1" si="479"/>
        <v>0</v>
      </c>
      <c r="DM364" s="171">
        <f t="shared" ca="1" si="480"/>
        <v>0</v>
      </c>
      <c r="DN364" s="171">
        <f t="shared" ca="1" si="481"/>
        <v>0</v>
      </c>
      <c r="DO364" s="171">
        <f t="shared" ca="1" si="482"/>
        <v>0</v>
      </c>
      <c r="DP364" s="171">
        <f t="shared" ca="1" si="483"/>
        <v>0</v>
      </c>
      <c r="DQ364" s="171">
        <f t="shared" ca="1" si="484"/>
        <v>0</v>
      </c>
      <c r="DR364" s="171">
        <f t="shared" ca="1" si="485"/>
        <v>0</v>
      </c>
      <c r="DS364" s="171">
        <f t="shared" ca="1" si="486"/>
        <v>0</v>
      </c>
      <c r="DT364" s="171">
        <f t="shared" ca="1" si="487"/>
        <v>0</v>
      </c>
      <c r="DU364" s="171">
        <f t="shared" ca="1" si="488"/>
        <v>0</v>
      </c>
      <c r="DV364" s="171">
        <f t="shared" ca="1" si="489"/>
        <v>0</v>
      </c>
      <c r="DW364" s="171">
        <f t="shared" ca="1" si="490"/>
        <v>0</v>
      </c>
      <c r="DX364" s="171">
        <f t="shared" ca="1" si="491"/>
        <v>0</v>
      </c>
      <c r="DY364" s="171">
        <f t="shared" ca="1" si="492"/>
        <v>0</v>
      </c>
      <c r="DZ364" s="171">
        <f t="shared" ca="1" si="493"/>
        <v>0</v>
      </c>
      <c r="EA364" s="171">
        <f t="shared" ca="1" si="494"/>
        <v>0</v>
      </c>
      <c r="EB364" s="171">
        <f t="shared" ca="1" si="495"/>
        <v>0</v>
      </c>
      <c r="EC364" s="171">
        <f t="shared" ca="1" si="496"/>
        <v>0</v>
      </c>
      <c r="ED364" s="171">
        <f t="shared" ca="1" si="497"/>
        <v>0</v>
      </c>
      <c r="EE364" s="171">
        <f t="shared" ca="1" si="498"/>
        <v>0</v>
      </c>
      <c r="EF364" s="171">
        <f t="shared" ca="1" si="499"/>
        <v>0</v>
      </c>
      <c r="EG364" s="171">
        <f t="shared" ca="1" si="500"/>
        <v>0</v>
      </c>
      <c r="EH364" s="171">
        <f t="shared" ca="1" si="501"/>
        <v>0</v>
      </c>
      <c r="EI364" s="171">
        <f t="shared" ca="1" si="502"/>
        <v>0</v>
      </c>
      <c r="EJ364" s="171">
        <f t="shared" ca="1" si="503"/>
        <v>0</v>
      </c>
      <c r="EK364" s="171">
        <f t="shared" ca="1" si="504"/>
        <v>0</v>
      </c>
      <c r="EL364" s="171">
        <f t="shared" ca="1" si="505"/>
        <v>0</v>
      </c>
      <c r="EM364" s="171">
        <f t="shared" ca="1" si="506"/>
        <v>0</v>
      </c>
      <c r="EN364" s="171">
        <f t="shared" ca="1" si="507"/>
        <v>0</v>
      </c>
      <c r="EO364" s="171">
        <f t="shared" ca="1" si="508"/>
        <v>0</v>
      </c>
      <c r="EP364" s="171">
        <f t="shared" ca="1" si="509"/>
        <v>0</v>
      </c>
      <c r="EQ364" s="171">
        <f t="shared" ca="1" si="510"/>
        <v>0</v>
      </c>
      <c r="ER364" s="171">
        <f t="shared" ca="1" si="511"/>
        <v>0</v>
      </c>
      <c r="ES364" s="171">
        <f t="shared" ca="1" si="512"/>
        <v>0</v>
      </c>
    </row>
    <row r="365" spans="3:149">
      <c r="C365" s="214"/>
      <c r="L365" s="163"/>
      <c r="M365" s="164" t="str">
        <f t="shared" si="443"/>
        <v/>
      </c>
      <c r="N365" s="164" t="str">
        <f t="shared" si="444"/>
        <v/>
      </c>
      <c r="O365" s="165" t="str">
        <f t="shared" si="445"/>
        <v/>
      </c>
      <c r="R365" s="168" t="str">
        <f t="shared" si="537"/>
        <v/>
      </c>
      <c r="U365" s="171">
        <f t="shared" si="446"/>
        <v>0</v>
      </c>
      <c r="V365" s="171">
        <f t="shared" ca="1" si="447"/>
        <v>0</v>
      </c>
      <c r="W365" s="171">
        <f t="shared" ca="1" si="448"/>
        <v>0</v>
      </c>
      <c r="X365" s="172">
        <f t="shared" si="449"/>
        <v>0</v>
      </c>
      <c r="Y365" s="172" t="str">
        <f t="shared" si="450"/>
        <v/>
      </c>
      <c r="Z365" s="173">
        <f t="shared" si="451"/>
        <v>0</v>
      </c>
      <c r="AA365" s="171">
        <f t="shared" si="544"/>
        <v>0</v>
      </c>
      <c r="AB365" s="171">
        <f t="shared" si="544"/>
        <v>0</v>
      </c>
      <c r="AC365" s="171">
        <f t="shared" si="544"/>
        <v>0</v>
      </c>
      <c r="AD365" s="171">
        <f t="shared" si="544"/>
        <v>0</v>
      </c>
      <c r="AE365" s="171">
        <f t="shared" si="544"/>
        <v>0</v>
      </c>
      <c r="AF365" s="171">
        <f t="shared" si="544"/>
        <v>0</v>
      </c>
      <c r="AG365" s="171">
        <f t="shared" si="544"/>
        <v>0</v>
      </c>
      <c r="AH365" s="171">
        <f t="shared" si="544"/>
        <v>0</v>
      </c>
      <c r="AI365" s="171">
        <f t="shared" si="544"/>
        <v>0</v>
      </c>
      <c r="AJ365" s="171">
        <f t="shared" si="544"/>
        <v>0</v>
      </c>
      <c r="AK365" s="171">
        <f t="shared" si="545"/>
        <v>0</v>
      </c>
      <c r="AL365" s="171">
        <f t="shared" si="545"/>
        <v>0</v>
      </c>
      <c r="AM365" s="171">
        <f t="shared" si="545"/>
        <v>0</v>
      </c>
      <c r="AN365" s="171">
        <f t="shared" si="545"/>
        <v>0</v>
      </c>
      <c r="AO365" s="171">
        <f t="shared" si="545"/>
        <v>0</v>
      </c>
      <c r="AP365" s="171">
        <f t="shared" si="545"/>
        <v>0</v>
      </c>
      <c r="AQ365" s="171">
        <f t="shared" si="545"/>
        <v>0</v>
      </c>
      <c r="AR365" s="171">
        <f t="shared" si="545"/>
        <v>0</v>
      </c>
      <c r="AS365" s="171">
        <f t="shared" si="545"/>
        <v>0</v>
      </c>
      <c r="AT365" s="171">
        <f t="shared" si="545"/>
        <v>0</v>
      </c>
      <c r="AU365" s="171">
        <f t="shared" si="546"/>
        <v>0</v>
      </c>
      <c r="AV365" s="171">
        <f t="shared" si="546"/>
        <v>0</v>
      </c>
      <c r="AW365" s="171">
        <f t="shared" si="546"/>
        <v>0</v>
      </c>
      <c r="AX365" s="171">
        <f t="shared" si="546"/>
        <v>0</v>
      </c>
      <c r="AY365" s="171">
        <f t="shared" si="546"/>
        <v>0</v>
      </c>
      <c r="AZ365" s="171">
        <f t="shared" si="546"/>
        <v>0</v>
      </c>
      <c r="BA365" s="171">
        <f t="shared" si="546"/>
        <v>0</v>
      </c>
      <c r="BB365" s="171">
        <f t="shared" si="546"/>
        <v>0</v>
      </c>
      <c r="BC365" s="171">
        <f t="shared" si="546"/>
        <v>0</v>
      </c>
      <c r="BD365" s="171">
        <f t="shared" si="546"/>
        <v>0</v>
      </c>
      <c r="BE365" s="171">
        <f t="shared" si="547"/>
        <v>0</v>
      </c>
      <c r="BF365" s="171">
        <f t="shared" si="547"/>
        <v>0</v>
      </c>
      <c r="BG365" s="171">
        <f t="shared" si="547"/>
        <v>0</v>
      </c>
      <c r="BH365" s="171">
        <f t="shared" si="547"/>
        <v>0</v>
      </c>
      <c r="BI365" s="171">
        <f t="shared" si="547"/>
        <v>0</v>
      </c>
      <c r="BJ365" s="171">
        <f t="shared" si="547"/>
        <v>0</v>
      </c>
      <c r="BK365" s="171">
        <f t="shared" si="547"/>
        <v>0</v>
      </c>
      <c r="BL365" s="171">
        <f t="shared" si="547"/>
        <v>0</v>
      </c>
      <c r="BM365" s="171">
        <f t="shared" si="547"/>
        <v>0</v>
      </c>
      <c r="BN365" s="171">
        <f t="shared" si="547"/>
        <v>0</v>
      </c>
      <c r="BO365" s="171">
        <f t="shared" si="548"/>
        <v>0</v>
      </c>
      <c r="BP365" s="171">
        <f t="shared" si="548"/>
        <v>0</v>
      </c>
      <c r="BQ365" s="171">
        <f t="shared" si="548"/>
        <v>0</v>
      </c>
      <c r="BR365" s="171">
        <f t="shared" si="548"/>
        <v>0</v>
      </c>
      <c r="BS365" s="171">
        <f t="shared" si="548"/>
        <v>0</v>
      </c>
      <c r="BT365" s="171">
        <f t="shared" si="548"/>
        <v>0</v>
      </c>
      <c r="BU365" s="171">
        <f t="shared" si="548"/>
        <v>0</v>
      </c>
      <c r="BV365" s="171">
        <f t="shared" si="548"/>
        <v>0</v>
      </c>
      <c r="BW365" s="171">
        <f t="shared" si="548"/>
        <v>0</v>
      </c>
      <c r="BX365" s="171">
        <f t="shared" si="548"/>
        <v>0</v>
      </c>
      <c r="BY365" s="171">
        <f t="shared" si="549"/>
        <v>0</v>
      </c>
      <c r="BZ365" s="171">
        <f t="shared" si="549"/>
        <v>0</v>
      </c>
      <c r="CA365" s="171">
        <f t="shared" si="549"/>
        <v>0</v>
      </c>
      <c r="CB365" s="171">
        <f t="shared" si="549"/>
        <v>0</v>
      </c>
      <c r="CC365" s="171">
        <f t="shared" si="549"/>
        <v>0</v>
      </c>
      <c r="CD365" s="171">
        <f t="shared" si="549"/>
        <v>0</v>
      </c>
      <c r="CE365" s="171">
        <f t="shared" si="549"/>
        <v>0</v>
      </c>
      <c r="CF365" s="171">
        <f t="shared" si="549"/>
        <v>0</v>
      </c>
      <c r="CG365" s="171">
        <f t="shared" si="549"/>
        <v>0</v>
      </c>
      <c r="CH365" s="171">
        <f t="shared" si="549"/>
        <v>0</v>
      </c>
      <c r="CI365" s="171">
        <f t="shared" si="549"/>
        <v>0</v>
      </c>
      <c r="CJ365" s="243"/>
      <c r="CK365" s="171">
        <f t="shared" si="452"/>
        <v>0</v>
      </c>
      <c r="CL365" s="171">
        <f t="shared" si="453"/>
        <v>0</v>
      </c>
      <c r="CM365" s="171">
        <f t="shared" si="454"/>
        <v>0</v>
      </c>
      <c r="CN365" s="171">
        <f t="shared" si="455"/>
        <v>0</v>
      </c>
      <c r="CO365" s="171">
        <f t="shared" si="456"/>
        <v>0</v>
      </c>
      <c r="CP365" s="171">
        <f t="shared" si="457"/>
        <v>0</v>
      </c>
      <c r="CQ365" s="171">
        <f t="shared" si="458"/>
        <v>0</v>
      </c>
      <c r="CR365" s="171">
        <f t="shared" si="459"/>
        <v>0</v>
      </c>
      <c r="CS365" s="171">
        <f t="shared" si="460"/>
        <v>0</v>
      </c>
      <c r="CT365" s="171">
        <f t="shared" si="461"/>
        <v>0</v>
      </c>
      <c r="CU365" s="171">
        <f t="shared" si="462"/>
        <v>0</v>
      </c>
      <c r="CV365" s="171">
        <f t="shared" si="463"/>
        <v>0</v>
      </c>
      <c r="CW365" s="171">
        <f t="shared" si="464"/>
        <v>0</v>
      </c>
      <c r="CX365" s="171">
        <f t="shared" si="465"/>
        <v>0</v>
      </c>
      <c r="CY365" s="171">
        <f t="shared" ca="1" si="466"/>
        <v>0</v>
      </c>
      <c r="CZ365" s="171">
        <f t="shared" ca="1" si="467"/>
        <v>0</v>
      </c>
      <c r="DA365" s="171">
        <f t="shared" ca="1" si="468"/>
        <v>0</v>
      </c>
      <c r="DB365" s="171">
        <f t="shared" ca="1" si="469"/>
        <v>0</v>
      </c>
      <c r="DC365" s="171">
        <f t="shared" ca="1" si="470"/>
        <v>0</v>
      </c>
      <c r="DD365" s="171">
        <f t="shared" ca="1" si="471"/>
        <v>0</v>
      </c>
      <c r="DE365" s="171">
        <f t="shared" ca="1" si="472"/>
        <v>0</v>
      </c>
      <c r="DF365" s="171">
        <f t="shared" ca="1" si="473"/>
        <v>0</v>
      </c>
      <c r="DG365" s="171">
        <f t="shared" ca="1" si="474"/>
        <v>0</v>
      </c>
      <c r="DH365" s="171">
        <f t="shared" ca="1" si="475"/>
        <v>0</v>
      </c>
      <c r="DI365" s="171">
        <f t="shared" ca="1" si="476"/>
        <v>0</v>
      </c>
      <c r="DJ365" s="171">
        <f t="shared" ca="1" si="477"/>
        <v>0</v>
      </c>
      <c r="DK365" s="171">
        <f t="shared" ca="1" si="478"/>
        <v>0</v>
      </c>
      <c r="DL365" s="171">
        <f t="shared" ca="1" si="479"/>
        <v>0</v>
      </c>
      <c r="DM365" s="171">
        <f t="shared" ca="1" si="480"/>
        <v>0</v>
      </c>
      <c r="DN365" s="171">
        <f t="shared" ca="1" si="481"/>
        <v>0</v>
      </c>
      <c r="DO365" s="171">
        <f t="shared" ca="1" si="482"/>
        <v>0</v>
      </c>
      <c r="DP365" s="171">
        <f t="shared" ca="1" si="483"/>
        <v>0</v>
      </c>
      <c r="DQ365" s="171">
        <f t="shared" ca="1" si="484"/>
        <v>0</v>
      </c>
      <c r="DR365" s="171">
        <f t="shared" ca="1" si="485"/>
        <v>0</v>
      </c>
      <c r="DS365" s="171">
        <f t="shared" ca="1" si="486"/>
        <v>0</v>
      </c>
      <c r="DT365" s="171">
        <f t="shared" ca="1" si="487"/>
        <v>0</v>
      </c>
      <c r="DU365" s="171">
        <f t="shared" ca="1" si="488"/>
        <v>0</v>
      </c>
      <c r="DV365" s="171">
        <f t="shared" ca="1" si="489"/>
        <v>0</v>
      </c>
      <c r="DW365" s="171">
        <f t="shared" ca="1" si="490"/>
        <v>0</v>
      </c>
      <c r="DX365" s="171">
        <f t="shared" ca="1" si="491"/>
        <v>0</v>
      </c>
      <c r="DY365" s="171">
        <f t="shared" ca="1" si="492"/>
        <v>0</v>
      </c>
      <c r="DZ365" s="171">
        <f t="shared" ca="1" si="493"/>
        <v>0</v>
      </c>
      <c r="EA365" s="171">
        <f t="shared" ca="1" si="494"/>
        <v>0</v>
      </c>
      <c r="EB365" s="171">
        <f t="shared" ca="1" si="495"/>
        <v>0</v>
      </c>
      <c r="EC365" s="171">
        <f t="shared" ca="1" si="496"/>
        <v>0</v>
      </c>
      <c r="ED365" s="171">
        <f t="shared" ca="1" si="497"/>
        <v>0</v>
      </c>
      <c r="EE365" s="171">
        <f t="shared" ca="1" si="498"/>
        <v>0</v>
      </c>
      <c r="EF365" s="171">
        <f t="shared" ca="1" si="499"/>
        <v>0</v>
      </c>
      <c r="EG365" s="171">
        <f t="shared" ca="1" si="500"/>
        <v>0</v>
      </c>
      <c r="EH365" s="171">
        <f t="shared" ca="1" si="501"/>
        <v>0</v>
      </c>
      <c r="EI365" s="171">
        <f t="shared" ca="1" si="502"/>
        <v>0</v>
      </c>
      <c r="EJ365" s="171">
        <f t="shared" ca="1" si="503"/>
        <v>0</v>
      </c>
      <c r="EK365" s="171">
        <f t="shared" ca="1" si="504"/>
        <v>0</v>
      </c>
      <c r="EL365" s="171">
        <f t="shared" ca="1" si="505"/>
        <v>0</v>
      </c>
      <c r="EM365" s="171">
        <f t="shared" ca="1" si="506"/>
        <v>0</v>
      </c>
      <c r="EN365" s="171">
        <f t="shared" ca="1" si="507"/>
        <v>0</v>
      </c>
      <c r="EO365" s="171">
        <f t="shared" ca="1" si="508"/>
        <v>0</v>
      </c>
      <c r="EP365" s="171">
        <f t="shared" ca="1" si="509"/>
        <v>0</v>
      </c>
      <c r="EQ365" s="171">
        <f t="shared" ca="1" si="510"/>
        <v>0</v>
      </c>
      <c r="ER365" s="171">
        <f t="shared" ca="1" si="511"/>
        <v>0</v>
      </c>
      <c r="ES365" s="171">
        <f t="shared" ca="1" si="512"/>
        <v>0</v>
      </c>
    </row>
    <row r="366" spans="3:149">
      <c r="C366" s="214"/>
      <c r="L366" s="163"/>
      <c r="M366" s="164" t="str">
        <f t="shared" si="443"/>
        <v/>
      </c>
      <c r="N366" s="164" t="str">
        <f t="shared" si="444"/>
        <v/>
      </c>
      <c r="O366" s="165" t="str">
        <f t="shared" si="445"/>
        <v/>
      </c>
      <c r="R366" s="168" t="str">
        <f t="shared" si="537"/>
        <v/>
      </c>
      <c r="U366" s="171">
        <f t="shared" si="446"/>
        <v>0</v>
      </c>
      <c r="V366" s="171">
        <f t="shared" ca="1" si="447"/>
        <v>0</v>
      </c>
      <c r="W366" s="171">
        <f t="shared" ca="1" si="448"/>
        <v>0</v>
      </c>
      <c r="X366" s="172">
        <f t="shared" si="449"/>
        <v>0</v>
      </c>
      <c r="Y366" s="172" t="str">
        <f t="shared" si="450"/>
        <v/>
      </c>
      <c r="Z366" s="173">
        <f t="shared" si="451"/>
        <v>0</v>
      </c>
      <c r="AA366" s="171">
        <f t="shared" si="544"/>
        <v>0</v>
      </c>
      <c r="AB366" s="171">
        <f t="shared" si="544"/>
        <v>0</v>
      </c>
      <c r="AC366" s="171">
        <f t="shared" si="544"/>
        <v>0</v>
      </c>
      <c r="AD366" s="171">
        <f t="shared" si="544"/>
        <v>0</v>
      </c>
      <c r="AE366" s="171">
        <f t="shared" si="544"/>
        <v>0</v>
      </c>
      <c r="AF366" s="171">
        <f t="shared" si="544"/>
        <v>0</v>
      </c>
      <c r="AG366" s="171">
        <f t="shared" si="544"/>
        <v>0</v>
      </c>
      <c r="AH366" s="171">
        <f t="shared" si="544"/>
        <v>0</v>
      </c>
      <c r="AI366" s="171">
        <f t="shared" si="544"/>
        <v>0</v>
      </c>
      <c r="AJ366" s="171">
        <f t="shared" si="544"/>
        <v>0</v>
      </c>
      <c r="AK366" s="171">
        <f t="shared" si="545"/>
        <v>0</v>
      </c>
      <c r="AL366" s="171">
        <f t="shared" si="545"/>
        <v>0</v>
      </c>
      <c r="AM366" s="171">
        <f t="shared" si="545"/>
        <v>0</v>
      </c>
      <c r="AN366" s="171">
        <f t="shared" si="545"/>
        <v>0</v>
      </c>
      <c r="AO366" s="171">
        <f t="shared" si="545"/>
        <v>0</v>
      </c>
      <c r="AP366" s="171">
        <f t="shared" si="545"/>
        <v>0</v>
      </c>
      <c r="AQ366" s="171">
        <f t="shared" si="545"/>
        <v>0</v>
      </c>
      <c r="AR366" s="171">
        <f t="shared" si="545"/>
        <v>0</v>
      </c>
      <c r="AS366" s="171">
        <f t="shared" si="545"/>
        <v>0</v>
      </c>
      <c r="AT366" s="171">
        <f t="shared" si="545"/>
        <v>0</v>
      </c>
      <c r="AU366" s="171">
        <f t="shared" si="546"/>
        <v>0</v>
      </c>
      <c r="AV366" s="171">
        <f t="shared" si="546"/>
        <v>0</v>
      </c>
      <c r="AW366" s="171">
        <f t="shared" si="546"/>
        <v>0</v>
      </c>
      <c r="AX366" s="171">
        <f t="shared" si="546"/>
        <v>0</v>
      </c>
      <c r="AY366" s="171">
        <f t="shared" si="546"/>
        <v>0</v>
      </c>
      <c r="AZ366" s="171">
        <f t="shared" si="546"/>
        <v>0</v>
      </c>
      <c r="BA366" s="171">
        <f t="shared" si="546"/>
        <v>0</v>
      </c>
      <c r="BB366" s="171">
        <f t="shared" si="546"/>
        <v>0</v>
      </c>
      <c r="BC366" s="171">
        <f t="shared" si="546"/>
        <v>0</v>
      </c>
      <c r="BD366" s="171">
        <f t="shared" si="546"/>
        <v>0</v>
      </c>
      <c r="BE366" s="171">
        <f t="shared" si="547"/>
        <v>0</v>
      </c>
      <c r="BF366" s="171">
        <f t="shared" si="547"/>
        <v>0</v>
      </c>
      <c r="BG366" s="171">
        <f t="shared" si="547"/>
        <v>0</v>
      </c>
      <c r="BH366" s="171">
        <f t="shared" si="547"/>
        <v>0</v>
      </c>
      <c r="BI366" s="171">
        <f t="shared" si="547"/>
        <v>0</v>
      </c>
      <c r="BJ366" s="171">
        <f t="shared" si="547"/>
        <v>0</v>
      </c>
      <c r="BK366" s="171">
        <f t="shared" si="547"/>
        <v>0</v>
      </c>
      <c r="BL366" s="171">
        <f t="shared" si="547"/>
        <v>0</v>
      </c>
      <c r="BM366" s="171">
        <f t="shared" si="547"/>
        <v>0</v>
      </c>
      <c r="BN366" s="171">
        <f t="shared" si="547"/>
        <v>0</v>
      </c>
      <c r="BO366" s="171">
        <f t="shared" si="548"/>
        <v>0</v>
      </c>
      <c r="BP366" s="171">
        <f t="shared" si="548"/>
        <v>0</v>
      </c>
      <c r="BQ366" s="171">
        <f t="shared" si="548"/>
        <v>0</v>
      </c>
      <c r="BR366" s="171">
        <f t="shared" si="548"/>
        <v>0</v>
      </c>
      <c r="BS366" s="171">
        <f t="shared" si="548"/>
        <v>0</v>
      </c>
      <c r="BT366" s="171">
        <f t="shared" si="548"/>
        <v>0</v>
      </c>
      <c r="BU366" s="171">
        <f t="shared" si="548"/>
        <v>0</v>
      </c>
      <c r="BV366" s="171">
        <f t="shared" si="548"/>
        <v>0</v>
      </c>
      <c r="BW366" s="171">
        <f t="shared" si="548"/>
        <v>0</v>
      </c>
      <c r="BX366" s="171">
        <f t="shared" si="548"/>
        <v>0</v>
      </c>
      <c r="BY366" s="171">
        <f t="shared" si="549"/>
        <v>0</v>
      </c>
      <c r="BZ366" s="171">
        <f t="shared" si="549"/>
        <v>0</v>
      </c>
      <c r="CA366" s="171">
        <f t="shared" si="549"/>
        <v>0</v>
      </c>
      <c r="CB366" s="171">
        <f t="shared" si="549"/>
        <v>0</v>
      </c>
      <c r="CC366" s="171">
        <f t="shared" si="549"/>
        <v>0</v>
      </c>
      <c r="CD366" s="171">
        <f t="shared" si="549"/>
        <v>0</v>
      </c>
      <c r="CE366" s="171">
        <f t="shared" si="549"/>
        <v>0</v>
      </c>
      <c r="CF366" s="171">
        <f t="shared" si="549"/>
        <v>0</v>
      </c>
      <c r="CG366" s="171">
        <f t="shared" si="549"/>
        <v>0</v>
      </c>
      <c r="CH366" s="171">
        <f t="shared" si="549"/>
        <v>0</v>
      </c>
      <c r="CI366" s="171">
        <f t="shared" si="549"/>
        <v>0</v>
      </c>
      <c r="CJ366" s="243"/>
      <c r="CK366" s="171">
        <f t="shared" si="452"/>
        <v>0</v>
      </c>
      <c r="CL366" s="171">
        <f t="shared" si="453"/>
        <v>0</v>
      </c>
      <c r="CM366" s="171">
        <f t="shared" si="454"/>
        <v>0</v>
      </c>
      <c r="CN366" s="171">
        <f t="shared" si="455"/>
        <v>0</v>
      </c>
      <c r="CO366" s="171">
        <f t="shared" si="456"/>
        <v>0</v>
      </c>
      <c r="CP366" s="171">
        <f t="shared" si="457"/>
        <v>0</v>
      </c>
      <c r="CQ366" s="171">
        <f t="shared" si="458"/>
        <v>0</v>
      </c>
      <c r="CR366" s="171">
        <f t="shared" si="459"/>
        <v>0</v>
      </c>
      <c r="CS366" s="171">
        <f t="shared" si="460"/>
        <v>0</v>
      </c>
      <c r="CT366" s="171">
        <f t="shared" si="461"/>
        <v>0</v>
      </c>
      <c r="CU366" s="171">
        <f t="shared" si="462"/>
        <v>0</v>
      </c>
      <c r="CV366" s="171">
        <f t="shared" si="463"/>
        <v>0</v>
      </c>
      <c r="CW366" s="171">
        <f t="shared" si="464"/>
        <v>0</v>
      </c>
      <c r="CX366" s="171">
        <f t="shared" si="465"/>
        <v>0</v>
      </c>
      <c r="CY366" s="171">
        <f t="shared" ca="1" si="466"/>
        <v>0</v>
      </c>
      <c r="CZ366" s="171">
        <f t="shared" ca="1" si="467"/>
        <v>0</v>
      </c>
      <c r="DA366" s="171">
        <f t="shared" ca="1" si="468"/>
        <v>0</v>
      </c>
      <c r="DB366" s="171">
        <f t="shared" ca="1" si="469"/>
        <v>0</v>
      </c>
      <c r="DC366" s="171">
        <f t="shared" ca="1" si="470"/>
        <v>0</v>
      </c>
      <c r="DD366" s="171">
        <f t="shared" ca="1" si="471"/>
        <v>0</v>
      </c>
      <c r="DE366" s="171">
        <f t="shared" ca="1" si="472"/>
        <v>0</v>
      </c>
      <c r="DF366" s="171">
        <f t="shared" ca="1" si="473"/>
        <v>0</v>
      </c>
      <c r="DG366" s="171">
        <f t="shared" ca="1" si="474"/>
        <v>0</v>
      </c>
      <c r="DH366" s="171">
        <f t="shared" ca="1" si="475"/>
        <v>0</v>
      </c>
      <c r="DI366" s="171">
        <f t="shared" ca="1" si="476"/>
        <v>0</v>
      </c>
      <c r="DJ366" s="171">
        <f t="shared" ca="1" si="477"/>
        <v>0</v>
      </c>
      <c r="DK366" s="171">
        <f t="shared" ca="1" si="478"/>
        <v>0</v>
      </c>
      <c r="DL366" s="171">
        <f t="shared" ca="1" si="479"/>
        <v>0</v>
      </c>
      <c r="DM366" s="171">
        <f t="shared" ca="1" si="480"/>
        <v>0</v>
      </c>
      <c r="DN366" s="171">
        <f t="shared" ca="1" si="481"/>
        <v>0</v>
      </c>
      <c r="DO366" s="171">
        <f t="shared" ca="1" si="482"/>
        <v>0</v>
      </c>
      <c r="DP366" s="171">
        <f t="shared" ca="1" si="483"/>
        <v>0</v>
      </c>
      <c r="DQ366" s="171">
        <f t="shared" ca="1" si="484"/>
        <v>0</v>
      </c>
      <c r="DR366" s="171">
        <f t="shared" ca="1" si="485"/>
        <v>0</v>
      </c>
      <c r="DS366" s="171">
        <f t="shared" ca="1" si="486"/>
        <v>0</v>
      </c>
      <c r="DT366" s="171">
        <f t="shared" ca="1" si="487"/>
        <v>0</v>
      </c>
      <c r="DU366" s="171">
        <f t="shared" ca="1" si="488"/>
        <v>0</v>
      </c>
      <c r="DV366" s="171">
        <f t="shared" ca="1" si="489"/>
        <v>0</v>
      </c>
      <c r="DW366" s="171">
        <f t="shared" ca="1" si="490"/>
        <v>0</v>
      </c>
      <c r="DX366" s="171">
        <f t="shared" ca="1" si="491"/>
        <v>0</v>
      </c>
      <c r="DY366" s="171">
        <f t="shared" ca="1" si="492"/>
        <v>0</v>
      </c>
      <c r="DZ366" s="171">
        <f t="shared" ca="1" si="493"/>
        <v>0</v>
      </c>
      <c r="EA366" s="171">
        <f t="shared" ca="1" si="494"/>
        <v>0</v>
      </c>
      <c r="EB366" s="171">
        <f t="shared" ca="1" si="495"/>
        <v>0</v>
      </c>
      <c r="EC366" s="171">
        <f t="shared" ca="1" si="496"/>
        <v>0</v>
      </c>
      <c r="ED366" s="171">
        <f t="shared" ca="1" si="497"/>
        <v>0</v>
      </c>
      <c r="EE366" s="171">
        <f t="shared" ca="1" si="498"/>
        <v>0</v>
      </c>
      <c r="EF366" s="171">
        <f t="shared" ca="1" si="499"/>
        <v>0</v>
      </c>
      <c r="EG366" s="171">
        <f t="shared" ca="1" si="500"/>
        <v>0</v>
      </c>
      <c r="EH366" s="171">
        <f t="shared" ca="1" si="501"/>
        <v>0</v>
      </c>
      <c r="EI366" s="171">
        <f t="shared" ca="1" si="502"/>
        <v>0</v>
      </c>
      <c r="EJ366" s="171">
        <f t="shared" ca="1" si="503"/>
        <v>0</v>
      </c>
      <c r="EK366" s="171">
        <f t="shared" ca="1" si="504"/>
        <v>0</v>
      </c>
      <c r="EL366" s="171">
        <f t="shared" ca="1" si="505"/>
        <v>0</v>
      </c>
      <c r="EM366" s="171">
        <f t="shared" ca="1" si="506"/>
        <v>0</v>
      </c>
      <c r="EN366" s="171">
        <f t="shared" ca="1" si="507"/>
        <v>0</v>
      </c>
      <c r="EO366" s="171">
        <f t="shared" ca="1" si="508"/>
        <v>0</v>
      </c>
      <c r="EP366" s="171">
        <f t="shared" ca="1" si="509"/>
        <v>0</v>
      </c>
      <c r="EQ366" s="171">
        <f t="shared" ca="1" si="510"/>
        <v>0</v>
      </c>
      <c r="ER366" s="171">
        <f t="shared" ca="1" si="511"/>
        <v>0</v>
      </c>
      <c r="ES366" s="171">
        <f t="shared" ca="1" si="512"/>
        <v>0</v>
      </c>
    </row>
    <row r="367" spans="3:149">
      <c r="C367" s="214"/>
      <c r="L367" s="163"/>
      <c r="M367" s="164" t="str">
        <f t="shared" si="443"/>
        <v/>
      </c>
      <c r="N367" s="164" t="str">
        <f t="shared" si="444"/>
        <v/>
      </c>
      <c r="O367" s="165" t="str">
        <f t="shared" si="445"/>
        <v/>
      </c>
      <c r="R367" s="168" t="str">
        <f t="shared" si="537"/>
        <v/>
      </c>
      <c r="U367" s="171">
        <f t="shared" si="446"/>
        <v>0</v>
      </c>
      <c r="V367" s="171">
        <f t="shared" ca="1" si="447"/>
        <v>0</v>
      </c>
      <c r="W367" s="171">
        <f t="shared" ca="1" si="448"/>
        <v>0</v>
      </c>
      <c r="X367" s="172">
        <f t="shared" si="449"/>
        <v>0</v>
      </c>
      <c r="Y367" s="172" t="str">
        <f t="shared" si="450"/>
        <v/>
      </c>
      <c r="Z367" s="173">
        <f t="shared" si="451"/>
        <v>0</v>
      </c>
      <c r="AA367" s="171">
        <f t="shared" si="544"/>
        <v>0</v>
      </c>
      <c r="AB367" s="171">
        <f t="shared" si="544"/>
        <v>0</v>
      </c>
      <c r="AC367" s="171">
        <f t="shared" si="544"/>
        <v>0</v>
      </c>
      <c r="AD367" s="171">
        <f t="shared" si="544"/>
        <v>0</v>
      </c>
      <c r="AE367" s="171">
        <f t="shared" si="544"/>
        <v>0</v>
      </c>
      <c r="AF367" s="171">
        <f t="shared" si="544"/>
        <v>0</v>
      </c>
      <c r="AG367" s="171">
        <f t="shared" si="544"/>
        <v>0</v>
      </c>
      <c r="AH367" s="171">
        <f t="shared" si="544"/>
        <v>0</v>
      </c>
      <c r="AI367" s="171">
        <f t="shared" si="544"/>
        <v>0</v>
      </c>
      <c r="AJ367" s="171">
        <f t="shared" si="544"/>
        <v>0</v>
      </c>
      <c r="AK367" s="171">
        <f t="shared" si="545"/>
        <v>0</v>
      </c>
      <c r="AL367" s="171">
        <f t="shared" si="545"/>
        <v>0</v>
      </c>
      <c r="AM367" s="171">
        <f t="shared" si="545"/>
        <v>0</v>
      </c>
      <c r="AN367" s="171">
        <f t="shared" si="545"/>
        <v>0</v>
      </c>
      <c r="AO367" s="171">
        <f t="shared" si="545"/>
        <v>0</v>
      </c>
      <c r="AP367" s="171">
        <f t="shared" si="545"/>
        <v>0</v>
      </c>
      <c r="AQ367" s="171">
        <f t="shared" si="545"/>
        <v>0</v>
      </c>
      <c r="AR367" s="171">
        <f t="shared" si="545"/>
        <v>0</v>
      </c>
      <c r="AS367" s="171">
        <f t="shared" si="545"/>
        <v>0</v>
      </c>
      <c r="AT367" s="171">
        <f t="shared" si="545"/>
        <v>0</v>
      </c>
      <c r="AU367" s="171">
        <f t="shared" si="546"/>
        <v>0</v>
      </c>
      <c r="AV367" s="171">
        <f t="shared" si="546"/>
        <v>0</v>
      </c>
      <c r="AW367" s="171">
        <f t="shared" si="546"/>
        <v>0</v>
      </c>
      <c r="AX367" s="171">
        <f t="shared" si="546"/>
        <v>0</v>
      </c>
      <c r="AY367" s="171">
        <f t="shared" si="546"/>
        <v>0</v>
      </c>
      <c r="AZ367" s="171">
        <f t="shared" si="546"/>
        <v>0</v>
      </c>
      <c r="BA367" s="171">
        <f t="shared" si="546"/>
        <v>0</v>
      </c>
      <c r="BB367" s="171">
        <f t="shared" si="546"/>
        <v>0</v>
      </c>
      <c r="BC367" s="171">
        <f t="shared" si="546"/>
        <v>0</v>
      </c>
      <c r="BD367" s="171">
        <f t="shared" si="546"/>
        <v>0</v>
      </c>
      <c r="BE367" s="171">
        <f t="shared" si="547"/>
        <v>0</v>
      </c>
      <c r="BF367" s="171">
        <f t="shared" si="547"/>
        <v>0</v>
      </c>
      <c r="BG367" s="171">
        <f t="shared" si="547"/>
        <v>0</v>
      </c>
      <c r="BH367" s="171">
        <f t="shared" si="547"/>
        <v>0</v>
      </c>
      <c r="BI367" s="171">
        <f t="shared" si="547"/>
        <v>0</v>
      </c>
      <c r="BJ367" s="171">
        <f t="shared" si="547"/>
        <v>0</v>
      </c>
      <c r="BK367" s="171">
        <f t="shared" si="547"/>
        <v>0</v>
      </c>
      <c r="BL367" s="171">
        <f t="shared" si="547"/>
        <v>0</v>
      </c>
      <c r="BM367" s="171">
        <f t="shared" si="547"/>
        <v>0</v>
      </c>
      <c r="BN367" s="171">
        <f t="shared" si="547"/>
        <v>0</v>
      </c>
      <c r="BO367" s="171">
        <f t="shared" si="548"/>
        <v>0</v>
      </c>
      <c r="BP367" s="171">
        <f t="shared" si="548"/>
        <v>0</v>
      </c>
      <c r="BQ367" s="171">
        <f t="shared" si="548"/>
        <v>0</v>
      </c>
      <c r="BR367" s="171">
        <f t="shared" si="548"/>
        <v>0</v>
      </c>
      <c r="BS367" s="171">
        <f t="shared" si="548"/>
        <v>0</v>
      </c>
      <c r="BT367" s="171">
        <f t="shared" si="548"/>
        <v>0</v>
      </c>
      <c r="BU367" s="171">
        <f t="shared" si="548"/>
        <v>0</v>
      </c>
      <c r="BV367" s="171">
        <f t="shared" si="548"/>
        <v>0</v>
      </c>
      <c r="BW367" s="171">
        <f t="shared" si="548"/>
        <v>0</v>
      </c>
      <c r="BX367" s="171">
        <f t="shared" si="548"/>
        <v>0</v>
      </c>
      <c r="BY367" s="171">
        <f t="shared" si="549"/>
        <v>0</v>
      </c>
      <c r="BZ367" s="171">
        <f t="shared" si="549"/>
        <v>0</v>
      </c>
      <c r="CA367" s="171">
        <f t="shared" si="549"/>
        <v>0</v>
      </c>
      <c r="CB367" s="171">
        <f t="shared" si="549"/>
        <v>0</v>
      </c>
      <c r="CC367" s="171">
        <f t="shared" si="549"/>
        <v>0</v>
      </c>
      <c r="CD367" s="171">
        <f t="shared" si="549"/>
        <v>0</v>
      </c>
      <c r="CE367" s="171">
        <f t="shared" si="549"/>
        <v>0</v>
      </c>
      <c r="CF367" s="171">
        <f t="shared" si="549"/>
        <v>0</v>
      </c>
      <c r="CG367" s="171">
        <f t="shared" si="549"/>
        <v>0</v>
      </c>
      <c r="CH367" s="171">
        <f t="shared" si="549"/>
        <v>0</v>
      </c>
      <c r="CI367" s="171">
        <f t="shared" si="549"/>
        <v>0</v>
      </c>
      <c r="CJ367" s="243"/>
      <c r="CK367" s="171">
        <f t="shared" si="452"/>
        <v>0</v>
      </c>
      <c r="CL367" s="171">
        <f t="shared" si="453"/>
        <v>0</v>
      </c>
      <c r="CM367" s="171">
        <f t="shared" si="454"/>
        <v>0</v>
      </c>
      <c r="CN367" s="171">
        <f t="shared" si="455"/>
        <v>0</v>
      </c>
      <c r="CO367" s="171">
        <f t="shared" si="456"/>
        <v>0</v>
      </c>
      <c r="CP367" s="171">
        <f t="shared" si="457"/>
        <v>0</v>
      </c>
      <c r="CQ367" s="171">
        <f t="shared" si="458"/>
        <v>0</v>
      </c>
      <c r="CR367" s="171">
        <f t="shared" si="459"/>
        <v>0</v>
      </c>
      <c r="CS367" s="171">
        <f t="shared" si="460"/>
        <v>0</v>
      </c>
      <c r="CT367" s="171">
        <f t="shared" si="461"/>
        <v>0</v>
      </c>
      <c r="CU367" s="171">
        <f t="shared" si="462"/>
        <v>0</v>
      </c>
      <c r="CV367" s="171">
        <f t="shared" si="463"/>
        <v>0</v>
      </c>
      <c r="CW367" s="171">
        <f t="shared" si="464"/>
        <v>0</v>
      </c>
      <c r="CX367" s="171">
        <f t="shared" si="465"/>
        <v>0</v>
      </c>
      <c r="CY367" s="171">
        <f t="shared" ca="1" si="466"/>
        <v>0</v>
      </c>
      <c r="CZ367" s="171">
        <f t="shared" ca="1" si="467"/>
        <v>0</v>
      </c>
      <c r="DA367" s="171">
        <f t="shared" ca="1" si="468"/>
        <v>0</v>
      </c>
      <c r="DB367" s="171">
        <f t="shared" ca="1" si="469"/>
        <v>0</v>
      </c>
      <c r="DC367" s="171">
        <f t="shared" ca="1" si="470"/>
        <v>0</v>
      </c>
      <c r="DD367" s="171">
        <f t="shared" ca="1" si="471"/>
        <v>0</v>
      </c>
      <c r="DE367" s="171">
        <f t="shared" ca="1" si="472"/>
        <v>0</v>
      </c>
      <c r="DF367" s="171">
        <f t="shared" ca="1" si="473"/>
        <v>0</v>
      </c>
      <c r="DG367" s="171">
        <f t="shared" ca="1" si="474"/>
        <v>0</v>
      </c>
      <c r="DH367" s="171">
        <f t="shared" ca="1" si="475"/>
        <v>0</v>
      </c>
      <c r="DI367" s="171">
        <f t="shared" ca="1" si="476"/>
        <v>0</v>
      </c>
      <c r="DJ367" s="171">
        <f t="shared" ca="1" si="477"/>
        <v>0</v>
      </c>
      <c r="DK367" s="171">
        <f t="shared" ca="1" si="478"/>
        <v>0</v>
      </c>
      <c r="DL367" s="171">
        <f t="shared" ca="1" si="479"/>
        <v>0</v>
      </c>
      <c r="DM367" s="171">
        <f t="shared" ca="1" si="480"/>
        <v>0</v>
      </c>
      <c r="DN367" s="171">
        <f t="shared" ca="1" si="481"/>
        <v>0</v>
      </c>
      <c r="DO367" s="171">
        <f t="shared" ca="1" si="482"/>
        <v>0</v>
      </c>
      <c r="DP367" s="171">
        <f t="shared" ca="1" si="483"/>
        <v>0</v>
      </c>
      <c r="DQ367" s="171">
        <f t="shared" ca="1" si="484"/>
        <v>0</v>
      </c>
      <c r="DR367" s="171">
        <f t="shared" ca="1" si="485"/>
        <v>0</v>
      </c>
      <c r="DS367" s="171">
        <f t="shared" ca="1" si="486"/>
        <v>0</v>
      </c>
      <c r="DT367" s="171">
        <f t="shared" ca="1" si="487"/>
        <v>0</v>
      </c>
      <c r="DU367" s="171">
        <f t="shared" ca="1" si="488"/>
        <v>0</v>
      </c>
      <c r="DV367" s="171">
        <f t="shared" ca="1" si="489"/>
        <v>0</v>
      </c>
      <c r="DW367" s="171">
        <f t="shared" ca="1" si="490"/>
        <v>0</v>
      </c>
      <c r="DX367" s="171">
        <f t="shared" ca="1" si="491"/>
        <v>0</v>
      </c>
      <c r="DY367" s="171">
        <f t="shared" ca="1" si="492"/>
        <v>0</v>
      </c>
      <c r="DZ367" s="171">
        <f t="shared" ca="1" si="493"/>
        <v>0</v>
      </c>
      <c r="EA367" s="171">
        <f t="shared" ca="1" si="494"/>
        <v>0</v>
      </c>
      <c r="EB367" s="171">
        <f t="shared" ca="1" si="495"/>
        <v>0</v>
      </c>
      <c r="EC367" s="171">
        <f t="shared" ca="1" si="496"/>
        <v>0</v>
      </c>
      <c r="ED367" s="171">
        <f t="shared" ca="1" si="497"/>
        <v>0</v>
      </c>
      <c r="EE367" s="171">
        <f t="shared" ca="1" si="498"/>
        <v>0</v>
      </c>
      <c r="EF367" s="171">
        <f t="shared" ca="1" si="499"/>
        <v>0</v>
      </c>
      <c r="EG367" s="171">
        <f t="shared" ca="1" si="500"/>
        <v>0</v>
      </c>
      <c r="EH367" s="171">
        <f t="shared" ca="1" si="501"/>
        <v>0</v>
      </c>
      <c r="EI367" s="171">
        <f t="shared" ca="1" si="502"/>
        <v>0</v>
      </c>
      <c r="EJ367" s="171">
        <f t="shared" ca="1" si="503"/>
        <v>0</v>
      </c>
      <c r="EK367" s="171">
        <f t="shared" ca="1" si="504"/>
        <v>0</v>
      </c>
      <c r="EL367" s="171">
        <f t="shared" ca="1" si="505"/>
        <v>0</v>
      </c>
      <c r="EM367" s="171">
        <f t="shared" ca="1" si="506"/>
        <v>0</v>
      </c>
      <c r="EN367" s="171">
        <f t="shared" ca="1" si="507"/>
        <v>0</v>
      </c>
      <c r="EO367" s="171">
        <f t="shared" ca="1" si="508"/>
        <v>0</v>
      </c>
      <c r="EP367" s="171">
        <f t="shared" ca="1" si="509"/>
        <v>0</v>
      </c>
      <c r="EQ367" s="171">
        <f t="shared" ca="1" si="510"/>
        <v>0</v>
      </c>
      <c r="ER367" s="171">
        <f t="shared" ca="1" si="511"/>
        <v>0</v>
      </c>
      <c r="ES367" s="171">
        <f t="shared" ca="1" si="512"/>
        <v>0</v>
      </c>
    </row>
    <row r="368" spans="3:149">
      <c r="C368" s="214"/>
      <c r="L368" s="163"/>
      <c r="M368" s="164" t="str">
        <f t="shared" si="443"/>
        <v/>
      </c>
      <c r="N368" s="164" t="str">
        <f t="shared" si="444"/>
        <v/>
      </c>
      <c r="O368" s="165" t="str">
        <f t="shared" si="445"/>
        <v/>
      </c>
      <c r="R368" s="168" t="str">
        <f t="shared" si="537"/>
        <v/>
      </c>
      <c r="U368" s="171">
        <f t="shared" si="446"/>
        <v>0</v>
      </c>
      <c r="V368" s="171">
        <f t="shared" ca="1" si="447"/>
        <v>0</v>
      </c>
      <c r="W368" s="171">
        <f t="shared" ca="1" si="448"/>
        <v>0</v>
      </c>
      <c r="X368" s="172">
        <f t="shared" si="449"/>
        <v>0</v>
      </c>
      <c r="Y368" s="172" t="str">
        <f t="shared" si="450"/>
        <v/>
      </c>
      <c r="Z368" s="173">
        <f t="shared" si="451"/>
        <v>0</v>
      </c>
      <c r="AA368" s="171">
        <f t="shared" si="544"/>
        <v>0</v>
      </c>
      <c r="AB368" s="171">
        <f t="shared" si="544"/>
        <v>0</v>
      </c>
      <c r="AC368" s="171">
        <f t="shared" si="544"/>
        <v>0</v>
      </c>
      <c r="AD368" s="171">
        <f t="shared" si="544"/>
        <v>0</v>
      </c>
      <c r="AE368" s="171">
        <f t="shared" si="544"/>
        <v>0</v>
      </c>
      <c r="AF368" s="171">
        <f t="shared" si="544"/>
        <v>0</v>
      </c>
      <c r="AG368" s="171">
        <f t="shared" si="544"/>
        <v>0</v>
      </c>
      <c r="AH368" s="171">
        <f t="shared" si="544"/>
        <v>0</v>
      </c>
      <c r="AI368" s="171">
        <f t="shared" si="544"/>
        <v>0</v>
      </c>
      <c r="AJ368" s="171">
        <f t="shared" si="544"/>
        <v>0</v>
      </c>
      <c r="AK368" s="171">
        <f t="shared" si="545"/>
        <v>0</v>
      </c>
      <c r="AL368" s="171">
        <f t="shared" si="545"/>
        <v>0</v>
      </c>
      <c r="AM368" s="171">
        <f t="shared" si="545"/>
        <v>0</v>
      </c>
      <c r="AN368" s="171">
        <f t="shared" si="545"/>
        <v>0</v>
      </c>
      <c r="AO368" s="171">
        <f t="shared" si="545"/>
        <v>0</v>
      </c>
      <c r="AP368" s="171">
        <f t="shared" si="545"/>
        <v>0</v>
      </c>
      <c r="AQ368" s="171">
        <f t="shared" si="545"/>
        <v>0</v>
      </c>
      <c r="AR368" s="171">
        <f t="shared" si="545"/>
        <v>0</v>
      </c>
      <c r="AS368" s="171">
        <f t="shared" si="545"/>
        <v>0</v>
      </c>
      <c r="AT368" s="171">
        <f t="shared" si="545"/>
        <v>0</v>
      </c>
      <c r="AU368" s="171">
        <f t="shared" si="546"/>
        <v>0</v>
      </c>
      <c r="AV368" s="171">
        <f t="shared" si="546"/>
        <v>0</v>
      </c>
      <c r="AW368" s="171">
        <f t="shared" si="546"/>
        <v>0</v>
      </c>
      <c r="AX368" s="171">
        <f t="shared" si="546"/>
        <v>0</v>
      </c>
      <c r="AY368" s="171">
        <f t="shared" si="546"/>
        <v>0</v>
      </c>
      <c r="AZ368" s="171">
        <f t="shared" si="546"/>
        <v>0</v>
      </c>
      <c r="BA368" s="171">
        <f t="shared" si="546"/>
        <v>0</v>
      </c>
      <c r="BB368" s="171">
        <f t="shared" si="546"/>
        <v>0</v>
      </c>
      <c r="BC368" s="171">
        <f t="shared" si="546"/>
        <v>0</v>
      </c>
      <c r="BD368" s="171">
        <f t="shared" si="546"/>
        <v>0</v>
      </c>
      <c r="BE368" s="171">
        <f t="shared" si="547"/>
        <v>0</v>
      </c>
      <c r="BF368" s="171">
        <f t="shared" si="547"/>
        <v>0</v>
      </c>
      <c r="BG368" s="171">
        <f t="shared" si="547"/>
        <v>0</v>
      </c>
      <c r="BH368" s="171">
        <f t="shared" si="547"/>
        <v>0</v>
      </c>
      <c r="BI368" s="171">
        <f t="shared" si="547"/>
        <v>0</v>
      </c>
      <c r="BJ368" s="171">
        <f t="shared" si="547"/>
        <v>0</v>
      </c>
      <c r="BK368" s="171">
        <f t="shared" si="547"/>
        <v>0</v>
      </c>
      <c r="BL368" s="171">
        <f t="shared" si="547"/>
        <v>0</v>
      </c>
      <c r="BM368" s="171">
        <f t="shared" si="547"/>
        <v>0</v>
      </c>
      <c r="BN368" s="171">
        <f t="shared" si="547"/>
        <v>0</v>
      </c>
      <c r="BO368" s="171">
        <f t="shared" si="548"/>
        <v>0</v>
      </c>
      <c r="BP368" s="171">
        <f t="shared" si="548"/>
        <v>0</v>
      </c>
      <c r="BQ368" s="171">
        <f t="shared" si="548"/>
        <v>0</v>
      </c>
      <c r="BR368" s="171">
        <f t="shared" si="548"/>
        <v>0</v>
      </c>
      <c r="BS368" s="171">
        <f t="shared" si="548"/>
        <v>0</v>
      </c>
      <c r="BT368" s="171">
        <f t="shared" si="548"/>
        <v>0</v>
      </c>
      <c r="BU368" s="171">
        <f t="shared" si="548"/>
        <v>0</v>
      </c>
      <c r="BV368" s="171">
        <f t="shared" si="548"/>
        <v>0</v>
      </c>
      <c r="BW368" s="171">
        <f t="shared" si="548"/>
        <v>0</v>
      </c>
      <c r="BX368" s="171">
        <f t="shared" si="548"/>
        <v>0</v>
      </c>
      <c r="BY368" s="171">
        <f t="shared" si="549"/>
        <v>0</v>
      </c>
      <c r="BZ368" s="171">
        <f t="shared" si="549"/>
        <v>0</v>
      </c>
      <c r="CA368" s="171">
        <f t="shared" si="549"/>
        <v>0</v>
      </c>
      <c r="CB368" s="171">
        <f t="shared" si="549"/>
        <v>0</v>
      </c>
      <c r="CC368" s="171">
        <f t="shared" si="549"/>
        <v>0</v>
      </c>
      <c r="CD368" s="171">
        <f t="shared" si="549"/>
        <v>0</v>
      </c>
      <c r="CE368" s="171">
        <f t="shared" si="549"/>
        <v>0</v>
      </c>
      <c r="CF368" s="171">
        <f t="shared" si="549"/>
        <v>0</v>
      </c>
      <c r="CG368" s="171">
        <f t="shared" si="549"/>
        <v>0</v>
      </c>
      <c r="CH368" s="171">
        <f t="shared" si="549"/>
        <v>0</v>
      </c>
      <c r="CI368" s="171">
        <f t="shared" si="549"/>
        <v>0</v>
      </c>
      <c r="CJ368" s="243"/>
      <c r="CK368" s="171">
        <f t="shared" si="452"/>
        <v>0</v>
      </c>
      <c r="CL368" s="171">
        <f t="shared" si="453"/>
        <v>0</v>
      </c>
      <c r="CM368" s="171">
        <f t="shared" si="454"/>
        <v>0</v>
      </c>
      <c r="CN368" s="171">
        <f t="shared" si="455"/>
        <v>0</v>
      </c>
      <c r="CO368" s="171">
        <f t="shared" si="456"/>
        <v>0</v>
      </c>
      <c r="CP368" s="171">
        <f t="shared" si="457"/>
        <v>0</v>
      </c>
      <c r="CQ368" s="171">
        <f t="shared" si="458"/>
        <v>0</v>
      </c>
      <c r="CR368" s="171">
        <f t="shared" si="459"/>
        <v>0</v>
      </c>
      <c r="CS368" s="171">
        <f t="shared" si="460"/>
        <v>0</v>
      </c>
      <c r="CT368" s="171">
        <f t="shared" si="461"/>
        <v>0</v>
      </c>
      <c r="CU368" s="171">
        <f t="shared" si="462"/>
        <v>0</v>
      </c>
      <c r="CV368" s="171">
        <f t="shared" si="463"/>
        <v>0</v>
      </c>
      <c r="CW368" s="171">
        <f t="shared" si="464"/>
        <v>0</v>
      </c>
      <c r="CX368" s="171">
        <f t="shared" si="465"/>
        <v>0</v>
      </c>
      <c r="CY368" s="171">
        <f t="shared" ca="1" si="466"/>
        <v>0</v>
      </c>
      <c r="CZ368" s="171">
        <f t="shared" ca="1" si="467"/>
        <v>0</v>
      </c>
      <c r="DA368" s="171">
        <f t="shared" ca="1" si="468"/>
        <v>0</v>
      </c>
      <c r="DB368" s="171">
        <f t="shared" ca="1" si="469"/>
        <v>0</v>
      </c>
      <c r="DC368" s="171">
        <f t="shared" ca="1" si="470"/>
        <v>0</v>
      </c>
      <c r="DD368" s="171">
        <f t="shared" ca="1" si="471"/>
        <v>0</v>
      </c>
      <c r="DE368" s="171">
        <f t="shared" ca="1" si="472"/>
        <v>0</v>
      </c>
      <c r="DF368" s="171">
        <f t="shared" ca="1" si="473"/>
        <v>0</v>
      </c>
      <c r="DG368" s="171">
        <f t="shared" ca="1" si="474"/>
        <v>0</v>
      </c>
      <c r="DH368" s="171">
        <f t="shared" ca="1" si="475"/>
        <v>0</v>
      </c>
      <c r="DI368" s="171">
        <f t="shared" ca="1" si="476"/>
        <v>0</v>
      </c>
      <c r="DJ368" s="171">
        <f t="shared" ca="1" si="477"/>
        <v>0</v>
      </c>
      <c r="DK368" s="171">
        <f t="shared" ca="1" si="478"/>
        <v>0</v>
      </c>
      <c r="DL368" s="171">
        <f t="shared" ca="1" si="479"/>
        <v>0</v>
      </c>
      <c r="DM368" s="171">
        <f t="shared" ca="1" si="480"/>
        <v>0</v>
      </c>
      <c r="DN368" s="171">
        <f t="shared" ca="1" si="481"/>
        <v>0</v>
      </c>
      <c r="DO368" s="171">
        <f t="shared" ca="1" si="482"/>
        <v>0</v>
      </c>
      <c r="DP368" s="171">
        <f t="shared" ca="1" si="483"/>
        <v>0</v>
      </c>
      <c r="DQ368" s="171">
        <f t="shared" ca="1" si="484"/>
        <v>0</v>
      </c>
      <c r="DR368" s="171">
        <f t="shared" ca="1" si="485"/>
        <v>0</v>
      </c>
      <c r="DS368" s="171">
        <f t="shared" ca="1" si="486"/>
        <v>0</v>
      </c>
      <c r="DT368" s="171">
        <f t="shared" ca="1" si="487"/>
        <v>0</v>
      </c>
      <c r="DU368" s="171">
        <f t="shared" ca="1" si="488"/>
        <v>0</v>
      </c>
      <c r="DV368" s="171">
        <f t="shared" ca="1" si="489"/>
        <v>0</v>
      </c>
      <c r="DW368" s="171">
        <f t="shared" ca="1" si="490"/>
        <v>0</v>
      </c>
      <c r="DX368" s="171">
        <f t="shared" ca="1" si="491"/>
        <v>0</v>
      </c>
      <c r="DY368" s="171">
        <f t="shared" ca="1" si="492"/>
        <v>0</v>
      </c>
      <c r="DZ368" s="171">
        <f t="shared" ca="1" si="493"/>
        <v>0</v>
      </c>
      <c r="EA368" s="171">
        <f t="shared" ca="1" si="494"/>
        <v>0</v>
      </c>
      <c r="EB368" s="171">
        <f t="shared" ca="1" si="495"/>
        <v>0</v>
      </c>
      <c r="EC368" s="171">
        <f t="shared" ca="1" si="496"/>
        <v>0</v>
      </c>
      <c r="ED368" s="171">
        <f t="shared" ca="1" si="497"/>
        <v>0</v>
      </c>
      <c r="EE368" s="171">
        <f t="shared" ca="1" si="498"/>
        <v>0</v>
      </c>
      <c r="EF368" s="171">
        <f t="shared" ca="1" si="499"/>
        <v>0</v>
      </c>
      <c r="EG368" s="171">
        <f t="shared" ca="1" si="500"/>
        <v>0</v>
      </c>
      <c r="EH368" s="171">
        <f t="shared" ca="1" si="501"/>
        <v>0</v>
      </c>
      <c r="EI368" s="171">
        <f t="shared" ca="1" si="502"/>
        <v>0</v>
      </c>
      <c r="EJ368" s="171">
        <f t="shared" ca="1" si="503"/>
        <v>0</v>
      </c>
      <c r="EK368" s="171">
        <f t="shared" ca="1" si="504"/>
        <v>0</v>
      </c>
      <c r="EL368" s="171">
        <f t="shared" ca="1" si="505"/>
        <v>0</v>
      </c>
      <c r="EM368" s="171">
        <f t="shared" ca="1" si="506"/>
        <v>0</v>
      </c>
      <c r="EN368" s="171">
        <f t="shared" ca="1" si="507"/>
        <v>0</v>
      </c>
      <c r="EO368" s="171">
        <f t="shared" ca="1" si="508"/>
        <v>0</v>
      </c>
      <c r="EP368" s="171">
        <f t="shared" ca="1" si="509"/>
        <v>0</v>
      </c>
      <c r="EQ368" s="171">
        <f t="shared" ca="1" si="510"/>
        <v>0</v>
      </c>
      <c r="ER368" s="171">
        <f t="shared" ca="1" si="511"/>
        <v>0</v>
      </c>
      <c r="ES368" s="171">
        <f t="shared" ca="1" si="512"/>
        <v>0</v>
      </c>
    </row>
    <row r="369" spans="3:149">
      <c r="C369" s="214"/>
      <c r="L369" s="163"/>
      <c r="M369" s="164" t="str">
        <f t="shared" ref="M369:M432" si="550">IFERROR(K369*HLOOKUP(E369,$C$37:$BL$39,3,FALSE)/VLOOKUP(L369,$C$37:$BJ$44,MATCH(E369,$C$37:$BL$37,0),FALSE),"")</f>
        <v/>
      </c>
      <c r="N369" s="164" t="str">
        <f t="shared" ref="N369:N432" si="551">IFERROR(K369*HLOOKUP(E369,$C$37:$BL$39,2,FALSE)/VLOOKUP(L369,$C$37:$BJ$44,MATCH(E369,$C$37:$BL$37,0),FALSE),"")</f>
        <v/>
      </c>
      <c r="O369" s="165" t="str">
        <f t="shared" ref="O369:O432" si="552">IFERROR(IF($B$5="Foreign Currency",HLOOKUP(E369,$D$37:$BL$39,2,FALSE)/VLOOKUP(L369,$C$38:$BJ$44,MATCH(E369,$C$37:$BL$37,0),FALSE),HLOOKUP(E369,$D$37:$BL$39,3,FALSE)/VLOOKUP(L369,$C$38:$BJ$44,MATCH(E369,$C$37:$BL$37,0),FALSE)),"")</f>
        <v/>
      </c>
      <c r="R369" s="168" t="str">
        <f t="shared" si="537"/>
        <v/>
      </c>
      <c r="U369" s="171">
        <f t="shared" ref="U369:U432" si="553">IFERROR(SUM(AA369:CI369)/(Q369), 0)</f>
        <v>0</v>
      </c>
      <c r="V369" s="171">
        <f t="shared" ref="V369:V432" ca="1" si="554">IFERROR(SUM(CK369:ES369)/(Q369),0)</f>
        <v>0</v>
      </c>
      <c r="W369" s="171">
        <f t="shared" ref="W369:W432" ca="1" si="555">SUM(CK369:ES369)</f>
        <v>0</v>
      </c>
      <c r="X369" s="172">
        <f t="shared" ref="X369:X432" si="556">IFERROR(IF(T369="Equity", "Equity", 1-Y369), 0)</f>
        <v>0</v>
      </c>
      <c r="Y369" s="172" t="str">
        <f t="shared" ref="Y369:Y432" si="557">IFERROR(IF(ISNUMBER(SEARCH("EPP",T369)),(1-((P369/$B$12)/(((1+$B$11)^(1/$B$12))-1)))  *  (1-  (((1/((1+((((1+$B$11)^(1/$B$12))-1)))^($B$12*S369)))-(1/((1+((((1+$B$11)^(1/$B$12))-1)))^($B$12*(Q369+S369)))))/(((((1+$B$11)^(1/$B$12))-1))*(($B$12*(Q369+S369))-($B$12*S369))))),IF(ISNUMBER(SEARCH("Lump",T369)),(1-((1+P369*(Q369+S369))/((1+$B$11)^(Q369+S369)))),IF((T369="Equity"),"Equity",""))),"ERROR")</f>
        <v/>
      </c>
      <c r="Z369" s="173">
        <f t="shared" ref="Z369:Z432" si="558">SUM(AA369:CI369)</f>
        <v>0</v>
      </c>
      <c r="AA369" s="171">
        <f t="shared" ref="AA369:AJ378" si="559">IFERROR(
    IF($T369="Equity",
        IF(AND(AA$48&gt;=$E369, AA$48&lt;=($E369+$Q369)),
$K369*$P369*(VLOOKUP($C$39,$C$37:$BL$44,MATCH($E369,$C$37:$BL$37,0),FALSE)/VLOOKUP($L369,$C$37:$BL$44,MATCH($E369,$C$37:$BL$37,0),FALSE))*
IF($B$5="Foreign Currency",VLOOKUP($C$38,$C$37:$BL$44,MATCH(AA$48,$C$37:$BL$37,0),FALSE)/VLOOKUP($C$39,$C$37:$BL$44,MATCH(AA$48,$C$37:$BL$37,0),FALSE),1),
0),
    IF($T369="Lump Sum Principal",
        IF(AND(AA$48&gt;=$E369, AA$48&lt;($E369+$Q369)),
$K369*$P369*(VLOOKUP($C$39,$C$37:$BL$44,MATCH($E369,$C$37:$BL$37,0),FALSE)/VLOOKUP($L369,$C$37:$BL$44,MATCH($E369,$C$37:$BL$37,0),FALSE))*
IF($B$5="Foreign Currency",VLOOKUP($C$38,$C$37:$BL$44,MATCH(AA$48,$C$37:$BL$37,0),FALSE)/VLOOKUP($C$39,$C$37:$BL$44,MATCH(AA$48,$C$37:$BL$37,0),FALSE),1),
        IF(AA$48=($E369+$Q369),
$K369*(1+$P369)*(VLOOKUP($C$39,$C$37:$BL$44,MATCH($E369,$C$37:$BL$37,0),FALSE)/VLOOKUP($L369,$C$37:$BL$44,MATCH($E369,$C$37:$BL$37,0),FALSE))*
IF($B$5="Foreign Currency",VLOOKUP($C$38,$C$37:$BL$44,MATCH(AA$48,$C$37:$BL$37,0),FALSE)/VLOOKUP($C$39,$C$37:$BL$44,MATCH(AA$48,$C$37:$BL$37,0),FALSE),1),
0)),
    IF($T369="Lump Sum Principal and Interest",
        IF(AA$48=($E369+$Q369),
$K369*((1+$P369)^$Q369)*(VLOOKUP($C$39,$C$37:$BL$44,MATCH($E369,$C$37:$BL$37,0),FALSE)/VLOOKUP($L369,$C$37:$BL$44,MATCH($E369,$C$37:$BL$37,0),FALSE))*
IF($B$5="Foreign Currency",VLOOKUP($C$38,$C$37:$BL$44,MATCH(AA$48,$C$37:$BL$37,0),FALSE)/VLOOKUP($C$39,$C$37:$BL$44,MATCH(AA$48,$C$37:$BL$37,0),FALSE),1),
0),
    IF($T369="EPP with Grace Years for Principal",
        IF(AND(AA$48&gt;=$E369, AA$48&lt;($E369+$S369)),
$K369*$P369*(VLOOKUP($C$39,$C$37:$BL$44,MATCH($E369,$C$37:$BL$37,0),FALSE)/VLOOKUP($L369,$C$37:$BL$44,MATCH($E369,$C$37:$BL$37,0),FALSE))*
IF($B$5="Foreign Currency",VLOOKUP($C$38,$C$37:$BL$44,MATCH(AA$48,$C$37:$BL$37,0),FALSE)/VLOOKUP($C$39,$C$37:$BL$44,MATCH(AA$48,$C$37:$BL$37,0),FALSE),1),
        IF(AND(AA$48&gt;=($E369+$S369), AA$48&lt;=($E369+$Q369)),
-PMT($P369,($Q369-$S369+1),($K369*(VLOOKUP($C$39,$C$37:$BL$44,MATCH($E369,$C$37:$BL$37,0),FALSE)/VLOOKUP($L369,$C$37:$BL$44,MATCH($E369,$C$37:$BL$37,0),FALSE))*
IF($B$5="Foreign Currency",VLOOKUP($C$38,$C$37:$BL$44,MATCH(AA$48,$C$37:$BL$37,0),FALSE)/VLOOKUP($C$39,$C$37:$BL$44,MATCH(AA$48,$C$37:$BL$37,0),FALSE),1)),0),
0)),
    IF($T369="Equal Principal Payments (EPP)",
        IF(AND(AA$48&gt;=$E369, AA$48&lt;=($E369+$Q369)),
-PMT($P369,($Q369-$S369+1),($K369*(VLOOKUP($C$39,$C$37:$BL$44,MATCH($E369,$C$37:$BL$37,0),FALSE)/VLOOKUP($L369,$C$37:$BL$44,MATCH($E369,$C$37:$BL$37,0),FALSE))*
IF($B$5="Foreign Currency",VLOOKUP($C$38,$C$37:$BL$44,MATCH(AA$48,$C$37:$BL$37,0),FALSE)/VLOOKUP($C$39,$C$37:$BL$44,MATCH(AA$48,$C$37:$BL$37,0),FALSE),1)),0), 0),
    IF($T369="EPP with Grace Years for Principal and on Interest",
        IF(AND(AA$48&gt;=($E369+$S369), AA$48&lt;=($E369+$Q369)),
-PMT($P369,($Q369-$S369+1),($K369*(VLOOKUP($C$39,$C$37:$BL$44,MATCH($E369,$C$37:$BL$37,0),FALSE)/VLOOKUP($L369,$C$37:$BL$44,MATCH($E369,$C$37:$BL$37,0),FALSE))*
IF($B$5="Foreign Currency",VLOOKUP($C$38,$C$37:$BL$44,MATCH(AA$48,$C$37:$BL$37,0),FALSE)/VLOOKUP($C$39,$C$37:$BL$44,MATCH(AA$48,$C$37:$BL$37,0),FALSE),1))*((1+$P369)^$S369),0), 0),
    0)))))),"")</f>
        <v>0</v>
      </c>
      <c r="AB369" s="171">
        <f t="shared" si="559"/>
        <v>0</v>
      </c>
      <c r="AC369" s="171">
        <f t="shared" si="559"/>
        <v>0</v>
      </c>
      <c r="AD369" s="171">
        <f t="shared" si="559"/>
        <v>0</v>
      </c>
      <c r="AE369" s="171">
        <f t="shared" si="559"/>
        <v>0</v>
      </c>
      <c r="AF369" s="171">
        <f t="shared" si="559"/>
        <v>0</v>
      </c>
      <c r="AG369" s="171">
        <f t="shared" si="559"/>
        <v>0</v>
      </c>
      <c r="AH369" s="171">
        <f t="shared" si="559"/>
        <v>0</v>
      </c>
      <c r="AI369" s="171">
        <f t="shared" si="559"/>
        <v>0</v>
      </c>
      <c r="AJ369" s="171">
        <f t="shared" si="559"/>
        <v>0</v>
      </c>
      <c r="AK369" s="171">
        <f t="shared" ref="AK369:AT378" si="560">IFERROR(
    IF($T369="Equity",
        IF(AND(AK$48&gt;=$E369, AK$48&lt;=($E369+$Q369)),
$K369*$P369*(VLOOKUP($C$39,$C$37:$BL$44,MATCH($E369,$C$37:$BL$37,0),FALSE)/VLOOKUP($L369,$C$37:$BL$44,MATCH($E369,$C$37:$BL$37,0),FALSE))*
IF($B$5="Foreign Currency",VLOOKUP($C$38,$C$37:$BL$44,MATCH(AK$48,$C$37:$BL$37,0),FALSE)/VLOOKUP($C$39,$C$37:$BL$44,MATCH(AK$48,$C$37:$BL$37,0),FALSE),1),
0),
    IF($T369="Lump Sum Principal",
        IF(AND(AK$48&gt;=$E369, AK$48&lt;($E369+$Q369)),
$K369*$P369*(VLOOKUP($C$39,$C$37:$BL$44,MATCH($E369,$C$37:$BL$37,0),FALSE)/VLOOKUP($L369,$C$37:$BL$44,MATCH($E369,$C$37:$BL$37,0),FALSE))*
IF($B$5="Foreign Currency",VLOOKUP($C$38,$C$37:$BL$44,MATCH(AK$48,$C$37:$BL$37,0),FALSE)/VLOOKUP($C$39,$C$37:$BL$44,MATCH(AK$48,$C$37:$BL$37,0),FALSE),1),
        IF(AK$48=($E369+$Q369),
$K369*(1+$P369)*(VLOOKUP($C$39,$C$37:$BL$44,MATCH($E369,$C$37:$BL$37,0),FALSE)/VLOOKUP($L369,$C$37:$BL$44,MATCH($E369,$C$37:$BL$37,0),FALSE))*
IF($B$5="Foreign Currency",VLOOKUP($C$38,$C$37:$BL$44,MATCH(AK$48,$C$37:$BL$37,0),FALSE)/VLOOKUP($C$39,$C$37:$BL$44,MATCH(AK$48,$C$37:$BL$37,0),FALSE),1),
0)),
    IF($T369="Lump Sum Principal and Interest",
        IF(AK$48=($E369+$Q369),
$K369*((1+$P369)^$Q369)*(VLOOKUP($C$39,$C$37:$BL$44,MATCH($E369,$C$37:$BL$37,0),FALSE)/VLOOKUP($L369,$C$37:$BL$44,MATCH($E369,$C$37:$BL$37,0),FALSE))*
IF($B$5="Foreign Currency",VLOOKUP($C$38,$C$37:$BL$44,MATCH(AK$48,$C$37:$BL$37,0),FALSE)/VLOOKUP($C$39,$C$37:$BL$44,MATCH(AK$48,$C$37:$BL$37,0),FALSE),1),
0),
    IF($T369="EPP with Grace Years for Principal",
        IF(AND(AK$48&gt;=$E369, AK$48&lt;($E369+$S369)),
$K369*$P369*(VLOOKUP($C$39,$C$37:$BL$44,MATCH($E369,$C$37:$BL$37,0),FALSE)/VLOOKUP($L369,$C$37:$BL$44,MATCH($E369,$C$37:$BL$37,0),FALSE))*
IF($B$5="Foreign Currency",VLOOKUP($C$38,$C$37:$BL$44,MATCH(AK$48,$C$37:$BL$37,0),FALSE)/VLOOKUP($C$39,$C$37:$BL$44,MATCH(AK$48,$C$37:$BL$37,0),FALSE),1),
        IF(AND(AK$48&gt;=($E369+$S369), AK$48&lt;=($E369+$Q369)),
-PMT($P369,($Q369-$S369+1),($K369*(VLOOKUP($C$39,$C$37:$BL$44,MATCH($E369,$C$37:$BL$37,0),FALSE)/VLOOKUP($L369,$C$37:$BL$44,MATCH($E369,$C$37:$BL$37,0),FALSE))*
IF($B$5="Foreign Currency",VLOOKUP($C$38,$C$37:$BL$44,MATCH(AK$48,$C$37:$BL$37,0),FALSE)/VLOOKUP($C$39,$C$37:$BL$44,MATCH(AK$48,$C$37:$BL$37,0),FALSE),1)),0),
0)),
    IF($T369="Equal Principal Payments (EPP)",
        IF(AND(AK$48&gt;=$E369, AK$48&lt;=($E369+$Q369)),
-PMT($P369,($Q369-$S369+1),($K369*(VLOOKUP($C$39,$C$37:$BL$44,MATCH($E369,$C$37:$BL$37,0),FALSE)/VLOOKUP($L369,$C$37:$BL$44,MATCH($E369,$C$37:$BL$37,0),FALSE))*
IF($B$5="Foreign Currency",VLOOKUP($C$38,$C$37:$BL$44,MATCH(AK$48,$C$37:$BL$37,0),FALSE)/VLOOKUP($C$39,$C$37:$BL$44,MATCH(AK$48,$C$37:$BL$37,0),FALSE),1)),0), 0),
    IF($T369="EPP with Grace Years for Principal and on Interest",
        IF(AND(AK$48&gt;=($E369+$S369), AK$48&lt;=($E369+$Q369)),
-PMT($P369,($Q369-$S369+1),($K369*(VLOOKUP($C$39,$C$37:$BL$44,MATCH($E369,$C$37:$BL$37,0),FALSE)/VLOOKUP($L369,$C$37:$BL$44,MATCH($E369,$C$37:$BL$37,0),FALSE))*
IF($B$5="Foreign Currency",VLOOKUP($C$38,$C$37:$BL$44,MATCH(AK$48,$C$37:$BL$37,0),FALSE)/VLOOKUP($C$39,$C$37:$BL$44,MATCH(AK$48,$C$37:$BL$37,0),FALSE),1))*((1+$P369)^$S369),0), 0),
    0)))))),"")</f>
        <v>0</v>
      </c>
      <c r="AL369" s="171">
        <f t="shared" si="560"/>
        <v>0</v>
      </c>
      <c r="AM369" s="171">
        <f t="shared" si="560"/>
        <v>0</v>
      </c>
      <c r="AN369" s="171">
        <f t="shared" si="560"/>
        <v>0</v>
      </c>
      <c r="AO369" s="171">
        <f t="shared" si="560"/>
        <v>0</v>
      </c>
      <c r="AP369" s="171">
        <f t="shared" si="560"/>
        <v>0</v>
      </c>
      <c r="AQ369" s="171">
        <f t="shared" si="560"/>
        <v>0</v>
      </c>
      <c r="AR369" s="171">
        <f t="shared" si="560"/>
        <v>0</v>
      </c>
      <c r="AS369" s="171">
        <f t="shared" si="560"/>
        <v>0</v>
      </c>
      <c r="AT369" s="171">
        <f t="shared" si="560"/>
        <v>0</v>
      </c>
      <c r="AU369" s="171">
        <f t="shared" ref="AU369:BD378" si="561">IFERROR(
    IF($T369="Equity",
        IF(AND(AU$48&gt;=$E369, AU$48&lt;=($E369+$Q369)),
$K369*$P369*(VLOOKUP($C$39,$C$37:$BL$44,MATCH($E369,$C$37:$BL$37,0),FALSE)/VLOOKUP($L369,$C$37:$BL$44,MATCH($E369,$C$37:$BL$37,0),FALSE))*
IF($B$5="Foreign Currency",VLOOKUP($C$38,$C$37:$BL$44,MATCH(AU$48,$C$37:$BL$37,0),FALSE)/VLOOKUP($C$39,$C$37:$BL$44,MATCH(AU$48,$C$37:$BL$37,0),FALSE),1),
0),
    IF($T369="Lump Sum Principal",
        IF(AND(AU$48&gt;=$E369, AU$48&lt;($E369+$Q369)),
$K369*$P369*(VLOOKUP($C$39,$C$37:$BL$44,MATCH($E369,$C$37:$BL$37,0),FALSE)/VLOOKUP($L369,$C$37:$BL$44,MATCH($E369,$C$37:$BL$37,0),FALSE))*
IF($B$5="Foreign Currency",VLOOKUP($C$38,$C$37:$BL$44,MATCH(AU$48,$C$37:$BL$37,0),FALSE)/VLOOKUP($C$39,$C$37:$BL$44,MATCH(AU$48,$C$37:$BL$37,0),FALSE),1),
        IF(AU$48=($E369+$Q369),
$K369*(1+$P369)*(VLOOKUP($C$39,$C$37:$BL$44,MATCH($E369,$C$37:$BL$37,0),FALSE)/VLOOKUP($L369,$C$37:$BL$44,MATCH($E369,$C$37:$BL$37,0),FALSE))*
IF($B$5="Foreign Currency",VLOOKUP($C$38,$C$37:$BL$44,MATCH(AU$48,$C$37:$BL$37,0),FALSE)/VLOOKUP($C$39,$C$37:$BL$44,MATCH(AU$48,$C$37:$BL$37,0),FALSE),1),
0)),
    IF($T369="Lump Sum Principal and Interest",
        IF(AU$48=($E369+$Q369),
$K369*((1+$P369)^$Q369)*(VLOOKUP($C$39,$C$37:$BL$44,MATCH($E369,$C$37:$BL$37,0),FALSE)/VLOOKUP($L369,$C$37:$BL$44,MATCH($E369,$C$37:$BL$37,0),FALSE))*
IF($B$5="Foreign Currency",VLOOKUP($C$38,$C$37:$BL$44,MATCH(AU$48,$C$37:$BL$37,0),FALSE)/VLOOKUP($C$39,$C$37:$BL$44,MATCH(AU$48,$C$37:$BL$37,0),FALSE),1),
0),
    IF($T369="EPP with Grace Years for Principal",
        IF(AND(AU$48&gt;=$E369, AU$48&lt;($E369+$S369)),
$K369*$P369*(VLOOKUP($C$39,$C$37:$BL$44,MATCH($E369,$C$37:$BL$37,0),FALSE)/VLOOKUP($L369,$C$37:$BL$44,MATCH($E369,$C$37:$BL$37,0),FALSE))*
IF($B$5="Foreign Currency",VLOOKUP($C$38,$C$37:$BL$44,MATCH(AU$48,$C$37:$BL$37,0),FALSE)/VLOOKUP($C$39,$C$37:$BL$44,MATCH(AU$48,$C$37:$BL$37,0),FALSE),1),
        IF(AND(AU$48&gt;=($E369+$S369), AU$48&lt;=($E369+$Q369)),
-PMT($P369,($Q369-$S369+1),($K369*(VLOOKUP($C$39,$C$37:$BL$44,MATCH($E369,$C$37:$BL$37,0),FALSE)/VLOOKUP($L369,$C$37:$BL$44,MATCH($E369,$C$37:$BL$37,0),FALSE))*
IF($B$5="Foreign Currency",VLOOKUP($C$38,$C$37:$BL$44,MATCH(AU$48,$C$37:$BL$37,0),FALSE)/VLOOKUP($C$39,$C$37:$BL$44,MATCH(AU$48,$C$37:$BL$37,0),FALSE),1)),0),
0)),
    IF($T369="Equal Principal Payments (EPP)",
        IF(AND(AU$48&gt;=$E369, AU$48&lt;=($E369+$Q369)),
-PMT($P369,($Q369-$S369+1),($K369*(VLOOKUP($C$39,$C$37:$BL$44,MATCH($E369,$C$37:$BL$37,0),FALSE)/VLOOKUP($L369,$C$37:$BL$44,MATCH($E369,$C$37:$BL$37,0),FALSE))*
IF($B$5="Foreign Currency",VLOOKUP($C$38,$C$37:$BL$44,MATCH(AU$48,$C$37:$BL$37,0),FALSE)/VLOOKUP($C$39,$C$37:$BL$44,MATCH(AU$48,$C$37:$BL$37,0),FALSE),1)),0), 0),
    IF($T369="EPP with Grace Years for Principal and on Interest",
        IF(AND(AU$48&gt;=($E369+$S369), AU$48&lt;=($E369+$Q369)),
-PMT($P369,($Q369-$S369+1),($K369*(VLOOKUP($C$39,$C$37:$BL$44,MATCH($E369,$C$37:$BL$37,0),FALSE)/VLOOKUP($L369,$C$37:$BL$44,MATCH($E369,$C$37:$BL$37,0),FALSE))*
IF($B$5="Foreign Currency",VLOOKUP($C$38,$C$37:$BL$44,MATCH(AU$48,$C$37:$BL$37,0),FALSE)/VLOOKUP($C$39,$C$37:$BL$44,MATCH(AU$48,$C$37:$BL$37,0),FALSE),1))*((1+$P369)^$S369),0), 0),
    0)))))),"")</f>
        <v>0</v>
      </c>
      <c r="AV369" s="171">
        <f t="shared" si="561"/>
        <v>0</v>
      </c>
      <c r="AW369" s="171">
        <f t="shared" si="561"/>
        <v>0</v>
      </c>
      <c r="AX369" s="171">
        <f t="shared" si="561"/>
        <v>0</v>
      </c>
      <c r="AY369" s="171">
        <f t="shared" si="561"/>
        <v>0</v>
      </c>
      <c r="AZ369" s="171">
        <f t="shared" si="561"/>
        <v>0</v>
      </c>
      <c r="BA369" s="171">
        <f t="shared" si="561"/>
        <v>0</v>
      </c>
      <c r="BB369" s="171">
        <f t="shared" si="561"/>
        <v>0</v>
      </c>
      <c r="BC369" s="171">
        <f t="shared" si="561"/>
        <v>0</v>
      </c>
      <c r="BD369" s="171">
        <f t="shared" si="561"/>
        <v>0</v>
      </c>
      <c r="BE369" s="171">
        <f t="shared" ref="BE369:BN378" si="562">IFERROR(
    IF($T369="Equity",
        IF(AND(BE$48&gt;=$E369, BE$48&lt;=($E369+$Q369)),
$K369*$P369*(VLOOKUP($C$39,$C$37:$BL$44,MATCH($E369,$C$37:$BL$37,0),FALSE)/VLOOKUP($L369,$C$37:$BL$44,MATCH($E369,$C$37:$BL$37,0),FALSE))*
IF($B$5="Foreign Currency",VLOOKUP($C$38,$C$37:$BL$44,MATCH(BE$48,$C$37:$BL$37,0),FALSE)/VLOOKUP($C$39,$C$37:$BL$44,MATCH(BE$48,$C$37:$BL$37,0),FALSE),1),
0),
    IF($T369="Lump Sum Principal",
        IF(AND(BE$48&gt;=$E369, BE$48&lt;($E369+$Q369)),
$K369*$P369*(VLOOKUP($C$39,$C$37:$BL$44,MATCH($E369,$C$37:$BL$37,0),FALSE)/VLOOKUP($L369,$C$37:$BL$44,MATCH($E369,$C$37:$BL$37,0),FALSE))*
IF($B$5="Foreign Currency",VLOOKUP($C$38,$C$37:$BL$44,MATCH(BE$48,$C$37:$BL$37,0),FALSE)/VLOOKUP($C$39,$C$37:$BL$44,MATCH(BE$48,$C$37:$BL$37,0),FALSE),1),
        IF(BE$48=($E369+$Q369),
$K369*(1+$P369)*(VLOOKUP($C$39,$C$37:$BL$44,MATCH($E369,$C$37:$BL$37,0),FALSE)/VLOOKUP($L369,$C$37:$BL$44,MATCH($E369,$C$37:$BL$37,0),FALSE))*
IF($B$5="Foreign Currency",VLOOKUP($C$38,$C$37:$BL$44,MATCH(BE$48,$C$37:$BL$37,0),FALSE)/VLOOKUP($C$39,$C$37:$BL$44,MATCH(BE$48,$C$37:$BL$37,0),FALSE),1),
0)),
    IF($T369="Lump Sum Principal and Interest",
        IF(BE$48=($E369+$Q369),
$K369*((1+$P369)^$Q369)*(VLOOKUP($C$39,$C$37:$BL$44,MATCH($E369,$C$37:$BL$37,0),FALSE)/VLOOKUP($L369,$C$37:$BL$44,MATCH($E369,$C$37:$BL$37,0),FALSE))*
IF($B$5="Foreign Currency",VLOOKUP($C$38,$C$37:$BL$44,MATCH(BE$48,$C$37:$BL$37,0),FALSE)/VLOOKUP($C$39,$C$37:$BL$44,MATCH(BE$48,$C$37:$BL$37,0),FALSE),1),
0),
    IF($T369="EPP with Grace Years for Principal",
        IF(AND(BE$48&gt;=$E369, BE$48&lt;($E369+$S369)),
$K369*$P369*(VLOOKUP($C$39,$C$37:$BL$44,MATCH($E369,$C$37:$BL$37,0),FALSE)/VLOOKUP($L369,$C$37:$BL$44,MATCH($E369,$C$37:$BL$37,0),FALSE))*
IF($B$5="Foreign Currency",VLOOKUP($C$38,$C$37:$BL$44,MATCH(BE$48,$C$37:$BL$37,0),FALSE)/VLOOKUP($C$39,$C$37:$BL$44,MATCH(BE$48,$C$37:$BL$37,0),FALSE),1),
        IF(AND(BE$48&gt;=($E369+$S369), BE$48&lt;=($E369+$Q369)),
-PMT($P369,($Q369-$S369+1),($K369*(VLOOKUP($C$39,$C$37:$BL$44,MATCH($E369,$C$37:$BL$37,0),FALSE)/VLOOKUP($L369,$C$37:$BL$44,MATCH($E369,$C$37:$BL$37,0),FALSE))*
IF($B$5="Foreign Currency",VLOOKUP($C$38,$C$37:$BL$44,MATCH(BE$48,$C$37:$BL$37,0),FALSE)/VLOOKUP($C$39,$C$37:$BL$44,MATCH(BE$48,$C$37:$BL$37,0),FALSE),1)),0),
0)),
    IF($T369="Equal Principal Payments (EPP)",
        IF(AND(BE$48&gt;=$E369, BE$48&lt;=($E369+$Q369)),
-PMT($P369,($Q369-$S369+1),($K369*(VLOOKUP($C$39,$C$37:$BL$44,MATCH($E369,$C$37:$BL$37,0),FALSE)/VLOOKUP($L369,$C$37:$BL$44,MATCH($E369,$C$37:$BL$37,0),FALSE))*
IF($B$5="Foreign Currency",VLOOKUP($C$38,$C$37:$BL$44,MATCH(BE$48,$C$37:$BL$37,0),FALSE)/VLOOKUP($C$39,$C$37:$BL$44,MATCH(BE$48,$C$37:$BL$37,0),FALSE),1)),0), 0),
    IF($T369="EPP with Grace Years for Principal and on Interest",
        IF(AND(BE$48&gt;=($E369+$S369), BE$48&lt;=($E369+$Q369)),
-PMT($P369,($Q369-$S369+1),($K369*(VLOOKUP($C$39,$C$37:$BL$44,MATCH($E369,$C$37:$BL$37,0),FALSE)/VLOOKUP($L369,$C$37:$BL$44,MATCH($E369,$C$37:$BL$37,0),FALSE))*
IF($B$5="Foreign Currency",VLOOKUP($C$38,$C$37:$BL$44,MATCH(BE$48,$C$37:$BL$37,0),FALSE)/VLOOKUP($C$39,$C$37:$BL$44,MATCH(BE$48,$C$37:$BL$37,0),FALSE),1))*((1+$P369)^$S369),0), 0),
    0)))))),"")</f>
        <v>0</v>
      </c>
      <c r="BF369" s="171">
        <f t="shared" si="562"/>
        <v>0</v>
      </c>
      <c r="BG369" s="171">
        <f t="shared" si="562"/>
        <v>0</v>
      </c>
      <c r="BH369" s="171">
        <f t="shared" si="562"/>
        <v>0</v>
      </c>
      <c r="BI369" s="171">
        <f t="shared" si="562"/>
        <v>0</v>
      </c>
      <c r="BJ369" s="171">
        <f t="shared" si="562"/>
        <v>0</v>
      </c>
      <c r="BK369" s="171">
        <f t="shared" si="562"/>
        <v>0</v>
      </c>
      <c r="BL369" s="171">
        <f t="shared" si="562"/>
        <v>0</v>
      </c>
      <c r="BM369" s="171">
        <f t="shared" si="562"/>
        <v>0</v>
      </c>
      <c r="BN369" s="171">
        <f t="shared" si="562"/>
        <v>0</v>
      </c>
      <c r="BO369" s="171">
        <f t="shared" ref="BO369:BX378" si="563">IFERROR(
    IF($T369="Equity",
        IF(AND(BO$48&gt;=$E369, BO$48&lt;=($E369+$Q369)),
$K369*$P369*(VLOOKUP($C$39,$C$37:$BL$44,MATCH($E369,$C$37:$BL$37,0),FALSE)/VLOOKUP($L369,$C$37:$BL$44,MATCH($E369,$C$37:$BL$37,0),FALSE))*
IF($B$5="Foreign Currency",VLOOKUP($C$38,$C$37:$BL$44,MATCH(BO$48,$C$37:$BL$37,0),FALSE)/VLOOKUP($C$39,$C$37:$BL$44,MATCH(BO$48,$C$37:$BL$37,0),FALSE),1),
0),
    IF($T369="Lump Sum Principal",
        IF(AND(BO$48&gt;=$E369, BO$48&lt;($E369+$Q369)),
$K369*$P369*(VLOOKUP($C$39,$C$37:$BL$44,MATCH($E369,$C$37:$BL$37,0),FALSE)/VLOOKUP($L369,$C$37:$BL$44,MATCH($E369,$C$37:$BL$37,0),FALSE))*
IF($B$5="Foreign Currency",VLOOKUP($C$38,$C$37:$BL$44,MATCH(BO$48,$C$37:$BL$37,0),FALSE)/VLOOKUP($C$39,$C$37:$BL$44,MATCH(BO$48,$C$37:$BL$37,0),FALSE),1),
        IF(BO$48=($E369+$Q369),
$K369*(1+$P369)*(VLOOKUP($C$39,$C$37:$BL$44,MATCH($E369,$C$37:$BL$37,0),FALSE)/VLOOKUP($L369,$C$37:$BL$44,MATCH($E369,$C$37:$BL$37,0),FALSE))*
IF($B$5="Foreign Currency",VLOOKUP($C$38,$C$37:$BL$44,MATCH(BO$48,$C$37:$BL$37,0),FALSE)/VLOOKUP($C$39,$C$37:$BL$44,MATCH(BO$48,$C$37:$BL$37,0),FALSE),1),
0)),
    IF($T369="Lump Sum Principal and Interest",
        IF(BO$48=($E369+$Q369),
$K369*((1+$P369)^$Q369)*(VLOOKUP($C$39,$C$37:$BL$44,MATCH($E369,$C$37:$BL$37,0),FALSE)/VLOOKUP($L369,$C$37:$BL$44,MATCH($E369,$C$37:$BL$37,0),FALSE))*
IF($B$5="Foreign Currency",VLOOKUP($C$38,$C$37:$BL$44,MATCH(BO$48,$C$37:$BL$37,0),FALSE)/VLOOKUP($C$39,$C$37:$BL$44,MATCH(BO$48,$C$37:$BL$37,0),FALSE),1),
0),
    IF($T369="EPP with Grace Years for Principal",
        IF(AND(BO$48&gt;=$E369, BO$48&lt;($E369+$S369)),
$K369*$P369*(VLOOKUP($C$39,$C$37:$BL$44,MATCH($E369,$C$37:$BL$37,0),FALSE)/VLOOKUP($L369,$C$37:$BL$44,MATCH($E369,$C$37:$BL$37,0),FALSE))*
IF($B$5="Foreign Currency",VLOOKUP($C$38,$C$37:$BL$44,MATCH(BO$48,$C$37:$BL$37,0),FALSE)/VLOOKUP($C$39,$C$37:$BL$44,MATCH(BO$48,$C$37:$BL$37,0),FALSE),1),
        IF(AND(BO$48&gt;=($E369+$S369), BO$48&lt;=($E369+$Q369)),
-PMT($P369,($Q369-$S369+1),($K369*(VLOOKUP($C$39,$C$37:$BL$44,MATCH($E369,$C$37:$BL$37,0),FALSE)/VLOOKUP($L369,$C$37:$BL$44,MATCH($E369,$C$37:$BL$37,0),FALSE))*
IF($B$5="Foreign Currency",VLOOKUP($C$38,$C$37:$BL$44,MATCH(BO$48,$C$37:$BL$37,0),FALSE)/VLOOKUP($C$39,$C$37:$BL$44,MATCH(BO$48,$C$37:$BL$37,0),FALSE),1)),0),
0)),
    IF($T369="Equal Principal Payments (EPP)",
        IF(AND(BO$48&gt;=$E369, BO$48&lt;=($E369+$Q369)),
-PMT($P369,($Q369-$S369+1),($K369*(VLOOKUP($C$39,$C$37:$BL$44,MATCH($E369,$C$37:$BL$37,0),FALSE)/VLOOKUP($L369,$C$37:$BL$44,MATCH($E369,$C$37:$BL$37,0),FALSE))*
IF($B$5="Foreign Currency",VLOOKUP($C$38,$C$37:$BL$44,MATCH(BO$48,$C$37:$BL$37,0),FALSE)/VLOOKUP($C$39,$C$37:$BL$44,MATCH(BO$48,$C$37:$BL$37,0),FALSE),1)),0), 0),
    IF($T369="EPP with Grace Years for Principal and on Interest",
        IF(AND(BO$48&gt;=($E369+$S369), BO$48&lt;=($E369+$Q369)),
-PMT($P369,($Q369-$S369+1),($K369*(VLOOKUP($C$39,$C$37:$BL$44,MATCH($E369,$C$37:$BL$37,0),FALSE)/VLOOKUP($L369,$C$37:$BL$44,MATCH($E369,$C$37:$BL$37,0),FALSE))*
IF($B$5="Foreign Currency",VLOOKUP($C$38,$C$37:$BL$44,MATCH(BO$48,$C$37:$BL$37,0),FALSE)/VLOOKUP($C$39,$C$37:$BL$44,MATCH(BO$48,$C$37:$BL$37,0),FALSE),1))*((1+$P369)^$S369),0), 0),
    0)))))),"")</f>
        <v>0</v>
      </c>
      <c r="BP369" s="171">
        <f t="shared" si="563"/>
        <v>0</v>
      </c>
      <c r="BQ369" s="171">
        <f t="shared" si="563"/>
        <v>0</v>
      </c>
      <c r="BR369" s="171">
        <f t="shared" si="563"/>
        <v>0</v>
      </c>
      <c r="BS369" s="171">
        <f t="shared" si="563"/>
        <v>0</v>
      </c>
      <c r="BT369" s="171">
        <f t="shared" si="563"/>
        <v>0</v>
      </c>
      <c r="BU369" s="171">
        <f t="shared" si="563"/>
        <v>0</v>
      </c>
      <c r="BV369" s="171">
        <f t="shared" si="563"/>
        <v>0</v>
      </c>
      <c r="BW369" s="171">
        <f t="shared" si="563"/>
        <v>0</v>
      </c>
      <c r="BX369" s="171">
        <f t="shared" si="563"/>
        <v>0</v>
      </c>
      <c r="BY369" s="171">
        <f t="shared" ref="BY369:CI378" si="564">IFERROR(
    IF($T369="Equity",
        IF(AND(BY$48&gt;=$E369, BY$48&lt;=($E369+$Q369)),
$K369*$P369*(VLOOKUP($C$39,$C$37:$BL$44,MATCH($E369,$C$37:$BL$37,0),FALSE)/VLOOKUP($L369,$C$37:$BL$44,MATCH($E369,$C$37:$BL$37,0),FALSE))*
IF($B$5="Foreign Currency",VLOOKUP($C$38,$C$37:$BL$44,MATCH(BY$48,$C$37:$BL$37,0),FALSE)/VLOOKUP($C$39,$C$37:$BL$44,MATCH(BY$48,$C$37:$BL$37,0),FALSE),1),
0),
    IF($T369="Lump Sum Principal",
        IF(AND(BY$48&gt;=$E369, BY$48&lt;($E369+$Q369)),
$K369*$P369*(VLOOKUP($C$39,$C$37:$BL$44,MATCH($E369,$C$37:$BL$37,0),FALSE)/VLOOKUP($L369,$C$37:$BL$44,MATCH($E369,$C$37:$BL$37,0),FALSE))*
IF($B$5="Foreign Currency",VLOOKUP($C$38,$C$37:$BL$44,MATCH(BY$48,$C$37:$BL$37,0),FALSE)/VLOOKUP($C$39,$C$37:$BL$44,MATCH(BY$48,$C$37:$BL$37,0),FALSE),1),
        IF(BY$48=($E369+$Q369),
$K369*(1+$P369)*(VLOOKUP($C$39,$C$37:$BL$44,MATCH($E369,$C$37:$BL$37,0),FALSE)/VLOOKUP($L369,$C$37:$BL$44,MATCH($E369,$C$37:$BL$37,0),FALSE))*
IF($B$5="Foreign Currency",VLOOKUP($C$38,$C$37:$BL$44,MATCH(BY$48,$C$37:$BL$37,0),FALSE)/VLOOKUP($C$39,$C$37:$BL$44,MATCH(BY$48,$C$37:$BL$37,0),FALSE),1),
0)),
    IF($T369="Lump Sum Principal and Interest",
        IF(BY$48=($E369+$Q369),
$K369*((1+$P369)^$Q369)*(VLOOKUP($C$39,$C$37:$BL$44,MATCH($E369,$C$37:$BL$37,0),FALSE)/VLOOKUP($L369,$C$37:$BL$44,MATCH($E369,$C$37:$BL$37,0),FALSE))*
IF($B$5="Foreign Currency",VLOOKUP($C$38,$C$37:$BL$44,MATCH(BY$48,$C$37:$BL$37,0),FALSE)/VLOOKUP($C$39,$C$37:$BL$44,MATCH(BY$48,$C$37:$BL$37,0),FALSE),1),
0),
    IF($T369="EPP with Grace Years for Principal",
        IF(AND(BY$48&gt;=$E369, BY$48&lt;($E369+$S369)),
$K369*$P369*(VLOOKUP($C$39,$C$37:$BL$44,MATCH($E369,$C$37:$BL$37,0),FALSE)/VLOOKUP($L369,$C$37:$BL$44,MATCH($E369,$C$37:$BL$37,0),FALSE))*
IF($B$5="Foreign Currency",VLOOKUP($C$38,$C$37:$BL$44,MATCH(BY$48,$C$37:$BL$37,0),FALSE)/VLOOKUP($C$39,$C$37:$BL$44,MATCH(BY$48,$C$37:$BL$37,0),FALSE),1),
        IF(AND(BY$48&gt;=($E369+$S369), BY$48&lt;=($E369+$Q369)),
-PMT($P369,($Q369-$S369+1),($K369*(VLOOKUP($C$39,$C$37:$BL$44,MATCH($E369,$C$37:$BL$37,0),FALSE)/VLOOKUP($L369,$C$37:$BL$44,MATCH($E369,$C$37:$BL$37,0),FALSE))*
IF($B$5="Foreign Currency",VLOOKUP($C$38,$C$37:$BL$44,MATCH(BY$48,$C$37:$BL$37,0),FALSE)/VLOOKUP($C$39,$C$37:$BL$44,MATCH(BY$48,$C$37:$BL$37,0),FALSE),1)),0),
0)),
    IF($T369="Equal Principal Payments (EPP)",
        IF(AND(BY$48&gt;=$E369, BY$48&lt;=($E369+$Q369)),
-PMT($P369,($Q369-$S369+1),($K369*(VLOOKUP($C$39,$C$37:$BL$44,MATCH($E369,$C$37:$BL$37,0),FALSE)/VLOOKUP($L369,$C$37:$BL$44,MATCH($E369,$C$37:$BL$37,0),FALSE))*
IF($B$5="Foreign Currency",VLOOKUP($C$38,$C$37:$BL$44,MATCH(BY$48,$C$37:$BL$37,0),FALSE)/VLOOKUP($C$39,$C$37:$BL$44,MATCH(BY$48,$C$37:$BL$37,0),FALSE),1)),0), 0),
    IF($T369="EPP with Grace Years for Principal and on Interest",
        IF(AND(BY$48&gt;=($E369+$S369), BY$48&lt;=($E369+$Q369)),
-PMT($P369,($Q369-$S369+1),($K369*(VLOOKUP($C$39,$C$37:$BL$44,MATCH($E369,$C$37:$BL$37,0),FALSE)/VLOOKUP($L369,$C$37:$BL$44,MATCH($E369,$C$37:$BL$37,0),FALSE))*
IF($B$5="Foreign Currency",VLOOKUP($C$38,$C$37:$BL$44,MATCH(BY$48,$C$37:$BL$37,0),FALSE)/VLOOKUP($C$39,$C$37:$BL$44,MATCH(BY$48,$C$37:$BL$37,0),FALSE),1))*((1+$P369)^$S369),0), 0),
    0)))))),"")</f>
        <v>0</v>
      </c>
      <c r="BZ369" s="171">
        <f t="shared" si="564"/>
        <v>0</v>
      </c>
      <c r="CA369" s="171">
        <f t="shared" si="564"/>
        <v>0</v>
      </c>
      <c r="CB369" s="171">
        <f t="shared" si="564"/>
        <v>0</v>
      </c>
      <c r="CC369" s="171">
        <f t="shared" si="564"/>
        <v>0</v>
      </c>
      <c r="CD369" s="171">
        <f t="shared" si="564"/>
        <v>0</v>
      </c>
      <c r="CE369" s="171">
        <f t="shared" si="564"/>
        <v>0</v>
      </c>
      <c r="CF369" s="171">
        <f t="shared" si="564"/>
        <v>0</v>
      </c>
      <c r="CG369" s="171">
        <f t="shared" si="564"/>
        <v>0</v>
      </c>
      <c r="CH369" s="171">
        <f t="shared" si="564"/>
        <v>0</v>
      </c>
      <c r="CI369" s="171">
        <f t="shared" si="564"/>
        <v>0</v>
      </c>
      <c r="CJ369" s="243"/>
      <c r="CK369" s="171">
        <f t="shared" ref="CK369:CK432" si="565">IF(CK$48&lt;$B$9,AA369,AA369*((1/(1+$B$10))^(CK$48-$B$9+1)))</f>
        <v>0</v>
      </c>
      <c r="CL369" s="171">
        <f t="shared" ref="CL369:CL432" si="566">IF(CL$48&lt;$B$9,AB369,AB369*((1/(1+$B$10))^(CL$48-$B$9+1)))</f>
        <v>0</v>
      </c>
      <c r="CM369" s="171">
        <f t="shared" ref="CM369:CM432" si="567">IF(CM$48&lt;$B$9,AC369,AC369*((1/(1+$B$10))^(CM$48-$B$9+1)))</f>
        <v>0</v>
      </c>
      <c r="CN369" s="171">
        <f t="shared" ref="CN369:CN432" si="568">IF(CN$48&lt;$B$9,AD369,AD369*((1/(1+$B$10))^(CN$48-$B$9+1)))</f>
        <v>0</v>
      </c>
      <c r="CO369" s="171">
        <f t="shared" ref="CO369:CO432" si="569">IF(CO$48&lt;$B$9,AE369,AE369*((1/(1+$B$10))^(CO$48-$B$9+1)))</f>
        <v>0</v>
      </c>
      <c r="CP369" s="171">
        <f t="shared" ref="CP369:CP432" si="570">IF(CP$48&lt;$B$9,AF369,AF369*((1/(1+$B$10))^(CP$48-$B$9+1)))</f>
        <v>0</v>
      </c>
      <c r="CQ369" s="171">
        <f t="shared" ref="CQ369:CQ432" si="571">IF(CQ$48&lt;$B$9,AG369,AG369*((1/(1+$B$10))^(CQ$48-$B$9+1)))</f>
        <v>0</v>
      </c>
      <c r="CR369" s="171">
        <f t="shared" ref="CR369:CR432" si="572">IF(CR$48&lt;$B$9,AH369,AH369*((1/(1+$B$10))^(CR$48-$B$9+1)))</f>
        <v>0</v>
      </c>
      <c r="CS369" s="171">
        <f t="shared" ref="CS369:CS432" si="573">IF(CS$48&lt;$B$9,AI369,AI369*((1/(1+$B$10))^(CS$48-$B$9+1)))</f>
        <v>0</v>
      </c>
      <c r="CT369" s="171">
        <f t="shared" ref="CT369:CT432" si="574">IF(CT$48&lt;$B$9,AJ369,AJ369*((1/(1+$B$10))^(CT$48-$B$9+1)))</f>
        <v>0</v>
      </c>
      <c r="CU369" s="171">
        <f t="shared" ref="CU369:CU432" si="575">IF(CU$48&lt;$B$9,AK369,AK369*((1/(1+$B$10))^(CU$48-$B$9+1)))</f>
        <v>0</v>
      </c>
      <c r="CV369" s="171">
        <f t="shared" ref="CV369:CV432" si="576">IF(CV$48&lt;$B$9,AL369,AL369*((1/(1+$B$10))^(CV$48-$B$9+1)))</f>
        <v>0</v>
      </c>
      <c r="CW369" s="171">
        <f t="shared" ref="CW369:CW432" si="577">IF(CW$48&lt;$B$9,AM369,AM369*((1/(1+$B$10))^(CW$48-$B$9+1)))</f>
        <v>0</v>
      </c>
      <c r="CX369" s="171">
        <f t="shared" ref="CX369:CX432" si="578">IF(CX$48&lt;$B$9,AN369,AN369*((1/(1+$B$10))^(CX$48-$B$9+1)))</f>
        <v>0</v>
      </c>
      <c r="CY369" s="171">
        <f t="shared" ref="CY369:CY432" ca="1" si="579">IF(CY$48&lt;$B$9,AO369,AO369*((1/(1+$B$10))^(CY$48-$B$9+1)))</f>
        <v>0</v>
      </c>
      <c r="CZ369" s="171">
        <f t="shared" ref="CZ369:CZ432" ca="1" si="580">IF(CZ$48&lt;$B$9,AP369,AP369*((1/(1+$B$10))^(CZ$48-$B$9+1)))</f>
        <v>0</v>
      </c>
      <c r="DA369" s="171">
        <f t="shared" ref="DA369:DA432" ca="1" si="581">IF(DA$48&lt;$B$9,AQ369,AQ369*((1/(1+$B$10))^(DA$48-$B$9+1)))</f>
        <v>0</v>
      </c>
      <c r="DB369" s="171">
        <f t="shared" ref="DB369:DB432" ca="1" si="582">IF(DB$48&lt;$B$9,AR369,AR369*((1/(1+$B$10))^(DB$48-$B$9+1)))</f>
        <v>0</v>
      </c>
      <c r="DC369" s="171">
        <f t="shared" ref="DC369:DC432" ca="1" si="583">IF(DC$48&lt;$B$9,AS369,AS369*((1/(1+$B$10))^(DC$48-$B$9+1)))</f>
        <v>0</v>
      </c>
      <c r="DD369" s="171">
        <f t="shared" ref="DD369:DD432" ca="1" si="584">IF(DD$48&lt;$B$9,AT369,AT369*((1/(1+$B$10))^(DD$48-$B$9+1)))</f>
        <v>0</v>
      </c>
      <c r="DE369" s="171">
        <f t="shared" ref="DE369:DE432" ca="1" si="585">IF(DE$48&lt;$B$9,AU369,AU369*((1/(1+$B$10))^(DE$48-$B$9+1)))</f>
        <v>0</v>
      </c>
      <c r="DF369" s="171">
        <f t="shared" ref="DF369:DF432" ca="1" si="586">IF(DF$48&lt;$B$9,AV369,AV369*((1/(1+$B$10))^(DF$48-$B$9+1)))</f>
        <v>0</v>
      </c>
      <c r="DG369" s="171">
        <f t="shared" ref="DG369:DG432" ca="1" si="587">IF(DG$48&lt;$B$9,AW369,AW369*((1/(1+$B$10))^(DG$48-$B$9+1)))</f>
        <v>0</v>
      </c>
      <c r="DH369" s="171">
        <f t="shared" ref="DH369:DH432" ca="1" si="588">IF(DH$48&lt;$B$9,AX369,AX369*((1/(1+$B$10))^(DH$48-$B$9+1)))</f>
        <v>0</v>
      </c>
      <c r="DI369" s="171">
        <f t="shared" ref="DI369:DI432" ca="1" si="589">IF(DI$48&lt;$B$9,AY369,AY369*((1/(1+$B$10))^(DI$48-$B$9+1)))</f>
        <v>0</v>
      </c>
      <c r="DJ369" s="171">
        <f t="shared" ref="DJ369:DJ432" ca="1" si="590">IF(DJ$48&lt;$B$9,AZ369,AZ369*((1/(1+$B$10))^(DJ$48-$B$9+1)))</f>
        <v>0</v>
      </c>
      <c r="DK369" s="171">
        <f t="shared" ref="DK369:DK432" ca="1" si="591">IF(DK$48&lt;$B$9,BA369,BA369*((1/(1+$B$10))^(DK$48-$B$9+1)))</f>
        <v>0</v>
      </c>
      <c r="DL369" s="171">
        <f t="shared" ref="DL369:DL432" ca="1" si="592">IF(DL$48&lt;$B$9,BB369,BB369*((1/(1+$B$10))^(DL$48-$B$9+1)))</f>
        <v>0</v>
      </c>
      <c r="DM369" s="171">
        <f t="shared" ref="DM369:DM432" ca="1" si="593">IF(DM$48&lt;$B$9,BC369,BC369*((1/(1+$B$10))^(DM$48-$B$9+1)))</f>
        <v>0</v>
      </c>
      <c r="DN369" s="171">
        <f t="shared" ref="DN369:DN432" ca="1" si="594">IF(DN$48&lt;$B$9,BD369,BD369*((1/(1+$B$10))^(DN$48-$B$9+1)))</f>
        <v>0</v>
      </c>
      <c r="DO369" s="171">
        <f t="shared" ref="DO369:DO432" ca="1" si="595">IF(DO$48&lt;$B$9,BE369,BE369*((1/(1+$B$10))^(DO$48-$B$9+1)))</f>
        <v>0</v>
      </c>
      <c r="DP369" s="171">
        <f t="shared" ref="DP369:DP432" ca="1" si="596">IF(DP$48&lt;$B$9,BF369,BF369*((1/(1+$B$10))^(DP$48-$B$9+1)))</f>
        <v>0</v>
      </c>
      <c r="DQ369" s="171">
        <f t="shared" ref="DQ369:DQ432" ca="1" si="597">IF(DQ$48&lt;$B$9,BG369,BG369*((1/(1+$B$10))^(DQ$48-$B$9+1)))</f>
        <v>0</v>
      </c>
      <c r="DR369" s="171">
        <f t="shared" ref="DR369:DR432" ca="1" si="598">IF(DR$48&lt;$B$9,BH369,BH369*((1/(1+$B$10))^(DR$48-$B$9+1)))</f>
        <v>0</v>
      </c>
      <c r="DS369" s="171">
        <f t="shared" ref="DS369:DS432" ca="1" si="599">IF(DS$48&lt;$B$9,BI369,BI369*((1/(1+$B$10))^(DS$48-$B$9+1)))</f>
        <v>0</v>
      </c>
      <c r="DT369" s="171">
        <f t="shared" ref="DT369:DT432" ca="1" si="600">IF(DT$48&lt;$B$9,BJ369,BJ369*((1/(1+$B$10))^(DT$48-$B$9+1)))</f>
        <v>0</v>
      </c>
      <c r="DU369" s="171">
        <f t="shared" ref="DU369:DU432" ca="1" si="601">IF(DU$48&lt;$B$9,BK369,BK369*((1/(1+$B$10))^(DU$48-$B$9+1)))</f>
        <v>0</v>
      </c>
      <c r="DV369" s="171">
        <f t="shared" ref="DV369:DV432" ca="1" si="602">IF(DV$48&lt;$B$9,BL369,BL369*((1/(1+$B$10))^(DV$48-$B$9+1)))</f>
        <v>0</v>
      </c>
      <c r="DW369" s="171">
        <f t="shared" ref="DW369:DW432" ca="1" si="603">IF(DW$48&lt;$B$9,BM369,BM369*((1/(1+$B$10))^(DW$48-$B$9+1)))</f>
        <v>0</v>
      </c>
      <c r="DX369" s="171">
        <f t="shared" ref="DX369:DX432" ca="1" si="604">IF(DX$48&lt;$B$9,BN369,BN369*((1/(1+$B$10))^(DX$48-$B$9+1)))</f>
        <v>0</v>
      </c>
      <c r="DY369" s="171">
        <f t="shared" ref="DY369:DY432" ca="1" si="605">IF(DY$48&lt;$B$9,BO369,BO369*((1/(1+$B$10))^(DY$48-$B$9+1)))</f>
        <v>0</v>
      </c>
      <c r="DZ369" s="171">
        <f t="shared" ref="DZ369:DZ432" ca="1" si="606">IF(DZ$48&lt;$B$9,BP369,BP369*((1/(1+$B$10))^(DZ$48-$B$9+1)))</f>
        <v>0</v>
      </c>
      <c r="EA369" s="171">
        <f t="shared" ref="EA369:EA432" ca="1" si="607">IF(EA$48&lt;$B$9,BQ369,BQ369*((1/(1+$B$10))^(EA$48-$B$9+1)))</f>
        <v>0</v>
      </c>
      <c r="EB369" s="171">
        <f t="shared" ref="EB369:EB432" ca="1" si="608">IF(EB$48&lt;$B$9,BR369,BR369*((1/(1+$B$10))^(EB$48-$B$9+1)))</f>
        <v>0</v>
      </c>
      <c r="EC369" s="171">
        <f t="shared" ref="EC369:EC432" ca="1" si="609">IF(EC$48&lt;$B$9,BS369,BS369*((1/(1+$B$10))^(EC$48-$B$9+1)))</f>
        <v>0</v>
      </c>
      <c r="ED369" s="171">
        <f t="shared" ref="ED369:ED432" ca="1" si="610">IF(ED$48&lt;$B$9,BT369,BT369*((1/(1+$B$10))^(ED$48-$B$9+1)))</f>
        <v>0</v>
      </c>
      <c r="EE369" s="171">
        <f t="shared" ref="EE369:EE432" ca="1" si="611">IF(EE$48&lt;$B$9,BU369,BU369*((1/(1+$B$10))^(EE$48-$B$9+1)))</f>
        <v>0</v>
      </c>
      <c r="EF369" s="171">
        <f t="shared" ref="EF369:EF432" ca="1" si="612">IF(EF$48&lt;$B$9,BV369,BV369*((1/(1+$B$10))^(EF$48-$B$9+1)))</f>
        <v>0</v>
      </c>
      <c r="EG369" s="171">
        <f t="shared" ref="EG369:EG432" ca="1" si="613">IF(EG$48&lt;$B$9,BW369,BW369*((1/(1+$B$10))^(EG$48-$B$9+1)))</f>
        <v>0</v>
      </c>
      <c r="EH369" s="171">
        <f t="shared" ref="EH369:EH432" ca="1" si="614">IF(EH$48&lt;$B$9,BX369,BX369*((1/(1+$B$10))^(EH$48-$B$9+1)))</f>
        <v>0</v>
      </c>
      <c r="EI369" s="171">
        <f t="shared" ref="EI369:EI432" ca="1" si="615">IF(EI$48&lt;$B$9,BY369,BY369*((1/(1+$B$10))^(EI$48-$B$9+1)))</f>
        <v>0</v>
      </c>
      <c r="EJ369" s="171">
        <f t="shared" ref="EJ369:EJ432" ca="1" si="616">IF(EJ$48&lt;$B$9,BZ369,BZ369*((1/(1+$B$10))^(EJ$48-$B$9+1)))</f>
        <v>0</v>
      </c>
      <c r="EK369" s="171">
        <f t="shared" ref="EK369:EK432" ca="1" si="617">IF(EK$48&lt;$B$9,CA369,CA369*((1/(1+$B$10))^(EK$48-$B$9+1)))</f>
        <v>0</v>
      </c>
      <c r="EL369" s="171">
        <f t="shared" ref="EL369:EL432" ca="1" si="618">IF(EL$48&lt;$B$9,CB369,CB369*((1/(1+$B$10))^(EL$48-$B$9+1)))</f>
        <v>0</v>
      </c>
      <c r="EM369" s="171">
        <f t="shared" ref="EM369:EM432" ca="1" si="619">IF(EM$48&lt;$B$9,CC369,CC369*((1/(1+$B$10))^(EM$48-$B$9+1)))</f>
        <v>0</v>
      </c>
      <c r="EN369" s="171">
        <f t="shared" ref="EN369:EN432" ca="1" si="620">IF(EN$48&lt;$B$9,CD369,CD369*((1/(1+$B$10))^(EN$48-$B$9+1)))</f>
        <v>0</v>
      </c>
      <c r="EO369" s="171">
        <f t="shared" ref="EO369:EO432" ca="1" si="621">IF(EO$48&lt;$B$9,CE369,CE369*((1/(1+$B$10))^(EO$48-$B$9+1)))</f>
        <v>0</v>
      </c>
      <c r="EP369" s="171">
        <f t="shared" ref="EP369:EP432" ca="1" si="622">IF(EP$48&lt;$B$9,CF369,CF369*((1/(1+$B$10))^(EP$48-$B$9+1)))</f>
        <v>0</v>
      </c>
      <c r="EQ369" s="171">
        <f t="shared" ref="EQ369:EQ432" ca="1" si="623">IF(EQ$48&lt;$B$9,CG369,CG369*((1/(1+$B$10))^(EQ$48-$B$9+1)))</f>
        <v>0</v>
      </c>
      <c r="ER369" s="171">
        <f t="shared" ref="ER369:ER432" ca="1" si="624">IF(ER$48&lt;$B$9,CH369,CH369*((1/(1+$B$10))^(ER$48-$B$9+1)))</f>
        <v>0</v>
      </c>
      <c r="ES369" s="171">
        <f t="shared" ref="ES369:ES432" ca="1" si="625">IF(ES$48&lt;$B$9,CI369,CI369*((1/(1+$B$10))^(ES$48-$B$9+1)))</f>
        <v>0</v>
      </c>
    </row>
    <row r="370" spans="3:149">
      <c r="C370" s="214"/>
      <c r="L370" s="163"/>
      <c r="M370" s="164" t="str">
        <f t="shared" si="550"/>
        <v/>
      </c>
      <c r="N370" s="164" t="str">
        <f t="shared" si="551"/>
        <v/>
      </c>
      <c r="O370" s="165" t="str">
        <f t="shared" si="552"/>
        <v/>
      </c>
      <c r="R370" s="168" t="str">
        <f t="shared" si="537"/>
        <v/>
      </c>
      <c r="U370" s="171">
        <f t="shared" si="553"/>
        <v>0</v>
      </c>
      <c r="V370" s="171">
        <f t="shared" ca="1" si="554"/>
        <v>0</v>
      </c>
      <c r="W370" s="171">
        <f t="shared" ca="1" si="555"/>
        <v>0</v>
      </c>
      <c r="X370" s="172">
        <f t="shared" si="556"/>
        <v>0</v>
      </c>
      <c r="Y370" s="172" t="str">
        <f t="shared" si="557"/>
        <v/>
      </c>
      <c r="Z370" s="173">
        <f t="shared" si="558"/>
        <v>0</v>
      </c>
      <c r="AA370" s="171">
        <f t="shared" si="559"/>
        <v>0</v>
      </c>
      <c r="AB370" s="171">
        <f t="shared" si="559"/>
        <v>0</v>
      </c>
      <c r="AC370" s="171">
        <f t="shared" si="559"/>
        <v>0</v>
      </c>
      <c r="AD370" s="171">
        <f t="shared" si="559"/>
        <v>0</v>
      </c>
      <c r="AE370" s="171">
        <f t="shared" si="559"/>
        <v>0</v>
      </c>
      <c r="AF370" s="171">
        <f t="shared" si="559"/>
        <v>0</v>
      </c>
      <c r="AG370" s="171">
        <f t="shared" si="559"/>
        <v>0</v>
      </c>
      <c r="AH370" s="171">
        <f t="shared" si="559"/>
        <v>0</v>
      </c>
      <c r="AI370" s="171">
        <f t="shared" si="559"/>
        <v>0</v>
      </c>
      <c r="AJ370" s="171">
        <f t="shared" si="559"/>
        <v>0</v>
      </c>
      <c r="AK370" s="171">
        <f t="shared" si="560"/>
        <v>0</v>
      </c>
      <c r="AL370" s="171">
        <f t="shared" si="560"/>
        <v>0</v>
      </c>
      <c r="AM370" s="171">
        <f t="shared" si="560"/>
        <v>0</v>
      </c>
      <c r="AN370" s="171">
        <f t="shared" si="560"/>
        <v>0</v>
      </c>
      <c r="AO370" s="171">
        <f t="shared" si="560"/>
        <v>0</v>
      </c>
      <c r="AP370" s="171">
        <f t="shared" si="560"/>
        <v>0</v>
      </c>
      <c r="AQ370" s="171">
        <f t="shared" si="560"/>
        <v>0</v>
      </c>
      <c r="AR370" s="171">
        <f t="shared" si="560"/>
        <v>0</v>
      </c>
      <c r="AS370" s="171">
        <f t="shared" si="560"/>
        <v>0</v>
      </c>
      <c r="AT370" s="171">
        <f t="shared" si="560"/>
        <v>0</v>
      </c>
      <c r="AU370" s="171">
        <f t="shared" si="561"/>
        <v>0</v>
      </c>
      <c r="AV370" s="171">
        <f t="shared" si="561"/>
        <v>0</v>
      </c>
      <c r="AW370" s="171">
        <f t="shared" si="561"/>
        <v>0</v>
      </c>
      <c r="AX370" s="171">
        <f t="shared" si="561"/>
        <v>0</v>
      </c>
      <c r="AY370" s="171">
        <f t="shared" si="561"/>
        <v>0</v>
      </c>
      <c r="AZ370" s="171">
        <f t="shared" si="561"/>
        <v>0</v>
      </c>
      <c r="BA370" s="171">
        <f t="shared" si="561"/>
        <v>0</v>
      </c>
      <c r="BB370" s="171">
        <f t="shared" si="561"/>
        <v>0</v>
      </c>
      <c r="BC370" s="171">
        <f t="shared" si="561"/>
        <v>0</v>
      </c>
      <c r="BD370" s="171">
        <f t="shared" si="561"/>
        <v>0</v>
      </c>
      <c r="BE370" s="171">
        <f t="shared" si="562"/>
        <v>0</v>
      </c>
      <c r="BF370" s="171">
        <f t="shared" si="562"/>
        <v>0</v>
      </c>
      <c r="BG370" s="171">
        <f t="shared" si="562"/>
        <v>0</v>
      </c>
      <c r="BH370" s="171">
        <f t="shared" si="562"/>
        <v>0</v>
      </c>
      <c r="BI370" s="171">
        <f t="shared" si="562"/>
        <v>0</v>
      </c>
      <c r="BJ370" s="171">
        <f t="shared" si="562"/>
        <v>0</v>
      </c>
      <c r="BK370" s="171">
        <f t="shared" si="562"/>
        <v>0</v>
      </c>
      <c r="BL370" s="171">
        <f t="shared" si="562"/>
        <v>0</v>
      </c>
      <c r="BM370" s="171">
        <f t="shared" si="562"/>
        <v>0</v>
      </c>
      <c r="BN370" s="171">
        <f t="shared" si="562"/>
        <v>0</v>
      </c>
      <c r="BO370" s="171">
        <f t="shared" si="563"/>
        <v>0</v>
      </c>
      <c r="BP370" s="171">
        <f t="shared" si="563"/>
        <v>0</v>
      </c>
      <c r="BQ370" s="171">
        <f t="shared" si="563"/>
        <v>0</v>
      </c>
      <c r="BR370" s="171">
        <f t="shared" si="563"/>
        <v>0</v>
      </c>
      <c r="BS370" s="171">
        <f t="shared" si="563"/>
        <v>0</v>
      </c>
      <c r="BT370" s="171">
        <f t="shared" si="563"/>
        <v>0</v>
      </c>
      <c r="BU370" s="171">
        <f t="shared" si="563"/>
        <v>0</v>
      </c>
      <c r="BV370" s="171">
        <f t="shared" si="563"/>
        <v>0</v>
      </c>
      <c r="BW370" s="171">
        <f t="shared" si="563"/>
        <v>0</v>
      </c>
      <c r="BX370" s="171">
        <f t="shared" si="563"/>
        <v>0</v>
      </c>
      <c r="BY370" s="171">
        <f t="shared" si="564"/>
        <v>0</v>
      </c>
      <c r="BZ370" s="171">
        <f t="shared" si="564"/>
        <v>0</v>
      </c>
      <c r="CA370" s="171">
        <f t="shared" si="564"/>
        <v>0</v>
      </c>
      <c r="CB370" s="171">
        <f t="shared" si="564"/>
        <v>0</v>
      </c>
      <c r="CC370" s="171">
        <f t="shared" si="564"/>
        <v>0</v>
      </c>
      <c r="CD370" s="171">
        <f t="shared" si="564"/>
        <v>0</v>
      </c>
      <c r="CE370" s="171">
        <f t="shared" si="564"/>
        <v>0</v>
      </c>
      <c r="CF370" s="171">
        <f t="shared" si="564"/>
        <v>0</v>
      </c>
      <c r="CG370" s="171">
        <f t="shared" si="564"/>
        <v>0</v>
      </c>
      <c r="CH370" s="171">
        <f t="shared" si="564"/>
        <v>0</v>
      </c>
      <c r="CI370" s="171">
        <f t="shared" si="564"/>
        <v>0</v>
      </c>
      <c r="CJ370" s="243"/>
      <c r="CK370" s="171">
        <f t="shared" si="565"/>
        <v>0</v>
      </c>
      <c r="CL370" s="171">
        <f t="shared" si="566"/>
        <v>0</v>
      </c>
      <c r="CM370" s="171">
        <f t="shared" si="567"/>
        <v>0</v>
      </c>
      <c r="CN370" s="171">
        <f t="shared" si="568"/>
        <v>0</v>
      </c>
      <c r="CO370" s="171">
        <f t="shared" si="569"/>
        <v>0</v>
      </c>
      <c r="CP370" s="171">
        <f t="shared" si="570"/>
        <v>0</v>
      </c>
      <c r="CQ370" s="171">
        <f t="shared" si="571"/>
        <v>0</v>
      </c>
      <c r="CR370" s="171">
        <f t="shared" si="572"/>
        <v>0</v>
      </c>
      <c r="CS370" s="171">
        <f t="shared" si="573"/>
        <v>0</v>
      </c>
      <c r="CT370" s="171">
        <f t="shared" si="574"/>
        <v>0</v>
      </c>
      <c r="CU370" s="171">
        <f t="shared" si="575"/>
        <v>0</v>
      </c>
      <c r="CV370" s="171">
        <f t="shared" si="576"/>
        <v>0</v>
      </c>
      <c r="CW370" s="171">
        <f t="shared" si="577"/>
        <v>0</v>
      </c>
      <c r="CX370" s="171">
        <f t="shared" si="578"/>
        <v>0</v>
      </c>
      <c r="CY370" s="171">
        <f t="shared" ca="1" si="579"/>
        <v>0</v>
      </c>
      <c r="CZ370" s="171">
        <f t="shared" ca="1" si="580"/>
        <v>0</v>
      </c>
      <c r="DA370" s="171">
        <f t="shared" ca="1" si="581"/>
        <v>0</v>
      </c>
      <c r="DB370" s="171">
        <f t="shared" ca="1" si="582"/>
        <v>0</v>
      </c>
      <c r="DC370" s="171">
        <f t="shared" ca="1" si="583"/>
        <v>0</v>
      </c>
      <c r="DD370" s="171">
        <f t="shared" ca="1" si="584"/>
        <v>0</v>
      </c>
      <c r="DE370" s="171">
        <f t="shared" ca="1" si="585"/>
        <v>0</v>
      </c>
      <c r="DF370" s="171">
        <f t="shared" ca="1" si="586"/>
        <v>0</v>
      </c>
      <c r="DG370" s="171">
        <f t="shared" ca="1" si="587"/>
        <v>0</v>
      </c>
      <c r="DH370" s="171">
        <f t="shared" ca="1" si="588"/>
        <v>0</v>
      </c>
      <c r="DI370" s="171">
        <f t="shared" ca="1" si="589"/>
        <v>0</v>
      </c>
      <c r="DJ370" s="171">
        <f t="shared" ca="1" si="590"/>
        <v>0</v>
      </c>
      <c r="DK370" s="171">
        <f t="shared" ca="1" si="591"/>
        <v>0</v>
      </c>
      <c r="DL370" s="171">
        <f t="shared" ca="1" si="592"/>
        <v>0</v>
      </c>
      <c r="DM370" s="171">
        <f t="shared" ca="1" si="593"/>
        <v>0</v>
      </c>
      <c r="DN370" s="171">
        <f t="shared" ca="1" si="594"/>
        <v>0</v>
      </c>
      <c r="DO370" s="171">
        <f t="shared" ca="1" si="595"/>
        <v>0</v>
      </c>
      <c r="DP370" s="171">
        <f t="shared" ca="1" si="596"/>
        <v>0</v>
      </c>
      <c r="DQ370" s="171">
        <f t="shared" ca="1" si="597"/>
        <v>0</v>
      </c>
      <c r="DR370" s="171">
        <f t="shared" ca="1" si="598"/>
        <v>0</v>
      </c>
      <c r="DS370" s="171">
        <f t="shared" ca="1" si="599"/>
        <v>0</v>
      </c>
      <c r="DT370" s="171">
        <f t="shared" ca="1" si="600"/>
        <v>0</v>
      </c>
      <c r="DU370" s="171">
        <f t="shared" ca="1" si="601"/>
        <v>0</v>
      </c>
      <c r="DV370" s="171">
        <f t="shared" ca="1" si="602"/>
        <v>0</v>
      </c>
      <c r="DW370" s="171">
        <f t="shared" ca="1" si="603"/>
        <v>0</v>
      </c>
      <c r="DX370" s="171">
        <f t="shared" ca="1" si="604"/>
        <v>0</v>
      </c>
      <c r="DY370" s="171">
        <f t="shared" ca="1" si="605"/>
        <v>0</v>
      </c>
      <c r="DZ370" s="171">
        <f t="shared" ca="1" si="606"/>
        <v>0</v>
      </c>
      <c r="EA370" s="171">
        <f t="shared" ca="1" si="607"/>
        <v>0</v>
      </c>
      <c r="EB370" s="171">
        <f t="shared" ca="1" si="608"/>
        <v>0</v>
      </c>
      <c r="EC370" s="171">
        <f t="shared" ca="1" si="609"/>
        <v>0</v>
      </c>
      <c r="ED370" s="171">
        <f t="shared" ca="1" si="610"/>
        <v>0</v>
      </c>
      <c r="EE370" s="171">
        <f t="shared" ca="1" si="611"/>
        <v>0</v>
      </c>
      <c r="EF370" s="171">
        <f t="shared" ca="1" si="612"/>
        <v>0</v>
      </c>
      <c r="EG370" s="171">
        <f t="shared" ca="1" si="613"/>
        <v>0</v>
      </c>
      <c r="EH370" s="171">
        <f t="shared" ca="1" si="614"/>
        <v>0</v>
      </c>
      <c r="EI370" s="171">
        <f t="shared" ca="1" si="615"/>
        <v>0</v>
      </c>
      <c r="EJ370" s="171">
        <f t="shared" ca="1" si="616"/>
        <v>0</v>
      </c>
      <c r="EK370" s="171">
        <f t="shared" ca="1" si="617"/>
        <v>0</v>
      </c>
      <c r="EL370" s="171">
        <f t="shared" ca="1" si="618"/>
        <v>0</v>
      </c>
      <c r="EM370" s="171">
        <f t="shared" ca="1" si="619"/>
        <v>0</v>
      </c>
      <c r="EN370" s="171">
        <f t="shared" ca="1" si="620"/>
        <v>0</v>
      </c>
      <c r="EO370" s="171">
        <f t="shared" ca="1" si="621"/>
        <v>0</v>
      </c>
      <c r="EP370" s="171">
        <f t="shared" ca="1" si="622"/>
        <v>0</v>
      </c>
      <c r="EQ370" s="171">
        <f t="shared" ca="1" si="623"/>
        <v>0</v>
      </c>
      <c r="ER370" s="171">
        <f t="shared" ca="1" si="624"/>
        <v>0</v>
      </c>
      <c r="ES370" s="171">
        <f t="shared" ca="1" si="625"/>
        <v>0</v>
      </c>
    </row>
    <row r="371" spans="3:149">
      <c r="C371" s="214"/>
      <c r="L371" s="163"/>
      <c r="M371" s="164" t="str">
        <f t="shared" si="550"/>
        <v/>
      </c>
      <c r="N371" s="164" t="str">
        <f t="shared" si="551"/>
        <v/>
      </c>
      <c r="O371" s="165" t="str">
        <f t="shared" si="552"/>
        <v/>
      </c>
      <c r="R371" s="168" t="str">
        <f t="shared" si="537"/>
        <v/>
      </c>
      <c r="U371" s="171">
        <f t="shared" si="553"/>
        <v>0</v>
      </c>
      <c r="V371" s="171">
        <f t="shared" ca="1" si="554"/>
        <v>0</v>
      </c>
      <c r="W371" s="171">
        <f t="shared" ca="1" si="555"/>
        <v>0</v>
      </c>
      <c r="X371" s="172">
        <f t="shared" si="556"/>
        <v>0</v>
      </c>
      <c r="Y371" s="172" t="str">
        <f t="shared" si="557"/>
        <v/>
      </c>
      <c r="Z371" s="173">
        <f t="shared" si="558"/>
        <v>0</v>
      </c>
      <c r="AA371" s="171">
        <f t="shared" si="559"/>
        <v>0</v>
      </c>
      <c r="AB371" s="171">
        <f t="shared" si="559"/>
        <v>0</v>
      </c>
      <c r="AC371" s="171">
        <f t="shared" si="559"/>
        <v>0</v>
      </c>
      <c r="AD371" s="171">
        <f t="shared" si="559"/>
        <v>0</v>
      </c>
      <c r="AE371" s="171">
        <f t="shared" si="559"/>
        <v>0</v>
      </c>
      <c r="AF371" s="171">
        <f t="shared" si="559"/>
        <v>0</v>
      </c>
      <c r="AG371" s="171">
        <f t="shared" si="559"/>
        <v>0</v>
      </c>
      <c r="AH371" s="171">
        <f t="shared" si="559"/>
        <v>0</v>
      </c>
      <c r="AI371" s="171">
        <f t="shared" si="559"/>
        <v>0</v>
      </c>
      <c r="AJ371" s="171">
        <f t="shared" si="559"/>
        <v>0</v>
      </c>
      <c r="AK371" s="171">
        <f t="shared" si="560"/>
        <v>0</v>
      </c>
      <c r="AL371" s="171">
        <f t="shared" si="560"/>
        <v>0</v>
      </c>
      <c r="AM371" s="171">
        <f t="shared" si="560"/>
        <v>0</v>
      </c>
      <c r="AN371" s="171">
        <f t="shared" si="560"/>
        <v>0</v>
      </c>
      <c r="AO371" s="171">
        <f t="shared" si="560"/>
        <v>0</v>
      </c>
      <c r="AP371" s="171">
        <f t="shared" si="560"/>
        <v>0</v>
      </c>
      <c r="AQ371" s="171">
        <f t="shared" si="560"/>
        <v>0</v>
      </c>
      <c r="AR371" s="171">
        <f t="shared" si="560"/>
        <v>0</v>
      </c>
      <c r="AS371" s="171">
        <f t="shared" si="560"/>
        <v>0</v>
      </c>
      <c r="AT371" s="171">
        <f t="shared" si="560"/>
        <v>0</v>
      </c>
      <c r="AU371" s="171">
        <f t="shared" si="561"/>
        <v>0</v>
      </c>
      <c r="AV371" s="171">
        <f t="shared" si="561"/>
        <v>0</v>
      </c>
      <c r="AW371" s="171">
        <f t="shared" si="561"/>
        <v>0</v>
      </c>
      <c r="AX371" s="171">
        <f t="shared" si="561"/>
        <v>0</v>
      </c>
      <c r="AY371" s="171">
        <f t="shared" si="561"/>
        <v>0</v>
      </c>
      <c r="AZ371" s="171">
        <f t="shared" si="561"/>
        <v>0</v>
      </c>
      <c r="BA371" s="171">
        <f t="shared" si="561"/>
        <v>0</v>
      </c>
      <c r="BB371" s="171">
        <f t="shared" si="561"/>
        <v>0</v>
      </c>
      <c r="BC371" s="171">
        <f t="shared" si="561"/>
        <v>0</v>
      </c>
      <c r="BD371" s="171">
        <f t="shared" si="561"/>
        <v>0</v>
      </c>
      <c r="BE371" s="171">
        <f t="shared" si="562"/>
        <v>0</v>
      </c>
      <c r="BF371" s="171">
        <f t="shared" si="562"/>
        <v>0</v>
      </c>
      <c r="BG371" s="171">
        <f t="shared" si="562"/>
        <v>0</v>
      </c>
      <c r="BH371" s="171">
        <f t="shared" si="562"/>
        <v>0</v>
      </c>
      <c r="BI371" s="171">
        <f t="shared" si="562"/>
        <v>0</v>
      </c>
      <c r="BJ371" s="171">
        <f t="shared" si="562"/>
        <v>0</v>
      </c>
      <c r="BK371" s="171">
        <f t="shared" si="562"/>
        <v>0</v>
      </c>
      <c r="BL371" s="171">
        <f t="shared" si="562"/>
        <v>0</v>
      </c>
      <c r="BM371" s="171">
        <f t="shared" si="562"/>
        <v>0</v>
      </c>
      <c r="BN371" s="171">
        <f t="shared" si="562"/>
        <v>0</v>
      </c>
      <c r="BO371" s="171">
        <f t="shared" si="563"/>
        <v>0</v>
      </c>
      <c r="BP371" s="171">
        <f t="shared" si="563"/>
        <v>0</v>
      </c>
      <c r="BQ371" s="171">
        <f t="shared" si="563"/>
        <v>0</v>
      </c>
      <c r="BR371" s="171">
        <f t="shared" si="563"/>
        <v>0</v>
      </c>
      <c r="BS371" s="171">
        <f t="shared" si="563"/>
        <v>0</v>
      </c>
      <c r="BT371" s="171">
        <f t="shared" si="563"/>
        <v>0</v>
      </c>
      <c r="BU371" s="171">
        <f t="shared" si="563"/>
        <v>0</v>
      </c>
      <c r="BV371" s="171">
        <f t="shared" si="563"/>
        <v>0</v>
      </c>
      <c r="BW371" s="171">
        <f t="shared" si="563"/>
        <v>0</v>
      </c>
      <c r="BX371" s="171">
        <f t="shared" si="563"/>
        <v>0</v>
      </c>
      <c r="BY371" s="171">
        <f t="shared" si="564"/>
        <v>0</v>
      </c>
      <c r="BZ371" s="171">
        <f t="shared" si="564"/>
        <v>0</v>
      </c>
      <c r="CA371" s="171">
        <f t="shared" si="564"/>
        <v>0</v>
      </c>
      <c r="CB371" s="171">
        <f t="shared" si="564"/>
        <v>0</v>
      </c>
      <c r="CC371" s="171">
        <f t="shared" si="564"/>
        <v>0</v>
      </c>
      <c r="CD371" s="171">
        <f t="shared" si="564"/>
        <v>0</v>
      </c>
      <c r="CE371" s="171">
        <f t="shared" si="564"/>
        <v>0</v>
      </c>
      <c r="CF371" s="171">
        <f t="shared" si="564"/>
        <v>0</v>
      </c>
      <c r="CG371" s="171">
        <f t="shared" si="564"/>
        <v>0</v>
      </c>
      <c r="CH371" s="171">
        <f t="shared" si="564"/>
        <v>0</v>
      </c>
      <c r="CI371" s="171">
        <f t="shared" si="564"/>
        <v>0</v>
      </c>
      <c r="CJ371" s="243"/>
      <c r="CK371" s="171">
        <f t="shared" si="565"/>
        <v>0</v>
      </c>
      <c r="CL371" s="171">
        <f t="shared" si="566"/>
        <v>0</v>
      </c>
      <c r="CM371" s="171">
        <f t="shared" si="567"/>
        <v>0</v>
      </c>
      <c r="CN371" s="171">
        <f t="shared" si="568"/>
        <v>0</v>
      </c>
      <c r="CO371" s="171">
        <f t="shared" si="569"/>
        <v>0</v>
      </c>
      <c r="CP371" s="171">
        <f t="shared" si="570"/>
        <v>0</v>
      </c>
      <c r="CQ371" s="171">
        <f t="shared" si="571"/>
        <v>0</v>
      </c>
      <c r="CR371" s="171">
        <f t="shared" si="572"/>
        <v>0</v>
      </c>
      <c r="CS371" s="171">
        <f t="shared" si="573"/>
        <v>0</v>
      </c>
      <c r="CT371" s="171">
        <f t="shared" si="574"/>
        <v>0</v>
      </c>
      <c r="CU371" s="171">
        <f t="shared" si="575"/>
        <v>0</v>
      </c>
      <c r="CV371" s="171">
        <f t="shared" si="576"/>
        <v>0</v>
      </c>
      <c r="CW371" s="171">
        <f t="shared" si="577"/>
        <v>0</v>
      </c>
      <c r="CX371" s="171">
        <f t="shared" si="578"/>
        <v>0</v>
      </c>
      <c r="CY371" s="171">
        <f t="shared" ca="1" si="579"/>
        <v>0</v>
      </c>
      <c r="CZ371" s="171">
        <f t="shared" ca="1" si="580"/>
        <v>0</v>
      </c>
      <c r="DA371" s="171">
        <f t="shared" ca="1" si="581"/>
        <v>0</v>
      </c>
      <c r="DB371" s="171">
        <f t="shared" ca="1" si="582"/>
        <v>0</v>
      </c>
      <c r="DC371" s="171">
        <f t="shared" ca="1" si="583"/>
        <v>0</v>
      </c>
      <c r="DD371" s="171">
        <f t="shared" ca="1" si="584"/>
        <v>0</v>
      </c>
      <c r="DE371" s="171">
        <f t="shared" ca="1" si="585"/>
        <v>0</v>
      </c>
      <c r="DF371" s="171">
        <f t="shared" ca="1" si="586"/>
        <v>0</v>
      </c>
      <c r="DG371" s="171">
        <f t="shared" ca="1" si="587"/>
        <v>0</v>
      </c>
      <c r="DH371" s="171">
        <f t="shared" ca="1" si="588"/>
        <v>0</v>
      </c>
      <c r="DI371" s="171">
        <f t="shared" ca="1" si="589"/>
        <v>0</v>
      </c>
      <c r="DJ371" s="171">
        <f t="shared" ca="1" si="590"/>
        <v>0</v>
      </c>
      <c r="DK371" s="171">
        <f t="shared" ca="1" si="591"/>
        <v>0</v>
      </c>
      <c r="DL371" s="171">
        <f t="shared" ca="1" si="592"/>
        <v>0</v>
      </c>
      <c r="DM371" s="171">
        <f t="shared" ca="1" si="593"/>
        <v>0</v>
      </c>
      <c r="DN371" s="171">
        <f t="shared" ca="1" si="594"/>
        <v>0</v>
      </c>
      <c r="DO371" s="171">
        <f t="shared" ca="1" si="595"/>
        <v>0</v>
      </c>
      <c r="DP371" s="171">
        <f t="shared" ca="1" si="596"/>
        <v>0</v>
      </c>
      <c r="DQ371" s="171">
        <f t="shared" ca="1" si="597"/>
        <v>0</v>
      </c>
      <c r="DR371" s="171">
        <f t="shared" ca="1" si="598"/>
        <v>0</v>
      </c>
      <c r="DS371" s="171">
        <f t="shared" ca="1" si="599"/>
        <v>0</v>
      </c>
      <c r="DT371" s="171">
        <f t="shared" ca="1" si="600"/>
        <v>0</v>
      </c>
      <c r="DU371" s="171">
        <f t="shared" ca="1" si="601"/>
        <v>0</v>
      </c>
      <c r="DV371" s="171">
        <f t="shared" ca="1" si="602"/>
        <v>0</v>
      </c>
      <c r="DW371" s="171">
        <f t="shared" ca="1" si="603"/>
        <v>0</v>
      </c>
      <c r="DX371" s="171">
        <f t="shared" ca="1" si="604"/>
        <v>0</v>
      </c>
      <c r="DY371" s="171">
        <f t="shared" ca="1" si="605"/>
        <v>0</v>
      </c>
      <c r="DZ371" s="171">
        <f t="shared" ca="1" si="606"/>
        <v>0</v>
      </c>
      <c r="EA371" s="171">
        <f t="shared" ca="1" si="607"/>
        <v>0</v>
      </c>
      <c r="EB371" s="171">
        <f t="shared" ca="1" si="608"/>
        <v>0</v>
      </c>
      <c r="EC371" s="171">
        <f t="shared" ca="1" si="609"/>
        <v>0</v>
      </c>
      <c r="ED371" s="171">
        <f t="shared" ca="1" si="610"/>
        <v>0</v>
      </c>
      <c r="EE371" s="171">
        <f t="shared" ca="1" si="611"/>
        <v>0</v>
      </c>
      <c r="EF371" s="171">
        <f t="shared" ca="1" si="612"/>
        <v>0</v>
      </c>
      <c r="EG371" s="171">
        <f t="shared" ca="1" si="613"/>
        <v>0</v>
      </c>
      <c r="EH371" s="171">
        <f t="shared" ca="1" si="614"/>
        <v>0</v>
      </c>
      <c r="EI371" s="171">
        <f t="shared" ca="1" si="615"/>
        <v>0</v>
      </c>
      <c r="EJ371" s="171">
        <f t="shared" ca="1" si="616"/>
        <v>0</v>
      </c>
      <c r="EK371" s="171">
        <f t="shared" ca="1" si="617"/>
        <v>0</v>
      </c>
      <c r="EL371" s="171">
        <f t="shared" ca="1" si="618"/>
        <v>0</v>
      </c>
      <c r="EM371" s="171">
        <f t="shared" ca="1" si="619"/>
        <v>0</v>
      </c>
      <c r="EN371" s="171">
        <f t="shared" ca="1" si="620"/>
        <v>0</v>
      </c>
      <c r="EO371" s="171">
        <f t="shared" ca="1" si="621"/>
        <v>0</v>
      </c>
      <c r="EP371" s="171">
        <f t="shared" ca="1" si="622"/>
        <v>0</v>
      </c>
      <c r="EQ371" s="171">
        <f t="shared" ca="1" si="623"/>
        <v>0</v>
      </c>
      <c r="ER371" s="171">
        <f t="shared" ca="1" si="624"/>
        <v>0</v>
      </c>
      <c r="ES371" s="171">
        <f t="shared" ca="1" si="625"/>
        <v>0</v>
      </c>
    </row>
    <row r="372" spans="3:149">
      <c r="C372" s="214"/>
      <c r="L372" s="163"/>
      <c r="M372" s="164" t="str">
        <f t="shared" si="550"/>
        <v/>
      </c>
      <c r="N372" s="164" t="str">
        <f t="shared" si="551"/>
        <v/>
      </c>
      <c r="O372" s="165" t="str">
        <f t="shared" si="552"/>
        <v/>
      </c>
      <c r="R372" s="168" t="str">
        <f t="shared" si="537"/>
        <v/>
      </c>
      <c r="U372" s="171">
        <f t="shared" si="553"/>
        <v>0</v>
      </c>
      <c r="V372" s="171">
        <f t="shared" ca="1" si="554"/>
        <v>0</v>
      </c>
      <c r="W372" s="171">
        <f t="shared" ca="1" si="555"/>
        <v>0</v>
      </c>
      <c r="X372" s="172">
        <f t="shared" si="556"/>
        <v>0</v>
      </c>
      <c r="Y372" s="172" t="str">
        <f t="shared" si="557"/>
        <v/>
      </c>
      <c r="Z372" s="173">
        <f t="shared" si="558"/>
        <v>0</v>
      </c>
      <c r="AA372" s="171">
        <f t="shared" si="559"/>
        <v>0</v>
      </c>
      <c r="AB372" s="171">
        <f t="shared" si="559"/>
        <v>0</v>
      </c>
      <c r="AC372" s="171">
        <f t="shared" si="559"/>
        <v>0</v>
      </c>
      <c r="AD372" s="171">
        <f t="shared" si="559"/>
        <v>0</v>
      </c>
      <c r="AE372" s="171">
        <f t="shared" si="559"/>
        <v>0</v>
      </c>
      <c r="AF372" s="171">
        <f t="shared" si="559"/>
        <v>0</v>
      </c>
      <c r="AG372" s="171">
        <f t="shared" si="559"/>
        <v>0</v>
      </c>
      <c r="AH372" s="171">
        <f t="shared" si="559"/>
        <v>0</v>
      </c>
      <c r="AI372" s="171">
        <f t="shared" si="559"/>
        <v>0</v>
      </c>
      <c r="AJ372" s="171">
        <f t="shared" si="559"/>
        <v>0</v>
      </c>
      <c r="AK372" s="171">
        <f t="shared" si="560"/>
        <v>0</v>
      </c>
      <c r="AL372" s="171">
        <f t="shared" si="560"/>
        <v>0</v>
      </c>
      <c r="AM372" s="171">
        <f t="shared" si="560"/>
        <v>0</v>
      </c>
      <c r="AN372" s="171">
        <f t="shared" si="560"/>
        <v>0</v>
      </c>
      <c r="AO372" s="171">
        <f t="shared" si="560"/>
        <v>0</v>
      </c>
      <c r="AP372" s="171">
        <f t="shared" si="560"/>
        <v>0</v>
      </c>
      <c r="AQ372" s="171">
        <f t="shared" si="560"/>
        <v>0</v>
      </c>
      <c r="AR372" s="171">
        <f t="shared" si="560"/>
        <v>0</v>
      </c>
      <c r="AS372" s="171">
        <f t="shared" si="560"/>
        <v>0</v>
      </c>
      <c r="AT372" s="171">
        <f t="shared" si="560"/>
        <v>0</v>
      </c>
      <c r="AU372" s="171">
        <f t="shared" si="561"/>
        <v>0</v>
      </c>
      <c r="AV372" s="171">
        <f t="shared" si="561"/>
        <v>0</v>
      </c>
      <c r="AW372" s="171">
        <f t="shared" si="561"/>
        <v>0</v>
      </c>
      <c r="AX372" s="171">
        <f t="shared" si="561"/>
        <v>0</v>
      </c>
      <c r="AY372" s="171">
        <f t="shared" si="561"/>
        <v>0</v>
      </c>
      <c r="AZ372" s="171">
        <f t="shared" si="561"/>
        <v>0</v>
      </c>
      <c r="BA372" s="171">
        <f t="shared" si="561"/>
        <v>0</v>
      </c>
      <c r="BB372" s="171">
        <f t="shared" si="561"/>
        <v>0</v>
      </c>
      <c r="BC372" s="171">
        <f t="shared" si="561"/>
        <v>0</v>
      </c>
      <c r="BD372" s="171">
        <f t="shared" si="561"/>
        <v>0</v>
      </c>
      <c r="BE372" s="171">
        <f t="shared" si="562"/>
        <v>0</v>
      </c>
      <c r="BF372" s="171">
        <f t="shared" si="562"/>
        <v>0</v>
      </c>
      <c r="BG372" s="171">
        <f t="shared" si="562"/>
        <v>0</v>
      </c>
      <c r="BH372" s="171">
        <f t="shared" si="562"/>
        <v>0</v>
      </c>
      <c r="BI372" s="171">
        <f t="shared" si="562"/>
        <v>0</v>
      </c>
      <c r="BJ372" s="171">
        <f t="shared" si="562"/>
        <v>0</v>
      </c>
      <c r="BK372" s="171">
        <f t="shared" si="562"/>
        <v>0</v>
      </c>
      <c r="BL372" s="171">
        <f t="shared" si="562"/>
        <v>0</v>
      </c>
      <c r="BM372" s="171">
        <f t="shared" si="562"/>
        <v>0</v>
      </c>
      <c r="BN372" s="171">
        <f t="shared" si="562"/>
        <v>0</v>
      </c>
      <c r="BO372" s="171">
        <f t="shared" si="563"/>
        <v>0</v>
      </c>
      <c r="BP372" s="171">
        <f t="shared" si="563"/>
        <v>0</v>
      </c>
      <c r="BQ372" s="171">
        <f t="shared" si="563"/>
        <v>0</v>
      </c>
      <c r="BR372" s="171">
        <f t="shared" si="563"/>
        <v>0</v>
      </c>
      <c r="BS372" s="171">
        <f t="shared" si="563"/>
        <v>0</v>
      </c>
      <c r="BT372" s="171">
        <f t="shared" si="563"/>
        <v>0</v>
      </c>
      <c r="BU372" s="171">
        <f t="shared" si="563"/>
        <v>0</v>
      </c>
      <c r="BV372" s="171">
        <f t="shared" si="563"/>
        <v>0</v>
      </c>
      <c r="BW372" s="171">
        <f t="shared" si="563"/>
        <v>0</v>
      </c>
      <c r="BX372" s="171">
        <f t="shared" si="563"/>
        <v>0</v>
      </c>
      <c r="BY372" s="171">
        <f t="shared" si="564"/>
        <v>0</v>
      </c>
      <c r="BZ372" s="171">
        <f t="shared" si="564"/>
        <v>0</v>
      </c>
      <c r="CA372" s="171">
        <f t="shared" si="564"/>
        <v>0</v>
      </c>
      <c r="CB372" s="171">
        <f t="shared" si="564"/>
        <v>0</v>
      </c>
      <c r="CC372" s="171">
        <f t="shared" si="564"/>
        <v>0</v>
      </c>
      <c r="CD372" s="171">
        <f t="shared" si="564"/>
        <v>0</v>
      </c>
      <c r="CE372" s="171">
        <f t="shared" si="564"/>
        <v>0</v>
      </c>
      <c r="CF372" s="171">
        <f t="shared" si="564"/>
        <v>0</v>
      </c>
      <c r="CG372" s="171">
        <f t="shared" si="564"/>
        <v>0</v>
      </c>
      <c r="CH372" s="171">
        <f t="shared" si="564"/>
        <v>0</v>
      </c>
      <c r="CI372" s="171">
        <f t="shared" si="564"/>
        <v>0</v>
      </c>
      <c r="CJ372" s="243"/>
      <c r="CK372" s="171">
        <f t="shared" si="565"/>
        <v>0</v>
      </c>
      <c r="CL372" s="171">
        <f t="shared" si="566"/>
        <v>0</v>
      </c>
      <c r="CM372" s="171">
        <f t="shared" si="567"/>
        <v>0</v>
      </c>
      <c r="CN372" s="171">
        <f t="shared" si="568"/>
        <v>0</v>
      </c>
      <c r="CO372" s="171">
        <f t="shared" si="569"/>
        <v>0</v>
      </c>
      <c r="CP372" s="171">
        <f t="shared" si="570"/>
        <v>0</v>
      </c>
      <c r="CQ372" s="171">
        <f t="shared" si="571"/>
        <v>0</v>
      </c>
      <c r="CR372" s="171">
        <f t="shared" si="572"/>
        <v>0</v>
      </c>
      <c r="CS372" s="171">
        <f t="shared" si="573"/>
        <v>0</v>
      </c>
      <c r="CT372" s="171">
        <f t="shared" si="574"/>
        <v>0</v>
      </c>
      <c r="CU372" s="171">
        <f t="shared" si="575"/>
        <v>0</v>
      </c>
      <c r="CV372" s="171">
        <f t="shared" si="576"/>
        <v>0</v>
      </c>
      <c r="CW372" s="171">
        <f t="shared" si="577"/>
        <v>0</v>
      </c>
      <c r="CX372" s="171">
        <f t="shared" si="578"/>
        <v>0</v>
      </c>
      <c r="CY372" s="171">
        <f t="shared" ca="1" si="579"/>
        <v>0</v>
      </c>
      <c r="CZ372" s="171">
        <f t="shared" ca="1" si="580"/>
        <v>0</v>
      </c>
      <c r="DA372" s="171">
        <f t="shared" ca="1" si="581"/>
        <v>0</v>
      </c>
      <c r="DB372" s="171">
        <f t="shared" ca="1" si="582"/>
        <v>0</v>
      </c>
      <c r="DC372" s="171">
        <f t="shared" ca="1" si="583"/>
        <v>0</v>
      </c>
      <c r="DD372" s="171">
        <f t="shared" ca="1" si="584"/>
        <v>0</v>
      </c>
      <c r="DE372" s="171">
        <f t="shared" ca="1" si="585"/>
        <v>0</v>
      </c>
      <c r="DF372" s="171">
        <f t="shared" ca="1" si="586"/>
        <v>0</v>
      </c>
      <c r="DG372" s="171">
        <f t="shared" ca="1" si="587"/>
        <v>0</v>
      </c>
      <c r="DH372" s="171">
        <f t="shared" ca="1" si="588"/>
        <v>0</v>
      </c>
      <c r="DI372" s="171">
        <f t="shared" ca="1" si="589"/>
        <v>0</v>
      </c>
      <c r="DJ372" s="171">
        <f t="shared" ca="1" si="590"/>
        <v>0</v>
      </c>
      <c r="DK372" s="171">
        <f t="shared" ca="1" si="591"/>
        <v>0</v>
      </c>
      <c r="DL372" s="171">
        <f t="shared" ca="1" si="592"/>
        <v>0</v>
      </c>
      <c r="DM372" s="171">
        <f t="shared" ca="1" si="593"/>
        <v>0</v>
      </c>
      <c r="DN372" s="171">
        <f t="shared" ca="1" si="594"/>
        <v>0</v>
      </c>
      <c r="DO372" s="171">
        <f t="shared" ca="1" si="595"/>
        <v>0</v>
      </c>
      <c r="DP372" s="171">
        <f t="shared" ca="1" si="596"/>
        <v>0</v>
      </c>
      <c r="DQ372" s="171">
        <f t="shared" ca="1" si="597"/>
        <v>0</v>
      </c>
      <c r="DR372" s="171">
        <f t="shared" ca="1" si="598"/>
        <v>0</v>
      </c>
      <c r="DS372" s="171">
        <f t="shared" ca="1" si="599"/>
        <v>0</v>
      </c>
      <c r="DT372" s="171">
        <f t="shared" ca="1" si="600"/>
        <v>0</v>
      </c>
      <c r="DU372" s="171">
        <f t="shared" ca="1" si="601"/>
        <v>0</v>
      </c>
      <c r="DV372" s="171">
        <f t="shared" ca="1" si="602"/>
        <v>0</v>
      </c>
      <c r="DW372" s="171">
        <f t="shared" ca="1" si="603"/>
        <v>0</v>
      </c>
      <c r="DX372" s="171">
        <f t="shared" ca="1" si="604"/>
        <v>0</v>
      </c>
      <c r="DY372" s="171">
        <f t="shared" ca="1" si="605"/>
        <v>0</v>
      </c>
      <c r="DZ372" s="171">
        <f t="shared" ca="1" si="606"/>
        <v>0</v>
      </c>
      <c r="EA372" s="171">
        <f t="shared" ca="1" si="607"/>
        <v>0</v>
      </c>
      <c r="EB372" s="171">
        <f t="shared" ca="1" si="608"/>
        <v>0</v>
      </c>
      <c r="EC372" s="171">
        <f t="shared" ca="1" si="609"/>
        <v>0</v>
      </c>
      <c r="ED372" s="171">
        <f t="shared" ca="1" si="610"/>
        <v>0</v>
      </c>
      <c r="EE372" s="171">
        <f t="shared" ca="1" si="611"/>
        <v>0</v>
      </c>
      <c r="EF372" s="171">
        <f t="shared" ca="1" si="612"/>
        <v>0</v>
      </c>
      <c r="EG372" s="171">
        <f t="shared" ca="1" si="613"/>
        <v>0</v>
      </c>
      <c r="EH372" s="171">
        <f t="shared" ca="1" si="614"/>
        <v>0</v>
      </c>
      <c r="EI372" s="171">
        <f t="shared" ca="1" si="615"/>
        <v>0</v>
      </c>
      <c r="EJ372" s="171">
        <f t="shared" ca="1" si="616"/>
        <v>0</v>
      </c>
      <c r="EK372" s="171">
        <f t="shared" ca="1" si="617"/>
        <v>0</v>
      </c>
      <c r="EL372" s="171">
        <f t="shared" ca="1" si="618"/>
        <v>0</v>
      </c>
      <c r="EM372" s="171">
        <f t="shared" ca="1" si="619"/>
        <v>0</v>
      </c>
      <c r="EN372" s="171">
        <f t="shared" ca="1" si="620"/>
        <v>0</v>
      </c>
      <c r="EO372" s="171">
        <f t="shared" ca="1" si="621"/>
        <v>0</v>
      </c>
      <c r="EP372" s="171">
        <f t="shared" ca="1" si="622"/>
        <v>0</v>
      </c>
      <c r="EQ372" s="171">
        <f t="shared" ca="1" si="623"/>
        <v>0</v>
      </c>
      <c r="ER372" s="171">
        <f t="shared" ca="1" si="624"/>
        <v>0</v>
      </c>
      <c r="ES372" s="171">
        <f t="shared" ca="1" si="625"/>
        <v>0</v>
      </c>
    </row>
    <row r="373" spans="3:149">
      <c r="C373" s="214"/>
      <c r="L373" s="163"/>
      <c r="M373" s="164" t="str">
        <f t="shared" si="550"/>
        <v/>
      </c>
      <c r="N373" s="164" t="str">
        <f t="shared" si="551"/>
        <v/>
      </c>
      <c r="O373" s="165" t="str">
        <f t="shared" si="552"/>
        <v/>
      </c>
      <c r="R373" s="168" t="str">
        <f t="shared" si="537"/>
        <v/>
      </c>
      <c r="U373" s="171">
        <f t="shared" si="553"/>
        <v>0</v>
      </c>
      <c r="V373" s="171">
        <f t="shared" ca="1" si="554"/>
        <v>0</v>
      </c>
      <c r="W373" s="171">
        <f t="shared" ca="1" si="555"/>
        <v>0</v>
      </c>
      <c r="X373" s="172">
        <f t="shared" si="556"/>
        <v>0</v>
      </c>
      <c r="Y373" s="172" t="str">
        <f t="shared" si="557"/>
        <v/>
      </c>
      <c r="Z373" s="173">
        <f t="shared" si="558"/>
        <v>0</v>
      </c>
      <c r="AA373" s="171">
        <f t="shared" si="559"/>
        <v>0</v>
      </c>
      <c r="AB373" s="171">
        <f t="shared" si="559"/>
        <v>0</v>
      </c>
      <c r="AC373" s="171">
        <f t="shared" si="559"/>
        <v>0</v>
      </c>
      <c r="AD373" s="171">
        <f t="shared" si="559"/>
        <v>0</v>
      </c>
      <c r="AE373" s="171">
        <f t="shared" si="559"/>
        <v>0</v>
      </c>
      <c r="AF373" s="171">
        <f t="shared" si="559"/>
        <v>0</v>
      </c>
      <c r="AG373" s="171">
        <f t="shared" si="559"/>
        <v>0</v>
      </c>
      <c r="AH373" s="171">
        <f t="shared" si="559"/>
        <v>0</v>
      </c>
      <c r="AI373" s="171">
        <f t="shared" si="559"/>
        <v>0</v>
      </c>
      <c r="AJ373" s="171">
        <f t="shared" si="559"/>
        <v>0</v>
      </c>
      <c r="AK373" s="171">
        <f t="shared" si="560"/>
        <v>0</v>
      </c>
      <c r="AL373" s="171">
        <f t="shared" si="560"/>
        <v>0</v>
      </c>
      <c r="AM373" s="171">
        <f t="shared" si="560"/>
        <v>0</v>
      </c>
      <c r="AN373" s="171">
        <f t="shared" si="560"/>
        <v>0</v>
      </c>
      <c r="AO373" s="171">
        <f t="shared" si="560"/>
        <v>0</v>
      </c>
      <c r="AP373" s="171">
        <f t="shared" si="560"/>
        <v>0</v>
      </c>
      <c r="AQ373" s="171">
        <f t="shared" si="560"/>
        <v>0</v>
      </c>
      <c r="AR373" s="171">
        <f t="shared" si="560"/>
        <v>0</v>
      </c>
      <c r="AS373" s="171">
        <f t="shared" si="560"/>
        <v>0</v>
      </c>
      <c r="AT373" s="171">
        <f t="shared" si="560"/>
        <v>0</v>
      </c>
      <c r="AU373" s="171">
        <f t="shared" si="561"/>
        <v>0</v>
      </c>
      <c r="AV373" s="171">
        <f t="shared" si="561"/>
        <v>0</v>
      </c>
      <c r="AW373" s="171">
        <f t="shared" si="561"/>
        <v>0</v>
      </c>
      <c r="AX373" s="171">
        <f t="shared" si="561"/>
        <v>0</v>
      </c>
      <c r="AY373" s="171">
        <f t="shared" si="561"/>
        <v>0</v>
      </c>
      <c r="AZ373" s="171">
        <f t="shared" si="561"/>
        <v>0</v>
      </c>
      <c r="BA373" s="171">
        <f t="shared" si="561"/>
        <v>0</v>
      </c>
      <c r="BB373" s="171">
        <f t="shared" si="561"/>
        <v>0</v>
      </c>
      <c r="BC373" s="171">
        <f t="shared" si="561"/>
        <v>0</v>
      </c>
      <c r="BD373" s="171">
        <f t="shared" si="561"/>
        <v>0</v>
      </c>
      <c r="BE373" s="171">
        <f t="shared" si="562"/>
        <v>0</v>
      </c>
      <c r="BF373" s="171">
        <f t="shared" si="562"/>
        <v>0</v>
      </c>
      <c r="BG373" s="171">
        <f t="shared" si="562"/>
        <v>0</v>
      </c>
      <c r="BH373" s="171">
        <f t="shared" si="562"/>
        <v>0</v>
      </c>
      <c r="BI373" s="171">
        <f t="shared" si="562"/>
        <v>0</v>
      </c>
      <c r="BJ373" s="171">
        <f t="shared" si="562"/>
        <v>0</v>
      </c>
      <c r="BK373" s="171">
        <f t="shared" si="562"/>
        <v>0</v>
      </c>
      <c r="BL373" s="171">
        <f t="shared" si="562"/>
        <v>0</v>
      </c>
      <c r="BM373" s="171">
        <f t="shared" si="562"/>
        <v>0</v>
      </c>
      <c r="BN373" s="171">
        <f t="shared" si="562"/>
        <v>0</v>
      </c>
      <c r="BO373" s="171">
        <f t="shared" si="563"/>
        <v>0</v>
      </c>
      <c r="BP373" s="171">
        <f t="shared" si="563"/>
        <v>0</v>
      </c>
      <c r="BQ373" s="171">
        <f t="shared" si="563"/>
        <v>0</v>
      </c>
      <c r="BR373" s="171">
        <f t="shared" si="563"/>
        <v>0</v>
      </c>
      <c r="BS373" s="171">
        <f t="shared" si="563"/>
        <v>0</v>
      </c>
      <c r="BT373" s="171">
        <f t="shared" si="563"/>
        <v>0</v>
      </c>
      <c r="BU373" s="171">
        <f t="shared" si="563"/>
        <v>0</v>
      </c>
      <c r="BV373" s="171">
        <f t="shared" si="563"/>
        <v>0</v>
      </c>
      <c r="BW373" s="171">
        <f t="shared" si="563"/>
        <v>0</v>
      </c>
      <c r="BX373" s="171">
        <f t="shared" si="563"/>
        <v>0</v>
      </c>
      <c r="BY373" s="171">
        <f t="shared" si="564"/>
        <v>0</v>
      </c>
      <c r="BZ373" s="171">
        <f t="shared" si="564"/>
        <v>0</v>
      </c>
      <c r="CA373" s="171">
        <f t="shared" si="564"/>
        <v>0</v>
      </c>
      <c r="CB373" s="171">
        <f t="shared" si="564"/>
        <v>0</v>
      </c>
      <c r="CC373" s="171">
        <f t="shared" si="564"/>
        <v>0</v>
      </c>
      <c r="CD373" s="171">
        <f t="shared" si="564"/>
        <v>0</v>
      </c>
      <c r="CE373" s="171">
        <f t="shared" si="564"/>
        <v>0</v>
      </c>
      <c r="CF373" s="171">
        <f t="shared" si="564"/>
        <v>0</v>
      </c>
      <c r="CG373" s="171">
        <f t="shared" si="564"/>
        <v>0</v>
      </c>
      <c r="CH373" s="171">
        <f t="shared" si="564"/>
        <v>0</v>
      </c>
      <c r="CI373" s="171">
        <f t="shared" si="564"/>
        <v>0</v>
      </c>
      <c r="CJ373" s="243"/>
      <c r="CK373" s="171">
        <f t="shared" si="565"/>
        <v>0</v>
      </c>
      <c r="CL373" s="171">
        <f t="shared" si="566"/>
        <v>0</v>
      </c>
      <c r="CM373" s="171">
        <f t="shared" si="567"/>
        <v>0</v>
      </c>
      <c r="CN373" s="171">
        <f t="shared" si="568"/>
        <v>0</v>
      </c>
      <c r="CO373" s="171">
        <f t="shared" si="569"/>
        <v>0</v>
      </c>
      <c r="CP373" s="171">
        <f t="shared" si="570"/>
        <v>0</v>
      </c>
      <c r="CQ373" s="171">
        <f t="shared" si="571"/>
        <v>0</v>
      </c>
      <c r="CR373" s="171">
        <f t="shared" si="572"/>
        <v>0</v>
      </c>
      <c r="CS373" s="171">
        <f t="shared" si="573"/>
        <v>0</v>
      </c>
      <c r="CT373" s="171">
        <f t="shared" si="574"/>
        <v>0</v>
      </c>
      <c r="CU373" s="171">
        <f t="shared" si="575"/>
        <v>0</v>
      </c>
      <c r="CV373" s="171">
        <f t="shared" si="576"/>
        <v>0</v>
      </c>
      <c r="CW373" s="171">
        <f t="shared" si="577"/>
        <v>0</v>
      </c>
      <c r="CX373" s="171">
        <f t="shared" si="578"/>
        <v>0</v>
      </c>
      <c r="CY373" s="171">
        <f t="shared" ca="1" si="579"/>
        <v>0</v>
      </c>
      <c r="CZ373" s="171">
        <f t="shared" ca="1" si="580"/>
        <v>0</v>
      </c>
      <c r="DA373" s="171">
        <f t="shared" ca="1" si="581"/>
        <v>0</v>
      </c>
      <c r="DB373" s="171">
        <f t="shared" ca="1" si="582"/>
        <v>0</v>
      </c>
      <c r="DC373" s="171">
        <f t="shared" ca="1" si="583"/>
        <v>0</v>
      </c>
      <c r="DD373" s="171">
        <f t="shared" ca="1" si="584"/>
        <v>0</v>
      </c>
      <c r="DE373" s="171">
        <f t="shared" ca="1" si="585"/>
        <v>0</v>
      </c>
      <c r="DF373" s="171">
        <f t="shared" ca="1" si="586"/>
        <v>0</v>
      </c>
      <c r="DG373" s="171">
        <f t="shared" ca="1" si="587"/>
        <v>0</v>
      </c>
      <c r="DH373" s="171">
        <f t="shared" ca="1" si="588"/>
        <v>0</v>
      </c>
      <c r="DI373" s="171">
        <f t="shared" ca="1" si="589"/>
        <v>0</v>
      </c>
      <c r="DJ373" s="171">
        <f t="shared" ca="1" si="590"/>
        <v>0</v>
      </c>
      <c r="DK373" s="171">
        <f t="shared" ca="1" si="591"/>
        <v>0</v>
      </c>
      <c r="DL373" s="171">
        <f t="shared" ca="1" si="592"/>
        <v>0</v>
      </c>
      <c r="DM373" s="171">
        <f t="shared" ca="1" si="593"/>
        <v>0</v>
      </c>
      <c r="DN373" s="171">
        <f t="shared" ca="1" si="594"/>
        <v>0</v>
      </c>
      <c r="DO373" s="171">
        <f t="shared" ca="1" si="595"/>
        <v>0</v>
      </c>
      <c r="DP373" s="171">
        <f t="shared" ca="1" si="596"/>
        <v>0</v>
      </c>
      <c r="DQ373" s="171">
        <f t="shared" ca="1" si="597"/>
        <v>0</v>
      </c>
      <c r="DR373" s="171">
        <f t="shared" ca="1" si="598"/>
        <v>0</v>
      </c>
      <c r="DS373" s="171">
        <f t="shared" ca="1" si="599"/>
        <v>0</v>
      </c>
      <c r="DT373" s="171">
        <f t="shared" ca="1" si="600"/>
        <v>0</v>
      </c>
      <c r="DU373" s="171">
        <f t="shared" ca="1" si="601"/>
        <v>0</v>
      </c>
      <c r="DV373" s="171">
        <f t="shared" ca="1" si="602"/>
        <v>0</v>
      </c>
      <c r="DW373" s="171">
        <f t="shared" ca="1" si="603"/>
        <v>0</v>
      </c>
      <c r="DX373" s="171">
        <f t="shared" ca="1" si="604"/>
        <v>0</v>
      </c>
      <c r="DY373" s="171">
        <f t="shared" ca="1" si="605"/>
        <v>0</v>
      </c>
      <c r="DZ373" s="171">
        <f t="shared" ca="1" si="606"/>
        <v>0</v>
      </c>
      <c r="EA373" s="171">
        <f t="shared" ca="1" si="607"/>
        <v>0</v>
      </c>
      <c r="EB373" s="171">
        <f t="shared" ca="1" si="608"/>
        <v>0</v>
      </c>
      <c r="EC373" s="171">
        <f t="shared" ca="1" si="609"/>
        <v>0</v>
      </c>
      <c r="ED373" s="171">
        <f t="shared" ca="1" si="610"/>
        <v>0</v>
      </c>
      <c r="EE373" s="171">
        <f t="shared" ca="1" si="611"/>
        <v>0</v>
      </c>
      <c r="EF373" s="171">
        <f t="shared" ca="1" si="612"/>
        <v>0</v>
      </c>
      <c r="EG373" s="171">
        <f t="shared" ca="1" si="613"/>
        <v>0</v>
      </c>
      <c r="EH373" s="171">
        <f t="shared" ca="1" si="614"/>
        <v>0</v>
      </c>
      <c r="EI373" s="171">
        <f t="shared" ca="1" si="615"/>
        <v>0</v>
      </c>
      <c r="EJ373" s="171">
        <f t="shared" ca="1" si="616"/>
        <v>0</v>
      </c>
      <c r="EK373" s="171">
        <f t="shared" ca="1" si="617"/>
        <v>0</v>
      </c>
      <c r="EL373" s="171">
        <f t="shared" ca="1" si="618"/>
        <v>0</v>
      </c>
      <c r="EM373" s="171">
        <f t="shared" ca="1" si="619"/>
        <v>0</v>
      </c>
      <c r="EN373" s="171">
        <f t="shared" ca="1" si="620"/>
        <v>0</v>
      </c>
      <c r="EO373" s="171">
        <f t="shared" ca="1" si="621"/>
        <v>0</v>
      </c>
      <c r="EP373" s="171">
        <f t="shared" ca="1" si="622"/>
        <v>0</v>
      </c>
      <c r="EQ373" s="171">
        <f t="shared" ca="1" si="623"/>
        <v>0</v>
      </c>
      <c r="ER373" s="171">
        <f t="shared" ca="1" si="624"/>
        <v>0</v>
      </c>
      <c r="ES373" s="171">
        <f t="shared" ca="1" si="625"/>
        <v>0</v>
      </c>
    </row>
    <row r="374" spans="3:149">
      <c r="C374" s="214"/>
      <c r="L374" s="163"/>
      <c r="M374" s="164" t="str">
        <f t="shared" si="550"/>
        <v/>
      </c>
      <c r="N374" s="164" t="str">
        <f t="shared" si="551"/>
        <v/>
      </c>
      <c r="O374" s="165" t="str">
        <f t="shared" si="552"/>
        <v/>
      </c>
      <c r="R374" s="168"/>
      <c r="U374" s="171">
        <f t="shared" si="553"/>
        <v>0</v>
      </c>
      <c r="V374" s="171">
        <f t="shared" ca="1" si="554"/>
        <v>0</v>
      </c>
      <c r="W374" s="171">
        <f t="shared" ca="1" si="555"/>
        <v>0</v>
      </c>
      <c r="X374" s="172">
        <f t="shared" si="556"/>
        <v>0</v>
      </c>
      <c r="Y374" s="172" t="str">
        <f t="shared" si="557"/>
        <v/>
      </c>
      <c r="Z374" s="173">
        <f t="shared" si="558"/>
        <v>0</v>
      </c>
      <c r="AA374" s="171">
        <f t="shared" si="559"/>
        <v>0</v>
      </c>
      <c r="AB374" s="171">
        <f t="shared" si="559"/>
        <v>0</v>
      </c>
      <c r="AC374" s="171">
        <f t="shared" si="559"/>
        <v>0</v>
      </c>
      <c r="AD374" s="171">
        <f t="shared" si="559"/>
        <v>0</v>
      </c>
      <c r="AE374" s="171">
        <f t="shared" si="559"/>
        <v>0</v>
      </c>
      <c r="AF374" s="171">
        <f t="shared" si="559"/>
        <v>0</v>
      </c>
      <c r="AG374" s="171">
        <f t="shared" si="559"/>
        <v>0</v>
      </c>
      <c r="AH374" s="171">
        <f t="shared" si="559"/>
        <v>0</v>
      </c>
      <c r="AI374" s="171">
        <f t="shared" si="559"/>
        <v>0</v>
      </c>
      <c r="AJ374" s="171">
        <f t="shared" si="559"/>
        <v>0</v>
      </c>
      <c r="AK374" s="171">
        <f t="shared" si="560"/>
        <v>0</v>
      </c>
      <c r="AL374" s="171">
        <f t="shared" si="560"/>
        <v>0</v>
      </c>
      <c r="AM374" s="171">
        <f t="shared" si="560"/>
        <v>0</v>
      </c>
      <c r="AN374" s="171">
        <f t="shared" si="560"/>
        <v>0</v>
      </c>
      <c r="AO374" s="171">
        <f t="shared" si="560"/>
        <v>0</v>
      </c>
      <c r="AP374" s="171">
        <f t="shared" si="560"/>
        <v>0</v>
      </c>
      <c r="AQ374" s="171">
        <f t="shared" si="560"/>
        <v>0</v>
      </c>
      <c r="AR374" s="171">
        <f t="shared" si="560"/>
        <v>0</v>
      </c>
      <c r="AS374" s="171">
        <f t="shared" si="560"/>
        <v>0</v>
      </c>
      <c r="AT374" s="171">
        <f t="shared" si="560"/>
        <v>0</v>
      </c>
      <c r="AU374" s="171">
        <f t="shared" si="561"/>
        <v>0</v>
      </c>
      <c r="AV374" s="171">
        <f t="shared" si="561"/>
        <v>0</v>
      </c>
      <c r="AW374" s="171">
        <f t="shared" si="561"/>
        <v>0</v>
      </c>
      <c r="AX374" s="171">
        <f t="shared" si="561"/>
        <v>0</v>
      </c>
      <c r="AY374" s="171">
        <f t="shared" si="561"/>
        <v>0</v>
      </c>
      <c r="AZ374" s="171">
        <f t="shared" si="561"/>
        <v>0</v>
      </c>
      <c r="BA374" s="171">
        <f t="shared" si="561"/>
        <v>0</v>
      </c>
      <c r="BB374" s="171">
        <f t="shared" si="561"/>
        <v>0</v>
      </c>
      <c r="BC374" s="171">
        <f t="shared" si="561"/>
        <v>0</v>
      </c>
      <c r="BD374" s="171">
        <f t="shared" si="561"/>
        <v>0</v>
      </c>
      <c r="BE374" s="171">
        <f t="shared" si="562"/>
        <v>0</v>
      </c>
      <c r="BF374" s="171">
        <f t="shared" si="562"/>
        <v>0</v>
      </c>
      <c r="BG374" s="171">
        <f t="shared" si="562"/>
        <v>0</v>
      </c>
      <c r="BH374" s="171">
        <f t="shared" si="562"/>
        <v>0</v>
      </c>
      <c r="BI374" s="171">
        <f t="shared" si="562"/>
        <v>0</v>
      </c>
      <c r="BJ374" s="171">
        <f t="shared" si="562"/>
        <v>0</v>
      </c>
      <c r="BK374" s="171">
        <f t="shared" si="562"/>
        <v>0</v>
      </c>
      <c r="BL374" s="171">
        <f t="shared" si="562"/>
        <v>0</v>
      </c>
      <c r="BM374" s="171">
        <f t="shared" si="562"/>
        <v>0</v>
      </c>
      <c r="BN374" s="171">
        <f t="shared" si="562"/>
        <v>0</v>
      </c>
      <c r="BO374" s="171">
        <f t="shared" si="563"/>
        <v>0</v>
      </c>
      <c r="BP374" s="171">
        <f t="shared" si="563"/>
        <v>0</v>
      </c>
      <c r="BQ374" s="171">
        <f t="shared" si="563"/>
        <v>0</v>
      </c>
      <c r="BR374" s="171">
        <f t="shared" si="563"/>
        <v>0</v>
      </c>
      <c r="BS374" s="171">
        <f t="shared" si="563"/>
        <v>0</v>
      </c>
      <c r="BT374" s="171">
        <f t="shared" si="563"/>
        <v>0</v>
      </c>
      <c r="BU374" s="171">
        <f t="shared" si="563"/>
        <v>0</v>
      </c>
      <c r="BV374" s="171">
        <f t="shared" si="563"/>
        <v>0</v>
      </c>
      <c r="BW374" s="171">
        <f t="shared" si="563"/>
        <v>0</v>
      </c>
      <c r="BX374" s="171">
        <f t="shared" si="563"/>
        <v>0</v>
      </c>
      <c r="BY374" s="171">
        <f t="shared" si="564"/>
        <v>0</v>
      </c>
      <c r="BZ374" s="171">
        <f t="shared" si="564"/>
        <v>0</v>
      </c>
      <c r="CA374" s="171">
        <f t="shared" si="564"/>
        <v>0</v>
      </c>
      <c r="CB374" s="171">
        <f t="shared" si="564"/>
        <v>0</v>
      </c>
      <c r="CC374" s="171">
        <f t="shared" si="564"/>
        <v>0</v>
      </c>
      <c r="CD374" s="171">
        <f t="shared" si="564"/>
        <v>0</v>
      </c>
      <c r="CE374" s="171">
        <f t="shared" si="564"/>
        <v>0</v>
      </c>
      <c r="CF374" s="171">
        <f t="shared" si="564"/>
        <v>0</v>
      </c>
      <c r="CG374" s="171">
        <f t="shared" si="564"/>
        <v>0</v>
      </c>
      <c r="CH374" s="171">
        <f t="shared" si="564"/>
        <v>0</v>
      </c>
      <c r="CI374" s="171">
        <f t="shared" si="564"/>
        <v>0</v>
      </c>
      <c r="CJ374" s="243"/>
      <c r="CK374" s="171">
        <f t="shared" si="565"/>
        <v>0</v>
      </c>
      <c r="CL374" s="171">
        <f t="shared" si="566"/>
        <v>0</v>
      </c>
      <c r="CM374" s="171">
        <f t="shared" si="567"/>
        <v>0</v>
      </c>
      <c r="CN374" s="171">
        <f t="shared" si="568"/>
        <v>0</v>
      </c>
      <c r="CO374" s="171">
        <f t="shared" si="569"/>
        <v>0</v>
      </c>
      <c r="CP374" s="171">
        <f t="shared" si="570"/>
        <v>0</v>
      </c>
      <c r="CQ374" s="171">
        <f t="shared" si="571"/>
        <v>0</v>
      </c>
      <c r="CR374" s="171">
        <f t="shared" si="572"/>
        <v>0</v>
      </c>
      <c r="CS374" s="171">
        <f t="shared" si="573"/>
        <v>0</v>
      </c>
      <c r="CT374" s="171">
        <f t="shared" si="574"/>
        <v>0</v>
      </c>
      <c r="CU374" s="171">
        <f t="shared" si="575"/>
        <v>0</v>
      </c>
      <c r="CV374" s="171">
        <f t="shared" si="576"/>
        <v>0</v>
      </c>
      <c r="CW374" s="171">
        <f t="shared" si="577"/>
        <v>0</v>
      </c>
      <c r="CX374" s="171">
        <f t="shared" si="578"/>
        <v>0</v>
      </c>
      <c r="CY374" s="171">
        <f t="shared" ca="1" si="579"/>
        <v>0</v>
      </c>
      <c r="CZ374" s="171">
        <f t="shared" ca="1" si="580"/>
        <v>0</v>
      </c>
      <c r="DA374" s="171">
        <f t="shared" ca="1" si="581"/>
        <v>0</v>
      </c>
      <c r="DB374" s="171">
        <f t="shared" ca="1" si="582"/>
        <v>0</v>
      </c>
      <c r="DC374" s="171">
        <f t="shared" ca="1" si="583"/>
        <v>0</v>
      </c>
      <c r="DD374" s="171">
        <f t="shared" ca="1" si="584"/>
        <v>0</v>
      </c>
      <c r="DE374" s="171">
        <f t="shared" ca="1" si="585"/>
        <v>0</v>
      </c>
      <c r="DF374" s="171">
        <f t="shared" ca="1" si="586"/>
        <v>0</v>
      </c>
      <c r="DG374" s="171">
        <f t="shared" ca="1" si="587"/>
        <v>0</v>
      </c>
      <c r="DH374" s="171">
        <f t="shared" ca="1" si="588"/>
        <v>0</v>
      </c>
      <c r="DI374" s="171">
        <f t="shared" ca="1" si="589"/>
        <v>0</v>
      </c>
      <c r="DJ374" s="171">
        <f t="shared" ca="1" si="590"/>
        <v>0</v>
      </c>
      <c r="DK374" s="171">
        <f t="shared" ca="1" si="591"/>
        <v>0</v>
      </c>
      <c r="DL374" s="171">
        <f t="shared" ca="1" si="592"/>
        <v>0</v>
      </c>
      <c r="DM374" s="171">
        <f t="shared" ca="1" si="593"/>
        <v>0</v>
      </c>
      <c r="DN374" s="171">
        <f t="shared" ca="1" si="594"/>
        <v>0</v>
      </c>
      <c r="DO374" s="171">
        <f t="shared" ca="1" si="595"/>
        <v>0</v>
      </c>
      <c r="DP374" s="171">
        <f t="shared" ca="1" si="596"/>
        <v>0</v>
      </c>
      <c r="DQ374" s="171">
        <f t="shared" ca="1" si="597"/>
        <v>0</v>
      </c>
      <c r="DR374" s="171">
        <f t="shared" ca="1" si="598"/>
        <v>0</v>
      </c>
      <c r="DS374" s="171">
        <f t="shared" ca="1" si="599"/>
        <v>0</v>
      </c>
      <c r="DT374" s="171">
        <f t="shared" ca="1" si="600"/>
        <v>0</v>
      </c>
      <c r="DU374" s="171">
        <f t="shared" ca="1" si="601"/>
        <v>0</v>
      </c>
      <c r="DV374" s="171">
        <f t="shared" ca="1" si="602"/>
        <v>0</v>
      </c>
      <c r="DW374" s="171">
        <f t="shared" ca="1" si="603"/>
        <v>0</v>
      </c>
      <c r="DX374" s="171">
        <f t="shared" ca="1" si="604"/>
        <v>0</v>
      </c>
      <c r="DY374" s="171">
        <f t="shared" ca="1" si="605"/>
        <v>0</v>
      </c>
      <c r="DZ374" s="171">
        <f t="shared" ca="1" si="606"/>
        <v>0</v>
      </c>
      <c r="EA374" s="171">
        <f t="shared" ca="1" si="607"/>
        <v>0</v>
      </c>
      <c r="EB374" s="171">
        <f t="shared" ca="1" si="608"/>
        <v>0</v>
      </c>
      <c r="EC374" s="171">
        <f t="shared" ca="1" si="609"/>
        <v>0</v>
      </c>
      <c r="ED374" s="171">
        <f t="shared" ca="1" si="610"/>
        <v>0</v>
      </c>
      <c r="EE374" s="171">
        <f t="shared" ca="1" si="611"/>
        <v>0</v>
      </c>
      <c r="EF374" s="171">
        <f t="shared" ca="1" si="612"/>
        <v>0</v>
      </c>
      <c r="EG374" s="171">
        <f t="shared" ca="1" si="613"/>
        <v>0</v>
      </c>
      <c r="EH374" s="171">
        <f t="shared" ca="1" si="614"/>
        <v>0</v>
      </c>
      <c r="EI374" s="171">
        <f t="shared" ca="1" si="615"/>
        <v>0</v>
      </c>
      <c r="EJ374" s="171">
        <f t="shared" ca="1" si="616"/>
        <v>0</v>
      </c>
      <c r="EK374" s="171">
        <f t="shared" ca="1" si="617"/>
        <v>0</v>
      </c>
      <c r="EL374" s="171">
        <f t="shared" ca="1" si="618"/>
        <v>0</v>
      </c>
      <c r="EM374" s="171">
        <f t="shared" ca="1" si="619"/>
        <v>0</v>
      </c>
      <c r="EN374" s="171">
        <f t="shared" ca="1" si="620"/>
        <v>0</v>
      </c>
      <c r="EO374" s="171">
        <f t="shared" ca="1" si="621"/>
        <v>0</v>
      </c>
      <c r="EP374" s="171">
        <f t="shared" ca="1" si="622"/>
        <v>0</v>
      </c>
      <c r="EQ374" s="171">
        <f t="shared" ca="1" si="623"/>
        <v>0</v>
      </c>
      <c r="ER374" s="171">
        <f t="shared" ca="1" si="624"/>
        <v>0</v>
      </c>
      <c r="ES374" s="171">
        <f t="shared" ca="1" si="625"/>
        <v>0</v>
      </c>
    </row>
    <row r="375" spans="3:149">
      <c r="C375" s="214"/>
      <c r="L375" s="163"/>
      <c r="M375" s="164" t="str">
        <f t="shared" si="550"/>
        <v/>
      </c>
      <c r="N375" s="164" t="str">
        <f t="shared" si="551"/>
        <v/>
      </c>
      <c r="O375" s="165" t="str">
        <f t="shared" si="552"/>
        <v/>
      </c>
      <c r="R375" s="168"/>
      <c r="U375" s="171">
        <f t="shared" si="553"/>
        <v>0</v>
      </c>
      <c r="V375" s="171">
        <f t="shared" ca="1" si="554"/>
        <v>0</v>
      </c>
      <c r="W375" s="171">
        <f t="shared" ca="1" si="555"/>
        <v>0</v>
      </c>
      <c r="X375" s="172">
        <f t="shared" si="556"/>
        <v>0</v>
      </c>
      <c r="Y375" s="172" t="str">
        <f t="shared" si="557"/>
        <v/>
      </c>
      <c r="Z375" s="173">
        <f t="shared" si="558"/>
        <v>0</v>
      </c>
      <c r="AA375" s="171">
        <f t="shared" si="559"/>
        <v>0</v>
      </c>
      <c r="AB375" s="171">
        <f t="shared" si="559"/>
        <v>0</v>
      </c>
      <c r="AC375" s="171">
        <f t="shared" si="559"/>
        <v>0</v>
      </c>
      <c r="AD375" s="171">
        <f t="shared" si="559"/>
        <v>0</v>
      </c>
      <c r="AE375" s="171">
        <f t="shared" si="559"/>
        <v>0</v>
      </c>
      <c r="AF375" s="171">
        <f t="shared" si="559"/>
        <v>0</v>
      </c>
      <c r="AG375" s="171">
        <f t="shared" si="559"/>
        <v>0</v>
      </c>
      <c r="AH375" s="171">
        <f t="shared" si="559"/>
        <v>0</v>
      </c>
      <c r="AI375" s="171">
        <f t="shared" si="559"/>
        <v>0</v>
      </c>
      <c r="AJ375" s="171">
        <f t="shared" si="559"/>
        <v>0</v>
      </c>
      <c r="AK375" s="171">
        <f t="shared" si="560"/>
        <v>0</v>
      </c>
      <c r="AL375" s="171">
        <f t="shared" si="560"/>
        <v>0</v>
      </c>
      <c r="AM375" s="171">
        <f t="shared" si="560"/>
        <v>0</v>
      </c>
      <c r="AN375" s="171">
        <f t="shared" si="560"/>
        <v>0</v>
      </c>
      <c r="AO375" s="171">
        <f t="shared" si="560"/>
        <v>0</v>
      </c>
      <c r="AP375" s="171">
        <f t="shared" si="560"/>
        <v>0</v>
      </c>
      <c r="AQ375" s="171">
        <f t="shared" si="560"/>
        <v>0</v>
      </c>
      <c r="AR375" s="171">
        <f t="shared" si="560"/>
        <v>0</v>
      </c>
      <c r="AS375" s="171">
        <f t="shared" si="560"/>
        <v>0</v>
      </c>
      <c r="AT375" s="171">
        <f t="shared" si="560"/>
        <v>0</v>
      </c>
      <c r="AU375" s="171">
        <f t="shared" si="561"/>
        <v>0</v>
      </c>
      <c r="AV375" s="171">
        <f t="shared" si="561"/>
        <v>0</v>
      </c>
      <c r="AW375" s="171">
        <f t="shared" si="561"/>
        <v>0</v>
      </c>
      <c r="AX375" s="171">
        <f t="shared" si="561"/>
        <v>0</v>
      </c>
      <c r="AY375" s="171">
        <f t="shared" si="561"/>
        <v>0</v>
      </c>
      <c r="AZ375" s="171">
        <f t="shared" si="561"/>
        <v>0</v>
      </c>
      <c r="BA375" s="171">
        <f t="shared" si="561"/>
        <v>0</v>
      </c>
      <c r="BB375" s="171">
        <f t="shared" si="561"/>
        <v>0</v>
      </c>
      <c r="BC375" s="171">
        <f t="shared" si="561"/>
        <v>0</v>
      </c>
      <c r="BD375" s="171">
        <f t="shared" si="561"/>
        <v>0</v>
      </c>
      <c r="BE375" s="171">
        <f t="shared" si="562"/>
        <v>0</v>
      </c>
      <c r="BF375" s="171">
        <f t="shared" si="562"/>
        <v>0</v>
      </c>
      <c r="BG375" s="171">
        <f t="shared" si="562"/>
        <v>0</v>
      </c>
      <c r="BH375" s="171">
        <f t="shared" si="562"/>
        <v>0</v>
      </c>
      <c r="BI375" s="171">
        <f t="shared" si="562"/>
        <v>0</v>
      </c>
      <c r="BJ375" s="171">
        <f t="shared" si="562"/>
        <v>0</v>
      </c>
      <c r="BK375" s="171">
        <f t="shared" si="562"/>
        <v>0</v>
      </c>
      <c r="BL375" s="171">
        <f t="shared" si="562"/>
        <v>0</v>
      </c>
      <c r="BM375" s="171">
        <f t="shared" si="562"/>
        <v>0</v>
      </c>
      <c r="BN375" s="171">
        <f t="shared" si="562"/>
        <v>0</v>
      </c>
      <c r="BO375" s="171">
        <f t="shared" si="563"/>
        <v>0</v>
      </c>
      <c r="BP375" s="171">
        <f t="shared" si="563"/>
        <v>0</v>
      </c>
      <c r="BQ375" s="171">
        <f t="shared" si="563"/>
        <v>0</v>
      </c>
      <c r="BR375" s="171">
        <f t="shared" si="563"/>
        <v>0</v>
      </c>
      <c r="BS375" s="171">
        <f t="shared" si="563"/>
        <v>0</v>
      </c>
      <c r="BT375" s="171">
        <f t="shared" si="563"/>
        <v>0</v>
      </c>
      <c r="BU375" s="171">
        <f t="shared" si="563"/>
        <v>0</v>
      </c>
      <c r="BV375" s="171">
        <f t="shared" si="563"/>
        <v>0</v>
      </c>
      <c r="BW375" s="171">
        <f t="shared" si="563"/>
        <v>0</v>
      </c>
      <c r="BX375" s="171">
        <f t="shared" si="563"/>
        <v>0</v>
      </c>
      <c r="BY375" s="171">
        <f t="shared" si="564"/>
        <v>0</v>
      </c>
      <c r="BZ375" s="171">
        <f t="shared" si="564"/>
        <v>0</v>
      </c>
      <c r="CA375" s="171">
        <f t="shared" si="564"/>
        <v>0</v>
      </c>
      <c r="CB375" s="171">
        <f t="shared" si="564"/>
        <v>0</v>
      </c>
      <c r="CC375" s="171">
        <f t="shared" si="564"/>
        <v>0</v>
      </c>
      <c r="CD375" s="171">
        <f t="shared" si="564"/>
        <v>0</v>
      </c>
      <c r="CE375" s="171">
        <f t="shared" si="564"/>
        <v>0</v>
      </c>
      <c r="CF375" s="171">
        <f t="shared" si="564"/>
        <v>0</v>
      </c>
      <c r="CG375" s="171">
        <f t="shared" si="564"/>
        <v>0</v>
      </c>
      <c r="CH375" s="171">
        <f t="shared" si="564"/>
        <v>0</v>
      </c>
      <c r="CI375" s="171">
        <f t="shared" si="564"/>
        <v>0</v>
      </c>
      <c r="CJ375" s="243"/>
      <c r="CK375" s="171">
        <f t="shared" si="565"/>
        <v>0</v>
      </c>
      <c r="CL375" s="171">
        <f t="shared" si="566"/>
        <v>0</v>
      </c>
      <c r="CM375" s="171">
        <f t="shared" si="567"/>
        <v>0</v>
      </c>
      <c r="CN375" s="171">
        <f t="shared" si="568"/>
        <v>0</v>
      </c>
      <c r="CO375" s="171">
        <f t="shared" si="569"/>
        <v>0</v>
      </c>
      <c r="CP375" s="171">
        <f t="shared" si="570"/>
        <v>0</v>
      </c>
      <c r="CQ375" s="171">
        <f t="shared" si="571"/>
        <v>0</v>
      </c>
      <c r="CR375" s="171">
        <f t="shared" si="572"/>
        <v>0</v>
      </c>
      <c r="CS375" s="171">
        <f t="shared" si="573"/>
        <v>0</v>
      </c>
      <c r="CT375" s="171">
        <f t="shared" si="574"/>
        <v>0</v>
      </c>
      <c r="CU375" s="171">
        <f t="shared" si="575"/>
        <v>0</v>
      </c>
      <c r="CV375" s="171">
        <f t="shared" si="576"/>
        <v>0</v>
      </c>
      <c r="CW375" s="171">
        <f t="shared" si="577"/>
        <v>0</v>
      </c>
      <c r="CX375" s="171">
        <f t="shared" si="578"/>
        <v>0</v>
      </c>
      <c r="CY375" s="171">
        <f t="shared" ca="1" si="579"/>
        <v>0</v>
      </c>
      <c r="CZ375" s="171">
        <f t="shared" ca="1" si="580"/>
        <v>0</v>
      </c>
      <c r="DA375" s="171">
        <f t="shared" ca="1" si="581"/>
        <v>0</v>
      </c>
      <c r="DB375" s="171">
        <f t="shared" ca="1" si="582"/>
        <v>0</v>
      </c>
      <c r="DC375" s="171">
        <f t="shared" ca="1" si="583"/>
        <v>0</v>
      </c>
      <c r="DD375" s="171">
        <f t="shared" ca="1" si="584"/>
        <v>0</v>
      </c>
      <c r="DE375" s="171">
        <f t="shared" ca="1" si="585"/>
        <v>0</v>
      </c>
      <c r="DF375" s="171">
        <f t="shared" ca="1" si="586"/>
        <v>0</v>
      </c>
      <c r="DG375" s="171">
        <f t="shared" ca="1" si="587"/>
        <v>0</v>
      </c>
      <c r="DH375" s="171">
        <f t="shared" ca="1" si="588"/>
        <v>0</v>
      </c>
      <c r="DI375" s="171">
        <f t="shared" ca="1" si="589"/>
        <v>0</v>
      </c>
      <c r="DJ375" s="171">
        <f t="shared" ca="1" si="590"/>
        <v>0</v>
      </c>
      <c r="DK375" s="171">
        <f t="shared" ca="1" si="591"/>
        <v>0</v>
      </c>
      <c r="DL375" s="171">
        <f t="shared" ca="1" si="592"/>
        <v>0</v>
      </c>
      <c r="DM375" s="171">
        <f t="shared" ca="1" si="593"/>
        <v>0</v>
      </c>
      <c r="DN375" s="171">
        <f t="shared" ca="1" si="594"/>
        <v>0</v>
      </c>
      <c r="DO375" s="171">
        <f t="shared" ca="1" si="595"/>
        <v>0</v>
      </c>
      <c r="DP375" s="171">
        <f t="shared" ca="1" si="596"/>
        <v>0</v>
      </c>
      <c r="DQ375" s="171">
        <f t="shared" ca="1" si="597"/>
        <v>0</v>
      </c>
      <c r="DR375" s="171">
        <f t="shared" ca="1" si="598"/>
        <v>0</v>
      </c>
      <c r="DS375" s="171">
        <f t="shared" ca="1" si="599"/>
        <v>0</v>
      </c>
      <c r="DT375" s="171">
        <f t="shared" ca="1" si="600"/>
        <v>0</v>
      </c>
      <c r="DU375" s="171">
        <f t="shared" ca="1" si="601"/>
        <v>0</v>
      </c>
      <c r="DV375" s="171">
        <f t="shared" ca="1" si="602"/>
        <v>0</v>
      </c>
      <c r="DW375" s="171">
        <f t="shared" ca="1" si="603"/>
        <v>0</v>
      </c>
      <c r="DX375" s="171">
        <f t="shared" ca="1" si="604"/>
        <v>0</v>
      </c>
      <c r="DY375" s="171">
        <f t="shared" ca="1" si="605"/>
        <v>0</v>
      </c>
      <c r="DZ375" s="171">
        <f t="shared" ca="1" si="606"/>
        <v>0</v>
      </c>
      <c r="EA375" s="171">
        <f t="shared" ca="1" si="607"/>
        <v>0</v>
      </c>
      <c r="EB375" s="171">
        <f t="shared" ca="1" si="608"/>
        <v>0</v>
      </c>
      <c r="EC375" s="171">
        <f t="shared" ca="1" si="609"/>
        <v>0</v>
      </c>
      <c r="ED375" s="171">
        <f t="shared" ca="1" si="610"/>
        <v>0</v>
      </c>
      <c r="EE375" s="171">
        <f t="shared" ca="1" si="611"/>
        <v>0</v>
      </c>
      <c r="EF375" s="171">
        <f t="shared" ca="1" si="612"/>
        <v>0</v>
      </c>
      <c r="EG375" s="171">
        <f t="shared" ca="1" si="613"/>
        <v>0</v>
      </c>
      <c r="EH375" s="171">
        <f t="shared" ca="1" si="614"/>
        <v>0</v>
      </c>
      <c r="EI375" s="171">
        <f t="shared" ca="1" si="615"/>
        <v>0</v>
      </c>
      <c r="EJ375" s="171">
        <f t="shared" ca="1" si="616"/>
        <v>0</v>
      </c>
      <c r="EK375" s="171">
        <f t="shared" ca="1" si="617"/>
        <v>0</v>
      </c>
      <c r="EL375" s="171">
        <f t="shared" ca="1" si="618"/>
        <v>0</v>
      </c>
      <c r="EM375" s="171">
        <f t="shared" ca="1" si="619"/>
        <v>0</v>
      </c>
      <c r="EN375" s="171">
        <f t="shared" ca="1" si="620"/>
        <v>0</v>
      </c>
      <c r="EO375" s="171">
        <f t="shared" ca="1" si="621"/>
        <v>0</v>
      </c>
      <c r="EP375" s="171">
        <f t="shared" ca="1" si="622"/>
        <v>0</v>
      </c>
      <c r="EQ375" s="171">
        <f t="shared" ca="1" si="623"/>
        <v>0</v>
      </c>
      <c r="ER375" s="171">
        <f t="shared" ca="1" si="624"/>
        <v>0</v>
      </c>
      <c r="ES375" s="171">
        <f t="shared" ca="1" si="625"/>
        <v>0</v>
      </c>
    </row>
    <row r="376" spans="3:149">
      <c r="C376" s="214"/>
      <c r="L376" s="163"/>
      <c r="M376" s="164" t="str">
        <f t="shared" si="550"/>
        <v/>
      </c>
      <c r="N376" s="164" t="str">
        <f t="shared" si="551"/>
        <v/>
      </c>
      <c r="O376" s="165" t="str">
        <f t="shared" si="552"/>
        <v/>
      </c>
      <c r="R376" s="168"/>
      <c r="U376" s="171">
        <f t="shared" si="553"/>
        <v>0</v>
      </c>
      <c r="V376" s="171">
        <f t="shared" ca="1" si="554"/>
        <v>0</v>
      </c>
      <c r="W376" s="171">
        <f t="shared" ca="1" si="555"/>
        <v>0</v>
      </c>
      <c r="X376" s="172">
        <f t="shared" si="556"/>
        <v>0</v>
      </c>
      <c r="Y376" s="172" t="str">
        <f t="shared" si="557"/>
        <v/>
      </c>
      <c r="Z376" s="173">
        <f t="shared" si="558"/>
        <v>0</v>
      </c>
      <c r="AA376" s="171">
        <f t="shared" si="559"/>
        <v>0</v>
      </c>
      <c r="AB376" s="171">
        <f t="shared" si="559"/>
        <v>0</v>
      </c>
      <c r="AC376" s="171">
        <f t="shared" si="559"/>
        <v>0</v>
      </c>
      <c r="AD376" s="171">
        <f t="shared" si="559"/>
        <v>0</v>
      </c>
      <c r="AE376" s="171">
        <f t="shared" si="559"/>
        <v>0</v>
      </c>
      <c r="AF376" s="171">
        <f t="shared" si="559"/>
        <v>0</v>
      </c>
      <c r="AG376" s="171">
        <f t="shared" si="559"/>
        <v>0</v>
      </c>
      <c r="AH376" s="171">
        <f t="shared" si="559"/>
        <v>0</v>
      </c>
      <c r="AI376" s="171">
        <f t="shared" si="559"/>
        <v>0</v>
      </c>
      <c r="AJ376" s="171">
        <f t="shared" si="559"/>
        <v>0</v>
      </c>
      <c r="AK376" s="171">
        <f t="shared" si="560"/>
        <v>0</v>
      </c>
      <c r="AL376" s="171">
        <f t="shared" si="560"/>
        <v>0</v>
      </c>
      <c r="AM376" s="171">
        <f t="shared" si="560"/>
        <v>0</v>
      </c>
      <c r="AN376" s="171">
        <f t="shared" si="560"/>
        <v>0</v>
      </c>
      <c r="AO376" s="171">
        <f t="shared" si="560"/>
        <v>0</v>
      </c>
      <c r="AP376" s="171">
        <f t="shared" si="560"/>
        <v>0</v>
      </c>
      <c r="AQ376" s="171">
        <f t="shared" si="560"/>
        <v>0</v>
      </c>
      <c r="AR376" s="171">
        <f t="shared" si="560"/>
        <v>0</v>
      </c>
      <c r="AS376" s="171">
        <f t="shared" si="560"/>
        <v>0</v>
      </c>
      <c r="AT376" s="171">
        <f t="shared" si="560"/>
        <v>0</v>
      </c>
      <c r="AU376" s="171">
        <f t="shared" si="561"/>
        <v>0</v>
      </c>
      <c r="AV376" s="171">
        <f t="shared" si="561"/>
        <v>0</v>
      </c>
      <c r="AW376" s="171">
        <f t="shared" si="561"/>
        <v>0</v>
      </c>
      <c r="AX376" s="171">
        <f t="shared" si="561"/>
        <v>0</v>
      </c>
      <c r="AY376" s="171">
        <f t="shared" si="561"/>
        <v>0</v>
      </c>
      <c r="AZ376" s="171">
        <f t="shared" si="561"/>
        <v>0</v>
      </c>
      <c r="BA376" s="171">
        <f t="shared" si="561"/>
        <v>0</v>
      </c>
      <c r="BB376" s="171">
        <f t="shared" si="561"/>
        <v>0</v>
      </c>
      <c r="BC376" s="171">
        <f t="shared" si="561"/>
        <v>0</v>
      </c>
      <c r="BD376" s="171">
        <f t="shared" si="561"/>
        <v>0</v>
      </c>
      <c r="BE376" s="171">
        <f t="shared" si="562"/>
        <v>0</v>
      </c>
      <c r="BF376" s="171">
        <f t="shared" si="562"/>
        <v>0</v>
      </c>
      <c r="BG376" s="171">
        <f t="shared" si="562"/>
        <v>0</v>
      </c>
      <c r="BH376" s="171">
        <f t="shared" si="562"/>
        <v>0</v>
      </c>
      <c r="BI376" s="171">
        <f t="shared" si="562"/>
        <v>0</v>
      </c>
      <c r="BJ376" s="171">
        <f t="shared" si="562"/>
        <v>0</v>
      </c>
      <c r="BK376" s="171">
        <f t="shared" si="562"/>
        <v>0</v>
      </c>
      <c r="BL376" s="171">
        <f t="shared" si="562"/>
        <v>0</v>
      </c>
      <c r="BM376" s="171">
        <f t="shared" si="562"/>
        <v>0</v>
      </c>
      <c r="BN376" s="171">
        <f t="shared" si="562"/>
        <v>0</v>
      </c>
      <c r="BO376" s="171">
        <f t="shared" si="563"/>
        <v>0</v>
      </c>
      <c r="BP376" s="171">
        <f t="shared" si="563"/>
        <v>0</v>
      </c>
      <c r="BQ376" s="171">
        <f t="shared" si="563"/>
        <v>0</v>
      </c>
      <c r="BR376" s="171">
        <f t="shared" si="563"/>
        <v>0</v>
      </c>
      <c r="BS376" s="171">
        <f t="shared" si="563"/>
        <v>0</v>
      </c>
      <c r="BT376" s="171">
        <f t="shared" si="563"/>
        <v>0</v>
      </c>
      <c r="BU376" s="171">
        <f t="shared" si="563"/>
        <v>0</v>
      </c>
      <c r="BV376" s="171">
        <f t="shared" si="563"/>
        <v>0</v>
      </c>
      <c r="BW376" s="171">
        <f t="shared" si="563"/>
        <v>0</v>
      </c>
      <c r="BX376" s="171">
        <f t="shared" si="563"/>
        <v>0</v>
      </c>
      <c r="BY376" s="171">
        <f t="shared" si="564"/>
        <v>0</v>
      </c>
      <c r="BZ376" s="171">
        <f t="shared" si="564"/>
        <v>0</v>
      </c>
      <c r="CA376" s="171">
        <f t="shared" si="564"/>
        <v>0</v>
      </c>
      <c r="CB376" s="171">
        <f t="shared" si="564"/>
        <v>0</v>
      </c>
      <c r="CC376" s="171">
        <f t="shared" si="564"/>
        <v>0</v>
      </c>
      <c r="CD376" s="171">
        <f t="shared" si="564"/>
        <v>0</v>
      </c>
      <c r="CE376" s="171">
        <f t="shared" si="564"/>
        <v>0</v>
      </c>
      <c r="CF376" s="171">
        <f t="shared" si="564"/>
        <v>0</v>
      </c>
      <c r="CG376" s="171">
        <f t="shared" si="564"/>
        <v>0</v>
      </c>
      <c r="CH376" s="171">
        <f t="shared" si="564"/>
        <v>0</v>
      </c>
      <c r="CI376" s="171">
        <f t="shared" si="564"/>
        <v>0</v>
      </c>
      <c r="CJ376" s="243"/>
      <c r="CK376" s="171">
        <f t="shared" si="565"/>
        <v>0</v>
      </c>
      <c r="CL376" s="171">
        <f t="shared" si="566"/>
        <v>0</v>
      </c>
      <c r="CM376" s="171">
        <f t="shared" si="567"/>
        <v>0</v>
      </c>
      <c r="CN376" s="171">
        <f t="shared" si="568"/>
        <v>0</v>
      </c>
      <c r="CO376" s="171">
        <f t="shared" si="569"/>
        <v>0</v>
      </c>
      <c r="CP376" s="171">
        <f t="shared" si="570"/>
        <v>0</v>
      </c>
      <c r="CQ376" s="171">
        <f t="shared" si="571"/>
        <v>0</v>
      </c>
      <c r="CR376" s="171">
        <f t="shared" si="572"/>
        <v>0</v>
      </c>
      <c r="CS376" s="171">
        <f t="shared" si="573"/>
        <v>0</v>
      </c>
      <c r="CT376" s="171">
        <f t="shared" si="574"/>
        <v>0</v>
      </c>
      <c r="CU376" s="171">
        <f t="shared" si="575"/>
        <v>0</v>
      </c>
      <c r="CV376" s="171">
        <f t="shared" si="576"/>
        <v>0</v>
      </c>
      <c r="CW376" s="171">
        <f t="shared" si="577"/>
        <v>0</v>
      </c>
      <c r="CX376" s="171">
        <f t="shared" si="578"/>
        <v>0</v>
      </c>
      <c r="CY376" s="171">
        <f t="shared" ca="1" si="579"/>
        <v>0</v>
      </c>
      <c r="CZ376" s="171">
        <f t="shared" ca="1" si="580"/>
        <v>0</v>
      </c>
      <c r="DA376" s="171">
        <f t="shared" ca="1" si="581"/>
        <v>0</v>
      </c>
      <c r="DB376" s="171">
        <f t="shared" ca="1" si="582"/>
        <v>0</v>
      </c>
      <c r="DC376" s="171">
        <f t="shared" ca="1" si="583"/>
        <v>0</v>
      </c>
      <c r="DD376" s="171">
        <f t="shared" ca="1" si="584"/>
        <v>0</v>
      </c>
      <c r="DE376" s="171">
        <f t="shared" ca="1" si="585"/>
        <v>0</v>
      </c>
      <c r="DF376" s="171">
        <f t="shared" ca="1" si="586"/>
        <v>0</v>
      </c>
      <c r="DG376" s="171">
        <f t="shared" ca="1" si="587"/>
        <v>0</v>
      </c>
      <c r="DH376" s="171">
        <f t="shared" ca="1" si="588"/>
        <v>0</v>
      </c>
      <c r="DI376" s="171">
        <f t="shared" ca="1" si="589"/>
        <v>0</v>
      </c>
      <c r="DJ376" s="171">
        <f t="shared" ca="1" si="590"/>
        <v>0</v>
      </c>
      <c r="DK376" s="171">
        <f t="shared" ca="1" si="591"/>
        <v>0</v>
      </c>
      <c r="DL376" s="171">
        <f t="shared" ca="1" si="592"/>
        <v>0</v>
      </c>
      <c r="DM376" s="171">
        <f t="shared" ca="1" si="593"/>
        <v>0</v>
      </c>
      <c r="DN376" s="171">
        <f t="shared" ca="1" si="594"/>
        <v>0</v>
      </c>
      <c r="DO376" s="171">
        <f t="shared" ca="1" si="595"/>
        <v>0</v>
      </c>
      <c r="DP376" s="171">
        <f t="shared" ca="1" si="596"/>
        <v>0</v>
      </c>
      <c r="DQ376" s="171">
        <f t="shared" ca="1" si="597"/>
        <v>0</v>
      </c>
      <c r="DR376" s="171">
        <f t="shared" ca="1" si="598"/>
        <v>0</v>
      </c>
      <c r="DS376" s="171">
        <f t="shared" ca="1" si="599"/>
        <v>0</v>
      </c>
      <c r="DT376" s="171">
        <f t="shared" ca="1" si="600"/>
        <v>0</v>
      </c>
      <c r="DU376" s="171">
        <f t="shared" ca="1" si="601"/>
        <v>0</v>
      </c>
      <c r="DV376" s="171">
        <f t="shared" ca="1" si="602"/>
        <v>0</v>
      </c>
      <c r="DW376" s="171">
        <f t="shared" ca="1" si="603"/>
        <v>0</v>
      </c>
      <c r="DX376" s="171">
        <f t="shared" ca="1" si="604"/>
        <v>0</v>
      </c>
      <c r="DY376" s="171">
        <f t="shared" ca="1" si="605"/>
        <v>0</v>
      </c>
      <c r="DZ376" s="171">
        <f t="shared" ca="1" si="606"/>
        <v>0</v>
      </c>
      <c r="EA376" s="171">
        <f t="shared" ca="1" si="607"/>
        <v>0</v>
      </c>
      <c r="EB376" s="171">
        <f t="shared" ca="1" si="608"/>
        <v>0</v>
      </c>
      <c r="EC376" s="171">
        <f t="shared" ca="1" si="609"/>
        <v>0</v>
      </c>
      <c r="ED376" s="171">
        <f t="shared" ca="1" si="610"/>
        <v>0</v>
      </c>
      <c r="EE376" s="171">
        <f t="shared" ca="1" si="611"/>
        <v>0</v>
      </c>
      <c r="EF376" s="171">
        <f t="shared" ca="1" si="612"/>
        <v>0</v>
      </c>
      <c r="EG376" s="171">
        <f t="shared" ca="1" si="613"/>
        <v>0</v>
      </c>
      <c r="EH376" s="171">
        <f t="shared" ca="1" si="614"/>
        <v>0</v>
      </c>
      <c r="EI376" s="171">
        <f t="shared" ca="1" si="615"/>
        <v>0</v>
      </c>
      <c r="EJ376" s="171">
        <f t="shared" ca="1" si="616"/>
        <v>0</v>
      </c>
      <c r="EK376" s="171">
        <f t="shared" ca="1" si="617"/>
        <v>0</v>
      </c>
      <c r="EL376" s="171">
        <f t="shared" ca="1" si="618"/>
        <v>0</v>
      </c>
      <c r="EM376" s="171">
        <f t="shared" ca="1" si="619"/>
        <v>0</v>
      </c>
      <c r="EN376" s="171">
        <f t="shared" ca="1" si="620"/>
        <v>0</v>
      </c>
      <c r="EO376" s="171">
        <f t="shared" ca="1" si="621"/>
        <v>0</v>
      </c>
      <c r="EP376" s="171">
        <f t="shared" ca="1" si="622"/>
        <v>0</v>
      </c>
      <c r="EQ376" s="171">
        <f t="shared" ca="1" si="623"/>
        <v>0</v>
      </c>
      <c r="ER376" s="171">
        <f t="shared" ca="1" si="624"/>
        <v>0</v>
      </c>
      <c r="ES376" s="171">
        <f t="shared" ca="1" si="625"/>
        <v>0</v>
      </c>
    </row>
    <row r="377" spans="3:149">
      <c r="C377" s="214"/>
      <c r="L377" s="163"/>
      <c r="M377" s="164" t="str">
        <f t="shared" si="550"/>
        <v/>
      </c>
      <c r="N377" s="164" t="str">
        <f t="shared" si="551"/>
        <v/>
      </c>
      <c r="O377" s="165" t="str">
        <f t="shared" si="552"/>
        <v/>
      </c>
      <c r="R377" s="168"/>
      <c r="U377" s="171">
        <f t="shared" si="553"/>
        <v>0</v>
      </c>
      <c r="V377" s="171">
        <f t="shared" ca="1" si="554"/>
        <v>0</v>
      </c>
      <c r="W377" s="171">
        <f t="shared" ca="1" si="555"/>
        <v>0</v>
      </c>
      <c r="X377" s="172">
        <f t="shared" si="556"/>
        <v>0</v>
      </c>
      <c r="Y377" s="172" t="str">
        <f t="shared" si="557"/>
        <v/>
      </c>
      <c r="Z377" s="173">
        <f t="shared" si="558"/>
        <v>0</v>
      </c>
      <c r="AA377" s="171">
        <f t="shared" si="559"/>
        <v>0</v>
      </c>
      <c r="AB377" s="171">
        <f t="shared" si="559"/>
        <v>0</v>
      </c>
      <c r="AC377" s="171">
        <f t="shared" si="559"/>
        <v>0</v>
      </c>
      <c r="AD377" s="171">
        <f t="shared" si="559"/>
        <v>0</v>
      </c>
      <c r="AE377" s="171">
        <f t="shared" si="559"/>
        <v>0</v>
      </c>
      <c r="AF377" s="171">
        <f t="shared" si="559"/>
        <v>0</v>
      </c>
      <c r="AG377" s="171">
        <f t="shared" si="559"/>
        <v>0</v>
      </c>
      <c r="AH377" s="171">
        <f t="shared" si="559"/>
        <v>0</v>
      </c>
      <c r="AI377" s="171">
        <f t="shared" si="559"/>
        <v>0</v>
      </c>
      <c r="AJ377" s="171">
        <f t="shared" si="559"/>
        <v>0</v>
      </c>
      <c r="AK377" s="171">
        <f t="shared" si="560"/>
        <v>0</v>
      </c>
      <c r="AL377" s="171">
        <f t="shared" si="560"/>
        <v>0</v>
      </c>
      <c r="AM377" s="171">
        <f t="shared" si="560"/>
        <v>0</v>
      </c>
      <c r="AN377" s="171">
        <f t="shared" si="560"/>
        <v>0</v>
      </c>
      <c r="AO377" s="171">
        <f t="shared" si="560"/>
        <v>0</v>
      </c>
      <c r="AP377" s="171">
        <f t="shared" si="560"/>
        <v>0</v>
      </c>
      <c r="AQ377" s="171">
        <f t="shared" si="560"/>
        <v>0</v>
      </c>
      <c r="AR377" s="171">
        <f t="shared" si="560"/>
        <v>0</v>
      </c>
      <c r="AS377" s="171">
        <f t="shared" si="560"/>
        <v>0</v>
      </c>
      <c r="AT377" s="171">
        <f t="shared" si="560"/>
        <v>0</v>
      </c>
      <c r="AU377" s="171">
        <f t="shared" si="561"/>
        <v>0</v>
      </c>
      <c r="AV377" s="171">
        <f t="shared" si="561"/>
        <v>0</v>
      </c>
      <c r="AW377" s="171">
        <f t="shared" si="561"/>
        <v>0</v>
      </c>
      <c r="AX377" s="171">
        <f t="shared" si="561"/>
        <v>0</v>
      </c>
      <c r="AY377" s="171">
        <f t="shared" si="561"/>
        <v>0</v>
      </c>
      <c r="AZ377" s="171">
        <f t="shared" si="561"/>
        <v>0</v>
      </c>
      <c r="BA377" s="171">
        <f t="shared" si="561"/>
        <v>0</v>
      </c>
      <c r="BB377" s="171">
        <f t="shared" si="561"/>
        <v>0</v>
      </c>
      <c r="BC377" s="171">
        <f t="shared" si="561"/>
        <v>0</v>
      </c>
      <c r="BD377" s="171">
        <f t="shared" si="561"/>
        <v>0</v>
      </c>
      <c r="BE377" s="171">
        <f t="shared" si="562"/>
        <v>0</v>
      </c>
      <c r="BF377" s="171">
        <f t="shared" si="562"/>
        <v>0</v>
      </c>
      <c r="BG377" s="171">
        <f t="shared" si="562"/>
        <v>0</v>
      </c>
      <c r="BH377" s="171">
        <f t="shared" si="562"/>
        <v>0</v>
      </c>
      <c r="BI377" s="171">
        <f t="shared" si="562"/>
        <v>0</v>
      </c>
      <c r="BJ377" s="171">
        <f t="shared" si="562"/>
        <v>0</v>
      </c>
      <c r="BK377" s="171">
        <f t="shared" si="562"/>
        <v>0</v>
      </c>
      <c r="BL377" s="171">
        <f t="shared" si="562"/>
        <v>0</v>
      </c>
      <c r="BM377" s="171">
        <f t="shared" si="562"/>
        <v>0</v>
      </c>
      <c r="BN377" s="171">
        <f t="shared" si="562"/>
        <v>0</v>
      </c>
      <c r="BO377" s="171">
        <f t="shared" si="563"/>
        <v>0</v>
      </c>
      <c r="BP377" s="171">
        <f t="shared" si="563"/>
        <v>0</v>
      </c>
      <c r="BQ377" s="171">
        <f t="shared" si="563"/>
        <v>0</v>
      </c>
      <c r="BR377" s="171">
        <f t="shared" si="563"/>
        <v>0</v>
      </c>
      <c r="BS377" s="171">
        <f t="shared" si="563"/>
        <v>0</v>
      </c>
      <c r="BT377" s="171">
        <f t="shared" si="563"/>
        <v>0</v>
      </c>
      <c r="BU377" s="171">
        <f t="shared" si="563"/>
        <v>0</v>
      </c>
      <c r="BV377" s="171">
        <f t="shared" si="563"/>
        <v>0</v>
      </c>
      <c r="BW377" s="171">
        <f t="shared" si="563"/>
        <v>0</v>
      </c>
      <c r="BX377" s="171">
        <f t="shared" si="563"/>
        <v>0</v>
      </c>
      <c r="BY377" s="171">
        <f t="shared" si="564"/>
        <v>0</v>
      </c>
      <c r="BZ377" s="171">
        <f t="shared" si="564"/>
        <v>0</v>
      </c>
      <c r="CA377" s="171">
        <f t="shared" si="564"/>
        <v>0</v>
      </c>
      <c r="CB377" s="171">
        <f t="shared" si="564"/>
        <v>0</v>
      </c>
      <c r="CC377" s="171">
        <f t="shared" si="564"/>
        <v>0</v>
      </c>
      <c r="CD377" s="171">
        <f t="shared" si="564"/>
        <v>0</v>
      </c>
      <c r="CE377" s="171">
        <f t="shared" si="564"/>
        <v>0</v>
      </c>
      <c r="CF377" s="171">
        <f t="shared" si="564"/>
        <v>0</v>
      </c>
      <c r="CG377" s="171">
        <f t="shared" si="564"/>
        <v>0</v>
      </c>
      <c r="CH377" s="171">
        <f t="shared" si="564"/>
        <v>0</v>
      </c>
      <c r="CI377" s="171">
        <f t="shared" si="564"/>
        <v>0</v>
      </c>
      <c r="CJ377" s="243"/>
      <c r="CK377" s="171">
        <f t="shared" si="565"/>
        <v>0</v>
      </c>
      <c r="CL377" s="171">
        <f t="shared" si="566"/>
        <v>0</v>
      </c>
      <c r="CM377" s="171">
        <f t="shared" si="567"/>
        <v>0</v>
      </c>
      <c r="CN377" s="171">
        <f t="shared" si="568"/>
        <v>0</v>
      </c>
      <c r="CO377" s="171">
        <f t="shared" si="569"/>
        <v>0</v>
      </c>
      <c r="CP377" s="171">
        <f t="shared" si="570"/>
        <v>0</v>
      </c>
      <c r="CQ377" s="171">
        <f t="shared" si="571"/>
        <v>0</v>
      </c>
      <c r="CR377" s="171">
        <f t="shared" si="572"/>
        <v>0</v>
      </c>
      <c r="CS377" s="171">
        <f t="shared" si="573"/>
        <v>0</v>
      </c>
      <c r="CT377" s="171">
        <f t="shared" si="574"/>
        <v>0</v>
      </c>
      <c r="CU377" s="171">
        <f t="shared" si="575"/>
        <v>0</v>
      </c>
      <c r="CV377" s="171">
        <f t="shared" si="576"/>
        <v>0</v>
      </c>
      <c r="CW377" s="171">
        <f t="shared" si="577"/>
        <v>0</v>
      </c>
      <c r="CX377" s="171">
        <f t="shared" si="578"/>
        <v>0</v>
      </c>
      <c r="CY377" s="171">
        <f t="shared" ca="1" si="579"/>
        <v>0</v>
      </c>
      <c r="CZ377" s="171">
        <f t="shared" ca="1" si="580"/>
        <v>0</v>
      </c>
      <c r="DA377" s="171">
        <f t="shared" ca="1" si="581"/>
        <v>0</v>
      </c>
      <c r="DB377" s="171">
        <f t="shared" ca="1" si="582"/>
        <v>0</v>
      </c>
      <c r="DC377" s="171">
        <f t="shared" ca="1" si="583"/>
        <v>0</v>
      </c>
      <c r="DD377" s="171">
        <f t="shared" ca="1" si="584"/>
        <v>0</v>
      </c>
      <c r="DE377" s="171">
        <f t="shared" ca="1" si="585"/>
        <v>0</v>
      </c>
      <c r="DF377" s="171">
        <f t="shared" ca="1" si="586"/>
        <v>0</v>
      </c>
      <c r="DG377" s="171">
        <f t="shared" ca="1" si="587"/>
        <v>0</v>
      </c>
      <c r="DH377" s="171">
        <f t="shared" ca="1" si="588"/>
        <v>0</v>
      </c>
      <c r="DI377" s="171">
        <f t="shared" ca="1" si="589"/>
        <v>0</v>
      </c>
      <c r="DJ377" s="171">
        <f t="shared" ca="1" si="590"/>
        <v>0</v>
      </c>
      <c r="DK377" s="171">
        <f t="shared" ca="1" si="591"/>
        <v>0</v>
      </c>
      <c r="DL377" s="171">
        <f t="shared" ca="1" si="592"/>
        <v>0</v>
      </c>
      <c r="DM377" s="171">
        <f t="shared" ca="1" si="593"/>
        <v>0</v>
      </c>
      <c r="DN377" s="171">
        <f t="shared" ca="1" si="594"/>
        <v>0</v>
      </c>
      <c r="DO377" s="171">
        <f t="shared" ca="1" si="595"/>
        <v>0</v>
      </c>
      <c r="DP377" s="171">
        <f t="shared" ca="1" si="596"/>
        <v>0</v>
      </c>
      <c r="DQ377" s="171">
        <f t="shared" ca="1" si="597"/>
        <v>0</v>
      </c>
      <c r="DR377" s="171">
        <f t="shared" ca="1" si="598"/>
        <v>0</v>
      </c>
      <c r="DS377" s="171">
        <f t="shared" ca="1" si="599"/>
        <v>0</v>
      </c>
      <c r="DT377" s="171">
        <f t="shared" ca="1" si="600"/>
        <v>0</v>
      </c>
      <c r="DU377" s="171">
        <f t="shared" ca="1" si="601"/>
        <v>0</v>
      </c>
      <c r="DV377" s="171">
        <f t="shared" ca="1" si="602"/>
        <v>0</v>
      </c>
      <c r="DW377" s="171">
        <f t="shared" ca="1" si="603"/>
        <v>0</v>
      </c>
      <c r="DX377" s="171">
        <f t="shared" ca="1" si="604"/>
        <v>0</v>
      </c>
      <c r="DY377" s="171">
        <f t="shared" ca="1" si="605"/>
        <v>0</v>
      </c>
      <c r="DZ377" s="171">
        <f t="shared" ca="1" si="606"/>
        <v>0</v>
      </c>
      <c r="EA377" s="171">
        <f t="shared" ca="1" si="607"/>
        <v>0</v>
      </c>
      <c r="EB377" s="171">
        <f t="shared" ca="1" si="608"/>
        <v>0</v>
      </c>
      <c r="EC377" s="171">
        <f t="shared" ca="1" si="609"/>
        <v>0</v>
      </c>
      <c r="ED377" s="171">
        <f t="shared" ca="1" si="610"/>
        <v>0</v>
      </c>
      <c r="EE377" s="171">
        <f t="shared" ca="1" si="611"/>
        <v>0</v>
      </c>
      <c r="EF377" s="171">
        <f t="shared" ca="1" si="612"/>
        <v>0</v>
      </c>
      <c r="EG377" s="171">
        <f t="shared" ca="1" si="613"/>
        <v>0</v>
      </c>
      <c r="EH377" s="171">
        <f t="shared" ca="1" si="614"/>
        <v>0</v>
      </c>
      <c r="EI377" s="171">
        <f t="shared" ca="1" si="615"/>
        <v>0</v>
      </c>
      <c r="EJ377" s="171">
        <f t="shared" ca="1" si="616"/>
        <v>0</v>
      </c>
      <c r="EK377" s="171">
        <f t="shared" ca="1" si="617"/>
        <v>0</v>
      </c>
      <c r="EL377" s="171">
        <f t="shared" ca="1" si="618"/>
        <v>0</v>
      </c>
      <c r="EM377" s="171">
        <f t="shared" ca="1" si="619"/>
        <v>0</v>
      </c>
      <c r="EN377" s="171">
        <f t="shared" ca="1" si="620"/>
        <v>0</v>
      </c>
      <c r="EO377" s="171">
        <f t="shared" ca="1" si="621"/>
        <v>0</v>
      </c>
      <c r="EP377" s="171">
        <f t="shared" ca="1" si="622"/>
        <v>0</v>
      </c>
      <c r="EQ377" s="171">
        <f t="shared" ca="1" si="623"/>
        <v>0</v>
      </c>
      <c r="ER377" s="171">
        <f t="shared" ca="1" si="624"/>
        <v>0</v>
      </c>
      <c r="ES377" s="171">
        <f t="shared" ca="1" si="625"/>
        <v>0</v>
      </c>
    </row>
    <row r="378" spans="3:149">
      <c r="C378" s="214"/>
      <c r="L378" s="163"/>
      <c r="M378" s="164" t="str">
        <f t="shared" si="550"/>
        <v/>
      </c>
      <c r="N378" s="164" t="str">
        <f t="shared" si="551"/>
        <v/>
      </c>
      <c r="O378" s="165" t="str">
        <f t="shared" si="552"/>
        <v/>
      </c>
      <c r="R378" s="168"/>
      <c r="U378" s="171">
        <f t="shared" si="553"/>
        <v>0</v>
      </c>
      <c r="V378" s="171">
        <f t="shared" ca="1" si="554"/>
        <v>0</v>
      </c>
      <c r="W378" s="171">
        <f t="shared" ca="1" si="555"/>
        <v>0</v>
      </c>
      <c r="X378" s="172">
        <f t="shared" si="556"/>
        <v>0</v>
      </c>
      <c r="Y378" s="172" t="str">
        <f t="shared" si="557"/>
        <v/>
      </c>
      <c r="Z378" s="173">
        <f t="shared" si="558"/>
        <v>0</v>
      </c>
      <c r="AA378" s="171">
        <f t="shared" si="559"/>
        <v>0</v>
      </c>
      <c r="AB378" s="171">
        <f t="shared" si="559"/>
        <v>0</v>
      </c>
      <c r="AC378" s="171">
        <f t="shared" si="559"/>
        <v>0</v>
      </c>
      <c r="AD378" s="171">
        <f t="shared" si="559"/>
        <v>0</v>
      </c>
      <c r="AE378" s="171">
        <f t="shared" si="559"/>
        <v>0</v>
      </c>
      <c r="AF378" s="171">
        <f t="shared" si="559"/>
        <v>0</v>
      </c>
      <c r="AG378" s="171">
        <f t="shared" si="559"/>
        <v>0</v>
      </c>
      <c r="AH378" s="171">
        <f t="shared" si="559"/>
        <v>0</v>
      </c>
      <c r="AI378" s="171">
        <f t="shared" si="559"/>
        <v>0</v>
      </c>
      <c r="AJ378" s="171">
        <f t="shared" si="559"/>
        <v>0</v>
      </c>
      <c r="AK378" s="171">
        <f t="shared" si="560"/>
        <v>0</v>
      </c>
      <c r="AL378" s="171">
        <f t="shared" si="560"/>
        <v>0</v>
      </c>
      <c r="AM378" s="171">
        <f t="shared" si="560"/>
        <v>0</v>
      </c>
      <c r="AN378" s="171">
        <f t="shared" si="560"/>
        <v>0</v>
      </c>
      <c r="AO378" s="171">
        <f t="shared" si="560"/>
        <v>0</v>
      </c>
      <c r="AP378" s="171">
        <f t="shared" si="560"/>
        <v>0</v>
      </c>
      <c r="AQ378" s="171">
        <f t="shared" si="560"/>
        <v>0</v>
      </c>
      <c r="AR378" s="171">
        <f t="shared" si="560"/>
        <v>0</v>
      </c>
      <c r="AS378" s="171">
        <f t="shared" si="560"/>
        <v>0</v>
      </c>
      <c r="AT378" s="171">
        <f t="shared" si="560"/>
        <v>0</v>
      </c>
      <c r="AU378" s="171">
        <f t="shared" si="561"/>
        <v>0</v>
      </c>
      <c r="AV378" s="171">
        <f t="shared" si="561"/>
        <v>0</v>
      </c>
      <c r="AW378" s="171">
        <f t="shared" si="561"/>
        <v>0</v>
      </c>
      <c r="AX378" s="171">
        <f t="shared" si="561"/>
        <v>0</v>
      </c>
      <c r="AY378" s="171">
        <f t="shared" si="561"/>
        <v>0</v>
      </c>
      <c r="AZ378" s="171">
        <f t="shared" si="561"/>
        <v>0</v>
      </c>
      <c r="BA378" s="171">
        <f t="shared" si="561"/>
        <v>0</v>
      </c>
      <c r="BB378" s="171">
        <f t="shared" si="561"/>
        <v>0</v>
      </c>
      <c r="BC378" s="171">
        <f t="shared" si="561"/>
        <v>0</v>
      </c>
      <c r="BD378" s="171">
        <f t="shared" si="561"/>
        <v>0</v>
      </c>
      <c r="BE378" s="171">
        <f t="shared" si="562"/>
        <v>0</v>
      </c>
      <c r="BF378" s="171">
        <f t="shared" si="562"/>
        <v>0</v>
      </c>
      <c r="BG378" s="171">
        <f t="shared" si="562"/>
        <v>0</v>
      </c>
      <c r="BH378" s="171">
        <f t="shared" si="562"/>
        <v>0</v>
      </c>
      <c r="BI378" s="171">
        <f t="shared" si="562"/>
        <v>0</v>
      </c>
      <c r="BJ378" s="171">
        <f t="shared" si="562"/>
        <v>0</v>
      </c>
      <c r="BK378" s="171">
        <f t="shared" si="562"/>
        <v>0</v>
      </c>
      <c r="BL378" s="171">
        <f t="shared" si="562"/>
        <v>0</v>
      </c>
      <c r="BM378" s="171">
        <f t="shared" si="562"/>
        <v>0</v>
      </c>
      <c r="BN378" s="171">
        <f t="shared" si="562"/>
        <v>0</v>
      </c>
      <c r="BO378" s="171">
        <f t="shared" si="563"/>
        <v>0</v>
      </c>
      <c r="BP378" s="171">
        <f t="shared" si="563"/>
        <v>0</v>
      </c>
      <c r="BQ378" s="171">
        <f t="shared" si="563"/>
        <v>0</v>
      </c>
      <c r="BR378" s="171">
        <f t="shared" si="563"/>
        <v>0</v>
      </c>
      <c r="BS378" s="171">
        <f t="shared" si="563"/>
        <v>0</v>
      </c>
      <c r="BT378" s="171">
        <f t="shared" si="563"/>
        <v>0</v>
      </c>
      <c r="BU378" s="171">
        <f t="shared" si="563"/>
        <v>0</v>
      </c>
      <c r="BV378" s="171">
        <f t="shared" si="563"/>
        <v>0</v>
      </c>
      <c r="BW378" s="171">
        <f t="shared" si="563"/>
        <v>0</v>
      </c>
      <c r="BX378" s="171">
        <f t="shared" si="563"/>
        <v>0</v>
      </c>
      <c r="BY378" s="171">
        <f t="shared" si="564"/>
        <v>0</v>
      </c>
      <c r="BZ378" s="171">
        <f t="shared" si="564"/>
        <v>0</v>
      </c>
      <c r="CA378" s="171">
        <f t="shared" si="564"/>
        <v>0</v>
      </c>
      <c r="CB378" s="171">
        <f t="shared" si="564"/>
        <v>0</v>
      </c>
      <c r="CC378" s="171">
        <f t="shared" si="564"/>
        <v>0</v>
      </c>
      <c r="CD378" s="171">
        <f t="shared" si="564"/>
        <v>0</v>
      </c>
      <c r="CE378" s="171">
        <f t="shared" si="564"/>
        <v>0</v>
      </c>
      <c r="CF378" s="171">
        <f t="shared" si="564"/>
        <v>0</v>
      </c>
      <c r="CG378" s="171">
        <f t="shared" si="564"/>
        <v>0</v>
      </c>
      <c r="CH378" s="171">
        <f t="shared" si="564"/>
        <v>0</v>
      </c>
      <c r="CI378" s="171">
        <f t="shared" si="564"/>
        <v>0</v>
      </c>
      <c r="CJ378" s="243"/>
      <c r="CK378" s="171">
        <f t="shared" si="565"/>
        <v>0</v>
      </c>
      <c r="CL378" s="171">
        <f t="shared" si="566"/>
        <v>0</v>
      </c>
      <c r="CM378" s="171">
        <f t="shared" si="567"/>
        <v>0</v>
      </c>
      <c r="CN378" s="171">
        <f t="shared" si="568"/>
        <v>0</v>
      </c>
      <c r="CO378" s="171">
        <f t="shared" si="569"/>
        <v>0</v>
      </c>
      <c r="CP378" s="171">
        <f t="shared" si="570"/>
        <v>0</v>
      </c>
      <c r="CQ378" s="171">
        <f t="shared" si="571"/>
        <v>0</v>
      </c>
      <c r="CR378" s="171">
        <f t="shared" si="572"/>
        <v>0</v>
      </c>
      <c r="CS378" s="171">
        <f t="shared" si="573"/>
        <v>0</v>
      </c>
      <c r="CT378" s="171">
        <f t="shared" si="574"/>
        <v>0</v>
      </c>
      <c r="CU378" s="171">
        <f t="shared" si="575"/>
        <v>0</v>
      </c>
      <c r="CV378" s="171">
        <f t="shared" si="576"/>
        <v>0</v>
      </c>
      <c r="CW378" s="171">
        <f t="shared" si="577"/>
        <v>0</v>
      </c>
      <c r="CX378" s="171">
        <f t="shared" si="578"/>
        <v>0</v>
      </c>
      <c r="CY378" s="171">
        <f t="shared" ca="1" si="579"/>
        <v>0</v>
      </c>
      <c r="CZ378" s="171">
        <f t="shared" ca="1" si="580"/>
        <v>0</v>
      </c>
      <c r="DA378" s="171">
        <f t="shared" ca="1" si="581"/>
        <v>0</v>
      </c>
      <c r="DB378" s="171">
        <f t="shared" ca="1" si="582"/>
        <v>0</v>
      </c>
      <c r="DC378" s="171">
        <f t="shared" ca="1" si="583"/>
        <v>0</v>
      </c>
      <c r="DD378" s="171">
        <f t="shared" ca="1" si="584"/>
        <v>0</v>
      </c>
      <c r="DE378" s="171">
        <f t="shared" ca="1" si="585"/>
        <v>0</v>
      </c>
      <c r="DF378" s="171">
        <f t="shared" ca="1" si="586"/>
        <v>0</v>
      </c>
      <c r="DG378" s="171">
        <f t="shared" ca="1" si="587"/>
        <v>0</v>
      </c>
      <c r="DH378" s="171">
        <f t="shared" ca="1" si="588"/>
        <v>0</v>
      </c>
      <c r="DI378" s="171">
        <f t="shared" ca="1" si="589"/>
        <v>0</v>
      </c>
      <c r="DJ378" s="171">
        <f t="shared" ca="1" si="590"/>
        <v>0</v>
      </c>
      <c r="DK378" s="171">
        <f t="shared" ca="1" si="591"/>
        <v>0</v>
      </c>
      <c r="DL378" s="171">
        <f t="shared" ca="1" si="592"/>
        <v>0</v>
      </c>
      <c r="DM378" s="171">
        <f t="shared" ca="1" si="593"/>
        <v>0</v>
      </c>
      <c r="DN378" s="171">
        <f t="shared" ca="1" si="594"/>
        <v>0</v>
      </c>
      <c r="DO378" s="171">
        <f t="shared" ca="1" si="595"/>
        <v>0</v>
      </c>
      <c r="DP378" s="171">
        <f t="shared" ca="1" si="596"/>
        <v>0</v>
      </c>
      <c r="DQ378" s="171">
        <f t="shared" ca="1" si="597"/>
        <v>0</v>
      </c>
      <c r="DR378" s="171">
        <f t="shared" ca="1" si="598"/>
        <v>0</v>
      </c>
      <c r="DS378" s="171">
        <f t="shared" ca="1" si="599"/>
        <v>0</v>
      </c>
      <c r="DT378" s="171">
        <f t="shared" ca="1" si="600"/>
        <v>0</v>
      </c>
      <c r="DU378" s="171">
        <f t="shared" ca="1" si="601"/>
        <v>0</v>
      </c>
      <c r="DV378" s="171">
        <f t="shared" ca="1" si="602"/>
        <v>0</v>
      </c>
      <c r="DW378" s="171">
        <f t="shared" ca="1" si="603"/>
        <v>0</v>
      </c>
      <c r="DX378" s="171">
        <f t="shared" ca="1" si="604"/>
        <v>0</v>
      </c>
      <c r="DY378" s="171">
        <f t="shared" ca="1" si="605"/>
        <v>0</v>
      </c>
      <c r="DZ378" s="171">
        <f t="shared" ca="1" si="606"/>
        <v>0</v>
      </c>
      <c r="EA378" s="171">
        <f t="shared" ca="1" si="607"/>
        <v>0</v>
      </c>
      <c r="EB378" s="171">
        <f t="shared" ca="1" si="608"/>
        <v>0</v>
      </c>
      <c r="EC378" s="171">
        <f t="shared" ca="1" si="609"/>
        <v>0</v>
      </c>
      <c r="ED378" s="171">
        <f t="shared" ca="1" si="610"/>
        <v>0</v>
      </c>
      <c r="EE378" s="171">
        <f t="shared" ca="1" si="611"/>
        <v>0</v>
      </c>
      <c r="EF378" s="171">
        <f t="shared" ca="1" si="612"/>
        <v>0</v>
      </c>
      <c r="EG378" s="171">
        <f t="shared" ca="1" si="613"/>
        <v>0</v>
      </c>
      <c r="EH378" s="171">
        <f t="shared" ca="1" si="614"/>
        <v>0</v>
      </c>
      <c r="EI378" s="171">
        <f t="shared" ca="1" si="615"/>
        <v>0</v>
      </c>
      <c r="EJ378" s="171">
        <f t="shared" ca="1" si="616"/>
        <v>0</v>
      </c>
      <c r="EK378" s="171">
        <f t="shared" ca="1" si="617"/>
        <v>0</v>
      </c>
      <c r="EL378" s="171">
        <f t="shared" ca="1" si="618"/>
        <v>0</v>
      </c>
      <c r="EM378" s="171">
        <f t="shared" ca="1" si="619"/>
        <v>0</v>
      </c>
      <c r="EN378" s="171">
        <f t="shared" ca="1" si="620"/>
        <v>0</v>
      </c>
      <c r="EO378" s="171">
        <f t="shared" ca="1" si="621"/>
        <v>0</v>
      </c>
      <c r="EP378" s="171">
        <f t="shared" ca="1" si="622"/>
        <v>0</v>
      </c>
      <c r="EQ378" s="171">
        <f t="shared" ca="1" si="623"/>
        <v>0</v>
      </c>
      <c r="ER378" s="171">
        <f t="shared" ca="1" si="624"/>
        <v>0</v>
      </c>
      <c r="ES378" s="171">
        <f t="shared" ca="1" si="625"/>
        <v>0</v>
      </c>
    </row>
    <row r="379" spans="3:149">
      <c r="C379" s="214"/>
      <c r="L379" s="163"/>
      <c r="M379" s="164" t="str">
        <f t="shared" si="550"/>
        <v/>
      </c>
      <c r="N379" s="164" t="str">
        <f t="shared" si="551"/>
        <v/>
      </c>
      <c r="O379" s="165" t="str">
        <f t="shared" si="552"/>
        <v/>
      </c>
      <c r="R379" s="168"/>
      <c r="U379" s="171">
        <f t="shared" si="553"/>
        <v>0</v>
      </c>
      <c r="V379" s="171">
        <f t="shared" ca="1" si="554"/>
        <v>0</v>
      </c>
      <c r="W379" s="171">
        <f t="shared" ca="1" si="555"/>
        <v>0</v>
      </c>
      <c r="X379" s="172">
        <f t="shared" si="556"/>
        <v>0</v>
      </c>
      <c r="Y379" s="172" t="str">
        <f t="shared" si="557"/>
        <v/>
      </c>
      <c r="Z379" s="173">
        <f t="shared" si="558"/>
        <v>0</v>
      </c>
      <c r="AA379" s="171">
        <f t="shared" ref="AA379:AJ388" si="626">IFERROR(
    IF($T379="Equity",
        IF(AND(AA$48&gt;=$E379, AA$48&lt;=($E379+$Q379)),
$K379*$P379*(VLOOKUP($C$39,$C$37:$BL$44,MATCH($E379,$C$37:$BL$37,0),FALSE)/VLOOKUP($L379,$C$37:$BL$44,MATCH($E379,$C$37:$BL$37,0),FALSE))*
IF($B$5="Foreign Currency",VLOOKUP($C$38,$C$37:$BL$44,MATCH(AA$48,$C$37:$BL$37,0),FALSE)/VLOOKUP($C$39,$C$37:$BL$44,MATCH(AA$48,$C$37:$BL$37,0),FALSE),1),
0),
    IF($T379="Lump Sum Principal",
        IF(AND(AA$48&gt;=$E379, AA$48&lt;($E379+$Q379)),
$K379*$P379*(VLOOKUP($C$39,$C$37:$BL$44,MATCH($E379,$C$37:$BL$37,0),FALSE)/VLOOKUP($L379,$C$37:$BL$44,MATCH($E379,$C$37:$BL$37,0),FALSE))*
IF($B$5="Foreign Currency",VLOOKUP($C$38,$C$37:$BL$44,MATCH(AA$48,$C$37:$BL$37,0),FALSE)/VLOOKUP($C$39,$C$37:$BL$44,MATCH(AA$48,$C$37:$BL$37,0),FALSE),1),
        IF(AA$48=($E379+$Q379),
$K379*(1+$P379)*(VLOOKUP($C$39,$C$37:$BL$44,MATCH($E379,$C$37:$BL$37,0),FALSE)/VLOOKUP($L379,$C$37:$BL$44,MATCH($E379,$C$37:$BL$37,0),FALSE))*
IF($B$5="Foreign Currency",VLOOKUP($C$38,$C$37:$BL$44,MATCH(AA$48,$C$37:$BL$37,0),FALSE)/VLOOKUP($C$39,$C$37:$BL$44,MATCH(AA$48,$C$37:$BL$37,0),FALSE),1),
0)),
    IF($T379="Lump Sum Principal and Interest",
        IF(AA$48=($E379+$Q379),
$K379*((1+$P379)^$Q379)*(VLOOKUP($C$39,$C$37:$BL$44,MATCH($E379,$C$37:$BL$37,0),FALSE)/VLOOKUP($L379,$C$37:$BL$44,MATCH($E379,$C$37:$BL$37,0),FALSE))*
IF($B$5="Foreign Currency",VLOOKUP($C$38,$C$37:$BL$44,MATCH(AA$48,$C$37:$BL$37,0),FALSE)/VLOOKUP($C$39,$C$37:$BL$44,MATCH(AA$48,$C$37:$BL$37,0),FALSE),1),
0),
    IF($T379="EPP with Grace Years for Principal",
        IF(AND(AA$48&gt;=$E379, AA$48&lt;($E379+$S379)),
$K379*$P379*(VLOOKUP($C$39,$C$37:$BL$44,MATCH($E379,$C$37:$BL$37,0),FALSE)/VLOOKUP($L379,$C$37:$BL$44,MATCH($E379,$C$37:$BL$37,0),FALSE))*
IF($B$5="Foreign Currency",VLOOKUP($C$38,$C$37:$BL$44,MATCH(AA$48,$C$37:$BL$37,0),FALSE)/VLOOKUP($C$39,$C$37:$BL$44,MATCH(AA$48,$C$37:$BL$37,0),FALSE),1),
        IF(AND(AA$48&gt;=($E379+$S379), AA$48&lt;=($E379+$Q379)),
-PMT($P379,($Q379-$S379+1),($K379*(VLOOKUP($C$39,$C$37:$BL$44,MATCH($E379,$C$37:$BL$37,0),FALSE)/VLOOKUP($L379,$C$37:$BL$44,MATCH($E379,$C$37:$BL$37,0),FALSE))*
IF($B$5="Foreign Currency",VLOOKUP($C$38,$C$37:$BL$44,MATCH(AA$48,$C$37:$BL$37,0),FALSE)/VLOOKUP($C$39,$C$37:$BL$44,MATCH(AA$48,$C$37:$BL$37,0),FALSE),1)),0),
0)),
    IF($T379="Equal Principal Payments (EPP)",
        IF(AND(AA$48&gt;=$E379, AA$48&lt;=($E379+$Q379)),
-PMT($P379,($Q379-$S379+1),($K379*(VLOOKUP($C$39,$C$37:$BL$44,MATCH($E379,$C$37:$BL$37,0),FALSE)/VLOOKUP($L379,$C$37:$BL$44,MATCH($E379,$C$37:$BL$37,0),FALSE))*
IF($B$5="Foreign Currency",VLOOKUP($C$38,$C$37:$BL$44,MATCH(AA$48,$C$37:$BL$37,0),FALSE)/VLOOKUP($C$39,$C$37:$BL$44,MATCH(AA$48,$C$37:$BL$37,0),FALSE),1)),0), 0),
    IF($T379="EPP with Grace Years for Principal and on Interest",
        IF(AND(AA$48&gt;=($E379+$S379), AA$48&lt;=($E379+$Q379)),
-PMT($P379,($Q379-$S379+1),($K379*(VLOOKUP($C$39,$C$37:$BL$44,MATCH($E379,$C$37:$BL$37,0),FALSE)/VLOOKUP($L379,$C$37:$BL$44,MATCH($E379,$C$37:$BL$37,0),FALSE))*
IF($B$5="Foreign Currency",VLOOKUP($C$38,$C$37:$BL$44,MATCH(AA$48,$C$37:$BL$37,0),FALSE)/VLOOKUP($C$39,$C$37:$BL$44,MATCH(AA$48,$C$37:$BL$37,0),FALSE),1))*((1+$P379)^$S379),0), 0),
    0)))))),"")</f>
        <v>0</v>
      </c>
      <c r="AB379" s="171">
        <f t="shared" si="626"/>
        <v>0</v>
      </c>
      <c r="AC379" s="171">
        <f t="shared" si="626"/>
        <v>0</v>
      </c>
      <c r="AD379" s="171">
        <f t="shared" si="626"/>
        <v>0</v>
      </c>
      <c r="AE379" s="171">
        <f t="shared" si="626"/>
        <v>0</v>
      </c>
      <c r="AF379" s="171">
        <f t="shared" si="626"/>
        <v>0</v>
      </c>
      <c r="AG379" s="171">
        <f t="shared" si="626"/>
        <v>0</v>
      </c>
      <c r="AH379" s="171">
        <f t="shared" si="626"/>
        <v>0</v>
      </c>
      <c r="AI379" s="171">
        <f t="shared" si="626"/>
        <v>0</v>
      </c>
      <c r="AJ379" s="171">
        <f t="shared" si="626"/>
        <v>0</v>
      </c>
      <c r="AK379" s="171">
        <f t="shared" ref="AK379:AT388" si="627">IFERROR(
    IF($T379="Equity",
        IF(AND(AK$48&gt;=$E379, AK$48&lt;=($E379+$Q379)),
$K379*$P379*(VLOOKUP($C$39,$C$37:$BL$44,MATCH($E379,$C$37:$BL$37,0),FALSE)/VLOOKUP($L379,$C$37:$BL$44,MATCH($E379,$C$37:$BL$37,0),FALSE))*
IF($B$5="Foreign Currency",VLOOKUP($C$38,$C$37:$BL$44,MATCH(AK$48,$C$37:$BL$37,0),FALSE)/VLOOKUP($C$39,$C$37:$BL$44,MATCH(AK$48,$C$37:$BL$37,0),FALSE),1),
0),
    IF($T379="Lump Sum Principal",
        IF(AND(AK$48&gt;=$E379, AK$48&lt;($E379+$Q379)),
$K379*$P379*(VLOOKUP($C$39,$C$37:$BL$44,MATCH($E379,$C$37:$BL$37,0),FALSE)/VLOOKUP($L379,$C$37:$BL$44,MATCH($E379,$C$37:$BL$37,0),FALSE))*
IF($B$5="Foreign Currency",VLOOKUP($C$38,$C$37:$BL$44,MATCH(AK$48,$C$37:$BL$37,0),FALSE)/VLOOKUP($C$39,$C$37:$BL$44,MATCH(AK$48,$C$37:$BL$37,0),FALSE),1),
        IF(AK$48=($E379+$Q379),
$K379*(1+$P379)*(VLOOKUP($C$39,$C$37:$BL$44,MATCH($E379,$C$37:$BL$37,0),FALSE)/VLOOKUP($L379,$C$37:$BL$44,MATCH($E379,$C$37:$BL$37,0),FALSE))*
IF($B$5="Foreign Currency",VLOOKUP($C$38,$C$37:$BL$44,MATCH(AK$48,$C$37:$BL$37,0),FALSE)/VLOOKUP($C$39,$C$37:$BL$44,MATCH(AK$48,$C$37:$BL$37,0),FALSE),1),
0)),
    IF($T379="Lump Sum Principal and Interest",
        IF(AK$48=($E379+$Q379),
$K379*((1+$P379)^$Q379)*(VLOOKUP($C$39,$C$37:$BL$44,MATCH($E379,$C$37:$BL$37,0),FALSE)/VLOOKUP($L379,$C$37:$BL$44,MATCH($E379,$C$37:$BL$37,0),FALSE))*
IF($B$5="Foreign Currency",VLOOKUP($C$38,$C$37:$BL$44,MATCH(AK$48,$C$37:$BL$37,0),FALSE)/VLOOKUP($C$39,$C$37:$BL$44,MATCH(AK$48,$C$37:$BL$37,0),FALSE),1),
0),
    IF($T379="EPP with Grace Years for Principal",
        IF(AND(AK$48&gt;=$E379, AK$48&lt;($E379+$S379)),
$K379*$P379*(VLOOKUP($C$39,$C$37:$BL$44,MATCH($E379,$C$37:$BL$37,0),FALSE)/VLOOKUP($L379,$C$37:$BL$44,MATCH($E379,$C$37:$BL$37,0),FALSE))*
IF($B$5="Foreign Currency",VLOOKUP($C$38,$C$37:$BL$44,MATCH(AK$48,$C$37:$BL$37,0),FALSE)/VLOOKUP($C$39,$C$37:$BL$44,MATCH(AK$48,$C$37:$BL$37,0),FALSE),1),
        IF(AND(AK$48&gt;=($E379+$S379), AK$48&lt;=($E379+$Q379)),
-PMT($P379,($Q379-$S379+1),($K379*(VLOOKUP($C$39,$C$37:$BL$44,MATCH($E379,$C$37:$BL$37,0),FALSE)/VLOOKUP($L379,$C$37:$BL$44,MATCH($E379,$C$37:$BL$37,0),FALSE))*
IF($B$5="Foreign Currency",VLOOKUP($C$38,$C$37:$BL$44,MATCH(AK$48,$C$37:$BL$37,0),FALSE)/VLOOKUP($C$39,$C$37:$BL$44,MATCH(AK$48,$C$37:$BL$37,0),FALSE),1)),0),
0)),
    IF($T379="Equal Principal Payments (EPP)",
        IF(AND(AK$48&gt;=$E379, AK$48&lt;=($E379+$Q379)),
-PMT($P379,($Q379-$S379+1),($K379*(VLOOKUP($C$39,$C$37:$BL$44,MATCH($E379,$C$37:$BL$37,0),FALSE)/VLOOKUP($L379,$C$37:$BL$44,MATCH($E379,$C$37:$BL$37,0),FALSE))*
IF($B$5="Foreign Currency",VLOOKUP($C$38,$C$37:$BL$44,MATCH(AK$48,$C$37:$BL$37,0),FALSE)/VLOOKUP($C$39,$C$37:$BL$44,MATCH(AK$48,$C$37:$BL$37,0),FALSE),1)),0), 0),
    IF($T379="EPP with Grace Years for Principal and on Interest",
        IF(AND(AK$48&gt;=($E379+$S379), AK$48&lt;=($E379+$Q379)),
-PMT($P379,($Q379-$S379+1),($K379*(VLOOKUP($C$39,$C$37:$BL$44,MATCH($E379,$C$37:$BL$37,0),FALSE)/VLOOKUP($L379,$C$37:$BL$44,MATCH($E379,$C$37:$BL$37,0),FALSE))*
IF($B$5="Foreign Currency",VLOOKUP($C$38,$C$37:$BL$44,MATCH(AK$48,$C$37:$BL$37,0),FALSE)/VLOOKUP($C$39,$C$37:$BL$44,MATCH(AK$48,$C$37:$BL$37,0),FALSE),1))*((1+$P379)^$S379),0), 0),
    0)))))),"")</f>
        <v>0</v>
      </c>
      <c r="AL379" s="171">
        <f t="shared" si="627"/>
        <v>0</v>
      </c>
      <c r="AM379" s="171">
        <f t="shared" si="627"/>
        <v>0</v>
      </c>
      <c r="AN379" s="171">
        <f t="shared" si="627"/>
        <v>0</v>
      </c>
      <c r="AO379" s="171">
        <f t="shared" si="627"/>
        <v>0</v>
      </c>
      <c r="AP379" s="171">
        <f t="shared" si="627"/>
        <v>0</v>
      </c>
      <c r="AQ379" s="171">
        <f t="shared" si="627"/>
        <v>0</v>
      </c>
      <c r="AR379" s="171">
        <f t="shared" si="627"/>
        <v>0</v>
      </c>
      <c r="AS379" s="171">
        <f t="shared" si="627"/>
        <v>0</v>
      </c>
      <c r="AT379" s="171">
        <f t="shared" si="627"/>
        <v>0</v>
      </c>
      <c r="AU379" s="171">
        <f t="shared" ref="AU379:BD388" si="628">IFERROR(
    IF($T379="Equity",
        IF(AND(AU$48&gt;=$E379, AU$48&lt;=($E379+$Q379)),
$K379*$P379*(VLOOKUP($C$39,$C$37:$BL$44,MATCH($E379,$C$37:$BL$37,0),FALSE)/VLOOKUP($L379,$C$37:$BL$44,MATCH($E379,$C$37:$BL$37,0),FALSE))*
IF($B$5="Foreign Currency",VLOOKUP($C$38,$C$37:$BL$44,MATCH(AU$48,$C$37:$BL$37,0),FALSE)/VLOOKUP($C$39,$C$37:$BL$44,MATCH(AU$48,$C$37:$BL$37,0),FALSE),1),
0),
    IF($T379="Lump Sum Principal",
        IF(AND(AU$48&gt;=$E379, AU$48&lt;($E379+$Q379)),
$K379*$P379*(VLOOKUP($C$39,$C$37:$BL$44,MATCH($E379,$C$37:$BL$37,0),FALSE)/VLOOKUP($L379,$C$37:$BL$44,MATCH($E379,$C$37:$BL$37,0),FALSE))*
IF($B$5="Foreign Currency",VLOOKUP($C$38,$C$37:$BL$44,MATCH(AU$48,$C$37:$BL$37,0),FALSE)/VLOOKUP($C$39,$C$37:$BL$44,MATCH(AU$48,$C$37:$BL$37,0),FALSE),1),
        IF(AU$48=($E379+$Q379),
$K379*(1+$P379)*(VLOOKUP($C$39,$C$37:$BL$44,MATCH($E379,$C$37:$BL$37,0),FALSE)/VLOOKUP($L379,$C$37:$BL$44,MATCH($E379,$C$37:$BL$37,0),FALSE))*
IF($B$5="Foreign Currency",VLOOKUP($C$38,$C$37:$BL$44,MATCH(AU$48,$C$37:$BL$37,0),FALSE)/VLOOKUP($C$39,$C$37:$BL$44,MATCH(AU$48,$C$37:$BL$37,0),FALSE),1),
0)),
    IF($T379="Lump Sum Principal and Interest",
        IF(AU$48=($E379+$Q379),
$K379*((1+$P379)^$Q379)*(VLOOKUP($C$39,$C$37:$BL$44,MATCH($E379,$C$37:$BL$37,0),FALSE)/VLOOKUP($L379,$C$37:$BL$44,MATCH($E379,$C$37:$BL$37,0),FALSE))*
IF($B$5="Foreign Currency",VLOOKUP($C$38,$C$37:$BL$44,MATCH(AU$48,$C$37:$BL$37,0),FALSE)/VLOOKUP($C$39,$C$37:$BL$44,MATCH(AU$48,$C$37:$BL$37,0),FALSE),1),
0),
    IF($T379="EPP with Grace Years for Principal",
        IF(AND(AU$48&gt;=$E379, AU$48&lt;($E379+$S379)),
$K379*$P379*(VLOOKUP($C$39,$C$37:$BL$44,MATCH($E379,$C$37:$BL$37,0),FALSE)/VLOOKUP($L379,$C$37:$BL$44,MATCH($E379,$C$37:$BL$37,0),FALSE))*
IF($B$5="Foreign Currency",VLOOKUP($C$38,$C$37:$BL$44,MATCH(AU$48,$C$37:$BL$37,0),FALSE)/VLOOKUP($C$39,$C$37:$BL$44,MATCH(AU$48,$C$37:$BL$37,0),FALSE),1),
        IF(AND(AU$48&gt;=($E379+$S379), AU$48&lt;=($E379+$Q379)),
-PMT($P379,($Q379-$S379+1),($K379*(VLOOKUP($C$39,$C$37:$BL$44,MATCH($E379,$C$37:$BL$37,0),FALSE)/VLOOKUP($L379,$C$37:$BL$44,MATCH($E379,$C$37:$BL$37,0),FALSE))*
IF($B$5="Foreign Currency",VLOOKUP($C$38,$C$37:$BL$44,MATCH(AU$48,$C$37:$BL$37,0),FALSE)/VLOOKUP($C$39,$C$37:$BL$44,MATCH(AU$48,$C$37:$BL$37,0),FALSE),1)),0),
0)),
    IF($T379="Equal Principal Payments (EPP)",
        IF(AND(AU$48&gt;=$E379, AU$48&lt;=($E379+$Q379)),
-PMT($P379,($Q379-$S379+1),($K379*(VLOOKUP($C$39,$C$37:$BL$44,MATCH($E379,$C$37:$BL$37,0),FALSE)/VLOOKUP($L379,$C$37:$BL$44,MATCH($E379,$C$37:$BL$37,0),FALSE))*
IF($B$5="Foreign Currency",VLOOKUP($C$38,$C$37:$BL$44,MATCH(AU$48,$C$37:$BL$37,0),FALSE)/VLOOKUP($C$39,$C$37:$BL$44,MATCH(AU$48,$C$37:$BL$37,0),FALSE),1)),0), 0),
    IF($T379="EPP with Grace Years for Principal and on Interest",
        IF(AND(AU$48&gt;=($E379+$S379), AU$48&lt;=($E379+$Q379)),
-PMT($P379,($Q379-$S379+1),($K379*(VLOOKUP($C$39,$C$37:$BL$44,MATCH($E379,$C$37:$BL$37,0),FALSE)/VLOOKUP($L379,$C$37:$BL$44,MATCH($E379,$C$37:$BL$37,0),FALSE))*
IF($B$5="Foreign Currency",VLOOKUP($C$38,$C$37:$BL$44,MATCH(AU$48,$C$37:$BL$37,0),FALSE)/VLOOKUP($C$39,$C$37:$BL$44,MATCH(AU$48,$C$37:$BL$37,0),FALSE),1))*((1+$P379)^$S379),0), 0),
    0)))))),"")</f>
        <v>0</v>
      </c>
      <c r="AV379" s="171">
        <f t="shared" si="628"/>
        <v>0</v>
      </c>
      <c r="AW379" s="171">
        <f t="shared" si="628"/>
        <v>0</v>
      </c>
      <c r="AX379" s="171">
        <f t="shared" si="628"/>
        <v>0</v>
      </c>
      <c r="AY379" s="171">
        <f t="shared" si="628"/>
        <v>0</v>
      </c>
      <c r="AZ379" s="171">
        <f t="shared" si="628"/>
        <v>0</v>
      </c>
      <c r="BA379" s="171">
        <f t="shared" si="628"/>
        <v>0</v>
      </c>
      <c r="BB379" s="171">
        <f t="shared" si="628"/>
        <v>0</v>
      </c>
      <c r="BC379" s="171">
        <f t="shared" si="628"/>
        <v>0</v>
      </c>
      <c r="BD379" s="171">
        <f t="shared" si="628"/>
        <v>0</v>
      </c>
      <c r="BE379" s="171">
        <f t="shared" ref="BE379:BN388" si="629">IFERROR(
    IF($T379="Equity",
        IF(AND(BE$48&gt;=$E379, BE$48&lt;=($E379+$Q379)),
$K379*$P379*(VLOOKUP($C$39,$C$37:$BL$44,MATCH($E379,$C$37:$BL$37,0),FALSE)/VLOOKUP($L379,$C$37:$BL$44,MATCH($E379,$C$37:$BL$37,0),FALSE))*
IF($B$5="Foreign Currency",VLOOKUP($C$38,$C$37:$BL$44,MATCH(BE$48,$C$37:$BL$37,0),FALSE)/VLOOKUP($C$39,$C$37:$BL$44,MATCH(BE$48,$C$37:$BL$37,0),FALSE),1),
0),
    IF($T379="Lump Sum Principal",
        IF(AND(BE$48&gt;=$E379, BE$48&lt;($E379+$Q379)),
$K379*$P379*(VLOOKUP($C$39,$C$37:$BL$44,MATCH($E379,$C$37:$BL$37,0),FALSE)/VLOOKUP($L379,$C$37:$BL$44,MATCH($E379,$C$37:$BL$37,0),FALSE))*
IF($B$5="Foreign Currency",VLOOKUP($C$38,$C$37:$BL$44,MATCH(BE$48,$C$37:$BL$37,0),FALSE)/VLOOKUP($C$39,$C$37:$BL$44,MATCH(BE$48,$C$37:$BL$37,0),FALSE),1),
        IF(BE$48=($E379+$Q379),
$K379*(1+$P379)*(VLOOKUP($C$39,$C$37:$BL$44,MATCH($E379,$C$37:$BL$37,0),FALSE)/VLOOKUP($L379,$C$37:$BL$44,MATCH($E379,$C$37:$BL$37,0),FALSE))*
IF($B$5="Foreign Currency",VLOOKUP($C$38,$C$37:$BL$44,MATCH(BE$48,$C$37:$BL$37,0),FALSE)/VLOOKUP($C$39,$C$37:$BL$44,MATCH(BE$48,$C$37:$BL$37,0),FALSE),1),
0)),
    IF($T379="Lump Sum Principal and Interest",
        IF(BE$48=($E379+$Q379),
$K379*((1+$P379)^$Q379)*(VLOOKUP($C$39,$C$37:$BL$44,MATCH($E379,$C$37:$BL$37,0),FALSE)/VLOOKUP($L379,$C$37:$BL$44,MATCH($E379,$C$37:$BL$37,0),FALSE))*
IF($B$5="Foreign Currency",VLOOKUP($C$38,$C$37:$BL$44,MATCH(BE$48,$C$37:$BL$37,0),FALSE)/VLOOKUP($C$39,$C$37:$BL$44,MATCH(BE$48,$C$37:$BL$37,0),FALSE),1),
0),
    IF($T379="EPP with Grace Years for Principal",
        IF(AND(BE$48&gt;=$E379, BE$48&lt;($E379+$S379)),
$K379*$P379*(VLOOKUP($C$39,$C$37:$BL$44,MATCH($E379,$C$37:$BL$37,0),FALSE)/VLOOKUP($L379,$C$37:$BL$44,MATCH($E379,$C$37:$BL$37,0),FALSE))*
IF($B$5="Foreign Currency",VLOOKUP($C$38,$C$37:$BL$44,MATCH(BE$48,$C$37:$BL$37,0),FALSE)/VLOOKUP($C$39,$C$37:$BL$44,MATCH(BE$48,$C$37:$BL$37,0),FALSE),1),
        IF(AND(BE$48&gt;=($E379+$S379), BE$48&lt;=($E379+$Q379)),
-PMT($P379,($Q379-$S379+1),($K379*(VLOOKUP($C$39,$C$37:$BL$44,MATCH($E379,$C$37:$BL$37,0),FALSE)/VLOOKUP($L379,$C$37:$BL$44,MATCH($E379,$C$37:$BL$37,0),FALSE))*
IF($B$5="Foreign Currency",VLOOKUP($C$38,$C$37:$BL$44,MATCH(BE$48,$C$37:$BL$37,0),FALSE)/VLOOKUP($C$39,$C$37:$BL$44,MATCH(BE$48,$C$37:$BL$37,0),FALSE),1)),0),
0)),
    IF($T379="Equal Principal Payments (EPP)",
        IF(AND(BE$48&gt;=$E379, BE$48&lt;=($E379+$Q379)),
-PMT($P379,($Q379-$S379+1),($K379*(VLOOKUP($C$39,$C$37:$BL$44,MATCH($E379,$C$37:$BL$37,0),FALSE)/VLOOKUP($L379,$C$37:$BL$44,MATCH($E379,$C$37:$BL$37,0),FALSE))*
IF($B$5="Foreign Currency",VLOOKUP($C$38,$C$37:$BL$44,MATCH(BE$48,$C$37:$BL$37,0),FALSE)/VLOOKUP($C$39,$C$37:$BL$44,MATCH(BE$48,$C$37:$BL$37,0),FALSE),1)),0), 0),
    IF($T379="EPP with Grace Years for Principal and on Interest",
        IF(AND(BE$48&gt;=($E379+$S379), BE$48&lt;=($E379+$Q379)),
-PMT($P379,($Q379-$S379+1),($K379*(VLOOKUP($C$39,$C$37:$BL$44,MATCH($E379,$C$37:$BL$37,0),FALSE)/VLOOKUP($L379,$C$37:$BL$44,MATCH($E379,$C$37:$BL$37,0),FALSE))*
IF($B$5="Foreign Currency",VLOOKUP($C$38,$C$37:$BL$44,MATCH(BE$48,$C$37:$BL$37,0),FALSE)/VLOOKUP($C$39,$C$37:$BL$44,MATCH(BE$48,$C$37:$BL$37,0),FALSE),1))*((1+$P379)^$S379),0), 0),
    0)))))),"")</f>
        <v>0</v>
      </c>
      <c r="BF379" s="171">
        <f t="shared" si="629"/>
        <v>0</v>
      </c>
      <c r="BG379" s="171">
        <f t="shared" si="629"/>
        <v>0</v>
      </c>
      <c r="BH379" s="171">
        <f t="shared" si="629"/>
        <v>0</v>
      </c>
      <c r="BI379" s="171">
        <f t="shared" si="629"/>
        <v>0</v>
      </c>
      <c r="BJ379" s="171">
        <f t="shared" si="629"/>
        <v>0</v>
      </c>
      <c r="BK379" s="171">
        <f t="shared" si="629"/>
        <v>0</v>
      </c>
      <c r="BL379" s="171">
        <f t="shared" si="629"/>
        <v>0</v>
      </c>
      <c r="BM379" s="171">
        <f t="shared" si="629"/>
        <v>0</v>
      </c>
      <c r="BN379" s="171">
        <f t="shared" si="629"/>
        <v>0</v>
      </c>
      <c r="BO379" s="171">
        <f t="shared" ref="BO379:BX388" si="630">IFERROR(
    IF($T379="Equity",
        IF(AND(BO$48&gt;=$E379, BO$48&lt;=($E379+$Q379)),
$K379*$P379*(VLOOKUP($C$39,$C$37:$BL$44,MATCH($E379,$C$37:$BL$37,0),FALSE)/VLOOKUP($L379,$C$37:$BL$44,MATCH($E379,$C$37:$BL$37,0),FALSE))*
IF($B$5="Foreign Currency",VLOOKUP($C$38,$C$37:$BL$44,MATCH(BO$48,$C$37:$BL$37,0),FALSE)/VLOOKUP($C$39,$C$37:$BL$44,MATCH(BO$48,$C$37:$BL$37,0),FALSE),1),
0),
    IF($T379="Lump Sum Principal",
        IF(AND(BO$48&gt;=$E379, BO$48&lt;($E379+$Q379)),
$K379*$P379*(VLOOKUP($C$39,$C$37:$BL$44,MATCH($E379,$C$37:$BL$37,0),FALSE)/VLOOKUP($L379,$C$37:$BL$44,MATCH($E379,$C$37:$BL$37,0),FALSE))*
IF($B$5="Foreign Currency",VLOOKUP($C$38,$C$37:$BL$44,MATCH(BO$48,$C$37:$BL$37,0),FALSE)/VLOOKUP($C$39,$C$37:$BL$44,MATCH(BO$48,$C$37:$BL$37,0),FALSE),1),
        IF(BO$48=($E379+$Q379),
$K379*(1+$P379)*(VLOOKUP($C$39,$C$37:$BL$44,MATCH($E379,$C$37:$BL$37,0),FALSE)/VLOOKUP($L379,$C$37:$BL$44,MATCH($E379,$C$37:$BL$37,0),FALSE))*
IF($B$5="Foreign Currency",VLOOKUP($C$38,$C$37:$BL$44,MATCH(BO$48,$C$37:$BL$37,0),FALSE)/VLOOKUP($C$39,$C$37:$BL$44,MATCH(BO$48,$C$37:$BL$37,0),FALSE),1),
0)),
    IF($T379="Lump Sum Principal and Interest",
        IF(BO$48=($E379+$Q379),
$K379*((1+$P379)^$Q379)*(VLOOKUP($C$39,$C$37:$BL$44,MATCH($E379,$C$37:$BL$37,0),FALSE)/VLOOKUP($L379,$C$37:$BL$44,MATCH($E379,$C$37:$BL$37,0),FALSE))*
IF($B$5="Foreign Currency",VLOOKUP($C$38,$C$37:$BL$44,MATCH(BO$48,$C$37:$BL$37,0),FALSE)/VLOOKUP($C$39,$C$37:$BL$44,MATCH(BO$48,$C$37:$BL$37,0),FALSE),1),
0),
    IF($T379="EPP with Grace Years for Principal",
        IF(AND(BO$48&gt;=$E379, BO$48&lt;($E379+$S379)),
$K379*$P379*(VLOOKUP($C$39,$C$37:$BL$44,MATCH($E379,$C$37:$BL$37,0),FALSE)/VLOOKUP($L379,$C$37:$BL$44,MATCH($E379,$C$37:$BL$37,0),FALSE))*
IF($B$5="Foreign Currency",VLOOKUP($C$38,$C$37:$BL$44,MATCH(BO$48,$C$37:$BL$37,0),FALSE)/VLOOKUP($C$39,$C$37:$BL$44,MATCH(BO$48,$C$37:$BL$37,0),FALSE),1),
        IF(AND(BO$48&gt;=($E379+$S379), BO$48&lt;=($E379+$Q379)),
-PMT($P379,($Q379-$S379+1),($K379*(VLOOKUP($C$39,$C$37:$BL$44,MATCH($E379,$C$37:$BL$37,0),FALSE)/VLOOKUP($L379,$C$37:$BL$44,MATCH($E379,$C$37:$BL$37,0),FALSE))*
IF($B$5="Foreign Currency",VLOOKUP($C$38,$C$37:$BL$44,MATCH(BO$48,$C$37:$BL$37,0),FALSE)/VLOOKUP($C$39,$C$37:$BL$44,MATCH(BO$48,$C$37:$BL$37,0),FALSE),1)),0),
0)),
    IF($T379="Equal Principal Payments (EPP)",
        IF(AND(BO$48&gt;=$E379, BO$48&lt;=($E379+$Q379)),
-PMT($P379,($Q379-$S379+1),($K379*(VLOOKUP($C$39,$C$37:$BL$44,MATCH($E379,$C$37:$BL$37,0),FALSE)/VLOOKUP($L379,$C$37:$BL$44,MATCH($E379,$C$37:$BL$37,0),FALSE))*
IF($B$5="Foreign Currency",VLOOKUP($C$38,$C$37:$BL$44,MATCH(BO$48,$C$37:$BL$37,0),FALSE)/VLOOKUP($C$39,$C$37:$BL$44,MATCH(BO$48,$C$37:$BL$37,0),FALSE),1)),0), 0),
    IF($T379="EPP with Grace Years for Principal and on Interest",
        IF(AND(BO$48&gt;=($E379+$S379), BO$48&lt;=($E379+$Q379)),
-PMT($P379,($Q379-$S379+1),($K379*(VLOOKUP($C$39,$C$37:$BL$44,MATCH($E379,$C$37:$BL$37,0),FALSE)/VLOOKUP($L379,$C$37:$BL$44,MATCH($E379,$C$37:$BL$37,0),FALSE))*
IF($B$5="Foreign Currency",VLOOKUP($C$38,$C$37:$BL$44,MATCH(BO$48,$C$37:$BL$37,0),FALSE)/VLOOKUP($C$39,$C$37:$BL$44,MATCH(BO$48,$C$37:$BL$37,0),FALSE),1))*((1+$P379)^$S379),0), 0),
    0)))))),"")</f>
        <v>0</v>
      </c>
      <c r="BP379" s="171">
        <f t="shared" si="630"/>
        <v>0</v>
      </c>
      <c r="BQ379" s="171">
        <f t="shared" si="630"/>
        <v>0</v>
      </c>
      <c r="BR379" s="171">
        <f t="shared" si="630"/>
        <v>0</v>
      </c>
      <c r="BS379" s="171">
        <f t="shared" si="630"/>
        <v>0</v>
      </c>
      <c r="BT379" s="171">
        <f t="shared" si="630"/>
        <v>0</v>
      </c>
      <c r="BU379" s="171">
        <f t="shared" si="630"/>
        <v>0</v>
      </c>
      <c r="BV379" s="171">
        <f t="shared" si="630"/>
        <v>0</v>
      </c>
      <c r="BW379" s="171">
        <f t="shared" si="630"/>
        <v>0</v>
      </c>
      <c r="BX379" s="171">
        <f t="shared" si="630"/>
        <v>0</v>
      </c>
      <c r="BY379" s="171">
        <f t="shared" ref="BY379:CI388" si="631">IFERROR(
    IF($T379="Equity",
        IF(AND(BY$48&gt;=$E379, BY$48&lt;=($E379+$Q379)),
$K379*$P379*(VLOOKUP($C$39,$C$37:$BL$44,MATCH($E379,$C$37:$BL$37,0),FALSE)/VLOOKUP($L379,$C$37:$BL$44,MATCH($E379,$C$37:$BL$37,0),FALSE))*
IF($B$5="Foreign Currency",VLOOKUP($C$38,$C$37:$BL$44,MATCH(BY$48,$C$37:$BL$37,0),FALSE)/VLOOKUP($C$39,$C$37:$BL$44,MATCH(BY$48,$C$37:$BL$37,0),FALSE),1),
0),
    IF($T379="Lump Sum Principal",
        IF(AND(BY$48&gt;=$E379, BY$48&lt;($E379+$Q379)),
$K379*$P379*(VLOOKUP($C$39,$C$37:$BL$44,MATCH($E379,$C$37:$BL$37,0),FALSE)/VLOOKUP($L379,$C$37:$BL$44,MATCH($E379,$C$37:$BL$37,0),FALSE))*
IF($B$5="Foreign Currency",VLOOKUP($C$38,$C$37:$BL$44,MATCH(BY$48,$C$37:$BL$37,0),FALSE)/VLOOKUP($C$39,$C$37:$BL$44,MATCH(BY$48,$C$37:$BL$37,0),FALSE),1),
        IF(BY$48=($E379+$Q379),
$K379*(1+$P379)*(VLOOKUP($C$39,$C$37:$BL$44,MATCH($E379,$C$37:$BL$37,0),FALSE)/VLOOKUP($L379,$C$37:$BL$44,MATCH($E379,$C$37:$BL$37,0),FALSE))*
IF($B$5="Foreign Currency",VLOOKUP($C$38,$C$37:$BL$44,MATCH(BY$48,$C$37:$BL$37,0),FALSE)/VLOOKUP($C$39,$C$37:$BL$44,MATCH(BY$48,$C$37:$BL$37,0),FALSE),1),
0)),
    IF($T379="Lump Sum Principal and Interest",
        IF(BY$48=($E379+$Q379),
$K379*((1+$P379)^$Q379)*(VLOOKUP($C$39,$C$37:$BL$44,MATCH($E379,$C$37:$BL$37,0),FALSE)/VLOOKUP($L379,$C$37:$BL$44,MATCH($E379,$C$37:$BL$37,0),FALSE))*
IF($B$5="Foreign Currency",VLOOKUP($C$38,$C$37:$BL$44,MATCH(BY$48,$C$37:$BL$37,0),FALSE)/VLOOKUP($C$39,$C$37:$BL$44,MATCH(BY$48,$C$37:$BL$37,0),FALSE),1),
0),
    IF($T379="EPP with Grace Years for Principal",
        IF(AND(BY$48&gt;=$E379, BY$48&lt;($E379+$S379)),
$K379*$P379*(VLOOKUP($C$39,$C$37:$BL$44,MATCH($E379,$C$37:$BL$37,0),FALSE)/VLOOKUP($L379,$C$37:$BL$44,MATCH($E379,$C$37:$BL$37,0),FALSE))*
IF($B$5="Foreign Currency",VLOOKUP($C$38,$C$37:$BL$44,MATCH(BY$48,$C$37:$BL$37,0),FALSE)/VLOOKUP($C$39,$C$37:$BL$44,MATCH(BY$48,$C$37:$BL$37,0),FALSE),1),
        IF(AND(BY$48&gt;=($E379+$S379), BY$48&lt;=($E379+$Q379)),
-PMT($P379,($Q379-$S379+1),($K379*(VLOOKUP($C$39,$C$37:$BL$44,MATCH($E379,$C$37:$BL$37,0),FALSE)/VLOOKUP($L379,$C$37:$BL$44,MATCH($E379,$C$37:$BL$37,0),FALSE))*
IF($B$5="Foreign Currency",VLOOKUP($C$38,$C$37:$BL$44,MATCH(BY$48,$C$37:$BL$37,0),FALSE)/VLOOKUP($C$39,$C$37:$BL$44,MATCH(BY$48,$C$37:$BL$37,0),FALSE),1)),0),
0)),
    IF($T379="Equal Principal Payments (EPP)",
        IF(AND(BY$48&gt;=$E379, BY$48&lt;=($E379+$Q379)),
-PMT($P379,($Q379-$S379+1),($K379*(VLOOKUP($C$39,$C$37:$BL$44,MATCH($E379,$C$37:$BL$37,0),FALSE)/VLOOKUP($L379,$C$37:$BL$44,MATCH($E379,$C$37:$BL$37,0),FALSE))*
IF($B$5="Foreign Currency",VLOOKUP($C$38,$C$37:$BL$44,MATCH(BY$48,$C$37:$BL$37,0),FALSE)/VLOOKUP($C$39,$C$37:$BL$44,MATCH(BY$48,$C$37:$BL$37,0),FALSE),1)),0), 0),
    IF($T379="EPP with Grace Years for Principal and on Interest",
        IF(AND(BY$48&gt;=($E379+$S379), BY$48&lt;=($E379+$Q379)),
-PMT($P379,($Q379-$S379+1),($K379*(VLOOKUP($C$39,$C$37:$BL$44,MATCH($E379,$C$37:$BL$37,0),FALSE)/VLOOKUP($L379,$C$37:$BL$44,MATCH($E379,$C$37:$BL$37,0),FALSE))*
IF($B$5="Foreign Currency",VLOOKUP($C$38,$C$37:$BL$44,MATCH(BY$48,$C$37:$BL$37,0),FALSE)/VLOOKUP($C$39,$C$37:$BL$44,MATCH(BY$48,$C$37:$BL$37,0),FALSE),1))*((1+$P379)^$S379),0), 0),
    0)))))),"")</f>
        <v>0</v>
      </c>
      <c r="BZ379" s="171">
        <f t="shared" si="631"/>
        <v>0</v>
      </c>
      <c r="CA379" s="171">
        <f t="shared" si="631"/>
        <v>0</v>
      </c>
      <c r="CB379" s="171">
        <f t="shared" si="631"/>
        <v>0</v>
      </c>
      <c r="CC379" s="171">
        <f t="shared" si="631"/>
        <v>0</v>
      </c>
      <c r="CD379" s="171">
        <f t="shared" si="631"/>
        <v>0</v>
      </c>
      <c r="CE379" s="171">
        <f t="shared" si="631"/>
        <v>0</v>
      </c>
      <c r="CF379" s="171">
        <f t="shared" si="631"/>
        <v>0</v>
      </c>
      <c r="CG379" s="171">
        <f t="shared" si="631"/>
        <v>0</v>
      </c>
      <c r="CH379" s="171">
        <f t="shared" si="631"/>
        <v>0</v>
      </c>
      <c r="CI379" s="171">
        <f t="shared" si="631"/>
        <v>0</v>
      </c>
      <c r="CJ379" s="243"/>
      <c r="CK379" s="171">
        <f t="shared" si="565"/>
        <v>0</v>
      </c>
      <c r="CL379" s="171">
        <f t="shared" si="566"/>
        <v>0</v>
      </c>
      <c r="CM379" s="171">
        <f t="shared" si="567"/>
        <v>0</v>
      </c>
      <c r="CN379" s="171">
        <f t="shared" si="568"/>
        <v>0</v>
      </c>
      <c r="CO379" s="171">
        <f t="shared" si="569"/>
        <v>0</v>
      </c>
      <c r="CP379" s="171">
        <f t="shared" si="570"/>
        <v>0</v>
      </c>
      <c r="CQ379" s="171">
        <f t="shared" si="571"/>
        <v>0</v>
      </c>
      <c r="CR379" s="171">
        <f t="shared" si="572"/>
        <v>0</v>
      </c>
      <c r="CS379" s="171">
        <f t="shared" si="573"/>
        <v>0</v>
      </c>
      <c r="CT379" s="171">
        <f t="shared" si="574"/>
        <v>0</v>
      </c>
      <c r="CU379" s="171">
        <f t="shared" si="575"/>
        <v>0</v>
      </c>
      <c r="CV379" s="171">
        <f t="shared" si="576"/>
        <v>0</v>
      </c>
      <c r="CW379" s="171">
        <f t="shared" si="577"/>
        <v>0</v>
      </c>
      <c r="CX379" s="171">
        <f t="shared" si="578"/>
        <v>0</v>
      </c>
      <c r="CY379" s="171">
        <f t="shared" ca="1" si="579"/>
        <v>0</v>
      </c>
      <c r="CZ379" s="171">
        <f t="shared" ca="1" si="580"/>
        <v>0</v>
      </c>
      <c r="DA379" s="171">
        <f t="shared" ca="1" si="581"/>
        <v>0</v>
      </c>
      <c r="DB379" s="171">
        <f t="shared" ca="1" si="582"/>
        <v>0</v>
      </c>
      <c r="DC379" s="171">
        <f t="shared" ca="1" si="583"/>
        <v>0</v>
      </c>
      <c r="DD379" s="171">
        <f t="shared" ca="1" si="584"/>
        <v>0</v>
      </c>
      <c r="DE379" s="171">
        <f t="shared" ca="1" si="585"/>
        <v>0</v>
      </c>
      <c r="DF379" s="171">
        <f t="shared" ca="1" si="586"/>
        <v>0</v>
      </c>
      <c r="DG379" s="171">
        <f t="shared" ca="1" si="587"/>
        <v>0</v>
      </c>
      <c r="DH379" s="171">
        <f t="shared" ca="1" si="588"/>
        <v>0</v>
      </c>
      <c r="DI379" s="171">
        <f t="shared" ca="1" si="589"/>
        <v>0</v>
      </c>
      <c r="DJ379" s="171">
        <f t="shared" ca="1" si="590"/>
        <v>0</v>
      </c>
      <c r="DK379" s="171">
        <f t="shared" ca="1" si="591"/>
        <v>0</v>
      </c>
      <c r="DL379" s="171">
        <f t="shared" ca="1" si="592"/>
        <v>0</v>
      </c>
      <c r="DM379" s="171">
        <f t="shared" ca="1" si="593"/>
        <v>0</v>
      </c>
      <c r="DN379" s="171">
        <f t="shared" ca="1" si="594"/>
        <v>0</v>
      </c>
      <c r="DO379" s="171">
        <f t="shared" ca="1" si="595"/>
        <v>0</v>
      </c>
      <c r="DP379" s="171">
        <f t="shared" ca="1" si="596"/>
        <v>0</v>
      </c>
      <c r="DQ379" s="171">
        <f t="shared" ca="1" si="597"/>
        <v>0</v>
      </c>
      <c r="DR379" s="171">
        <f t="shared" ca="1" si="598"/>
        <v>0</v>
      </c>
      <c r="DS379" s="171">
        <f t="shared" ca="1" si="599"/>
        <v>0</v>
      </c>
      <c r="DT379" s="171">
        <f t="shared" ca="1" si="600"/>
        <v>0</v>
      </c>
      <c r="DU379" s="171">
        <f t="shared" ca="1" si="601"/>
        <v>0</v>
      </c>
      <c r="DV379" s="171">
        <f t="shared" ca="1" si="602"/>
        <v>0</v>
      </c>
      <c r="DW379" s="171">
        <f t="shared" ca="1" si="603"/>
        <v>0</v>
      </c>
      <c r="DX379" s="171">
        <f t="shared" ca="1" si="604"/>
        <v>0</v>
      </c>
      <c r="DY379" s="171">
        <f t="shared" ca="1" si="605"/>
        <v>0</v>
      </c>
      <c r="DZ379" s="171">
        <f t="shared" ca="1" si="606"/>
        <v>0</v>
      </c>
      <c r="EA379" s="171">
        <f t="shared" ca="1" si="607"/>
        <v>0</v>
      </c>
      <c r="EB379" s="171">
        <f t="shared" ca="1" si="608"/>
        <v>0</v>
      </c>
      <c r="EC379" s="171">
        <f t="shared" ca="1" si="609"/>
        <v>0</v>
      </c>
      <c r="ED379" s="171">
        <f t="shared" ca="1" si="610"/>
        <v>0</v>
      </c>
      <c r="EE379" s="171">
        <f t="shared" ca="1" si="611"/>
        <v>0</v>
      </c>
      <c r="EF379" s="171">
        <f t="shared" ca="1" si="612"/>
        <v>0</v>
      </c>
      <c r="EG379" s="171">
        <f t="shared" ca="1" si="613"/>
        <v>0</v>
      </c>
      <c r="EH379" s="171">
        <f t="shared" ca="1" si="614"/>
        <v>0</v>
      </c>
      <c r="EI379" s="171">
        <f t="shared" ca="1" si="615"/>
        <v>0</v>
      </c>
      <c r="EJ379" s="171">
        <f t="shared" ca="1" si="616"/>
        <v>0</v>
      </c>
      <c r="EK379" s="171">
        <f t="shared" ca="1" si="617"/>
        <v>0</v>
      </c>
      <c r="EL379" s="171">
        <f t="shared" ca="1" si="618"/>
        <v>0</v>
      </c>
      <c r="EM379" s="171">
        <f t="shared" ca="1" si="619"/>
        <v>0</v>
      </c>
      <c r="EN379" s="171">
        <f t="shared" ca="1" si="620"/>
        <v>0</v>
      </c>
      <c r="EO379" s="171">
        <f t="shared" ca="1" si="621"/>
        <v>0</v>
      </c>
      <c r="EP379" s="171">
        <f t="shared" ca="1" si="622"/>
        <v>0</v>
      </c>
      <c r="EQ379" s="171">
        <f t="shared" ca="1" si="623"/>
        <v>0</v>
      </c>
      <c r="ER379" s="171">
        <f t="shared" ca="1" si="624"/>
        <v>0</v>
      </c>
      <c r="ES379" s="171">
        <f t="shared" ca="1" si="625"/>
        <v>0</v>
      </c>
    </row>
    <row r="380" spans="3:149">
      <c r="C380" s="214"/>
      <c r="L380" s="163"/>
      <c r="M380" s="164" t="str">
        <f t="shared" si="550"/>
        <v/>
      </c>
      <c r="N380" s="164" t="str">
        <f t="shared" si="551"/>
        <v/>
      </c>
      <c r="O380" s="165" t="str">
        <f t="shared" si="552"/>
        <v/>
      </c>
      <c r="R380" s="168"/>
      <c r="U380" s="171">
        <f t="shared" si="553"/>
        <v>0</v>
      </c>
      <c r="V380" s="171">
        <f t="shared" ca="1" si="554"/>
        <v>0</v>
      </c>
      <c r="W380" s="171">
        <f t="shared" ca="1" si="555"/>
        <v>0</v>
      </c>
      <c r="X380" s="172">
        <f t="shared" si="556"/>
        <v>0</v>
      </c>
      <c r="Y380" s="172" t="str">
        <f t="shared" si="557"/>
        <v/>
      </c>
      <c r="Z380" s="173">
        <f t="shared" si="558"/>
        <v>0</v>
      </c>
      <c r="AA380" s="171">
        <f t="shared" si="626"/>
        <v>0</v>
      </c>
      <c r="AB380" s="171">
        <f t="shared" si="626"/>
        <v>0</v>
      </c>
      <c r="AC380" s="171">
        <f t="shared" si="626"/>
        <v>0</v>
      </c>
      <c r="AD380" s="171">
        <f t="shared" si="626"/>
        <v>0</v>
      </c>
      <c r="AE380" s="171">
        <f t="shared" si="626"/>
        <v>0</v>
      </c>
      <c r="AF380" s="171">
        <f t="shared" si="626"/>
        <v>0</v>
      </c>
      <c r="AG380" s="171">
        <f t="shared" si="626"/>
        <v>0</v>
      </c>
      <c r="AH380" s="171">
        <f t="shared" si="626"/>
        <v>0</v>
      </c>
      <c r="AI380" s="171">
        <f t="shared" si="626"/>
        <v>0</v>
      </c>
      <c r="AJ380" s="171">
        <f t="shared" si="626"/>
        <v>0</v>
      </c>
      <c r="AK380" s="171">
        <f t="shared" si="627"/>
        <v>0</v>
      </c>
      <c r="AL380" s="171">
        <f t="shared" si="627"/>
        <v>0</v>
      </c>
      <c r="AM380" s="171">
        <f t="shared" si="627"/>
        <v>0</v>
      </c>
      <c r="AN380" s="171">
        <f t="shared" si="627"/>
        <v>0</v>
      </c>
      <c r="AO380" s="171">
        <f t="shared" si="627"/>
        <v>0</v>
      </c>
      <c r="AP380" s="171">
        <f t="shared" si="627"/>
        <v>0</v>
      </c>
      <c r="AQ380" s="171">
        <f t="shared" si="627"/>
        <v>0</v>
      </c>
      <c r="AR380" s="171">
        <f t="shared" si="627"/>
        <v>0</v>
      </c>
      <c r="AS380" s="171">
        <f t="shared" si="627"/>
        <v>0</v>
      </c>
      <c r="AT380" s="171">
        <f t="shared" si="627"/>
        <v>0</v>
      </c>
      <c r="AU380" s="171">
        <f t="shared" si="628"/>
        <v>0</v>
      </c>
      <c r="AV380" s="171">
        <f t="shared" si="628"/>
        <v>0</v>
      </c>
      <c r="AW380" s="171">
        <f t="shared" si="628"/>
        <v>0</v>
      </c>
      <c r="AX380" s="171">
        <f t="shared" si="628"/>
        <v>0</v>
      </c>
      <c r="AY380" s="171">
        <f t="shared" si="628"/>
        <v>0</v>
      </c>
      <c r="AZ380" s="171">
        <f t="shared" si="628"/>
        <v>0</v>
      </c>
      <c r="BA380" s="171">
        <f t="shared" si="628"/>
        <v>0</v>
      </c>
      <c r="BB380" s="171">
        <f t="shared" si="628"/>
        <v>0</v>
      </c>
      <c r="BC380" s="171">
        <f t="shared" si="628"/>
        <v>0</v>
      </c>
      <c r="BD380" s="171">
        <f t="shared" si="628"/>
        <v>0</v>
      </c>
      <c r="BE380" s="171">
        <f t="shared" si="629"/>
        <v>0</v>
      </c>
      <c r="BF380" s="171">
        <f t="shared" si="629"/>
        <v>0</v>
      </c>
      <c r="BG380" s="171">
        <f t="shared" si="629"/>
        <v>0</v>
      </c>
      <c r="BH380" s="171">
        <f t="shared" si="629"/>
        <v>0</v>
      </c>
      <c r="BI380" s="171">
        <f t="shared" si="629"/>
        <v>0</v>
      </c>
      <c r="BJ380" s="171">
        <f t="shared" si="629"/>
        <v>0</v>
      </c>
      <c r="BK380" s="171">
        <f t="shared" si="629"/>
        <v>0</v>
      </c>
      <c r="BL380" s="171">
        <f t="shared" si="629"/>
        <v>0</v>
      </c>
      <c r="BM380" s="171">
        <f t="shared" si="629"/>
        <v>0</v>
      </c>
      <c r="BN380" s="171">
        <f t="shared" si="629"/>
        <v>0</v>
      </c>
      <c r="BO380" s="171">
        <f t="shared" si="630"/>
        <v>0</v>
      </c>
      <c r="BP380" s="171">
        <f t="shared" si="630"/>
        <v>0</v>
      </c>
      <c r="BQ380" s="171">
        <f t="shared" si="630"/>
        <v>0</v>
      </c>
      <c r="BR380" s="171">
        <f t="shared" si="630"/>
        <v>0</v>
      </c>
      <c r="BS380" s="171">
        <f t="shared" si="630"/>
        <v>0</v>
      </c>
      <c r="BT380" s="171">
        <f t="shared" si="630"/>
        <v>0</v>
      </c>
      <c r="BU380" s="171">
        <f t="shared" si="630"/>
        <v>0</v>
      </c>
      <c r="BV380" s="171">
        <f t="shared" si="630"/>
        <v>0</v>
      </c>
      <c r="BW380" s="171">
        <f t="shared" si="630"/>
        <v>0</v>
      </c>
      <c r="BX380" s="171">
        <f t="shared" si="630"/>
        <v>0</v>
      </c>
      <c r="BY380" s="171">
        <f t="shared" si="631"/>
        <v>0</v>
      </c>
      <c r="BZ380" s="171">
        <f t="shared" si="631"/>
        <v>0</v>
      </c>
      <c r="CA380" s="171">
        <f t="shared" si="631"/>
        <v>0</v>
      </c>
      <c r="CB380" s="171">
        <f t="shared" si="631"/>
        <v>0</v>
      </c>
      <c r="CC380" s="171">
        <f t="shared" si="631"/>
        <v>0</v>
      </c>
      <c r="CD380" s="171">
        <f t="shared" si="631"/>
        <v>0</v>
      </c>
      <c r="CE380" s="171">
        <f t="shared" si="631"/>
        <v>0</v>
      </c>
      <c r="CF380" s="171">
        <f t="shared" si="631"/>
        <v>0</v>
      </c>
      <c r="CG380" s="171">
        <f t="shared" si="631"/>
        <v>0</v>
      </c>
      <c r="CH380" s="171">
        <f t="shared" si="631"/>
        <v>0</v>
      </c>
      <c r="CI380" s="171">
        <f t="shared" si="631"/>
        <v>0</v>
      </c>
      <c r="CJ380" s="243"/>
      <c r="CK380" s="171">
        <f t="shared" si="565"/>
        <v>0</v>
      </c>
      <c r="CL380" s="171">
        <f t="shared" si="566"/>
        <v>0</v>
      </c>
      <c r="CM380" s="171">
        <f t="shared" si="567"/>
        <v>0</v>
      </c>
      <c r="CN380" s="171">
        <f t="shared" si="568"/>
        <v>0</v>
      </c>
      <c r="CO380" s="171">
        <f t="shared" si="569"/>
        <v>0</v>
      </c>
      <c r="CP380" s="171">
        <f t="shared" si="570"/>
        <v>0</v>
      </c>
      <c r="CQ380" s="171">
        <f t="shared" si="571"/>
        <v>0</v>
      </c>
      <c r="CR380" s="171">
        <f t="shared" si="572"/>
        <v>0</v>
      </c>
      <c r="CS380" s="171">
        <f t="shared" si="573"/>
        <v>0</v>
      </c>
      <c r="CT380" s="171">
        <f t="shared" si="574"/>
        <v>0</v>
      </c>
      <c r="CU380" s="171">
        <f t="shared" si="575"/>
        <v>0</v>
      </c>
      <c r="CV380" s="171">
        <f t="shared" si="576"/>
        <v>0</v>
      </c>
      <c r="CW380" s="171">
        <f t="shared" si="577"/>
        <v>0</v>
      </c>
      <c r="CX380" s="171">
        <f t="shared" si="578"/>
        <v>0</v>
      </c>
      <c r="CY380" s="171">
        <f t="shared" ca="1" si="579"/>
        <v>0</v>
      </c>
      <c r="CZ380" s="171">
        <f t="shared" ca="1" si="580"/>
        <v>0</v>
      </c>
      <c r="DA380" s="171">
        <f t="shared" ca="1" si="581"/>
        <v>0</v>
      </c>
      <c r="DB380" s="171">
        <f t="shared" ca="1" si="582"/>
        <v>0</v>
      </c>
      <c r="DC380" s="171">
        <f t="shared" ca="1" si="583"/>
        <v>0</v>
      </c>
      <c r="DD380" s="171">
        <f t="shared" ca="1" si="584"/>
        <v>0</v>
      </c>
      <c r="DE380" s="171">
        <f t="shared" ca="1" si="585"/>
        <v>0</v>
      </c>
      <c r="DF380" s="171">
        <f t="shared" ca="1" si="586"/>
        <v>0</v>
      </c>
      <c r="DG380" s="171">
        <f t="shared" ca="1" si="587"/>
        <v>0</v>
      </c>
      <c r="DH380" s="171">
        <f t="shared" ca="1" si="588"/>
        <v>0</v>
      </c>
      <c r="DI380" s="171">
        <f t="shared" ca="1" si="589"/>
        <v>0</v>
      </c>
      <c r="DJ380" s="171">
        <f t="shared" ca="1" si="590"/>
        <v>0</v>
      </c>
      <c r="DK380" s="171">
        <f t="shared" ca="1" si="591"/>
        <v>0</v>
      </c>
      <c r="DL380" s="171">
        <f t="shared" ca="1" si="592"/>
        <v>0</v>
      </c>
      <c r="DM380" s="171">
        <f t="shared" ca="1" si="593"/>
        <v>0</v>
      </c>
      <c r="DN380" s="171">
        <f t="shared" ca="1" si="594"/>
        <v>0</v>
      </c>
      <c r="DO380" s="171">
        <f t="shared" ca="1" si="595"/>
        <v>0</v>
      </c>
      <c r="DP380" s="171">
        <f t="shared" ca="1" si="596"/>
        <v>0</v>
      </c>
      <c r="DQ380" s="171">
        <f t="shared" ca="1" si="597"/>
        <v>0</v>
      </c>
      <c r="DR380" s="171">
        <f t="shared" ca="1" si="598"/>
        <v>0</v>
      </c>
      <c r="DS380" s="171">
        <f t="shared" ca="1" si="599"/>
        <v>0</v>
      </c>
      <c r="DT380" s="171">
        <f t="shared" ca="1" si="600"/>
        <v>0</v>
      </c>
      <c r="DU380" s="171">
        <f t="shared" ca="1" si="601"/>
        <v>0</v>
      </c>
      <c r="DV380" s="171">
        <f t="shared" ca="1" si="602"/>
        <v>0</v>
      </c>
      <c r="DW380" s="171">
        <f t="shared" ca="1" si="603"/>
        <v>0</v>
      </c>
      <c r="DX380" s="171">
        <f t="shared" ca="1" si="604"/>
        <v>0</v>
      </c>
      <c r="DY380" s="171">
        <f t="shared" ca="1" si="605"/>
        <v>0</v>
      </c>
      <c r="DZ380" s="171">
        <f t="shared" ca="1" si="606"/>
        <v>0</v>
      </c>
      <c r="EA380" s="171">
        <f t="shared" ca="1" si="607"/>
        <v>0</v>
      </c>
      <c r="EB380" s="171">
        <f t="shared" ca="1" si="608"/>
        <v>0</v>
      </c>
      <c r="EC380" s="171">
        <f t="shared" ca="1" si="609"/>
        <v>0</v>
      </c>
      <c r="ED380" s="171">
        <f t="shared" ca="1" si="610"/>
        <v>0</v>
      </c>
      <c r="EE380" s="171">
        <f t="shared" ca="1" si="611"/>
        <v>0</v>
      </c>
      <c r="EF380" s="171">
        <f t="shared" ca="1" si="612"/>
        <v>0</v>
      </c>
      <c r="EG380" s="171">
        <f t="shared" ca="1" si="613"/>
        <v>0</v>
      </c>
      <c r="EH380" s="171">
        <f t="shared" ca="1" si="614"/>
        <v>0</v>
      </c>
      <c r="EI380" s="171">
        <f t="shared" ca="1" si="615"/>
        <v>0</v>
      </c>
      <c r="EJ380" s="171">
        <f t="shared" ca="1" si="616"/>
        <v>0</v>
      </c>
      <c r="EK380" s="171">
        <f t="shared" ca="1" si="617"/>
        <v>0</v>
      </c>
      <c r="EL380" s="171">
        <f t="shared" ca="1" si="618"/>
        <v>0</v>
      </c>
      <c r="EM380" s="171">
        <f t="shared" ca="1" si="619"/>
        <v>0</v>
      </c>
      <c r="EN380" s="171">
        <f t="shared" ca="1" si="620"/>
        <v>0</v>
      </c>
      <c r="EO380" s="171">
        <f t="shared" ca="1" si="621"/>
        <v>0</v>
      </c>
      <c r="EP380" s="171">
        <f t="shared" ca="1" si="622"/>
        <v>0</v>
      </c>
      <c r="EQ380" s="171">
        <f t="shared" ca="1" si="623"/>
        <v>0</v>
      </c>
      <c r="ER380" s="171">
        <f t="shared" ca="1" si="624"/>
        <v>0</v>
      </c>
      <c r="ES380" s="171">
        <f t="shared" ca="1" si="625"/>
        <v>0</v>
      </c>
    </row>
    <row r="381" spans="3:149">
      <c r="C381" s="214"/>
      <c r="L381" s="163"/>
      <c r="M381" s="164" t="str">
        <f t="shared" si="550"/>
        <v/>
      </c>
      <c r="N381" s="164" t="str">
        <f t="shared" si="551"/>
        <v/>
      </c>
      <c r="O381" s="165" t="str">
        <f t="shared" si="552"/>
        <v/>
      </c>
      <c r="R381" s="168"/>
      <c r="U381" s="171">
        <f t="shared" si="553"/>
        <v>0</v>
      </c>
      <c r="V381" s="171">
        <f t="shared" ca="1" si="554"/>
        <v>0</v>
      </c>
      <c r="W381" s="171">
        <f t="shared" ca="1" si="555"/>
        <v>0</v>
      </c>
      <c r="X381" s="172">
        <f t="shared" si="556"/>
        <v>0</v>
      </c>
      <c r="Y381" s="172" t="str">
        <f t="shared" si="557"/>
        <v/>
      </c>
      <c r="Z381" s="173">
        <f t="shared" si="558"/>
        <v>0</v>
      </c>
      <c r="AA381" s="171">
        <f t="shared" si="626"/>
        <v>0</v>
      </c>
      <c r="AB381" s="171">
        <f t="shared" si="626"/>
        <v>0</v>
      </c>
      <c r="AC381" s="171">
        <f t="shared" si="626"/>
        <v>0</v>
      </c>
      <c r="AD381" s="171">
        <f t="shared" si="626"/>
        <v>0</v>
      </c>
      <c r="AE381" s="171">
        <f t="shared" si="626"/>
        <v>0</v>
      </c>
      <c r="AF381" s="171">
        <f t="shared" si="626"/>
        <v>0</v>
      </c>
      <c r="AG381" s="171">
        <f t="shared" si="626"/>
        <v>0</v>
      </c>
      <c r="AH381" s="171">
        <f t="shared" si="626"/>
        <v>0</v>
      </c>
      <c r="AI381" s="171">
        <f t="shared" si="626"/>
        <v>0</v>
      </c>
      <c r="AJ381" s="171">
        <f t="shared" si="626"/>
        <v>0</v>
      </c>
      <c r="AK381" s="171">
        <f t="shared" si="627"/>
        <v>0</v>
      </c>
      <c r="AL381" s="171">
        <f t="shared" si="627"/>
        <v>0</v>
      </c>
      <c r="AM381" s="171">
        <f t="shared" si="627"/>
        <v>0</v>
      </c>
      <c r="AN381" s="171">
        <f t="shared" si="627"/>
        <v>0</v>
      </c>
      <c r="AO381" s="171">
        <f t="shared" si="627"/>
        <v>0</v>
      </c>
      <c r="AP381" s="171">
        <f t="shared" si="627"/>
        <v>0</v>
      </c>
      <c r="AQ381" s="171">
        <f t="shared" si="627"/>
        <v>0</v>
      </c>
      <c r="AR381" s="171">
        <f t="shared" si="627"/>
        <v>0</v>
      </c>
      <c r="AS381" s="171">
        <f t="shared" si="627"/>
        <v>0</v>
      </c>
      <c r="AT381" s="171">
        <f t="shared" si="627"/>
        <v>0</v>
      </c>
      <c r="AU381" s="171">
        <f t="shared" si="628"/>
        <v>0</v>
      </c>
      <c r="AV381" s="171">
        <f t="shared" si="628"/>
        <v>0</v>
      </c>
      <c r="AW381" s="171">
        <f t="shared" si="628"/>
        <v>0</v>
      </c>
      <c r="AX381" s="171">
        <f t="shared" si="628"/>
        <v>0</v>
      </c>
      <c r="AY381" s="171">
        <f t="shared" si="628"/>
        <v>0</v>
      </c>
      <c r="AZ381" s="171">
        <f t="shared" si="628"/>
        <v>0</v>
      </c>
      <c r="BA381" s="171">
        <f t="shared" si="628"/>
        <v>0</v>
      </c>
      <c r="BB381" s="171">
        <f t="shared" si="628"/>
        <v>0</v>
      </c>
      <c r="BC381" s="171">
        <f t="shared" si="628"/>
        <v>0</v>
      </c>
      <c r="BD381" s="171">
        <f t="shared" si="628"/>
        <v>0</v>
      </c>
      <c r="BE381" s="171">
        <f t="shared" si="629"/>
        <v>0</v>
      </c>
      <c r="BF381" s="171">
        <f t="shared" si="629"/>
        <v>0</v>
      </c>
      <c r="BG381" s="171">
        <f t="shared" si="629"/>
        <v>0</v>
      </c>
      <c r="BH381" s="171">
        <f t="shared" si="629"/>
        <v>0</v>
      </c>
      <c r="BI381" s="171">
        <f t="shared" si="629"/>
        <v>0</v>
      </c>
      <c r="BJ381" s="171">
        <f t="shared" si="629"/>
        <v>0</v>
      </c>
      <c r="BK381" s="171">
        <f t="shared" si="629"/>
        <v>0</v>
      </c>
      <c r="BL381" s="171">
        <f t="shared" si="629"/>
        <v>0</v>
      </c>
      <c r="BM381" s="171">
        <f t="shared" si="629"/>
        <v>0</v>
      </c>
      <c r="BN381" s="171">
        <f t="shared" si="629"/>
        <v>0</v>
      </c>
      <c r="BO381" s="171">
        <f t="shared" si="630"/>
        <v>0</v>
      </c>
      <c r="BP381" s="171">
        <f t="shared" si="630"/>
        <v>0</v>
      </c>
      <c r="BQ381" s="171">
        <f t="shared" si="630"/>
        <v>0</v>
      </c>
      <c r="BR381" s="171">
        <f t="shared" si="630"/>
        <v>0</v>
      </c>
      <c r="BS381" s="171">
        <f t="shared" si="630"/>
        <v>0</v>
      </c>
      <c r="BT381" s="171">
        <f t="shared" si="630"/>
        <v>0</v>
      </c>
      <c r="BU381" s="171">
        <f t="shared" si="630"/>
        <v>0</v>
      </c>
      <c r="BV381" s="171">
        <f t="shared" si="630"/>
        <v>0</v>
      </c>
      <c r="BW381" s="171">
        <f t="shared" si="630"/>
        <v>0</v>
      </c>
      <c r="BX381" s="171">
        <f t="shared" si="630"/>
        <v>0</v>
      </c>
      <c r="BY381" s="171">
        <f t="shared" si="631"/>
        <v>0</v>
      </c>
      <c r="BZ381" s="171">
        <f t="shared" si="631"/>
        <v>0</v>
      </c>
      <c r="CA381" s="171">
        <f t="shared" si="631"/>
        <v>0</v>
      </c>
      <c r="CB381" s="171">
        <f t="shared" si="631"/>
        <v>0</v>
      </c>
      <c r="CC381" s="171">
        <f t="shared" si="631"/>
        <v>0</v>
      </c>
      <c r="CD381" s="171">
        <f t="shared" si="631"/>
        <v>0</v>
      </c>
      <c r="CE381" s="171">
        <f t="shared" si="631"/>
        <v>0</v>
      </c>
      <c r="CF381" s="171">
        <f t="shared" si="631"/>
        <v>0</v>
      </c>
      <c r="CG381" s="171">
        <f t="shared" si="631"/>
        <v>0</v>
      </c>
      <c r="CH381" s="171">
        <f t="shared" si="631"/>
        <v>0</v>
      </c>
      <c r="CI381" s="171">
        <f t="shared" si="631"/>
        <v>0</v>
      </c>
      <c r="CJ381" s="243"/>
      <c r="CK381" s="171">
        <f t="shared" si="565"/>
        <v>0</v>
      </c>
      <c r="CL381" s="171">
        <f t="shared" si="566"/>
        <v>0</v>
      </c>
      <c r="CM381" s="171">
        <f t="shared" si="567"/>
        <v>0</v>
      </c>
      <c r="CN381" s="171">
        <f t="shared" si="568"/>
        <v>0</v>
      </c>
      <c r="CO381" s="171">
        <f t="shared" si="569"/>
        <v>0</v>
      </c>
      <c r="CP381" s="171">
        <f t="shared" si="570"/>
        <v>0</v>
      </c>
      <c r="CQ381" s="171">
        <f t="shared" si="571"/>
        <v>0</v>
      </c>
      <c r="CR381" s="171">
        <f t="shared" si="572"/>
        <v>0</v>
      </c>
      <c r="CS381" s="171">
        <f t="shared" si="573"/>
        <v>0</v>
      </c>
      <c r="CT381" s="171">
        <f t="shared" si="574"/>
        <v>0</v>
      </c>
      <c r="CU381" s="171">
        <f t="shared" si="575"/>
        <v>0</v>
      </c>
      <c r="CV381" s="171">
        <f t="shared" si="576"/>
        <v>0</v>
      </c>
      <c r="CW381" s="171">
        <f t="shared" si="577"/>
        <v>0</v>
      </c>
      <c r="CX381" s="171">
        <f t="shared" si="578"/>
        <v>0</v>
      </c>
      <c r="CY381" s="171">
        <f t="shared" ca="1" si="579"/>
        <v>0</v>
      </c>
      <c r="CZ381" s="171">
        <f t="shared" ca="1" si="580"/>
        <v>0</v>
      </c>
      <c r="DA381" s="171">
        <f t="shared" ca="1" si="581"/>
        <v>0</v>
      </c>
      <c r="DB381" s="171">
        <f t="shared" ca="1" si="582"/>
        <v>0</v>
      </c>
      <c r="DC381" s="171">
        <f t="shared" ca="1" si="583"/>
        <v>0</v>
      </c>
      <c r="DD381" s="171">
        <f t="shared" ca="1" si="584"/>
        <v>0</v>
      </c>
      <c r="DE381" s="171">
        <f t="shared" ca="1" si="585"/>
        <v>0</v>
      </c>
      <c r="DF381" s="171">
        <f t="shared" ca="1" si="586"/>
        <v>0</v>
      </c>
      <c r="DG381" s="171">
        <f t="shared" ca="1" si="587"/>
        <v>0</v>
      </c>
      <c r="DH381" s="171">
        <f t="shared" ca="1" si="588"/>
        <v>0</v>
      </c>
      <c r="DI381" s="171">
        <f t="shared" ca="1" si="589"/>
        <v>0</v>
      </c>
      <c r="DJ381" s="171">
        <f t="shared" ca="1" si="590"/>
        <v>0</v>
      </c>
      <c r="DK381" s="171">
        <f t="shared" ca="1" si="591"/>
        <v>0</v>
      </c>
      <c r="DL381" s="171">
        <f t="shared" ca="1" si="592"/>
        <v>0</v>
      </c>
      <c r="DM381" s="171">
        <f t="shared" ca="1" si="593"/>
        <v>0</v>
      </c>
      <c r="DN381" s="171">
        <f t="shared" ca="1" si="594"/>
        <v>0</v>
      </c>
      <c r="DO381" s="171">
        <f t="shared" ca="1" si="595"/>
        <v>0</v>
      </c>
      <c r="DP381" s="171">
        <f t="shared" ca="1" si="596"/>
        <v>0</v>
      </c>
      <c r="DQ381" s="171">
        <f t="shared" ca="1" si="597"/>
        <v>0</v>
      </c>
      <c r="DR381" s="171">
        <f t="shared" ca="1" si="598"/>
        <v>0</v>
      </c>
      <c r="DS381" s="171">
        <f t="shared" ca="1" si="599"/>
        <v>0</v>
      </c>
      <c r="DT381" s="171">
        <f t="shared" ca="1" si="600"/>
        <v>0</v>
      </c>
      <c r="DU381" s="171">
        <f t="shared" ca="1" si="601"/>
        <v>0</v>
      </c>
      <c r="DV381" s="171">
        <f t="shared" ca="1" si="602"/>
        <v>0</v>
      </c>
      <c r="DW381" s="171">
        <f t="shared" ca="1" si="603"/>
        <v>0</v>
      </c>
      <c r="DX381" s="171">
        <f t="shared" ca="1" si="604"/>
        <v>0</v>
      </c>
      <c r="DY381" s="171">
        <f t="shared" ca="1" si="605"/>
        <v>0</v>
      </c>
      <c r="DZ381" s="171">
        <f t="shared" ca="1" si="606"/>
        <v>0</v>
      </c>
      <c r="EA381" s="171">
        <f t="shared" ca="1" si="607"/>
        <v>0</v>
      </c>
      <c r="EB381" s="171">
        <f t="shared" ca="1" si="608"/>
        <v>0</v>
      </c>
      <c r="EC381" s="171">
        <f t="shared" ca="1" si="609"/>
        <v>0</v>
      </c>
      <c r="ED381" s="171">
        <f t="shared" ca="1" si="610"/>
        <v>0</v>
      </c>
      <c r="EE381" s="171">
        <f t="shared" ca="1" si="611"/>
        <v>0</v>
      </c>
      <c r="EF381" s="171">
        <f t="shared" ca="1" si="612"/>
        <v>0</v>
      </c>
      <c r="EG381" s="171">
        <f t="shared" ca="1" si="613"/>
        <v>0</v>
      </c>
      <c r="EH381" s="171">
        <f t="shared" ca="1" si="614"/>
        <v>0</v>
      </c>
      <c r="EI381" s="171">
        <f t="shared" ca="1" si="615"/>
        <v>0</v>
      </c>
      <c r="EJ381" s="171">
        <f t="shared" ca="1" si="616"/>
        <v>0</v>
      </c>
      <c r="EK381" s="171">
        <f t="shared" ca="1" si="617"/>
        <v>0</v>
      </c>
      <c r="EL381" s="171">
        <f t="shared" ca="1" si="618"/>
        <v>0</v>
      </c>
      <c r="EM381" s="171">
        <f t="shared" ca="1" si="619"/>
        <v>0</v>
      </c>
      <c r="EN381" s="171">
        <f t="shared" ca="1" si="620"/>
        <v>0</v>
      </c>
      <c r="EO381" s="171">
        <f t="shared" ca="1" si="621"/>
        <v>0</v>
      </c>
      <c r="EP381" s="171">
        <f t="shared" ca="1" si="622"/>
        <v>0</v>
      </c>
      <c r="EQ381" s="171">
        <f t="shared" ca="1" si="623"/>
        <v>0</v>
      </c>
      <c r="ER381" s="171">
        <f t="shared" ca="1" si="624"/>
        <v>0</v>
      </c>
      <c r="ES381" s="171">
        <f t="shared" ca="1" si="625"/>
        <v>0</v>
      </c>
    </row>
    <row r="382" spans="3:149">
      <c r="C382" s="214"/>
      <c r="L382" s="163"/>
      <c r="M382" s="164" t="str">
        <f t="shared" si="550"/>
        <v/>
      </c>
      <c r="N382" s="164" t="str">
        <f t="shared" si="551"/>
        <v/>
      </c>
      <c r="O382" s="165" t="str">
        <f t="shared" si="552"/>
        <v/>
      </c>
      <c r="R382" s="168"/>
      <c r="U382" s="171">
        <f t="shared" si="553"/>
        <v>0</v>
      </c>
      <c r="V382" s="171">
        <f t="shared" ca="1" si="554"/>
        <v>0</v>
      </c>
      <c r="W382" s="171">
        <f t="shared" ca="1" si="555"/>
        <v>0</v>
      </c>
      <c r="X382" s="172">
        <f t="shared" si="556"/>
        <v>0</v>
      </c>
      <c r="Y382" s="172" t="str">
        <f t="shared" si="557"/>
        <v/>
      </c>
      <c r="Z382" s="173">
        <f t="shared" si="558"/>
        <v>0</v>
      </c>
      <c r="AA382" s="171">
        <f t="shared" si="626"/>
        <v>0</v>
      </c>
      <c r="AB382" s="171">
        <f t="shared" si="626"/>
        <v>0</v>
      </c>
      <c r="AC382" s="171">
        <f t="shared" si="626"/>
        <v>0</v>
      </c>
      <c r="AD382" s="171">
        <f t="shared" si="626"/>
        <v>0</v>
      </c>
      <c r="AE382" s="171">
        <f t="shared" si="626"/>
        <v>0</v>
      </c>
      <c r="AF382" s="171">
        <f t="shared" si="626"/>
        <v>0</v>
      </c>
      <c r="AG382" s="171">
        <f t="shared" si="626"/>
        <v>0</v>
      </c>
      <c r="AH382" s="171">
        <f t="shared" si="626"/>
        <v>0</v>
      </c>
      <c r="AI382" s="171">
        <f t="shared" si="626"/>
        <v>0</v>
      </c>
      <c r="AJ382" s="171">
        <f t="shared" si="626"/>
        <v>0</v>
      </c>
      <c r="AK382" s="171">
        <f t="shared" si="627"/>
        <v>0</v>
      </c>
      <c r="AL382" s="171">
        <f t="shared" si="627"/>
        <v>0</v>
      </c>
      <c r="AM382" s="171">
        <f t="shared" si="627"/>
        <v>0</v>
      </c>
      <c r="AN382" s="171">
        <f t="shared" si="627"/>
        <v>0</v>
      </c>
      <c r="AO382" s="171">
        <f t="shared" si="627"/>
        <v>0</v>
      </c>
      <c r="AP382" s="171">
        <f t="shared" si="627"/>
        <v>0</v>
      </c>
      <c r="AQ382" s="171">
        <f t="shared" si="627"/>
        <v>0</v>
      </c>
      <c r="AR382" s="171">
        <f t="shared" si="627"/>
        <v>0</v>
      </c>
      <c r="AS382" s="171">
        <f t="shared" si="627"/>
        <v>0</v>
      </c>
      <c r="AT382" s="171">
        <f t="shared" si="627"/>
        <v>0</v>
      </c>
      <c r="AU382" s="171">
        <f t="shared" si="628"/>
        <v>0</v>
      </c>
      <c r="AV382" s="171">
        <f t="shared" si="628"/>
        <v>0</v>
      </c>
      <c r="AW382" s="171">
        <f t="shared" si="628"/>
        <v>0</v>
      </c>
      <c r="AX382" s="171">
        <f t="shared" si="628"/>
        <v>0</v>
      </c>
      <c r="AY382" s="171">
        <f t="shared" si="628"/>
        <v>0</v>
      </c>
      <c r="AZ382" s="171">
        <f t="shared" si="628"/>
        <v>0</v>
      </c>
      <c r="BA382" s="171">
        <f t="shared" si="628"/>
        <v>0</v>
      </c>
      <c r="BB382" s="171">
        <f t="shared" si="628"/>
        <v>0</v>
      </c>
      <c r="BC382" s="171">
        <f t="shared" si="628"/>
        <v>0</v>
      </c>
      <c r="BD382" s="171">
        <f t="shared" si="628"/>
        <v>0</v>
      </c>
      <c r="BE382" s="171">
        <f t="shared" si="629"/>
        <v>0</v>
      </c>
      <c r="BF382" s="171">
        <f t="shared" si="629"/>
        <v>0</v>
      </c>
      <c r="BG382" s="171">
        <f t="shared" si="629"/>
        <v>0</v>
      </c>
      <c r="BH382" s="171">
        <f t="shared" si="629"/>
        <v>0</v>
      </c>
      <c r="BI382" s="171">
        <f t="shared" si="629"/>
        <v>0</v>
      </c>
      <c r="BJ382" s="171">
        <f t="shared" si="629"/>
        <v>0</v>
      </c>
      <c r="BK382" s="171">
        <f t="shared" si="629"/>
        <v>0</v>
      </c>
      <c r="BL382" s="171">
        <f t="shared" si="629"/>
        <v>0</v>
      </c>
      <c r="BM382" s="171">
        <f t="shared" si="629"/>
        <v>0</v>
      </c>
      <c r="BN382" s="171">
        <f t="shared" si="629"/>
        <v>0</v>
      </c>
      <c r="BO382" s="171">
        <f t="shared" si="630"/>
        <v>0</v>
      </c>
      <c r="BP382" s="171">
        <f t="shared" si="630"/>
        <v>0</v>
      </c>
      <c r="BQ382" s="171">
        <f t="shared" si="630"/>
        <v>0</v>
      </c>
      <c r="BR382" s="171">
        <f t="shared" si="630"/>
        <v>0</v>
      </c>
      <c r="BS382" s="171">
        <f t="shared" si="630"/>
        <v>0</v>
      </c>
      <c r="BT382" s="171">
        <f t="shared" si="630"/>
        <v>0</v>
      </c>
      <c r="BU382" s="171">
        <f t="shared" si="630"/>
        <v>0</v>
      </c>
      <c r="BV382" s="171">
        <f t="shared" si="630"/>
        <v>0</v>
      </c>
      <c r="BW382" s="171">
        <f t="shared" si="630"/>
        <v>0</v>
      </c>
      <c r="BX382" s="171">
        <f t="shared" si="630"/>
        <v>0</v>
      </c>
      <c r="BY382" s="171">
        <f t="shared" si="631"/>
        <v>0</v>
      </c>
      <c r="BZ382" s="171">
        <f t="shared" si="631"/>
        <v>0</v>
      </c>
      <c r="CA382" s="171">
        <f t="shared" si="631"/>
        <v>0</v>
      </c>
      <c r="CB382" s="171">
        <f t="shared" si="631"/>
        <v>0</v>
      </c>
      <c r="CC382" s="171">
        <f t="shared" si="631"/>
        <v>0</v>
      </c>
      <c r="CD382" s="171">
        <f t="shared" si="631"/>
        <v>0</v>
      </c>
      <c r="CE382" s="171">
        <f t="shared" si="631"/>
        <v>0</v>
      </c>
      <c r="CF382" s="171">
        <f t="shared" si="631"/>
        <v>0</v>
      </c>
      <c r="CG382" s="171">
        <f t="shared" si="631"/>
        <v>0</v>
      </c>
      <c r="CH382" s="171">
        <f t="shared" si="631"/>
        <v>0</v>
      </c>
      <c r="CI382" s="171">
        <f t="shared" si="631"/>
        <v>0</v>
      </c>
      <c r="CJ382" s="243"/>
      <c r="CK382" s="171">
        <f t="shared" si="565"/>
        <v>0</v>
      </c>
      <c r="CL382" s="171">
        <f t="shared" si="566"/>
        <v>0</v>
      </c>
      <c r="CM382" s="171">
        <f t="shared" si="567"/>
        <v>0</v>
      </c>
      <c r="CN382" s="171">
        <f t="shared" si="568"/>
        <v>0</v>
      </c>
      <c r="CO382" s="171">
        <f t="shared" si="569"/>
        <v>0</v>
      </c>
      <c r="CP382" s="171">
        <f t="shared" si="570"/>
        <v>0</v>
      </c>
      <c r="CQ382" s="171">
        <f t="shared" si="571"/>
        <v>0</v>
      </c>
      <c r="CR382" s="171">
        <f t="shared" si="572"/>
        <v>0</v>
      </c>
      <c r="CS382" s="171">
        <f t="shared" si="573"/>
        <v>0</v>
      </c>
      <c r="CT382" s="171">
        <f t="shared" si="574"/>
        <v>0</v>
      </c>
      <c r="CU382" s="171">
        <f t="shared" si="575"/>
        <v>0</v>
      </c>
      <c r="CV382" s="171">
        <f t="shared" si="576"/>
        <v>0</v>
      </c>
      <c r="CW382" s="171">
        <f t="shared" si="577"/>
        <v>0</v>
      </c>
      <c r="CX382" s="171">
        <f t="shared" si="578"/>
        <v>0</v>
      </c>
      <c r="CY382" s="171">
        <f t="shared" ca="1" si="579"/>
        <v>0</v>
      </c>
      <c r="CZ382" s="171">
        <f t="shared" ca="1" si="580"/>
        <v>0</v>
      </c>
      <c r="DA382" s="171">
        <f t="shared" ca="1" si="581"/>
        <v>0</v>
      </c>
      <c r="DB382" s="171">
        <f t="shared" ca="1" si="582"/>
        <v>0</v>
      </c>
      <c r="DC382" s="171">
        <f t="shared" ca="1" si="583"/>
        <v>0</v>
      </c>
      <c r="DD382" s="171">
        <f t="shared" ca="1" si="584"/>
        <v>0</v>
      </c>
      <c r="DE382" s="171">
        <f t="shared" ca="1" si="585"/>
        <v>0</v>
      </c>
      <c r="DF382" s="171">
        <f t="shared" ca="1" si="586"/>
        <v>0</v>
      </c>
      <c r="DG382" s="171">
        <f t="shared" ca="1" si="587"/>
        <v>0</v>
      </c>
      <c r="DH382" s="171">
        <f t="shared" ca="1" si="588"/>
        <v>0</v>
      </c>
      <c r="DI382" s="171">
        <f t="shared" ca="1" si="589"/>
        <v>0</v>
      </c>
      <c r="DJ382" s="171">
        <f t="shared" ca="1" si="590"/>
        <v>0</v>
      </c>
      <c r="DK382" s="171">
        <f t="shared" ca="1" si="591"/>
        <v>0</v>
      </c>
      <c r="DL382" s="171">
        <f t="shared" ca="1" si="592"/>
        <v>0</v>
      </c>
      <c r="DM382" s="171">
        <f t="shared" ca="1" si="593"/>
        <v>0</v>
      </c>
      <c r="DN382" s="171">
        <f t="shared" ca="1" si="594"/>
        <v>0</v>
      </c>
      <c r="DO382" s="171">
        <f t="shared" ca="1" si="595"/>
        <v>0</v>
      </c>
      <c r="DP382" s="171">
        <f t="shared" ca="1" si="596"/>
        <v>0</v>
      </c>
      <c r="DQ382" s="171">
        <f t="shared" ca="1" si="597"/>
        <v>0</v>
      </c>
      <c r="DR382" s="171">
        <f t="shared" ca="1" si="598"/>
        <v>0</v>
      </c>
      <c r="DS382" s="171">
        <f t="shared" ca="1" si="599"/>
        <v>0</v>
      </c>
      <c r="DT382" s="171">
        <f t="shared" ca="1" si="600"/>
        <v>0</v>
      </c>
      <c r="DU382" s="171">
        <f t="shared" ca="1" si="601"/>
        <v>0</v>
      </c>
      <c r="DV382" s="171">
        <f t="shared" ca="1" si="602"/>
        <v>0</v>
      </c>
      <c r="DW382" s="171">
        <f t="shared" ca="1" si="603"/>
        <v>0</v>
      </c>
      <c r="DX382" s="171">
        <f t="shared" ca="1" si="604"/>
        <v>0</v>
      </c>
      <c r="DY382" s="171">
        <f t="shared" ca="1" si="605"/>
        <v>0</v>
      </c>
      <c r="DZ382" s="171">
        <f t="shared" ca="1" si="606"/>
        <v>0</v>
      </c>
      <c r="EA382" s="171">
        <f t="shared" ca="1" si="607"/>
        <v>0</v>
      </c>
      <c r="EB382" s="171">
        <f t="shared" ca="1" si="608"/>
        <v>0</v>
      </c>
      <c r="EC382" s="171">
        <f t="shared" ca="1" si="609"/>
        <v>0</v>
      </c>
      <c r="ED382" s="171">
        <f t="shared" ca="1" si="610"/>
        <v>0</v>
      </c>
      <c r="EE382" s="171">
        <f t="shared" ca="1" si="611"/>
        <v>0</v>
      </c>
      <c r="EF382" s="171">
        <f t="shared" ca="1" si="612"/>
        <v>0</v>
      </c>
      <c r="EG382" s="171">
        <f t="shared" ca="1" si="613"/>
        <v>0</v>
      </c>
      <c r="EH382" s="171">
        <f t="shared" ca="1" si="614"/>
        <v>0</v>
      </c>
      <c r="EI382" s="171">
        <f t="shared" ca="1" si="615"/>
        <v>0</v>
      </c>
      <c r="EJ382" s="171">
        <f t="shared" ca="1" si="616"/>
        <v>0</v>
      </c>
      <c r="EK382" s="171">
        <f t="shared" ca="1" si="617"/>
        <v>0</v>
      </c>
      <c r="EL382" s="171">
        <f t="shared" ca="1" si="618"/>
        <v>0</v>
      </c>
      <c r="EM382" s="171">
        <f t="shared" ca="1" si="619"/>
        <v>0</v>
      </c>
      <c r="EN382" s="171">
        <f t="shared" ca="1" si="620"/>
        <v>0</v>
      </c>
      <c r="EO382" s="171">
        <f t="shared" ca="1" si="621"/>
        <v>0</v>
      </c>
      <c r="EP382" s="171">
        <f t="shared" ca="1" si="622"/>
        <v>0</v>
      </c>
      <c r="EQ382" s="171">
        <f t="shared" ca="1" si="623"/>
        <v>0</v>
      </c>
      <c r="ER382" s="171">
        <f t="shared" ca="1" si="624"/>
        <v>0</v>
      </c>
      <c r="ES382" s="171">
        <f t="shared" ca="1" si="625"/>
        <v>0</v>
      </c>
    </row>
    <row r="383" spans="3:149">
      <c r="C383" s="214"/>
      <c r="L383" s="163"/>
      <c r="M383" s="164" t="str">
        <f t="shared" si="550"/>
        <v/>
      </c>
      <c r="N383" s="164" t="str">
        <f t="shared" si="551"/>
        <v/>
      </c>
      <c r="O383" s="165" t="str">
        <f t="shared" si="552"/>
        <v/>
      </c>
      <c r="R383" s="168"/>
      <c r="U383" s="171">
        <f t="shared" si="553"/>
        <v>0</v>
      </c>
      <c r="V383" s="171">
        <f t="shared" ca="1" si="554"/>
        <v>0</v>
      </c>
      <c r="W383" s="171">
        <f t="shared" ca="1" si="555"/>
        <v>0</v>
      </c>
      <c r="X383" s="172">
        <f t="shared" si="556"/>
        <v>0</v>
      </c>
      <c r="Y383" s="172" t="str">
        <f t="shared" si="557"/>
        <v/>
      </c>
      <c r="Z383" s="173">
        <f t="shared" si="558"/>
        <v>0</v>
      </c>
      <c r="AA383" s="171">
        <f t="shared" si="626"/>
        <v>0</v>
      </c>
      <c r="AB383" s="171">
        <f t="shared" si="626"/>
        <v>0</v>
      </c>
      <c r="AC383" s="171">
        <f t="shared" si="626"/>
        <v>0</v>
      </c>
      <c r="AD383" s="171">
        <f t="shared" si="626"/>
        <v>0</v>
      </c>
      <c r="AE383" s="171">
        <f t="shared" si="626"/>
        <v>0</v>
      </c>
      <c r="AF383" s="171">
        <f t="shared" si="626"/>
        <v>0</v>
      </c>
      <c r="AG383" s="171">
        <f t="shared" si="626"/>
        <v>0</v>
      </c>
      <c r="AH383" s="171">
        <f t="shared" si="626"/>
        <v>0</v>
      </c>
      <c r="AI383" s="171">
        <f t="shared" si="626"/>
        <v>0</v>
      </c>
      <c r="AJ383" s="171">
        <f t="shared" si="626"/>
        <v>0</v>
      </c>
      <c r="AK383" s="171">
        <f t="shared" si="627"/>
        <v>0</v>
      </c>
      <c r="AL383" s="171">
        <f t="shared" si="627"/>
        <v>0</v>
      </c>
      <c r="AM383" s="171">
        <f t="shared" si="627"/>
        <v>0</v>
      </c>
      <c r="AN383" s="171">
        <f t="shared" si="627"/>
        <v>0</v>
      </c>
      <c r="AO383" s="171">
        <f t="shared" si="627"/>
        <v>0</v>
      </c>
      <c r="AP383" s="171">
        <f t="shared" si="627"/>
        <v>0</v>
      </c>
      <c r="AQ383" s="171">
        <f t="shared" si="627"/>
        <v>0</v>
      </c>
      <c r="AR383" s="171">
        <f t="shared" si="627"/>
        <v>0</v>
      </c>
      <c r="AS383" s="171">
        <f t="shared" si="627"/>
        <v>0</v>
      </c>
      <c r="AT383" s="171">
        <f t="shared" si="627"/>
        <v>0</v>
      </c>
      <c r="AU383" s="171">
        <f t="shared" si="628"/>
        <v>0</v>
      </c>
      <c r="AV383" s="171">
        <f t="shared" si="628"/>
        <v>0</v>
      </c>
      <c r="AW383" s="171">
        <f t="shared" si="628"/>
        <v>0</v>
      </c>
      <c r="AX383" s="171">
        <f t="shared" si="628"/>
        <v>0</v>
      </c>
      <c r="AY383" s="171">
        <f t="shared" si="628"/>
        <v>0</v>
      </c>
      <c r="AZ383" s="171">
        <f t="shared" si="628"/>
        <v>0</v>
      </c>
      <c r="BA383" s="171">
        <f t="shared" si="628"/>
        <v>0</v>
      </c>
      <c r="BB383" s="171">
        <f t="shared" si="628"/>
        <v>0</v>
      </c>
      <c r="BC383" s="171">
        <f t="shared" si="628"/>
        <v>0</v>
      </c>
      <c r="BD383" s="171">
        <f t="shared" si="628"/>
        <v>0</v>
      </c>
      <c r="BE383" s="171">
        <f t="shared" si="629"/>
        <v>0</v>
      </c>
      <c r="BF383" s="171">
        <f t="shared" si="629"/>
        <v>0</v>
      </c>
      <c r="BG383" s="171">
        <f t="shared" si="629"/>
        <v>0</v>
      </c>
      <c r="BH383" s="171">
        <f t="shared" si="629"/>
        <v>0</v>
      </c>
      <c r="BI383" s="171">
        <f t="shared" si="629"/>
        <v>0</v>
      </c>
      <c r="BJ383" s="171">
        <f t="shared" si="629"/>
        <v>0</v>
      </c>
      <c r="BK383" s="171">
        <f t="shared" si="629"/>
        <v>0</v>
      </c>
      <c r="BL383" s="171">
        <f t="shared" si="629"/>
        <v>0</v>
      </c>
      <c r="BM383" s="171">
        <f t="shared" si="629"/>
        <v>0</v>
      </c>
      <c r="BN383" s="171">
        <f t="shared" si="629"/>
        <v>0</v>
      </c>
      <c r="BO383" s="171">
        <f t="shared" si="630"/>
        <v>0</v>
      </c>
      <c r="BP383" s="171">
        <f t="shared" si="630"/>
        <v>0</v>
      </c>
      <c r="BQ383" s="171">
        <f t="shared" si="630"/>
        <v>0</v>
      </c>
      <c r="BR383" s="171">
        <f t="shared" si="630"/>
        <v>0</v>
      </c>
      <c r="BS383" s="171">
        <f t="shared" si="630"/>
        <v>0</v>
      </c>
      <c r="BT383" s="171">
        <f t="shared" si="630"/>
        <v>0</v>
      </c>
      <c r="BU383" s="171">
        <f t="shared" si="630"/>
        <v>0</v>
      </c>
      <c r="BV383" s="171">
        <f t="shared" si="630"/>
        <v>0</v>
      </c>
      <c r="BW383" s="171">
        <f t="shared" si="630"/>
        <v>0</v>
      </c>
      <c r="BX383" s="171">
        <f t="shared" si="630"/>
        <v>0</v>
      </c>
      <c r="BY383" s="171">
        <f t="shared" si="631"/>
        <v>0</v>
      </c>
      <c r="BZ383" s="171">
        <f t="shared" si="631"/>
        <v>0</v>
      </c>
      <c r="CA383" s="171">
        <f t="shared" si="631"/>
        <v>0</v>
      </c>
      <c r="CB383" s="171">
        <f t="shared" si="631"/>
        <v>0</v>
      </c>
      <c r="CC383" s="171">
        <f t="shared" si="631"/>
        <v>0</v>
      </c>
      <c r="CD383" s="171">
        <f t="shared" si="631"/>
        <v>0</v>
      </c>
      <c r="CE383" s="171">
        <f t="shared" si="631"/>
        <v>0</v>
      </c>
      <c r="CF383" s="171">
        <f t="shared" si="631"/>
        <v>0</v>
      </c>
      <c r="CG383" s="171">
        <f t="shared" si="631"/>
        <v>0</v>
      </c>
      <c r="CH383" s="171">
        <f t="shared" si="631"/>
        <v>0</v>
      </c>
      <c r="CI383" s="171">
        <f t="shared" si="631"/>
        <v>0</v>
      </c>
      <c r="CJ383" s="243"/>
      <c r="CK383" s="171">
        <f t="shared" si="565"/>
        <v>0</v>
      </c>
      <c r="CL383" s="171">
        <f t="shared" si="566"/>
        <v>0</v>
      </c>
      <c r="CM383" s="171">
        <f t="shared" si="567"/>
        <v>0</v>
      </c>
      <c r="CN383" s="171">
        <f t="shared" si="568"/>
        <v>0</v>
      </c>
      <c r="CO383" s="171">
        <f t="shared" si="569"/>
        <v>0</v>
      </c>
      <c r="CP383" s="171">
        <f t="shared" si="570"/>
        <v>0</v>
      </c>
      <c r="CQ383" s="171">
        <f t="shared" si="571"/>
        <v>0</v>
      </c>
      <c r="CR383" s="171">
        <f t="shared" si="572"/>
        <v>0</v>
      </c>
      <c r="CS383" s="171">
        <f t="shared" si="573"/>
        <v>0</v>
      </c>
      <c r="CT383" s="171">
        <f t="shared" si="574"/>
        <v>0</v>
      </c>
      <c r="CU383" s="171">
        <f t="shared" si="575"/>
        <v>0</v>
      </c>
      <c r="CV383" s="171">
        <f t="shared" si="576"/>
        <v>0</v>
      </c>
      <c r="CW383" s="171">
        <f t="shared" si="577"/>
        <v>0</v>
      </c>
      <c r="CX383" s="171">
        <f t="shared" si="578"/>
        <v>0</v>
      </c>
      <c r="CY383" s="171">
        <f t="shared" ca="1" si="579"/>
        <v>0</v>
      </c>
      <c r="CZ383" s="171">
        <f t="shared" ca="1" si="580"/>
        <v>0</v>
      </c>
      <c r="DA383" s="171">
        <f t="shared" ca="1" si="581"/>
        <v>0</v>
      </c>
      <c r="DB383" s="171">
        <f t="shared" ca="1" si="582"/>
        <v>0</v>
      </c>
      <c r="DC383" s="171">
        <f t="shared" ca="1" si="583"/>
        <v>0</v>
      </c>
      <c r="DD383" s="171">
        <f t="shared" ca="1" si="584"/>
        <v>0</v>
      </c>
      <c r="DE383" s="171">
        <f t="shared" ca="1" si="585"/>
        <v>0</v>
      </c>
      <c r="DF383" s="171">
        <f t="shared" ca="1" si="586"/>
        <v>0</v>
      </c>
      <c r="DG383" s="171">
        <f t="shared" ca="1" si="587"/>
        <v>0</v>
      </c>
      <c r="DH383" s="171">
        <f t="shared" ca="1" si="588"/>
        <v>0</v>
      </c>
      <c r="DI383" s="171">
        <f t="shared" ca="1" si="589"/>
        <v>0</v>
      </c>
      <c r="DJ383" s="171">
        <f t="shared" ca="1" si="590"/>
        <v>0</v>
      </c>
      <c r="DK383" s="171">
        <f t="shared" ca="1" si="591"/>
        <v>0</v>
      </c>
      <c r="DL383" s="171">
        <f t="shared" ca="1" si="592"/>
        <v>0</v>
      </c>
      <c r="DM383" s="171">
        <f t="shared" ca="1" si="593"/>
        <v>0</v>
      </c>
      <c r="DN383" s="171">
        <f t="shared" ca="1" si="594"/>
        <v>0</v>
      </c>
      <c r="DO383" s="171">
        <f t="shared" ca="1" si="595"/>
        <v>0</v>
      </c>
      <c r="DP383" s="171">
        <f t="shared" ca="1" si="596"/>
        <v>0</v>
      </c>
      <c r="DQ383" s="171">
        <f t="shared" ca="1" si="597"/>
        <v>0</v>
      </c>
      <c r="DR383" s="171">
        <f t="shared" ca="1" si="598"/>
        <v>0</v>
      </c>
      <c r="DS383" s="171">
        <f t="shared" ca="1" si="599"/>
        <v>0</v>
      </c>
      <c r="DT383" s="171">
        <f t="shared" ca="1" si="600"/>
        <v>0</v>
      </c>
      <c r="DU383" s="171">
        <f t="shared" ca="1" si="601"/>
        <v>0</v>
      </c>
      <c r="DV383" s="171">
        <f t="shared" ca="1" si="602"/>
        <v>0</v>
      </c>
      <c r="DW383" s="171">
        <f t="shared" ca="1" si="603"/>
        <v>0</v>
      </c>
      <c r="DX383" s="171">
        <f t="shared" ca="1" si="604"/>
        <v>0</v>
      </c>
      <c r="DY383" s="171">
        <f t="shared" ca="1" si="605"/>
        <v>0</v>
      </c>
      <c r="DZ383" s="171">
        <f t="shared" ca="1" si="606"/>
        <v>0</v>
      </c>
      <c r="EA383" s="171">
        <f t="shared" ca="1" si="607"/>
        <v>0</v>
      </c>
      <c r="EB383" s="171">
        <f t="shared" ca="1" si="608"/>
        <v>0</v>
      </c>
      <c r="EC383" s="171">
        <f t="shared" ca="1" si="609"/>
        <v>0</v>
      </c>
      <c r="ED383" s="171">
        <f t="shared" ca="1" si="610"/>
        <v>0</v>
      </c>
      <c r="EE383" s="171">
        <f t="shared" ca="1" si="611"/>
        <v>0</v>
      </c>
      <c r="EF383" s="171">
        <f t="shared" ca="1" si="612"/>
        <v>0</v>
      </c>
      <c r="EG383" s="171">
        <f t="shared" ca="1" si="613"/>
        <v>0</v>
      </c>
      <c r="EH383" s="171">
        <f t="shared" ca="1" si="614"/>
        <v>0</v>
      </c>
      <c r="EI383" s="171">
        <f t="shared" ca="1" si="615"/>
        <v>0</v>
      </c>
      <c r="EJ383" s="171">
        <f t="shared" ca="1" si="616"/>
        <v>0</v>
      </c>
      <c r="EK383" s="171">
        <f t="shared" ca="1" si="617"/>
        <v>0</v>
      </c>
      <c r="EL383" s="171">
        <f t="shared" ca="1" si="618"/>
        <v>0</v>
      </c>
      <c r="EM383" s="171">
        <f t="shared" ca="1" si="619"/>
        <v>0</v>
      </c>
      <c r="EN383" s="171">
        <f t="shared" ca="1" si="620"/>
        <v>0</v>
      </c>
      <c r="EO383" s="171">
        <f t="shared" ca="1" si="621"/>
        <v>0</v>
      </c>
      <c r="EP383" s="171">
        <f t="shared" ca="1" si="622"/>
        <v>0</v>
      </c>
      <c r="EQ383" s="171">
        <f t="shared" ca="1" si="623"/>
        <v>0</v>
      </c>
      <c r="ER383" s="171">
        <f t="shared" ca="1" si="624"/>
        <v>0</v>
      </c>
      <c r="ES383" s="171">
        <f t="shared" ca="1" si="625"/>
        <v>0</v>
      </c>
    </row>
    <row r="384" spans="3:149">
      <c r="C384" s="214"/>
      <c r="L384" s="163"/>
      <c r="M384" s="164" t="str">
        <f t="shared" si="550"/>
        <v/>
      </c>
      <c r="N384" s="164" t="str">
        <f t="shared" si="551"/>
        <v/>
      </c>
      <c r="O384" s="165" t="str">
        <f t="shared" si="552"/>
        <v/>
      </c>
      <c r="R384" s="168"/>
      <c r="U384" s="171">
        <f t="shared" si="553"/>
        <v>0</v>
      </c>
      <c r="V384" s="171">
        <f t="shared" ca="1" si="554"/>
        <v>0</v>
      </c>
      <c r="W384" s="171">
        <f t="shared" ca="1" si="555"/>
        <v>0</v>
      </c>
      <c r="X384" s="172">
        <f t="shared" si="556"/>
        <v>0</v>
      </c>
      <c r="Y384" s="172" t="str">
        <f t="shared" si="557"/>
        <v/>
      </c>
      <c r="Z384" s="173">
        <f t="shared" si="558"/>
        <v>0</v>
      </c>
      <c r="AA384" s="171">
        <f t="shared" si="626"/>
        <v>0</v>
      </c>
      <c r="AB384" s="171">
        <f t="shared" si="626"/>
        <v>0</v>
      </c>
      <c r="AC384" s="171">
        <f t="shared" si="626"/>
        <v>0</v>
      </c>
      <c r="AD384" s="171">
        <f t="shared" si="626"/>
        <v>0</v>
      </c>
      <c r="AE384" s="171">
        <f t="shared" si="626"/>
        <v>0</v>
      </c>
      <c r="AF384" s="171">
        <f t="shared" si="626"/>
        <v>0</v>
      </c>
      <c r="AG384" s="171">
        <f t="shared" si="626"/>
        <v>0</v>
      </c>
      <c r="AH384" s="171">
        <f t="shared" si="626"/>
        <v>0</v>
      </c>
      <c r="AI384" s="171">
        <f t="shared" si="626"/>
        <v>0</v>
      </c>
      <c r="AJ384" s="171">
        <f t="shared" si="626"/>
        <v>0</v>
      </c>
      <c r="AK384" s="171">
        <f t="shared" si="627"/>
        <v>0</v>
      </c>
      <c r="AL384" s="171">
        <f t="shared" si="627"/>
        <v>0</v>
      </c>
      <c r="AM384" s="171">
        <f t="shared" si="627"/>
        <v>0</v>
      </c>
      <c r="AN384" s="171">
        <f t="shared" si="627"/>
        <v>0</v>
      </c>
      <c r="AO384" s="171">
        <f t="shared" si="627"/>
        <v>0</v>
      </c>
      <c r="AP384" s="171">
        <f t="shared" si="627"/>
        <v>0</v>
      </c>
      <c r="AQ384" s="171">
        <f t="shared" si="627"/>
        <v>0</v>
      </c>
      <c r="AR384" s="171">
        <f t="shared" si="627"/>
        <v>0</v>
      </c>
      <c r="AS384" s="171">
        <f t="shared" si="627"/>
        <v>0</v>
      </c>
      <c r="AT384" s="171">
        <f t="shared" si="627"/>
        <v>0</v>
      </c>
      <c r="AU384" s="171">
        <f t="shared" si="628"/>
        <v>0</v>
      </c>
      <c r="AV384" s="171">
        <f t="shared" si="628"/>
        <v>0</v>
      </c>
      <c r="AW384" s="171">
        <f t="shared" si="628"/>
        <v>0</v>
      </c>
      <c r="AX384" s="171">
        <f t="shared" si="628"/>
        <v>0</v>
      </c>
      <c r="AY384" s="171">
        <f t="shared" si="628"/>
        <v>0</v>
      </c>
      <c r="AZ384" s="171">
        <f t="shared" si="628"/>
        <v>0</v>
      </c>
      <c r="BA384" s="171">
        <f t="shared" si="628"/>
        <v>0</v>
      </c>
      <c r="BB384" s="171">
        <f t="shared" si="628"/>
        <v>0</v>
      </c>
      <c r="BC384" s="171">
        <f t="shared" si="628"/>
        <v>0</v>
      </c>
      <c r="BD384" s="171">
        <f t="shared" si="628"/>
        <v>0</v>
      </c>
      <c r="BE384" s="171">
        <f t="shared" si="629"/>
        <v>0</v>
      </c>
      <c r="BF384" s="171">
        <f t="shared" si="629"/>
        <v>0</v>
      </c>
      <c r="BG384" s="171">
        <f t="shared" si="629"/>
        <v>0</v>
      </c>
      <c r="BH384" s="171">
        <f t="shared" si="629"/>
        <v>0</v>
      </c>
      <c r="BI384" s="171">
        <f t="shared" si="629"/>
        <v>0</v>
      </c>
      <c r="BJ384" s="171">
        <f t="shared" si="629"/>
        <v>0</v>
      </c>
      <c r="BK384" s="171">
        <f t="shared" si="629"/>
        <v>0</v>
      </c>
      <c r="BL384" s="171">
        <f t="shared" si="629"/>
        <v>0</v>
      </c>
      <c r="BM384" s="171">
        <f t="shared" si="629"/>
        <v>0</v>
      </c>
      <c r="BN384" s="171">
        <f t="shared" si="629"/>
        <v>0</v>
      </c>
      <c r="BO384" s="171">
        <f t="shared" si="630"/>
        <v>0</v>
      </c>
      <c r="BP384" s="171">
        <f t="shared" si="630"/>
        <v>0</v>
      </c>
      <c r="BQ384" s="171">
        <f t="shared" si="630"/>
        <v>0</v>
      </c>
      <c r="BR384" s="171">
        <f t="shared" si="630"/>
        <v>0</v>
      </c>
      <c r="BS384" s="171">
        <f t="shared" si="630"/>
        <v>0</v>
      </c>
      <c r="BT384" s="171">
        <f t="shared" si="630"/>
        <v>0</v>
      </c>
      <c r="BU384" s="171">
        <f t="shared" si="630"/>
        <v>0</v>
      </c>
      <c r="BV384" s="171">
        <f t="shared" si="630"/>
        <v>0</v>
      </c>
      <c r="BW384" s="171">
        <f t="shared" si="630"/>
        <v>0</v>
      </c>
      <c r="BX384" s="171">
        <f t="shared" si="630"/>
        <v>0</v>
      </c>
      <c r="BY384" s="171">
        <f t="shared" si="631"/>
        <v>0</v>
      </c>
      <c r="BZ384" s="171">
        <f t="shared" si="631"/>
        <v>0</v>
      </c>
      <c r="CA384" s="171">
        <f t="shared" si="631"/>
        <v>0</v>
      </c>
      <c r="CB384" s="171">
        <f t="shared" si="631"/>
        <v>0</v>
      </c>
      <c r="CC384" s="171">
        <f t="shared" si="631"/>
        <v>0</v>
      </c>
      <c r="CD384" s="171">
        <f t="shared" si="631"/>
        <v>0</v>
      </c>
      <c r="CE384" s="171">
        <f t="shared" si="631"/>
        <v>0</v>
      </c>
      <c r="CF384" s="171">
        <f t="shared" si="631"/>
        <v>0</v>
      </c>
      <c r="CG384" s="171">
        <f t="shared" si="631"/>
        <v>0</v>
      </c>
      <c r="CH384" s="171">
        <f t="shared" si="631"/>
        <v>0</v>
      </c>
      <c r="CI384" s="171">
        <f t="shared" si="631"/>
        <v>0</v>
      </c>
      <c r="CJ384" s="243"/>
      <c r="CK384" s="171">
        <f t="shared" si="565"/>
        <v>0</v>
      </c>
      <c r="CL384" s="171">
        <f t="shared" si="566"/>
        <v>0</v>
      </c>
      <c r="CM384" s="171">
        <f t="shared" si="567"/>
        <v>0</v>
      </c>
      <c r="CN384" s="171">
        <f t="shared" si="568"/>
        <v>0</v>
      </c>
      <c r="CO384" s="171">
        <f t="shared" si="569"/>
        <v>0</v>
      </c>
      <c r="CP384" s="171">
        <f t="shared" si="570"/>
        <v>0</v>
      </c>
      <c r="CQ384" s="171">
        <f t="shared" si="571"/>
        <v>0</v>
      </c>
      <c r="CR384" s="171">
        <f t="shared" si="572"/>
        <v>0</v>
      </c>
      <c r="CS384" s="171">
        <f t="shared" si="573"/>
        <v>0</v>
      </c>
      <c r="CT384" s="171">
        <f t="shared" si="574"/>
        <v>0</v>
      </c>
      <c r="CU384" s="171">
        <f t="shared" si="575"/>
        <v>0</v>
      </c>
      <c r="CV384" s="171">
        <f t="shared" si="576"/>
        <v>0</v>
      </c>
      <c r="CW384" s="171">
        <f t="shared" si="577"/>
        <v>0</v>
      </c>
      <c r="CX384" s="171">
        <f t="shared" si="578"/>
        <v>0</v>
      </c>
      <c r="CY384" s="171">
        <f t="shared" ca="1" si="579"/>
        <v>0</v>
      </c>
      <c r="CZ384" s="171">
        <f t="shared" ca="1" si="580"/>
        <v>0</v>
      </c>
      <c r="DA384" s="171">
        <f t="shared" ca="1" si="581"/>
        <v>0</v>
      </c>
      <c r="DB384" s="171">
        <f t="shared" ca="1" si="582"/>
        <v>0</v>
      </c>
      <c r="DC384" s="171">
        <f t="shared" ca="1" si="583"/>
        <v>0</v>
      </c>
      <c r="DD384" s="171">
        <f t="shared" ca="1" si="584"/>
        <v>0</v>
      </c>
      <c r="DE384" s="171">
        <f t="shared" ca="1" si="585"/>
        <v>0</v>
      </c>
      <c r="DF384" s="171">
        <f t="shared" ca="1" si="586"/>
        <v>0</v>
      </c>
      <c r="DG384" s="171">
        <f t="shared" ca="1" si="587"/>
        <v>0</v>
      </c>
      <c r="DH384" s="171">
        <f t="shared" ca="1" si="588"/>
        <v>0</v>
      </c>
      <c r="DI384" s="171">
        <f t="shared" ca="1" si="589"/>
        <v>0</v>
      </c>
      <c r="DJ384" s="171">
        <f t="shared" ca="1" si="590"/>
        <v>0</v>
      </c>
      <c r="DK384" s="171">
        <f t="shared" ca="1" si="591"/>
        <v>0</v>
      </c>
      <c r="DL384" s="171">
        <f t="shared" ca="1" si="592"/>
        <v>0</v>
      </c>
      <c r="DM384" s="171">
        <f t="shared" ca="1" si="593"/>
        <v>0</v>
      </c>
      <c r="DN384" s="171">
        <f t="shared" ca="1" si="594"/>
        <v>0</v>
      </c>
      <c r="DO384" s="171">
        <f t="shared" ca="1" si="595"/>
        <v>0</v>
      </c>
      <c r="DP384" s="171">
        <f t="shared" ca="1" si="596"/>
        <v>0</v>
      </c>
      <c r="DQ384" s="171">
        <f t="shared" ca="1" si="597"/>
        <v>0</v>
      </c>
      <c r="DR384" s="171">
        <f t="shared" ca="1" si="598"/>
        <v>0</v>
      </c>
      <c r="DS384" s="171">
        <f t="shared" ca="1" si="599"/>
        <v>0</v>
      </c>
      <c r="DT384" s="171">
        <f t="shared" ca="1" si="600"/>
        <v>0</v>
      </c>
      <c r="DU384" s="171">
        <f t="shared" ca="1" si="601"/>
        <v>0</v>
      </c>
      <c r="DV384" s="171">
        <f t="shared" ca="1" si="602"/>
        <v>0</v>
      </c>
      <c r="DW384" s="171">
        <f t="shared" ca="1" si="603"/>
        <v>0</v>
      </c>
      <c r="DX384" s="171">
        <f t="shared" ca="1" si="604"/>
        <v>0</v>
      </c>
      <c r="DY384" s="171">
        <f t="shared" ca="1" si="605"/>
        <v>0</v>
      </c>
      <c r="DZ384" s="171">
        <f t="shared" ca="1" si="606"/>
        <v>0</v>
      </c>
      <c r="EA384" s="171">
        <f t="shared" ca="1" si="607"/>
        <v>0</v>
      </c>
      <c r="EB384" s="171">
        <f t="shared" ca="1" si="608"/>
        <v>0</v>
      </c>
      <c r="EC384" s="171">
        <f t="shared" ca="1" si="609"/>
        <v>0</v>
      </c>
      <c r="ED384" s="171">
        <f t="shared" ca="1" si="610"/>
        <v>0</v>
      </c>
      <c r="EE384" s="171">
        <f t="shared" ca="1" si="611"/>
        <v>0</v>
      </c>
      <c r="EF384" s="171">
        <f t="shared" ca="1" si="612"/>
        <v>0</v>
      </c>
      <c r="EG384" s="171">
        <f t="shared" ca="1" si="613"/>
        <v>0</v>
      </c>
      <c r="EH384" s="171">
        <f t="shared" ca="1" si="614"/>
        <v>0</v>
      </c>
      <c r="EI384" s="171">
        <f t="shared" ca="1" si="615"/>
        <v>0</v>
      </c>
      <c r="EJ384" s="171">
        <f t="shared" ca="1" si="616"/>
        <v>0</v>
      </c>
      <c r="EK384" s="171">
        <f t="shared" ca="1" si="617"/>
        <v>0</v>
      </c>
      <c r="EL384" s="171">
        <f t="shared" ca="1" si="618"/>
        <v>0</v>
      </c>
      <c r="EM384" s="171">
        <f t="shared" ca="1" si="619"/>
        <v>0</v>
      </c>
      <c r="EN384" s="171">
        <f t="shared" ca="1" si="620"/>
        <v>0</v>
      </c>
      <c r="EO384" s="171">
        <f t="shared" ca="1" si="621"/>
        <v>0</v>
      </c>
      <c r="EP384" s="171">
        <f t="shared" ca="1" si="622"/>
        <v>0</v>
      </c>
      <c r="EQ384" s="171">
        <f t="shared" ca="1" si="623"/>
        <v>0</v>
      </c>
      <c r="ER384" s="171">
        <f t="shared" ca="1" si="624"/>
        <v>0</v>
      </c>
      <c r="ES384" s="171">
        <f t="shared" ca="1" si="625"/>
        <v>0</v>
      </c>
    </row>
    <row r="385" spans="3:149">
      <c r="C385" s="214"/>
      <c r="L385" s="163"/>
      <c r="M385" s="164" t="str">
        <f t="shared" si="550"/>
        <v/>
      </c>
      <c r="N385" s="164" t="str">
        <f t="shared" si="551"/>
        <v/>
      </c>
      <c r="O385" s="165" t="str">
        <f t="shared" si="552"/>
        <v/>
      </c>
      <c r="R385" s="168"/>
      <c r="U385" s="171">
        <f t="shared" si="553"/>
        <v>0</v>
      </c>
      <c r="V385" s="171">
        <f t="shared" ca="1" si="554"/>
        <v>0</v>
      </c>
      <c r="W385" s="171">
        <f t="shared" ca="1" si="555"/>
        <v>0</v>
      </c>
      <c r="X385" s="172">
        <f t="shared" si="556"/>
        <v>0</v>
      </c>
      <c r="Y385" s="172" t="str">
        <f t="shared" si="557"/>
        <v/>
      </c>
      <c r="Z385" s="173">
        <f t="shared" si="558"/>
        <v>0</v>
      </c>
      <c r="AA385" s="171">
        <f t="shared" si="626"/>
        <v>0</v>
      </c>
      <c r="AB385" s="171">
        <f t="shared" si="626"/>
        <v>0</v>
      </c>
      <c r="AC385" s="171">
        <f t="shared" si="626"/>
        <v>0</v>
      </c>
      <c r="AD385" s="171">
        <f t="shared" si="626"/>
        <v>0</v>
      </c>
      <c r="AE385" s="171">
        <f t="shared" si="626"/>
        <v>0</v>
      </c>
      <c r="AF385" s="171">
        <f t="shared" si="626"/>
        <v>0</v>
      </c>
      <c r="AG385" s="171">
        <f t="shared" si="626"/>
        <v>0</v>
      </c>
      <c r="AH385" s="171">
        <f t="shared" si="626"/>
        <v>0</v>
      </c>
      <c r="AI385" s="171">
        <f t="shared" si="626"/>
        <v>0</v>
      </c>
      <c r="AJ385" s="171">
        <f t="shared" si="626"/>
        <v>0</v>
      </c>
      <c r="AK385" s="171">
        <f t="shared" si="627"/>
        <v>0</v>
      </c>
      <c r="AL385" s="171">
        <f t="shared" si="627"/>
        <v>0</v>
      </c>
      <c r="AM385" s="171">
        <f t="shared" si="627"/>
        <v>0</v>
      </c>
      <c r="AN385" s="171">
        <f t="shared" si="627"/>
        <v>0</v>
      </c>
      <c r="AO385" s="171">
        <f t="shared" si="627"/>
        <v>0</v>
      </c>
      <c r="AP385" s="171">
        <f t="shared" si="627"/>
        <v>0</v>
      </c>
      <c r="AQ385" s="171">
        <f t="shared" si="627"/>
        <v>0</v>
      </c>
      <c r="AR385" s="171">
        <f t="shared" si="627"/>
        <v>0</v>
      </c>
      <c r="AS385" s="171">
        <f t="shared" si="627"/>
        <v>0</v>
      </c>
      <c r="AT385" s="171">
        <f t="shared" si="627"/>
        <v>0</v>
      </c>
      <c r="AU385" s="171">
        <f t="shared" si="628"/>
        <v>0</v>
      </c>
      <c r="AV385" s="171">
        <f t="shared" si="628"/>
        <v>0</v>
      </c>
      <c r="AW385" s="171">
        <f t="shared" si="628"/>
        <v>0</v>
      </c>
      <c r="AX385" s="171">
        <f t="shared" si="628"/>
        <v>0</v>
      </c>
      <c r="AY385" s="171">
        <f t="shared" si="628"/>
        <v>0</v>
      </c>
      <c r="AZ385" s="171">
        <f t="shared" si="628"/>
        <v>0</v>
      </c>
      <c r="BA385" s="171">
        <f t="shared" si="628"/>
        <v>0</v>
      </c>
      <c r="BB385" s="171">
        <f t="shared" si="628"/>
        <v>0</v>
      </c>
      <c r="BC385" s="171">
        <f t="shared" si="628"/>
        <v>0</v>
      </c>
      <c r="BD385" s="171">
        <f t="shared" si="628"/>
        <v>0</v>
      </c>
      <c r="BE385" s="171">
        <f t="shared" si="629"/>
        <v>0</v>
      </c>
      <c r="BF385" s="171">
        <f t="shared" si="629"/>
        <v>0</v>
      </c>
      <c r="BG385" s="171">
        <f t="shared" si="629"/>
        <v>0</v>
      </c>
      <c r="BH385" s="171">
        <f t="shared" si="629"/>
        <v>0</v>
      </c>
      <c r="BI385" s="171">
        <f t="shared" si="629"/>
        <v>0</v>
      </c>
      <c r="BJ385" s="171">
        <f t="shared" si="629"/>
        <v>0</v>
      </c>
      <c r="BK385" s="171">
        <f t="shared" si="629"/>
        <v>0</v>
      </c>
      <c r="BL385" s="171">
        <f t="shared" si="629"/>
        <v>0</v>
      </c>
      <c r="BM385" s="171">
        <f t="shared" si="629"/>
        <v>0</v>
      </c>
      <c r="BN385" s="171">
        <f t="shared" si="629"/>
        <v>0</v>
      </c>
      <c r="BO385" s="171">
        <f t="shared" si="630"/>
        <v>0</v>
      </c>
      <c r="BP385" s="171">
        <f t="shared" si="630"/>
        <v>0</v>
      </c>
      <c r="BQ385" s="171">
        <f t="shared" si="630"/>
        <v>0</v>
      </c>
      <c r="BR385" s="171">
        <f t="shared" si="630"/>
        <v>0</v>
      </c>
      <c r="BS385" s="171">
        <f t="shared" si="630"/>
        <v>0</v>
      </c>
      <c r="BT385" s="171">
        <f t="shared" si="630"/>
        <v>0</v>
      </c>
      <c r="BU385" s="171">
        <f t="shared" si="630"/>
        <v>0</v>
      </c>
      <c r="BV385" s="171">
        <f t="shared" si="630"/>
        <v>0</v>
      </c>
      <c r="BW385" s="171">
        <f t="shared" si="630"/>
        <v>0</v>
      </c>
      <c r="BX385" s="171">
        <f t="shared" si="630"/>
        <v>0</v>
      </c>
      <c r="BY385" s="171">
        <f t="shared" si="631"/>
        <v>0</v>
      </c>
      <c r="BZ385" s="171">
        <f t="shared" si="631"/>
        <v>0</v>
      </c>
      <c r="CA385" s="171">
        <f t="shared" si="631"/>
        <v>0</v>
      </c>
      <c r="CB385" s="171">
        <f t="shared" si="631"/>
        <v>0</v>
      </c>
      <c r="CC385" s="171">
        <f t="shared" si="631"/>
        <v>0</v>
      </c>
      <c r="CD385" s="171">
        <f t="shared" si="631"/>
        <v>0</v>
      </c>
      <c r="CE385" s="171">
        <f t="shared" si="631"/>
        <v>0</v>
      </c>
      <c r="CF385" s="171">
        <f t="shared" si="631"/>
        <v>0</v>
      </c>
      <c r="CG385" s="171">
        <f t="shared" si="631"/>
        <v>0</v>
      </c>
      <c r="CH385" s="171">
        <f t="shared" si="631"/>
        <v>0</v>
      </c>
      <c r="CI385" s="171">
        <f t="shared" si="631"/>
        <v>0</v>
      </c>
      <c r="CJ385" s="243"/>
      <c r="CK385" s="171">
        <f t="shared" si="565"/>
        <v>0</v>
      </c>
      <c r="CL385" s="171">
        <f t="shared" si="566"/>
        <v>0</v>
      </c>
      <c r="CM385" s="171">
        <f t="shared" si="567"/>
        <v>0</v>
      </c>
      <c r="CN385" s="171">
        <f t="shared" si="568"/>
        <v>0</v>
      </c>
      <c r="CO385" s="171">
        <f t="shared" si="569"/>
        <v>0</v>
      </c>
      <c r="CP385" s="171">
        <f t="shared" si="570"/>
        <v>0</v>
      </c>
      <c r="CQ385" s="171">
        <f t="shared" si="571"/>
        <v>0</v>
      </c>
      <c r="CR385" s="171">
        <f t="shared" si="572"/>
        <v>0</v>
      </c>
      <c r="CS385" s="171">
        <f t="shared" si="573"/>
        <v>0</v>
      </c>
      <c r="CT385" s="171">
        <f t="shared" si="574"/>
        <v>0</v>
      </c>
      <c r="CU385" s="171">
        <f t="shared" si="575"/>
        <v>0</v>
      </c>
      <c r="CV385" s="171">
        <f t="shared" si="576"/>
        <v>0</v>
      </c>
      <c r="CW385" s="171">
        <f t="shared" si="577"/>
        <v>0</v>
      </c>
      <c r="CX385" s="171">
        <f t="shared" si="578"/>
        <v>0</v>
      </c>
      <c r="CY385" s="171">
        <f t="shared" ca="1" si="579"/>
        <v>0</v>
      </c>
      <c r="CZ385" s="171">
        <f t="shared" ca="1" si="580"/>
        <v>0</v>
      </c>
      <c r="DA385" s="171">
        <f t="shared" ca="1" si="581"/>
        <v>0</v>
      </c>
      <c r="DB385" s="171">
        <f t="shared" ca="1" si="582"/>
        <v>0</v>
      </c>
      <c r="DC385" s="171">
        <f t="shared" ca="1" si="583"/>
        <v>0</v>
      </c>
      <c r="DD385" s="171">
        <f t="shared" ca="1" si="584"/>
        <v>0</v>
      </c>
      <c r="DE385" s="171">
        <f t="shared" ca="1" si="585"/>
        <v>0</v>
      </c>
      <c r="DF385" s="171">
        <f t="shared" ca="1" si="586"/>
        <v>0</v>
      </c>
      <c r="DG385" s="171">
        <f t="shared" ca="1" si="587"/>
        <v>0</v>
      </c>
      <c r="DH385" s="171">
        <f t="shared" ca="1" si="588"/>
        <v>0</v>
      </c>
      <c r="DI385" s="171">
        <f t="shared" ca="1" si="589"/>
        <v>0</v>
      </c>
      <c r="DJ385" s="171">
        <f t="shared" ca="1" si="590"/>
        <v>0</v>
      </c>
      <c r="DK385" s="171">
        <f t="shared" ca="1" si="591"/>
        <v>0</v>
      </c>
      <c r="DL385" s="171">
        <f t="shared" ca="1" si="592"/>
        <v>0</v>
      </c>
      <c r="DM385" s="171">
        <f t="shared" ca="1" si="593"/>
        <v>0</v>
      </c>
      <c r="DN385" s="171">
        <f t="shared" ca="1" si="594"/>
        <v>0</v>
      </c>
      <c r="DO385" s="171">
        <f t="shared" ca="1" si="595"/>
        <v>0</v>
      </c>
      <c r="DP385" s="171">
        <f t="shared" ca="1" si="596"/>
        <v>0</v>
      </c>
      <c r="DQ385" s="171">
        <f t="shared" ca="1" si="597"/>
        <v>0</v>
      </c>
      <c r="DR385" s="171">
        <f t="shared" ca="1" si="598"/>
        <v>0</v>
      </c>
      <c r="DS385" s="171">
        <f t="shared" ca="1" si="599"/>
        <v>0</v>
      </c>
      <c r="DT385" s="171">
        <f t="shared" ca="1" si="600"/>
        <v>0</v>
      </c>
      <c r="DU385" s="171">
        <f t="shared" ca="1" si="601"/>
        <v>0</v>
      </c>
      <c r="DV385" s="171">
        <f t="shared" ca="1" si="602"/>
        <v>0</v>
      </c>
      <c r="DW385" s="171">
        <f t="shared" ca="1" si="603"/>
        <v>0</v>
      </c>
      <c r="DX385" s="171">
        <f t="shared" ca="1" si="604"/>
        <v>0</v>
      </c>
      <c r="DY385" s="171">
        <f t="shared" ca="1" si="605"/>
        <v>0</v>
      </c>
      <c r="DZ385" s="171">
        <f t="shared" ca="1" si="606"/>
        <v>0</v>
      </c>
      <c r="EA385" s="171">
        <f t="shared" ca="1" si="607"/>
        <v>0</v>
      </c>
      <c r="EB385" s="171">
        <f t="shared" ca="1" si="608"/>
        <v>0</v>
      </c>
      <c r="EC385" s="171">
        <f t="shared" ca="1" si="609"/>
        <v>0</v>
      </c>
      <c r="ED385" s="171">
        <f t="shared" ca="1" si="610"/>
        <v>0</v>
      </c>
      <c r="EE385" s="171">
        <f t="shared" ca="1" si="611"/>
        <v>0</v>
      </c>
      <c r="EF385" s="171">
        <f t="shared" ca="1" si="612"/>
        <v>0</v>
      </c>
      <c r="EG385" s="171">
        <f t="shared" ca="1" si="613"/>
        <v>0</v>
      </c>
      <c r="EH385" s="171">
        <f t="shared" ca="1" si="614"/>
        <v>0</v>
      </c>
      <c r="EI385" s="171">
        <f t="shared" ca="1" si="615"/>
        <v>0</v>
      </c>
      <c r="EJ385" s="171">
        <f t="shared" ca="1" si="616"/>
        <v>0</v>
      </c>
      <c r="EK385" s="171">
        <f t="shared" ca="1" si="617"/>
        <v>0</v>
      </c>
      <c r="EL385" s="171">
        <f t="shared" ca="1" si="618"/>
        <v>0</v>
      </c>
      <c r="EM385" s="171">
        <f t="shared" ca="1" si="619"/>
        <v>0</v>
      </c>
      <c r="EN385" s="171">
        <f t="shared" ca="1" si="620"/>
        <v>0</v>
      </c>
      <c r="EO385" s="171">
        <f t="shared" ca="1" si="621"/>
        <v>0</v>
      </c>
      <c r="EP385" s="171">
        <f t="shared" ca="1" si="622"/>
        <v>0</v>
      </c>
      <c r="EQ385" s="171">
        <f t="shared" ca="1" si="623"/>
        <v>0</v>
      </c>
      <c r="ER385" s="171">
        <f t="shared" ca="1" si="624"/>
        <v>0</v>
      </c>
      <c r="ES385" s="171">
        <f t="shared" ca="1" si="625"/>
        <v>0</v>
      </c>
    </row>
    <row r="386" spans="3:149">
      <c r="C386" s="214"/>
      <c r="L386" s="163"/>
      <c r="M386" s="164" t="str">
        <f t="shared" si="550"/>
        <v/>
      </c>
      <c r="N386" s="164" t="str">
        <f t="shared" si="551"/>
        <v/>
      </c>
      <c r="O386" s="165" t="str">
        <f t="shared" si="552"/>
        <v/>
      </c>
      <c r="R386" s="168"/>
      <c r="U386" s="171">
        <f t="shared" si="553"/>
        <v>0</v>
      </c>
      <c r="V386" s="171">
        <f t="shared" ca="1" si="554"/>
        <v>0</v>
      </c>
      <c r="W386" s="171">
        <f t="shared" ca="1" si="555"/>
        <v>0</v>
      </c>
      <c r="X386" s="172">
        <f t="shared" si="556"/>
        <v>0</v>
      </c>
      <c r="Y386" s="172" t="str">
        <f t="shared" si="557"/>
        <v/>
      </c>
      <c r="Z386" s="173">
        <f t="shared" si="558"/>
        <v>0</v>
      </c>
      <c r="AA386" s="171">
        <f t="shared" si="626"/>
        <v>0</v>
      </c>
      <c r="AB386" s="171">
        <f t="shared" si="626"/>
        <v>0</v>
      </c>
      <c r="AC386" s="171">
        <f t="shared" si="626"/>
        <v>0</v>
      </c>
      <c r="AD386" s="171">
        <f t="shared" si="626"/>
        <v>0</v>
      </c>
      <c r="AE386" s="171">
        <f t="shared" si="626"/>
        <v>0</v>
      </c>
      <c r="AF386" s="171">
        <f t="shared" si="626"/>
        <v>0</v>
      </c>
      <c r="AG386" s="171">
        <f t="shared" si="626"/>
        <v>0</v>
      </c>
      <c r="AH386" s="171">
        <f t="shared" si="626"/>
        <v>0</v>
      </c>
      <c r="AI386" s="171">
        <f t="shared" si="626"/>
        <v>0</v>
      </c>
      <c r="AJ386" s="171">
        <f t="shared" si="626"/>
        <v>0</v>
      </c>
      <c r="AK386" s="171">
        <f t="shared" si="627"/>
        <v>0</v>
      </c>
      <c r="AL386" s="171">
        <f t="shared" si="627"/>
        <v>0</v>
      </c>
      <c r="AM386" s="171">
        <f t="shared" si="627"/>
        <v>0</v>
      </c>
      <c r="AN386" s="171">
        <f t="shared" si="627"/>
        <v>0</v>
      </c>
      <c r="AO386" s="171">
        <f t="shared" si="627"/>
        <v>0</v>
      </c>
      <c r="AP386" s="171">
        <f t="shared" si="627"/>
        <v>0</v>
      </c>
      <c r="AQ386" s="171">
        <f t="shared" si="627"/>
        <v>0</v>
      </c>
      <c r="AR386" s="171">
        <f t="shared" si="627"/>
        <v>0</v>
      </c>
      <c r="AS386" s="171">
        <f t="shared" si="627"/>
        <v>0</v>
      </c>
      <c r="AT386" s="171">
        <f t="shared" si="627"/>
        <v>0</v>
      </c>
      <c r="AU386" s="171">
        <f t="shared" si="628"/>
        <v>0</v>
      </c>
      <c r="AV386" s="171">
        <f t="shared" si="628"/>
        <v>0</v>
      </c>
      <c r="AW386" s="171">
        <f t="shared" si="628"/>
        <v>0</v>
      </c>
      <c r="AX386" s="171">
        <f t="shared" si="628"/>
        <v>0</v>
      </c>
      <c r="AY386" s="171">
        <f t="shared" si="628"/>
        <v>0</v>
      </c>
      <c r="AZ386" s="171">
        <f t="shared" si="628"/>
        <v>0</v>
      </c>
      <c r="BA386" s="171">
        <f t="shared" si="628"/>
        <v>0</v>
      </c>
      <c r="BB386" s="171">
        <f t="shared" si="628"/>
        <v>0</v>
      </c>
      <c r="BC386" s="171">
        <f t="shared" si="628"/>
        <v>0</v>
      </c>
      <c r="BD386" s="171">
        <f t="shared" si="628"/>
        <v>0</v>
      </c>
      <c r="BE386" s="171">
        <f t="shared" si="629"/>
        <v>0</v>
      </c>
      <c r="BF386" s="171">
        <f t="shared" si="629"/>
        <v>0</v>
      </c>
      <c r="BG386" s="171">
        <f t="shared" si="629"/>
        <v>0</v>
      </c>
      <c r="BH386" s="171">
        <f t="shared" si="629"/>
        <v>0</v>
      </c>
      <c r="BI386" s="171">
        <f t="shared" si="629"/>
        <v>0</v>
      </c>
      <c r="BJ386" s="171">
        <f t="shared" si="629"/>
        <v>0</v>
      </c>
      <c r="BK386" s="171">
        <f t="shared" si="629"/>
        <v>0</v>
      </c>
      <c r="BL386" s="171">
        <f t="shared" si="629"/>
        <v>0</v>
      </c>
      <c r="BM386" s="171">
        <f t="shared" si="629"/>
        <v>0</v>
      </c>
      <c r="BN386" s="171">
        <f t="shared" si="629"/>
        <v>0</v>
      </c>
      <c r="BO386" s="171">
        <f t="shared" si="630"/>
        <v>0</v>
      </c>
      <c r="BP386" s="171">
        <f t="shared" si="630"/>
        <v>0</v>
      </c>
      <c r="BQ386" s="171">
        <f t="shared" si="630"/>
        <v>0</v>
      </c>
      <c r="BR386" s="171">
        <f t="shared" si="630"/>
        <v>0</v>
      </c>
      <c r="BS386" s="171">
        <f t="shared" si="630"/>
        <v>0</v>
      </c>
      <c r="BT386" s="171">
        <f t="shared" si="630"/>
        <v>0</v>
      </c>
      <c r="BU386" s="171">
        <f t="shared" si="630"/>
        <v>0</v>
      </c>
      <c r="BV386" s="171">
        <f t="shared" si="630"/>
        <v>0</v>
      </c>
      <c r="BW386" s="171">
        <f t="shared" si="630"/>
        <v>0</v>
      </c>
      <c r="BX386" s="171">
        <f t="shared" si="630"/>
        <v>0</v>
      </c>
      <c r="BY386" s="171">
        <f t="shared" si="631"/>
        <v>0</v>
      </c>
      <c r="BZ386" s="171">
        <f t="shared" si="631"/>
        <v>0</v>
      </c>
      <c r="CA386" s="171">
        <f t="shared" si="631"/>
        <v>0</v>
      </c>
      <c r="CB386" s="171">
        <f t="shared" si="631"/>
        <v>0</v>
      </c>
      <c r="CC386" s="171">
        <f t="shared" si="631"/>
        <v>0</v>
      </c>
      <c r="CD386" s="171">
        <f t="shared" si="631"/>
        <v>0</v>
      </c>
      <c r="CE386" s="171">
        <f t="shared" si="631"/>
        <v>0</v>
      </c>
      <c r="CF386" s="171">
        <f t="shared" si="631"/>
        <v>0</v>
      </c>
      <c r="CG386" s="171">
        <f t="shared" si="631"/>
        <v>0</v>
      </c>
      <c r="CH386" s="171">
        <f t="shared" si="631"/>
        <v>0</v>
      </c>
      <c r="CI386" s="171">
        <f t="shared" si="631"/>
        <v>0</v>
      </c>
      <c r="CJ386" s="243"/>
      <c r="CK386" s="171">
        <f t="shared" si="565"/>
        <v>0</v>
      </c>
      <c r="CL386" s="171">
        <f t="shared" si="566"/>
        <v>0</v>
      </c>
      <c r="CM386" s="171">
        <f t="shared" si="567"/>
        <v>0</v>
      </c>
      <c r="CN386" s="171">
        <f t="shared" si="568"/>
        <v>0</v>
      </c>
      <c r="CO386" s="171">
        <f t="shared" si="569"/>
        <v>0</v>
      </c>
      <c r="CP386" s="171">
        <f t="shared" si="570"/>
        <v>0</v>
      </c>
      <c r="CQ386" s="171">
        <f t="shared" si="571"/>
        <v>0</v>
      </c>
      <c r="CR386" s="171">
        <f t="shared" si="572"/>
        <v>0</v>
      </c>
      <c r="CS386" s="171">
        <f t="shared" si="573"/>
        <v>0</v>
      </c>
      <c r="CT386" s="171">
        <f t="shared" si="574"/>
        <v>0</v>
      </c>
      <c r="CU386" s="171">
        <f t="shared" si="575"/>
        <v>0</v>
      </c>
      <c r="CV386" s="171">
        <f t="shared" si="576"/>
        <v>0</v>
      </c>
      <c r="CW386" s="171">
        <f t="shared" si="577"/>
        <v>0</v>
      </c>
      <c r="CX386" s="171">
        <f t="shared" si="578"/>
        <v>0</v>
      </c>
      <c r="CY386" s="171">
        <f t="shared" ca="1" si="579"/>
        <v>0</v>
      </c>
      <c r="CZ386" s="171">
        <f t="shared" ca="1" si="580"/>
        <v>0</v>
      </c>
      <c r="DA386" s="171">
        <f t="shared" ca="1" si="581"/>
        <v>0</v>
      </c>
      <c r="DB386" s="171">
        <f t="shared" ca="1" si="582"/>
        <v>0</v>
      </c>
      <c r="DC386" s="171">
        <f t="shared" ca="1" si="583"/>
        <v>0</v>
      </c>
      <c r="DD386" s="171">
        <f t="shared" ca="1" si="584"/>
        <v>0</v>
      </c>
      <c r="DE386" s="171">
        <f t="shared" ca="1" si="585"/>
        <v>0</v>
      </c>
      <c r="DF386" s="171">
        <f t="shared" ca="1" si="586"/>
        <v>0</v>
      </c>
      <c r="DG386" s="171">
        <f t="shared" ca="1" si="587"/>
        <v>0</v>
      </c>
      <c r="DH386" s="171">
        <f t="shared" ca="1" si="588"/>
        <v>0</v>
      </c>
      <c r="DI386" s="171">
        <f t="shared" ca="1" si="589"/>
        <v>0</v>
      </c>
      <c r="DJ386" s="171">
        <f t="shared" ca="1" si="590"/>
        <v>0</v>
      </c>
      <c r="DK386" s="171">
        <f t="shared" ca="1" si="591"/>
        <v>0</v>
      </c>
      <c r="DL386" s="171">
        <f t="shared" ca="1" si="592"/>
        <v>0</v>
      </c>
      <c r="DM386" s="171">
        <f t="shared" ca="1" si="593"/>
        <v>0</v>
      </c>
      <c r="DN386" s="171">
        <f t="shared" ca="1" si="594"/>
        <v>0</v>
      </c>
      <c r="DO386" s="171">
        <f t="shared" ca="1" si="595"/>
        <v>0</v>
      </c>
      <c r="DP386" s="171">
        <f t="shared" ca="1" si="596"/>
        <v>0</v>
      </c>
      <c r="DQ386" s="171">
        <f t="shared" ca="1" si="597"/>
        <v>0</v>
      </c>
      <c r="DR386" s="171">
        <f t="shared" ca="1" si="598"/>
        <v>0</v>
      </c>
      <c r="DS386" s="171">
        <f t="shared" ca="1" si="599"/>
        <v>0</v>
      </c>
      <c r="DT386" s="171">
        <f t="shared" ca="1" si="600"/>
        <v>0</v>
      </c>
      <c r="DU386" s="171">
        <f t="shared" ca="1" si="601"/>
        <v>0</v>
      </c>
      <c r="DV386" s="171">
        <f t="shared" ca="1" si="602"/>
        <v>0</v>
      </c>
      <c r="DW386" s="171">
        <f t="shared" ca="1" si="603"/>
        <v>0</v>
      </c>
      <c r="DX386" s="171">
        <f t="shared" ca="1" si="604"/>
        <v>0</v>
      </c>
      <c r="DY386" s="171">
        <f t="shared" ca="1" si="605"/>
        <v>0</v>
      </c>
      <c r="DZ386" s="171">
        <f t="shared" ca="1" si="606"/>
        <v>0</v>
      </c>
      <c r="EA386" s="171">
        <f t="shared" ca="1" si="607"/>
        <v>0</v>
      </c>
      <c r="EB386" s="171">
        <f t="shared" ca="1" si="608"/>
        <v>0</v>
      </c>
      <c r="EC386" s="171">
        <f t="shared" ca="1" si="609"/>
        <v>0</v>
      </c>
      <c r="ED386" s="171">
        <f t="shared" ca="1" si="610"/>
        <v>0</v>
      </c>
      <c r="EE386" s="171">
        <f t="shared" ca="1" si="611"/>
        <v>0</v>
      </c>
      <c r="EF386" s="171">
        <f t="shared" ca="1" si="612"/>
        <v>0</v>
      </c>
      <c r="EG386" s="171">
        <f t="shared" ca="1" si="613"/>
        <v>0</v>
      </c>
      <c r="EH386" s="171">
        <f t="shared" ca="1" si="614"/>
        <v>0</v>
      </c>
      <c r="EI386" s="171">
        <f t="shared" ca="1" si="615"/>
        <v>0</v>
      </c>
      <c r="EJ386" s="171">
        <f t="shared" ca="1" si="616"/>
        <v>0</v>
      </c>
      <c r="EK386" s="171">
        <f t="shared" ca="1" si="617"/>
        <v>0</v>
      </c>
      <c r="EL386" s="171">
        <f t="shared" ca="1" si="618"/>
        <v>0</v>
      </c>
      <c r="EM386" s="171">
        <f t="shared" ca="1" si="619"/>
        <v>0</v>
      </c>
      <c r="EN386" s="171">
        <f t="shared" ca="1" si="620"/>
        <v>0</v>
      </c>
      <c r="EO386" s="171">
        <f t="shared" ca="1" si="621"/>
        <v>0</v>
      </c>
      <c r="EP386" s="171">
        <f t="shared" ca="1" si="622"/>
        <v>0</v>
      </c>
      <c r="EQ386" s="171">
        <f t="shared" ca="1" si="623"/>
        <v>0</v>
      </c>
      <c r="ER386" s="171">
        <f t="shared" ca="1" si="624"/>
        <v>0</v>
      </c>
      <c r="ES386" s="171">
        <f t="shared" ca="1" si="625"/>
        <v>0</v>
      </c>
    </row>
    <row r="387" spans="3:149">
      <c r="C387" s="214"/>
      <c r="L387" s="163"/>
      <c r="M387" s="164" t="str">
        <f t="shared" si="550"/>
        <v/>
      </c>
      <c r="N387" s="164" t="str">
        <f t="shared" si="551"/>
        <v/>
      </c>
      <c r="O387" s="165" t="str">
        <f t="shared" si="552"/>
        <v/>
      </c>
      <c r="R387" s="168"/>
      <c r="U387" s="171">
        <f t="shared" si="553"/>
        <v>0</v>
      </c>
      <c r="V387" s="171">
        <f t="shared" ca="1" si="554"/>
        <v>0</v>
      </c>
      <c r="W387" s="171">
        <f t="shared" ca="1" si="555"/>
        <v>0</v>
      </c>
      <c r="X387" s="172">
        <f t="shared" si="556"/>
        <v>0</v>
      </c>
      <c r="Y387" s="172" t="str">
        <f t="shared" si="557"/>
        <v/>
      </c>
      <c r="Z387" s="173">
        <f t="shared" si="558"/>
        <v>0</v>
      </c>
      <c r="AA387" s="171">
        <f t="shared" si="626"/>
        <v>0</v>
      </c>
      <c r="AB387" s="171">
        <f t="shared" si="626"/>
        <v>0</v>
      </c>
      <c r="AC387" s="171">
        <f t="shared" si="626"/>
        <v>0</v>
      </c>
      <c r="AD387" s="171">
        <f t="shared" si="626"/>
        <v>0</v>
      </c>
      <c r="AE387" s="171">
        <f t="shared" si="626"/>
        <v>0</v>
      </c>
      <c r="AF387" s="171">
        <f t="shared" si="626"/>
        <v>0</v>
      </c>
      <c r="AG387" s="171">
        <f t="shared" si="626"/>
        <v>0</v>
      </c>
      <c r="AH387" s="171">
        <f t="shared" si="626"/>
        <v>0</v>
      </c>
      <c r="AI387" s="171">
        <f t="shared" si="626"/>
        <v>0</v>
      </c>
      <c r="AJ387" s="171">
        <f t="shared" si="626"/>
        <v>0</v>
      </c>
      <c r="AK387" s="171">
        <f t="shared" si="627"/>
        <v>0</v>
      </c>
      <c r="AL387" s="171">
        <f t="shared" si="627"/>
        <v>0</v>
      </c>
      <c r="AM387" s="171">
        <f t="shared" si="627"/>
        <v>0</v>
      </c>
      <c r="AN387" s="171">
        <f t="shared" si="627"/>
        <v>0</v>
      </c>
      <c r="AO387" s="171">
        <f t="shared" si="627"/>
        <v>0</v>
      </c>
      <c r="AP387" s="171">
        <f t="shared" si="627"/>
        <v>0</v>
      </c>
      <c r="AQ387" s="171">
        <f t="shared" si="627"/>
        <v>0</v>
      </c>
      <c r="AR387" s="171">
        <f t="shared" si="627"/>
        <v>0</v>
      </c>
      <c r="AS387" s="171">
        <f t="shared" si="627"/>
        <v>0</v>
      </c>
      <c r="AT387" s="171">
        <f t="shared" si="627"/>
        <v>0</v>
      </c>
      <c r="AU387" s="171">
        <f t="shared" si="628"/>
        <v>0</v>
      </c>
      <c r="AV387" s="171">
        <f t="shared" si="628"/>
        <v>0</v>
      </c>
      <c r="AW387" s="171">
        <f t="shared" si="628"/>
        <v>0</v>
      </c>
      <c r="AX387" s="171">
        <f t="shared" si="628"/>
        <v>0</v>
      </c>
      <c r="AY387" s="171">
        <f t="shared" si="628"/>
        <v>0</v>
      </c>
      <c r="AZ387" s="171">
        <f t="shared" si="628"/>
        <v>0</v>
      </c>
      <c r="BA387" s="171">
        <f t="shared" si="628"/>
        <v>0</v>
      </c>
      <c r="BB387" s="171">
        <f t="shared" si="628"/>
        <v>0</v>
      </c>
      <c r="BC387" s="171">
        <f t="shared" si="628"/>
        <v>0</v>
      </c>
      <c r="BD387" s="171">
        <f t="shared" si="628"/>
        <v>0</v>
      </c>
      <c r="BE387" s="171">
        <f t="shared" si="629"/>
        <v>0</v>
      </c>
      <c r="BF387" s="171">
        <f t="shared" si="629"/>
        <v>0</v>
      </c>
      <c r="BG387" s="171">
        <f t="shared" si="629"/>
        <v>0</v>
      </c>
      <c r="BH387" s="171">
        <f t="shared" si="629"/>
        <v>0</v>
      </c>
      <c r="BI387" s="171">
        <f t="shared" si="629"/>
        <v>0</v>
      </c>
      <c r="BJ387" s="171">
        <f t="shared" si="629"/>
        <v>0</v>
      </c>
      <c r="BK387" s="171">
        <f t="shared" si="629"/>
        <v>0</v>
      </c>
      <c r="BL387" s="171">
        <f t="shared" si="629"/>
        <v>0</v>
      </c>
      <c r="BM387" s="171">
        <f t="shared" si="629"/>
        <v>0</v>
      </c>
      <c r="BN387" s="171">
        <f t="shared" si="629"/>
        <v>0</v>
      </c>
      <c r="BO387" s="171">
        <f t="shared" si="630"/>
        <v>0</v>
      </c>
      <c r="BP387" s="171">
        <f t="shared" si="630"/>
        <v>0</v>
      </c>
      <c r="BQ387" s="171">
        <f t="shared" si="630"/>
        <v>0</v>
      </c>
      <c r="BR387" s="171">
        <f t="shared" si="630"/>
        <v>0</v>
      </c>
      <c r="BS387" s="171">
        <f t="shared" si="630"/>
        <v>0</v>
      </c>
      <c r="BT387" s="171">
        <f t="shared" si="630"/>
        <v>0</v>
      </c>
      <c r="BU387" s="171">
        <f t="shared" si="630"/>
        <v>0</v>
      </c>
      <c r="BV387" s="171">
        <f t="shared" si="630"/>
        <v>0</v>
      </c>
      <c r="BW387" s="171">
        <f t="shared" si="630"/>
        <v>0</v>
      </c>
      <c r="BX387" s="171">
        <f t="shared" si="630"/>
        <v>0</v>
      </c>
      <c r="BY387" s="171">
        <f t="shared" si="631"/>
        <v>0</v>
      </c>
      <c r="BZ387" s="171">
        <f t="shared" si="631"/>
        <v>0</v>
      </c>
      <c r="CA387" s="171">
        <f t="shared" si="631"/>
        <v>0</v>
      </c>
      <c r="CB387" s="171">
        <f t="shared" si="631"/>
        <v>0</v>
      </c>
      <c r="CC387" s="171">
        <f t="shared" si="631"/>
        <v>0</v>
      </c>
      <c r="CD387" s="171">
        <f t="shared" si="631"/>
        <v>0</v>
      </c>
      <c r="CE387" s="171">
        <f t="shared" si="631"/>
        <v>0</v>
      </c>
      <c r="CF387" s="171">
        <f t="shared" si="631"/>
        <v>0</v>
      </c>
      <c r="CG387" s="171">
        <f t="shared" si="631"/>
        <v>0</v>
      </c>
      <c r="CH387" s="171">
        <f t="shared" si="631"/>
        <v>0</v>
      </c>
      <c r="CI387" s="171">
        <f t="shared" si="631"/>
        <v>0</v>
      </c>
      <c r="CJ387" s="243"/>
      <c r="CK387" s="171">
        <f t="shared" si="565"/>
        <v>0</v>
      </c>
      <c r="CL387" s="171">
        <f t="shared" si="566"/>
        <v>0</v>
      </c>
      <c r="CM387" s="171">
        <f t="shared" si="567"/>
        <v>0</v>
      </c>
      <c r="CN387" s="171">
        <f t="shared" si="568"/>
        <v>0</v>
      </c>
      <c r="CO387" s="171">
        <f t="shared" si="569"/>
        <v>0</v>
      </c>
      <c r="CP387" s="171">
        <f t="shared" si="570"/>
        <v>0</v>
      </c>
      <c r="CQ387" s="171">
        <f t="shared" si="571"/>
        <v>0</v>
      </c>
      <c r="CR387" s="171">
        <f t="shared" si="572"/>
        <v>0</v>
      </c>
      <c r="CS387" s="171">
        <f t="shared" si="573"/>
        <v>0</v>
      </c>
      <c r="CT387" s="171">
        <f t="shared" si="574"/>
        <v>0</v>
      </c>
      <c r="CU387" s="171">
        <f t="shared" si="575"/>
        <v>0</v>
      </c>
      <c r="CV387" s="171">
        <f t="shared" si="576"/>
        <v>0</v>
      </c>
      <c r="CW387" s="171">
        <f t="shared" si="577"/>
        <v>0</v>
      </c>
      <c r="CX387" s="171">
        <f t="shared" si="578"/>
        <v>0</v>
      </c>
      <c r="CY387" s="171">
        <f t="shared" ca="1" si="579"/>
        <v>0</v>
      </c>
      <c r="CZ387" s="171">
        <f t="shared" ca="1" si="580"/>
        <v>0</v>
      </c>
      <c r="DA387" s="171">
        <f t="shared" ca="1" si="581"/>
        <v>0</v>
      </c>
      <c r="DB387" s="171">
        <f t="shared" ca="1" si="582"/>
        <v>0</v>
      </c>
      <c r="DC387" s="171">
        <f t="shared" ca="1" si="583"/>
        <v>0</v>
      </c>
      <c r="DD387" s="171">
        <f t="shared" ca="1" si="584"/>
        <v>0</v>
      </c>
      <c r="DE387" s="171">
        <f t="shared" ca="1" si="585"/>
        <v>0</v>
      </c>
      <c r="DF387" s="171">
        <f t="shared" ca="1" si="586"/>
        <v>0</v>
      </c>
      <c r="DG387" s="171">
        <f t="shared" ca="1" si="587"/>
        <v>0</v>
      </c>
      <c r="DH387" s="171">
        <f t="shared" ca="1" si="588"/>
        <v>0</v>
      </c>
      <c r="DI387" s="171">
        <f t="shared" ca="1" si="589"/>
        <v>0</v>
      </c>
      <c r="DJ387" s="171">
        <f t="shared" ca="1" si="590"/>
        <v>0</v>
      </c>
      <c r="DK387" s="171">
        <f t="shared" ca="1" si="591"/>
        <v>0</v>
      </c>
      <c r="DL387" s="171">
        <f t="shared" ca="1" si="592"/>
        <v>0</v>
      </c>
      <c r="DM387" s="171">
        <f t="shared" ca="1" si="593"/>
        <v>0</v>
      </c>
      <c r="DN387" s="171">
        <f t="shared" ca="1" si="594"/>
        <v>0</v>
      </c>
      <c r="DO387" s="171">
        <f t="shared" ca="1" si="595"/>
        <v>0</v>
      </c>
      <c r="DP387" s="171">
        <f t="shared" ca="1" si="596"/>
        <v>0</v>
      </c>
      <c r="DQ387" s="171">
        <f t="shared" ca="1" si="597"/>
        <v>0</v>
      </c>
      <c r="DR387" s="171">
        <f t="shared" ca="1" si="598"/>
        <v>0</v>
      </c>
      <c r="DS387" s="171">
        <f t="shared" ca="1" si="599"/>
        <v>0</v>
      </c>
      <c r="DT387" s="171">
        <f t="shared" ca="1" si="600"/>
        <v>0</v>
      </c>
      <c r="DU387" s="171">
        <f t="shared" ca="1" si="601"/>
        <v>0</v>
      </c>
      <c r="DV387" s="171">
        <f t="shared" ca="1" si="602"/>
        <v>0</v>
      </c>
      <c r="DW387" s="171">
        <f t="shared" ca="1" si="603"/>
        <v>0</v>
      </c>
      <c r="DX387" s="171">
        <f t="shared" ca="1" si="604"/>
        <v>0</v>
      </c>
      <c r="DY387" s="171">
        <f t="shared" ca="1" si="605"/>
        <v>0</v>
      </c>
      <c r="DZ387" s="171">
        <f t="shared" ca="1" si="606"/>
        <v>0</v>
      </c>
      <c r="EA387" s="171">
        <f t="shared" ca="1" si="607"/>
        <v>0</v>
      </c>
      <c r="EB387" s="171">
        <f t="shared" ca="1" si="608"/>
        <v>0</v>
      </c>
      <c r="EC387" s="171">
        <f t="shared" ca="1" si="609"/>
        <v>0</v>
      </c>
      <c r="ED387" s="171">
        <f t="shared" ca="1" si="610"/>
        <v>0</v>
      </c>
      <c r="EE387" s="171">
        <f t="shared" ca="1" si="611"/>
        <v>0</v>
      </c>
      <c r="EF387" s="171">
        <f t="shared" ca="1" si="612"/>
        <v>0</v>
      </c>
      <c r="EG387" s="171">
        <f t="shared" ca="1" si="613"/>
        <v>0</v>
      </c>
      <c r="EH387" s="171">
        <f t="shared" ca="1" si="614"/>
        <v>0</v>
      </c>
      <c r="EI387" s="171">
        <f t="shared" ca="1" si="615"/>
        <v>0</v>
      </c>
      <c r="EJ387" s="171">
        <f t="shared" ca="1" si="616"/>
        <v>0</v>
      </c>
      <c r="EK387" s="171">
        <f t="shared" ca="1" si="617"/>
        <v>0</v>
      </c>
      <c r="EL387" s="171">
        <f t="shared" ca="1" si="618"/>
        <v>0</v>
      </c>
      <c r="EM387" s="171">
        <f t="shared" ca="1" si="619"/>
        <v>0</v>
      </c>
      <c r="EN387" s="171">
        <f t="shared" ca="1" si="620"/>
        <v>0</v>
      </c>
      <c r="EO387" s="171">
        <f t="shared" ca="1" si="621"/>
        <v>0</v>
      </c>
      <c r="EP387" s="171">
        <f t="shared" ca="1" si="622"/>
        <v>0</v>
      </c>
      <c r="EQ387" s="171">
        <f t="shared" ca="1" si="623"/>
        <v>0</v>
      </c>
      <c r="ER387" s="171">
        <f t="shared" ca="1" si="624"/>
        <v>0</v>
      </c>
      <c r="ES387" s="171">
        <f t="shared" ca="1" si="625"/>
        <v>0</v>
      </c>
    </row>
    <row r="388" spans="3:149">
      <c r="C388" s="214"/>
      <c r="L388" s="163"/>
      <c r="M388" s="164" t="str">
        <f t="shared" si="550"/>
        <v/>
      </c>
      <c r="N388" s="164" t="str">
        <f t="shared" si="551"/>
        <v/>
      </c>
      <c r="O388" s="165" t="str">
        <f t="shared" si="552"/>
        <v/>
      </c>
      <c r="R388" s="168"/>
      <c r="U388" s="171">
        <f t="shared" si="553"/>
        <v>0</v>
      </c>
      <c r="V388" s="171">
        <f t="shared" ca="1" si="554"/>
        <v>0</v>
      </c>
      <c r="W388" s="171">
        <f t="shared" ca="1" si="555"/>
        <v>0</v>
      </c>
      <c r="X388" s="172">
        <f t="shared" si="556"/>
        <v>0</v>
      </c>
      <c r="Y388" s="172" t="str">
        <f t="shared" si="557"/>
        <v/>
      </c>
      <c r="Z388" s="173">
        <f t="shared" si="558"/>
        <v>0</v>
      </c>
      <c r="AA388" s="171">
        <f t="shared" si="626"/>
        <v>0</v>
      </c>
      <c r="AB388" s="171">
        <f t="shared" si="626"/>
        <v>0</v>
      </c>
      <c r="AC388" s="171">
        <f t="shared" si="626"/>
        <v>0</v>
      </c>
      <c r="AD388" s="171">
        <f t="shared" si="626"/>
        <v>0</v>
      </c>
      <c r="AE388" s="171">
        <f t="shared" si="626"/>
        <v>0</v>
      </c>
      <c r="AF388" s="171">
        <f t="shared" si="626"/>
        <v>0</v>
      </c>
      <c r="AG388" s="171">
        <f t="shared" si="626"/>
        <v>0</v>
      </c>
      <c r="AH388" s="171">
        <f t="shared" si="626"/>
        <v>0</v>
      </c>
      <c r="AI388" s="171">
        <f t="shared" si="626"/>
        <v>0</v>
      </c>
      <c r="AJ388" s="171">
        <f t="shared" si="626"/>
        <v>0</v>
      </c>
      <c r="AK388" s="171">
        <f t="shared" si="627"/>
        <v>0</v>
      </c>
      <c r="AL388" s="171">
        <f t="shared" si="627"/>
        <v>0</v>
      </c>
      <c r="AM388" s="171">
        <f t="shared" si="627"/>
        <v>0</v>
      </c>
      <c r="AN388" s="171">
        <f t="shared" si="627"/>
        <v>0</v>
      </c>
      <c r="AO388" s="171">
        <f t="shared" si="627"/>
        <v>0</v>
      </c>
      <c r="AP388" s="171">
        <f t="shared" si="627"/>
        <v>0</v>
      </c>
      <c r="AQ388" s="171">
        <f t="shared" si="627"/>
        <v>0</v>
      </c>
      <c r="AR388" s="171">
        <f t="shared" si="627"/>
        <v>0</v>
      </c>
      <c r="AS388" s="171">
        <f t="shared" si="627"/>
        <v>0</v>
      </c>
      <c r="AT388" s="171">
        <f t="shared" si="627"/>
        <v>0</v>
      </c>
      <c r="AU388" s="171">
        <f t="shared" si="628"/>
        <v>0</v>
      </c>
      <c r="AV388" s="171">
        <f t="shared" si="628"/>
        <v>0</v>
      </c>
      <c r="AW388" s="171">
        <f t="shared" si="628"/>
        <v>0</v>
      </c>
      <c r="AX388" s="171">
        <f t="shared" si="628"/>
        <v>0</v>
      </c>
      <c r="AY388" s="171">
        <f t="shared" si="628"/>
        <v>0</v>
      </c>
      <c r="AZ388" s="171">
        <f t="shared" si="628"/>
        <v>0</v>
      </c>
      <c r="BA388" s="171">
        <f t="shared" si="628"/>
        <v>0</v>
      </c>
      <c r="BB388" s="171">
        <f t="shared" si="628"/>
        <v>0</v>
      </c>
      <c r="BC388" s="171">
        <f t="shared" si="628"/>
        <v>0</v>
      </c>
      <c r="BD388" s="171">
        <f t="shared" si="628"/>
        <v>0</v>
      </c>
      <c r="BE388" s="171">
        <f t="shared" si="629"/>
        <v>0</v>
      </c>
      <c r="BF388" s="171">
        <f t="shared" si="629"/>
        <v>0</v>
      </c>
      <c r="BG388" s="171">
        <f t="shared" si="629"/>
        <v>0</v>
      </c>
      <c r="BH388" s="171">
        <f t="shared" si="629"/>
        <v>0</v>
      </c>
      <c r="BI388" s="171">
        <f t="shared" si="629"/>
        <v>0</v>
      </c>
      <c r="BJ388" s="171">
        <f t="shared" si="629"/>
        <v>0</v>
      </c>
      <c r="BK388" s="171">
        <f t="shared" si="629"/>
        <v>0</v>
      </c>
      <c r="BL388" s="171">
        <f t="shared" si="629"/>
        <v>0</v>
      </c>
      <c r="BM388" s="171">
        <f t="shared" si="629"/>
        <v>0</v>
      </c>
      <c r="BN388" s="171">
        <f t="shared" si="629"/>
        <v>0</v>
      </c>
      <c r="BO388" s="171">
        <f t="shared" si="630"/>
        <v>0</v>
      </c>
      <c r="BP388" s="171">
        <f t="shared" si="630"/>
        <v>0</v>
      </c>
      <c r="BQ388" s="171">
        <f t="shared" si="630"/>
        <v>0</v>
      </c>
      <c r="BR388" s="171">
        <f t="shared" si="630"/>
        <v>0</v>
      </c>
      <c r="BS388" s="171">
        <f t="shared" si="630"/>
        <v>0</v>
      </c>
      <c r="BT388" s="171">
        <f t="shared" si="630"/>
        <v>0</v>
      </c>
      <c r="BU388" s="171">
        <f t="shared" si="630"/>
        <v>0</v>
      </c>
      <c r="BV388" s="171">
        <f t="shared" si="630"/>
        <v>0</v>
      </c>
      <c r="BW388" s="171">
        <f t="shared" si="630"/>
        <v>0</v>
      </c>
      <c r="BX388" s="171">
        <f t="shared" si="630"/>
        <v>0</v>
      </c>
      <c r="BY388" s="171">
        <f t="shared" si="631"/>
        <v>0</v>
      </c>
      <c r="BZ388" s="171">
        <f t="shared" si="631"/>
        <v>0</v>
      </c>
      <c r="CA388" s="171">
        <f t="shared" si="631"/>
        <v>0</v>
      </c>
      <c r="CB388" s="171">
        <f t="shared" si="631"/>
        <v>0</v>
      </c>
      <c r="CC388" s="171">
        <f t="shared" si="631"/>
        <v>0</v>
      </c>
      <c r="CD388" s="171">
        <f t="shared" si="631"/>
        <v>0</v>
      </c>
      <c r="CE388" s="171">
        <f t="shared" si="631"/>
        <v>0</v>
      </c>
      <c r="CF388" s="171">
        <f t="shared" si="631"/>
        <v>0</v>
      </c>
      <c r="CG388" s="171">
        <f t="shared" si="631"/>
        <v>0</v>
      </c>
      <c r="CH388" s="171">
        <f t="shared" si="631"/>
        <v>0</v>
      </c>
      <c r="CI388" s="171">
        <f t="shared" si="631"/>
        <v>0</v>
      </c>
      <c r="CJ388" s="243"/>
      <c r="CK388" s="171">
        <f t="shared" si="565"/>
        <v>0</v>
      </c>
      <c r="CL388" s="171">
        <f t="shared" si="566"/>
        <v>0</v>
      </c>
      <c r="CM388" s="171">
        <f t="shared" si="567"/>
        <v>0</v>
      </c>
      <c r="CN388" s="171">
        <f t="shared" si="568"/>
        <v>0</v>
      </c>
      <c r="CO388" s="171">
        <f t="shared" si="569"/>
        <v>0</v>
      </c>
      <c r="CP388" s="171">
        <f t="shared" si="570"/>
        <v>0</v>
      </c>
      <c r="CQ388" s="171">
        <f t="shared" si="571"/>
        <v>0</v>
      </c>
      <c r="CR388" s="171">
        <f t="shared" si="572"/>
        <v>0</v>
      </c>
      <c r="CS388" s="171">
        <f t="shared" si="573"/>
        <v>0</v>
      </c>
      <c r="CT388" s="171">
        <f t="shared" si="574"/>
        <v>0</v>
      </c>
      <c r="CU388" s="171">
        <f t="shared" si="575"/>
        <v>0</v>
      </c>
      <c r="CV388" s="171">
        <f t="shared" si="576"/>
        <v>0</v>
      </c>
      <c r="CW388" s="171">
        <f t="shared" si="577"/>
        <v>0</v>
      </c>
      <c r="CX388" s="171">
        <f t="shared" si="578"/>
        <v>0</v>
      </c>
      <c r="CY388" s="171">
        <f t="shared" ca="1" si="579"/>
        <v>0</v>
      </c>
      <c r="CZ388" s="171">
        <f t="shared" ca="1" si="580"/>
        <v>0</v>
      </c>
      <c r="DA388" s="171">
        <f t="shared" ca="1" si="581"/>
        <v>0</v>
      </c>
      <c r="DB388" s="171">
        <f t="shared" ca="1" si="582"/>
        <v>0</v>
      </c>
      <c r="DC388" s="171">
        <f t="shared" ca="1" si="583"/>
        <v>0</v>
      </c>
      <c r="DD388" s="171">
        <f t="shared" ca="1" si="584"/>
        <v>0</v>
      </c>
      <c r="DE388" s="171">
        <f t="shared" ca="1" si="585"/>
        <v>0</v>
      </c>
      <c r="DF388" s="171">
        <f t="shared" ca="1" si="586"/>
        <v>0</v>
      </c>
      <c r="DG388" s="171">
        <f t="shared" ca="1" si="587"/>
        <v>0</v>
      </c>
      <c r="DH388" s="171">
        <f t="shared" ca="1" si="588"/>
        <v>0</v>
      </c>
      <c r="DI388" s="171">
        <f t="shared" ca="1" si="589"/>
        <v>0</v>
      </c>
      <c r="DJ388" s="171">
        <f t="shared" ca="1" si="590"/>
        <v>0</v>
      </c>
      <c r="DK388" s="171">
        <f t="shared" ca="1" si="591"/>
        <v>0</v>
      </c>
      <c r="DL388" s="171">
        <f t="shared" ca="1" si="592"/>
        <v>0</v>
      </c>
      <c r="DM388" s="171">
        <f t="shared" ca="1" si="593"/>
        <v>0</v>
      </c>
      <c r="DN388" s="171">
        <f t="shared" ca="1" si="594"/>
        <v>0</v>
      </c>
      <c r="DO388" s="171">
        <f t="shared" ca="1" si="595"/>
        <v>0</v>
      </c>
      <c r="DP388" s="171">
        <f t="shared" ca="1" si="596"/>
        <v>0</v>
      </c>
      <c r="DQ388" s="171">
        <f t="shared" ca="1" si="597"/>
        <v>0</v>
      </c>
      <c r="DR388" s="171">
        <f t="shared" ca="1" si="598"/>
        <v>0</v>
      </c>
      <c r="DS388" s="171">
        <f t="shared" ca="1" si="599"/>
        <v>0</v>
      </c>
      <c r="DT388" s="171">
        <f t="shared" ca="1" si="600"/>
        <v>0</v>
      </c>
      <c r="DU388" s="171">
        <f t="shared" ca="1" si="601"/>
        <v>0</v>
      </c>
      <c r="DV388" s="171">
        <f t="shared" ca="1" si="602"/>
        <v>0</v>
      </c>
      <c r="DW388" s="171">
        <f t="shared" ca="1" si="603"/>
        <v>0</v>
      </c>
      <c r="DX388" s="171">
        <f t="shared" ca="1" si="604"/>
        <v>0</v>
      </c>
      <c r="DY388" s="171">
        <f t="shared" ca="1" si="605"/>
        <v>0</v>
      </c>
      <c r="DZ388" s="171">
        <f t="shared" ca="1" si="606"/>
        <v>0</v>
      </c>
      <c r="EA388" s="171">
        <f t="shared" ca="1" si="607"/>
        <v>0</v>
      </c>
      <c r="EB388" s="171">
        <f t="shared" ca="1" si="608"/>
        <v>0</v>
      </c>
      <c r="EC388" s="171">
        <f t="shared" ca="1" si="609"/>
        <v>0</v>
      </c>
      <c r="ED388" s="171">
        <f t="shared" ca="1" si="610"/>
        <v>0</v>
      </c>
      <c r="EE388" s="171">
        <f t="shared" ca="1" si="611"/>
        <v>0</v>
      </c>
      <c r="EF388" s="171">
        <f t="shared" ca="1" si="612"/>
        <v>0</v>
      </c>
      <c r="EG388" s="171">
        <f t="shared" ca="1" si="613"/>
        <v>0</v>
      </c>
      <c r="EH388" s="171">
        <f t="shared" ca="1" si="614"/>
        <v>0</v>
      </c>
      <c r="EI388" s="171">
        <f t="shared" ca="1" si="615"/>
        <v>0</v>
      </c>
      <c r="EJ388" s="171">
        <f t="shared" ca="1" si="616"/>
        <v>0</v>
      </c>
      <c r="EK388" s="171">
        <f t="shared" ca="1" si="617"/>
        <v>0</v>
      </c>
      <c r="EL388" s="171">
        <f t="shared" ca="1" si="618"/>
        <v>0</v>
      </c>
      <c r="EM388" s="171">
        <f t="shared" ca="1" si="619"/>
        <v>0</v>
      </c>
      <c r="EN388" s="171">
        <f t="shared" ca="1" si="620"/>
        <v>0</v>
      </c>
      <c r="EO388" s="171">
        <f t="shared" ca="1" si="621"/>
        <v>0</v>
      </c>
      <c r="EP388" s="171">
        <f t="shared" ca="1" si="622"/>
        <v>0</v>
      </c>
      <c r="EQ388" s="171">
        <f t="shared" ca="1" si="623"/>
        <v>0</v>
      </c>
      <c r="ER388" s="171">
        <f t="shared" ca="1" si="624"/>
        <v>0</v>
      </c>
      <c r="ES388" s="171">
        <f t="shared" ca="1" si="625"/>
        <v>0</v>
      </c>
    </row>
    <row r="389" spans="3:149">
      <c r="C389" s="214"/>
      <c r="L389" s="163"/>
      <c r="M389" s="164" t="str">
        <f t="shared" si="550"/>
        <v/>
      </c>
      <c r="N389" s="164" t="str">
        <f t="shared" si="551"/>
        <v/>
      </c>
      <c r="O389" s="165" t="str">
        <f t="shared" si="552"/>
        <v/>
      </c>
      <c r="R389" s="168"/>
      <c r="U389" s="171">
        <f t="shared" si="553"/>
        <v>0</v>
      </c>
      <c r="V389" s="171">
        <f t="shared" ca="1" si="554"/>
        <v>0</v>
      </c>
      <c r="W389" s="171">
        <f t="shared" ca="1" si="555"/>
        <v>0</v>
      </c>
      <c r="X389" s="172">
        <f t="shared" si="556"/>
        <v>0</v>
      </c>
      <c r="Y389" s="172" t="str">
        <f t="shared" si="557"/>
        <v/>
      </c>
      <c r="Z389" s="173">
        <f t="shared" si="558"/>
        <v>0</v>
      </c>
      <c r="AA389" s="171">
        <f t="shared" ref="AA389:AJ398" si="632">IFERROR(
    IF($T389="Equity",
        IF(AND(AA$48&gt;=$E389, AA$48&lt;=($E389+$Q389)),
$K389*$P389*(VLOOKUP($C$39,$C$37:$BL$44,MATCH($E389,$C$37:$BL$37,0),FALSE)/VLOOKUP($L389,$C$37:$BL$44,MATCH($E389,$C$37:$BL$37,0),FALSE))*
IF($B$5="Foreign Currency",VLOOKUP($C$38,$C$37:$BL$44,MATCH(AA$48,$C$37:$BL$37,0),FALSE)/VLOOKUP($C$39,$C$37:$BL$44,MATCH(AA$48,$C$37:$BL$37,0),FALSE),1),
0),
    IF($T389="Lump Sum Principal",
        IF(AND(AA$48&gt;=$E389, AA$48&lt;($E389+$Q389)),
$K389*$P389*(VLOOKUP($C$39,$C$37:$BL$44,MATCH($E389,$C$37:$BL$37,0),FALSE)/VLOOKUP($L389,$C$37:$BL$44,MATCH($E389,$C$37:$BL$37,0),FALSE))*
IF($B$5="Foreign Currency",VLOOKUP($C$38,$C$37:$BL$44,MATCH(AA$48,$C$37:$BL$37,0),FALSE)/VLOOKUP($C$39,$C$37:$BL$44,MATCH(AA$48,$C$37:$BL$37,0),FALSE),1),
        IF(AA$48=($E389+$Q389),
$K389*(1+$P389)*(VLOOKUP($C$39,$C$37:$BL$44,MATCH($E389,$C$37:$BL$37,0),FALSE)/VLOOKUP($L389,$C$37:$BL$44,MATCH($E389,$C$37:$BL$37,0),FALSE))*
IF($B$5="Foreign Currency",VLOOKUP($C$38,$C$37:$BL$44,MATCH(AA$48,$C$37:$BL$37,0),FALSE)/VLOOKUP($C$39,$C$37:$BL$44,MATCH(AA$48,$C$37:$BL$37,0),FALSE),1),
0)),
    IF($T389="Lump Sum Principal and Interest",
        IF(AA$48=($E389+$Q389),
$K389*((1+$P389)^$Q389)*(VLOOKUP($C$39,$C$37:$BL$44,MATCH($E389,$C$37:$BL$37,0),FALSE)/VLOOKUP($L389,$C$37:$BL$44,MATCH($E389,$C$37:$BL$37,0),FALSE))*
IF($B$5="Foreign Currency",VLOOKUP($C$38,$C$37:$BL$44,MATCH(AA$48,$C$37:$BL$37,0),FALSE)/VLOOKUP($C$39,$C$37:$BL$44,MATCH(AA$48,$C$37:$BL$37,0),FALSE),1),
0),
    IF($T389="EPP with Grace Years for Principal",
        IF(AND(AA$48&gt;=$E389, AA$48&lt;($E389+$S389)),
$K389*$P389*(VLOOKUP($C$39,$C$37:$BL$44,MATCH($E389,$C$37:$BL$37,0),FALSE)/VLOOKUP($L389,$C$37:$BL$44,MATCH($E389,$C$37:$BL$37,0),FALSE))*
IF($B$5="Foreign Currency",VLOOKUP($C$38,$C$37:$BL$44,MATCH(AA$48,$C$37:$BL$37,0),FALSE)/VLOOKUP($C$39,$C$37:$BL$44,MATCH(AA$48,$C$37:$BL$37,0),FALSE),1),
        IF(AND(AA$48&gt;=($E389+$S389), AA$48&lt;=($E389+$Q389)),
-PMT($P389,($Q389-$S389+1),($K389*(VLOOKUP($C$39,$C$37:$BL$44,MATCH($E389,$C$37:$BL$37,0),FALSE)/VLOOKUP($L389,$C$37:$BL$44,MATCH($E389,$C$37:$BL$37,0),FALSE))*
IF($B$5="Foreign Currency",VLOOKUP($C$38,$C$37:$BL$44,MATCH(AA$48,$C$37:$BL$37,0),FALSE)/VLOOKUP($C$39,$C$37:$BL$44,MATCH(AA$48,$C$37:$BL$37,0),FALSE),1)),0),
0)),
    IF($T389="Equal Principal Payments (EPP)",
        IF(AND(AA$48&gt;=$E389, AA$48&lt;=($E389+$Q389)),
-PMT($P389,($Q389-$S389+1),($K389*(VLOOKUP($C$39,$C$37:$BL$44,MATCH($E389,$C$37:$BL$37,0),FALSE)/VLOOKUP($L389,$C$37:$BL$44,MATCH($E389,$C$37:$BL$37,0),FALSE))*
IF($B$5="Foreign Currency",VLOOKUP($C$38,$C$37:$BL$44,MATCH(AA$48,$C$37:$BL$37,0),FALSE)/VLOOKUP($C$39,$C$37:$BL$44,MATCH(AA$48,$C$37:$BL$37,0),FALSE),1)),0), 0),
    IF($T389="EPP with Grace Years for Principal and on Interest",
        IF(AND(AA$48&gt;=($E389+$S389), AA$48&lt;=($E389+$Q389)),
-PMT($P389,($Q389-$S389+1),($K389*(VLOOKUP($C$39,$C$37:$BL$44,MATCH($E389,$C$37:$BL$37,0),FALSE)/VLOOKUP($L389,$C$37:$BL$44,MATCH($E389,$C$37:$BL$37,0),FALSE))*
IF($B$5="Foreign Currency",VLOOKUP($C$38,$C$37:$BL$44,MATCH(AA$48,$C$37:$BL$37,0),FALSE)/VLOOKUP($C$39,$C$37:$BL$44,MATCH(AA$48,$C$37:$BL$37,0),FALSE),1))*((1+$P389)^$S389),0), 0),
    0)))))),"")</f>
        <v>0</v>
      </c>
      <c r="AB389" s="171">
        <f t="shared" si="632"/>
        <v>0</v>
      </c>
      <c r="AC389" s="171">
        <f t="shared" si="632"/>
        <v>0</v>
      </c>
      <c r="AD389" s="171">
        <f t="shared" si="632"/>
        <v>0</v>
      </c>
      <c r="AE389" s="171">
        <f t="shared" si="632"/>
        <v>0</v>
      </c>
      <c r="AF389" s="171">
        <f t="shared" si="632"/>
        <v>0</v>
      </c>
      <c r="AG389" s="171">
        <f t="shared" si="632"/>
        <v>0</v>
      </c>
      <c r="AH389" s="171">
        <f t="shared" si="632"/>
        <v>0</v>
      </c>
      <c r="AI389" s="171">
        <f t="shared" si="632"/>
        <v>0</v>
      </c>
      <c r="AJ389" s="171">
        <f t="shared" si="632"/>
        <v>0</v>
      </c>
      <c r="AK389" s="171">
        <f t="shared" ref="AK389:AT398" si="633">IFERROR(
    IF($T389="Equity",
        IF(AND(AK$48&gt;=$E389, AK$48&lt;=($E389+$Q389)),
$K389*$P389*(VLOOKUP($C$39,$C$37:$BL$44,MATCH($E389,$C$37:$BL$37,0),FALSE)/VLOOKUP($L389,$C$37:$BL$44,MATCH($E389,$C$37:$BL$37,0),FALSE))*
IF($B$5="Foreign Currency",VLOOKUP($C$38,$C$37:$BL$44,MATCH(AK$48,$C$37:$BL$37,0),FALSE)/VLOOKUP($C$39,$C$37:$BL$44,MATCH(AK$48,$C$37:$BL$37,0),FALSE),1),
0),
    IF($T389="Lump Sum Principal",
        IF(AND(AK$48&gt;=$E389, AK$48&lt;($E389+$Q389)),
$K389*$P389*(VLOOKUP($C$39,$C$37:$BL$44,MATCH($E389,$C$37:$BL$37,0),FALSE)/VLOOKUP($L389,$C$37:$BL$44,MATCH($E389,$C$37:$BL$37,0),FALSE))*
IF($B$5="Foreign Currency",VLOOKUP($C$38,$C$37:$BL$44,MATCH(AK$48,$C$37:$BL$37,0),FALSE)/VLOOKUP($C$39,$C$37:$BL$44,MATCH(AK$48,$C$37:$BL$37,0),FALSE),1),
        IF(AK$48=($E389+$Q389),
$K389*(1+$P389)*(VLOOKUP($C$39,$C$37:$BL$44,MATCH($E389,$C$37:$BL$37,0),FALSE)/VLOOKUP($L389,$C$37:$BL$44,MATCH($E389,$C$37:$BL$37,0),FALSE))*
IF($B$5="Foreign Currency",VLOOKUP($C$38,$C$37:$BL$44,MATCH(AK$48,$C$37:$BL$37,0),FALSE)/VLOOKUP($C$39,$C$37:$BL$44,MATCH(AK$48,$C$37:$BL$37,0),FALSE),1),
0)),
    IF($T389="Lump Sum Principal and Interest",
        IF(AK$48=($E389+$Q389),
$K389*((1+$P389)^$Q389)*(VLOOKUP($C$39,$C$37:$BL$44,MATCH($E389,$C$37:$BL$37,0),FALSE)/VLOOKUP($L389,$C$37:$BL$44,MATCH($E389,$C$37:$BL$37,0),FALSE))*
IF($B$5="Foreign Currency",VLOOKUP($C$38,$C$37:$BL$44,MATCH(AK$48,$C$37:$BL$37,0),FALSE)/VLOOKUP($C$39,$C$37:$BL$44,MATCH(AK$48,$C$37:$BL$37,0),FALSE),1),
0),
    IF($T389="EPP with Grace Years for Principal",
        IF(AND(AK$48&gt;=$E389, AK$48&lt;($E389+$S389)),
$K389*$P389*(VLOOKUP($C$39,$C$37:$BL$44,MATCH($E389,$C$37:$BL$37,0),FALSE)/VLOOKUP($L389,$C$37:$BL$44,MATCH($E389,$C$37:$BL$37,0),FALSE))*
IF($B$5="Foreign Currency",VLOOKUP($C$38,$C$37:$BL$44,MATCH(AK$48,$C$37:$BL$37,0),FALSE)/VLOOKUP($C$39,$C$37:$BL$44,MATCH(AK$48,$C$37:$BL$37,0),FALSE),1),
        IF(AND(AK$48&gt;=($E389+$S389), AK$48&lt;=($E389+$Q389)),
-PMT($P389,($Q389-$S389+1),($K389*(VLOOKUP($C$39,$C$37:$BL$44,MATCH($E389,$C$37:$BL$37,0),FALSE)/VLOOKUP($L389,$C$37:$BL$44,MATCH($E389,$C$37:$BL$37,0),FALSE))*
IF($B$5="Foreign Currency",VLOOKUP($C$38,$C$37:$BL$44,MATCH(AK$48,$C$37:$BL$37,0),FALSE)/VLOOKUP($C$39,$C$37:$BL$44,MATCH(AK$48,$C$37:$BL$37,0),FALSE),1)),0),
0)),
    IF($T389="Equal Principal Payments (EPP)",
        IF(AND(AK$48&gt;=$E389, AK$48&lt;=($E389+$Q389)),
-PMT($P389,($Q389-$S389+1),($K389*(VLOOKUP($C$39,$C$37:$BL$44,MATCH($E389,$C$37:$BL$37,0),FALSE)/VLOOKUP($L389,$C$37:$BL$44,MATCH($E389,$C$37:$BL$37,0),FALSE))*
IF($B$5="Foreign Currency",VLOOKUP($C$38,$C$37:$BL$44,MATCH(AK$48,$C$37:$BL$37,0),FALSE)/VLOOKUP($C$39,$C$37:$BL$44,MATCH(AK$48,$C$37:$BL$37,0),FALSE),1)),0), 0),
    IF($T389="EPP with Grace Years for Principal and on Interest",
        IF(AND(AK$48&gt;=($E389+$S389), AK$48&lt;=($E389+$Q389)),
-PMT($P389,($Q389-$S389+1),($K389*(VLOOKUP($C$39,$C$37:$BL$44,MATCH($E389,$C$37:$BL$37,0),FALSE)/VLOOKUP($L389,$C$37:$BL$44,MATCH($E389,$C$37:$BL$37,0),FALSE))*
IF($B$5="Foreign Currency",VLOOKUP($C$38,$C$37:$BL$44,MATCH(AK$48,$C$37:$BL$37,0),FALSE)/VLOOKUP($C$39,$C$37:$BL$44,MATCH(AK$48,$C$37:$BL$37,0),FALSE),1))*((1+$P389)^$S389),0), 0),
    0)))))),"")</f>
        <v>0</v>
      </c>
      <c r="AL389" s="171">
        <f t="shared" si="633"/>
        <v>0</v>
      </c>
      <c r="AM389" s="171">
        <f t="shared" si="633"/>
        <v>0</v>
      </c>
      <c r="AN389" s="171">
        <f t="shared" si="633"/>
        <v>0</v>
      </c>
      <c r="AO389" s="171">
        <f t="shared" si="633"/>
        <v>0</v>
      </c>
      <c r="AP389" s="171">
        <f t="shared" si="633"/>
        <v>0</v>
      </c>
      <c r="AQ389" s="171">
        <f t="shared" si="633"/>
        <v>0</v>
      </c>
      <c r="AR389" s="171">
        <f t="shared" si="633"/>
        <v>0</v>
      </c>
      <c r="AS389" s="171">
        <f t="shared" si="633"/>
        <v>0</v>
      </c>
      <c r="AT389" s="171">
        <f t="shared" si="633"/>
        <v>0</v>
      </c>
      <c r="AU389" s="171">
        <f t="shared" ref="AU389:BD398" si="634">IFERROR(
    IF($T389="Equity",
        IF(AND(AU$48&gt;=$E389, AU$48&lt;=($E389+$Q389)),
$K389*$P389*(VLOOKUP($C$39,$C$37:$BL$44,MATCH($E389,$C$37:$BL$37,0),FALSE)/VLOOKUP($L389,$C$37:$BL$44,MATCH($E389,$C$37:$BL$37,0),FALSE))*
IF($B$5="Foreign Currency",VLOOKUP($C$38,$C$37:$BL$44,MATCH(AU$48,$C$37:$BL$37,0),FALSE)/VLOOKUP($C$39,$C$37:$BL$44,MATCH(AU$48,$C$37:$BL$37,0),FALSE),1),
0),
    IF($T389="Lump Sum Principal",
        IF(AND(AU$48&gt;=$E389, AU$48&lt;($E389+$Q389)),
$K389*$P389*(VLOOKUP($C$39,$C$37:$BL$44,MATCH($E389,$C$37:$BL$37,0),FALSE)/VLOOKUP($L389,$C$37:$BL$44,MATCH($E389,$C$37:$BL$37,0),FALSE))*
IF($B$5="Foreign Currency",VLOOKUP($C$38,$C$37:$BL$44,MATCH(AU$48,$C$37:$BL$37,0),FALSE)/VLOOKUP($C$39,$C$37:$BL$44,MATCH(AU$48,$C$37:$BL$37,0),FALSE),1),
        IF(AU$48=($E389+$Q389),
$K389*(1+$P389)*(VLOOKUP($C$39,$C$37:$BL$44,MATCH($E389,$C$37:$BL$37,0),FALSE)/VLOOKUP($L389,$C$37:$BL$44,MATCH($E389,$C$37:$BL$37,0),FALSE))*
IF($B$5="Foreign Currency",VLOOKUP($C$38,$C$37:$BL$44,MATCH(AU$48,$C$37:$BL$37,0),FALSE)/VLOOKUP($C$39,$C$37:$BL$44,MATCH(AU$48,$C$37:$BL$37,0),FALSE),1),
0)),
    IF($T389="Lump Sum Principal and Interest",
        IF(AU$48=($E389+$Q389),
$K389*((1+$P389)^$Q389)*(VLOOKUP($C$39,$C$37:$BL$44,MATCH($E389,$C$37:$BL$37,0),FALSE)/VLOOKUP($L389,$C$37:$BL$44,MATCH($E389,$C$37:$BL$37,0),FALSE))*
IF($B$5="Foreign Currency",VLOOKUP($C$38,$C$37:$BL$44,MATCH(AU$48,$C$37:$BL$37,0),FALSE)/VLOOKUP($C$39,$C$37:$BL$44,MATCH(AU$48,$C$37:$BL$37,0),FALSE),1),
0),
    IF($T389="EPP with Grace Years for Principal",
        IF(AND(AU$48&gt;=$E389, AU$48&lt;($E389+$S389)),
$K389*$P389*(VLOOKUP($C$39,$C$37:$BL$44,MATCH($E389,$C$37:$BL$37,0),FALSE)/VLOOKUP($L389,$C$37:$BL$44,MATCH($E389,$C$37:$BL$37,0),FALSE))*
IF($B$5="Foreign Currency",VLOOKUP($C$38,$C$37:$BL$44,MATCH(AU$48,$C$37:$BL$37,0),FALSE)/VLOOKUP($C$39,$C$37:$BL$44,MATCH(AU$48,$C$37:$BL$37,0),FALSE),1),
        IF(AND(AU$48&gt;=($E389+$S389), AU$48&lt;=($E389+$Q389)),
-PMT($P389,($Q389-$S389+1),($K389*(VLOOKUP($C$39,$C$37:$BL$44,MATCH($E389,$C$37:$BL$37,0),FALSE)/VLOOKUP($L389,$C$37:$BL$44,MATCH($E389,$C$37:$BL$37,0),FALSE))*
IF($B$5="Foreign Currency",VLOOKUP($C$38,$C$37:$BL$44,MATCH(AU$48,$C$37:$BL$37,0),FALSE)/VLOOKUP($C$39,$C$37:$BL$44,MATCH(AU$48,$C$37:$BL$37,0),FALSE),1)),0),
0)),
    IF($T389="Equal Principal Payments (EPP)",
        IF(AND(AU$48&gt;=$E389, AU$48&lt;=($E389+$Q389)),
-PMT($P389,($Q389-$S389+1),($K389*(VLOOKUP($C$39,$C$37:$BL$44,MATCH($E389,$C$37:$BL$37,0),FALSE)/VLOOKUP($L389,$C$37:$BL$44,MATCH($E389,$C$37:$BL$37,0),FALSE))*
IF($B$5="Foreign Currency",VLOOKUP($C$38,$C$37:$BL$44,MATCH(AU$48,$C$37:$BL$37,0),FALSE)/VLOOKUP($C$39,$C$37:$BL$44,MATCH(AU$48,$C$37:$BL$37,0),FALSE),1)),0), 0),
    IF($T389="EPP with Grace Years for Principal and on Interest",
        IF(AND(AU$48&gt;=($E389+$S389), AU$48&lt;=($E389+$Q389)),
-PMT($P389,($Q389-$S389+1),($K389*(VLOOKUP($C$39,$C$37:$BL$44,MATCH($E389,$C$37:$BL$37,0),FALSE)/VLOOKUP($L389,$C$37:$BL$44,MATCH($E389,$C$37:$BL$37,0),FALSE))*
IF($B$5="Foreign Currency",VLOOKUP($C$38,$C$37:$BL$44,MATCH(AU$48,$C$37:$BL$37,0),FALSE)/VLOOKUP($C$39,$C$37:$BL$44,MATCH(AU$48,$C$37:$BL$37,0),FALSE),1))*((1+$P389)^$S389),0), 0),
    0)))))),"")</f>
        <v>0</v>
      </c>
      <c r="AV389" s="171">
        <f t="shared" si="634"/>
        <v>0</v>
      </c>
      <c r="AW389" s="171">
        <f t="shared" si="634"/>
        <v>0</v>
      </c>
      <c r="AX389" s="171">
        <f t="shared" si="634"/>
        <v>0</v>
      </c>
      <c r="AY389" s="171">
        <f t="shared" si="634"/>
        <v>0</v>
      </c>
      <c r="AZ389" s="171">
        <f t="shared" si="634"/>
        <v>0</v>
      </c>
      <c r="BA389" s="171">
        <f t="shared" si="634"/>
        <v>0</v>
      </c>
      <c r="BB389" s="171">
        <f t="shared" si="634"/>
        <v>0</v>
      </c>
      <c r="BC389" s="171">
        <f t="shared" si="634"/>
        <v>0</v>
      </c>
      <c r="BD389" s="171">
        <f t="shared" si="634"/>
        <v>0</v>
      </c>
      <c r="BE389" s="171">
        <f t="shared" ref="BE389:BN398" si="635">IFERROR(
    IF($T389="Equity",
        IF(AND(BE$48&gt;=$E389, BE$48&lt;=($E389+$Q389)),
$K389*$P389*(VLOOKUP($C$39,$C$37:$BL$44,MATCH($E389,$C$37:$BL$37,0),FALSE)/VLOOKUP($L389,$C$37:$BL$44,MATCH($E389,$C$37:$BL$37,0),FALSE))*
IF($B$5="Foreign Currency",VLOOKUP($C$38,$C$37:$BL$44,MATCH(BE$48,$C$37:$BL$37,0),FALSE)/VLOOKUP($C$39,$C$37:$BL$44,MATCH(BE$48,$C$37:$BL$37,0),FALSE),1),
0),
    IF($T389="Lump Sum Principal",
        IF(AND(BE$48&gt;=$E389, BE$48&lt;($E389+$Q389)),
$K389*$P389*(VLOOKUP($C$39,$C$37:$BL$44,MATCH($E389,$C$37:$BL$37,0),FALSE)/VLOOKUP($L389,$C$37:$BL$44,MATCH($E389,$C$37:$BL$37,0),FALSE))*
IF($B$5="Foreign Currency",VLOOKUP($C$38,$C$37:$BL$44,MATCH(BE$48,$C$37:$BL$37,0),FALSE)/VLOOKUP($C$39,$C$37:$BL$44,MATCH(BE$48,$C$37:$BL$37,0),FALSE),1),
        IF(BE$48=($E389+$Q389),
$K389*(1+$P389)*(VLOOKUP($C$39,$C$37:$BL$44,MATCH($E389,$C$37:$BL$37,0),FALSE)/VLOOKUP($L389,$C$37:$BL$44,MATCH($E389,$C$37:$BL$37,0),FALSE))*
IF($B$5="Foreign Currency",VLOOKUP($C$38,$C$37:$BL$44,MATCH(BE$48,$C$37:$BL$37,0),FALSE)/VLOOKUP($C$39,$C$37:$BL$44,MATCH(BE$48,$C$37:$BL$37,0),FALSE),1),
0)),
    IF($T389="Lump Sum Principal and Interest",
        IF(BE$48=($E389+$Q389),
$K389*((1+$P389)^$Q389)*(VLOOKUP($C$39,$C$37:$BL$44,MATCH($E389,$C$37:$BL$37,0),FALSE)/VLOOKUP($L389,$C$37:$BL$44,MATCH($E389,$C$37:$BL$37,0),FALSE))*
IF($B$5="Foreign Currency",VLOOKUP($C$38,$C$37:$BL$44,MATCH(BE$48,$C$37:$BL$37,0),FALSE)/VLOOKUP($C$39,$C$37:$BL$44,MATCH(BE$48,$C$37:$BL$37,0),FALSE),1),
0),
    IF($T389="EPP with Grace Years for Principal",
        IF(AND(BE$48&gt;=$E389, BE$48&lt;($E389+$S389)),
$K389*$P389*(VLOOKUP($C$39,$C$37:$BL$44,MATCH($E389,$C$37:$BL$37,0),FALSE)/VLOOKUP($L389,$C$37:$BL$44,MATCH($E389,$C$37:$BL$37,0),FALSE))*
IF($B$5="Foreign Currency",VLOOKUP($C$38,$C$37:$BL$44,MATCH(BE$48,$C$37:$BL$37,0),FALSE)/VLOOKUP($C$39,$C$37:$BL$44,MATCH(BE$48,$C$37:$BL$37,0),FALSE),1),
        IF(AND(BE$48&gt;=($E389+$S389), BE$48&lt;=($E389+$Q389)),
-PMT($P389,($Q389-$S389+1),($K389*(VLOOKUP($C$39,$C$37:$BL$44,MATCH($E389,$C$37:$BL$37,0),FALSE)/VLOOKUP($L389,$C$37:$BL$44,MATCH($E389,$C$37:$BL$37,0),FALSE))*
IF($B$5="Foreign Currency",VLOOKUP($C$38,$C$37:$BL$44,MATCH(BE$48,$C$37:$BL$37,0),FALSE)/VLOOKUP($C$39,$C$37:$BL$44,MATCH(BE$48,$C$37:$BL$37,0),FALSE),1)),0),
0)),
    IF($T389="Equal Principal Payments (EPP)",
        IF(AND(BE$48&gt;=$E389, BE$48&lt;=($E389+$Q389)),
-PMT($P389,($Q389-$S389+1),($K389*(VLOOKUP($C$39,$C$37:$BL$44,MATCH($E389,$C$37:$BL$37,0),FALSE)/VLOOKUP($L389,$C$37:$BL$44,MATCH($E389,$C$37:$BL$37,0),FALSE))*
IF($B$5="Foreign Currency",VLOOKUP($C$38,$C$37:$BL$44,MATCH(BE$48,$C$37:$BL$37,0),FALSE)/VLOOKUP($C$39,$C$37:$BL$44,MATCH(BE$48,$C$37:$BL$37,0),FALSE),1)),0), 0),
    IF($T389="EPP with Grace Years for Principal and on Interest",
        IF(AND(BE$48&gt;=($E389+$S389), BE$48&lt;=($E389+$Q389)),
-PMT($P389,($Q389-$S389+1),($K389*(VLOOKUP($C$39,$C$37:$BL$44,MATCH($E389,$C$37:$BL$37,0),FALSE)/VLOOKUP($L389,$C$37:$BL$44,MATCH($E389,$C$37:$BL$37,0),FALSE))*
IF($B$5="Foreign Currency",VLOOKUP($C$38,$C$37:$BL$44,MATCH(BE$48,$C$37:$BL$37,0),FALSE)/VLOOKUP($C$39,$C$37:$BL$44,MATCH(BE$48,$C$37:$BL$37,0),FALSE),1))*((1+$P389)^$S389),0), 0),
    0)))))),"")</f>
        <v>0</v>
      </c>
      <c r="BF389" s="171">
        <f t="shared" si="635"/>
        <v>0</v>
      </c>
      <c r="BG389" s="171">
        <f t="shared" si="635"/>
        <v>0</v>
      </c>
      <c r="BH389" s="171">
        <f t="shared" si="635"/>
        <v>0</v>
      </c>
      <c r="BI389" s="171">
        <f t="shared" si="635"/>
        <v>0</v>
      </c>
      <c r="BJ389" s="171">
        <f t="shared" si="635"/>
        <v>0</v>
      </c>
      <c r="BK389" s="171">
        <f t="shared" si="635"/>
        <v>0</v>
      </c>
      <c r="BL389" s="171">
        <f t="shared" si="635"/>
        <v>0</v>
      </c>
      <c r="BM389" s="171">
        <f t="shared" si="635"/>
        <v>0</v>
      </c>
      <c r="BN389" s="171">
        <f t="shared" si="635"/>
        <v>0</v>
      </c>
      <c r="BO389" s="171">
        <f t="shared" ref="BO389:BX398" si="636">IFERROR(
    IF($T389="Equity",
        IF(AND(BO$48&gt;=$E389, BO$48&lt;=($E389+$Q389)),
$K389*$P389*(VLOOKUP($C$39,$C$37:$BL$44,MATCH($E389,$C$37:$BL$37,0),FALSE)/VLOOKUP($L389,$C$37:$BL$44,MATCH($E389,$C$37:$BL$37,0),FALSE))*
IF($B$5="Foreign Currency",VLOOKUP($C$38,$C$37:$BL$44,MATCH(BO$48,$C$37:$BL$37,0),FALSE)/VLOOKUP($C$39,$C$37:$BL$44,MATCH(BO$48,$C$37:$BL$37,0),FALSE),1),
0),
    IF($T389="Lump Sum Principal",
        IF(AND(BO$48&gt;=$E389, BO$48&lt;($E389+$Q389)),
$K389*$P389*(VLOOKUP($C$39,$C$37:$BL$44,MATCH($E389,$C$37:$BL$37,0),FALSE)/VLOOKUP($L389,$C$37:$BL$44,MATCH($E389,$C$37:$BL$37,0),FALSE))*
IF($B$5="Foreign Currency",VLOOKUP($C$38,$C$37:$BL$44,MATCH(BO$48,$C$37:$BL$37,0),FALSE)/VLOOKUP($C$39,$C$37:$BL$44,MATCH(BO$48,$C$37:$BL$37,0),FALSE),1),
        IF(BO$48=($E389+$Q389),
$K389*(1+$P389)*(VLOOKUP($C$39,$C$37:$BL$44,MATCH($E389,$C$37:$BL$37,0),FALSE)/VLOOKUP($L389,$C$37:$BL$44,MATCH($E389,$C$37:$BL$37,0),FALSE))*
IF($B$5="Foreign Currency",VLOOKUP($C$38,$C$37:$BL$44,MATCH(BO$48,$C$37:$BL$37,0),FALSE)/VLOOKUP($C$39,$C$37:$BL$44,MATCH(BO$48,$C$37:$BL$37,0),FALSE),1),
0)),
    IF($T389="Lump Sum Principal and Interest",
        IF(BO$48=($E389+$Q389),
$K389*((1+$P389)^$Q389)*(VLOOKUP($C$39,$C$37:$BL$44,MATCH($E389,$C$37:$BL$37,0),FALSE)/VLOOKUP($L389,$C$37:$BL$44,MATCH($E389,$C$37:$BL$37,0),FALSE))*
IF($B$5="Foreign Currency",VLOOKUP($C$38,$C$37:$BL$44,MATCH(BO$48,$C$37:$BL$37,0),FALSE)/VLOOKUP($C$39,$C$37:$BL$44,MATCH(BO$48,$C$37:$BL$37,0),FALSE),1),
0),
    IF($T389="EPP with Grace Years for Principal",
        IF(AND(BO$48&gt;=$E389, BO$48&lt;($E389+$S389)),
$K389*$P389*(VLOOKUP($C$39,$C$37:$BL$44,MATCH($E389,$C$37:$BL$37,0),FALSE)/VLOOKUP($L389,$C$37:$BL$44,MATCH($E389,$C$37:$BL$37,0),FALSE))*
IF($B$5="Foreign Currency",VLOOKUP($C$38,$C$37:$BL$44,MATCH(BO$48,$C$37:$BL$37,0),FALSE)/VLOOKUP($C$39,$C$37:$BL$44,MATCH(BO$48,$C$37:$BL$37,0),FALSE),1),
        IF(AND(BO$48&gt;=($E389+$S389), BO$48&lt;=($E389+$Q389)),
-PMT($P389,($Q389-$S389+1),($K389*(VLOOKUP($C$39,$C$37:$BL$44,MATCH($E389,$C$37:$BL$37,0),FALSE)/VLOOKUP($L389,$C$37:$BL$44,MATCH($E389,$C$37:$BL$37,0),FALSE))*
IF($B$5="Foreign Currency",VLOOKUP($C$38,$C$37:$BL$44,MATCH(BO$48,$C$37:$BL$37,0),FALSE)/VLOOKUP($C$39,$C$37:$BL$44,MATCH(BO$48,$C$37:$BL$37,0),FALSE),1)),0),
0)),
    IF($T389="Equal Principal Payments (EPP)",
        IF(AND(BO$48&gt;=$E389, BO$48&lt;=($E389+$Q389)),
-PMT($P389,($Q389-$S389+1),($K389*(VLOOKUP($C$39,$C$37:$BL$44,MATCH($E389,$C$37:$BL$37,0),FALSE)/VLOOKUP($L389,$C$37:$BL$44,MATCH($E389,$C$37:$BL$37,0),FALSE))*
IF($B$5="Foreign Currency",VLOOKUP($C$38,$C$37:$BL$44,MATCH(BO$48,$C$37:$BL$37,0),FALSE)/VLOOKUP($C$39,$C$37:$BL$44,MATCH(BO$48,$C$37:$BL$37,0),FALSE),1)),0), 0),
    IF($T389="EPP with Grace Years for Principal and on Interest",
        IF(AND(BO$48&gt;=($E389+$S389), BO$48&lt;=($E389+$Q389)),
-PMT($P389,($Q389-$S389+1),($K389*(VLOOKUP($C$39,$C$37:$BL$44,MATCH($E389,$C$37:$BL$37,0),FALSE)/VLOOKUP($L389,$C$37:$BL$44,MATCH($E389,$C$37:$BL$37,0),FALSE))*
IF($B$5="Foreign Currency",VLOOKUP($C$38,$C$37:$BL$44,MATCH(BO$48,$C$37:$BL$37,0),FALSE)/VLOOKUP($C$39,$C$37:$BL$44,MATCH(BO$48,$C$37:$BL$37,0),FALSE),1))*((1+$P389)^$S389),0), 0),
    0)))))),"")</f>
        <v>0</v>
      </c>
      <c r="BP389" s="171">
        <f t="shared" si="636"/>
        <v>0</v>
      </c>
      <c r="BQ389" s="171">
        <f t="shared" si="636"/>
        <v>0</v>
      </c>
      <c r="BR389" s="171">
        <f t="shared" si="636"/>
        <v>0</v>
      </c>
      <c r="BS389" s="171">
        <f t="shared" si="636"/>
        <v>0</v>
      </c>
      <c r="BT389" s="171">
        <f t="shared" si="636"/>
        <v>0</v>
      </c>
      <c r="BU389" s="171">
        <f t="shared" si="636"/>
        <v>0</v>
      </c>
      <c r="BV389" s="171">
        <f t="shared" si="636"/>
        <v>0</v>
      </c>
      <c r="BW389" s="171">
        <f t="shared" si="636"/>
        <v>0</v>
      </c>
      <c r="BX389" s="171">
        <f t="shared" si="636"/>
        <v>0</v>
      </c>
      <c r="BY389" s="171">
        <f t="shared" ref="BY389:CI398" si="637">IFERROR(
    IF($T389="Equity",
        IF(AND(BY$48&gt;=$E389, BY$48&lt;=($E389+$Q389)),
$K389*$P389*(VLOOKUP($C$39,$C$37:$BL$44,MATCH($E389,$C$37:$BL$37,0),FALSE)/VLOOKUP($L389,$C$37:$BL$44,MATCH($E389,$C$37:$BL$37,0),FALSE))*
IF($B$5="Foreign Currency",VLOOKUP($C$38,$C$37:$BL$44,MATCH(BY$48,$C$37:$BL$37,0),FALSE)/VLOOKUP($C$39,$C$37:$BL$44,MATCH(BY$48,$C$37:$BL$37,0),FALSE),1),
0),
    IF($T389="Lump Sum Principal",
        IF(AND(BY$48&gt;=$E389, BY$48&lt;($E389+$Q389)),
$K389*$P389*(VLOOKUP($C$39,$C$37:$BL$44,MATCH($E389,$C$37:$BL$37,0),FALSE)/VLOOKUP($L389,$C$37:$BL$44,MATCH($E389,$C$37:$BL$37,0),FALSE))*
IF($B$5="Foreign Currency",VLOOKUP($C$38,$C$37:$BL$44,MATCH(BY$48,$C$37:$BL$37,0),FALSE)/VLOOKUP($C$39,$C$37:$BL$44,MATCH(BY$48,$C$37:$BL$37,0),FALSE),1),
        IF(BY$48=($E389+$Q389),
$K389*(1+$P389)*(VLOOKUP($C$39,$C$37:$BL$44,MATCH($E389,$C$37:$BL$37,0),FALSE)/VLOOKUP($L389,$C$37:$BL$44,MATCH($E389,$C$37:$BL$37,0),FALSE))*
IF($B$5="Foreign Currency",VLOOKUP($C$38,$C$37:$BL$44,MATCH(BY$48,$C$37:$BL$37,0),FALSE)/VLOOKUP($C$39,$C$37:$BL$44,MATCH(BY$48,$C$37:$BL$37,0),FALSE),1),
0)),
    IF($T389="Lump Sum Principal and Interest",
        IF(BY$48=($E389+$Q389),
$K389*((1+$P389)^$Q389)*(VLOOKUP($C$39,$C$37:$BL$44,MATCH($E389,$C$37:$BL$37,0),FALSE)/VLOOKUP($L389,$C$37:$BL$44,MATCH($E389,$C$37:$BL$37,0),FALSE))*
IF($B$5="Foreign Currency",VLOOKUP($C$38,$C$37:$BL$44,MATCH(BY$48,$C$37:$BL$37,0),FALSE)/VLOOKUP($C$39,$C$37:$BL$44,MATCH(BY$48,$C$37:$BL$37,0),FALSE),1),
0),
    IF($T389="EPP with Grace Years for Principal",
        IF(AND(BY$48&gt;=$E389, BY$48&lt;($E389+$S389)),
$K389*$P389*(VLOOKUP($C$39,$C$37:$BL$44,MATCH($E389,$C$37:$BL$37,0),FALSE)/VLOOKUP($L389,$C$37:$BL$44,MATCH($E389,$C$37:$BL$37,0),FALSE))*
IF($B$5="Foreign Currency",VLOOKUP($C$38,$C$37:$BL$44,MATCH(BY$48,$C$37:$BL$37,0),FALSE)/VLOOKUP($C$39,$C$37:$BL$44,MATCH(BY$48,$C$37:$BL$37,0),FALSE),1),
        IF(AND(BY$48&gt;=($E389+$S389), BY$48&lt;=($E389+$Q389)),
-PMT($P389,($Q389-$S389+1),($K389*(VLOOKUP($C$39,$C$37:$BL$44,MATCH($E389,$C$37:$BL$37,0),FALSE)/VLOOKUP($L389,$C$37:$BL$44,MATCH($E389,$C$37:$BL$37,0),FALSE))*
IF($B$5="Foreign Currency",VLOOKUP($C$38,$C$37:$BL$44,MATCH(BY$48,$C$37:$BL$37,0),FALSE)/VLOOKUP($C$39,$C$37:$BL$44,MATCH(BY$48,$C$37:$BL$37,0),FALSE),1)),0),
0)),
    IF($T389="Equal Principal Payments (EPP)",
        IF(AND(BY$48&gt;=$E389, BY$48&lt;=($E389+$Q389)),
-PMT($P389,($Q389-$S389+1),($K389*(VLOOKUP($C$39,$C$37:$BL$44,MATCH($E389,$C$37:$BL$37,0),FALSE)/VLOOKUP($L389,$C$37:$BL$44,MATCH($E389,$C$37:$BL$37,0),FALSE))*
IF($B$5="Foreign Currency",VLOOKUP($C$38,$C$37:$BL$44,MATCH(BY$48,$C$37:$BL$37,0),FALSE)/VLOOKUP($C$39,$C$37:$BL$44,MATCH(BY$48,$C$37:$BL$37,0),FALSE),1)),0), 0),
    IF($T389="EPP with Grace Years for Principal and on Interest",
        IF(AND(BY$48&gt;=($E389+$S389), BY$48&lt;=($E389+$Q389)),
-PMT($P389,($Q389-$S389+1),($K389*(VLOOKUP($C$39,$C$37:$BL$44,MATCH($E389,$C$37:$BL$37,0),FALSE)/VLOOKUP($L389,$C$37:$BL$44,MATCH($E389,$C$37:$BL$37,0),FALSE))*
IF($B$5="Foreign Currency",VLOOKUP($C$38,$C$37:$BL$44,MATCH(BY$48,$C$37:$BL$37,0),FALSE)/VLOOKUP($C$39,$C$37:$BL$44,MATCH(BY$48,$C$37:$BL$37,0),FALSE),1))*((1+$P389)^$S389),0), 0),
    0)))))),"")</f>
        <v>0</v>
      </c>
      <c r="BZ389" s="171">
        <f t="shared" si="637"/>
        <v>0</v>
      </c>
      <c r="CA389" s="171">
        <f t="shared" si="637"/>
        <v>0</v>
      </c>
      <c r="CB389" s="171">
        <f t="shared" si="637"/>
        <v>0</v>
      </c>
      <c r="CC389" s="171">
        <f t="shared" si="637"/>
        <v>0</v>
      </c>
      <c r="CD389" s="171">
        <f t="shared" si="637"/>
        <v>0</v>
      </c>
      <c r="CE389" s="171">
        <f t="shared" si="637"/>
        <v>0</v>
      </c>
      <c r="CF389" s="171">
        <f t="shared" si="637"/>
        <v>0</v>
      </c>
      <c r="CG389" s="171">
        <f t="shared" si="637"/>
        <v>0</v>
      </c>
      <c r="CH389" s="171">
        <f t="shared" si="637"/>
        <v>0</v>
      </c>
      <c r="CI389" s="171">
        <f t="shared" si="637"/>
        <v>0</v>
      </c>
      <c r="CJ389" s="243"/>
      <c r="CK389" s="171">
        <f t="shared" si="565"/>
        <v>0</v>
      </c>
      <c r="CL389" s="171">
        <f t="shared" si="566"/>
        <v>0</v>
      </c>
      <c r="CM389" s="171">
        <f t="shared" si="567"/>
        <v>0</v>
      </c>
      <c r="CN389" s="171">
        <f t="shared" si="568"/>
        <v>0</v>
      </c>
      <c r="CO389" s="171">
        <f t="shared" si="569"/>
        <v>0</v>
      </c>
      <c r="CP389" s="171">
        <f t="shared" si="570"/>
        <v>0</v>
      </c>
      <c r="CQ389" s="171">
        <f t="shared" si="571"/>
        <v>0</v>
      </c>
      <c r="CR389" s="171">
        <f t="shared" si="572"/>
        <v>0</v>
      </c>
      <c r="CS389" s="171">
        <f t="shared" si="573"/>
        <v>0</v>
      </c>
      <c r="CT389" s="171">
        <f t="shared" si="574"/>
        <v>0</v>
      </c>
      <c r="CU389" s="171">
        <f t="shared" si="575"/>
        <v>0</v>
      </c>
      <c r="CV389" s="171">
        <f t="shared" si="576"/>
        <v>0</v>
      </c>
      <c r="CW389" s="171">
        <f t="shared" si="577"/>
        <v>0</v>
      </c>
      <c r="CX389" s="171">
        <f t="shared" si="578"/>
        <v>0</v>
      </c>
      <c r="CY389" s="171">
        <f t="shared" ca="1" si="579"/>
        <v>0</v>
      </c>
      <c r="CZ389" s="171">
        <f t="shared" ca="1" si="580"/>
        <v>0</v>
      </c>
      <c r="DA389" s="171">
        <f t="shared" ca="1" si="581"/>
        <v>0</v>
      </c>
      <c r="DB389" s="171">
        <f t="shared" ca="1" si="582"/>
        <v>0</v>
      </c>
      <c r="DC389" s="171">
        <f t="shared" ca="1" si="583"/>
        <v>0</v>
      </c>
      <c r="DD389" s="171">
        <f t="shared" ca="1" si="584"/>
        <v>0</v>
      </c>
      <c r="DE389" s="171">
        <f t="shared" ca="1" si="585"/>
        <v>0</v>
      </c>
      <c r="DF389" s="171">
        <f t="shared" ca="1" si="586"/>
        <v>0</v>
      </c>
      <c r="DG389" s="171">
        <f t="shared" ca="1" si="587"/>
        <v>0</v>
      </c>
      <c r="DH389" s="171">
        <f t="shared" ca="1" si="588"/>
        <v>0</v>
      </c>
      <c r="DI389" s="171">
        <f t="shared" ca="1" si="589"/>
        <v>0</v>
      </c>
      <c r="DJ389" s="171">
        <f t="shared" ca="1" si="590"/>
        <v>0</v>
      </c>
      <c r="DK389" s="171">
        <f t="shared" ca="1" si="591"/>
        <v>0</v>
      </c>
      <c r="DL389" s="171">
        <f t="shared" ca="1" si="592"/>
        <v>0</v>
      </c>
      <c r="DM389" s="171">
        <f t="shared" ca="1" si="593"/>
        <v>0</v>
      </c>
      <c r="DN389" s="171">
        <f t="shared" ca="1" si="594"/>
        <v>0</v>
      </c>
      <c r="DO389" s="171">
        <f t="shared" ca="1" si="595"/>
        <v>0</v>
      </c>
      <c r="DP389" s="171">
        <f t="shared" ca="1" si="596"/>
        <v>0</v>
      </c>
      <c r="DQ389" s="171">
        <f t="shared" ca="1" si="597"/>
        <v>0</v>
      </c>
      <c r="DR389" s="171">
        <f t="shared" ca="1" si="598"/>
        <v>0</v>
      </c>
      <c r="DS389" s="171">
        <f t="shared" ca="1" si="599"/>
        <v>0</v>
      </c>
      <c r="DT389" s="171">
        <f t="shared" ca="1" si="600"/>
        <v>0</v>
      </c>
      <c r="DU389" s="171">
        <f t="shared" ca="1" si="601"/>
        <v>0</v>
      </c>
      <c r="DV389" s="171">
        <f t="shared" ca="1" si="602"/>
        <v>0</v>
      </c>
      <c r="DW389" s="171">
        <f t="shared" ca="1" si="603"/>
        <v>0</v>
      </c>
      <c r="DX389" s="171">
        <f t="shared" ca="1" si="604"/>
        <v>0</v>
      </c>
      <c r="DY389" s="171">
        <f t="shared" ca="1" si="605"/>
        <v>0</v>
      </c>
      <c r="DZ389" s="171">
        <f t="shared" ca="1" si="606"/>
        <v>0</v>
      </c>
      <c r="EA389" s="171">
        <f t="shared" ca="1" si="607"/>
        <v>0</v>
      </c>
      <c r="EB389" s="171">
        <f t="shared" ca="1" si="608"/>
        <v>0</v>
      </c>
      <c r="EC389" s="171">
        <f t="shared" ca="1" si="609"/>
        <v>0</v>
      </c>
      <c r="ED389" s="171">
        <f t="shared" ca="1" si="610"/>
        <v>0</v>
      </c>
      <c r="EE389" s="171">
        <f t="shared" ca="1" si="611"/>
        <v>0</v>
      </c>
      <c r="EF389" s="171">
        <f t="shared" ca="1" si="612"/>
        <v>0</v>
      </c>
      <c r="EG389" s="171">
        <f t="shared" ca="1" si="613"/>
        <v>0</v>
      </c>
      <c r="EH389" s="171">
        <f t="shared" ca="1" si="614"/>
        <v>0</v>
      </c>
      <c r="EI389" s="171">
        <f t="shared" ca="1" si="615"/>
        <v>0</v>
      </c>
      <c r="EJ389" s="171">
        <f t="shared" ca="1" si="616"/>
        <v>0</v>
      </c>
      <c r="EK389" s="171">
        <f t="shared" ca="1" si="617"/>
        <v>0</v>
      </c>
      <c r="EL389" s="171">
        <f t="shared" ca="1" si="618"/>
        <v>0</v>
      </c>
      <c r="EM389" s="171">
        <f t="shared" ca="1" si="619"/>
        <v>0</v>
      </c>
      <c r="EN389" s="171">
        <f t="shared" ca="1" si="620"/>
        <v>0</v>
      </c>
      <c r="EO389" s="171">
        <f t="shared" ca="1" si="621"/>
        <v>0</v>
      </c>
      <c r="EP389" s="171">
        <f t="shared" ca="1" si="622"/>
        <v>0</v>
      </c>
      <c r="EQ389" s="171">
        <f t="shared" ca="1" si="623"/>
        <v>0</v>
      </c>
      <c r="ER389" s="171">
        <f t="shared" ca="1" si="624"/>
        <v>0</v>
      </c>
      <c r="ES389" s="171">
        <f t="shared" ca="1" si="625"/>
        <v>0</v>
      </c>
    </row>
    <row r="390" spans="3:149">
      <c r="C390" s="214"/>
      <c r="L390" s="163"/>
      <c r="M390" s="164" t="str">
        <f t="shared" si="550"/>
        <v/>
      </c>
      <c r="N390" s="164" t="str">
        <f t="shared" si="551"/>
        <v/>
      </c>
      <c r="O390" s="165" t="str">
        <f t="shared" si="552"/>
        <v/>
      </c>
      <c r="R390" s="168"/>
      <c r="U390" s="171">
        <f t="shared" si="553"/>
        <v>0</v>
      </c>
      <c r="V390" s="171">
        <f t="shared" ca="1" si="554"/>
        <v>0</v>
      </c>
      <c r="W390" s="171">
        <f t="shared" ca="1" si="555"/>
        <v>0</v>
      </c>
      <c r="X390" s="172">
        <f t="shared" si="556"/>
        <v>0</v>
      </c>
      <c r="Y390" s="172" t="str">
        <f t="shared" si="557"/>
        <v/>
      </c>
      <c r="Z390" s="173">
        <f t="shared" si="558"/>
        <v>0</v>
      </c>
      <c r="AA390" s="171">
        <f t="shared" si="632"/>
        <v>0</v>
      </c>
      <c r="AB390" s="171">
        <f t="shared" si="632"/>
        <v>0</v>
      </c>
      <c r="AC390" s="171">
        <f t="shared" si="632"/>
        <v>0</v>
      </c>
      <c r="AD390" s="171">
        <f t="shared" si="632"/>
        <v>0</v>
      </c>
      <c r="AE390" s="171">
        <f t="shared" si="632"/>
        <v>0</v>
      </c>
      <c r="AF390" s="171">
        <f t="shared" si="632"/>
        <v>0</v>
      </c>
      <c r="AG390" s="171">
        <f t="shared" si="632"/>
        <v>0</v>
      </c>
      <c r="AH390" s="171">
        <f t="shared" si="632"/>
        <v>0</v>
      </c>
      <c r="AI390" s="171">
        <f t="shared" si="632"/>
        <v>0</v>
      </c>
      <c r="AJ390" s="171">
        <f t="shared" si="632"/>
        <v>0</v>
      </c>
      <c r="AK390" s="171">
        <f t="shared" si="633"/>
        <v>0</v>
      </c>
      <c r="AL390" s="171">
        <f t="shared" si="633"/>
        <v>0</v>
      </c>
      <c r="AM390" s="171">
        <f t="shared" si="633"/>
        <v>0</v>
      </c>
      <c r="AN390" s="171">
        <f t="shared" si="633"/>
        <v>0</v>
      </c>
      <c r="AO390" s="171">
        <f t="shared" si="633"/>
        <v>0</v>
      </c>
      <c r="AP390" s="171">
        <f t="shared" si="633"/>
        <v>0</v>
      </c>
      <c r="AQ390" s="171">
        <f t="shared" si="633"/>
        <v>0</v>
      </c>
      <c r="AR390" s="171">
        <f t="shared" si="633"/>
        <v>0</v>
      </c>
      <c r="AS390" s="171">
        <f t="shared" si="633"/>
        <v>0</v>
      </c>
      <c r="AT390" s="171">
        <f t="shared" si="633"/>
        <v>0</v>
      </c>
      <c r="AU390" s="171">
        <f t="shared" si="634"/>
        <v>0</v>
      </c>
      <c r="AV390" s="171">
        <f t="shared" si="634"/>
        <v>0</v>
      </c>
      <c r="AW390" s="171">
        <f t="shared" si="634"/>
        <v>0</v>
      </c>
      <c r="AX390" s="171">
        <f t="shared" si="634"/>
        <v>0</v>
      </c>
      <c r="AY390" s="171">
        <f t="shared" si="634"/>
        <v>0</v>
      </c>
      <c r="AZ390" s="171">
        <f t="shared" si="634"/>
        <v>0</v>
      </c>
      <c r="BA390" s="171">
        <f t="shared" si="634"/>
        <v>0</v>
      </c>
      <c r="BB390" s="171">
        <f t="shared" si="634"/>
        <v>0</v>
      </c>
      <c r="BC390" s="171">
        <f t="shared" si="634"/>
        <v>0</v>
      </c>
      <c r="BD390" s="171">
        <f t="shared" si="634"/>
        <v>0</v>
      </c>
      <c r="BE390" s="171">
        <f t="shared" si="635"/>
        <v>0</v>
      </c>
      <c r="BF390" s="171">
        <f t="shared" si="635"/>
        <v>0</v>
      </c>
      <c r="BG390" s="171">
        <f t="shared" si="635"/>
        <v>0</v>
      </c>
      <c r="BH390" s="171">
        <f t="shared" si="635"/>
        <v>0</v>
      </c>
      <c r="BI390" s="171">
        <f t="shared" si="635"/>
        <v>0</v>
      </c>
      <c r="BJ390" s="171">
        <f t="shared" si="635"/>
        <v>0</v>
      </c>
      <c r="BK390" s="171">
        <f t="shared" si="635"/>
        <v>0</v>
      </c>
      <c r="BL390" s="171">
        <f t="shared" si="635"/>
        <v>0</v>
      </c>
      <c r="BM390" s="171">
        <f t="shared" si="635"/>
        <v>0</v>
      </c>
      <c r="BN390" s="171">
        <f t="shared" si="635"/>
        <v>0</v>
      </c>
      <c r="BO390" s="171">
        <f t="shared" si="636"/>
        <v>0</v>
      </c>
      <c r="BP390" s="171">
        <f t="shared" si="636"/>
        <v>0</v>
      </c>
      <c r="BQ390" s="171">
        <f t="shared" si="636"/>
        <v>0</v>
      </c>
      <c r="BR390" s="171">
        <f t="shared" si="636"/>
        <v>0</v>
      </c>
      <c r="BS390" s="171">
        <f t="shared" si="636"/>
        <v>0</v>
      </c>
      <c r="BT390" s="171">
        <f t="shared" si="636"/>
        <v>0</v>
      </c>
      <c r="BU390" s="171">
        <f t="shared" si="636"/>
        <v>0</v>
      </c>
      <c r="BV390" s="171">
        <f t="shared" si="636"/>
        <v>0</v>
      </c>
      <c r="BW390" s="171">
        <f t="shared" si="636"/>
        <v>0</v>
      </c>
      <c r="BX390" s="171">
        <f t="shared" si="636"/>
        <v>0</v>
      </c>
      <c r="BY390" s="171">
        <f t="shared" si="637"/>
        <v>0</v>
      </c>
      <c r="BZ390" s="171">
        <f t="shared" si="637"/>
        <v>0</v>
      </c>
      <c r="CA390" s="171">
        <f t="shared" si="637"/>
        <v>0</v>
      </c>
      <c r="CB390" s="171">
        <f t="shared" si="637"/>
        <v>0</v>
      </c>
      <c r="CC390" s="171">
        <f t="shared" si="637"/>
        <v>0</v>
      </c>
      <c r="CD390" s="171">
        <f t="shared" si="637"/>
        <v>0</v>
      </c>
      <c r="CE390" s="171">
        <f t="shared" si="637"/>
        <v>0</v>
      </c>
      <c r="CF390" s="171">
        <f t="shared" si="637"/>
        <v>0</v>
      </c>
      <c r="CG390" s="171">
        <f t="shared" si="637"/>
        <v>0</v>
      </c>
      <c r="CH390" s="171">
        <f t="shared" si="637"/>
        <v>0</v>
      </c>
      <c r="CI390" s="171">
        <f t="shared" si="637"/>
        <v>0</v>
      </c>
      <c r="CJ390" s="243"/>
      <c r="CK390" s="171">
        <f t="shared" si="565"/>
        <v>0</v>
      </c>
      <c r="CL390" s="171">
        <f t="shared" si="566"/>
        <v>0</v>
      </c>
      <c r="CM390" s="171">
        <f t="shared" si="567"/>
        <v>0</v>
      </c>
      <c r="CN390" s="171">
        <f t="shared" si="568"/>
        <v>0</v>
      </c>
      <c r="CO390" s="171">
        <f t="shared" si="569"/>
        <v>0</v>
      </c>
      <c r="CP390" s="171">
        <f t="shared" si="570"/>
        <v>0</v>
      </c>
      <c r="CQ390" s="171">
        <f t="shared" si="571"/>
        <v>0</v>
      </c>
      <c r="CR390" s="171">
        <f t="shared" si="572"/>
        <v>0</v>
      </c>
      <c r="CS390" s="171">
        <f t="shared" si="573"/>
        <v>0</v>
      </c>
      <c r="CT390" s="171">
        <f t="shared" si="574"/>
        <v>0</v>
      </c>
      <c r="CU390" s="171">
        <f t="shared" si="575"/>
        <v>0</v>
      </c>
      <c r="CV390" s="171">
        <f t="shared" si="576"/>
        <v>0</v>
      </c>
      <c r="CW390" s="171">
        <f t="shared" si="577"/>
        <v>0</v>
      </c>
      <c r="CX390" s="171">
        <f t="shared" si="578"/>
        <v>0</v>
      </c>
      <c r="CY390" s="171">
        <f t="shared" ca="1" si="579"/>
        <v>0</v>
      </c>
      <c r="CZ390" s="171">
        <f t="shared" ca="1" si="580"/>
        <v>0</v>
      </c>
      <c r="DA390" s="171">
        <f t="shared" ca="1" si="581"/>
        <v>0</v>
      </c>
      <c r="DB390" s="171">
        <f t="shared" ca="1" si="582"/>
        <v>0</v>
      </c>
      <c r="DC390" s="171">
        <f t="shared" ca="1" si="583"/>
        <v>0</v>
      </c>
      <c r="DD390" s="171">
        <f t="shared" ca="1" si="584"/>
        <v>0</v>
      </c>
      <c r="DE390" s="171">
        <f t="shared" ca="1" si="585"/>
        <v>0</v>
      </c>
      <c r="DF390" s="171">
        <f t="shared" ca="1" si="586"/>
        <v>0</v>
      </c>
      <c r="DG390" s="171">
        <f t="shared" ca="1" si="587"/>
        <v>0</v>
      </c>
      <c r="DH390" s="171">
        <f t="shared" ca="1" si="588"/>
        <v>0</v>
      </c>
      <c r="DI390" s="171">
        <f t="shared" ca="1" si="589"/>
        <v>0</v>
      </c>
      <c r="DJ390" s="171">
        <f t="shared" ca="1" si="590"/>
        <v>0</v>
      </c>
      <c r="DK390" s="171">
        <f t="shared" ca="1" si="591"/>
        <v>0</v>
      </c>
      <c r="DL390" s="171">
        <f t="shared" ca="1" si="592"/>
        <v>0</v>
      </c>
      <c r="DM390" s="171">
        <f t="shared" ca="1" si="593"/>
        <v>0</v>
      </c>
      <c r="DN390" s="171">
        <f t="shared" ca="1" si="594"/>
        <v>0</v>
      </c>
      <c r="DO390" s="171">
        <f t="shared" ca="1" si="595"/>
        <v>0</v>
      </c>
      <c r="DP390" s="171">
        <f t="shared" ca="1" si="596"/>
        <v>0</v>
      </c>
      <c r="DQ390" s="171">
        <f t="shared" ca="1" si="597"/>
        <v>0</v>
      </c>
      <c r="DR390" s="171">
        <f t="shared" ca="1" si="598"/>
        <v>0</v>
      </c>
      <c r="DS390" s="171">
        <f t="shared" ca="1" si="599"/>
        <v>0</v>
      </c>
      <c r="DT390" s="171">
        <f t="shared" ca="1" si="600"/>
        <v>0</v>
      </c>
      <c r="DU390" s="171">
        <f t="shared" ca="1" si="601"/>
        <v>0</v>
      </c>
      <c r="DV390" s="171">
        <f t="shared" ca="1" si="602"/>
        <v>0</v>
      </c>
      <c r="DW390" s="171">
        <f t="shared" ca="1" si="603"/>
        <v>0</v>
      </c>
      <c r="DX390" s="171">
        <f t="shared" ca="1" si="604"/>
        <v>0</v>
      </c>
      <c r="DY390" s="171">
        <f t="shared" ca="1" si="605"/>
        <v>0</v>
      </c>
      <c r="DZ390" s="171">
        <f t="shared" ca="1" si="606"/>
        <v>0</v>
      </c>
      <c r="EA390" s="171">
        <f t="shared" ca="1" si="607"/>
        <v>0</v>
      </c>
      <c r="EB390" s="171">
        <f t="shared" ca="1" si="608"/>
        <v>0</v>
      </c>
      <c r="EC390" s="171">
        <f t="shared" ca="1" si="609"/>
        <v>0</v>
      </c>
      <c r="ED390" s="171">
        <f t="shared" ca="1" si="610"/>
        <v>0</v>
      </c>
      <c r="EE390" s="171">
        <f t="shared" ca="1" si="611"/>
        <v>0</v>
      </c>
      <c r="EF390" s="171">
        <f t="shared" ca="1" si="612"/>
        <v>0</v>
      </c>
      <c r="EG390" s="171">
        <f t="shared" ca="1" si="613"/>
        <v>0</v>
      </c>
      <c r="EH390" s="171">
        <f t="shared" ca="1" si="614"/>
        <v>0</v>
      </c>
      <c r="EI390" s="171">
        <f t="shared" ca="1" si="615"/>
        <v>0</v>
      </c>
      <c r="EJ390" s="171">
        <f t="shared" ca="1" si="616"/>
        <v>0</v>
      </c>
      <c r="EK390" s="171">
        <f t="shared" ca="1" si="617"/>
        <v>0</v>
      </c>
      <c r="EL390" s="171">
        <f t="shared" ca="1" si="618"/>
        <v>0</v>
      </c>
      <c r="EM390" s="171">
        <f t="shared" ca="1" si="619"/>
        <v>0</v>
      </c>
      <c r="EN390" s="171">
        <f t="shared" ca="1" si="620"/>
        <v>0</v>
      </c>
      <c r="EO390" s="171">
        <f t="shared" ca="1" si="621"/>
        <v>0</v>
      </c>
      <c r="EP390" s="171">
        <f t="shared" ca="1" si="622"/>
        <v>0</v>
      </c>
      <c r="EQ390" s="171">
        <f t="shared" ca="1" si="623"/>
        <v>0</v>
      </c>
      <c r="ER390" s="171">
        <f t="shared" ca="1" si="624"/>
        <v>0</v>
      </c>
      <c r="ES390" s="171">
        <f t="shared" ca="1" si="625"/>
        <v>0</v>
      </c>
    </row>
    <row r="391" spans="3:149">
      <c r="C391" s="214"/>
      <c r="L391" s="163"/>
      <c r="M391" s="164" t="str">
        <f t="shared" si="550"/>
        <v/>
      </c>
      <c r="N391" s="164" t="str">
        <f t="shared" si="551"/>
        <v/>
      </c>
      <c r="O391" s="165" t="str">
        <f t="shared" si="552"/>
        <v/>
      </c>
      <c r="R391" s="168"/>
      <c r="U391" s="171">
        <f t="shared" si="553"/>
        <v>0</v>
      </c>
      <c r="V391" s="171">
        <f t="shared" ca="1" si="554"/>
        <v>0</v>
      </c>
      <c r="W391" s="171">
        <f t="shared" ca="1" si="555"/>
        <v>0</v>
      </c>
      <c r="X391" s="172">
        <f t="shared" si="556"/>
        <v>0</v>
      </c>
      <c r="Y391" s="172" t="str">
        <f t="shared" si="557"/>
        <v/>
      </c>
      <c r="Z391" s="173">
        <f t="shared" si="558"/>
        <v>0</v>
      </c>
      <c r="AA391" s="171">
        <f t="shared" si="632"/>
        <v>0</v>
      </c>
      <c r="AB391" s="171">
        <f t="shared" si="632"/>
        <v>0</v>
      </c>
      <c r="AC391" s="171">
        <f t="shared" si="632"/>
        <v>0</v>
      </c>
      <c r="AD391" s="171">
        <f t="shared" si="632"/>
        <v>0</v>
      </c>
      <c r="AE391" s="171">
        <f t="shared" si="632"/>
        <v>0</v>
      </c>
      <c r="AF391" s="171">
        <f t="shared" si="632"/>
        <v>0</v>
      </c>
      <c r="AG391" s="171">
        <f t="shared" si="632"/>
        <v>0</v>
      </c>
      <c r="AH391" s="171">
        <f t="shared" si="632"/>
        <v>0</v>
      </c>
      <c r="AI391" s="171">
        <f t="shared" si="632"/>
        <v>0</v>
      </c>
      <c r="AJ391" s="171">
        <f t="shared" si="632"/>
        <v>0</v>
      </c>
      <c r="AK391" s="171">
        <f t="shared" si="633"/>
        <v>0</v>
      </c>
      <c r="AL391" s="171">
        <f t="shared" si="633"/>
        <v>0</v>
      </c>
      <c r="AM391" s="171">
        <f t="shared" si="633"/>
        <v>0</v>
      </c>
      <c r="AN391" s="171">
        <f t="shared" si="633"/>
        <v>0</v>
      </c>
      <c r="AO391" s="171">
        <f t="shared" si="633"/>
        <v>0</v>
      </c>
      <c r="AP391" s="171">
        <f t="shared" si="633"/>
        <v>0</v>
      </c>
      <c r="AQ391" s="171">
        <f t="shared" si="633"/>
        <v>0</v>
      </c>
      <c r="AR391" s="171">
        <f t="shared" si="633"/>
        <v>0</v>
      </c>
      <c r="AS391" s="171">
        <f t="shared" si="633"/>
        <v>0</v>
      </c>
      <c r="AT391" s="171">
        <f t="shared" si="633"/>
        <v>0</v>
      </c>
      <c r="AU391" s="171">
        <f t="shared" si="634"/>
        <v>0</v>
      </c>
      <c r="AV391" s="171">
        <f t="shared" si="634"/>
        <v>0</v>
      </c>
      <c r="AW391" s="171">
        <f t="shared" si="634"/>
        <v>0</v>
      </c>
      <c r="AX391" s="171">
        <f t="shared" si="634"/>
        <v>0</v>
      </c>
      <c r="AY391" s="171">
        <f t="shared" si="634"/>
        <v>0</v>
      </c>
      <c r="AZ391" s="171">
        <f t="shared" si="634"/>
        <v>0</v>
      </c>
      <c r="BA391" s="171">
        <f t="shared" si="634"/>
        <v>0</v>
      </c>
      <c r="BB391" s="171">
        <f t="shared" si="634"/>
        <v>0</v>
      </c>
      <c r="BC391" s="171">
        <f t="shared" si="634"/>
        <v>0</v>
      </c>
      <c r="BD391" s="171">
        <f t="shared" si="634"/>
        <v>0</v>
      </c>
      <c r="BE391" s="171">
        <f t="shared" si="635"/>
        <v>0</v>
      </c>
      <c r="BF391" s="171">
        <f t="shared" si="635"/>
        <v>0</v>
      </c>
      <c r="BG391" s="171">
        <f t="shared" si="635"/>
        <v>0</v>
      </c>
      <c r="BH391" s="171">
        <f t="shared" si="635"/>
        <v>0</v>
      </c>
      <c r="BI391" s="171">
        <f t="shared" si="635"/>
        <v>0</v>
      </c>
      <c r="BJ391" s="171">
        <f t="shared" si="635"/>
        <v>0</v>
      </c>
      <c r="BK391" s="171">
        <f t="shared" si="635"/>
        <v>0</v>
      </c>
      <c r="BL391" s="171">
        <f t="shared" si="635"/>
        <v>0</v>
      </c>
      <c r="BM391" s="171">
        <f t="shared" si="635"/>
        <v>0</v>
      </c>
      <c r="BN391" s="171">
        <f t="shared" si="635"/>
        <v>0</v>
      </c>
      <c r="BO391" s="171">
        <f t="shared" si="636"/>
        <v>0</v>
      </c>
      <c r="BP391" s="171">
        <f t="shared" si="636"/>
        <v>0</v>
      </c>
      <c r="BQ391" s="171">
        <f t="shared" si="636"/>
        <v>0</v>
      </c>
      <c r="BR391" s="171">
        <f t="shared" si="636"/>
        <v>0</v>
      </c>
      <c r="BS391" s="171">
        <f t="shared" si="636"/>
        <v>0</v>
      </c>
      <c r="BT391" s="171">
        <f t="shared" si="636"/>
        <v>0</v>
      </c>
      <c r="BU391" s="171">
        <f t="shared" si="636"/>
        <v>0</v>
      </c>
      <c r="BV391" s="171">
        <f t="shared" si="636"/>
        <v>0</v>
      </c>
      <c r="BW391" s="171">
        <f t="shared" si="636"/>
        <v>0</v>
      </c>
      <c r="BX391" s="171">
        <f t="shared" si="636"/>
        <v>0</v>
      </c>
      <c r="BY391" s="171">
        <f t="shared" si="637"/>
        <v>0</v>
      </c>
      <c r="BZ391" s="171">
        <f t="shared" si="637"/>
        <v>0</v>
      </c>
      <c r="CA391" s="171">
        <f t="shared" si="637"/>
        <v>0</v>
      </c>
      <c r="CB391" s="171">
        <f t="shared" si="637"/>
        <v>0</v>
      </c>
      <c r="CC391" s="171">
        <f t="shared" si="637"/>
        <v>0</v>
      </c>
      <c r="CD391" s="171">
        <f t="shared" si="637"/>
        <v>0</v>
      </c>
      <c r="CE391" s="171">
        <f t="shared" si="637"/>
        <v>0</v>
      </c>
      <c r="CF391" s="171">
        <f t="shared" si="637"/>
        <v>0</v>
      </c>
      <c r="CG391" s="171">
        <f t="shared" si="637"/>
        <v>0</v>
      </c>
      <c r="CH391" s="171">
        <f t="shared" si="637"/>
        <v>0</v>
      </c>
      <c r="CI391" s="171">
        <f t="shared" si="637"/>
        <v>0</v>
      </c>
      <c r="CJ391" s="243"/>
      <c r="CK391" s="171">
        <f t="shared" si="565"/>
        <v>0</v>
      </c>
      <c r="CL391" s="171">
        <f t="shared" si="566"/>
        <v>0</v>
      </c>
      <c r="CM391" s="171">
        <f t="shared" si="567"/>
        <v>0</v>
      </c>
      <c r="CN391" s="171">
        <f t="shared" si="568"/>
        <v>0</v>
      </c>
      <c r="CO391" s="171">
        <f t="shared" si="569"/>
        <v>0</v>
      </c>
      <c r="CP391" s="171">
        <f t="shared" si="570"/>
        <v>0</v>
      </c>
      <c r="CQ391" s="171">
        <f t="shared" si="571"/>
        <v>0</v>
      </c>
      <c r="CR391" s="171">
        <f t="shared" si="572"/>
        <v>0</v>
      </c>
      <c r="CS391" s="171">
        <f t="shared" si="573"/>
        <v>0</v>
      </c>
      <c r="CT391" s="171">
        <f t="shared" si="574"/>
        <v>0</v>
      </c>
      <c r="CU391" s="171">
        <f t="shared" si="575"/>
        <v>0</v>
      </c>
      <c r="CV391" s="171">
        <f t="shared" si="576"/>
        <v>0</v>
      </c>
      <c r="CW391" s="171">
        <f t="shared" si="577"/>
        <v>0</v>
      </c>
      <c r="CX391" s="171">
        <f t="shared" si="578"/>
        <v>0</v>
      </c>
      <c r="CY391" s="171">
        <f t="shared" ca="1" si="579"/>
        <v>0</v>
      </c>
      <c r="CZ391" s="171">
        <f t="shared" ca="1" si="580"/>
        <v>0</v>
      </c>
      <c r="DA391" s="171">
        <f t="shared" ca="1" si="581"/>
        <v>0</v>
      </c>
      <c r="DB391" s="171">
        <f t="shared" ca="1" si="582"/>
        <v>0</v>
      </c>
      <c r="DC391" s="171">
        <f t="shared" ca="1" si="583"/>
        <v>0</v>
      </c>
      <c r="DD391" s="171">
        <f t="shared" ca="1" si="584"/>
        <v>0</v>
      </c>
      <c r="DE391" s="171">
        <f t="shared" ca="1" si="585"/>
        <v>0</v>
      </c>
      <c r="DF391" s="171">
        <f t="shared" ca="1" si="586"/>
        <v>0</v>
      </c>
      <c r="DG391" s="171">
        <f t="shared" ca="1" si="587"/>
        <v>0</v>
      </c>
      <c r="DH391" s="171">
        <f t="shared" ca="1" si="588"/>
        <v>0</v>
      </c>
      <c r="DI391" s="171">
        <f t="shared" ca="1" si="589"/>
        <v>0</v>
      </c>
      <c r="DJ391" s="171">
        <f t="shared" ca="1" si="590"/>
        <v>0</v>
      </c>
      <c r="DK391" s="171">
        <f t="shared" ca="1" si="591"/>
        <v>0</v>
      </c>
      <c r="DL391" s="171">
        <f t="shared" ca="1" si="592"/>
        <v>0</v>
      </c>
      <c r="DM391" s="171">
        <f t="shared" ca="1" si="593"/>
        <v>0</v>
      </c>
      <c r="DN391" s="171">
        <f t="shared" ca="1" si="594"/>
        <v>0</v>
      </c>
      <c r="DO391" s="171">
        <f t="shared" ca="1" si="595"/>
        <v>0</v>
      </c>
      <c r="DP391" s="171">
        <f t="shared" ca="1" si="596"/>
        <v>0</v>
      </c>
      <c r="DQ391" s="171">
        <f t="shared" ca="1" si="597"/>
        <v>0</v>
      </c>
      <c r="DR391" s="171">
        <f t="shared" ca="1" si="598"/>
        <v>0</v>
      </c>
      <c r="DS391" s="171">
        <f t="shared" ca="1" si="599"/>
        <v>0</v>
      </c>
      <c r="DT391" s="171">
        <f t="shared" ca="1" si="600"/>
        <v>0</v>
      </c>
      <c r="DU391" s="171">
        <f t="shared" ca="1" si="601"/>
        <v>0</v>
      </c>
      <c r="DV391" s="171">
        <f t="shared" ca="1" si="602"/>
        <v>0</v>
      </c>
      <c r="DW391" s="171">
        <f t="shared" ca="1" si="603"/>
        <v>0</v>
      </c>
      <c r="DX391" s="171">
        <f t="shared" ca="1" si="604"/>
        <v>0</v>
      </c>
      <c r="DY391" s="171">
        <f t="shared" ca="1" si="605"/>
        <v>0</v>
      </c>
      <c r="DZ391" s="171">
        <f t="shared" ca="1" si="606"/>
        <v>0</v>
      </c>
      <c r="EA391" s="171">
        <f t="shared" ca="1" si="607"/>
        <v>0</v>
      </c>
      <c r="EB391" s="171">
        <f t="shared" ca="1" si="608"/>
        <v>0</v>
      </c>
      <c r="EC391" s="171">
        <f t="shared" ca="1" si="609"/>
        <v>0</v>
      </c>
      <c r="ED391" s="171">
        <f t="shared" ca="1" si="610"/>
        <v>0</v>
      </c>
      <c r="EE391" s="171">
        <f t="shared" ca="1" si="611"/>
        <v>0</v>
      </c>
      <c r="EF391" s="171">
        <f t="shared" ca="1" si="612"/>
        <v>0</v>
      </c>
      <c r="EG391" s="171">
        <f t="shared" ca="1" si="613"/>
        <v>0</v>
      </c>
      <c r="EH391" s="171">
        <f t="shared" ca="1" si="614"/>
        <v>0</v>
      </c>
      <c r="EI391" s="171">
        <f t="shared" ca="1" si="615"/>
        <v>0</v>
      </c>
      <c r="EJ391" s="171">
        <f t="shared" ca="1" si="616"/>
        <v>0</v>
      </c>
      <c r="EK391" s="171">
        <f t="shared" ca="1" si="617"/>
        <v>0</v>
      </c>
      <c r="EL391" s="171">
        <f t="shared" ca="1" si="618"/>
        <v>0</v>
      </c>
      <c r="EM391" s="171">
        <f t="shared" ca="1" si="619"/>
        <v>0</v>
      </c>
      <c r="EN391" s="171">
        <f t="shared" ca="1" si="620"/>
        <v>0</v>
      </c>
      <c r="EO391" s="171">
        <f t="shared" ca="1" si="621"/>
        <v>0</v>
      </c>
      <c r="EP391" s="171">
        <f t="shared" ca="1" si="622"/>
        <v>0</v>
      </c>
      <c r="EQ391" s="171">
        <f t="shared" ca="1" si="623"/>
        <v>0</v>
      </c>
      <c r="ER391" s="171">
        <f t="shared" ca="1" si="624"/>
        <v>0</v>
      </c>
      <c r="ES391" s="171">
        <f t="shared" ca="1" si="625"/>
        <v>0</v>
      </c>
    </row>
    <row r="392" spans="3:149">
      <c r="C392" s="214"/>
      <c r="L392" s="163"/>
      <c r="M392" s="164" t="str">
        <f t="shared" si="550"/>
        <v/>
      </c>
      <c r="N392" s="164" t="str">
        <f t="shared" si="551"/>
        <v/>
      </c>
      <c r="O392" s="165" t="str">
        <f t="shared" si="552"/>
        <v/>
      </c>
      <c r="R392" s="168"/>
      <c r="U392" s="171">
        <f t="shared" si="553"/>
        <v>0</v>
      </c>
      <c r="V392" s="171">
        <f t="shared" ca="1" si="554"/>
        <v>0</v>
      </c>
      <c r="W392" s="171">
        <f t="shared" ca="1" si="555"/>
        <v>0</v>
      </c>
      <c r="X392" s="172">
        <f t="shared" si="556"/>
        <v>0</v>
      </c>
      <c r="Y392" s="172" t="str">
        <f t="shared" si="557"/>
        <v/>
      </c>
      <c r="Z392" s="173">
        <f t="shared" si="558"/>
        <v>0</v>
      </c>
      <c r="AA392" s="171">
        <f t="shared" si="632"/>
        <v>0</v>
      </c>
      <c r="AB392" s="171">
        <f t="shared" si="632"/>
        <v>0</v>
      </c>
      <c r="AC392" s="171">
        <f t="shared" si="632"/>
        <v>0</v>
      </c>
      <c r="AD392" s="171">
        <f t="shared" si="632"/>
        <v>0</v>
      </c>
      <c r="AE392" s="171">
        <f t="shared" si="632"/>
        <v>0</v>
      </c>
      <c r="AF392" s="171">
        <f t="shared" si="632"/>
        <v>0</v>
      </c>
      <c r="AG392" s="171">
        <f t="shared" si="632"/>
        <v>0</v>
      </c>
      <c r="AH392" s="171">
        <f t="shared" si="632"/>
        <v>0</v>
      </c>
      <c r="AI392" s="171">
        <f t="shared" si="632"/>
        <v>0</v>
      </c>
      <c r="AJ392" s="171">
        <f t="shared" si="632"/>
        <v>0</v>
      </c>
      <c r="AK392" s="171">
        <f t="shared" si="633"/>
        <v>0</v>
      </c>
      <c r="AL392" s="171">
        <f t="shared" si="633"/>
        <v>0</v>
      </c>
      <c r="AM392" s="171">
        <f t="shared" si="633"/>
        <v>0</v>
      </c>
      <c r="AN392" s="171">
        <f t="shared" si="633"/>
        <v>0</v>
      </c>
      <c r="AO392" s="171">
        <f t="shared" si="633"/>
        <v>0</v>
      </c>
      <c r="AP392" s="171">
        <f t="shared" si="633"/>
        <v>0</v>
      </c>
      <c r="AQ392" s="171">
        <f t="shared" si="633"/>
        <v>0</v>
      </c>
      <c r="AR392" s="171">
        <f t="shared" si="633"/>
        <v>0</v>
      </c>
      <c r="AS392" s="171">
        <f t="shared" si="633"/>
        <v>0</v>
      </c>
      <c r="AT392" s="171">
        <f t="shared" si="633"/>
        <v>0</v>
      </c>
      <c r="AU392" s="171">
        <f t="shared" si="634"/>
        <v>0</v>
      </c>
      <c r="AV392" s="171">
        <f t="shared" si="634"/>
        <v>0</v>
      </c>
      <c r="AW392" s="171">
        <f t="shared" si="634"/>
        <v>0</v>
      </c>
      <c r="AX392" s="171">
        <f t="shared" si="634"/>
        <v>0</v>
      </c>
      <c r="AY392" s="171">
        <f t="shared" si="634"/>
        <v>0</v>
      </c>
      <c r="AZ392" s="171">
        <f t="shared" si="634"/>
        <v>0</v>
      </c>
      <c r="BA392" s="171">
        <f t="shared" si="634"/>
        <v>0</v>
      </c>
      <c r="BB392" s="171">
        <f t="shared" si="634"/>
        <v>0</v>
      </c>
      <c r="BC392" s="171">
        <f t="shared" si="634"/>
        <v>0</v>
      </c>
      <c r="BD392" s="171">
        <f t="shared" si="634"/>
        <v>0</v>
      </c>
      <c r="BE392" s="171">
        <f t="shared" si="635"/>
        <v>0</v>
      </c>
      <c r="BF392" s="171">
        <f t="shared" si="635"/>
        <v>0</v>
      </c>
      <c r="BG392" s="171">
        <f t="shared" si="635"/>
        <v>0</v>
      </c>
      <c r="BH392" s="171">
        <f t="shared" si="635"/>
        <v>0</v>
      </c>
      <c r="BI392" s="171">
        <f t="shared" si="635"/>
        <v>0</v>
      </c>
      <c r="BJ392" s="171">
        <f t="shared" si="635"/>
        <v>0</v>
      </c>
      <c r="BK392" s="171">
        <f t="shared" si="635"/>
        <v>0</v>
      </c>
      <c r="BL392" s="171">
        <f t="shared" si="635"/>
        <v>0</v>
      </c>
      <c r="BM392" s="171">
        <f t="shared" si="635"/>
        <v>0</v>
      </c>
      <c r="BN392" s="171">
        <f t="shared" si="635"/>
        <v>0</v>
      </c>
      <c r="BO392" s="171">
        <f t="shared" si="636"/>
        <v>0</v>
      </c>
      <c r="BP392" s="171">
        <f t="shared" si="636"/>
        <v>0</v>
      </c>
      <c r="BQ392" s="171">
        <f t="shared" si="636"/>
        <v>0</v>
      </c>
      <c r="BR392" s="171">
        <f t="shared" si="636"/>
        <v>0</v>
      </c>
      <c r="BS392" s="171">
        <f t="shared" si="636"/>
        <v>0</v>
      </c>
      <c r="BT392" s="171">
        <f t="shared" si="636"/>
        <v>0</v>
      </c>
      <c r="BU392" s="171">
        <f t="shared" si="636"/>
        <v>0</v>
      </c>
      <c r="BV392" s="171">
        <f t="shared" si="636"/>
        <v>0</v>
      </c>
      <c r="BW392" s="171">
        <f t="shared" si="636"/>
        <v>0</v>
      </c>
      <c r="BX392" s="171">
        <f t="shared" si="636"/>
        <v>0</v>
      </c>
      <c r="BY392" s="171">
        <f t="shared" si="637"/>
        <v>0</v>
      </c>
      <c r="BZ392" s="171">
        <f t="shared" si="637"/>
        <v>0</v>
      </c>
      <c r="CA392" s="171">
        <f t="shared" si="637"/>
        <v>0</v>
      </c>
      <c r="CB392" s="171">
        <f t="shared" si="637"/>
        <v>0</v>
      </c>
      <c r="CC392" s="171">
        <f t="shared" si="637"/>
        <v>0</v>
      </c>
      <c r="CD392" s="171">
        <f t="shared" si="637"/>
        <v>0</v>
      </c>
      <c r="CE392" s="171">
        <f t="shared" si="637"/>
        <v>0</v>
      </c>
      <c r="CF392" s="171">
        <f t="shared" si="637"/>
        <v>0</v>
      </c>
      <c r="CG392" s="171">
        <f t="shared" si="637"/>
        <v>0</v>
      </c>
      <c r="CH392" s="171">
        <f t="shared" si="637"/>
        <v>0</v>
      </c>
      <c r="CI392" s="171">
        <f t="shared" si="637"/>
        <v>0</v>
      </c>
      <c r="CJ392" s="243"/>
      <c r="CK392" s="171">
        <f t="shared" si="565"/>
        <v>0</v>
      </c>
      <c r="CL392" s="171">
        <f t="shared" si="566"/>
        <v>0</v>
      </c>
      <c r="CM392" s="171">
        <f t="shared" si="567"/>
        <v>0</v>
      </c>
      <c r="CN392" s="171">
        <f t="shared" si="568"/>
        <v>0</v>
      </c>
      <c r="CO392" s="171">
        <f t="shared" si="569"/>
        <v>0</v>
      </c>
      <c r="CP392" s="171">
        <f t="shared" si="570"/>
        <v>0</v>
      </c>
      <c r="CQ392" s="171">
        <f t="shared" si="571"/>
        <v>0</v>
      </c>
      <c r="CR392" s="171">
        <f t="shared" si="572"/>
        <v>0</v>
      </c>
      <c r="CS392" s="171">
        <f t="shared" si="573"/>
        <v>0</v>
      </c>
      <c r="CT392" s="171">
        <f t="shared" si="574"/>
        <v>0</v>
      </c>
      <c r="CU392" s="171">
        <f t="shared" si="575"/>
        <v>0</v>
      </c>
      <c r="CV392" s="171">
        <f t="shared" si="576"/>
        <v>0</v>
      </c>
      <c r="CW392" s="171">
        <f t="shared" si="577"/>
        <v>0</v>
      </c>
      <c r="CX392" s="171">
        <f t="shared" si="578"/>
        <v>0</v>
      </c>
      <c r="CY392" s="171">
        <f t="shared" ca="1" si="579"/>
        <v>0</v>
      </c>
      <c r="CZ392" s="171">
        <f t="shared" ca="1" si="580"/>
        <v>0</v>
      </c>
      <c r="DA392" s="171">
        <f t="shared" ca="1" si="581"/>
        <v>0</v>
      </c>
      <c r="DB392" s="171">
        <f t="shared" ca="1" si="582"/>
        <v>0</v>
      </c>
      <c r="DC392" s="171">
        <f t="shared" ca="1" si="583"/>
        <v>0</v>
      </c>
      <c r="DD392" s="171">
        <f t="shared" ca="1" si="584"/>
        <v>0</v>
      </c>
      <c r="DE392" s="171">
        <f t="shared" ca="1" si="585"/>
        <v>0</v>
      </c>
      <c r="DF392" s="171">
        <f t="shared" ca="1" si="586"/>
        <v>0</v>
      </c>
      <c r="DG392" s="171">
        <f t="shared" ca="1" si="587"/>
        <v>0</v>
      </c>
      <c r="DH392" s="171">
        <f t="shared" ca="1" si="588"/>
        <v>0</v>
      </c>
      <c r="DI392" s="171">
        <f t="shared" ca="1" si="589"/>
        <v>0</v>
      </c>
      <c r="DJ392" s="171">
        <f t="shared" ca="1" si="590"/>
        <v>0</v>
      </c>
      <c r="DK392" s="171">
        <f t="shared" ca="1" si="591"/>
        <v>0</v>
      </c>
      <c r="DL392" s="171">
        <f t="shared" ca="1" si="592"/>
        <v>0</v>
      </c>
      <c r="DM392" s="171">
        <f t="shared" ca="1" si="593"/>
        <v>0</v>
      </c>
      <c r="DN392" s="171">
        <f t="shared" ca="1" si="594"/>
        <v>0</v>
      </c>
      <c r="DO392" s="171">
        <f t="shared" ca="1" si="595"/>
        <v>0</v>
      </c>
      <c r="DP392" s="171">
        <f t="shared" ca="1" si="596"/>
        <v>0</v>
      </c>
      <c r="DQ392" s="171">
        <f t="shared" ca="1" si="597"/>
        <v>0</v>
      </c>
      <c r="DR392" s="171">
        <f t="shared" ca="1" si="598"/>
        <v>0</v>
      </c>
      <c r="DS392" s="171">
        <f t="shared" ca="1" si="599"/>
        <v>0</v>
      </c>
      <c r="DT392" s="171">
        <f t="shared" ca="1" si="600"/>
        <v>0</v>
      </c>
      <c r="DU392" s="171">
        <f t="shared" ca="1" si="601"/>
        <v>0</v>
      </c>
      <c r="DV392" s="171">
        <f t="shared" ca="1" si="602"/>
        <v>0</v>
      </c>
      <c r="DW392" s="171">
        <f t="shared" ca="1" si="603"/>
        <v>0</v>
      </c>
      <c r="DX392" s="171">
        <f t="shared" ca="1" si="604"/>
        <v>0</v>
      </c>
      <c r="DY392" s="171">
        <f t="shared" ca="1" si="605"/>
        <v>0</v>
      </c>
      <c r="DZ392" s="171">
        <f t="shared" ca="1" si="606"/>
        <v>0</v>
      </c>
      <c r="EA392" s="171">
        <f t="shared" ca="1" si="607"/>
        <v>0</v>
      </c>
      <c r="EB392" s="171">
        <f t="shared" ca="1" si="608"/>
        <v>0</v>
      </c>
      <c r="EC392" s="171">
        <f t="shared" ca="1" si="609"/>
        <v>0</v>
      </c>
      <c r="ED392" s="171">
        <f t="shared" ca="1" si="610"/>
        <v>0</v>
      </c>
      <c r="EE392" s="171">
        <f t="shared" ca="1" si="611"/>
        <v>0</v>
      </c>
      <c r="EF392" s="171">
        <f t="shared" ca="1" si="612"/>
        <v>0</v>
      </c>
      <c r="EG392" s="171">
        <f t="shared" ca="1" si="613"/>
        <v>0</v>
      </c>
      <c r="EH392" s="171">
        <f t="shared" ca="1" si="614"/>
        <v>0</v>
      </c>
      <c r="EI392" s="171">
        <f t="shared" ca="1" si="615"/>
        <v>0</v>
      </c>
      <c r="EJ392" s="171">
        <f t="shared" ca="1" si="616"/>
        <v>0</v>
      </c>
      <c r="EK392" s="171">
        <f t="shared" ca="1" si="617"/>
        <v>0</v>
      </c>
      <c r="EL392" s="171">
        <f t="shared" ca="1" si="618"/>
        <v>0</v>
      </c>
      <c r="EM392" s="171">
        <f t="shared" ca="1" si="619"/>
        <v>0</v>
      </c>
      <c r="EN392" s="171">
        <f t="shared" ca="1" si="620"/>
        <v>0</v>
      </c>
      <c r="EO392" s="171">
        <f t="shared" ca="1" si="621"/>
        <v>0</v>
      </c>
      <c r="EP392" s="171">
        <f t="shared" ca="1" si="622"/>
        <v>0</v>
      </c>
      <c r="EQ392" s="171">
        <f t="shared" ca="1" si="623"/>
        <v>0</v>
      </c>
      <c r="ER392" s="171">
        <f t="shared" ca="1" si="624"/>
        <v>0</v>
      </c>
      <c r="ES392" s="171">
        <f t="shared" ca="1" si="625"/>
        <v>0</v>
      </c>
    </row>
    <row r="393" spans="3:149">
      <c r="C393" s="214"/>
      <c r="L393" s="163"/>
      <c r="M393" s="164" t="str">
        <f t="shared" si="550"/>
        <v/>
      </c>
      <c r="N393" s="164" t="str">
        <f t="shared" si="551"/>
        <v/>
      </c>
      <c r="O393" s="165" t="str">
        <f t="shared" si="552"/>
        <v/>
      </c>
      <c r="R393" s="168"/>
      <c r="U393" s="171">
        <f t="shared" si="553"/>
        <v>0</v>
      </c>
      <c r="V393" s="171">
        <f t="shared" ca="1" si="554"/>
        <v>0</v>
      </c>
      <c r="W393" s="171">
        <f t="shared" ca="1" si="555"/>
        <v>0</v>
      </c>
      <c r="X393" s="172">
        <f t="shared" si="556"/>
        <v>0</v>
      </c>
      <c r="Y393" s="172" t="str">
        <f t="shared" si="557"/>
        <v/>
      </c>
      <c r="Z393" s="173">
        <f t="shared" si="558"/>
        <v>0</v>
      </c>
      <c r="AA393" s="171">
        <f t="shared" si="632"/>
        <v>0</v>
      </c>
      <c r="AB393" s="171">
        <f t="shared" si="632"/>
        <v>0</v>
      </c>
      <c r="AC393" s="171">
        <f t="shared" si="632"/>
        <v>0</v>
      </c>
      <c r="AD393" s="171">
        <f t="shared" si="632"/>
        <v>0</v>
      </c>
      <c r="AE393" s="171">
        <f t="shared" si="632"/>
        <v>0</v>
      </c>
      <c r="AF393" s="171">
        <f t="shared" si="632"/>
        <v>0</v>
      </c>
      <c r="AG393" s="171">
        <f t="shared" si="632"/>
        <v>0</v>
      </c>
      <c r="AH393" s="171">
        <f t="shared" si="632"/>
        <v>0</v>
      </c>
      <c r="AI393" s="171">
        <f t="shared" si="632"/>
        <v>0</v>
      </c>
      <c r="AJ393" s="171">
        <f t="shared" si="632"/>
        <v>0</v>
      </c>
      <c r="AK393" s="171">
        <f t="shared" si="633"/>
        <v>0</v>
      </c>
      <c r="AL393" s="171">
        <f t="shared" si="633"/>
        <v>0</v>
      </c>
      <c r="AM393" s="171">
        <f t="shared" si="633"/>
        <v>0</v>
      </c>
      <c r="AN393" s="171">
        <f t="shared" si="633"/>
        <v>0</v>
      </c>
      <c r="AO393" s="171">
        <f t="shared" si="633"/>
        <v>0</v>
      </c>
      <c r="AP393" s="171">
        <f t="shared" si="633"/>
        <v>0</v>
      </c>
      <c r="AQ393" s="171">
        <f t="shared" si="633"/>
        <v>0</v>
      </c>
      <c r="AR393" s="171">
        <f t="shared" si="633"/>
        <v>0</v>
      </c>
      <c r="AS393" s="171">
        <f t="shared" si="633"/>
        <v>0</v>
      </c>
      <c r="AT393" s="171">
        <f t="shared" si="633"/>
        <v>0</v>
      </c>
      <c r="AU393" s="171">
        <f t="shared" si="634"/>
        <v>0</v>
      </c>
      <c r="AV393" s="171">
        <f t="shared" si="634"/>
        <v>0</v>
      </c>
      <c r="AW393" s="171">
        <f t="shared" si="634"/>
        <v>0</v>
      </c>
      <c r="AX393" s="171">
        <f t="shared" si="634"/>
        <v>0</v>
      </c>
      <c r="AY393" s="171">
        <f t="shared" si="634"/>
        <v>0</v>
      </c>
      <c r="AZ393" s="171">
        <f t="shared" si="634"/>
        <v>0</v>
      </c>
      <c r="BA393" s="171">
        <f t="shared" si="634"/>
        <v>0</v>
      </c>
      <c r="BB393" s="171">
        <f t="shared" si="634"/>
        <v>0</v>
      </c>
      <c r="BC393" s="171">
        <f t="shared" si="634"/>
        <v>0</v>
      </c>
      <c r="BD393" s="171">
        <f t="shared" si="634"/>
        <v>0</v>
      </c>
      <c r="BE393" s="171">
        <f t="shared" si="635"/>
        <v>0</v>
      </c>
      <c r="BF393" s="171">
        <f t="shared" si="635"/>
        <v>0</v>
      </c>
      <c r="BG393" s="171">
        <f t="shared" si="635"/>
        <v>0</v>
      </c>
      <c r="BH393" s="171">
        <f t="shared" si="635"/>
        <v>0</v>
      </c>
      <c r="BI393" s="171">
        <f t="shared" si="635"/>
        <v>0</v>
      </c>
      <c r="BJ393" s="171">
        <f t="shared" si="635"/>
        <v>0</v>
      </c>
      <c r="BK393" s="171">
        <f t="shared" si="635"/>
        <v>0</v>
      </c>
      <c r="BL393" s="171">
        <f t="shared" si="635"/>
        <v>0</v>
      </c>
      <c r="BM393" s="171">
        <f t="shared" si="635"/>
        <v>0</v>
      </c>
      <c r="BN393" s="171">
        <f t="shared" si="635"/>
        <v>0</v>
      </c>
      <c r="BO393" s="171">
        <f t="shared" si="636"/>
        <v>0</v>
      </c>
      <c r="BP393" s="171">
        <f t="shared" si="636"/>
        <v>0</v>
      </c>
      <c r="BQ393" s="171">
        <f t="shared" si="636"/>
        <v>0</v>
      </c>
      <c r="BR393" s="171">
        <f t="shared" si="636"/>
        <v>0</v>
      </c>
      <c r="BS393" s="171">
        <f t="shared" si="636"/>
        <v>0</v>
      </c>
      <c r="BT393" s="171">
        <f t="shared" si="636"/>
        <v>0</v>
      </c>
      <c r="BU393" s="171">
        <f t="shared" si="636"/>
        <v>0</v>
      </c>
      <c r="BV393" s="171">
        <f t="shared" si="636"/>
        <v>0</v>
      </c>
      <c r="BW393" s="171">
        <f t="shared" si="636"/>
        <v>0</v>
      </c>
      <c r="BX393" s="171">
        <f t="shared" si="636"/>
        <v>0</v>
      </c>
      <c r="BY393" s="171">
        <f t="shared" si="637"/>
        <v>0</v>
      </c>
      <c r="BZ393" s="171">
        <f t="shared" si="637"/>
        <v>0</v>
      </c>
      <c r="CA393" s="171">
        <f t="shared" si="637"/>
        <v>0</v>
      </c>
      <c r="CB393" s="171">
        <f t="shared" si="637"/>
        <v>0</v>
      </c>
      <c r="CC393" s="171">
        <f t="shared" si="637"/>
        <v>0</v>
      </c>
      <c r="CD393" s="171">
        <f t="shared" si="637"/>
        <v>0</v>
      </c>
      <c r="CE393" s="171">
        <f t="shared" si="637"/>
        <v>0</v>
      </c>
      <c r="CF393" s="171">
        <f t="shared" si="637"/>
        <v>0</v>
      </c>
      <c r="CG393" s="171">
        <f t="shared" si="637"/>
        <v>0</v>
      </c>
      <c r="CH393" s="171">
        <f t="shared" si="637"/>
        <v>0</v>
      </c>
      <c r="CI393" s="171">
        <f t="shared" si="637"/>
        <v>0</v>
      </c>
      <c r="CJ393" s="243"/>
      <c r="CK393" s="171">
        <f t="shared" si="565"/>
        <v>0</v>
      </c>
      <c r="CL393" s="171">
        <f t="shared" si="566"/>
        <v>0</v>
      </c>
      <c r="CM393" s="171">
        <f t="shared" si="567"/>
        <v>0</v>
      </c>
      <c r="CN393" s="171">
        <f t="shared" si="568"/>
        <v>0</v>
      </c>
      <c r="CO393" s="171">
        <f t="shared" si="569"/>
        <v>0</v>
      </c>
      <c r="CP393" s="171">
        <f t="shared" si="570"/>
        <v>0</v>
      </c>
      <c r="CQ393" s="171">
        <f t="shared" si="571"/>
        <v>0</v>
      </c>
      <c r="CR393" s="171">
        <f t="shared" si="572"/>
        <v>0</v>
      </c>
      <c r="CS393" s="171">
        <f t="shared" si="573"/>
        <v>0</v>
      </c>
      <c r="CT393" s="171">
        <f t="shared" si="574"/>
        <v>0</v>
      </c>
      <c r="CU393" s="171">
        <f t="shared" si="575"/>
        <v>0</v>
      </c>
      <c r="CV393" s="171">
        <f t="shared" si="576"/>
        <v>0</v>
      </c>
      <c r="CW393" s="171">
        <f t="shared" si="577"/>
        <v>0</v>
      </c>
      <c r="CX393" s="171">
        <f t="shared" si="578"/>
        <v>0</v>
      </c>
      <c r="CY393" s="171">
        <f t="shared" ca="1" si="579"/>
        <v>0</v>
      </c>
      <c r="CZ393" s="171">
        <f t="shared" ca="1" si="580"/>
        <v>0</v>
      </c>
      <c r="DA393" s="171">
        <f t="shared" ca="1" si="581"/>
        <v>0</v>
      </c>
      <c r="DB393" s="171">
        <f t="shared" ca="1" si="582"/>
        <v>0</v>
      </c>
      <c r="DC393" s="171">
        <f t="shared" ca="1" si="583"/>
        <v>0</v>
      </c>
      <c r="DD393" s="171">
        <f t="shared" ca="1" si="584"/>
        <v>0</v>
      </c>
      <c r="DE393" s="171">
        <f t="shared" ca="1" si="585"/>
        <v>0</v>
      </c>
      <c r="DF393" s="171">
        <f t="shared" ca="1" si="586"/>
        <v>0</v>
      </c>
      <c r="DG393" s="171">
        <f t="shared" ca="1" si="587"/>
        <v>0</v>
      </c>
      <c r="DH393" s="171">
        <f t="shared" ca="1" si="588"/>
        <v>0</v>
      </c>
      <c r="DI393" s="171">
        <f t="shared" ca="1" si="589"/>
        <v>0</v>
      </c>
      <c r="DJ393" s="171">
        <f t="shared" ca="1" si="590"/>
        <v>0</v>
      </c>
      <c r="DK393" s="171">
        <f t="shared" ca="1" si="591"/>
        <v>0</v>
      </c>
      <c r="DL393" s="171">
        <f t="shared" ca="1" si="592"/>
        <v>0</v>
      </c>
      <c r="DM393" s="171">
        <f t="shared" ca="1" si="593"/>
        <v>0</v>
      </c>
      <c r="DN393" s="171">
        <f t="shared" ca="1" si="594"/>
        <v>0</v>
      </c>
      <c r="DO393" s="171">
        <f t="shared" ca="1" si="595"/>
        <v>0</v>
      </c>
      <c r="DP393" s="171">
        <f t="shared" ca="1" si="596"/>
        <v>0</v>
      </c>
      <c r="DQ393" s="171">
        <f t="shared" ca="1" si="597"/>
        <v>0</v>
      </c>
      <c r="DR393" s="171">
        <f t="shared" ca="1" si="598"/>
        <v>0</v>
      </c>
      <c r="DS393" s="171">
        <f t="shared" ca="1" si="599"/>
        <v>0</v>
      </c>
      <c r="DT393" s="171">
        <f t="shared" ca="1" si="600"/>
        <v>0</v>
      </c>
      <c r="DU393" s="171">
        <f t="shared" ca="1" si="601"/>
        <v>0</v>
      </c>
      <c r="DV393" s="171">
        <f t="shared" ca="1" si="602"/>
        <v>0</v>
      </c>
      <c r="DW393" s="171">
        <f t="shared" ca="1" si="603"/>
        <v>0</v>
      </c>
      <c r="DX393" s="171">
        <f t="shared" ca="1" si="604"/>
        <v>0</v>
      </c>
      <c r="DY393" s="171">
        <f t="shared" ca="1" si="605"/>
        <v>0</v>
      </c>
      <c r="DZ393" s="171">
        <f t="shared" ca="1" si="606"/>
        <v>0</v>
      </c>
      <c r="EA393" s="171">
        <f t="shared" ca="1" si="607"/>
        <v>0</v>
      </c>
      <c r="EB393" s="171">
        <f t="shared" ca="1" si="608"/>
        <v>0</v>
      </c>
      <c r="EC393" s="171">
        <f t="shared" ca="1" si="609"/>
        <v>0</v>
      </c>
      <c r="ED393" s="171">
        <f t="shared" ca="1" si="610"/>
        <v>0</v>
      </c>
      <c r="EE393" s="171">
        <f t="shared" ca="1" si="611"/>
        <v>0</v>
      </c>
      <c r="EF393" s="171">
        <f t="shared" ca="1" si="612"/>
        <v>0</v>
      </c>
      <c r="EG393" s="171">
        <f t="shared" ca="1" si="613"/>
        <v>0</v>
      </c>
      <c r="EH393" s="171">
        <f t="shared" ca="1" si="614"/>
        <v>0</v>
      </c>
      <c r="EI393" s="171">
        <f t="shared" ca="1" si="615"/>
        <v>0</v>
      </c>
      <c r="EJ393" s="171">
        <f t="shared" ca="1" si="616"/>
        <v>0</v>
      </c>
      <c r="EK393" s="171">
        <f t="shared" ca="1" si="617"/>
        <v>0</v>
      </c>
      <c r="EL393" s="171">
        <f t="shared" ca="1" si="618"/>
        <v>0</v>
      </c>
      <c r="EM393" s="171">
        <f t="shared" ca="1" si="619"/>
        <v>0</v>
      </c>
      <c r="EN393" s="171">
        <f t="shared" ca="1" si="620"/>
        <v>0</v>
      </c>
      <c r="EO393" s="171">
        <f t="shared" ca="1" si="621"/>
        <v>0</v>
      </c>
      <c r="EP393" s="171">
        <f t="shared" ca="1" si="622"/>
        <v>0</v>
      </c>
      <c r="EQ393" s="171">
        <f t="shared" ca="1" si="623"/>
        <v>0</v>
      </c>
      <c r="ER393" s="171">
        <f t="shared" ca="1" si="624"/>
        <v>0</v>
      </c>
      <c r="ES393" s="171">
        <f t="shared" ca="1" si="625"/>
        <v>0</v>
      </c>
    </row>
    <row r="394" spans="3:149">
      <c r="C394" s="214"/>
      <c r="L394" s="163"/>
      <c r="M394" s="164" t="str">
        <f t="shared" si="550"/>
        <v/>
      </c>
      <c r="N394" s="164" t="str">
        <f t="shared" si="551"/>
        <v/>
      </c>
      <c r="O394" s="165" t="str">
        <f t="shared" si="552"/>
        <v/>
      </c>
      <c r="R394" s="168"/>
      <c r="U394" s="171">
        <f t="shared" si="553"/>
        <v>0</v>
      </c>
      <c r="V394" s="171">
        <f t="shared" ca="1" si="554"/>
        <v>0</v>
      </c>
      <c r="W394" s="171">
        <f t="shared" ca="1" si="555"/>
        <v>0</v>
      </c>
      <c r="X394" s="172">
        <f t="shared" si="556"/>
        <v>0</v>
      </c>
      <c r="Y394" s="172" t="str">
        <f t="shared" si="557"/>
        <v/>
      </c>
      <c r="Z394" s="173">
        <f t="shared" si="558"/>
        <v>0</v>
      </c>
      <c r="AA394" s="171">
        <f t="shared" si="632"/>
        <v>0</v>
      </c>
      <c r="AB394" s="171">
        <f t="shared" si="632"/>
        <v>0</v>
      </c>
      <c r="AC394" s="171">
        <f t="shared" si="632"/>
        <v>0</v>
      </c>
      <c r="AD394" s="171">
        <f t="shared" si="632"/>
        <v>0</v>
      </c>
      <c r="AE394" s="171">
        <f t="shared" si="632"/>
        <v>0</v>
      </c>
      <c r="AF394" s="171">
        <f t="shared" si="632"/>
        <v>0</v>
      </c>
      <c r="AG394" s="171">
        <f t="shared" si="632"/>
        <v>0</v>
      </c>
      <c r="AH394" s="171">
        <f t="shared" si="632"/>
        <v>0</v>
      </c>
      <c r="AI394" s="171">
        <f t="shared" si="632"/>
        <v>0</v>
      </c>
      <c r="AJ394" s="171">
        <f t="shared" si="632"/>
        <v>0</v>
      </c>
      <c r="AK394" s="171">
        <f t="shared" si="633"/>
        <v>0</v>
      </c>
      <c r="AL394" s="171">
        <f t="shared" si="633"/>
        <v>0</v>
      </c>
      <c r="AM394" s="171">
        <f t="shared" si="633"/>
        <v>0</v>
      </c>
      <c r="AN394" s="171">
        <f t="shared" si="633"/>
        <v>0</v>
      </c>
      <c r="AO394" s="171">
        <f t="shared" si="633"/>
        <v>0</v>
      </c>
      <c r="AP394" s="171">
        <f t="shared" si="633"/>
        <v>0</v>
      </c>
      <c r="AQ394" s="171">
        <f t="shared" si="633"/>
        <v>0</v>
      </c>
      <c r="AR394" s="171">
        <f t="shared" si="633"/>
        <v>0</v>
      </c>
      <c r="AS394" s="171">
        <f t="shared" si="633"/>
        <v>0</v>
      </c>
      <c r="AT394" s="171">
        <f t="shared" si="633"/>
        <v>0</v>
      </c>
      <c r="AU394" s="171">
        <f t="shared" si="634"/>
        <v>0</v>
      </c>
      <c r="AV394" s="171">
        <f t="shared" si="634"/>
        <v>0</v>
      </c>
      <c r="AW394" s="171">
        <f t="shared" si="634"/>
        <v>0</v>
      </c>
      <c r="AX394" s="171">
        <f t="shared" si="634"/>
        <v>0</v>
      </c>
      <c r="AY394" s="171">
        <f t="shared" si="634"/>
        <v>0</v>
      </c>
      <c r="AZ394" s="171">
        <f t="shared" si="634"/>
        <v>0</v>
      </c>
      <c r="BA394" s="171">
        <f t="shared" si="634"/>
        <v>0</v>
      </c>
      <c r="BB394" s="171">
        <f t="shared" si="634"/>
        <v>0</v>
      </c>
      <c r="BC394" s="171">
        <f t="shared" si="634"/>
        <v>0</v>
      </c>
      <c r="BD394" s="171">
        <f t="shared" si="634"/>
        <v>0</v>
      </c>
      <c r="BE394" s="171">
        <f t="shared" si="635"/>
        <v>0</v>
      </c>
      <c r="BF394" s="171">
        <f t="shared" si="635"/>
        <v>0</v>
      </c>
      <c r="BG394" s="171">
        <f t="shared" si="635"/>
        <v>0</v>
      </c>
      <c r="BH394" s="171">
        <f t="shared" si="635"/>
        <v>0</v>
      </c>
      <c r="BI394" s="171">
        <f t="shared" si="635"/>
        <v>0</v>
      </c>
      <c r="BJ394" s="171">
        <f t="shared" si="635"/>
        <v>0</v>
      </c>
      <c r="BK394" s="171">
        <f t="shared" si="635"/>
        <v>0</v>
      </c>
      <c r="BL394" s="171">
        <f t="shared" si="635"/>
        <v>0</v>
      </c>
      <c r="BM394" s="171">
        <f t="shared" si="635"/>
        <v>0</v>
      </c>
      <c r="BN394" s="171">
        <f t="shared" si="635"/>
        <v>0</v>
      </c>
      <c r="BO394" s="171">
        <f t="shared" si="636"/>
        <v>0</v>
      </c>
      <c r="BP394" s="171">
        <f t="shared" si="636"/>
        <v>0</v>
      </c>
      <c r="BQ394" s="171">
        <f t="shared" si="636"/>
        <v>0</v>
      </c>
      <c r="BR394" s="171">
        <f t="shared" si="636"/>
        <v>0</v>
      </c>
      <c r="BS394" s="171">
        <f t="shared" si="636"/>
        <v>0</v>
      </c>
      <c r="BT394" s="171">
        <f t="shared" si="636"/>
        <v>0</v>
      </c>
      <c r="BU394" s="171">
        <f t="shared" si="636"/>
        <v>0</v>
      </c>
      <c r="BV394" s="171">
        <f t="shared" si="636"/>
        <v>0</v>
      </c>
      <c r="BW394" s="171">
        <f t="shared" si="636"/>
        <v>0</v>
      </c>
      <c r="BX394" s="171">
        <f t="shared" si="636"/>
        <v>0</v>
      </c>
      <c r="BY394" s="171">
        <f t="shared" si="637"/>
        <v>0</v>
      </c>
      <c r="BZ394" s="171">
        <f t="shared" si="637"/>
        <v>0</v>
      </c>
      <c r="CA394" s="171">
        <f t="shared" si="637"/>
        <v>0</v>
      </c>
      <c r="CB394" s="171">
        <f t="shared" si="637"/>
        <v>0</v>
      </c>
      <c r="CC394" s="171">
        <f t="shared" si="637"/>
        <v>0</v>
      </c>
      <c r="CD394" s="171">
        <f t="shared" si="637"/>
        <v>0</v>
      </c>
      <c r="CE394" s="171">
        <f t="shared" si="637"/>
        <v>0</v>
      </c>
      <c r="CF394" s="171">
        <f t="shared" si="637"/>
        <v>0</v>
      </c>
      <c r="CG394" s="171">
        <f t="shared" si="637"/>
        <v>0</v>
      </c>
      <c r="CH394" s="171">
        <f t="shared" si="637"/>
        <v>0</v>
      </c>
      <c r="CI394" s="171">
        <f t="shared" si="637"/>
        <v>0</v>
      </c>
      <c r="CJ394" s="243"/>
      <c r="CK394" s="171">
        <f t="shared" si="565"/>
        <v>0</v>
      </c>
      <c r="CL394" s="171">
        <f t="shared" si="566"/>
        <v>0</v>
      </c>
      <c r="CM394" s="171">
        <f t="shared" si="567"/>
        <v>0</v>
      </c>
      <c r="CN394" s="171">
        <f t="shared" si="568"/>
        <v>0</v>
      </c>
      <c r="CO394" s="171">
        <f t="shared" si="569"/>
        <v>0</v>
      </c>
      <c r="CP394" s="171">
        <f t="shared" si="570"/>
        <v>0</v>
      </c>
      <c r="CQ394" s="171">
        <f t="shared" si="571"/>
        <v>0</v>
      </c>
      <c r="CR394" s="171">
        <f t="shared" si="572"/>
        <v>0</v>
      </c>
      <c r="CS394" s="171">
        <f t="shared" si="573"/>
        <v>0</v>
      </c>
      <c r="CT394" s="171">
        <f t="shared" si="574"/>
        <v>0</v>
      </c>
      <c r="CU394" s="171">
        <f t="shared" si="575"/>
        <v>0</v>
      </c>
      <c r="CV394" s="171">
        <f t="shared" si="576"/>
        <v>0</v>
      </c>
      <c r="CW394" s="171">
        <f t="shared" si="577"/>
        <v>0</v>
      </c>
      <c r="CX394" s="171">
        <f t="shared" si="578"/>
        <v>0</v>
      </c>
      <c r="CY394" s="171">
        <f t="shared" ca="1" si="579"/>
        <v>0</v>
      </c>
      <c r="CZ394" s="171">
        <f t="shared" ca="1" si="580"/>
        <v>0</v>
      </c>
      <c r="DA394" s="171">
        <f t="shared" ca="1" si="581"/>
        <v>0</v>
      </c>
      <c r="DB394" s="171">
        <f t="shared" ca="1" si="582"/>
        <v>0</v>
      </c>
      <c r="DC394" s="171">
        <f t="shared" ca="1" si="583"/>
        <v>0</v>
      </c>
      <c r="DD394" s="171">
        <f t="shared" ca="1" si="584"/>
        <v>0</v>
      </c>
      <c r="DE394" s="171">
        <f t="shared" ca="1" si="585"/>
        <v>0</v>
      </c>
      <c r="DF394" s="171">
        <f t="shared" ca="1" si="586"/>
        <v>0</v>
      </c>
      <c r="DG394" s="171">
        <f t="shared" ca="1" si="587"/>
        <v>0</v>
      </c>
      <c r="DH394" s="171">
        <f t="shared" ca="1" si="588"/>
        <v>0</v>
      </c>
      <c r="DI394" s="171">
        <f t="shared" ca="1" si="589"/>
        <v>0</v>
      </c>
      <c r="DJ394" s="171">
        <f t="shared" ca="1" si="590"/>
        <v>0</v>
      </c>
      <c r="DK394" s="171">
        <f t="shared" ca="1" si="591"/>
        <v>0</v>
      </c>
      <c r="DL394" s="171">
        <f t="shared" ca="1" si="592"/>
        <v>0</v>
      </c>
      <c r="DM394" s="171">
        <f t="shared" ca="1" si="593"/>
        <v>0</v>
      </c>
      <c r="DN394" s="171">
        <f t="shared" ca="1" si="594"/>
        <v>0</v>
      </c>
      <c r="DO394" s="171">
        <f t="shared" ca="1" si="595"/>
        <v>0</v>
      </c>
      <c r="DP394" s="171">
        <f t="shared" ca="1" si="596"/>
        <v>0</v>
      </c>
      <c r="DQ394" s="171">
        <f t="shared" ca="1" si="597"/>
        <v>0</v>
      </c>
      <c r="DR394" s="171">
        <f t="shared" ca="1" si="598"/>
        <v>0</v>
      </c>
      <c r="DS394" s="171">
        <f t="shared" ca="1" si="599"/>
        <v>0</v>
      </c>
      <c r="DT394" s="171">
        <f t="shared" ca="1" si="600"/>
        <v>0</v>
      </c>
      <c r="DU394" s="171">
        <f t="shared" ca="1" si="601"/>
        <v>0</v>
      </c>
      <c r="DV394" s="171">
        <f t="shared" ca="1" si="602"/>
        <v>0</v>
      </c>
      <c r="DW394" s="171">
        <f t="shared" ca="1" si="603"/>
        <v>0</v>
      </c>
      <c r="DX394" s="171">
        <f t="shared" ca="1" si="604"/>
        <v>0</v>
      </c>
      <c r="DY394" s="171">
        <f t="shared" ca="1" si="605"/>
        <v>0</v>
      </c>
      <c r="DZ394" s="171">
        <f t="shared" ca="1" si="606"/>
        <v>0</v>
      </c>
      <c r="EA394" s="171">
        <f t="shared" ca="1" si="607"/>
        <v>0</v>
      </c>
      <c r="EB394" s="171">
        <f t="shared" ca="1" si="608"/>
        <v>0</v>
      </c>
      <c r="EC394" s="171">
        <f t="shared" ca="1" si="609"/>
        <v>0</v>
      </c>
      <c r="ED394" s="171">
        <f t="shared" ca="1" si="610"/>
        <v>0</v>
      </c>
      <c r="EE394" s="171">
        <f t="shared" ca="1" si="611"/>
        <v>0</v>
      </c>
      <c r="EF394" s="171">
        <f t="shared" ca="1" si="612"/>
        <v>0</v>
      </c>
      <c r="EG394" s="171">
        <f t="shared" ca="1" si="613"/>
        <v>0</v>
      </c>
      <c r="EH394" s="171">
        <f t="shared" ca="1" si="614"/>
        <v>0</v>
      </c>
      <c r="EI394" s="171">
        <f t="shared" ca="1" si="615"/>
        <v>0</v>
      </c>
      <c r="EJ394" s="171">
        <f t="shared" ca="1" si="616"/>
        <v>0</v>
      </c>
      <c r="EK394" s="171">
        <f t="shared" ca="1" si="617"/>
        <v>0</v>
      </c>
      <c r="EL394" s="171">
        <f t="shared" ca="1" si="618"/>
        <v>0</v>
      </c>
      <c r="EM394" s="171">
        <f t="shared" ca="1" si="619"/>
        <v>0</v>
      </c>
      <c r="EN394" s="171">
        <f t="shared" ca="1" si="620"/>
        <v>0</v>
      </c>
      <c r="EO394" s="171">
        <f t="shared" ca="1" si="621"/>
        <v>0</v>
      </c>
      <c r="EP394" s="171">
        <f t="shared" ca="1" si="622"/>
        <v>0</v>
      </c>
      <c r="EQ394" s="171">
        <f t="shared" ca="1" si="623"/>
        <v>0</v>
      </c>
      <c r="ER394" s="171">
        <f t="shared" ca="1" si="624"/>
        <v>0</v>
      </c>
      <c r="ES394" s="171">
        <f t="shared" ca="1" si="625"/>
        <v>0</v>
      </c>
    </row>
    <row r="395" spans="3:149">
      <c r="C395" s="214"/>
      <c r="L395" s="163"/>
      <c r="M395" s="164" t="str">
        <f t="shared" si="550"/>
        <v/>
      </c>
      <c r="N395" s="164" t="str">
        <f t="shared" si="551"/>
        <v/>
      </c>
      <c r="O395" s="165" t="str">
        <f t="shared" si="552"/>
        <v/>
      </c>
      <c r="R395" s="168"/>
      <c r="U395" s="171">
        <f t="shared" si="553"/>
        <v>0</v>
      </c>
      <c r="V395" s="171">
        <f t="shared" ca="1" si="554"/>
        <v>0</v>
      </c>
      <c r="W395" s="171">
        <f t="shared" ca="1" si="555"/>
        <v>0</v>
      </c>
      <c r="X395" s="172">
        <f t="shared" si="556"/>
        <v>0</v>
      </c>
      <c r="Y395" s="172" t="str">
        <f t="shared" si="557"/>
        <v/>
      </c>
      <c r="Z395" s="173">
        <f t="shared" si="558"/>
        <v>0</v>
      </c>
      <c r="AA395" s="171">
        <f t="shared" si="632"/>
        <v>0</v>
      </c>
      <c r="AB395" s="171">
        <f t="shared" si="632"/>
        <v>0</v>
      </c>
      <c r="AC395" s="171">
        <f t="shared" si="632"/>
        <v>0</v>
      </c>
      <c r="AD395" s="171">
        <f t="shared" si="632"/>
        <v>0</v>
      </c>
      <c r="AE395" s="171">
        <f t="shared" si="632"/>
        <v>0</v>
      </c>
      <c r="AF395" s="171">
        <f t="shared" si="632"/>
        <v>0</v>
      </c>
      <c r="AG395" s="171">
        <f t="shared" si="632"/>
        <v>0</v>
      </c>
      <c r="AH395" s="171">
        <f t="shared" si="632"/>
        <v>0</v>
      </c>
      <c r="AI395" s="171">
        <f t="shared" si="632"/>
        <v>0</v>
      </c>
      <c r="AJ395" s="171">
        <f t="shared" si="632"/>
        <v>0</v>
      </c>
      <c r="AK395" s="171">
        <f t="shared" si="633"/>
        <v>0</v>
      </c>
      <c r="AL395" s="171">
        <f t="shared" si="633"/>
        <v>0</v>
      </c>
      <c r="AM395" s="171">
        <f t="shared" si="633"/>
        <v>0</v>
      </c>
      <c r="AN395" s="171">
        <f t="shared" si="633"/>
        <v>0</v>
      </c>
      <c r="AO395" s="171">
        <f t="shared" si="633"/>
        <v>0</v>
      </c>
      <c r="AP395" s="171">
        <f t="shared" si="633"/>
        <v>0</v>
      </c>
      <c r="AQ395" s="171">
        <f t="shared" si="633"/>
        <v>0</v>
      </c>
      <c r="AR395" s="171">
        <f t="shared" si="633"/>
        <v>0</v>
      </c>
      <c r="AS395" s="171">
        <f t="shared" si="633"/>
        <v>0</v>
      </c>
      <c r="AT395" s="171">
        <f t="shared" si="633"/>
        <v>0</v>
      </c>
      <c r="AU395" s="171">
        <f t="shared" si="634"/>
        <v>0</v>
      </c>
      <c r="AV395" s="171">
        <f t="shared" si="634"/>
        <v>0</v>
      </c>
      <c r="AW395" s="171">
        <f t="shared" si="634"/>
        <v>0</v>
      </c>
      <c r="AX395" s="171">
        <f t="shared" si="634"/>
        <v>0</v>
      </c>
      <c r="AY395" s="171">
        <f t="shared" si="634"/>
        <v>0</v>
      </c>
      <c r="AZ395" s="171">
        <f t="shared" si="634"/>
        <v>0</v>
      </c>
      <c r="BA395" s="171">
        <f t="shared" si="634"/>
        <v>0</v>
      </c>
      <c r="BB395" s="171">
        <f t="shared" si="634"/>
        <v>0</v>
      </c>
      <c r="BC395" s="171">
        <f t="shared" si="634"/>
        <v>0</v>
      </c>
      <c r="BD395" s="171">
        <f t="shared" si="634"/>
        <v>0</v>
      </c>
      <c r="BE395" s="171">
        <f t="shared" si="635"/>
        <v>0</v>
      </c>
      <c r="BF395" s="171">
        <f t="shared" si="635"/>
        <v>0</v>
      </c>
      <c r="BG395" s="171">
        <f t="shared" si="635"/>
        <v>0</v>
      </c>
      <c r="BH395" s="171">
        <f t="shared" si="635"/>
        <v>0</v>
      </c>
      <c r="BI395" s="171">
        <f t="shared" si="635"/>
        <v>0</v>
      </c>
      <c r="BJ395" s="171">
        <f t="shared" si="635"/>
        <v>0</v>
      </c>
      <c r="BK395" s="171">
        <f t="shared" si="635"/>
        <v>0</v>
      </c>
      <c r="BL395" s="171">
        <f t="shared" si="635"/>
        <v>0</v>
      </c>
      <c r="BM395" s="171">
        <f t="shared" si="635"/>
        <v>0</v>
      </c>
      <c r="BN395" s="171">
        <f t="shared" si="635"/>
        <v>0</v>
      </c>
      <c r="BO395" s="171">
        <f t="shared" si="636"/>
        <v>0</v>
      </c>
      <c r="BP395" s="171">
        <f t="shared" si="636"/>
        <v>0</v>
      </c>
      <c r="BQ395" s="171">
        <f t="shared" si="636"/>
        <v>0</v>
      </c>
      <c r="BR395" s="171">
        <f t="shared" si="636"/>
        <v>0</v>
      </c>
      <c r="BS395" s="171">
        <f t="shared" si="636"/>
        <v>0</v>
      </c>
      <c r="BT395" s="171">
        <f t="shared" si="636"/>
        <v>0</v>
      </c>
      <c r="BU395" s="171">
        <f t="shared" si="636"/>
        <v>0</v>
      </c>
      <c r="BV395" s="171">
        <f t="shared" si="636"/>
        <v>0</v>
      </c>
      <c r="BW395" s="171">
        <f t="shared" si="636"/>
        <v>0</v>
      </c>
      <c r="BX395" s="171">
        <f t="shared" si="636"/>
        <v>0</v>
      </c>
      <c r="BY395" s="171">
        <f t="shared" si="637"/>
        <v>0</v>
      </c>
      <c r="BZ395" s="171">
        <f t="shared" si="637"/>
        <v>0</v>
      </c>
      <c r="CA395" s="171">
        <f t="shared" si="637"/>
        <v>0</v>
      </c>
      <c r="CB395" s="171">
        <f t="shared" si="637"/>
        <v>0</v>
      </c>
      <c r="CC395" s="171">
        <f t="shared" si="637"/>
        <v>0</v>
      </c>
      <c r="CD395" s="171">
        <f t="shared" si="637"/>
        <v>0</v>
      </c>
      <c r="CE395" s="171">
        <f t="shared" si="637"/>
        <v>0</v>
      </c>
      <c r="CF395" s="171">
        <f t="shared" si="637"/>
        <v>0</v>
      </c>
      <c r="CG395" s="171">
        <f t="shared" si="637"/>
        <v>0</v>
      </c>
      <c r="CH395" s="171">
        <f t="shared" si="637"/>
        <v>0</v>
      </c>
      <c r="CI395" s="171">
        <f t="shared" si="637"/>
        <v>0</v>
      </c>
      <c r="CJ395" s="243"/>
      <c r="CK395" s="171">
        <f t="shared" si="565"/>
        <v>0</v>
      </c>
      <c r="CL395" s="171">
        <f t="shared" si="566"/>
        <v>0</v>
      </c>
      <c r="CM395" s="171">
        <f t="shared" si="567"/>
        <v>0</v>
      </c>
      <c r="CN395" s="171">
        <f t="shared" si="568"/>
        <v>0</v>
      </c>
      <c r="CO395" s="171">
        <f t="shared" si="569"/>
        <v>0</v>
      </c>
      <c r="CP395" s="171">
        <f t="shared" si="570"/>
        <v>0</v>
      </c>
      <c r="CQ395" s="171">
        <f t="shared" si="571"/>
        <v>0</v>
      </c>
      <c r="CR395" s="171">
        <f t="shared" si="572"/>
        <v>0</v>
      </c>
      <c r="CS395" s="171">
        <f t="shared" si="573"/>
        <v>0</v>
      </c>
      <c r="CT395" s="171">
        <f t="shared" si="574"/>
        <v>0</v>
      </c>
      <c r="CU395" s="171">
        <f t="shared" si="575"/>
        <v>0</v>
      </c>
      <c r="CV395" s="171">
        <f t="shared" si="576"/>
        <v>0</v>
      </c>
      <c r="CW395" s="171">
        <f t="shared" si="577"/>
        <v>0</v>
      </c>
      <c r="CX395" s="171">
        <f t="shared" si="578"/>
        <v>0</v>
      </c>
      <c r="CY395" s="171">
        <f t="shared" ca="1" si="579"/>
        <v>0</v>
      </c>
      <c r="CZ395" s="171">
        <f t="shared" ca="1" si="580"/>
        <v>0</v>
      </c>
      <c r="DA395" s="171">
        <f t="shared" ca="1" si="581"/>
        <v>0</v>
      </c>
      <c r="DB395" s="171">
        <f t="shared" ca="1" si="582"/>
        <v>0</v>
      </c>
      <c r="DC395" s="171">
        <f t="shared" ca="1" si="583"/>
        <v>0</v>
      </c>
      <c r="DD395" s="171">
        <f t="shared" ca="1" si="584"/>
        <v>0</v>
      </c>
      <c r="DE395" s="171">
        <f t="shared" ca="1" si="585"/>
        <v>0</v>
      </c>
      <c r="DF395" s="171">
        <f t="shared" ca="1" si="586"/>
        <v>0</v>
      </c>
      <c r="DG395" s="171">
        <f t="shared" ca="1" si="587"/>
        <v>0</v>
      </c>
      <c r="DH395" s="171">
        <f t="shared" ca="1" si="588"/>
        <v>0</v>
      </c>
      <c r="DI395" s="171">
        <f t="shared" ca="1" si="589"/>
        <v>0</v>
      </c>
      <c r="DJ395" s="171">
        <f t="shared" ca="1" si="590"/>
        <v>0</v>
      </c>
      <c r="DK395" s="171">
        <f t="shared" ca="1" si="591"/>
        <v>0</v>
      </c>
      <c r="DL395" s="171">
        <f t="shared" ca="1" si="592"/>
        <v>0</v>
      </c>
      <c r="DM395" s="171">
        <f t="shared" ca="1" si="593"/>
        <v>0</v>
      </c>
      <c r="DN395" s="171">
        <f t="shared" ca="1" si="594"/>
        <v>0</v>
      </c>
      <c r="DO395" s="171">
        <f t="shared" ca="1" si="595"/>
        <v>0</v>
      </c>
      <c r="DP395" s="171">
        <f t="shared" ca="1" si="596"/>
        <v>0</v>
      </c>
      <c r="DQ395" s="171">
        <f t="shared" ca="1" si="597"/>
        <v>0</v>
      </c>
      <c r="DR395" s="171">
        <f t="shared" ca="1" si="598"/>
        <v>0</v>
      </c>
      <c r="DS395" s="171">
        <f t="shared" ca="1" si="599"/>
        <v>0</v>
      </c>
      <c r="DT395" s="171">
        <f t="shared" ca="1" si="600"/>
        <v>0</v>
      </c>
      <c r="DU395" s="171">
        <f t="shared" ca="1" si="601"/>
        <v>0</v>
      </c>
      <c r="DV395" s="171">
        <f t="shared" ca="1" si="602"/>
        <v>0</v>
      </c>
      <c r="DW395" s="171">
        <f t="shared" ca="1" si="603"/>
        <v>0</v>
      </c>
      <c r="DX395" s="171">
        <f t="shared" ca="1" si="604"/>
        <v>0</v>
      </c>
      <c r="DY395" s="171">
        <f t="shared" ca="1" si="605"/>
        <v>0</v>
      </c>
      <c r="DZ395" s="171">
        <f t="shared" ca="1" si="606"/>
        <v>0</v>
      </c>
      <c r="EA395" s="171">
        <f t="shared" ca="1" si="607"/>
        <v>0</v>
      </c>
      <c r="EB395" s="171">
        <f t="shared" ca="1" si="608"/>
        <v>0</v>
      </c>
      <c r="EC395" s="171">
        <f t="shared" ca="1" si="609"/>
        <v>0</v>
      </c>
      <c r="ED395" s="171">
        <f t="shared" ca="1" si="610"/>
        <v>0</v>
      </c>
      <c r="EE395" s="171">
        <f t="shared" ca="1" si="611"/>
        <v>0</v>
      </c>
      <c r="EF395" s="171">
        <f t="shared" ca="1" si="612"/>
        <v>0</v>
      </c>
      <c r="EG395" s="171">
        <f t="shared" ca="1" si="613"/>
        <v>0</v>
      </c>
      <c r="EH395" s="171">
        <f t="shared" ca="1" si="614"/>
        <v>0</v>
      </c>
      <c r="EI395" s="171">
        <f t="shared" ca="1" si="615"/>
        <v>0</v>
      </c>
      <c r="EJ395" s="171">
        <f t="shared" ca="1" si="616"/>
        <v>0</v>
      </c>
      <c r="EK395" s="171">
        <f t="shared" ca="1" si="617"/>
        <v>0</v>
      </c>
      <c r="EL395" s="171">
        <f t="shared" ca="1" si="618"/>
        <v>0</v>
      </c>
      <c r="EM395" s="171">
        <f t="shared" ca="1" si="619"/>
        <v>0</v>
      </c>
      <c r="EN395" s="171">
        <f t="shared" ca="1" si="620"/>
        <v>0</v>
      </c>
      <c r="EO395" s="171">
        <f t="shared" ca="1" si="621"/>
        <v>0</v>
      </c>
      <c r="EP395" s="171">
        <f t="shared" ca="1" si="622"/>
        <v>0</v>
      </c>
      <c r="EQ395" s="171">
        <f t="shared" ca="1" si="623"/>
        <v>0</v>
      </c>
      <c r="ER395" s="171">
        <f t="shared" ca="1" si="624"/>
        <v>0</v>
      </c>
      <c r="ES395" s="171">
        <f t="shared" ca="1" si="625"/>
        <v>0</v>
      </c>
    </row>
    <row r="396" spans="3:149">
      <c r="C396" s="214"/>
      <c r="L396" s="163"/>
      <c r="M396" s="164" t="str">
        <f t="shared" si="550"/>
        <v/>
      </c>
      <c r="N396" s="164" t="str">
        <f t="shared" si="551"/>
        <v/>
      </c>
      <c r="O396" s="165" t="str">
        <f t="shared" si="552"/>
        <v/>
      </c>
      <c r="R396" s="168"/>
      <c r="U396" s="171">
        <f t="shared" si="553"/>
        <v>0</v>
      </c>
      <c r="V396" s="171">
        <f t="shared" ca="1" si="554"/>
        <v>0</v>
      </c>
      <c r="W396" s="171">
        <f t="shared" ca="1" si="555"/>
        <v>0</v>
      </c>
      <c r="X396" s="172">
        <f t="shared" si="556"/>
        <v>0</v>
      </c>
      <c r="Y396" s="172" t="str">
        <f t="shared" si="557"/>
        <v/>
      </c>
      <c r="Z396" s="173">
        <f t="shared" si="558"/>
        <v>0</v>
      </c>
      <c r="AA396" s="171">
        <f t="shared" si="632"/>
        <v>0</v>
      </c>
      <c r="AB396" s="171">
        <f t="shared" si="632"/>
        <v>0</v>
      </c>
      <c r="AC396" s="171">
        <f t="shared" si="632"/>
        <v>0</v>
      </c>
      <c r="AD396" s="171">
        <f t="shared" si="632"/>
        <v>0</v>
      </c>
      <c r="AE396" s="171">
        <f t="shared" si="632"/>
        <v>0</v>
      </c>
      <c r="AF396" s="171">
        <f t="shared" si="632"/>
        <v>0</v>
      </c>
      <c r="AG396" s="171">
        <f t="shared" si="632"/>
        <v>0</v>
      </c>
      <c r="AH396" s="171">
        <f t="shared" si="632"/>
        <v>0</v>
      </c>
      <c r="AI396" s="171">
        <f t="shared" si="632"/>
        <v>0</v>
      </c>
      <c r="AJ396" s="171">
        <f t="shared" si="632"/>
        <v>0</v>
      </c>
      <c r="AK396" s="171">
        <f t="shared" si="633"/>
        <v>0</v>
      </c>
      <c r="AL396" s="171">
        <f t="shared" si="633"/>
        <v>0</v>
      </c>
      <c r="AM396" s="171">
        <f t="shared" si="633"/>
        <v>0</v>
      </c>
      <c r="AN396" s="171">
        <f t="shared" si="633"/>
        <v>0</v>
      </c>
      <c r="AO396" s="171">
        <f t="shared" si="633"/>
        <v>0</v>
      </c>
      <c r="AP396" s="171">
        <f t="shared" si="633"/>
        <v>0</v>
      </c>
      <c r="AQ396" s="171">
        <f t="shared" si="633"/>
        <v>0</v>
      </c>
      <c r="AR396" s="171">
        <f t="shared" si="633"/>
        <v>0</v>
      </c>
      <c r="AS396" s="171">
        <f t="shared" si="633"/>
        <v>0</v>
      </c>
      <c r="AT396" s="171">
        <f t="shared" si="633"/>
        <v>0</v>
      </c>
      <c r="AU396" s="171">
        <f t="shared" si="634"/>
        <v>0</v>
      </c>
      <c r="AV396" s="171">
        <f t="shared" si="634"/>
        <v>0</v>
      </c>
      <c r="AW396" s="171">
        <f t="shared" si="634"/>
        <v>0</v>
      </c>
      <c r="AX396" s="171">
        <f t="shared" si="634"/>
        <v>0</v>
      </c>
      <c r="AY396" s="171">
        <f t="shared" si="634"/>
        <v>0</v>
      </c>
      <c r="AZ396" s="171">
        <f t="shared" si="634"/>
        <v>0</v>
      </c>
      <c r="BA396" s="171">
        <f t="shared" si="634"/>
        <v>0</v>
      </c>
      <c r="BB396" s="171">
        <f t="shared" si="634"/>
        <v>0</v>
      </c>
      <c r="BC396" s="171">
        <f t="shared" si="634"/>
        <v>0</v>
      </c>
      <c r="BD396" s="171">
        <f t="shared" si="634"/>
        <v>0</v>
      </c>
      <c r="BE396" s="171">
        <f t="shared" si="635"/>
        <v>0</v>
      </c>
      <c r="BF396" s="171">
        <f t="shared" si="635"/>
        <v>0</v>
      </c>
      <c r="BG396" s="171">
        <f t="shared" si="635"/>
        <v>0</v>
      </c>
      <c r="BH396" s="171">
        <f t="shared" si="635"/>
        <v>0</v>
      </c>
      <c r="BI396" s="171">
        <f t="shared" si="635"/>
        <v>0</v>
      </c>
      <c r="BJ396" s="171">
        <f t="shared" si="635"/>
        <v>0</v>
      </c>
      <c r="BK396" s="171">
        <f t="shared" si="635"/>
        <v>0</v>
      </c>
      <c r="BL396" s="171">
        <f t="shared" si="635"/>
        <v>0</v>
      </c>
      <c r="BM396" s="171">
        <f t="shared" si="635"/>
        <v>0</v>
      </c>
      <c r="BN396" s="171">
        <f t="shared" si="635"/>
        <v>0</v>
      </c>
      <c r="BO396" s="171">
        <f t="shared" si="636"/>
        <v>0</v>
      </c>
      <c r="BP396" s="171">
        <f t="shared" si="636"/>
        <v>0</v>
      </c>
      <c r="BQ396" s="171">
        <f t="shared" si="636"/>
        <v>0</v>
      </c>
      <c r="BR396" s="171">
        <f t="shared" si="636"/>
        <v>0</v>
      </c>
      <c r="BS396" s="171">
        <f t="shared" si="636"/>
        <v>0</v>
      </c>
      <c r="BT396" s="171">
        <f t="shared" si="636"/>
        <v>0</v>
      </c>
      <c r="BU396" s="171">
        <f t="shared" si="636"/>
        <v>0</v>
      </c>
      <c r="BV396" s="171">
        <f t="shared" si="636"/>
        <v>0</v>
      </c>
      <c r="BW396" s="171">
        <f t="shared" si="636"/>
        <v>0</v>
      </c>
      <c r="BX396" s="171">
        <f t="shared" si="636"/>
        <v>0</v>
      </c>
      <c r="BY396" s="171">
        <f t="shared" si="637"/>
        <v>0</v>
      </c>
      <c r="BZ396" s="171">
        <f t="shared" si="637"/>
        <v>0</v>
      </c>
      <c r="CA396" s="171">
        <f t="shared" si="637"/>
        <v>0</v>
      </c>
      <c r="CB396" s="171">
        <f t="shared" si="637"/>
        <v>0</v>
      </c>
      <c r="CC396" s="171">
        <f t="shared" si="637"/>
        <v>0</v>
      </c>
      <c r="CD396" s="171">
        <f t="shared" si="637"/>
        <v>0</v>
      </c>
      <c r="CE396" s="171">
        <f t="shared" si="637"/>
        <v>0</v>
      </c>
      <c r="CF396" s="171">
        <f t="shared" si="637"/>
        <v>0</v>
      </c>
      <c r="CG396" s="171">
        <f t="shared" si="637"/>
        <v>0</v>
      </c>
      <c r="CH396" s="171">
        <f t="shared" si="637"/>
        <v>0</v>
      </c>
      <c r="CI396" s="171">
        <f t="shared" si="637"/>
        <v>0</v>
      </c>
      <c r="CJ396" s="243"/>
      <c r="CK396" s="171">
        <f t="shared" si="565"/>
        <v>0</v>
      </c>
      <c r="CL396" s="171">
        <f t="shared" si="566"/>
        <v>0</v>
      </c>
      <c r="CM396" s="171">
        <f t="shared" si="567"/>
        <v>0</v>
      </c>
      <c r="CN396" s="171">
        <f t="shared" si="568"/>
        <v>0</v>
      </c>
      <c r="CO396" s="171">
        <f t="shared" si="569"/>
        <v>0</v>
      </c>
      <c r="CP396" s="171">
        <f t="shared" si="570"/>
        <v>0</v>
      </c>
      <c r="CQ396" s="171">
        <f t="shared" si="571"/>
        <v>0</v>
      </c>
      <c r="CR396" s="171">
        <f t="shared" si="572"/>
        <v>0</v>
      </c>
      <c r="CS396" s="171">
        <f t="shared" si="573"/>
        <v>0</v>
      </c>
      <c r="CT396" s="171">
        <f t="shared" si="574"/>
        <v>0</v>
      </c>
      <c r="CU396" s="171">
        <f t="shared" si="575"/>
        <v>0</v>
      </c>
      <c r="CV396" s="171">
        <f t="shared" si="576"/>
        <v>0</v>
      </c>
      <c r="CW396" s="171">
        <f t="shared" si="577"/>
        <v>0</v>
      </c>
      <c r="CX396" s="171">
        <f t="shared" si="578"/>
        <v>0</v>
      </c>
      <c r="CY396" s="171">
        <f t="shared" ca="1" si="579"/>
        <v>0</v>
      </c>
      <c r="CZ396" s="171">
        <f t="shared" ca="1" si="580"/>
        <v>0</v>
      </c>
      <c r="DA396" s="171">
        <f t="shared" ca="1" si="581"/>
        <v>0</v>
      </c>
      <c r="DB396" s="171">
        <f t="shared" ca="1" si="582"/>
        <v>0</v>
      </c>
      <c r="DC396" s="171">
        <f t="shared" ca="1" si="583"/>
        <v>0</v>
      </c>
      <c r="DD396" s="171">
        <f t="shared" ca="1" si="584"/>
        <v>0</v>
      </c>
      <c r="DE396" s="171">
        <f t="shared" ca="1" si="585"/>
        <v>0</v>
      </c>
      <c r="DF396" s="171">
        <f t="shared" ca="1" si="586"/>
        <v>0</v>
      </c>
      <c r="DG396" s="171">
        <f t="shared" ca="1" si="587"/>
        <v>0</v>
      </c>
      <c r="DH396" s="171">
        <f t="shared" ca="1" si="588"/>
        <v>0</v>
      </c>
      <c r="DI396" s="171">
        <f t="shared" ca="1" si="589"/>
        <v>0</v>
      </c>
      <c r="DJ396" s="171">
        <f t="shared" ca="1" si="590"/>
        <v>0</v>
      </c>
      <c r="DK396" s="171">
        <f t="shared" ca="1" si="591"/>
        <v>0</v>
      </c>
      <c r="DL396" s="171">
        <f t="shared" ca="1" si="592"/>
        <v>0</v>
      </c>
      <c r="DM396" s="171">
        <f t="shared" ca="1" si="593"/>
        <v>0</v>
      </c>
      <c r="DN396" s="171">
        <f t="shared" ca="1" si="594"/>
        <v>0</v>
      </c>
      <c r="DO396" s="171">
        <f t="shared" ca="1" si="595"/>
        <v>0</v>
      </c>
      <c r="DP396" s="171">
        <f t="shared" ca="1" si="596"/>
        <v>0</v>
      </c>
      <c r="DQ396" s="171">
        <f t="shared" ca="1" si="597"/>
        <v>0</v>
      </c>
      <c r="DR396" s="171">
        <f t="shared" ca="1" si="598"/>
        <v>0</v>
      </c>
      <c r="DS396" s="171">
        <f t="shared" ca="1" si="599"/>
        <v>0</v>
      </c>
      <c r="DT396" s="171">
        <f t="shared" ca="1" si="600"/>
        <v>0</v>
      </c>
      <c r="DU396" s="171">
        <f t="shared" ca="1" si="601"/>
        <v>0</v>
      </c>
      <c r="DV396" s="171">
        <f t="shared" ca="1" si="602"/>
        <v>0</v>
      </c>
      <c r="DW396" s="171">
        <f t="shared" ca="1" si="603"/>
        <v>0</v>
      </c>
      <c r="DX396" s="171">
        <f t="shared" ca="1" si="604"/>
        <v>0</v>
      </c>
      <c r="DY396" s="171">
        <f t="shared" ca="1" si="605"/>
        <v>0</v>
      </c>
      <c r="DZ396" s="171">
        <f t="shared" ca="1" si="606"/>
        <v>0</v>
      </c>
      <c r="EA396" s="171">
        <f t="shared" ca="1" si="607"/>
        <v>0</v>
      </c>
      <c r="EB396" s="171">
        <f t="shared" ca="1" si="608"/>
        <v>0</v>
      </c>
      <c r="EC396" s="171">
        <f t="shared" ca="1" si="609"/>
        <v>0</v>
      </c>
      <c r="ED396" s="171">
        <f t="shared" ca="1" si="610"/>
        <v>0</v>
      </c>
      <c r="EE396" s="171">
        <f t="shared" ca="1" si="611"/>
        <v>0</v>
      </c>
      <c r="EF396" s="171">
        <f t="shared" ca="1" si="612"/>
        <v>0</v>
      </c>
      <c r="EG396" s="171">
        <f t="shared" ca="1" si="613"/>
        <v>0</v>
      </c>
      <c r="EH396" s="171">
        <f t="shared" ca="1" si="614"/>
        <v>0</v>
      </c>
      <c r="EI396" s="171">
        <f t="shared" ca="1" si="615"/>
        <v>0</v>
      </c>
      <c r="EJ396" s="171">
        <f t="shared" ca="1" si="616"/>
        <v>0</v>
      </c>
      <c r="EK396" s="171">
        <f t="shared" ca="1" si="617"/>
        <v>0</v>
      </c>
      <c r="EL396" s="171">
        <f t="shared" ca="1" si="618"/>
        <v>0</v>
      </c>
      <c r="EM396" s="171">
        <f t="shared" ca="1" si="619"/>
        <v>0</v>
      </c>
      <c r="EN396" s="171">
        <f t="shared" ca="1" si="620"/>
        <v>0</v>
      </c>
      <c r="EO396" s="171">
        <f t="shared" ca="1" si="621"/>
        <v>0</v>
      </c>
      <c r="EP396" s="171">
        <f t="shared" ca="1" si="622"/>
        <v>0</v>
      </c>
      <c r="EQ396" s="171">
        <f t="shared" ca="1" si="623"/>
        <v>0</v>
      </c>
      <c r="ER396" s="171">
        <f t="shared" ca="1" si="624"/>
        <v>0</v>
      </c>
      <c r="ES396" s="171">
        <f t="shared" ca="1" si="625"/>
        <v>0</v>
      </c>
    </row>
    <row r="397" spans="3:149">
      <c r="C397" s="214"/>
      <c r="L397" s="163"/>
      <c r="M397" s="164" t="str">
        <f t="shared" si="550"/>
        <v/>
      </c>
      <c r="N397" s="164" t="str">
        <f t="shared" si="551"/>
        <v/>
      </c>
      <c r="O397" s="165" t="str">
        <f t="shared" si="552"/>
        <v/>
      </c>
      <c r="R397" s="168"/>
      <c r="U397" s="171">
        <f t="shared" si="553"/>
        <v>0</v>
      </c>
      <c r="V397" s="171">
        <f t="shared" ca="1" si="554"/>
        <v>0</v>
      </c>
      <c r="W397" s="171">
        <f t="shared" ca="1" si="555"/>
        <v>0</v>
      </c>
      <c r="X397" s="172">
        <f t="shared" si="556"/>
        <v>0</v>
      </c>
      <c r="Y397" s="172" t="str">
        <f t="shared" si="557"/>
        <v/>
      </c>
      <c r="Z397" s="173">
        <f t="shared" si="558"/>
        <v>0</v>
      </c>
      <c r="AA397" s="171">
        <f t="shared" si="632"/>
        <v>0</v>
      </c>
      <c r="AB397" s="171">
        <f t="shared" si="632"/>
        <v>0</v>
      </c>
      <c r="AC397" s="171">
        <f t="shared" si="632"/>
        <v>0</v>
      </c>
      <c r="AD397" s="171">
        <f t="shared" si="632"/>
        <v>0</v>
      </c>
      <c r="AE397" s="171">
        <f t="shared" si="632"/>
        <v>0</v>
      </c>
      <c r="AF397" s="171">
        <f t="shared" si="632"/>
        <v>0</v>
      </c>
      <c r="AG397" s="171">
        <f t="shared" si="632"/>
        <v>0</v>
      </c>
      <c r="AH397" s="171">
        <f t="shared" si="632"/>
        <v>0</v>
      </c>
      <c r="AI397" s="171">
        <f t="shared" si="632"/>
        <v>0</v>
      </c>
      <c r="AJ397" s="171">
        <f t="shared" si="632"/>
        <v>0</v>
      </c>
      <c r="AK397" s="171">
        <f t="shared" si="633"/>
        <v>0</v>
      </c>
      <c r="AL397" s="171">
        <f t="shared" si="633"/>
        <v>0</v>
      </c>
      <c r="AM397" s="171">
        <f t="shared" si="633"/>
        <v>0</v>
      </c>
      <c r="AN397" s="171">
        <f t="shared" si="633"/>
        <v>0</v>
      </c>
      <c r="AO397" s="171">
        <f t="shared" si="633"/>
        <v>0</v>
      </c>
      <c r="AP397" s="171">
        <f t="shared" si="633"/>
        <v>0</v>
      </c>
      <c r="AQ397" s="171">
        <f t="shared" si="633"/>
        <v>0</v>
      </c>
      <c r="AR397" s="171">
        <f t="shared" si="633"/>
        <v>0</v>
      </c>
      <c r="AS397" s="171">
        <f t="shared" si="633"/>
        <v>0</v>
      </c>
      <c r="AT397" s="171">
        <f t="shared" si="633"/>
        <v>0</v>
      </c>
      <c r="AU397" s="171">
        <f t="shared" si="634"/>
        <v>0</v>
      </c>
      <c r="AV397" s="171">
        <f t="shared" si="634"/>
        <v>0</v>
      </c>
      <c r="AW397" s="171">
        <f t="shared" si="634"/>
        <v>0</v>
      </c>
      <c r="AX397" s="171">
        <f t="shared" si="634"/>
        <v>0</v>
      </c>
      <c r="AY397" s="171">
        <f t="shared" si="634"/>
        <v>0</v>
      </c>
      <c r="AZ397" s="171">
        <f t="shared" si="634"/>
        <v>0</v>
      </c>
      <c r="BA397" s="171">
        <f t="shared" si="634"/>
        <v>0</v>
      </c>
      <c r="BB397" s="171">
        <f t="shared" si="634"/>
        <v>0</v>
      </c>
      <c r="BC397" s="171">
        <f t="shared" si="634"/>
        <v>0</v>
      </c>
      <c r="BD397" s="171">
        <f t="shared" si="634"/>
        <v>0</v>
      </c>
      <c r="BE397" s="171">
        <f t="shared" si="635"/>
        <v>0</v>
      </c>
      <c r="BF397" s="171">
        <f t="shared" si="635"/>
        <v>0</v>
      </c>
      <c r="BG397" s="171">
        <f t="shared" si="635"/>
        <v>0</v>
      </c>
      <c r="BH397" s="171">
        <f t="shared" si="635"/>
        <v>0</v>
      </c>
      <c r="BI397" s="171">
        <f t="shared" si="635"/>
        <v>0</v>
      </c>
      <c r="BJ397" s="171">
        <f t="shared" si="635"/>
        <v>0</v>
      </c>
      <c r="BK397" s="171">
        <f t="shared" si="635"/>
        <v>0</v>
      </c>
      <c r="BL397" s="171">
        <f t="shared" si="635"/>
        <v>0</v>
      </c>
      <c r="BM397" s="171">
        <f t="shared" si="635"/>
        <v>0</v>
      </c>
      <c r="BN397" s="171">
        <f t="shared" si="635"/>
        <v>0</v>
      </c>
      <c r="BO397" s="171">
        <f t="shared" si="636"/>
        <v>0</v>
      </c>
      <c r="BP397" s="171">
        <f t="shared" si="636"/>
        <v>0</v>
      </c>
      <c r="BQ397" s="171">
        <f t="shared" si="636"/>
        <v>0</v>
      </c>
      <c r="BR397" s="171">
        <f t="shared" si="636"/>
        <v>0</v>
      </c>
      <c r="BS397" s="171">
        <f t="shared" si="636"/>
        <v>0</v>
      </c>
      <c r="BT397" s="171">
        <f t="shared" si="636"/>
        <v>0</v>
      </c>
      <c r="BU397" s="171">
        <f t="shared" si="636"/>
        <v>0</v>
      </c>
      <c r="BV397" s="171">
        <f t="shared" si="636"/>
        <v>0</v>
      </c>
      <c r="BW397" s="171">
        <f t="shared" si="636"/>
        <v>0</v>
      </c>
      <c r="BX397" s="171">
        <f t="shared" si="636"/>
        <v>0</v>
      </c>
      <c r="BY397" s="171">
        <f t="shared" si="637"/>
        <v>0</v>
      </c>
      <c r="BZ397" s="171">
        <f t="shared" si="637"/>
        <v>0</v>
      </c>
      <c r="CA397" s="171">
        <f t="shared" si="637"/>
        <v>0</v>
      </c>
      <c r="CB397" s="171">
        <f t="shared" si="637"/>
        <v>0</v>
      </c>
      <c r="CC397" s="171">
        <f t="shared" si="637"/>
        <v>0</v>
      </c>
      <c r="CD397" s="171">
        <f t="shared" si="637"/>
        <v>0</v>
      </c>
      <c r="CE397" s="171">
        <f t="shared" si="637"/>
        <v>0</v>
      </c>
      <c r="CF397" s="171">
        <f t="shared" si="637"/>
        <v>0</v>
      </c>
      <c r="CG397" s="171">
        <f t="shared" si="637"/>
        <v>0</v>
      </c>
      <c r="CH397" s="171">
        <f t="shared" si="637"/>
        <v>0</v>
      </c>
      <c r="CI397" s="171">
        <f t="shared" si="637"/>
        <v>0</v>
      </c>
      <c r="CJ397" s="243"/>
      <c r="CK397" s="171">
        <f t="shared" si="565"/>
        <v>0</v>
      </c>
      <c r="CL397" s="171">
        <f t="shared" si="566"/>
        <v>0</v>
      </c>
      <c r="CM397" s="171">
        <f t="shared" si="567"/>
        <v>0</v>
      </c>
      <c r="CN397" s="171">
        <f t="shared" si="568"/>
        <v>0</v>
      </c>
      <c r="CO397" s="171">
        <f t="shared" si="569"/>
        <v>0</v>
      </c>
      <c r="CP397" s="171">
        <f t="shared" si="570"/>
        <v>0</v>
      </c>
      <c r="CQ397" s="171">
        <f t="shared" si="571"/>
        <v>0</v>
      </c>
      <c r="CR397" s="171">
        <f t="shared" si="572"/>
        <v>0</v>
      </c>
      <c r="CS397" s="171">
        <f t="shared" si="573"/>
        <v>0</v>
      </c>
      <c r="CT397" s="171">
        <f t="shared" si="574"/>
        <v>0</v>
      </c>
      <c r="CU397" s="171">
        <f t="shared" si="575"/>
        <v>0</v>
      </c>
      <c r="CV397" s="171">
        <f t="shared" si="576"/>
        <v>0</v>
      </c>
      <c r="CW397" s="171">
        <f t="shared" si="577"/>
        <v>0</v>
      </c>
      <c r="CX397" s="171">
        <f t="shared" si="578"/>
        <v>0</v>
      </c>
      <c r="CY397" s="171">
        <f t="shared" ca="1" si="579"/>
        <v>0</v>
      </c>
      <c r="CZ397" s="171">
        <f t="shared" ca="1" si="580"/>
        <v>0</v>
      </c>
      <c r="DA397" s="171">
        <f t="shared" ca="1" si="581"/>
        <v>0</v>
      </c>
      <c r="DB397" s="171">
        <f t="shared" ca="1" si="582"/>
        <v>0</v>
      </c>
      <c r="DC397" s="171">
        <f t="shared" ca="1" si="583"/>
        <v>0</v>
      </c>
      <c r="DD397" s="171">
        <f t="shared" ca="1" si="584"/>
        <v>0</v>
      </c>
      <c r="DE397" s="171">
        <f t="shared" ca="1" si="585"/>
        <v>0</v>
      </c>
      <c r="DF397" s="171">
        <f t="shared" ca="1" si="586"/>
        <v>0</v>
      </c>
      <c r="DG397" s="171">
        <f t="shared" ca="1" si="587"/>
        <v>0</v>
      </c>
      <c r="DH397" s="171">
        <f t="shared" ca="1" si="588"/>
        <v>0</v>
      </c>
      <c r="DI397" s="171">
        <f t="shared" ca="1" si="589"/>
        <v>0</v>
      </c>
      <c r="DJ397" s="171">
        <f t="shared" ca="1" si="590"/>
        <v>0</v>
      </c>
      <c r="DK397" s="171">
        <f t="shared" ca="1" si="591"/>
        <v>0</v>
      </c>
      <c r="DL397" s="171">
        <f t="shared" ca="1" si="592"/>
        <v>0</v>
      </c>
      <c r="DM397" s="171">
        <f t="shared" ca="1" si="593"/>
        <v>0</v>
      </c>
      <c r="DN397" s="171">
        <f t="shared" ca="1" si="594"/>
        <v>0</v>
      </c>
      <c r="DO397" s="171">
        <f t="shared" ca="1" si="595"/>
        <v>0</v>
      </c>
      <c r="DP397" s="171">
        <f t="shared" ca="1" si="596"/>
        <v>0</v>
      </c>
      <c r="DQ397" s="171">
        <f t="shared" ca="1" si="597"/>
        <v>0</v>
      </c>
      <c r="DR397" s="171">
        <f t="shared" ca="1" si="598"/>
        <v>0</v>
      </c>
      <c r="DS397" s="171">
        <f t="shared" ca="1" si="599"/>
        <v>0</v>
      </c>
      <c r="DT397" s="171">
        <f t="shared" ca="1" si="600"/>
        <v>0</v>
      </c>
      <c r="DU397" s="171">
        <f t="shared" ca="1" si="601"/>
        <v>0</v>
      </c>
      <c r="DV397" s="171">
        <f t="shared" ca="1" si="602"/>
        <v>0</v>
      </c>
      <c r="DW397" s="171">
        <f t="shared" ca="1" si="603"/>
        <v>0</v>
      </c>
      <c r="DX397" s="171">
        <f t="shared" ca="1" si="604"/>
        <v>0</v>
      </c>
      <c r="DY397" s="171">
        <f t="shared" ca="1" si="605"/>
        <v>0</v>
      </c>
      <c r="DZ397" s="171">
        <f t="shared" ca="1" si="606"/>
        <v>0</v>
      </c>
      <c r="EA397" s="171">
        <f t="shared" ca="1" si="607"/>
        <v>0</v>
      </c>
      <c r="EB397" s="171">
        <f t="shared" ca="1" si="608"/>
        <v>0</v>
      </c>
      <c r="EC397" s="171">
        <f t="shared" ca="1" si="609"/>
        <v>0</v>
      </c>
      <c r="ED397" s="171">
        <f t="shared" ca="1" si="610"/>
        <v>0</v>
      </c>
      <c r="EE397" s="171">
        <f t="shared" ca="1" si="611"/>
        <v>0</v>
      </c>
      <c r="EF397" s="171">
        <f t="shared" ca="1" si="612"/>
        <v>0</v>
      </c>
      <c r="EG397" s="171">
        <f t="shared" ca="1" si="613"/>
        <v>0</v>
      </c>
      <c r="EH397" s="171">
        <f t="shared" ca="1" si="614"/>
        <v>0</v>
      </c>
      <c r="EI397" s="171">
        <f t="shared" ca="1" si="615"/>
        <v>0</v>
      </c>
      <c r="EJ397" s="171">
        <f t="shared" ca="1" si="616"/>
        <v>0</v>
      </c>
      <c r="EK397" s="171">
        <f t="shared" ca="1" si="617"/>
        <v>0</v>
      </c>
      <c r="EL397" s="171">
        <f t="shared" ca="1" si="618"/>
        <v>0</v>
      </c>
      <c r="EM397" s="171">
        <f t="shared" ca="1" si="619"/>
        <v>0</v>
      </c>
      <c r="EN397" s="171">
        <f t="shared" ca="1" si="620"/>
        <v>0</v>
      </c>
      <c r="EO397" s="171">
        <f t="shared" ca="1" si="621"/>
        <v>0</v>
      </c>
      <c r="EP397" s="171">
        <f t="shared" ca="1" si="622"/>
        <v>0</v>
      </c>
      <c r="EQ397" s="171">
        <f t="shared" ca="1" si="623"/>
        <v>0</v>
      </c>
      <c r="ER397" s="171">
        <f t="shared" ca="1" si="624"/>
        <v>0</v>
      </c>
      <c r="ES397" s="171">
        <f t="shared" ca="1" si="625"/>
        <v>0</v>
      </c>
    </row>
    <row r="398" spans="3:149">
      <c r="C398" s="214"/>
      <c r="L398" s="163"/>
      <c r="M398" s="164" t="str">
        <f t="shared" si="550"/>
        <v/>
      </c>
      <c r="N398" s="164" t="str">
        <f t="shared" si="551"/>
        <v/>
      </c>
      <c r="O398" s="165" t="str">
        <f t="shared" si="552"/>
        <v/>
      </c>
      <c r="R398" s="168"/>
      <c r="U398" s="171">
        <f t="shared" si="553"/>
        <v>0</v>
      </c>
      <c r="V398" s="171">
        <f t="shared" ca="1" si="554"/>
        <v>0</v>
      </c>
      <c r="W398" s="171">
        <f t="shared" ca="1" si="555"/>
        <v>0</v>
      </c>
      <c r="X398" s="172">
        <f t="shared" si="556"/>
        <v>0</v>
      </c>
      <c r="Y398" s="172" t="str">
        <f t="shared" si="557"/>
        <v/>
      </c>
      <c r="Z398" s="173">
        <f t="shared" si="558"/>
        <v>0</v>
      </c>
      <c r="AA398" s="171">
        <f t="shared" si="632"/>
        <v>0</v>
      </c>
      <c r="AB398" s="171">
        <f t="shared" si="632"/>
        <v>0</v>
      </c>
      <c r="AC398" s="171">
        <f t="shared" si="632"/>
        <v>0</v>
      </c>
      <c r="AD398" s="171">
        <f t="shared" si="632"/>
        <v>0</v>
      </c>
      <c r="AE398" s="171">
        <f t="shared" si="632"/>
        <v>0</v>
      </c>
      <c r="AF398" s="171">
        <f t="shared" si="632"/>
        <v>0</v>
      </c>
      <c r="AG398" s="171">
        <f t="shared" si="632"/>
        <v>0</v>
      </c>
      <c r="AH398" s="171">
        <f t="shared" si="632"/>
        <v>0</v>
      </c>
      <c r="AI398" s="171">
        <f t="shared" si="632"/>
        <v>0</v>
      </c>
      <c r="AJ398" s="171">
        <f t="shared" si="632"/>
        <v>0</v>
      </c>
      <c r="AK398" s="171">
        <f t="shared" si="633"/>
        <v>0</v>
      </c>
      <c r="AL398" s="171">
        <f t="shared" si="633"/>
        <v>0</v>
      </c>
      <c r="AM398" s="171">
        <f t="shared" si="633"/>
        <v>0</v>
      </c>
      <c r="AN398" s="171">
        <f t="shared" si="633"/>
        <v>0</v>
      </c>
      <c r="AO398" s="171">
        <f t="shared" si="633"/>
        <v>0</v>
      </c>
      <c r="AP398" s="171">
        <f t="shared" si="633"/>
        <v>0</v>
      </c>
      <c r="AQ398" s="171">
        <f t="shared" si="633"/>
        <v>0</v>
      </c>
      <c r="AR398" s="171">
        <f t="shared" si="633"/>
        <v>0</v>
      </c>
      <c r="AS398" s="171">
        <f t="shared" si="633"/>
        <v>0</v>
      </c>
      <c r="AT398" s="171">
        <f t="shared" si="633"/>
        <v>0</v>
      </c>
      <c r="AU398" s="171">
        <f t="shared" si="634"/>
        <v>0</v>
      </c>
      <c r="AV398" s="171">
        <f t="shared" si="634"/>
        <v>0</v>
      </c>
      <c r="AW398" s="171">
        <f t="shared" si="634"/>
        <v>0</v>
      </c>
      <c r="AX398" s="171">
        <f t="shared" si="634"/>
        <v>0</v>
      </c>
      <c r="AY398" s="171">
        <f t="shared" si="634"/>
        <v>0</v>
      </c>
      <c r="AZ398" s="171">
        <f t="shared" si="634"/>
        <v>0</v>
      </c>
      <c r="BA398" s="171">
        <f t="shared" si="634"/>
        <v>0</v>
      </c>
      <c r="BB398" s="171">
        <f t="shared" si="634"/>
        <v>0</v>
      </c>
      <c r="BC398" s="171">
        <f t="shared" si="634"/>
        <v>0</v>
      </c>
      <c r="BD398" s="171">
        <f t="shared" si="634"/>
        <v>0</v>
      </c>
      <c r="BE398" s="171">
        <f t="shared" si="635"/>
        <v>0</v>
      </c>
      <c r="BF398" s="171">
        <f t="shared" si="635"/>
        <v>0</v>
      </c>
      <c r="BG398" s="171">
        <f t="shared" si="635"/>
        <v>0</v>
      </c>
      <c r="BH398" s="171">
        <f t="shared" si="635"/>
        <v>0</v>
      </c>
      <c r="BI398" s="171">
        <f t="shared" si="635"/>
        <v>0</v>
      </c>
      <c r="BJ398" s="171">
        <f t="shared" si="635"/>
        <v>0</v>
      </c>
      <c r="BK398" s="171">
        <f t="shared" si="635"/>
        <v>0</v>
      </c>
      <c r="BL398" s="171">
        <f t="shared" si="635"/>
        <v>0</v>
      </c>
      <c r="BM398" s="171">
        <f t="shared" si="635"/>
        <v>0</v>
      </c>
      <c r="BN398" s="171">
        <f t="shared" si="635"/>
        <v>0</v>
      </c>
      <c r="BO398" s="171">
        <f t="shared" si="636"/>
        <v>0</v>
      </c>
      <c r="BP398" s="171">
        <f t="shared" si="636"/>
        <v>0</v>
      </c>
      <c r="BQ398" s="171">
        <f t="shared" si="636"/>
        <v>0</v>
      </c>
      <c r="BR398" s="171">
        <f t="shared" si="636"/>
        <v>0</v>
      </c>
      <c r="BS398" s="171">
        <f t="shared" si="636"/>
        <v>0</v>
      </c>
      <c r="BT398" s="171">
        <f t="shared" si="636"/>
        <v>0</v>
      </c>
      <c r="BU398" s="171">
        <f t="shared" si="636"/>
        <v>0</v>
      </c>
      <c r="BV398" s="171">
        <f t="shared" si="636"/>
        <v>0</v>
      </c>
      <c r="BW398" s="171">
        <f t="shared" si="636"/>
        <v>0</v>
      </c>
      <c r="BX398" s="171">
        <f t="shared" si="636"/>
        <v>0</v>
      </c>
      <c r="BY398" s="171">
        <f t="shared" si="637"/>
        <v>0</v>
      </c>
      <c r="BZ398" s="171">
        <f t="shared" si="637"/>
        <v>0</v>
      </c>
      <c r="CA398" s="171">
        <f t="shared" si="637"/>
        <v>0</v>
      </c>
      <c r="CB398" s="171">
        <f t="shared" si="637"/>
        <v>0</v>
      </c>
      <c r="CC398" s="171">
        <f t="shared" si="637"/>
        <v>0</v>
      </c>
      <c r="CD398" s="171">
        <f t="shared" si="637"/>
        <v>0</v>
      </c>
      <c r="CE398" s="171">
        <f t="shared" si="637"/>
        <v>0</v>
      </c>
      <c r="CF398" s="171">
        <f t="shared" si="637"/>
        <v>0</v>
      </c>
      <c r="CG398" s="171">
        <f t="shared" si="637"/>
        <v>0</v>
      </c>
      <c r="CH398" s="171">
        <f t="shared" si="637"/>
        <v>0</v>
      </c>
      <c r="CI398" s="171">
        <f t="shared" si="637"/>
        <v>0</v>
      </c>
      <c r="CJ398" s="243"/>
      <c r="CK398" s="171">
        <f t="shared" si="565"/>
        <v>0</v>
      </c>
      <c r="CL398" s="171">
        <f t="shared" si="566"/>
        <v>0</v>
      </c>
      <c r="CM398" s="171">
        <f t="shared" si="567"/>
        <v>0</v>
      </c>
      <c r="CN398" s="171">
        <f t="shared" si="568"/>
        <v>0</v>
      </c>
      <c r="CO398" s="171">
        <f t="shared" si="569"/>
        <v>0</v>
      </c>
      <c r="CP398" s="171">
        <f t="shared" si="570"/>
        <v>0</v>
      </c>
      <c r="CQ398" s="171">
        <f t="shared" si="571"/>
        <v>0</v>
      </c>
      <c r="CR398" s="171">
        <f t="shared" si="572"/>
        <v>0</v>
      </c>
      <c r="CS398" s="171">
        <f t="shared" si="573"/>
        <v>0</v>
      </c>
      <c r="CT398" s="171">
        <f t="shared" si="574"/>
        <v>0</v>
      </c>
      <c r="CU398" s="171">
        <f t="shared" si="575"/>
        <v>0</v>
      </c>
      <c r="CV398" s="171">
        <f t="shared" si="576"/>
        <v>0</v>
      </c>
      <c r="CW398" s="171">
        <f t="shared" si="577"/>
        <v>0</v>
      </c>
      <c r="CX398" s="171">
        <f t="shared" si="578"/>
        <v>0</v>
      </c>
      <c r="CY398" s="171">
        <f t="shared" ca="1" si="579"/>
        <v>0</v>
      </c>
      <c r="CZ398" s="171">
        <f t="shared" ca="1" si="580"/>
        <v>0</v>
      </c>
      <c r="DA398" s="171">
        <f t="shared" ca="1" si="581"/>
        <v>0</v>
      </c>
      <c r="DB398" s="171">
        <f t="shared" ca="1" si="582"/>
        <v>0</v>
      </c>
      <c r="DC398" s="171">
        <f t="shared" ca="1" si="583"/>
        <v>0</v>
      </c>
      <c r="DD398" s="171">
        <f t="shared" ca="1" si="584"/>
        <v>0</v>
      </c>
      <c r="DE398" s="171">
        <f t="shared" ca="1" si="585"/>
        <v>0</v>
      </c>
      <c r="DF398" s="171">
        <f t="shared" ca="1" si="586"/>
        <v>0</v>
      </c>
      <c r="DG398" s="171">
        <f t="shared" ca="1" si="587"/>
        <v>0</v>
      </c>
      <c r="DH398" s="171">
        <f t="shared" ca="1" si="588"/>
        <v>0</v>
      </c>
      <c r="DI398" s="171">
        <f t="shared" ca="1" si="589"/>
        <v>0</v>
      </c>
      <c r="DJ398" s="171">
        <f t="shared" ca="1" si="590"/>
        <v>0</v>
      </c>
      <c r="DK398" s="171">
        <f t="shared" ca="1" si="591"/>
        <v>0</v>
      </c>
      <c r="DL398" s="171">
        <f t="shared" ca="1" si="592"/>
        <v>0</v>
      </c>
      <c r="DM398" s="171">
        <f t="shared" ca="1" si="593"/>
        <v>0</v>
      </c>
      <c r="DN398" s="171">
        <f t="shared" ca="1" si="594"/>
        <v>0</v>
      </c>
      <c r="DO398" s="171">
        <f t="shared" ca="1" si="595"/>
        <v>0</v>
      </c>
      <c r="DP398" s="171">
        <f t="shared" ca="1" si="596"/>
        <v>0</v>
      </c>
      <c r="DQ398" s="171">
        <f t="shared" ca="1" si="597"/>
        <v>0</v>
      </c>
      <c r="DR398" s="171">
        <f t="shared" ca="1" si="598"/>
        <v>0</v>
      </c>
      <c r="DS398" s="171">
        <f t="shared" ca="1" si="599"/>
        <v>0</v>
      </c>
      <c r="DT398" s="171">
        <f t="shared" ca="1" si="600"/>
        <v>0</v>
      </c>
      <c r="DU398" s="171">
        <f t="shared" ca="1" si="601"/>
        <v>0</v>
      </c>
      <c r="DV398" s="171">
        <f t="shared" ca="1" si="602"/>
        <v>0</v>
      </c>
      <c r="DW398" s="171">
        <f t="shared" ca="1" si="603"/>
        <v>0</v>
      </c>
      <c r="DX398" s="171">
        <f t="shared" ca="1" si="604"/>
        <v>0</v>
      </c>
      <c r="DY398" s="171">
        <f t="shared" ca="1" si="605"/>
        <v>0</v>
      </c>
      <c r="DZ398" s="171">
        <f t="shared" ca="1" si="606"/>
        <v>0</v>
      </c>
      <c r="EA398" s="171">
        <f t="shared" ca="1" si="607"/>
        <v>0</v>
      </c>
      <c r="EB398" s="171">
        <f t="shared" ca="1" si="608"/>
        <v>0</v>
      </c>
      <c r="EC398" s="171">
        <f t="shared" ca="1" si="609"/>
        <v>0</v>
      </c>
      <c r="ED398" s="171">
        <f t="shared" ca="1" si="610"/>
        <v>0</v>
      </c>
      <c r="EE398" s="171">
        <f t="shared" ca="1" si="611"/>
        <v>0</v>
      </c>
      <c r="EF398" s="171">
        <f t="shared" ca="1" si="612"/>
        <v>0</v>
      </c>
      <c r="EG398" s="171">
        <f t="shared" ca="1" si="613"/>
        <v>0</v>
      </c>
      <c r="EH398" s="171">
        <f t="shared" ca="1" si="614"/>
        <v>0</v>
      </c>
      <c r="EI398" s="171">
        <f t="shared" ca="1" si="615"/>
        <v>0</v>
      </c>
      <c r="EJ398" s="171">
        <f t="shared" ca="1" si="616"/>
        <v>0</v>
      </c>
      <c r="EK398" s="171">
        <f t="shared" ca="1" si="617"/>
        <v>0</v>
      </c>
      <c r="EL398" s="171">
        <f t="shared" ca="1" si="618"/>
        <v>0</v>
      </c>
      <c r="EM398" s="171">
        <f t="shared" ca="1" si="619"/>
        <v>0</v>
      </c>
      <c r="EN398" s="171">
        <f t="shared" ca="1" si="620"/>
        <v>0</v>
      </c>
      <c r="EO398" s="171">
        <f t="shared" ca="1" si="621"/>
        <v>0</v>
      </c>
      <c r="EP398" s="171">
        <f t="shared" ca="1" si="622"/>
        <v>0</v>
      </c>
      <c r="EQ398" s="171">
        <f t="shared" ca="1" si="623"/>
        <v>0</v>
      </c>
      <c r="ER398" s="171">
        <f t="shared" ca="1" si="624"/>
        <v>0</v>
      </c>
      <c r="ES398" s="171">
        <f t="shared" ca="1" si="625"/>
        <v>0</v>
      </c>
    </row>
    <row r="399" spans="3:149">
      <c r="C399" s="214"/>
      <c r="L399" s="163"/>
      <c r="M399" s="164" t="str">
        <f t="shared" si="550"/>
        <v/>
      </c>
      <c r="N399" s="164" t="str">
        <f t="shared" si="551"/>
        <v/>
      </c>
      <c r="O399" s="165" t="str">
        <f t="shared" si="552"/>
        <v/>
      </c>
      <c r="R399" s="168"/>
      <c r="U399" s="171">
        <f t="shared" si="553"/>
        <v>0</v>
      </c>
      <c r="V399" s="171">
        <f t="shared" ca="1" si="554"/>
        <v>0</v>
      </c>
      <c r="W399" s="171">
        <f t="shared" ca="1" si="555"/>
        <v>0</v>
      </c>
      <c r="X399" s="172">
        <f t="shared" si="556"/>
        <v>0</v>
      </c>
      <c r="Y399" s="172" t="str">
        <f t="shared" si="557"/>
        <v/>
      </c>
      <c r="Z399" s="173">
        <f t="shared" si="558"/>
        <v>0</v>
      </c>
      <c r="AA399" s="171">
        <f t="shared" ref="AA399:AJ408" si="638">IFERROR(
    IF($T399="Equity",
        IF(AND(AA$48&gt;=$E399, AA$48&lt;=($E399+$Q399)),
$K399*$P399*(VLOOKUP($C$39,$C$37:$BL$44,MATCH($E399,$C$37:$BL$37,0),FALSE)/VLOOKUP($L399,$C$37:$BL$44,MATCH($E399,$C$37:$BL$37,0),FALSE))*
IF($B$5="Foreign Currency",VLOOKUP($C$38,$C$37:$BL$44,MATCH(AA$48,$C$37:$BL$37,0),FALSE)/VLOOKUP($C$39,$C$37:$BL$44,MATCH(AA$48,$C$37:$BL$37,0),FALSE),1),
0),
    IF($T399="Lump Sum Principal",
        IF(AND(AA$48&gt;=$E399, AA$48&lt;($E399+$Q399)),
$K399*$P399*(VLOOKUP($C$39,$C$37:$BL$44,MATCH($E399,$C$37:$BL$37,0),FALSE)/VLOOKUP($L399,$C$37:$BL$44,MATCH($E399,$C$37:$BL$37,0),FALSE))*
IF($B$5="Foreign Currency",VLOOKUP($C$38,$C$37:$BL$44,MATCH(AA$48,$C$37:$BL$37,0),FALSE)/VLOOKUP($C$39,$C$37:$BL$44,MATCH(AA$48,$C$37:$BL$37,0),FALSE),1),
        IF(AA$48=($E399+$Q399),
$K399*(1+$P399)*(VLOOKUP($C$39,$C$37:$BL$44,MATCH($E399,$C$37:$BL$37,0),FALSE)/VLOOKUP($L399,$C$37:$BL$44,MATCH($E399,$C$37:$BL$37,0),FALSE))*
IF($B$5="Foreign Currency",VLOOKUP($C$38,$C$37:$BL$44,MATCH(AA$48,$C$37:$BL$37,0),FALSE)/VLOOKUP($C$39,$C$37:$BL$44,MATCH(AA$48,$C$37:$BL$37,0),FALSE),1),
0)),
    IF($T399="Lump Sum Principal and Interest",
        IF(AA$48=($E399+$Q399),
$K399*((1+$P399)^$Q399)*(VLOOKUP($C$39,$C$37:$BL$44,MATCH($E399,$C$37:$BL$37,0),FALSE)/VLOOKUP($L399,$C$37:$BL$44,MATCH($E399,$C$37:$BL$37,0),FALSE))*
IF($B$5="Foreign Currency",VLOOKUP($C$38,$C$37:$BL$44,MATCH(AA$48,$C$37:$BL$37,0),FALSE)/VLOOKUP($C$39,$C$37:$BL$44,MATCH(AA$48,$C$37:$BL$37,0),FALSE),1),
0),
    IF($T399="EPP with Grace Years for Principal",
        IF(AND(AA$48&gt;=$E399, AA$48&lt;($E399+$S399)),
$K399*$P399*(VLOOKUP($C$39,$C$37:$BL$44,MATCH($E399,$C$37:$BL$37,0),FALSE)/VLOOKUP($L399,$C$37:$BL$44,MATCH($E399,$C$37:$BL$37,0),FALSE))*
IF($B$5="Foreign Currency",VLOOKUP($C$38,$C$37:$BL$44,MATCH(AA$48,$C$37:$BL$37,0),FALSE)/VLOOKUP($C$39,$C$37:$BL$44,MATCH(AA$48,$C$37:$BL$37,0),FALSE),1),
        IF(AND(AA$48&gt;=($E399+$S399), AA$48&lt;=($E399+$Q399)),
-PMT($P399,($Q399-$S399+1),($K399*(VLOOKUP($C$39,$C$37:$BL$44,MATCH($E399,$C$37:$BL$37,0),FALSE)/VLOOKUP($L399,$C$37:$BL$44,MATCH($E399,$C$37:$BL$37,0),FALSE))*
IF($B$5="Foreign Currency",VLOOKUP($C$38,$C$37:$BL$44,MATCH(AA$48,$C$37:$BL$37,0),FALSE)/VLOOKUP($C$39,$C$37:$BL$44,MATCH(AA$48,$C$37:$BL$37,0),FALSE),1)),0),
0)),
    IF($T399="Equal Principal Payments (EPP)",
        IF(AND(AA$48&gt;=$E399, AA$48&lt;=($E399+$Q399)),
-PMT($P399,($Q399-$S399+1),($K399*(VLOOKUP($C$39,$C$37:$BL$44,MATCH($E399,$C$37:$BL$37,0),FALSE)/VLOOKUP($L399,$C$37:$BL$44,MATCH($E399,$C$37:$BL$37,0),FALSE))*
IF($B$5="Foreign Currency",VLOOKUP($C$38,$C$37:$BL$44,MATCH(AA$48,$C$37:$BL$37,0),FALSE)/VLOOKUP($C$39,$C$37:$BL$44,MATCH(AA$48,$C$37:$BL$37,0),FALSE),1)),0), 0),
    IF($T399="EPP with Grace Years for Principal and on Interest",
        IF(AND(AA$48&gt;=($E399+$S399), AA$48&lt;=($E399+$Q399)),
-PMT($P399,($Q399-$S399+1),($K399*(VLOOKUP($C$39,$C$37:$BL$44,MATCH($E399,$C$37:$BL$37,0),FALSE)/VLOOKUP($L399,$C$37:$BL$44,MATCH($E399,$C$37:$BL$37,0),FALSE))*
IF($B$5="Foreign Currency",VLOOKUP($C$38,$C$37:$BL$44,MATCH(AA$48,$C$37:$BL$37,0),FALSE)/VLOOKUP($C$39,$C$37:$BL$44,MATCH(AA$48,$C$37:$BL$37,0),FALSE),1))*((1+$P399)^$S399),0), 0),
    0)))))),"")</f>
        <v>0</v>
      </c>
      <c r="AB399" s="171">
        <f t="shared" si="638"/>
        <v>0</v>
      </c>
      <c r="AC399" s="171">
        <f t="shared" si="638"/>
        <v>0</v>
      </c>
      <c r="AD399" s="171">
        <f t="shared" si="638"/>
        <v>0</v>
      </c>
      <c r="AE399" s="171">
        <f t="shared" si="638"/>
        <v>0</v>
      </c>
      <c r="AF399" s="171">
        <f t="shared" si="638"/>
        <v>0</v>
      </c>
      <c r="AG399" s="171">
        <f t="shared" si="638"/>
        <v>0</v>
      </c>
      <c r="AH399" s="171">
        <f t="shared" si="638"/>
        <v>0</v>
      </c>
      <c r="AI399" s="171">
        <f t="shared" si="638"/>
        <v>0</v>
      </c>
      <c r="AJ399" s="171">
        <f t="shared" si="638"/>
        <v>0</v>
      </c>
      <c r="AK399" s="171">
        <f t="shared" ref="AK399:AT408" si="639">IFERROR(
    IF($T399="Equity",
        IF(AND(AK$48&gt;=$E399, AK$48&lt;=($E399+$Q399)),
$K399*$P399*(VLOOKUP($C$39,$C$37:$BL$44,MATCH($E399,$C$37:$BL$37,0),FALSE)/VLOOKUP($L399,$C$37:$BL$44,MATCH($E399,$C$37:$BL$37,0),FALSE))*
IF($B$5="Foreign Currency",VLOOKUP($C$38,$C$37:$BL$44,MATCH(AK$48,$C$37:$BL$37,0),FALSE)/VLOOKUP($C$39,$C$37:$BL$44,MATCH(AK$48,$C$37:$BL$37,0),FALSE),1),
0),
    IF($T399="Lump Sum Principal",
        IF(AND(AK$48&gt;=$E399, AK$48&lt;($E399+$Q399)),
$K399*$P399*(VLOOKUP($C$39,$C$37:$BL$44,MATCH($E399,$C$37:$BL$37,0),FALSE)/VLOOKUP($L399,$C$37:$BL$44,MATCH($E399,$C$37:$BL$37,0),FALSE))*
IF($B$5="Foreign Currency",VLOOKUP($C$38,$C$37:$BL$44,MATCH(AK$48,$C$37:$BL$37,0),FALSE)/VLOOKUP($C$39,$C$37:$BL$44,MATCH(AK$48,$C$37:$BL$37,0),FALSE),1),
        IF(AK$48=($E399+$Q399),
$K399*(1+$P399)*(VLOOKUP($C$39,$C$37:$BL$44,MATCH($E399,$C$37:$BL$37,0),FALSE)/VLOOKUP($L399,$C$37:$BL$44,MATCH($E399,$C$37:$BL$37,0),FALSE))*
IF($B$5="Foreign Currency",VLOOKUP($C$38,$C$37:$BL$44,MATCH(AK$48,$C$37:$BL$37,0),FALSE)/VLOOKUP($C$39,$C$37:$BL$44,MATCH(AK$48,$C$37:$BL$37,0),FALSE),1),
0)),
    IF($T399="Lump Sum Principal and Interest",
        IF(AK$48=($E399+$Q399),
$K399*((1+$P399)^$Q399)*(VLOOKUP($C$39,$C$37:$BL$44,MATCH($E399,$C$37:$BL$37,0),FALSE)/VLOOKUP($L399,$C$37:$BL$44,MATCH($E399,$C$37:$BL$37,0),FALSE))*
IF($B$5="Foreign Currency",VLOOKUP($C$38,$C$37:$BL$44,MATCH(AK$48,$C$37:$BL$37,0),FALSE)/VLOOKUP($C$39,$C$37:$BL$44,MATCH(AK$48,$C$37:$BL$37,0),FALSE),1),
0),
    IF($T399="EPP with Grace Years for Principal",
        IF(AND(AK$48&gt;=$E399, AK$48&lt;($E399+$S399)),
$K399*$P399*(VLOOKUP($C$39,$C$37:$BL$44,MATCH($E399,$C$37:$BL$37,0),FALSE)/VLOOKUP($L399,$C$37:$BL$44,MATCH($E399,$C$37:$BL$37,0),FALSE))*
IF($B$5="Foreign Currency",VLOOKUP($C$38,$C$37:$BL$44,MATCH(AK$48,$C$37:$BL$37,0),FALSE)/VLOOKUP($C$39,$C$37:$BL$44,MATCH(AK$48,$C$37:$BL$37,0),FALSE),1),
        IF(AND(AK$48&gt;=($E399+$S399), AK$48&lt;=($E399+$Q399)),
-PMT($P399,($Q399-$S399+1),($K399*(VLOOKUP($C$39,$C$37:$BL$44,MATCH($E399,$C$37:$BL$37,0),FALSE)/VLOOKUP($L399,$C$37:$BL$44,MATCH($E399,$C$37:$BL$37,0),FALSE))*
IF($B$5="Foreign Currency",VLOOKUP($C$38,$C$37:$BL$44,MATCH(AK$48,$C$37:$BL$37,0),FALSE)/VLOOKUP($C$39,$C$37:$BL$44,MATCH(AK$48,$C$37:$BL$37,0),FALSE),1)),0),
0)),
    IF($T399="Equal Principal Payments (EPP)",
        IF(AND(AK$48&gt;=$E399, AK$48&lt;=($E399+$Q399)),
-PMT($P399,($Q399-$S399+1),($K399*(VLOOKUP($C$39,$C$37:$BL$44,MATCH($E399,$C$37:$BL$37,0),FALSE)/VLOOKUP($L399,$C$37:$BL$44,MATCH($E399,$C$37:$BL$37,0),FALSE))*
IF($B$5="Foreign Currency",VLOOKUP($C$38,$C$37:$BL$44,MATCH(AK$48,$C$37:$BL$37,0),FALSE)/VLOOKUP($C$39,$C$37:$BL$44,MATCH(AK$48,$C$37:$BL$37,0),FALSE),1)),0), 0),
    IF($T399="EPP with Grace Years for Principal and on Interest",
        IF(AND(AK$48&gt;=($E399+$S399), AK$48&lt;=($E399+$Q399)),
-PMT($P399,($Q399-$S399+1),($K399*(VLOOKUP($C$39,$C$37:$BL$44,MATCH($E399,$C$37:$BL$37,0),FALSE)/VLOOKUP($L399,$C$37:$BL$44,MATCH($E399,$C$37:$BL$37,0),FALSE))*
IF($B$5="Foreign Currency",VLOOKUP($C$38,$C$37:$BL$44,MATCH(AK$48,$C$37:$BL$37,0),FALSE)/VLOOKUP($C$39,$C$37:$BL$44,MATCH(AK$48,$C$37:$BL$37,0),FALSE),1))*((1+$P399)^$S399),0), 0),
    0)))))),"")</f>
        <v>0</v>
      </c>
      <c r="AL399" s="171">
        <f t="shared" si="639"/>
        <v>0</v>
      </c>
      <c r="AM399" s="171">
        <f t="shared" si="639"/>
        <v>0</v>
      </c>
      <c r="AN399" s="171">
        <f t="shared" si="639"/>
        <v>0</v>
      </c>
      <c r="AO399" s="171">
        <f t="shared" si="639"/>
        <v>0</v>
      </c>
      <c r="AP399" s="171">
        <f t="shared" si="639"/>
        <v>0</v>
      </c>
      <c r="AQ399" s="171">
        <f t="shared" si="639"/>
        <v>0</v>
      </c>
      <c r="AR399" s="171">
        <f t="shared" si="639"/>
        <v>0</v>
      </c>
      <c r="AS399" s="171">
        <f t="shared" si="639"/>
        <v>0</v>
      </c>
      <c r="AT399" s="171">
        <f t="shared" si="639"/>
        <v>0</v>
      </c>
      <c r="AU399" s="171">
        <f t="shared" ref="AU399:BD408" si="640">IFERROR(
    IF($T399="Equity",
        IF(AND(AU$48&gt;=$E399, AU$48&lt;=($E399+$Q399)),
$K399*$P399*(VLOOKUP($C$39,$C$37:$BL$44,MATCH($E399,$C$37:$BL$37,0),FALSE)/VLOOKUP($L399,$C$37:$BL$44,MATCH($E399,$C$37:$BL$37,0),FALSE))*
IF($B$5="Foreign Currency",VLOOKUP($C$38,$C$37:$BL$44,MATCH(AU$48,$C$37:$BL$37,0),FALSE)/VLOOKUP($C$39,$C$37:$BL$44,MATCH(AU$48,$C$37:$BL$37,0),FALSE),1),
0),
    IF($T399="Lump Sum Principal",
        IF(AND(AU$48&gt;=$E399, AU$48&lt;($E399+$Q399)),
$K399*$P399*(VLOOKUP($C$39,$C$37:$BL$44,MATCH($E399,$C$37:$BL$37,0),FALSE)/VLOOKUP($L399,$C$37:$BL$44,MATCH($E399,$C$37:$BL$37,0),FALSE))*
IF($B$5="Foreign Currency",VLOOKUP($C$38,$C$37:$BL$44,MATCH(AU$48,$C$37:$BL$37,0),FALSE)/VLOOKUP($C$39,$C$37:$BL$44,MATCH(AU$48,$C$37:$BL$37,0),FALSE),1),
        IF(AU$48=($E399+$Q399),
$K399*(1+$P399)*(VLOOKUP($C$39,$C$37:$BL$44,MATCH($E399,$C$37:$BL$37,0),FALSE)/VLOOKUP($L399,$C$37:$BL$44,MATCH($E399,$C$37:$BL$37,0),FALSE))*
IF($B$5="Foreign Currency",VLOOKUP($C$38,$C$37:$BL$44,MATCH(AU$48,$C$37:$BL$37,0),FALSE)/VLOOKUP($C$39,$C$37:$BL$44,MATCH(AU$48,$C$37:$BL$37,0),FALSE),1),
0)),
    IF($T399="Lump Sum Principal and Interest",
        IF(AU$48=($E399+$Q399),
$K399*((1+$P399)^$Q399)*(VLOOKUP($C$39,$C$37:$BL$44,MATCH($E399,$C$37:$BL$37,0),FALSE)/VLOOKUP($L399,$C$37:$BL$44,MATCH($E399,$C$37:$BL$37,0),FALSE))*
IF($B$5="Foreign Currency",VLOOKUP($C$38,$C$37:$BL$44,MATCH(AU$48,$C$37:$BL$37,0),FALSE)/VLOOKUP($C$39,$C$37:$BL$44,MATCH(AU$48,$C$37:$BL$37,0),FALSE),1),
0),
    IF($T399="EPP with Grace Years for Principal",
        IF(AND(AU$48&gt;=$E399, AU$48&lt;($E399+$S399)),
$K399*$P399*(VLOOKUP($C$39,$C$37:$BL$44,MATCH($E399,$C$37:$BL$37,0),FALSE)/VLOOKUP($L399,$C$37:$BL$44,MATCH($E399,$C$37:$BL$37,0),FALSE))*
IF($B$5="Foreign Currency",VLOOKUP($C$38,$C$37:$BL$44,MATCH(AU$48,$C$37:$BL$37,0),FALSE)/VLOOKUP($C$39,$C$37:$BL$44,MATCH(AU$48,$C$37:$BL$37,0),FALSE),1),
        IF(AND(AU$48&gt;=($E399+$S399), AU$48&lt;=($E399+$Q399)),
-PMT($P399,($Q399-$S399+1),($K399*(VLOOKUP($C$39,$C$37:$BL$44,MATCH($E399,$C$37:$BL$37,0),FALSE)/VLOOKUP($L399,$C$37:$BL$44,MATCH($E399,$C$37:$BL$37,0),FALSE))*
IF($B$5="Foreign Currency",VLOOKUP($C$38,$C$37:$BL$44,MATCH(AU$48,$C$37:$BL$37,0),FALSE)/VLOOKUP($C$39,$C$37:$BL$44,MATCH(AU$48,$C$37:$BL$37,0),FALSE),1)),0),
0)),
    IF($T399="Equal Principal Payments (EPP)",
        IF(AND(AU$48&gt;=$E399, AU$48&lt;=($E399+$Q399)),
-PMT($P399,($Q399-$S399+1),($K399*(VLOOKUP($C$39,$C$37:$BL$44,MATCH($E399,$C$37:$BL$37,0),FALSE)/VLOOKUP($L399,$C$37:$BL$44,MATCH($E399,$C$37:$BL$37,0),FALSE))*
IF($B$5="Foreign Currency",VLOOKUP($C$38,$C$37:$BL$44,MATCH(AU$48,$C$37:$BL$37,0),FALSE)/VLOOKUP($C$39,$C$37:$BL$44,MATCH(AU$48,$C$37:$BL$37,0),FALSE),1)),0), 0),
    IF($T399="EPP with Grace Years for Principal and on Interest",
        IF(AND(AU$48&gt;=($E399+$S399), AU$48&lt;=($E399+$Q399)),
-PMT($P399,($Q399-$S399+1),($K399*(VLOOKUP($C$39,$C$37:$BL$44,MATCH($E399,$C$37:$BL$37,0),FALSE)/VLOOKUP($L399,$C$37:$BL$44,MATCH($E399,$C$37:$BL$37,0),FALSE))*
IF($B$5="Foreign Currency",VLOOKUP($C$38,$C$37:$BL$44,MATCH(AU$48,$C$37:$BL$37,0),FALSE)/VLOOKUP($C$39,$C$37:$BL$44,MATCH(AU$48,$C$37:$BL$37,0),FALSE),1))*((1+$P399)^$S399),0), 0),
    0)))))),"")</f>
        <v>0</v>
      </c>
      <c r="AV399" s="171">
        <f t="shared" si="640"/>
        <v>0</v>
      </c>
      <c r="AW399" s="171">
        <f t="shared" si="640"/>
        <v>0</v>
      </c>
      <c r="AX399" s="171">
        <f t="shared" si="640"/>
        <v>0</v>
      </c>
      <c r="AY399" s="171">
        <f t="shared" si="640"/>
        <v>0</v>
      </c>
      <c r="AZ399" s="171">
        <f t="shared" si="640"/>
        <v>0</v>
      </c>
      <c r="BA399" s="171">
        <f t="shared" si="640"/>
        <v>0</v>
      </c>
      <c r="BB399" s="171">
        <f t="shared" si="640"/>
        <v>0</v>
      </c>
      <c r="BC399" s="171">
        <f t="shared" si="640"/>
        <v>0</v>
      </c>
      <c r="BD399" s="171">
        <f t="shared" si="640"/>
        <v>0</v>
      </c>
      <c r="BE399" s="171">
        <f t="shared" ref="BE399:BN408" si="641">IFERROR(
    IF($T399="Equity",
        IF(AND(BE$48&gt;=$E399, BE$48&lt;=($E399+$Q399)),
$K399*$P399*(VLOOKUP($C$39,$C$37:$BL$44,MATCH($E399,$C$37:$BL$37,0),FALSE)/VLOOKUP($L399,$C$37:$BL$44,MATCH($E399,$C$37:$BL$37,0),FALSE))*
IF($B$5="Foreign Currency",VLOOKUP($C$38,$C$37:$BL$44,MATCH(BE$48,$C$37:$BL$37,0),FALSE)/VLOOKUP($C$39,$C$37:$BL$44,MATCH(BE$48,$C$37:$BL$37,0),FALSE),1),
0),
    IF($T399="Lump Sum Principal",
        IF(AND(BE$48&gt;=$E399, BE$48&lt;($E399+$Q399)),
$K399*$P399*(VLOOKUP($C$39,$C$37:$BL$44,MATCH($E399,$C$37:$BL$37,0),FALSE)/VLOOKUP($L399,$C$37:$BL$44,MATCH($E399,$C$37:$BL$37,0),FALSE))*
IF($B$5="Foreign Currency",VLOOKUP($C$38,$C$37:$BL$44,MATCH(BE$48,$C$37:$BL$37,0),FALSE)/VLOOKUP($C$39,$C$37:$BL$44,MATCH(BE$48,$C$37:$BL$37,0),FALSE),1),
        IF(BE$48=($E399+$Q399),
$K399*(1+$P399)*(VLOOKUP($C$39,$C$37:$BL$44,MATCH($E399,$C$37:$BL$37,0),FALSE)/VLOOKUP($L399,$C$37:$BL$44,MATCH($E399,$C$37:$BL$37,0),FALSE))*
IF($B$5="Foreign Currency",VLOOKUP($C$38,$C$37:$BL$44,MATCH(BE$48,$C$37:$BL$37,0),FALSE)/VLOOKUP($C$39,$C$37:$BL$44,MATCH(BE$48,$C$37:$BL$37,0),FALSE),1),
0)),
    IF($T399="Lump Sum Principal and Interest",
        IF(BE$48=($E399+$Q399),
$K399*((1+$P399)^$Q399)*(VLOOKUP($C$39,$C$37:$BL$44,MATCH($E399,$C$37:$BL$37,0),FALSE)/VLOOKUP($L399,$C$37:$BL$44,MATCH($E399,$C$37:$BL$37,0),FALSE))*
IF($B$5="Foreign Currency",VLOOKUP($C$38,$C$37:$BL$44,MATCH(BE$48,$C$37:$BL$37,0),FALSE)/VLOOKUP($C$39,$C$37:$BL$44,MATCH(BE$48,$C$37:$BL$37,0),FALSE),1),
0),
    IF($T399="EPP with Grace Years for Principal",
        IF(AND(BE$48&gt;=$E399, BE$48&lt;($E399+$S399)),
$K399*$P399*(VLOOKUP($C$39,$C$37:$BL$44,MATCH($E399,$C$37:$BL$37,0),FALSE)/VLOOKUP($L399,$C$37:$BL$44,MATCH($E399,$C$37:$BL$37,0),FALSE))*
IF($B$5="Foreign Currency",VLOOKUP($C$38,$C$37:$BL$44,MATCH(BE$48,$C$37:$BL$37,0),FALSE)/VLOOKUP($C$39,$C$37:$BL$44,MATCH(BE$48,$C$37:$BL$37,0),FALSE),1),
        IF(AND(BE$48&gt;=($E399+$S399), BE$48&lt;=($E399+$Q399)),
-PMT($P399,($Q399-$S399+1),($K399*(VLOOKUP($C$39,$C$37:$BL$44,MATCH($E399,$C$37:$BL$37,0),FALSE)/VLOOKUP($L399,$C$37:$BL$44,MATCH($E399,$C$37:$BL$37,0),FALSE))*
IF($B$5="Foreign Currency",VLOOKUP($C$38,$C$37:$BL$44,MATCH(BE$48,$C$37:$BL$37,0),FALSE)/VLOOKUP($C$39,$C$37:$BL$44,MATCH(BE$48,$C$37:$BL$37,0),FALSE),1)),0),
0)),
    IF($T399="Equal Principal Payments (EPP)",
        IF(AND(BE$48&gt;=$E399, BE$48&lt;=($E399+$Q399)),
-PMT($P399,($Q399-$S399+1),($K399*(VLOOKUP($C$39,$C$37:$BL$44,MATCH($E399,$C$37:$BL$37,0),FALSE)/VLOOKUP($L399,$C$37:$BL$44,MATCH($E399,$C$37:$BL$37,0),FALSE))*
IF($B$5="Foreign Currency",VLOOKUP($C$38,$C$37:$BL$44,MATCH(BE$48,$C$37:$BL$37,0),FALSE)/VLOOKUP($C$39,$C$37:$BL$44,MATCH(BE$48,$C$37:$BL$37,0),FALSE),1)),0), 0),
    IF($T399="EPP with Grace Years for Principal and on Interest",
        IF(AND(BE$48&gt;=($E399+$S399), BE$48&lt;=($E399+$Q399)),
-PMT($P399,($Q399-$S399+1),($K399*(VLOOKUP($C$39,$C$37:$BL$44,MATCH($E399,$C$37:$BL$37,0),FALSE)/VLOOKUP($L399,$C$37:$BL$44,MATCH($E399,$C$37:$BL$37,0),FALSE))*
IF($B$5="Foreign Currency",VLOOKUP($C$38,$C$37:$BL$44,MATCH(BE$48,$C$37:$BL$37,0),FALSE)/VLOOKUP($C$39,$C$37:$BL$44,MATCH(BE$48,$C$37:$BL$37,0),FALSE),1))*((1+$P399)^$S399),0), 0),
    0)))))),"")</f>
        <v>0</v>
      </c>
      <c r="BF399" s="171">
        <f t="shared" si="641"/>
        <v>0</v>
      </c>
      <c r="BG399" s="171">
        <f t="shared" si="641"/>
        <v>0</v>
      </c>
      <c r="BH399" s="171">
        <f t="shared" si="641"/>
        <v>0</v>
      </c>
      <c r="BI399" s="171">
        <f t="shared" si="641"/>
        <v>0</v>
      </c>
      <c r="BJ399" s="171">
        <f t="shared" si="641"/>
        <v>0</v>
      </c>
      <c r="BK399" s="171">
        <f t="shared" si="641"/>
        <v>0</v>
      </c>
      <c r="BL399" s="171">
        <f t="shared" si="641"/>
        <v>0</v>
      </c>
      <c r="BM399" s="171">
        <f t="shared" si="641"/>
        <v>0</v>
      </c>
      <c r="BN399" s="171">
        <f t="shared" si="641"/>
        <v>0</v>
      </c>
      <c r="BO399" s="171">
        <f t="shared" ref="BO399:BX408" si="642">IFERROR(
    IF($T399="Equity",
        IF(AND(BO$48&gt;=$E399, BO$48&lt;=($E399+$Q399)),
$K399*$P399*(VLOOKUP($C$39,$C$37:$BL$44,MATCH($E399,$C$37:$BL$37,0),FALSE)/VLOOKUP($L399,$C$37:$BL$44,MATCH($E399,$C$37:$BL$37,0),FALSE))*
IF($B$5="Foreign Currency",VLOOKUP($C$38,$C$37:$BL$44,MATCH(BO$48,$C$37:$BL$37,0),FALSE)/VLOOKUP($C$39,$C$37:$BL$44,MATCH(BO$48,$C$37:$BL$37,0),FALSE),1),
0),
    IF($T399="Lump Sum Principal",
        IF(AND(BO$48&gt;=$E399, BO$48&lt;($E399+$Q399)),
$K399*$P399*(VLOOKUP($C$39,$C$37:$BL$44,MATCH($E399,$C$37:$BL$37,0),FALSE)/VLOOKUP($L399,$C$37:$BL$44,MATCH($E399,$C$37:$BL$37,0),FALSE))*
IF($B$5="Foreign Currency",VLOOKUP($C$38,$C$37:$BL$44,MATCH(BO$48,$C$37:$BL$37,0),FALSE)/VLOOKUP($C$39,$C$37:$BL$44,MATCH(BO$48,$C$37:$BL$37,0),FALSE),1),
        IF(BO$48=($E399+$Q399),
$K399*(1+$P399)*(VLOOKUP($C$39,$C$37:$BL$44,MATCH($E399,$C$37:$BL$37,0),FALSE)/VLOOKUP($L399,$C$37:$BL$44,MATCH($E399,$C$37:$BL$37,0),FALSE))*
IF($B$5="Foreign Currency",VLOOKUP($C$38,$C$37:$BL$44,MATCH(BO$48,$C$37:$BL$37,0),FALSE)/VLOOKUP($C$39,$C$37:$BL$44,MATCH(BO$48,$C$37:$BL$37,0),FALSE),1),
0)),
    IF($T399="Lump Sum Principal and Interest",
        IF(BO$48=($E399+$Q399),
$K399*((1+$P399)^$Q399)*(VLOOKUP($C$39,$C$37:$BL$44,MATCH($E399,$C$37:$BL$37,0),FALSE)/VLOOKUP($L399,$C$37:$BL$44,MATCH($E399,$C$37:$BL$37,0),FALSE))*
IF($B$5="Foreign Currency",VLOOKUP($C$38,$C$37:$BL$44,MATCH(BO$48,$C$37:$BL$37,0),FALSE)/VLOOKUP($C$39,$C$37:$BL$44,MATCH(BO$48,$C$37:$BL$37,0),FALSE),1),
0),
    IF($T399="EPP with Grace Years for Principal",
        IF(AND(BO$48&gt;=$E399, BO$48&lt;($E399+$S399)),
$K399*$P399*(VLOOKUP($C$39,$C$37:$BL$44,MATCH($E399,$C$37:$BL$37,0),FALSE)/VLOOKUP($L399,$C$37:$BL$44,MATCH($E399,$C$37:$BL$37,0),FALSE))*
IF($B$5="Foreign Currency",VLOOKUP($C$38,$C$37:$BL$44,MATCH(BO$48,$C$37:$BL$37,0),FALSE)/VLOOKUP($C$39,$C$37:$BL$44,MATCH(BO$48,$C$37:$BL$37,0),FALSE),1),
        IF(AND(BO$48&gt;=($E399+$S399), BO$48&lt;=($E399+$Q399)),
-PMT($P399,($Q399-$S399+1),($K399*(VLOOKUP($C$39,$C$37:$BL$44,MATCH($E399,$C$37:$BL$37,0),FALSE)/VLOOKUP($L399,$C$37:$BL$44,MATCH($E399,$C$37:$BL$37,0),FALSE))*
IF($B$5="Foreign Currency",VLOOKUP($C$38,$C$37:$BL$44,MATCH(BO$48,$C$37:$BL$37,0),FALSE)/VLOOKUP($C$39,$C$37:$BL$44,MATCH(BO$48,$C$37:$BL$37,0),FALSE),1)),0),
0)),
    IF($T399="Equal Principal Payments (EPP)",
        IF(AND(BO$48&gt;=$E399, BO$48&lt;=($E399+$Q399)),
-PMT($P399,($Q399-$S399+1),($K399*(VLOOKUP($C$39,$C$37:$BL$44,MATCH($E399,$C$37:$BL$37,0),FALSE)/VLOOKUP($L399,$C$37:$BL$44,MATCH($E399,$C$37:$BL$37,0),FALSE))*
IF($B$5="Foreign Currency",VLOOKUP($C$38,$C$37:$BL$44,MATCH(BO$48,$C$37:$BL$37,0),FALSE)/VLOOKUP($C$39,$C$37:$BL$44,MATCH(BO$48,$C$37:$BL$37,0),FALSE),1)),0), 0),
    IF($T399="EPP with Grace Years for Principal and on Interest",
        IF(AND(BO$48&gt;=($E399+$S399), BO$48&lt;=($E399+$Q399)),
-PMT($P399,($Q399-$S399+1),($K399*(VLOOKUP($C$39,$C$37:$BL$44,MATCH($E399,$C$37:$BL$37,0),FALSE)/VLOOKUP($L399,$C$37:$BL$44,MATCH($E399,$C$37:$BL$37,0),FALSE))*
IF($B$5="Foreign Currency",VLOOKUP($C$38,$C$37:$BL$44,MATCH(BO$48,$C$37:$BL$37,0),FALSE)/VLOOKUP($C$39,$C$37:$BL$44,MATCH(BO$48,$C$37:$BL$37,0),FALSE),1))*((1+$P399)^$S399),0), 0),
    0)))))),"")</f>
        <v>0</v>
      </c>
      <c r="BP399" s="171">
        <f t="shared" si="642"/>
        <v>0</v>
      </c>
      <c r="BQ399" s="171">
        <f t="shared" si="642"/>
        <v>0</v>
      </c>
      <c r="BR399" s="171">
        <f t="shared" si="642"/>
        <v>0</v>
      </c>
      <c r="BS399" s="171">
        <f t="shared" si="642"/>
        <v>0</v>
      </c>
      <c r="BT399" s="171">
        <f t="shared" si="642"/>
        <v>0</v>
      </c>
      <c r="BU399" s="171">
        <f t="shared" si="642"/>
        <v>0</v>
      </c>
      <c r="BV399" s="171">
        <f t="shared" si="642"/>
        <v>0</v>
      </c>
      <c r="BW399" s="171">
        <f t="shared" si="642"/>
        <v>0</v>
      </c>
      <c r="BX399" s="171">
        <f t="shared" si="642"/>
        <v>0</v>
      </c>
      <c r="BY399" s="171">
        <f t="shared" ref="BY399:CI408" si="643">IFERROR(
    IF($T399="Equity",
        IF(AND(BY$48&gt;=$E399, BY$48&lt;=($E399+$Q399)),
$K399*$P399*(VLOOKUP($C$39,$C$37:$BL$44,MATCH($E399,$C$37:$BL$37,0),FALSE)/VLOOKUP($L399,$C$37:$BL$44,MATCH($E399,$C$37:$BL$37,0),FALSE))*
IF($B$5="Foreign Currency",VLOOKUP($C$38,$C$37:$BL$44,MATCH(BY$48,$C$37:$BL$37,0),FALSE)/VLOOKUP($C$39,$C$37:$BL$44,MATCH(BY$48,$C$37:$BL$37,0),FALSE),1),
0),
    IF($T399="Lump Sum Principal",
        IF(AND(BY$48&gt;=$E399, BY$48&lt;($E399+$Q399)),
$K399*$P399*(VLOOKUP($C$39,$C$37:$BL$44,MATCH($E399,$C$37:$BL$37,0),FALSE)/VLOOKUP($L399,$C$37:$BL$44,MATCH($E399,$C$37:$BL$37,0),FALSE))*
IF($B$5="Foreign Currency",VLOOKUP($C$38,$C$37:$BL$44,MATCH(BY$48,$C$37:$BL$37,0),FALSE)/VLOOKUP($C$39,$C$37:$BL$44,MATCH(BY$48,$C$37:$BL$37,0),FALSE),1),
        IF(BY$48=($E399+$Q399),
$K399*(1+$P399)*(VLOOKUP($C$39,$C$37:$BL$44,MATCH($E399,$C$37:$BL$37,0),FALSE)/VLOOKUP($L399,$C$37:$BL$44,MATCH($E399,$C$37:$BL$37,0),FALSE))*
IF($B$5="Foreign Currency",VLOOKUP($C$38,$C$37:$BL$44,MATCH(BY$48,$C$37:$BL$37,0),FALSE)/VLOOKUP($C$39,$C$37:$BL$44,MATCH(BY$48,$C$37:$BL$37,0),FALSE),1),
0)),
    IF($T399="Lump Sum Principal and Interest",
        IF(BY$48=($E399+$Q399),
$K399*((1+$P399)^$Q399)*(VLOOKUP($C$39,$C$37:$BL$44,MATCH($E399,$C$37:$BL$37,0),FALSE)/VLOOKUP($L399,$C$37:$BL$44,MATCH($E399,$C$37:$BL$37,0),FALSE))*
IF($B$5="Foreign Currency",VLOOKUP($C$38,$C$37:$BL$44,MATCH(BY$48,$C$37:$BL$37,0),FALSE)/VLOOKUP($C$39,$C$37:$BL$44,MATCH(BY$48,$C$37:$BL$37,0),FALSE),1),
0),
    IF($T399="EPP with Grace Years for Principal",
        IF(AND(BY$48&gt;=$E399, BY$48&lt;($E399+$S399)),
$K399*$P399*(VLOOKUP($C$39,$C$37:$BL$44,MATCH($E399,$C$37:$BL$37,0),FALSE)/VLOOKUP($L399,$C$37:$BL$44,MATCH($E399,$C$37:$BL$37,0),FALSE))*
IF($B$5="Foreign Currency",VLOOKUP($C$38,$C$37:$BL$44,MATCH(BY$48,$C$37:$BL$37,0),FALSE)/VLOOKUP($C$39,$C$37:$BL$44,MATCH(BY$48,$C$37:$BL$37,0),FALSE),1),
        IF(AND(BY$48&gt;=($E399+$S399), BY$48&lt;=($E399+$Q399)),
-PMT($P399,($Q399-$S399+1),($K399*(VLOOKUP($C$39,$C$37:$BL$44,MATCH($E399,$C$37:$BL$37,0),FALSE)/VLOOKUP($L399,$C$37:$BL$44,MATCH($E399,$C$37:$BL$37,0),FALSE))*
IF($B$5="Foreign Currency",VLOOKUP($C$38,$C$37:$BL$44,MATCH(BY$48,$C$37:$BL$37,0),FALSE)/VLOOKUP($C$39,$C$37:$BL$44,MATCH(BY$48,$C$37:$BL$37,0),FALSE),1)),0),
0)),
    IF($T399="Equal Principal Payments (EPP)",
        IF(AND(BY$48&gt;=$E399, BY$48&lt;=($E399+$Q399)),
-PMT($P399,($Q399-$S399+1),($K399*(VLOOKUP($C$39,$C$37:$BL$44,MATCH($E399,$C$37:$BL$37,0),FALSE)/VLOOKUP($L399,$C$37:$BL$44,MATCH($E399,$C$37:$BL$37,0),FALSE))*
IF($B$5="Foreign Currency",VLOOKUP($C$38,$C$37:$BL$44,MATCH(BY$48,$C$37:$BL$37,0),FALSE)/VLOOKUP($C$39,$C$37:$BL$44,MATCH(BY$48,$C$37:$BL$37,0),FALSE),1)),0), 0),
    IF($T399="EPP with Grace Years for Principal and on Interest",
        IF(AND(BY$48&gt;=($E399+$S399), BY$48&lt;=($E399+$Q399)),
-PMT($P399,($Q399-$S399+1),($K399*(VLOOKUP($C$39,$C$37:$BL$44,MATCH($E399,$C$37:$BL$37,0),FALSE)/VLOOKUP($L399,$C$37:$BL$44,MATCH($E399,$C$37:$BL$37,0),FALSE))*
IF($B$5="Foreign Currency",VLOOKUP($C$38,$C$37:$BL$44,MATCH(BY$48,$C$37:$BL$37,0),FALSE)/VLOOKUP($C$39,$C$37:$BL$44,MATCH(BY$48,$C$37:$BL$37,0),FALSE),1))*((1+$P399)^$S399),0), 0),
    0)))))),"")</f>
        <v>0</v>
      </c>
      <c r="BZ399" s="171">
        <f t="shared" si="643"/>
        <v>0</v>
      </c>
      <c r="CA399" s="171">
        <f t="shared" si="643"/>
        <v>0</v>
      </c>
      <c r="CB399" s="171">
        <f t="shared" si="643"/>
        <v>0</v>
      </c>
      <c r="CC399" s="171">
        <f t="shared" si="643"/>
        <v>0</v>
      </c>
      <c r="CD399" s="171">
        <f t="shared" si="643"/>
        <v>0</v>
      </c>
      <c r="CE399" s="171">
        <f t="shared" si="643"/>
        <v>0</v>
      </c>
      <c r="CF399" s="171">
        <f t="shared" si="643"/>
        <v>0</v>
      </c>
      <c r="CG399" s="171">
        <f t="shared" si="643"/>
        <v>0</v>
      </c>
      <c r="CH399" s="171">
        <f t="shared" si="643"/>
        <v>0</v>
      </c>
      <c r="CI399" s="171">
        <f t="shared" si="643"/>
        <v>0</v>
      </c>
      <c r="CJ399" s="243"/>
      <c r="CK399" s="171">
        <f t="shared" si="565"/>
        <v>0</v>
      </c>
      <c r="CL399" s="171">
        <f t="shared" si="566"/>
        <v>0</v>
      </c>
      <c r="CM399" s="171">
        <f t="shared" si="567"/>
        <v>0</v>
      </c>
      <c r="CN399" s="171">
        <f t="shared" si="568"/>
        <v>0</v>
      </c>
      <c r="CO399" s="171">
        <f t="shared" si="569"/>
        <v>0</v>
      </c>
      <c r="CP399" s="171">
        <f t="shared" si="570"/>
        <v>0</v>
      </c>
      <c r="CQ399" s="171">
        <f t="shared" si="571"/>
        <v>0</v>
      </c>
      <c r="CR399" s="171">
        <f t="shared" si="572"/>
        <v>0</v>
      </c>
      <c r="CS399" s="171">
        <f t="shared" si="573"/>
        <v>0</v>
      </c>
      <c r="CT399" s="171">
        <f t="shared" si="574"/>
        <v>0</v>
      </c>
      <c r="CU399" s="171">
        <f t="shared" si="575"/>
        <v>0</v>
      </c>
      <c r="CV399" s="171">
        <f t="shared" si="576"/>
        <v>0</v>
      </c>
      <c r="CW399" s="171">
        <f t="shared" si="577"/>
        <v>0</v>
      </c>
      <c r="CX399" s="171">
        <f t="shared" si="578"/>
        <v>0</v>
      </c>
      <c r="CY399" s="171">
        <f t="shared" ca="1" si="579"/>
        <v>0</v>
      </c>
      <c r="CZ399" s="171">
        <f t="shared" ca="1" si="580"/>
        <v>0</v>
      </c>
      <c r="DA399" s="171">
        <f t="shared" ca="1" si="581"/>
        <v>0</v>
      </c>
      <c r="DB399" s="171">
        <f t="shared" ca="1" si="582"/>
        <v>0</v>
      </c>
      <c r="DC399" s="171">
        <f t="shared" ca="1" si="583"/>
        <v>0</v>
      </c>
      <c r="DD399" s="171">
        <f t="shared" ca="1" si="584"/>
        <v>0</v>
      </c>
      <c r="DE399" s="171">
        <f t="shared" ca="1" si="585"/>
        <v>0</v>
      </c>
      <c r="DF399" s="171">
        <f t="shared" ca="1" si="586"/>
        <v>0</v>
      </c>
      <c r="DG399" s="171">
        <f t="shared" ca="1" si="587"/>
        <v>0</v>
      </c>
      <c r="DH399" s="171">
        <f t="shared" ca="1" si="588"/>
        <v>0</v>
      </c>
      <c r="DI399" s="171">
        <f t="shared" ca="1" si="589"/>
        <v>0</v>
      </c>
      <c r="DJ399" s="171">
        <f t="shared" ca="1" si="590"/>
        <v>0</v>
      </c>
      <c r="DK399" s="171">
        <f t="shared" ca="1" si="591"/>
        <v>0</v>
      </c>
      <c r="DL399" s="171">
        <f t="shared" ca="1" si="592"/>
        <v>0</v>
      </c>
      <c r="DM399" s="171">
        <f t="shared" ca="1" si="593"/>
        <v>0</v>
      </c>
      <c r="DN399" s="171">
        <f t="shared" ca="1" si="594"/>
        <v>0</v>
      </c>
      <c r="DO399" s="171">
        <f t="shared" ca="1" si="595"/>
        <v>0</v>
      </c>
      <c r="DP399" s="171">
        <f t="shared" ca="1" si="596"/>
        <v>0</v>
      </c>
      <c r="DQ399" s="171">
        <f t="shared" ca="1" si="597"/>
        <v>0</v>
      </c>
      <c r="DR399" s="171">
        <f t="shared" ca="1" si="598"/>
        <v>0</v>
      </c>
      <c r="DS399" s="171">
        <f t="shared" ca="1" si="599"/>
        <v>0</v>
      </c>
      <c r="DT399" s="171">
        <f t="shared" ca="1" si="600"/>
        <v>0</v>
      </c>
      <c r="DU399" s="171">
        <f t="shared" ca="1" si="601"/>
        <v>0</v>
      </c>
      <c r="DV399" s="171">
        <f t="shared" ca="1" si="602"/>
        <v>0</v>
      </c>
      <c r="DW399" s="171">
        <f t="shared" ca="1" si="603"/>
        <v>0</v>
      </c>
      <c r="DX399" s="171">
        <f t="shared" ca="1" si="604"/>
        <v>0</v>
      </c>
      <c r="DY399" s="171">
        <f t="shared" ca="1" si="605"/>
        <v>0</v>
      </c>
      <c r="DZ399" s="171">
        <f t="shared" ca="1" si="606"/>
        <v>0</v>
      </c>
      <c r="EA399" s="171">
        <f t="shared" ca="1" si="607"/>
        <v>0</v>
      </c>
      <c r="EB399" s="171">
        <f t="shared" ca="1" si="608"/>
        <v>0</v>
      </c>
      <c r="EC399" s="171">
        <f t="shared" ca="1" si="609"/>
        <v>0</v>
      </c>
      <c r="ED399" s="171">
        <f t="shared" ca="1" si="610"/>
        <v>0</v>
      </c>
      <c r="EE399" s="171">
        <f t="shared" ca="1" si="611"/>
        <v>0</v>
      </c>
      <c r="EF399" s="171">
        <f t="shared" ca="1" si="612"/>
        <v>0</v>
      </c>
      <c r="EG399" s="171">
        <f t="shared" ca="1" si="613"/>
        <v>0</v>
      </c>
      <c r="EH399" s="171">
        <f t="shared" ca="1" si="614"/>
        <v>0</v>
      </c>
      <c r="EI399" s="171">
        <f t="shared" ca="1" si="615"/>
        <v>0</v>
      </c>
      <c r="EJ399" s="171">
        <f t="shared" ca="1" si="616"/>
        <v>0</v>
      </c>
      <c r="EK399" s="171">
        <f t="shared" ca="1" si="617"/>
        <v>0</v>
      </c>
      <c r="EL399" s="171">
        <f t="shared" ca="1" si="618"/>
        <v>0</v>
      </c>
      <c r="EM399" s="171">
        <f t="shared" ca="1" si="619"/>
        <v>0</v>
      </c>
      <c r="EN399" s="171">
        <f t="shared" ca="1" si="620"/>
        <v>0</v>
      </c>
      <c r="EO399" s="171">
        <f t="shared" ca="1" si="621"/>
        <v>0</v>
      </c>
      <c r="EP399" s="171">
        <f t="shared" ca="1" si="622"/>
        <v>0</v>
      </c>
      <c r="EQ399" s="171">
        <f t="shared" ca="1" si="623"/>
        <v>0</v>
      </c>
      <c r="ER399" s="171">
        <f t="shared" ca="1" si="624"/>
        <v>0</v>
      </c>
      <c r="ES399" s="171">
        <f t="shared" ca="1" si="625"/>
        <v>0</v>
      </c>
    </row>
    <row r="400" spans="3:149">
      <c r="C400" s="214"/>
      <c r="L400" s="163"/>
      <c r="M400" s="164" t="str">
        <f t="shared" si="550"/>
        <v/>
      </c>
      <c r="N400" s="164" t="str">
        <f t="shared" si="551"/>
        <v/>
      </c>
      <c r="O400" s="165" t="str">
        <f t="shared" si="552"/>
        <v/>
      </c>
      <c r="R400" s="168"/>
      <c r="U400" s="171">
        <f t="shared" si="553"/>
        <v>0</v>
      </c>
      <c r="V400" s="171">
        <f t="shared" ca="1" si="554"/>
        <v>0</v>
      </c>
      <c r="W400" s="171">
        <f t="shared" ca="1" si="555"/>
        <v>0</v>
      </c>
      <c r="X400" s="172">
        <f t="shared" si="556"/>
        <v>0</v>
      </c>
      <c r="Y400" s="172" t="str">
        <f t="shared" si="557"/>
        <v/>
      </c>
      <c r="Z400" s="173">
        <f t="shared" si="558"/>
        <v>0</v>
      </c>
      <c r="AA400" s="171">
        <f t="shared" si="638"/>
        <v>0</v>
      </c>
      <c r="AB400" s="171">
        <f t="shared" si="638"/>
        <v>0</v>
      </c>
      <c r="AC400" s="171">
        <f t="shared" si="638"/>
        <v>0</v>
      </c>
      <c r="AD400" s="171">
        <f t="shared" si="638"/>
        <v>0</v>
      </c>
      <c r="AE400" s="171">
        <f t="shared" si="638"/>
        <v>0</v>
      </c>
      <c r="AF400" s="171">
        <f t="shared" si="638"/>
        <v>0</v>
      </c>
      <c r="AG400" s="171">
        <f t="shared" si="638"/>
        <v>0</v>
      </c>
      <c r="AH400" s="171">
        <f t="shared" si="638"/>
        <v>0</v>
      </c>
      <c r="AI400" s="171">
        <f t="shared" si="638"/>
        <v>0</v>
      </c>
      <c r="AJ400" s="171">
        <f t="shared" si="638"/>
        <v>0</v>
      </c>
      <c r="AK400" s="171">
        <f t="shared" si="639"/>
        <v>0</v>
      </c>
      <c r="AL400" s="171">
        <f t="shared" si="639"/>
        <v>0</v>
      </c>
      <c r="AM400" s="171">
        <f t="shared" si="639"/>
        <v>0</v>
      </c>
      <c r="AN400" s="171">
        <f t="shared" si="639"/>
        <v>0</v>
      </c>
      <c r="AO400" s="171">
        <f t="shared" si="639"/>
        <v>0</v>
      </c>
      <c r="AP400" s="171">
        <f t="shared" si="639"/>
        <v>0</v>
      </c>
      <c r="AQ400" s="171">
        <f t="shared" si="639"/>
        <v>0</v>
      </c>
      <c r="AR400" s="171">
        <f t="shared" si="639"/>
        <v>0</v>
      </c>
      <c r="AS400" s="171">
        <f t="shared" si="639"/>
        <v>0</v>
      </c>
      <c r="AT400" s="171">
        <f t="shared" si="639"/>
        <v>0</v>
      </c>
      <c r="AU400" s="171">
        <f t="shared" si="640"/>
        <v>0</v>
      </c>
      <c r="AV400" s="171">
        <f t="shared" si="640"/>
        <v>0</v>
      </c>
      <c r="AW400" s="171">
        <f t="shared" si="640"/>
        <v>0</v>
      </c>
      <c r="AX400" s="171">
        <f t="shared" si="640"/>
        <v>0</v>
      </c>
      <c r="AY400" s="171">
        <f t="shared" si="640"/>
        <v>0</v>
      </c>
      <c r="AZ400" s="171">
        <f t="shared" si="640"/>
        <v>0</v>
      </c>
      <c r="BA400" s="171">
        <f t="shared" si="640"/>
        <v>0</v>
      </c>
      <c r="BB400" s="171">
        <f t="shared" si="640"/>
        <v>0</v>
      </c>
      <c r="BC400" s="171">
        <f t="shared" si="640"/>
        <v>0</v>
      </c>
      <c r="BD400" s="171">
        <f t="shared" si="640"/>
        <v>0</v>
      </c>
      <c r="BE400" s="171">
        <f t="shared" si="641"/>
        <v>0</v>
      </c>
      <c r="BF400" s="171">
        <f t="shared" si="641"/>
        <v>0</v>
      </c>
      <c r="BG400" s="171">
        <f t="shared" si="641"/>
        <v>0</v>
      </c>
      <c r="BH400" s="171">
        <f t="shared" si="641"/>
        <v>0</v>
      </c>
      <c r="BI400" s="171">
        <f t="shared" si="641"/>
        <v>0</v>
      </c>
      <c r="BJ400" s="171">
        <f t="shared" si="641"/>
        <v>0</v>
      </c>
      <c r="BK400" s="171">
        <f t="shared" si="641"/>
        <v>0</v>
      </c>
      <c r="BL400" s="171">
        <f t="shared" si="641"/>
        <v>0</v>
      </c>
      <c r="BM400" s="171">
        <f t="shared" si="641"/>
        <v>0</v>
      </c>
      <c r="BN400" s="171">
        <f t="shared" si="641"/>
        <v>0</v>
      </c>
      <c r="BO400" s="171">
        <f t="shared" si="642"/>
        <v>0</v>
      </c>
      <c r="BP400" s="171">
        <f t="shared" si="642"/>
        <v>0</v>
      </c>
      <c r="BQ400" s="171">
        <f t="shared" si="642"/>
        <v>0</v>
      </c>
      <c r="BR400" s="171">
        <f t="shared" si="642"/>
        <v>0</v>
      </c>
      <c r="BS400" s="171">
        <f t="shared" si="642"/>
        <v>0</v>
      </c>
      <c r="BT400" s="171">
        <f t="shared" si="642"/>
        <v>0</v>
      </c>
      <c r="BU400" s="171">
        <f t="shared" si="642"/>
        <v>0</v>
      </c>
      <c r="BV400" s="171">
        <f t="shared" si="642"/>
        <v>0</v>
      </c>
      <c r="BW400" s="171">
        <f t="shared" si="642"/>
        <v>0</v>
      </c>
      <c r="BX400" s="171">
        <f t="shared" si="642"/>
        <v>0</v>
      </c>
      <c r="BY400" s="171">
        <f t="shared" si="643"/>
        <v>0</v>
      </c>
      <c r="BZ400" s="171">
        <f t="shared" si="643"/>
        <v>0</v>
      </c>
      <c r="CA400" s="171">
        <f t="shared" si="643"/>
        <v>0</v>
      </c>
      <c r="CB400" s="171">
        <f t="shared" si="643"/>
        <v>0</v>
      </c>
      <c r="CC400" s="171">
        <f t="shared" si="643"/>
        <v>0</v>
      </c>
      <c r="CD400" s="171">
        <f t="shared" si="643"/>
        <v>0</v>
      </c>
      <c r="CE400" s="171">
        <f t="shared" si="643"/>
        <v>0</v>
      </c>
      <c r="CF400" s="171">
        <f t="shared" si="643"/>
        <v>0</v>
      </c>
      <c r="CG400" s="171">
        <f t="shared" si="643"/>
        <v>0</v>
      </c>
      <c r="CH400" s="171">
        <f t="shared" si="643"/>
        <v>0</v>
      </c>
      <c r="CI400" s="171">
        <f t="shared" si="643"/>
        <v>0</v>
      </c>
      <c r="CJ400" s="243"/>
      <c r="CK400" s="171">
        <f t="shared" si="565"/>
        <v>0</v>
      </c>
      <c r="CL400" s="171">
        <f t="shared" si="566"/>
        <v>0</v>
      </c>
      <c r="CM400" s="171">
        <f t="shared" si="567"/>
        <v>0</v>
      </c>
      <c r="CN400" s="171">
        <f t="shared" si="568"/>
        <v>0</v>
      </c>
      <c r="CO400" s="171">
        <f t="shared" si="569"/>
        <v>0</v>
      </c>
      <c r="CP400" s="171">
        <f t="shared" si="570"/>
        <v>0</v>
      </c>
      <c r="CQ400" s="171">
        <f t="shared" si="571"/>
        <v>0</v>
      </c>
      <c r="CR400" s="171">
        <f t="shared" si="572"/>
        <v>0</v>
      </c>
      <c r="CS400" s="171">
        <f t="shared" si="573"/>
        <v>0</v>
      </c>
      <c r="CT400" s="171">
        <f t="shared" si="574"/>
        <v>0</v>
      </c>
      <c r="CU400" s="171">
        <f t="shared" si="575"/>
        <v>0</v>
      </c>
      <c r="CV400" s="171">
        <f t="shared" si="576"/>
        <v>0</v>
      </c>
      <c r="CW400" s="171">
        <f t="shared" si="577"/>
        <v>0</v>
      </c>
      <c r="CX400" s="171">
        <f t="shared" si="578"/>
        <v>0</v>
      </c>
      <c r="CY400" s="171">
        <f t="shared" ca="1" si="579"/>
        <v>0</v>
      </c>
      <c r="CZ400" s="171">
        <f t="shared" ca="1" si="580"/>
        <v>0</v>
      </c>
      <c r="DA400" s="171">
        <f t="shared" ca="1" si="581"/>
        <v>0</v>
      </c>
      <c r="DB400" s="171">
        <f t="shared" ca="1" si="582"/>
        <v>0</v>
      </c>
      <c r="DC400" s="171">
        <f t="shared" ca="1" si="583"/>
        <v>0</v>
      </c>
      <c r="DD400" s="171">
        <f t="shared" ca="1" si="584"/>
        <v>0</v>
      </c>
      <c r="DE400" s="171">
        <f t="shared" ca="1" si="585"/>
        <v>0</v>
      </c>
      <c r="DF400" s="171">
        <f t="shared" ca="1" si="586"/>
        <v>0</v>
      </c>
      <c r="DG400" s="171">
        <f t="shared" ca="1" si="587"/>
        <v>0</v>
      </c>
      <c r="DH400" s="171">
        <f t="shared" ca="1" si="588"/>
        <v>0</v>
      </c>
      <c r="DI400" s="171">
        <f t="shared" ca="1" si="589"/>
        <v>0</v>
      </c>
      <c r="DJ400" s="171">
        <f t="shared" ca="1" si="590"/>
        <v>0</v>
      </c>
      <c r="DK400" s="171">
        <f t="shared" ca="1" si="591"/>
        <v>0</v>
      </c>
      <c r="DL400" s="171">
        <f t="shared" ca="1" si="592"/>
        <v>0</v>
      </c>
      <c r="DM400" s="171">
        <f t="shared" ca="1" si="593"/>
        <v>0</v>
      </c>
      <c r="DN400" s="171">
        <f t="shared" ca="1" si="594"/>
        <v>0</v>
      </c>
      <c r="DO400" s="171">
        <f t="shared" ca="1" si="595"/>
        <v>0</v>
      </c>
      <c r="DP400" s="171">
        <f t="shared" ca="1" si="596"/>
        <v>0</v>
      </c>
      <c r="DQ400" s="171">
        <f t="shared" ca="1" si="597"/>
        <v>0</v>
      </c>
      <c r="DR400" s="171">
        <f t="shared" ca="1" si="598"/>
        <v>0</v>
      </c>
      <c r="DS400" s="171">
        <f t="shared" ca="1" si="599"/>
        <v>0</v>
      </c>
      <c r="DT400" s="171">
        <f t="shared" ca="1" si="600"/>
        <v>0</v>
      </c>
      <c r="DU400" s="171">
        <f t="shared" ca="1" si="601"/>
        <v>0</v>
      </c>
      <c r="DV400" s="171">
        <f t="shared" ca="1" si="602"/>
        <v>0</v>
      </c>
      <c r="DW400" s="171">
        <f t="shared" ca="1" si="603"/>
        <v>0</v>
      </c>
      <c r="DX400" s="171">
        <f t="shared" ca="1" si="604"/>
        <v>0</v>
      </c>
      <c r="DY400" s="171">
        <f t="shared" ca="1" si="605"/>
        <v>0</v>
      </c>
      <c r="DZ400" s="171">
        <f t="shared" ca="1" si="606"/>
        <v>0</v>
      </c>
      <c r="EA400" s="171">
        <f t="shared" ca="1" si="607"/>
        <v>0</v>
      </c>
      <c r="EB400" s="171">
        <f t="shared" ca="1" si="608"/>
        <v>0</v>
      </c>
      <c r="EC400" s="171">
        <f t="shared" ca="1" si="609"/>
        <v>0</v>
      </c>
      <c r="ED400" s="171">
        <f t="shared" ca="1" si="610"/>
        <v>0</v>
      </c>
      <c r="EE400" s="171">
        <f t="shared" ca="1" si="611"/>
        <v>0</v>
      </c>
      <c r="EF400" s="171">
        <f t="shared" ca="1" si="612"/>
        <v>0</v>
      </c>
      <c r="EG400" s="171">
        <f t="shared" ca="1" si="613"/>
        <v>0</v>
      </c>
      <c r="EH400" s="171">
        <f t="shared" ca="1" si="614"/>
        <v>0</v>
      </c>
      <c r="EI400" s="171">
        <f t="shared" ca="1" si="615"/>
        <v>0</v>
      </c>
      <c r="EJ400" s="171">
        <f t="shared" ca="1" si="616"/>
        <v>0</v>
      </c>
      <c r="EK400" s="171">
        <f t="shared" ca="1" si="617"/>
        <v>0</v>
      </c>
      <c r="EL400" s="171">
        <f t="shared" ca="1" si="618"/>
        <v>0</v>
      </c>
      <c r="EM400" s="171">
        <f t="shared" ca="1" si="619"/>
        <v>0</v>
      </c>
      <c r="EN400" s="171">
        <f t="shared" ca="1" si="620"/>
        <v>0</v>
      </c>
      <c r="EO400" s="171">
        <f t="shared" ca="1" si="621"/>
        <v>0</v>
      </c>
      <c r="EP400" s="171">
        <f t="shared" ca="1" si="622"/>
        <v>0</v>
      </c>
      <c r="EQ400" s="171">
        <f t="shared" ca="1" si="623"/>
        <v>0</v>
      </c>
      <c r="ER400" s="171">
        <f t="shared" ca="1" si="624"/>
        <v>0</v>
      </c>
      <c r="ES400" s="171">
        <f t="shared" ca="1" si="625"/>
        <v>0</v>
      </c>
    </row>
    <row r="401" spans="3:149">
      <c r="C401" s="214"/>
      <c r="L401" s="163"/>
      <c r="M401" s="164" t="str">
        <f t="shared" si="550"/>
        <v/>
      </c>
      <c r="N401" s="164" t="str">
        <f t="shared" si="551"/>
        <v/>
      </c>
      <c r="O401" s="165" t="str">
        <f t="shared" si="552"/>
        <v/>
      </c>
      <c r="R401" s="168"/>
      <c r="U401" s="171">
        <f t="shared" si="553"/>
        <v>0</v>
      </c>
      <c r="V401" s="171">
        <f t="shared" ca="1" si="554"/>
        <v>0</v>
      </c>
      <c r="W401" s="171">
        <f t="shared" ca="1" si="555"/>
        <v>0</v>
      </c>
      <c r="X401" s="172">
        <f t="shared" si="556"/>
        <v>0</v>
      </c>
      <c r="Y401" s="172" t="str">
        <f t="shared" si="557"/>
        <v/>
      </c>
      <c r="Z401" s="173">
        <f t="shared" si="558"/>
        <v>0</v>
      </c>
      <c r="AA401" s="171">
        <f t="shared" si="638"/>
        <v>0</v>
      </c>
      <c r="AB401" s="171">
        <f t="shared" si="638"/>
        <v>0</v>
      </c>
      <c r="AC401" s="171">
        <f t="shared" si="638"/>
        <v>0</v>
      </c>
      <c r="AD401" s="171">
        <f t="shared" si="638"/>
        <v>0</v>
      </c>
      <c r="AE401" s="171">
        <f t="shared" si="638"/>
        <v>0</v>
      </c>
      <c r="AF401" s="171">
        <f t="shared" si="638"/>
        <v>0</v>
      </c>
      <c r="AG401" s="171">
        <f t="shared" si="638"/>
        <v>0</v>
      </c>
      <c r="AH401" s="171">
        <f t="shared" si="638"/>
        <v>0</v>
      </c>
      <c r="AI401" s="171">
        <f t="shared" si="638"/>
        <v>0</v>
      </c>
      <c r="AJ401" s="171">
        <f t="shared" si="638"/>
        <v>0</v>
      </c>
      <c r="AK401" s="171">
        <f t="shared" si="639"/>
        <v>0</v>
      </c>
      <c r="AL401" s="171">
        <f t="shared" si="639"/>
        <v>0</v>
      </c>
      <c r="AM401" s="171">
        <f t="shared" si="639"/>
        <v>0</v>
      </c>
      <c r="AN401" s="171">
        <f t="shared" si="639"/>
        <v>0</v>
      </c>
      <c r="AO401" s="171">
        <f t="shared" si="639"/>
        <v>0</v>
      </c>
      <c r="AP401" s="171">
        <f t="shared" si="639"/>
        <v>0</v>
      </c>
      <c r="AQ401" s="171">
        <f t="shared" si="639"/>
        <v>0</v>
      </c>
      <c r="AR401" s="171">
        <f t="shared" si="639"/>
        <v>0</v>
      </c>
      <c r="AS401" s="171">
        <f t="shared" si="639"/>
        <v>0</v>
      </c>
      <c r="AT401" s="171">
        <f t="shared" si="639"/>
        <v>0</v>
      </c>
      <c r="AU401" s="171">
        <f t="shared" si="640"/>
        <v>0</v>
      </c>
      <c r="AV401" s="171">
        <f t="shared" si="640"/>
        <v>0</v>
      </c>
      <c r="AW401" s="171">
        <f t="shared" si="640"/>
        <v>0</v>
      </c>
      <c r="AX401" s="171">
        <f t="shared" si="640"/>
        <v>0</v>
      </c>
      <c r="AY401" s="171">
        <f t="shared" si="640"/>
        <v>0</v>
      </c>
      <c r="AZ401" s="171">
        <f t="shared" si="640"/>
        <v>0</v>
      </c>
      <c r="BA401" s="171">
        <f t="shared" si="640"/>
        <v>0</v>
      </c>
      <c r="BB401" s="171">
        <f t="shared" si="640"/>
        <v>0</v>
      </c>
      <c r="BC401" s="171">
        <f t="shared" si="640"/>
        <v>0</v>
      </c>
      <c r="BD401" s="171">
        <f t="shared" si="640"/>
        <v>0</v>
      </c>
      <c r="BE401" s="171">
        <f t="shared" si="641"/>
        <v>0</v>
      </c>
      <c r="BF401" s="171">
        <f t="shared" si="641"/>
        <v>0</v>
      </c>
      <c r="BG401" s="171">
        <f t="shared" si="641"/>
        <v>0</v>
      </c>
      <c r="BH401" s="171">
        <f t="shared" si="641"/>
        <v>0</v>
      </c>
      <c r="BI401" s="171">
        <f t="shared" si="641"/>
        <v>0</v>
      </c>
      <c r="BJ401" s="171">
        <f t="shared" si="641"/>
        <v>0</v>
      </c>
      <c r="BK401" s="171">
        <f t="shared" si="641"/>
        <v>0</v>
      </c>
      <c r="BL401" s="171">
        <f t="shared" si="641"/>
        <v>0</v>
      </c>
      <c r="BM401" s="171">
        <f t="shared" si="641"/>
        <v>0</v>
      </c>
      <c r="BN401" s="171">
        <f t="shared" si="641"/>
        <v>0</v>
      </c>
      <c r="BO401" s="171">
        <f t="shared" si="642"/>
        <v>0</v>
      </c>
      <c r="BP401" s="171">
        <f t="shared" si="642"/>
        <v>0</v>
      </c>
      <c r="BQ401" s="171">
        <f t="shared" si="642"/>
        <v>0</v>
      </c>
      <c r="BR401" s="171">
        <f t="shared" si="642"/>
        <v>0</v>
      </c>
      <c r="BS401" s="171">
        <f t="shared" si="642"/>
        <v>0</v>
      </c>
      <c r="BT401" s="171">
        <f t="shared" si="642"/>
        <v>0</v>
      </c>
      <c r="BU401" s="171">
        <f t="shared" si="642"/>
        <v>0</v>
      </c>
      <c r="BV401" s="171">
        <f t="shared" si="642"/>
        <v>0</v>
      </c>
      <c r="BW401" s="171">
        <f t="shared" si="642"/>
        <v>0</v>
      </c>
      <c r="BX401" s="171">
        <f t="shared" si="642"/>
        <v>0</v>
      </c>
      <c r="BY401" s="171">
        <f t="shared" si="643"/>
        <v>0</v>
      </c>
      <c r="BZ401" s="171">
        <f t="shared" si="643"/>
        <v>0</v>
      </c>
      <c r="CA401" s="171">
        <f t="shared" si="643"/>
        <v>0</v>
      </c>
      <c r="CB401" s="171">
        <f t="shared" si="643"/>
        <v>0</v>
      </c>
      <c r="CC401" s="171">
        <f t="shared" si="643"/>
        <v>0</v>
      </c>
      <c r="CD401" s="171">
        <f t="shared" si="643"/>
        <v>0</v>
      </c>
      <c r="CE401" s="171">
        <f t="shared" si="643"/>
        <v>0</v>
      </c>
      <c r="CF401" s="171">
        <f t="shared" si="643"/>
        <v>0</v>
      </c>
      <c r="CG401" s="171">
        <f t="shared" si="643"/>
        <v>0</v>
      </c>
      <c r="CH401" s="171">
        <f t="shared" si="643"/>
        <v>0</v>
      </c>
      <c r="CI401" s="171">
        <f t="shared" si="643"/>
        <v>0</v>
      </c>
      <c r="CJ401" s="243"/>
      <c r="CK401" s="171">
        <f t="shared" si="565"/>
        <v>0</v>
      </c>
      <c r="CL401" s="171">
        <f t="shared" si="566"/>
        <v>0</v>
      </c>
      <c r="CM401" s="171">
        <f t="shared" si="567"/>
        <v>0</v>
      </c>
      <c r="CN401" s="171">
        <f t="shared" si="568"/>
        <v>0</v>
      </c>
      <c r="CO401" s="171">
        <f t="shared" si="569"/>
        <v>0</v>
      </c>
      <c r="CP401" s="171">
        <f t="shared" si="570"/>
        <v>0</v>
      </c>
      <c r="CQ401" s="171">
        <f t="shared" si="571"/>
        <v>0</v>
      </c>
      <c r="CR401" s="171">
        <f t="shared" si="572"/>
        <v>0</v>
      </c>
      <c r="CS401" s="171">
        <f t="shared" si="573"/>
        <v>0</v>
      </c>
      <c r="CT401" s="171">
        <f t="shared" si="574"/>
        <v>0</v>
      </c>
      <c r="CU401" s="171">
        <f t="shared" si="575"/>
        <v>0</v>
      </c>
      <c r="CV401" s="171">
        <f t="shared" si="576"/>
        <v>0</v>
      </c>
      <c r="CW401" s="171">
        <f t="shared" si="577"/>
        <v>0</v>
      </c>
      <c r="CX401" s="171">
        <f t="shared" si="578"/>
        <v>0</v>
      </c>
      <c r="CY401" s="171">
        <f t="shared" ca="1" si="579"/>
        <v>0</v>
      </c>
      <c r="CZ401" s="171">
        <f t="shared" ca="1" si="580"/>
        <v>0</v>
      </c>
      <c r="DA401" s="171">
        <f t="shared" ca="1" si="581"/>
        <v>0</v>
      </c>
      <c r="DB401" s="171">
        <f t="shared" ca="1" si="582"/>
        <v>0</v>
      </c>
      <c r="DC401" s="171">
        <f t="shared" ca="1" si="583"/>
        <v>0</v>
      </c>
      <c r="DD401" s="171">
        <f t="shared" ca="1" si="584"/>
        <v>0</v>
      </c>
      <c r="DE401" s="171">
        <f t="shared" ca="1" si="585"/>
        <v>0</v>
      </c>
      <c r="DF401" s="171">
        <f t="shared" ca="1" si="586"/>
        <v>0</v>
      </c>
      <c r="DG401" s="171">
        <f t="shared" ca="1" si="587"/>
        <v>0</v>
      </c>
      <c r="DH401" s="171">
        <f t="shared" ca="1" si="588"/>
        <v>0</v>
      </c>
      <c r="DI401" s="171">
        <f t="shared" ca="1" si="589"/>
        <v>0</v>
      </c>
      <c r="DJ401" s="171">
        <f t="shared" ca="1" si="590"/>
        <v>0</v>
      </c>
      <c r="DK401" s="171">
        <f t="shared" ca="1" si="591"/>
        <v>0</v>
      </c>
      <c r="DL401" s="171">
        <f t="shared" ca="1" si="592"/>
        <v>0</v>
      </c>
      <c r="DM401" s="171">
        <f t="shared" ca="1" si="593"/>
        <v>0</v>
      </c>
      <c r="DN401" s="171">
        <f t="shared" ca="1" si="594"/>
        <v>0</v>
      </c>
      <c r="DO401" s="171">
        <f t="shared" ca="1" si="595"/>
        <v>0</v>
      </c>
      <c r="DP401" s="171">
        <f t="shared" ca="1" si="596"/>
        <v>0</v>
      </c>
      <c r="DQ401" s="171">
        <f t="shared" ca="1" si="597"/>
        <v>0</v>
      </c>
      <c r="DR401" s="171">
        <f t="shared" ca="1" si="598"/>
        <v>0</v>
      </c>
      <c r="DS401" s="171">
        <f t="shared" ca="1" si="599"/>
        <v>0</v>
      </c>
      <c r="DT401" s="171">
        <f t="shared" ca="1" si="600"/>
        <v>0</v>
      </c>
      <c r="DU401" s="171">
        <f t="shared" ca="1" si="601"/>
        <v>0</v>
      </c>
      <c r="DV401" s="171">
        <f t="shared" ca="1" si="602"/>
        <v>0</v>
      </c>
      <c r="DW401" s="171">
        <f t="shared" ca="1" si="603"/>
        <v>0</v>
      </c>
      <c r="DX401" s="171">
        <f t="shared" ca="1" si="604"/>
        <v>0</v>
      </c>
      <c r="DY401" s="171">
        <f t="shared" ca="1" si="605"/>
        <v>0</v>
      </c>
      <c r="DZ401" s="171">
        <f t="shared" ca="1" si="606"/>
        <v>0</v>
      </c>
      <c r="EA401" s="171">
        <f t="shared" ca="1" si="607"/>
        <v>0</v>
      </c>
      <c r="EB401" s="171">
        <f t="shared" ca="1" si="608"/>
        <v>0</v>
      </c>
      <c r="EC401" s="171">
        <f t="shared" ca="1" si="609"/>
        <v>0</v>
      </c>
      <c r="ED401" s="171">
        <f t="shared" ca="1" si="610"/>
        <v>0</v>
      </c>
      <c r="EE401" s="171">
        <f t="shared" ca="1" si="611"/>
        <v>0</v>
      </c>
      <c r="EF401" s="171">
        <f t="shared" ca="1" si="612"/>
        <v>0</v>
      </c>
      <c r="EG401" s="171">
        <f t="shared" ca="1" si="613"/>
        <v>0</v>
      </c>
      <c r="EH401" s="171">
        <f t="shared" ca="1" si="614"/>
        <v>0</v>
      </c>
      <c r="EI401" s="171">
        <f t="shared" ca="1" si="615"/>
        <v>0</v>
      </c>
      <c r="EJ401" s="171">
        <f t="shared" ca="1" si="616"/>
        <v>0</v>
      </c>
      <c r="EK401" s="171">
        <f t="shared" ca="1" si="617"/>
        <v>0</v>
      </c>
      <c r="EL401" s="171">
        <f t="shared" ca="1" si="618"/>
        <v>0</v>
      </c>
      <c r="EM401" s="171">
        <f t="shared" ca="1" si="619"/>
        <v>0</v>
      </c>
      <c r="EN401" s="171">
        <f t="shared" ca="1" si="620"/>
        <v>0</v>
      </c>
      <c r="EO401" s="171">
        <f t="shared" ca="1" si="621"/>
        <v>0</v>
      </c>
      <c r="EP401" s="171">
        <f t="shared" ca="1" si="622"/>
        <v>0</v>
      </c>
      <c r="EQ401" s="171">
        <f t="shared" ca="1" si="623"/>
        <v>0</v>
      </c>
      <c r="ER401" s="171">
        <f t="shared" ca="1" si="624"/>
        <v>0</v>
      </c>
      <c r="ES401" s="171">
        <f t="shared" ca="1" si="625"/>
        <v>0</v>
      </c>
    </row>
    <row r="402" spans="3:149">
      <c r="C402" s="214"/>
      <c r="L402" s="163"/>
      <c r="M402" s="164" t="str">
        <f t="shared" si="550"/>
        <v/>
      </c>
      <c r="N402" s="164" t="str">
        <f t="shared" si="551"/>
        <v/>
      </c>
      <c r="O402" s="165" t="str">
        <f t="shared" si="552"/>
        <v/>
      </c>
      <c r="R402" s="168"/>
      <c r="U402" s="171">
        <f t="shared" si="553"/>
        <v>0</v>
      </c>
      <c r="V402" s="171">
        <f t="shared" ca="1" si="554"/>
        <v>0</v>
      </c>
      <c r="W402" s="171">
        <f t="shared" ca="1" si="555"/>
        <v>0</v>
      </c>
      <c r="X402" s="172">
        <f t="shared" si="556"/>
        <v>0</v>
      </c>
      <c r="Y402" s="172" t="str">
        <f t="shared" si="557"/>
        <v/>
      </c>
      <c r="Z402" s="173">
        <f t="shared" si="558"/>
        <v>0</v>
      </c>
      <c r="AA402" s="171">
        <f t="shared" si="638"/>
        <v>0</v>
      </c>
      <c r="AB402" s="171">
        <f t="shared" si="638"/>
        <v>0</v>
      </c>
      <c r="AC402" s="171">
        <f t="shared" si="638"/>
        <v>0</v>
      </c>
      <c r="AD402" s="171">
        <f t="shared" si="638"/>
        <v>0</v>
      </c>
      <c r="AE402" s="171">
        <f t="shared" si="638"/>
        <v>0</v>
      </c>
      <c r="AF402" s="171">
        <f t="shared" si="638"/>
        <v>0</v>
      </c>
      <c r="AG402" s="171">
        <f t="shared" si="638"/>
        <v>0</v>
      </c>
      <c r="AH402" s="171">
        <f t="shared" si="638"/>
        <v>0</v>
      </c>
      <c r="AI402" s="171">
        <f t="shared" si="638"/>
        <v>0</v>
      </c>
      <c r="AJ402" s="171">
        <f t="shared" si="638"/>
        <v>0</v>
      </c>
      <c r="AK402" s="171">
        <f t="shared" si="639"/>
        <v>0</v>
      </c>
      <c r="AL402" s="171">
        <f t="shared" si="639"/>
        <v>0</v>
      </c>
      <c r="AM402" s="171">
        <f t="shared" si="639"/>
        <v>0</v>
      </c>
      <c r="AN402" s="171">
        <f t="shared" si="639"/>
        <v>0</v>
      </c>
      <c r="AO402" s="171">
        <f t="shared" si="639"/>
        <v>0</v>
      </c>
      <c r="AP402" s="171">
        <f t="shared" si="639"/>
        <v>0</v>
      </c>
      <c r="AQ402" s="171">
        <f t="shared" si="639"/>
        <v>0</v>
      </c>
      <c r="AR402" s="171">
        <f t="shared" si="639"/>
        <v>0</v>
      </c>
      <c r="AS402" s="171">
        <f t="shared" si="639"/>
        <v>0</v>
      </c>
      <c r="AT402" s="171">
        <f t="shared" si="639"/>
        <v>0</v>
      </c>
      <c r="AU402" s="171">
        <f t="shared" si="640"/>
        <v>0</v>
      </c>
      <c r="AV402" s="171">
        <f t="shared" si="640"/>
        <v>0</v>
      </c>
      <c r="AW402" s="171">
        <f t="shared" si="640"/>
        <v>0</v>
      </c>
      <c r="AX402" s="171">
        <f t="shared" si="640"/>
        <v>0</v>
      </c>
      <c r="AY402" s="171">
        <f t="shared" si="640"/>
        <v>0</v>
      </c>
      <c r="AZ402" s="171">
        <f t="shared" si="640"/>
        <v>0</v>
      </c>
      <c r="BA402" s="171">
        <f t="shared" si="640"/>
        <v>0</v>
      </c>
      <c r="BB402" s="171">
        <f t="shared" si="640"/>
        <v>0</v>
      </c>
      <c r="BC402" s="171">
        <f t="shared" si="640"/>
        <v>0</v>
      </c>
      <c r="BD402" s="171">
        <f t="shared" si="640"/>
        <v>0</v>
      </c>
      <c r="BE402" s="171">
        <f t="shared" si="641"/>
        <v>0</v>
      </c>
      <c r="BF402" s="171">
        <f t="shared" si="641"/>
        <v>0</v>
      </c>
      <c r="BG402" s="171">
        <f t="shared" si="641"/>
        <v>0</v>
      </c>
      <c r="BH402" s="171">
        <f t="shared" si="641"/>
        <v>0</v>
      </c>
      <c r="BI402" s="171">
        <f t="shared" si="641"/>
        <v>0</v>
      </c>
      <c r="BJ402" s="171">
        <f t="shared" si="641"/>
        <v>0</v>
      </c>
      <c r="BK402" s="171">
        <f t="shared" si="641"/>
        <v>0</v>
      </c>
      <c r="BL402" s="171">
        <f t="shared" si="641"/>
        <v>0</v>
      </c>
      <c r="BM402" s="171">
        <f t="shared" si="641"/>
        <v>0</v>
      </c>
      <c r="BN402" s="171">
        <f t="shared" si="641"/>
        <v>0</v>
      </c>
      <c r="BO402" s="171">
        <f t="shared" si="642"/>
        <v>0</v>
      </c>
      <c r="BP402" s="171">
        <f t="shared" si="642"/>
        <v>0</v>
      </c>
      <c r="BQ402" s="171">
        <f t="shared" si="642"/>
        <v>0</v>
      </c>
      <c r="BR402" s="171">
        <f t="shared" si="642"/>
        <v>0</v>
      </c>
      <c r="BS402" s="171">
        <f t="shared" si="642"/>
        <v>0</v>
      </c>
      <c r="BT402" s="171">
        <f t="shared" si="642"/>
        <v>0</v>
      </c>
      <c r="BU402" s="171">
        <f t="shared" si="642"/>
        <v>0</v>
      </c>
      <c r="BV402" s="171">
        <f t="shared" si="642"/>
        <v>0</v>
      </c>
      <c r="BW402" s="171">
        <f t="shared" si="642"/>
        <v>0</v>
      </c>
      <c r="BX402" s="171">
        <f t="shared" si="642"/>
        <v>0</v>
      </c>
      <c r="BY402" s="171">
        <f t="shared" si="643"/>
        <v>0</v>
      </c>
      <c r="BZ402" s="171">
        <f t="shared" si="643"/>
        <v>0</v>
      </c>
      <c r="CA402" s="171">
        <f t="shared" si="643"/>
        <v>0</v>
      </c>
      <c r="CB402" s="171">
        <f t="shared" si="643"/>
        <v>0</v>
      </c>
      <c r="CC402" s="171">
        <f t="shared" si="643"/>
        <v>0</v>
      </c>
      <c r="CD402" s="171">
        <f t="shared" si="643"/>
        <v>0</v>
      </c>
      <c r="CE402" s="171">
        <f t="shared" si="643"/>
        <v>0</v>
      </c>
      <c r="CF402" s="171">
        <f t="shared" si="643"/>
        <v>0</v>
      </c>
      <c r="CG402" s="171">
        <f t="shared" si="643"/>
        <v>0</v>
      </c>
      <c r="CH402" s="171">
        <f t="shared" si="643"/>
        <v>0</v>
      </c>
      <c r="CI402" s="171">
        <f t="shared" si="643"/>
        <v>0</v>
      </c>
      <c r="CJ402" s="243"/>
      <c r="CK402" s="171">
        <f t="shared" si="565"/>
        <v>0</v>
      </c>
      <c r="CL402" s="171">
        <f t="shared" si="566"/>
        <v>0</v>
      </c>
      <c r="CM402" s="171">
        <f t="shared" si="567"/>
        <v>0</v>
      </c>
      <c r="CN402" s="171">
        <f t="shared" si="568"/>
        <v>0</v>
      </c>
      <c r="CO402" s="171">
        <f t="shared" si="569"/>
        <v>0</v>
      </c>
      <c r="CP402" s="171">
        <f t="shared" si="570"/>
        <v>0</v>
      </c>
      <c r="CQ402" s="171">
        <f t="shared" si="571"/>
        <v>0</v>
      </c>
      <c r="CR402" s="171">
        <f t="shared" si="572"/>
        <v>0</v>
      </c>
      <c r="CS402" s="171">
        <f t="shared" si="573"/>
        <v>0</v>
      </c>
      <c r="CT402" s="171">
        <f t="shared" si="574"/>
        <v>0</v>
      </c>
      <c r="CU402" s="171">
        <f t="shared" si="575"/>
        <v>0</v>
      </c>
      <c r="CV402" s="171">
        <f t="shared" si="576"/>
        <v>0</v>
      </c>
      <c r="CW402" s="171">
        <f t="shared" si="577"/>
        <v>0</v>
      </c>
      <c r="CX402" s="171">
        <f t="shared" si="578"/>
        <v>0</v>
      </c>
      <c r="CY402" s="171">
        <f t="shared" ca="1" si="579"/>
        <v>0</v>
      </c>
      <c r="CZ402" s="171">
        <f t="shared" ca="1" si="580"/>
        <v>0</v>
      </c>
      <c r="DA402" s="171">
        <f t="shared" ca="1" si="581"/>
        <v>0</v>
      </c>
      <c r="DB402" s="171">
        <f t="shared" ca="1" si="582"/>
        <v>0</v>
      </c>
      <c r="DC402" s="171">
        <f t="shared" ca="1" si="583"/>
        <v>0</v>
      </c>
      <c r="DD402" s="171">
        <f t="shared" ca="1" si="584"/>
        <v>0</v>
      </c>
      <c r="DE402" s="171">
        <f t="shared" ca="1" si="585"/>
        <v>0</v>
      </c>
      <c r="DF402" s="171">
        <f t="shared" ca="1" si="586"/>
        <v>0</v>
      </c>
      <c r="DG402" s="171">
        <f t="shared" ca="1" si="587"/>
        <v>0</v>
      </c>
      <c r="DH402" s="171">
        <f t="shared" ca="1" si="588"/>
        <v>0</v>
      </c>
      <c r="DI402" s="171">
        <f t="shared" ca="1" si="589"/>
        <v>0</v>
      </c>
      <c r="DJ402" s="171">
        <f t="shared" ca="1" si="590"/>
        <v>0</v>
      </c>
      <c r="DK402" s="171">
        <f t="shared" ca="1" si="591"/>
        <v>0</v>
      </c>
      <c r="DL402" s="171">
        <f t="shared" ca="1" si="592"/>
        <v>0</v>
      </c>
      <c r="DM402" s="171">
        <f t="shared" ca="1" si="593"/>
        <v>0</v>
      </c>
      <c r="DN402" s="171">
        <f t="shared" ca="1" si="594"/>
        <v>0</v>
      </c>
      <c r="DO402" s="171">
        <f t="shared" ca="1" si="595"/>
        <v>0</v>
      </c>
      <c r="DP402" s="171">
        <f t="shared" ca="1" si="596"/>
        <v>0</v>
      </c>
      <c r="DQ402" s="171">
        <f t="shared" ca="1" si="597"/>
        <v>0</v>
      </c>
      <c r="DR402" s="171">
        <f t="shared" ca="1" si="598"/>
        <v>0</v>
      </c>
      <c r="DS402" s="171">
        <f t="shared" ca="1" si="599"/>
        <v>0</v>
      </c>
      <c r="DT402" s="171">
        <f t="shared" ca="1" si="600"/>
        <v>0</v>
      </c>
      <c r="DU402" s="171">
        <f t="shared" ca="1" si="601"/>
        <v>0</v>
      </c>
      <c r="DV402" s="171">
        <f t="shared" ca="1" si="602"/>
        <v>0</v>
      </c>
      <c r="DW402" s="171">
        <f t="shared" ca="1" si="603"/>
        <v>0</v>
      </c>
      <c r="DX402" s="171">
        <f t="shared" ca="1" si="604"/>
        <v>0</v>
      </c>
      <c r="DY402" s="171">
        <f t="shared" ca="1" si="605"/>
        <v>0</v>
      </c>
      <c r="DZ402" s="171">
        <f t="shared" ca="1" si="606"/>
        <v>0</v>
      </c>
      <c r="EA402" s="171">
        <f t="shared" ca="1" si="607"/>
        <v>0</v>
      </c>
      <c r="EB402" s="171">
        <f t="shared" ca="1" si="608"/>
        <v>0</v>
      </c>
      <c r="EC402" s="171">
        <f t="shared" ca="1" si="609"/>
        <v>0</v>
      </c>
      <c r="ED402" s="171">
        <f t="shared" ca="1" si="610"/>
        <v>0</v>
      </c>
      <c r="EE402" s="171">
        <f t="shared" ca="1" si="611"/>
        <v>0</v>
      </c>
      <c r="EF402" s="171">
        <f t="shared" ca="1" si="612"/>
        <v>0</v>
      </c>
      <c r="EG402" s="171">
        <f t="shared" ca="1" si="613"/>
        <v>0</v>
      </c>
      <c r="EH402" s="171">
        <f t="shared" ca="1" si="614"/>
        <v>0</v>
      </c>
      <c r="EI402" s="171">
        <f t="shared" ca="1" si="615"/>
        <v>0</v>
      </c>
      <c r="EJ402" s="171">
        <f t="shared" ca="1" si="616"/>
        <v>0</v>
      </c>
      <c r="EK402" s="171">
        <f t="shared" ca="1" si="617"/>
        <v>0</v>
      </c>
      <c r="EL402" s="171">
        <f t="shared" ca="1" si="618"/>
        <v>0</v>
      </c>
      <c r="EM402" s="171">
        <f t="shared" ca="1" si="619"/>
        <v>0</v>
      </c>
      <c r="EN402" s="171">
        <f t="shared" ca="1" si="620"/>
        <v>0</v>
      </c>
      <c r="EO402" s="171">
        <f t="shared" ca="1" si="621"/>
        <v>0</v>
      </c>
      <c r="EP402" s="171">
        <f t="shared" ca="1" si="622"/>
        <v>0</v>
      </c>
      <c r="EQ402" s="171">
        <f t="shared" ca="1" si="623"/>
        <v>0</v>
      </c>
      <c r="ER402" s="171">
        <f t="shared" ca="1" si="624"/>
        <v>0</v>
      </c>
      <c r="ES402" s="171">
        <f t="shared" ca="1" si="625"/>
        <v>0</v>
      </c>
    </row>
    <row r="403" spans="3:149">
      <c r="C403" s="214"/>
      <c r="L403" s="163"/>
      <c r="M403" s="164" t="str">
        <f t="shared" si="550"/>
        <v/>
      </c>
      <c r="N403" s="164" t="str">
        <f t="shared" si="551"/>
        <v/>
      </c>
      <c r="O403" s="165" t="str">
        <f t="shared" si="552"/>
        <v/>
      </c>
      <c r="R403" s="168"/>
      <c r="U403" s="171">
        <f t="shared" si="553"/>
        <v>0</v>
      </c>
      <c r="V403" s="171">
        <f t="shared" ca="1" si="554"/>
        <v>0</v>
      </c>
      <c r="W403" s="171">
        <f t="shared" ca="1" si="555"/>
        <v>0</v>
      </c>
      <c r="X403" s="172">
        <f t="shared" si="556"/>
        <v>0</v>
      </c>
      <c r="Y403" s="172" t="str">
        <f t="shared" si="557"/>
        <v/>
      </c>
      <c r="Z403" s="173">
        <f t="shared" si="558"/>
        <v>0</v>
      </c>
      <c r="AA403" s="171">
        <f t="shared" si="638"/>
        <v>0</v>
      </c>
      <c r="AB403" s="171">
        <f t="shared" si="638"/>
        <v>0</v>
      </c>
      <c r="AC403" s="171">
        <f t="shared" si="638"/>
        <v>0</v>
      </c>
      <c r="AD403" s="171">
        <f t="shared" si="638"/>
        <v>0</v>
      </c>
      <c r="AE403" s="171">
        <f t="shared" si="638"/>
        <v>0</v>
      </c>
      <c r="AF403" s="171">
        <f t="shared" si="638"/>
        <v>0</v>
      </c>
      <c r="AG403" s="171">
        <f t="shared" si="638"/>
        <v>0</v>
      </c>
      <c r="AH403" s="171">
        <f t="shared" si="638"/>
        <v>0</v>
      </c>
      <c r="AI403" s="171">
        <f t="shared" si="638"/>
        <v>0</v>
      </c>
      <c r="AJ403" s="171">
        <f t="shared" si="638"/>
        <v>0</v>
      </c>
      <c r="AK403" s="171">
        <f t="shared" si="639"/>
        <v>0</v>
      </c>
      <c r="AL403" s="171">
        <f t="shared" si="639"/>
        <v>0</v>
      </c>
      <c r="AM403" s="171">
        <f t="shared" si="639"/>
        <v>0</v>
      </c>
      <c r="AN403" s="171">
        <f t="shared" si="639"/>
        <v>0</v>
      </c>
      <c r="AO403" s="171">
        <f t="shared" si="639"/>
        <v>0</v>
      </c>
      <c r="AP403" s="171">
        <f t="shared" si="639"/>
        <v>0</v>
      </c>
      <c r="AQ403" s="171">
        <f t="shared" si="639"/>
        <v>0</v>
      </c>
      <c r="AR403" s="171">
        <f t="shared" si="639"/>
        <v>0</v>
      </c>
      <c r="AS403" s="171">
        <f t="shared" si="639"/>
        <v>0</v>
      </c>
      <c r="AT403" s="171">
        <f t="shared" si="639"/>
        <v>0</v>
      </c>
      <c r="AU403" s="171">
        <f t="shared" si="640"/>
        <v>0</v>
      </c>
      <c r="AV403" s="171">
        <f t="shared" si="640"/>
        <v>0</v>
      </c>
      <c r="AW403" s="171">
        <f t="shared" si="640"/>
        <v>0</v>
      </c>
      <c r="AX403" s="171">
        <f t="shared" si="640"/>
        <v>0</v>
      </c>
      <c r="AY403" s="171">
        <f t="shared" si="640"/>
        <v>0</v>
      </c>
      <c r="AZ403" s="171">
        <f t="shared" si="640"/>
        <v>0</v>
      </c>
      <c r="BA403" s="171">
        <f t="shared" si="640"/>
        <v>0</v>
      </c>
      <c r="BB403" s="171">
        <f t="shared" si="640"/>
        <v>0</v>
      </c>
      <c r="BC403" s="171">
        <f t="shared" si="640"/>
        <v>0</v>
      </c>
      <c r="BD403" s="171">
        <f t="shared" si="640"/>
        <v>0</v>
      </c>
      <c r="BE403" s="171">
        <f t="shared" si="641"/>
        <v>0</v>
      </c>
      <c r="BF403" s="171">
        <f t="shared" si="641"/>
        <v>0</v>
      </c>
      <c r="BG403" s="171">
        <f t="shared" si="641"/>
        <v>0</v>
      </c>
      <c r="BH403" s="171">
        <f t="shared" si="641"/>
        <v>0</v>
      </c>
      <c r="BI403" s="171">
        <f t="shared" si="641"/>
        <v>0</v>
      </c>
      <c r="BJ403" s="171">
        <f t="shared" si="641"/>
        <v>0</v>
      </c>
      <c r="BK403" s="171">
        <f t="shared" si="641"/>
        <v>0</v>
      </c>
      <c r="BL403" s="171">
        <f t="shared" si="641"/>
        <v>0</v>
      </c>
      <c r="BM403" s="171">
        <f t="shared" si="641"/>
        <v>0</v>
      </c>
      <c r="BN403" s="171">
        <f t="shared" si="641"/>
        <v>0</v>
      </c>
      <c r="BO403" s="171">
        <f t="shared" si="642"/>
        <v>0</v>
      </c>
      <c r="BP403" s="171">
        <f t="shared" si="642"/>
        <v>0</v>
      </c>
      <c r="BQ403" s="171">
        <f t="shared" si="642"/>
        <v>0</v>
      </c>
      <c r="BR403" s="171">
        <f t="shared" si="642"/>
        <v>0</v>
      </c>
      <c r="BS403" s="171">
        <f t="shared" si="642"/>
        <v>0</v>
      </c>
      <c r="BT403" s="171">
        <f t="shared" si="642"/>
        <v>0</v>
      </c>
      <c r="BU403" s="171">
        <f t="shared" si="642"/>
        <v>0</v>
      </c>
      <c r="BV403" s="171">
        <f t="shared" si="642"/>
        <v>0</v>
      </c>
      <c r="BW403" s="171">
        <f t="shared" si="642"/>
        <v>0</v>
      </c>
      <c r="BX403" s="171">
        <f t="shared" si="642"/>
        <v>0</v>
      </c>
      <c r="BY403" s="171">
        <f t="shared" si="643"/>
        <v>0</v>
      </c>
      <c r="BZ403" s="171">
        <f t="shared" si="643"/>
        <v>0</v>
      </c>
      <c r="CA403" s="171">
        <f t="shared" si="643"/>
        <v>0</v>
      </c>
      <c r="CB403" s="171">
        <f t="shared" si="643"/>
        <v>0</v>
      </c>
      <c r="CC403" s="171">
        <f t="shared" si="643"/>
        <v>0</v>
      </c>
      <c r="CD403" s="171">
        <f t="shared" si="643"/>
        <v>0</v>
      </c>
      <c r="CE403" s="171">
        <f t="shared" si="643"/>
        <v>0</v>
      </c>
      <c r="CF403" s="171">
        <f t="shared" si="643"/>
        <v>0</v>
      </c>
      <c r="CG403" s="171">
        <f t="shared" si="643"/>
        <v>0</v>
      </c>
      <c r="CH403" s="171">
        <f t="shared" si="643"/>
        <v>0</v>
      </c>
      <c r="CI403" s="171">
        <f t="shared" si="643"/>
        <v>0</v>
      </c>
      <c r="CJ403" s="243"/>
      <c r="CK403" s="171">
        <f t="shared" si="565"/>
        <v>0</v>
      </c>
      <c r="CL403" s="171">
        <f t="shared" si="566"/>
        <v>0</v>
      </c>
      <c r="CM403" s="171">
        <f t="shared" si="567"/>
        <v>0</v>
      </c>
      <c r="CN403" s="171">
        <f t="shared" si="568"/>
        <v>0</v>
      </c>
      <c r="CO403" s="171">
        <f t="shared" si="569"/>
        <v>0</v>
      </c>
      <c r="CP403" s="171">
        <f t="shared" si="570"/>
        <v>0</v>
      </c>
      <c r="CQ403" s="171">
        <f t="shared" si="571"/>
        <v>0</v>
      </c>
      <c r="CR403" s="171">
        <f t="shared" si="572"/>
        <v>0</v>
      </c>
      <c r="CS403" s="171">
        <f t="shared" si="573"/>
        <v>0</v>
      </c>
      <c r="CT403" s="171">
        <f t="shared" si="574"/>
        <v>0</v>
      </c>
      <c r="CU403" s="171">
        <f t="shared" si="575"/>
        <v>0</v>
      </c>
      <c r="CV403" s="171">
        <f t="shared" si="576"/>
        <v>0</v>
      </c>
      <c r="CW403" s="171">
        <f t="shared" si="577"/>
        <v>0</v>
      </c>
      <c r="CX403" s="171">
        <f t="shared" si="578"/>
        <v>0</v>
      </c>
      <c r="CY403" s="171">
        <f t="shared" ca="1" si="579"/>
        <v>0</v>
      </c>
      <c r="CZ403" s="171">
        <f t="shared" ca="1" si="580"/>
        <v>0</v>
      </c>
      <c r="DA403" s="171">
        <f t="shared" ca="1" si="581"/>
        <v>0</v>
      </c>
      <c r="DB403" s="171">
        <f t="shared" ca="1" si="582"/>
        <v>0</v>
      </c>
      <c r="DC403" s="171">
        <f t="shared" ca="1" si="583"/>
        <v>0</v>
      </c>
      <c r="DD403" s="171">
        <f t="shared" ca="1" si="584"/>
        <v>0</v>
      </c>
      <c r="DE403" s="171">
        <f t="shared" ca="1" si="585"/>
        <v>0</v>
      </c>
      <c r="DF403" s="171">
        <f t="shared" ca="1" si="586"/>
        <v>0</v>
      </c>
      <c r="DG403" s="171">
        <f t="shared" ca="1" si="587"/>
        <v>0</v>
      </c>
      <c r="DH403" s="171">
        <f t="shared" ca="1" si="588"/>
        <v>0</v>
      </c>
      <c r="DI403" s="171">
        <f t="shared" ca="1" si="589"/>
        <v>0</v>
      </c>
      <c r="DJ403" s="171">
        <f t="shared" ca="1" si="590"/>
        <v>0</v>
      </c>
      <c r="DK403" s="171">
        <f t="shared" ca="1" si="591"/>
        <v>0</v>
      </c>
      <c r="DL403" s="171">
        <f t="shared" ca="1" si="592"/>
        <v>0</v>
      </c>
      <c r="DM403" s="171">
        <f t="shared" ca="1" si="593"/>
        <v>0</v>
      </c>
      <c r="DN403" s="171">
        <f t="shared" ca="1" si="594"/>
        <v>0</v>
      </c>
      <c r="DO403" s="171">
        <f t="shared" ca="1" si="595"/>
        <v>0</v>
      </c>
      <c r="DP403" s="171">
        <f t="shared" ca="1" si="596"/>
        <v>0</v>
      </c>
      <c r="DQ403" s="171">
        <f t="shared" ca="1" si="597"/>
        <v>0</v>
      </c>
      <c r="DR403" s="171">
        <f t="shared" ca="1" si="598"/>
        <v>0</v>
      </c>
      <c r="DS403" s="171">
        <f t="shared" ca="1" si="599"/>
        <v>0</v>
      </c>
      <c r="DT403" s="171">
        <f t="shared" ca="1" si="600"/>
        <v>0</v>
      </c>
      <c r="DU403" s="171">
        <f t="shared" ca="1" si="601"/>
        <v>0</v>
      </c>
      <c r="DV403" s="171">
        <f t="shared" ca="1" si="602"/>
        <v>0</v>
      </c>
      <c r="DW403" s="171">
        <f t="shared" ca="1" si="603"/>
        <v>0</v>
      </c>
      <c r="DX403" s="171">
        <f t="shared" ca="1" si="604"/>
        <v>0</v>
      </c>
      <c r="DY403" s="171">
        <f t="shared" ca="1" si="605"/>
        <v>0</v>
      </c>
      <c r="DZ403" s="171">
        <f t="shared" ca="1" si="606"/>
        <v>0</v>
      </c>
      <c r="EA403" s="171">
        <f t="shared" ca="1" si="607"/>
        <v>0</v>
      </c>
      <c r="EB403" s="171">
        <f t="shared" ca="1" si="608"/>
        <v>0</v>
      </c>
      <c r="EC403" s="171">
        <f t="shared" ca="1" si="609"/>
        <v>0</v>
      </c>
      <c r="ED403" s="171">
        <f t="shared" ca="1" si="610"/>
        <v>0</v>
      </c>
      <c r="EE403" s="171">
        <f t="shared" ca="1" si="611"/>
        <v>0</v>
      </c>
      <c r="EF403" s="171">
        <f t="shared" ca="1" si="612"/>
        <v>0</v>
      </c>
      <c r="EG403" s="171">
        <f t="shared" ca="1" si="613"/>
        <v>0</v>
      </c>
      <c r="EH403" s="171">
        <f t="shared" ca="1" si="614"/>
        <v>0</v>
      </c>
      <c r="EI403" s="171">
        <f t="shared" ca="1" si="615"/>
        <v>0</v>
      </c>
      <c r="EJ403" s="171">
        <f t="shared" ca="1" si="616"/>
        <v>0</v>
      </c>
      <c r="EK403" s="171">
        <f t="shared" ca="1" si="617"/>
        <v>0</v>
      </c>
      <c r="EL403" s="171">
        <f t="shared" ca="1" si="618"/>
        <v>0</v>
      </c>
      <c r="EM403" s="171">
        <f t="shared" ca="1" si="619"/>
        <v>0</v>
      </c>
      <c r="EN403" s="171">
        <f t="shared" ca="1" si="620"/>
        <v>0</v>
      </c>
      <c r="EO403" s="171">
        <f t="shared" ca="1" si="621"/>
        <v>0</v>
      </c>
      <c r="EP403" s="171">
        <f t="shared" ca="1" si="622"/>
        <v>0</v>
      </c>
      <c r="EQ403" s="171">
        <f t="shared" ca="1" si="623"/>
        <v>0</v>
      </c>
      <c r="ER403" s="171">
        <f t="shared" ca="1" si="624"/>
        <v>0</v>
      </c>
      <c r="ES403" s="171">
        <f t="shared" ca="1" si="625"/>
        <v>0</v>
      </c>
    </row>
    <row r="404" spans="3:149">
      <c r="C404" s="214"/>
      <c r="L404" s="163"/>
      <c r="M404" s="164" t="str">
        <f t="shared" si="550"/>
        <v/>
      </c>
      <c r="N404" s="164" t="str">
        <f t="shared" si="551"/>
        <v/>
      </c>
      <c r="O404" s="165" t="str">
        <f t="shared" si="552"/>
        <v/>
      </c>
      <c r="R404" s="168"/>
      <c r="U404" s="171">
        <f t="shared" si="553"/>
        <v>0</v>
      </c>
      <c r="V404" s="171">
        <f t="shared" ca="1" si="554"/>
        <v>0</v>
      </c>
      <c r="W404" s="171">
        <f t="shared" ca="1" si="555"/>
        <v>0</v>
      </c>
      <c r="X404" s="172">
        <f t="shared" si="556"/>
        <v>0</v>
      </c>
      <c r="Y404" s="172" t="str">
        <f t="shared" si="557"/>
        <v/>
      </c>
      <c r="Z404" s="173">
        <f t="shared" si="558"/>
        <v>0</v>
      </c>
      <c r="AA404" s="171">
        <f t="shared" si="638"/>
        <v>0</v>
      </c>
      <c r="AB404" s="171">
        <f t="shared" si="638"/>
        <v>0</v>
      </c>
      <c r="AC404" s="171">
        <f t="shared" si="638"/>
        <v>0</v>
      </c>
      <c r="AD404" s="171">
        <f t="shared" si="638"/>
        <v>0</v>
      </c>
      <c r="AE404" s="171">
        <f t="shared" si="638"/>
        <v>0</v>
      </c>
      <c r="AF404" s="171">
        <f t="shared" si="638"/>
        <v>0</v>
      </c>
      <c r="AG404" s="171">
        <f t="shared" si="638"/>
        <v>0</v>
      </c>
      <c r="AH404" s="171">
        <f t="shared" si="638"/>
        <v>0</v>
      </c>
      <c r="AI404" s="171">
        <f t="shared" si="638"/>
        <v>0</v>
      </c>
      <c r="AJ404" s="171">
        <f t="shared" si="638"/>
        <v>0</v>
      </c>
      <c r="AK404" s="171">
        <f t="shared" si="639"/>
        <v>0</v>
      </c>
      <c r="AL404" s="171">
        <f t="shared" si="639"/>
        <v>0</v>
      </c>
      <c r="AM404" s="171">
        <f t="shared" si="639"/>
        <v>0</v>
      </c>
      <c r="AN404" s="171">
        <f t="shared" si="639"/>
        <v>0</v>
      </c>
      <c r="AO404" s="171">
        <f t="shared" si="639"/>
        <v>0</v>
      </c>
      <c r="AP404" s="171">
        <f t="shared" si="639"/>
        <v>0</v>
      </c>
      <c r="AQ404" s="171">
        <f t="shared" si="639"/>
        <v>0</v>
      </c>
      <c r="AR404" s="171">
        <f t="shared" si="639"/>
        <v>0</v>
      </c>
      <c r="AS404" s="171">
        <f t="shared" si="639"/>
        <v>0</v>
      </c>
      <c r="AT404" s="171">
        <f t="shared" si="639"/>
        <v>0</v>
      </c>
      <c r="AU404" s="171">
        <f t="shared" si="640"/>
        <v>0</v>
      </c>
      <c r="AV404" s="171">
        <f t="shared" si="640"/>
        <v>0</v>
      </c>
      <c r="AW404" s="171">
        <f t="shared" si="640"/>
        <v>0</v>
      </c>
      <c r="AX404" s="171">
        <f t="shared" si="640"/>
        <v>0</v>
      </c>
      <c r="AY404" s="171">
        <f t="shared" si="640"/>
        <v>0</v>
      </c>
      <c r="AZ404" s="171">
        <f t="shared" si="640"/>
        <v>0</v>
      </c>
      <c r="BA404" s="171">
        <f t="shared" si="640"/>
        <v>0</v>
      </c>
      <c r="BB404" s="171">
        <f t="shared" si="640"/>
        <v>0</v>
      </c>
      <c r="BC404" s="171">
        <f t="shared" si="640"/>
        <v>0</v>
      </c>
      <c r="BD404" s="171">
        <f t="shared" si="640"/>
        <v>0</v>
      </c>
      <c r="BE404" s="171">
        <f t="shared" si="641"/>
        <v>0</v>
      </c>
      <c r="BF404" s="171">
        <f t="shared" si="641"/>
        <v>0</v>
      </c>
      <c r="BG404" s="171">
        <f t="shared" si="641"/>
        <v>0</v>
      </c>
      <c r="BH404" s="171">
        <f t="shared" si="641"/>
        <v>0</v>
      </c>
      <c r="BI404" s="171">
        <f t="shared" si="641"/>
        <v>0</v>
      </c>
      <c r="BJ404" s="171">
        <f t="shared" si="641"/>
        <v>0</v>
      </c>
      <c r="BK404" s="171">
        <f t="shared" si="641"/>
        <v>0</v>
      </c>
      <c r="BL404" s="171">
        <f t="shared" si="641"/>
        <v>0</v>
      </c>
      <c r="BM404" s="171">
        <f t="shared" si="641"/>
        <v>0</v>
      </c>
      <c r="BN404" s="171">
        <f t="shared" si="641"/>
        <v>0</v>
      </c>
      <c r="BO404" s="171">
        <f t="shared" si="642"/>
        <v>0</v>
      </c>
      <c r="BP404" s="171">
        <f t="shared" si="642"/>
        <v>0</v>
      </c>
      <c r="BQ404" s="171">
        <f t="shared" si="642"/>
        <v>0</v>
      </c>
      <c r="BR404" s="171">
        <f t="shared" si="642"/>
        <v>0</v>
      </c>
      <c r="BS404" s="171">
        <f t="shared" si="642"/>
        <v>0</v>
      </c>
      <c r="BT404" s="171">
        <f t="shared" si="642"/>
        <v>0</v>
      </c>
      <c r="BU404" s="171">
        <f t="shared" si="642"/>
        <v>0</v>
      </c>
      <c r="BV404" s="171">
        <f t="shared" si="642"/>
        <v>0</v>
      </c>
      <c r="BW404" s="171">
        <f t="shared" si="642"/>
        <v>0</v>
      </c>
      <c r="BX404" s="171">
        <f t="shared" si="642"/>
        <v>0</v>
      </c>
      <c r="BY404" s="171">
        <f t="shared" si="643"/>
        <v>0</v>
      </c>
      <c r="BZ404" s="171">
        <f t="shared" si="643"/>
        <v>0</v>
      </c>
      <c r="CA404" s="171">
        <f t="shared" si="643"/>
        <v>0</v>
      </c>
      <c r="CB404" s="171">
        <f t="shared" si="643"/>
        <v>0</v>
      </c>
      <c r="CC404" s="171">
        <f t="shared" si="643"/>
        <v>0</v>
      </c>
      <c r="CD404" s="171">
        <f t="shared" si="643"/>
        <v>0</v>
      </c>
      <c r="CE404" s="171">
        <f t="shared" si="643"/>
        <v>0</v>
      </c>
      <c r="CF404" s="171">
        <f t="shared" si="643"/>
        <v>0</v>
      </c>
      <c r="CG404" s="171">
        <f t="shared" si="643"/>
        <v>0</v>
      </c>
      <c r="CH404" s="171">
        <f t="shared" si="643"/>
        <v>0</v>
      </c>
      <c r="CI404" s="171">
        <f t="shared" si="643"/>
        <v>0</v>
      </c>
      <c r="CJ404" s="243"/>
      <c r="CK404" s="171">
        <f t="shared" si="565"/>
        <v>0</v>
      </c>
      <c r="CL404" s="171">
        <f t="shared" si="566"/>
        <v>0</v>
      </c>
      <c r="CM404" s="171">
        <f t="shared" si="567"/>
        <v>0</v>
      </c>
      <c r="CN404" s="171">
        <f t="shared" si="568"/>
        <v>0</v>
      </c>
      <c r="CO404" s="171">
        <f t="shared" si="569"/>
        <v>0</v>
      </c>
      <c r="CP404" s="171">
        <f t="shared" si="570"/>
        <v>0</v>
      </c>
      <c r="CQ404" s="171">
        <f t="shared" si="571"/>
        <v>0</v>
      </c>
      <c r="CR404" s="171">
        <f t="shared" si="572"/>
        <v>0</v>
      </c>
      <c r="CS404" s="171">
        <f t="shared" si="573"/>
        <v>0</v>
      </c>
      <c r="CT404" s="171">
        <f t="shared" si="574"/>
        <v>0</v>
      </c>
      <c r="CU404" s="171">
        <f t="shared" si="575"/>
        <v>0</v>
      </c>
      <c r="CV404" s="171">
        <f t="shared" si="576"/>
        <v>0</v>
      </c>
      <c r="CW404" s="171">
        <f t="shared" si="577"/>
        <v>0</v>
      </c>
      <c r="CX404" s="171">
        <f t="shared" si="578"/>
        <v>0</v>
      </c>
      <c r="CY404" s="171">
        <f t="shared" ca="1" si="579"/>
        <v>0</v>
      </c>
      <c r="CZ404" s="171">
        <f t="shared" ca="1" si="580"/>
        <v>0</v>
      </c>
      <c r="DA404" s="171">
        <f t="shared" ca="1" si="581"/>
        <v>0</v>
      </c>
      <c r="DB404" s="171">
        <f t="shared" ca="1" si="582"/>
        <v>0</v>
      </c>
      <c r="DC404" s="171">
        <f t="shared" ca="1" si="583"/>
        <v>0</v>
      </c>
      <c r="DD404" s="171">
        <f t="shared" ca="1" si="584"/>
        <v>0</v>
      </c>
      <c r="DE404" s="171">
        <f t="shared" ca="1" si="585"/>
        <v>0</v>
      </c>
      <c r="DF404" s="171">
        <f t="shared" ca="1" si="586"/>
        <v>0</v>
      </c>
      <c r="DG404" s="171">
        <f t="shared" ca="1" si="587"/>
        <v>0</v>
      </c>
      <c r="DH404" s="171">
        <f t="shared" ca="1" si="588"/>
        <v>0</v>
      </c>
      <c r="DI404" s="171">
        <f t="shared" ca="1" si="589"/>
        <v>0</v>
      </c>
      <c r="DJ404" s="171">
        <f t="shared" ca="1" si="590"/>
        <v>0</v>
      </c>
      <c r="DK404" s="171">
        <f t="shared" ca="1" si="591"/>
        <v>0</v>
      </c>
      <c r="DL404" s="171">
        <f t="shared" ca="1" si="592"/>
        <v>0</v>
      </c>
      <c r="DM404" s="171">
        <f t="shared" ca="1" si="593"/>
        <v>0</v>
      </c>
      <c r="DN404" s="171">
        <f t="shared" ca="1" si="594"/>
        <v>0</v>
      </c>
      <c r="DO404" s="171">
        <f t="shared" ca="1" si="595"/>
        <v>0</v>
      </c>
      <c r="DP404" s="171">
        <f t="shared" ca="1" si="596"/>
        <v>0</v>
      </c>
      <c r="DQ404" s="171">
        <f t="shared" ca="1" si="597"/>
        <v>0</v>
      </c>
      <c r="DR404" s="171">
        <f t="shared" ca="1" si="598"/>
        <v>0</v>
      </c>
      <c r="DS404" s="171">
        <f t="shared" ca="1" si="599"/>
        <v>0</v>
      </c>
      <c r="DT404" s="171">
        <f t="shared" ca="1" si="600"/>
        <v>0</v>
      </c>
      <c r="DU404" s="171">
        <f t="shared" ca="1" si="601"/>
        <v>0</v>
      </c>
      <c r="DV404" s="171">
        <f t="shared" ca="1" si="602"/>
        <v>0</v>
      </c>
      <c r="DW404" s="171">
        <f t="shared" ca="1" si="603"/>
        <v>0</v>
      </c>
      <c r="DX404" s="171">
        <f t="shared" ca="1" si="604"/>
        <v>0</v>
      </c>
      <c r="DY404" s="171">
        <f t="shared" ca="1" si="605"/>
        <v>0</v>
      </c>
      <c r="DZ404" s="171">
        <f t="shared" ca="1" si="606"/>
        <v>0</v>
      </c>
      <c r="EA404" s="171">
        <f t="shared" ca="1" si="607"/>
        <v>0</v>
      </c>
      <c r="EB404" s="171">
        <f t="shared" ca="1" si="608"/>
        <v>0</v>
      </c>
      <c r="EC404" s="171">
        <f t="shared" ca="1" si="609"/>
        <v>0</v>
      </c>
      <c r="ED404" s="171">
        <f t="shared" ca="1" si="610"/>
        <v>0</v>
      </c>
      <c r="EE404" s="171">
        <f t="shared" ca="1" si="611"/>
        <v>0</v>
      </c>
      <c r="EF404" s="171">
        <f t="shared" ca="1" si="612"/>
        <v>0</v>
      </c>
      <c r="EG404" s="171">
        <f t="shared" ca="1" si="613"/>
        <v>0</v>
      </c>
      <c r="EH404" s="171">
        <f t="shared" ca="1" si="614"/>
        <v>0</v>
      </c>
      <c r="EI404" s="171">
        <f t="shared" ca="1" si="615"/>
        <v>0</v>
      </c>
      <c r="EJ404" s="171">
        <f t="shared" ca="1" si="616"/>
        <v>0</v>
      </c>
      <c r="EK404" s="171">
        <f t="shared" ca="1" si="617"/>
        <v>0</v>
      </c>
      <c r="EL404" s="171">
        <f t="shared" ca="1" si="618"/>
        <v>0</v>
      </c>
      <c r="EM404" s="171">
        <f t="shared" ca="1" si="619"/>
        <v>0</v>
      </c>
      <c r="EN404" s="171">
        <f t="shared" ca="1" si="620"/>
        <v>0</v>
      </c>
      <c r="EO404" s="171">
        <f t="shared" ca="1" si="621"/>
        <v>0</v>
      </c>
      <c r="EP404" s="171">
        <f t="shared" ca="1" si="622"/>
        <v>0</v>
      </c>
      <c r="EQ404" s="171">
        <f t="shared" ca="1" si="623"/>
        <v>0</v>
      </c>
      <c r="ER404" s="171">
        <f t="shared" ca="1" si="624"/>
        <v>0</v>
      </c>
      <c r="ES404" s="171">
        <f t="shared" ca="1" si="625"/>
        <v>0</v>
      </c>
    </row>
    <row r="405" spans="3:149">
      <c r="C405" s="214"/>
      <c r="L405" s="163"/>
      <c r="M405" s="164" t="str">
        <f t="shared" si="550"/>
        <v/>
      </c>
      <c r="N405" s="164" t="str">
        <f t="shared" si="551"/>
        <v/>
      </c>
      <c r="O405" s="165" t="str">
        <f t="shared" si="552"/>
        <v/>
      </c>
      <c r="R405" s="168"/>
      <c r="U405" s="171">
        <f t="shared" si="553"/>
        <v>0</v>
      </c>
      <c r="V405" s="171">
        <f t="shared" ca="1" si="554"/>
        <v>0</v>
      </c>
      <c r="W405" s="171">
        <f t="shared" ca="1" si="555"/>
        <v>0</v>
      </c>
      <c r="X405" s="172">
        <f t="shared" si="556"/>
        <v>0</v>
      </c>
      <c r="Y405" s="172" t="str">
        <f t="shared" si="557"/>
        <v/>
      </c>
      <c r="Z405" s="173">
        <f t="shared" si="558"/>
        <v>0</v>
      </c>
      <c r="AA405" s="171">
        <f t="shared" si="638"/>
        <v>0</v>
      </c>
      <c r="AB405" s="171">
        <f t="shared" si="638"/>
        <v>0</v>
      </c>
      <c r="AC405" s="171">
        <f t="shared" si="638"/>
        <v>0</v>
      </c>
      <c r="AD405" s="171">
        <f t="shared" si="638"/>
        <v>0</v>
      </c>
      <c r="AE405" s="171">
        <f t="shared" si="638"/>
        <v>0</v>
      </c>
      <c r="AF405" s="171">
        <f t="shared" si="638"/>
        <v>0</v>
      </c>
      <c r="AG405" s="171">
        <f t="shared" si="638"/>
        <v>0</v>
      </c>
      <c r="AH405" s="171">
        <f t="shared" si="638"/>
        <v>0</v>
      </c>
      <c r="AI405" s="171">
        <f t="shared" si="638"/>
        <v>0</v>
      </c>
      <c r="AJ405" s="171">
        <f t="shared" si="638"/>
        <v>0</v>
      </c>
      <c r="AK405" s="171">
        <f t="shared" si="639"/>
        <v>0</v>
      </c>
      <c r="AL405" s="171">
        <f t="shared" si="639"/>
        <v>0</v>
      </c>
      <c r="AM405" s="171">
        <f t="shared" si="639"/>
        <v>0</v>
      </c>
      <c r="AN405" s="171">
        <f t="shared" si="639"/>
        <v>0</v>
      </c>
      <c r="AO405" s="171">
        <f t="shared" si="639"/>
        <v>0</v>
      </c>
      <c r="AP405" s="171">
        <f t="shared" si="639"/>
        <v>0</v>
      </c>
      <c r="AQ405" s="171">
        <f t="shared" si="639"/>
        <v>0</v>
      </c>
      <c r="AR405" s="171">
        <f t="shared" si="639"/>
        <v>0</v>
      </c>
      <c r="AS405" s="171">
        <f t="shared" si="639"/>
        <v>0</v>
      </c>
      <c r="AT405" s="171">
        <f t="shared" si="639"/>
        <v>0</v>
      </c>
      <c r="AU405" s="171">
        <f t="shared" si="640"/>
        <v>0</v>
      </c>
      <c r="AV405" s="171">
        <f t="shared" si="640"/>
        <v>0</v>
      </c>
      <c r="AW405" s="171">
        <f t="shared" si="640"/>
        <v>0</v>
      </c>
      <c r="AX405" s="171">
        <f t="shared" si="640"/>
        <v>0</v>
      </c>
      <c r="AY405" s="171">
        <f t="shared" si="640"/>
        <v>0</v>
      </c>
      <c r="AZ405" s="171">
        <f t="shared" si="640"/>
        <v>0</v>
      </c>
      <c r="BA405" s="171">
        <f t="shared" si="640"/>
        <v>0</v>
      </c>
      <c r="BB405" s="171">
        <f t="shared" si="640"/>
        <v>0</v>
      </c>
      <c r="BC405" s="171">
        <f t="shared" si="640"/>
        <v>0</v>
      </c>
      <c r="BD405" s="171">
        <f t="shared" si="640"/>
        <v>0</v>
      </c>
      <c r="BE405" s="171">
        <f t="shared" si="641"/>
        <v>0</v>
      </c>
      <c r="BF405" s="171">
        <f t="shared" si="641"/>
        <v>0</v>
      </c>
      <c r="BG405" s="171">
        <f t="shared" si="641"/>
        <v>0</v>
      </c>
      <c r="BH405" s="171">
        <f t="shared" si="641"/>
        <v>0</v>
      </c>
      <c r="BI405" s="171">
        <f t="shared" si="641"/>
        <v>0</v>
      </c>
      <c r="BJ405" s="171">
        <f t="shared" si="641"/>
        <v>0</v>
      </c>
      <c r="BK405" s="171">
        <f t="shared" si="641"/>
        <v>0</v>
      </c>
      <c r="BL405" s="171">
        <f t="shared" si="641"/>
        <v>0</v>
      </c>
      <c r="BM405" s="171">
        <f t="shared" si="641"/>
        <v>0</v>
      </c>
      <c r="BN405" s="171">
        <f t="shared" si="641"/>
        <v>0</v>
      </c>
      <c r="BO405" s="171">
        <f t="shared" si="642"/>
        <v>0</v>
      </c>
      <c r="BP405" s="171">
        <f t="shared" si="642"/>
        <v>0</v>
      </c>
      <c r="BQ405" s="171">
        <f t="shared" si="642"/>
        <v>0</v>
      </c>
      <c r="BR405" s="171">
        <f t="shared" si="642"/>
        <v>0</v>
      </c>
      <c r="BS405" s="171">
        <f t="shared" si="642"/>
        <v>0</v>
      </c>
      <c r="BT405" s="171">
        <f t="shared" si="642"/>
        <v>0</v>
      </c>
      <c r="BU405" s="171">
        <f t="shared" si="642"/>
        <v>0</v>
      </c>
      <c r="BV405" s="171">
        <f t="shared" si="642"/>
        <v>0</v>
      </c>
      <c r="BW405" s="171">
        <f t="shared" si="642"/>
        <v>0</v>
      </c>
      <c r="BX405" s="171">
        <f t="shared" si="642"/>
        <v>0</v>
      </c>
      <c r="BY405" s="171">
        <f t="shared" si="643"/>
        <v>0</v>
      </c>
      <c r="BZ405" s="171">
        <f t="shared" si="643"/>
        <v>0</v>
      </c>
      <c r="CA405" s="171">
        <f t="shared" si="643"/>
        <v>0</v>
      </c>
      <c r="CB405" s="171">
        <f t="shared" si="643"/>
        <v>0</v>
      </c>
      <c r="CC405" s="171">
        <f t="shared" si="643"/>
        <v>0</v>
      </c>
      <c r="CD405" s="171">
        <f t="shared" si="643"/>
        <v>0</v>
      </c>
      <c r="CE405" s="171">
        <f t="shared" si="643"/>
        <v>0</v>
      </c>
      <c r="CF405" s="171">
        <f t="shared" si="643"/>
        <v>0</v>
      </c>
      <c r="CG405" s="171">
        <f t="shared" si="643"/>
        <v>0</v>
      </c>
      <c r="CH405" s="171">
        <f t="shared" si="643"/>
        <v>0</v>
      </c>
      <c r="CI405" s="171">
        <f t="shared" si="643"/>
        <v>0</v>
      </c>
      <c r="CJ405" s="243"/>
      <c r="CK405" s="171">
        <f t="shared" si="565"/>
        <v>0</v>
      </c>
      <c r="CL405" s="171">
        <f t="shared" si="566"/>
        <v>0</v>
      </c>
      <c r="CM405" s="171">
        <f t="shared" si="567"/>
        <v>0</v>
      </c>
      <c r="CN405" s="171">
        <f t="shared" si="568"/>
        <v>0</v>
      </c>
      <c r="CO405" s="171">
        <f t="shared" si="569"/>
        <v>0</v>
      </c>
      <c r="CP405" s="171">
        <f t="shared" si="570"/>
        <v>0</v>
      </c>
      <c r="CQ405" s="171">
        <f t="shared" si="571"/>
        <v>0</v>
      </c>
      <c r="CR405" s="171">
        <f t="shared" si="572"/>
        <v>0</v>
      </c>
      <c r="CS405" s="171">
        <f t="shared" si="573"/>
        <v>0</v>
      </c>
      <c r="CT405" s="171">
        <f t="shared" si="574"/>
        <v>0</v>
      </c>
      <c r="CU405" s="171">
        <f t="shared" si="575"/>
        <v>0</v>
      </c>
      <c r="CV405" s="171">
        <f t="shared" si="576"/>
        <v>0</v>
      </c>
      <c r="CW405" s="171">
        <f t="shared" si="577"/>
        <v>0</v>
      </c>
      <c r="CX405" s="171">
        <f t="shared" si="578"/>
        <v>0</v>
      </c>
      <c r="CY405" s="171">
        <f t="shared" ca="1" si="579"/>
        <v>0</v>
      </c>
      <c r="CZ405" s="171">
        <f t="shared" ca="1" si="580"/>
        <v>0</v>
      </c>
      <c r="DA405" s="171">
        <f t="shared" ca="1" si="581"/>
        <v>0</v>
      </c>
      <c r="DB405" s="171">
        <f t="shared" ca="1" si="582"/>
        <v>0</v>
      </c>
      <c r="DC405" s="171">
        <f t="shared" ca="1" si="583"/>
        <v>0</v>
      </c>
      <c r="DD405" s="171">
        <f t="shared" ca="1" si="584"/>
        <v>0</v>
      </c>
      <c r="DE405" s="171">
        <f t="shared" ca="1" si="585"/>
        <v>0</v>
      </c>
      <c r="DF405" s="171">
        <f t="shared" ca="1" si="586"/>
        <v>0</v>
      </c>
      <c r="DG405" s="171">
        <f t="shared" ca="1" si="587"/>
        <v>0</v>
      </c>
      <c r="DH405" s="171">
        <f t="shared" ca="1" si="588"/>
        <v>0</v>
      </c>
      <c r="DI405" s="171">
        <f t="shared" ca="1" si="589"/>
        <v>0</v>
      </c>
      <c r="DJ405" s="171">
        <f t="shared" ca="1" si="590"/>
        <v>0</v>
      </c>
      <c r="DK405" s="171">
        <f t="shared" ca="1" si="591"/>
        <v>0</v>
      </c>
      <c r="DL405" s="171">
        <f t="shared" ca="1" si="592"/>
        <v>0</v>
      </c>
      <c r="DM405" s="171">
        <f t="shared" ca="1" si="593"/>
        <v>0</v>
      </c>
      <c r="DN405" s="171">
        <f t="shared" ca="1" si="594"/>
        <v>0</v>
      </c>
      <c r="DO405" s="171">
        <f t="shared" ca="1" si="595"/>
        <v>0</v>
      </c>
      <c r="DP405" s="171">
        <f t="shared" ca="1" si="596"/>
        <v>0</v>
      </c>
      <c r="DQ405" s="171">
        <f t="shared" ca="1" si="597"/>
        <v>0</v>
      </c>
      <c r="DR405" s="171">
        <f t="shared" ca="1" si="598"/>
        <v>0</v>
      </c>
      <c r="DS405" s="171">
        <f t="shared" ca="1" si="599"/>
        <v>0</v>
      </c>
      <c r="DT405" s="171">
        <f t="shared" ca="1" si="600"/>
        <v>0</v>
      </c>
      <c r="DU405" s="171">
        <f t="shared" ca="1" si="601"/>
        <v>0</v>
      </c>
      <c r="DV405" s="171">
        <f t="shared" ca="1" si="602"/>
        <v>0</v>
      </c>
      <c r="DW405" s="171">
        <f t="shared" ca="1" si="603"/>
        <v>0</v>
      </c>
      <c r="DX405" s="171">
        <f t="shared" ca="1" si="604"/>
        <v>0</v>
      </c>
      <c r="DY405" s="171">
        <f t="shared" ca="1" si="605"/>
        <v>0</v>
      </c>
      <c r="DZ405" s="171">
        <f t="shared" ca="1" si="606"/>
        <v>0</v>
      </c>
      <c r="EA405" s="171">
        <f t="shared" ca="1" si="607"/>
        <v>0</v>
      </c>
      <c r="EB405" s="171">
        <f t="shared" ca="1" si="608"/>
        <v>0</v>
      </c>
      <c r="EC405" s="171">
        <f t="shared" ca="1" si="609"/>
        <v>0</v>
      </c>
      <c r="ED405" s="171">
        <f t="shared" ca="1" si="610"/>
        <v>0</v>
      </c>
      <c r="EE405" s="171">
        <f t="shared" ca="1" si="611"/>
        <v>0</v>
      </c>
      <c r="EF405" s="171">
        <f t="shared" ca="1" si="612"/>
        <v>0</v>
      </c>
      <c r="EG405" s="171">
        <f t="shared" ca="1" si="613"/>
        <v>0</v>
      </c>
      <c r="EH405" s="171">
        <f t="shared" ca="1" si="614"/>
        <v>0</v>
      </c>
      <c r="EI405" s="171">
        <f t="shared" ca="1" si="615"/>
        <v>0</v>
      </c>
      <c r="EJ405" s="171">
        <f t="shared" ca="1" si="616"/>
        <v>0</v>
      </c>
      <c r="EK405" s="171">
        <f t="shared" ca="1" si="617"/>
        <v>0</v>
      </c>
      <c r="EL405" s="171">
        <f t="shared" ca="1" si="618"/>
        <v>0</v>
      </c>
      <c r="EM405" s="171">
        <f t="shared" ca="1" si="619"/>
        <v>0</v>
      </c>
      <c r="EN405" s="171">
        <f t="shared" ca="1" si="620"/>
        <v>0</v>
      </c>
      <c r="EO405" s="171">
        <f t="shared" ca="1" si="621"/>
        <v>0</v>
      </c>
      <c r="EP405" s="171">
        <f t="shared" ca="1" si="622"/>
        <v>0</v>
      </c>
      <c r="EQ405" s="171">
        <f t="shared" ca="1" si="623"/>
        <v>0</v>
      </c>
      <c r="ER405" s="171">
        <f t="shared" ca="1" si="624"/>
        <v>0</v>
      </c>
      <c r="ES405" s="171">
        <f t="shared" ca="1" si="625"/>
        <v>0</v>
      </c>
    </row>
    <row r="406" spans="3:149">
      <c r="C406" s="214"/>
      <c r="L406" s="163"/>
      <c r="M406" s="164" t="str">
        <f t="shared" si="550"/>
        <v/>
      </c>
      <c r="N406" s="164" t="str">
        <f t="shared" si="551"/>
        <v/>
      </c>
      <c r="O406" s="165" t="str">
        <f t="shared" si="552"/>
        <v/>
      </c>
      <c r="R406" s="168"/>
      <c r="U406" s="171">
        <f t="shared" si="553"/>
        <v>0</v>
      </c>
      <c r="V406" s="171">
        <f t="shared" ca="1" si="554"/>
        <v>0</v>
      </c>
      <c r="W406" s="171">
        <f t="shared" ca="1" si="555"/>
        <v>0</v>
      </c>
      <c r="X406" s="172">
        <f t="shared" si="556"/>
        <v>0</v>
      </c>
      <c r="Y406" s="172" t="str">
        <f t="shared" si="557"/>
        <v/>
      </c>
      <c r="Z406" s="173">
        <f t="shared" si="558"/>
        <v>0</v>
      </c>
      <c r="AA406" s="171">
        <f t="shared" si="638"/>
        <v>0</v>
      </c>
      <c r="AB406" s="171">
        <f t="shared" si="638"/>
        <v>0</v>
      </c>
      <c r="AC406" s="171">
        <f t="shared" si="638"/>
        <v>0</v>
      </c>
      <c r="AD406" s="171">
        <f t="shared" si="638"/>
        <v>0</v>
      </c>
      <c r="AE406" s="171">
        <f t="shared" si="638"/>
        <v>0</v>
      </c>
      <c r="AF406" s="171">
        <f t="shared" si="638"/>
        <v>0</v>
      </c>
      <c r="AG406" s="171">
        <f t="shared" si="638"/>
        <v>0</v>
      </c>
      <c r="AH406" s="171">
        <f t="shared" si="638"/>
        <v>0</v>
      </c>
      <c r="AI406" s="171">
        <f t="shared" si="638"/>
        <v>0</v>
      </c>
      <c r="AJ406" s="171">
        <f t="shared" si="638"/>
        <v>0</v>
      </c>
      <c r="AK406" s="171">
        <f t="shared" si="639"/>
        <v>0</v>
      </c>
      <c r="AL406" s="171">
        <f t="shared" si="639"/>
        <v>0</v>
      </c>
      <c r="AM406" s="171">
        <f t="shared" si="639"/>
        <v>0</v>
      </c>
      <c r="AN406" s="171">
        <f t="shared" si="639"/>
        <v>0</v>
      </c>
      <c r="AO406" s="171">
        <f t="shared" si="639"/>
        <v>0</v>
      </c>
      <c r="AP406" s="171">
        <f t="shared" si="639"/>
        <v>0</v>
      </c>
      <c r="AQ406" s="171">
        <f t="shared" si="639"/>
        <v>0</v>
      </c>
      <c r="AR406" s="171">
        <f t="shared" si="639"/>
        <v>0</v>
      </c>
      <c r="AS406" s="171">
        <f t="shared" si="639"/>
        <v>0</v>
      </c>
      <c r="AT406" s="171">
        <f t="shared" si="639"/>
        <v>0</v>
      </c>
      <c r="AU406" s="171">
        <f t="shared" si="640"/>
        <v>0</v>
      </c>
      <c r="AV406" s="171">
        <f t="shared" si="640"/>
        <v>0</v>
      </c>
      <c r="AW406" s="171">
        <f t="shared" si="640"/>
        <v>0</v>
      </c>
      <c r="AX406" s="171">
        <f t="shared" si="640"/>
        <v>0</v>
      </c>
      <c r="AY406" s="171">
        <f t="shared" si="640"/>
        <v>0</v>
      </c>
      <c r="AZ406" s="171">
        <f t="shared" si="640"/>
        <v>0</v>
      </c>
      <c r="BA406" s="171">
        <f t="shared" si="640"/>
        <v>0</v>
      </c>
      <c r="BB406" s="171">
        <f t="shared" si="640"/>
        <v>0</v>
      </c>
      <c r="BC406" s="171">
        <f t="shared" si="640"/>
        <v>0</v>
      </c>
      <c r="BD406" s="171">
        <f t="shared" si="640"/>
        <v>0</v>
      </c>
      <c r="BE406" s="171">
        <f t="shared" si="641"/>
        <v>0</v>
      </c>
      <c r="BF406" s="171">
        <f t="shared" si="641"/>
        <v>0</v>
      </c>
      <c r="BG406" s="171">
        <f t="shared" si="641"/>
        <v>0</v>
      </c>
      <c r="BH406" s="171">
        <f t="shared" si="641"/>
        <v>0</v>
      </c>
      <c r="BI406" s="171">
        <f t="shared" si="641"/>
        <v>0</v>
      </c>
      <c r="BJ406" s="171">
        <f t="shared" si="641"/>
        <v>0</v>
      </c>
      <c r="BK406" s="171">
        <f t="shared" si="641"/>
        <v>0</v>
      </c>
      <c r="BL406" s="171">
        <f t="shared" si="641"/>
        <v>0</v>
      </c>
      <c r="BM406" s="171">
        <f t="shared" si="641"/>
        <v>0</v>
      </c>
      <c r="BN406" s="171">
        <f t="shared" si="641"/>
        <v>0</v>
      </c>
      <c r="BO406" s="171">
        <f t="shared" si="642"/>
        <v>0</v>
      </c>
      <c r="BP406" s="171">
        <f t="shared" si="642"/>
        <v>0</v>
      </c>
      <c r="BQ406" s="171">
        <f t="shared" si="642"/>
        <v>0</v>
      </c>
      <c r="BR406" s="171">
        <f t="shared" si="642"/>
        <v>0</v>
      </c>
      <c r="BS406" s="171">
        <f t="shared" si="642"/>
        <v>0</v>
      </c>
      <c r="BT406" s="171">
        <f t="shared" si="642"/>
        <v>0</v>
      </c>
      <c r="BU406" s="171">
        <f t="shared" si="642"/>
        <v>0</v>
      </c>
      <c r="BV406" s="171">
        <f t="shared" si="642"/>
        <v>0</v>
      </c>
      <c r="BW406" s="171">
        <f t="shared" si="642"/>
        <v>0</v>
      </c>
      <c r="BX406" s="171">
        <f t="shared" si="642"/>
        <v>0</v>
      </c>
      <c r="BY406" s="171">
        <f t="shared" si="643"/>
        <v>0</v>
      </c>
      <c r="BZ406" s="171">
        <f t="shared" si="643"/>
        <v>0</v>
      </c>
      <c r="CA406" s="171">
        <f t="shared" si="643"/>
        <v>0</v>
      </c>
      <c r="CB406" s="171">
        <f t="shared" si="643"/>
        <v>0</v>
      </c>
      <c r="CC406" s="171">
        <f t="shared" si="643"/>
        <v>0</v>
      </c>
      <c r="CD406" s="171">
        <f t="shared" si="643"/>
        <v>0</v>
      </c>
      <c r="CE406" s="171">
        <f t="shared" si="643"/>
        <v>0</v>
      </c>
      <c r="CF406" s="171">
        <f t="shared" si="643"/>
        <v>0</v>
      </c>
      <c r="CG406" s="171">
        <f t="shared" si="643"/>
        <v>0</v>
      </c>
      <c r="CH406" s="171">
        <f t="shared" si="643"/>
        <v>0</v>
      </c>
      <c r="CI406" s="171">
        <f t="shared" si="643"/>
        <v>0</v>
      </c>
      <c r="CJ406" s="243"/>
      <c r="CK406" s="171">
        <f t="shared" si="565"/>
        <v>0</v>
      </c>
      <c r="CL406" s="171">
        <f t="shared" si="566"/>
        <v>0</v>
      </c>
      <c r="CM406" s="171">
        <f t="shared" si="567"/>
        <v>0</v>
      </c>
      <c r="CN406" s="171">
        <f t="shared" si="568"/>
        <v>0</v>
      </c>
      <c r="CO406" s="171">
        <f t="shared" si="569"/>
        <v>0</v>
      </c>
      <c r="CP406" s="171">
        <f t="shared" si="570"/>
        <v>0</v>
      </c>
      <c r="CQ406" s="171">
        <f t="shared" si="571"/>
        <v>0</v>
      </c>
      <c r="CR406" s="171">
        <f t="shared" si="572"/>
        <v>0</v>
      </c>
      <c r="CS406" s="171">
        <f t="shared" si="573"/>
        <v>0</v>
      </c>
      <c r="CT406" s="171">
        <f t="shared" si="574"/>
        <v>0</v>
      </c>
      <c r="CU406" s="171">
        <f t="shared" si="575"/>
        <v>0</v>
      </c>
      <c r="CV406" s="171">
        <f t="shared" si="576"/>
        <v>0</v>
      </c>
      <c r="CW406" s="171">
        <f t="shared" si="577"/>
        <v>0</v>
      </c>
      <c r="CX406" s="171">
        <f t="shared" si="578"/>
        <v>0</v>
      </c>
      <c r="CY406" s="171">
        <f t="shared" ca="1" si="579"/>
        <v>0</v>
      </c>
      <c r="CZ406" s="171">
        <f t="shared" ca="1" si="580"/>
        <v>0</v>
      </c>
      <c r="DA406" s="171">
        <f t="shared" ca="1" si="581"/>
        <v>0</v>
      </c>
      <c r="DB406" s="171">
        <f t="shared" ca="1" si="582"/>
        <v>0</v>
      </c>
      <c r="DC406" s="171">
        <f t="shared" ca="1" si="583"/>
        <v>0</v>
      </c>
      <c r="DD406" s="171">
        <f t="shared" ca="1" si="584"/>
        <v>0</v>
      </c>
      <c r="DE406" s="171">
        <f t="shared" ca="1" si="585"/>
        <v>0</v>
      </c>
      <c r="DF406" s="171">
        <f t="shared" ca="1" si="586"/>
        <v>0</v>
      </c>
      <c r="DG406" s="171">
        <f t="shared" ca="1" si="587"/>
        <v>0</v>
      </c>
      <c r="DH406" s="171">
        <f t="shared" ca="1" si="588"/>
        <v>0</v>
      </c>
      <c r="DI406" s="171">
        <f t="shared" ca="1" si="589"/>
        <v>0</v>
      </c>
      <c r="DJ406" s="171">
        <f t="shared" ca="1" si="590"/>
        <v>0</v>
      </c>
      <c r="DK406" s="171">
        <f t="shared" ca="1" si="591"/>
        <v>0</v>
      </c>
      <c r="DL406" s="171">
        <f t="shared" ca="1" si="592"/>
        <v>0</v>
      </c>
      <c r="DM406" s="171">
        <f t="shared" ca="1" si="593"/>
        <v>0</v>
      </c>
      <c r="DN406" s="171">
        <f t="shared" ca="1" si="594"/>
        <v>0</v>
      </c>
      <c r="DO406" s="171">
        <f t="shared" ca="1" si="595"/>
        <v>0</v>
      </c>
      <c r="DP406" s="171">
        <f t="shared" ca="1" si="596"/>
        <v>0</v>
      </c>
      <c r="DQ406" s="171">
        <f t="shared" ca="1" si="597"/>
        <v>0</v>
      </c>
      <c r="DR406" s="171">
        <f t="shared" ca="1" si="598"/>
        <v>0</v>
      </c>
      <c r="DS406" s="171">
        <f t="shared" ca="1" si="599"/>
        <v>0</v>
      </c>
      <c r="DT406" s="171">
        <f t="shared" ca="1" si="600"/>
        <v>0</v>
      </c>
      <c r="DU406" s="171">
        <f t="shared" ca="1" si="601"/>
        <v>0</v>
      </c>
      <c r="DV406" s="171">
        <f t="shared" ca="1" si="602"/>
        <v>0</v>
      </c>
      <c r="DW406" s="171">
        <f t="shared" ca="1" si="603"/>
        <v>0</v>
      </c>
      <c r="DX406" s="171">
        <f t="shared" ca="1" si="604"/>
        <v>0</v>
      </c>
      <c r="DY406" s="171">
        <f t="shared" ca="1" si="605"/>
        <v>0</v>
      </c>
      <c r="DZ406" s="171">
        <f t="shared" ca="1" si="606"/>
        <v>0</v>
      </c>
      <c r="EA406" s="171">
        <f t="shared" ca="1" si="607"/>
        <v>0</v>
      </c>
      <c r="EB406" s="171">
        <f t="shared" ca="1" si="608"/>
        <v>0</v>
      </c>
      <c r="EC406" s="171">
        <f t="shared" ca="1" si="609"/>
        <v>0</v>
      </c>
      <c r="ED406" s="171">
        <f t="shared" ca="1" si="610"/>
        <v>0</v>
      </c>
      <c r="EE406" s="171">
        <f t="shared" ca="1" si="611"/>
        <v>0</v>
      </c>
      <c r="EF406" s="171">
        <f t="shared" ca="1" si="612"/>
        <v>0</v>
      </c>
      <c r="EG406" s="171">
        <f t="shared" ca="1" si="613"/>
        <v>0</v>
      </c>
      <c r="EH406" s="171">
        <f t="shared" ca="1" si="614"/>
        <v>0</v>
      </c>
      <c r="EI406" s="171">
        <f t="shared" ca="1" si="615"/>
        <v>0</v>
      </c>
      <c r="EJ406" s="171">
        <f t="shared" ca="1" si="616"/>
        <v>0</v>
      </c>
      <c r="EK406" s="171">
        <f t="shared" ca="1" si="617"/>
        <v>0</v>
      </c>
      <c r="EL406" s="171">
        <f t="shared" ca="1" si="618"/>
        <v>0</v>
      </c>
      <c r="EM406" s="171">
        <f t="shared" ca="1" si="619"/>
        <v>0</v>
      </c>
      <c r="EN406" s="171">
        <f t="shared" ca="1" si="620"/>
        <v>0</v>
      </c>
      <c r="EO406" s="171">
        <f t="shared" ca="1" si="621"/>
        <v>0</v>
      </c>
      <c r="EP406" s="171">
        <f t="shared" ca="1" si="622"/>
        <v>0</v>
      </c>
      <c r="EQ406" s="171">
        <f t="shared" ca="1" si="623"/>
        <v>0</v>
      </c>
      <c r="ER406" s="171">
        <f t="shared" ca="1" si="624"/>
        <v>0</v>
      </c>
      <c r="ES406" s="171">
        <f t="shared" ca="1" si="625"/>
        <v>0</v>
      </c>
    </row>
    <row r="407" spans="3:149">
      <c r="C407" s="214"/>
      <c r="L407" s="163"/>
      <c r="M407" s="164" t="str">
        <f t="shared" si="550"/>
        <v/>
      </c>
      <c r="N407" s="164" t="str">
        <f t="shared" si="551"/>
        <v/>
      </c>
      <c r="O407" s="165" t="str">
        <f t="shared" si="552"/>
        <v/>
      </c>
      <c r="R407" s="168"/>
      <c r="U407" s="171">
        <f t="shared" si="553"/>
        <v>0</v>
      </c>
      <c r="V407" s="171">
        <f t="shared" ca="1" si="554"/>
        <v>0</v>
      </c>
      <c r="W407" s="171">
        <f t="shared" ca="1" si="555"/>
        <v>0</v>
      </c>
      <c r="X407" s="172">
        <f t="shared" si="556"/>
        <v>0</v>
      </c>
      <c r="Y407" s="172" t="str">
        <f t="shared" si="557"/>
        <v/>
      </c>
      <c r="Z407" s="173">
        <f t="shared" si="558"/>
        <v>0</v>
      </c>
      <c r="AA407" s="171">
        <f t="shared" si="638"/>
        <v>0</v>
      </c>
      <c r="AB407" s="171">
        <f t="shared" si="638"/>
        <v>0</v>
      </c>
      <c r="AC407" s="171">
        <f t="shared" si="638"/>
        <v>0</v>
      </c>
      <c r="AD407" s="171">
        <f t="shared" si="638"/>
        <v>0</v>
      </c>
      <c r="AE407" s="171">
        <f t="shared" si="638"/>
        <v>0</v>
      </c>
      <c r="AF407" s="171">
        <f t="shared" si="638"/>
        <v>0</v>
      </c>
      <c r="AG407" s="171">
        <f t="shared" si="638"/>
        <v>0</v>
      </c>
      <c r="AH407" s="171">
        <f t="shared" si="638"/>
        <v>0</v>
      </c>
      <c r="AI407" s="171">
        <f t="shared" si="638"/>
        <v>0</v>
      </c>
      <c r="AJ407" s="171">
        <f t="shared" si="638"/>
        <v>0</v>
      </c>
      <c r="AK407" s="171">
        <f t="shared" si="639"/>
        <v>0</v>
      </c>
      <c r="AL407" s="171">
        <f t="shared" si="639"/>
        <v>0</v>
      </c>
      <c r="AM407" s="171">
        <f t="shared" si="639"/>
        <v>0</v>
      </c>
      <c r="AN407" s="171">
        <f t="shared" si="639"/>
        <v>0</v>
      </c>
      <c r="AO407" s="171">
        <f t="shared" si="639"/>
        <v>0</v>
      </c>
      <c r="AP407" s="171">
        <f t="shared" si="639"/>
        <v>0</v>
      </c>
      <c r="AQ407" s="171">
        <f t="shared" si="639"/>
        <v>0</v>
      </c>
      <c r="AR407" s="171">
        <f t="shared" si="639"/>
        <v>0</v>
      </c>
      <c r="AS407" s="171">
        <f t="shared" si="639"/>
        <v>0</v>
      </c>
      <c r="AT407" s="171">
        <f t="shared" si="639"/>
        <v>0</v>
      </c>
      <c r="AU407" s="171">
        <f t="shared" si="640"/>
        <v>0</v>
      </c>
      <c r="AV407" s="171">
        <f t="shared" si="640"/>
        <v>0</v>
      </c>
      <c r="AW407" s="171">
        <f t="shared" si="640"/>
        <v>0</v>
      </c>
      <c r="AX407" s="171">
        <f t="shared" si="640"/>
        <v>0</v>
      </c>
      <c r="AY407" s="171">
        <f t="shared" si="640"/>
        <v>0</v>
      </c>
      <c r="AZ407" s="171">
        <f t="shared" si="640"/>
        <v>0</v>
      </c>
      <c r="BA407" s="171">
        <f t="shared" si="640"/>
        <v>0</v>
      </c>
      <c r="BB407" s="171">
        <f t="shared" si="640"/>
        <v>0</v>
      </c>
      <c r="BC407" s="171">
        <f t="shared" si="640"/>
        <v>0</v>
      </c>
      <c r="BD407" s="171">
        <f t="shared" si="640"/>
        <v>0</v>
      </c>
      <c r="BE407" s="171">
        <f t="shared" si="641"/>
        <v>0</v>
      </c>
      <c r="BF407" s="171">
        <f t="shared" si="641"/>
        <v>0</v>
      </c>
      <c r="BG407" s="171">
        <f t="shared" si="641"/>
        <v>0</v>
      </c>
      <c r="BH407" s="171">
        <f t="shared" si="641"/>
        <v>0</v>
      </c>
      <c r="BI407" s="171">
        <f t="shared" si="641"/>
        <v>0</v>
      </c>
      <c r="BJ407" s="171">
        <f t="shared" si="641"/>
        <v>0</v>
      </c>
      <c r="BK407" s="171">
        <f t="shared" si="641"/>
        <v>0</v>
      </c>
      <c r="BL407" s="171">
        <f t="shared" si="641"/>
        <v>0</v>
      </c>
      <c r="BM407" s="171">
        <f t="shared" si="641"/>
        <v>0</v>
      </c>
      <c r="BN407" s="171">
        <f t="shared" si="641"/>
        <v>0</v>
      </c>
      <c r="BO407" s="171">
        <f t="shared" si="642"/>
        <v>0</v>
      </c>
      <c r="BP407" s="171">
        <f t="shared" si="642"/>
        <v>0</v>
      </c>
      <c r="BQ407" s="171">
        <f t="shared" si="642"/>
        <v>0</v>
      </c>
      <c r="BR407" s="171">
        <f t="shared" si="642"/>
        <v>0</v>
      </c>
      <c r="BS407" s="171">
        <f t="shared" si="642"/>
        <v>0</v>
      </c>
      <c r="BT407" s="171">
        <f t="shared" si="642"/>
        <v>0</v>
      </c>
      <c r="BU407" s="171">
        <f t="shared" si="642"/>
        <v>0</v>
      </c>
      <c r="BV407" s="171">
        <f t="shared" si="642"/>
        <v>0</v>
      </c>
      <c r="BW407" s="171">
        <f t="shared" si="642"/>
        <v>0</v>
      </c>
      <c r="BX407" s="171">
        <f t="shared" si="642"/>
        <v>0</v>
      </c>
      <c r="BY407" s="171">
        <f t="shared" si="643"/>
        <v>0</v>
      </c>
      <c r="BZ407" s="171">
        <f t="shared" si="643"/>
        <v>0</v>
      </c>
      <c r="CA407" s="171">
        <f t="shared" si="643"/>
        <v>0</v>
      </c>
      <c r="CB407" s="171">
        <f t="shared" si="643"/>
        <v>0</v>
      </c>
      <c r="CC407" s="171">
        <f t="shared" si="643"/>
        <v>0</v>
      </c>
      <c r="CD407" s="171">
        <f t="shared" si="643"/>
        <v>0</v>
      </c>
      <c r="CE407" s="171">
        <f t="shared" si="643"/>
        <v>0</v>
      </c>
      <c r="CF407" s="171">
        <f t="shared" si="643"/>
        <v>0</v>
      </c>
      <c r="CG407" s="171">
        <f t="shared" si="643"/>
        <v>0</v>
      </c>
      <c r="CH407" s="171">
        <f t="shared" si="643"/>
        <v>0</v>
      </c>
      <c r="CI407" s="171">
        <f t="shared" si="643"/>
        <v>0</v>
      </c>
      <c r="CJ407" s="243"/>
      <c r="CK407" s="171">
        <f t="shared" si="565"/>
        <v>0</v>
      </c>
      <c r="CL407" s="171">
        <f t="shared" si="566"/>
        <v>0</v>
      </c>
      <c r="CM407" s="171">
        <f t="shared" si="567"/>
        <v>0</v>
      </c>
      <c r="CN407" s="171">
        <f t="shared" si="568"/>
        <v>0</v>
      </c>
      <c r="CO407" s="171">
        <f t="shared" si="569"/>
        <v>0</v>
      </c>
      <c r="CP407" s="171">
        <f t="shared" si="570"/>
        <v>0</v>
      </c>
      <c r="CQ407" s="171">
        <f t="shared" si="571"/>
        <v>0</v>
      </c>
      <c r="CR407" s="171">
        <f t="shared" si="572"/>
        <v>0</v>
      </c>
      <c r="CS407" s="171">
        <f t="shared" si="573"/>
        <v>0</v>
      </c>
      <c r="CT407" s="171">
        <f t="shared" si="574"/>
        <v>0</v>
      </c>
      <c r="CU407" s="171">
        <f t="shared" si="575"/>
        <v>0</v>
      </c>
      <c r="CV407" s="171">
        <f t="shared" si="576"/>
        <v>0</v>
      </c>
      <c r="CW407" s="171">
        <f t="shared" si="577"/>
        <v>0</v>
      </c>
      <c r="CX407" s="171">
        <f t="shared" si="578"/>
        <v>0</v>
      </c>
      <c r="CY407" s="171">
        <f t="shared" ca="1" si="579"/>
        <v>0</v>
      </c>
      <c r="CZ407" s="171">
        <f t="shared" ca="1" si="580"/>
        <v>0</v>
      </c>
      <c r="DA407" s="171">
        <f t="shared" ca="1" si="581"/>
        <v>0</v>
      </c>
      <c r="DB407" s="171">
        <f t="shared" ca="1" si="582"/>
        <v>0</v>
      </c>
      <c r="DC407" s="171">
        <f t="shared" ca="1" si="583"/>
        <v>0</v>
      </c>
      <c r="DD407" s="171">
        <f t="shared" ca="1" si="584"/>
        <v>0</v>
      </c>
      <c r="DE407" s="171">
        <f t="shared" ca="1" si="585"/>
        <v>0</v>
      </c>
      <c r="DF407" s="171">
        <f t="shared" ca="1" si="586"/>
        <v>0</v>
      </c>
      <c r="DG407" s="171">
        <f t="shared" ca="1" si="587"/>
        <v>0</v>
      </c>
      <c r="DH407" s="171">
        <f t="shared" ca="1" si="588"/>
        <v>0</v>
      </c>
      <c r="DI407" s="171">
        <f t="shared" ca="1" si="589"/>
        <v>0</v>
      </c>
      <c r="DJ407" s="171">
        <f t="shared" ca="1" si="590"/>
        <v>0</v>
      </c>
      <c r="DK407" s="171">
        <f t="shared" ca="1" si="591"/>
        <v>0</v>
      </c>
      <c r="DL407" s="171">
        <f t="shared" ca="1" si="592"/>
        <v>0</v>
      </c>
      <c r="DM407" s="171">
        <f t="shared" ca="1" si="593"/>
        <v>0</v>
      </c>
      <c r="DN407" s="171">
        <f t="shared" ca="1" si="594"/>
        <v>0</v>
      </c>
      <c r="DO407" s="171">
        <f t="shared" ca="1" si="595"/>
        <v>0</v>
      </c>
      <c r="DP407" s="171">
        <f t="shared" ca="1" si="596"/>
        <v>0</v>
      </c>
      <c r="DQ407" s="171">
        <f t="shared" ca="1" si="597"/>
        <v>0</v>
      </c>
      <c r="DR407" s="171">
        <f t="shared" ca="1" si="598"/>
        <v>0</v>
      </c>
      <c r="DS407" s="171">
        <f t="shared" ca="1" si="599"/>
        <v>0</v>
      </c>
      <c r="DT407" s="171">
        <f t="shared" ca="1" si="600"/>
        <v>0</v>
      </c>
      <c r="DU407" s="171">
        <f t="shared" ca="1" si="601"/>
        <v>0</v>
      </c>
      <c r="DV407" s="171">
        <f t="shared" ca="1" si="602"/>
        <v>0</v>
      </c>
      <c r="DW407" s="171">
        <f t="shared" ca="1" si="603"/>
        <v>0</v>
      </c>
      <c r="DX407" s="171">
        <f t="shared" ca="1" si="604"/>
        <v>0</v>
      </c>
      <c r="DY407" s="171">
        <f t="shared" ca="1" si="605"/>
        <v>0</v>
      </c>
      <c r="DZ407" s="171">
        <f t="shared" ca="1" si="606"/>
        <v>0</v>
      </c>
      <c r="EA407" s="171">
        <f t="shared" ca="1" si="607"/>
        <v>0</v>
      </c>
      <c r="EB407" s="171">
        <f t="shared" ca="1" si="608"/>
        <v>0</v>
      </c>
      <c r="EC407" s="171">
        <f t="shared" ca="1" si="609"/>
        <v>0</v>
      </c>
      <c r="ED407" s="171">
        <f t="shared" ca="1" si="610"/>
        <v>0</v>
      </c>
      <c r="EE407" s="171">
        <f t="shared" ca="1" si="611"/>
        <v>0</v>
      </c>
      <c r="EF407" s="171">
        <f t="shared" ca="1" si="612"/>
        <v>0</v>
      </c>
      <c r="EG407" s="171">
        <f t="shared" ca="1" si="613"/>
        <v>0</v>
      </c>
      <c r="EH407" s="171">
        <f t="shared" ca="1" si="614"/>
        <v>0</v>
      </c>
      <c r="EI407" s="171">
        <f t="shared" ca="1" si="615"/>
        <v>0</v>
      </c>
      <c r="EJ407" s="171">
        <f t="shared" ca="1" si="616"/>
        <v>0</v>
      </c>
      <c r="EK407" s="171">
        <f t="shared" ca="1" si="617"/>
        <v>0</v>
      </c>
      <c r="EL407" s="171">
        <f t="shared" ca="1" si="618"/>
        <v>0</v>
      </c>
      <c r="EM407" s="171">
        <f t="shared" ca="1" si="619"/>
        <v>0</v>
      </c>
      <c r="EN407" s="171">
        <f t="shared" ca="1" si="620"/>
        <v>0</v>
      </c>
      <c r="EO407" s="171">
        <f t="shared" ca="1" si="621"/>
        <v>0</v>
      </c>
      <c r="EP407" s="171">
        <f t="shared" ca="1" si="622"/>
        <v>0</v>
      </c>
      <c r="EQ407" s="171">
        <f t="shared" ca="1" si="623"/>
        <v>0</v>
      </c>
      <c r="ER407" s="171">
        <f t="shared" ca="1" si="624"/>
        <v>0</v>
      </c>
      <c r="ES407" s="171">
        <f t="shared" ca="1" si="625"/>
        <v>0</v>
      </c>
    </row>
    <row r="408" spans="3:149">
      <c r="C408" s="214"/>
      <c r="L408" s="163"/>
      <c r="M408" s="164" t="str">
        <f t="shared" si="550"/>
        <v/>
      </c>
      <c r="N408" s="164" t="str">
        <f t="shared" si="551"/>
        <v/>
      </c>
      <c r="O408" s="165" t="str">
        <f t="shared" si="552"/>
        <v/>
      </c>
      <c r="R408" s="168"/>
      <c r="U408" s="171">
        <f t="shared" si="553"/>
        <v>0</v>
      </c>
      <c r="V408" s="171">
        <f t="shared" ca="1" si="554"/>
        <v>0</v>
      </c>
      <c r="W408" s="171">
        <f t="shared" ca="1" si="555"/>
        <v>0</v>
      </c>
      <c r="X408" s="172">
        <f t="shared" si="556"/>
        <v>0</v>
      </c>
      <c r="Y408" s="172" t="str">
        <f t="shared" si="557"/>
        <v/>
      </c>
      <c r="Z408" s="173">
        <f t="shared" si="558"/>
        <v>0</v>
      </c>
      <c r="AA408" s="171">
        <f t="shared" si="638"/>
        <v>0</v>
      </c>
      <c r="AB408" s="171">
        <f t="shared" si="638"/>
        <v>0</v>
      </c>
      <c r="AC408" s="171">
        <f t="shared" si="638"/>
        <v>0</v>
      </c>
      <c r="AD408" s="171">
        <f t="shared" si="638"/>
        <v>0</v>
      </c>
      <c r="AE408" s="171">
        <f t="shared" si="638"/>
        <v>0</v>
      </c>
      <c r="AF408" s="171">
        <f t="shared" si="638"/>
        <v>0</v>
      </c>
      <c r="AG408" s="171">
        <f t="shared" si="638"/>
        <v>0</v>
      </c>
      <c r="AH408" s="171">
        <f t="shared" si="638"/>
        <v>0</v>
      </c>
      <c r="AI408" s="171">
        <f t="shared" si="638"/>
        <v>0</v>
      </c>
      <c r="AJ408" s="171">
        <f t="shared" si="638"/>
        <v>0</v>
      </c>
      <c r="AK408" s="171">
        <f t="shared" si="639"/>
        <v>0</v>
      </c>
      <c r="AL408" s="171">
        <f t="shared" si="639"/>
        <v>0</v>
      </c>
      <c r="AM408" s="171">
        <f t="shared" si="639"/>
        <v>0</v>
      </c>
      <c r="AN408" s="171">
        <f t="shared" si="639"/>
        <v>0</v>
      </c>
      <c r="AO408" s="171">
        <f t="shared" si="639"/>
        <v>0</v>
      </c>
      <c r="AP408" s="171">
        <f t="shared" si="639"/>
        <v>0</v>
      </c>
      <c r="AQ408" s="171">
        <f t="shared" si="639"/>
        <v>0</v>
      </c>
      <c r="AR408" s="171">
        <f t="shared" si="639"/>
        <v>0</v>
      </c>
      <c r="AS408" s="171">
        <f t="shared" si="639"/>
        <v>0</v>
      </c>
      <c r="AT408" s="171">
        <f t="shared" si="639"/>
        <v>0</v>
      </c>
      <c r="AU408" s="171">
        <f t="shared" si="640"/>
        <v>0</v>
      </c>
      <c r="AV408" s="171">
        <f t="shared" si="640"/>
        <v>0</v>
      </c>
      <c r="AW408" s="171">
        <f t="shared" si="640"/>
        <v>0</v>
      </c>
      <c r="AX408" s="171">
        <f t="shared" si="640"/>
        <v>0</v>
      </c>
      <c r="AY408" s="171">
        <f t="shared" si="640"/>
        <v>0</v>
      </c>
      <c r="AZ408" s="171">
        <f t="shared" si="640"/>
        <v>0</v>
      </c>
      <c r="BA408" s="171">
        <f t="shared" si="640"/>
        <v>0</v>
      </c>
      <c r="BB408" s="171">
        <f t="shared" si="640"/>
        <v>0</v>
      </c>
      <c r="BC408" s="171">
        <f t="shared" si="640"/>
        <v>0</v>
      </c>
      <c r="BD408" s="171">
        <f t="shared" si="640"/>
        <v>0</v>
      </c>
      <c r="BE408" s="171">
        <f t="shared" si="641"/>
        <v>0</v>
      </c>
      <c r="BF408" s="171">
        <f t="shared" si="641"/>
        <v>0</v>
      </c>
      <c r="BG408" s="171">
        <f t="shared" si="641"/>
        <v>0</v>
      </c>
      <c r="BH408" s="171">
        <f t="shared" si="641"/>
        <v>0</v>
      </c>
      <c r="BI408" s="171">
        <f t="shared" si="641"/>
        <v>0</v>
      </c>
      <c r="BJ408" s="171">
        <f t="shared" si="641"/>
        <v>0</v>
      </c>
      <c r="BK408" s="171">
        <f t="shared" si="641"/>
        <v>0</v>
      </c>
      <c r="BL408" s="171">
        <f t="shared" si="641"/>
        <v>0</v>
      </c>
      <c r="BM408" s="171">
        <f t="shared" si="641"/>
        <v>0</v>
      </c>
      <c r="BN408" s="171">
        <f t="shared" si="641"/>
        <v>0</v>
      </c>
      <c r="BO408" s="171">
        <f t="shared" si="642"/>
        <v>0</v>
      </c>
      <c r="BP408" s="171">
        <f t="shared" si="642"/>
        <v>0</v>
      </c>
      <c r="BQ408" s="171">
        <f t="shared" si="642"/>
        <v>0</v>
      </c>
      <c r="BR408" s="171">
        <f t="shared" si="642"/>
        <v>0</v>
      </c>
      <c r="BS408" s="171">
        <f t="shared" si="642"/>
        <v>0</v>
      </c>
      <c r="BT408" s="171">
        <f t="shared" si="642"/>
        <v>0</v>
      </c>
      <c r="BU408" s="171">
        <f t="shared" si="642"/>
        <v>0</v>
      </c>
      <c r="BV408" s="171">
        <f t="shared" si="642"/>
        <v>0</v>
      </c>
      <c r="BW408" s="171">
        <f t="shared" si="642"/>
        <v>0</v>
      </c>
      <c r="BX408" s="171">
        <f t="shared" si="642"/>
        <v>0</v>
      </c>
      <c r="BY408" s="171">
        <f t="shared" si="643"/>
        <v>0</v>
      </c>
      <c r="BZ408" s="171">
        <f t="shared" si="643"/>
        <v>0</v>
      </c>
      <c r="CA408" s="171">
        <f t="shared" si="643"/>
        <v>0</v>
      </c>
      <c r="CB408" s="171">
        <f t="shared" si="643"/>
        <v>0</v>
      </c>
      <c r="CC408" s="171">
        <f t="shared" si="643"/>
        <v>0</v>
      </c>
      <c r="CD408" s="171">
        <f t="shared" si="643"/>
        <v>0</v>
      </c>
      <c r="CE408" s="171">
        <f t="shared" si="643"/>
        <v>0</v>
      </c>
      <c r="CF408" s="171">
        <f t="shared" si="643"/>
        <v>0</v>
      </c>
      <c r="CG408" s="171">
        <f t="shared" si="643"/>
        <v>0</v>
      </c>
      <c r="CH408" s="171">
        <f t="shared" si="643"/>
        <v>0</v>
      </c>
      <c r="CI408" s="171">
        <f t="shared" si="643"/>
        <v>0</v>
      </c>
      <c r="CJ408" s="243"/>
      <c r="CK408" s="171">
        <f t="shared" si="565"/>
        <v>0</v>
      </c>
      <c r="CL408" s="171">
        <f t="shared" si="566"/>
        <v>0</v>
      </c>
      <c r="CM408" s="171">
        <f t="shared" si="567"/>
        <v>0</v>
      </c>
      <c r="CN408" s="171">
        <f t="shared" si="568"/>
        <v>0</v>
      </c>
      <c r="CO408" s="171">
        <f t="shared" si="569"/>
        <v>0</v>
      </c>
      <c r="CP408" s="171">
        <f t="shared" si="570"/>
        <v>0</v>
      </c>
      <c r="CQ408" s="171">
        <f t="shared" si="571"/>
        <v>0</v>
      </c>
      <c r="CR408" s="171">
        <f t="shared" si="572"/>
        <v>0</v>
      </c>
      <c r="CS408" s="171">
        <f t="shared" si="573"/>
        <v>0</v>
      </c>
      <c r="CT408" s="171">
        <f t="shared" si="574"/>
        <v>0</v>
      </c>
      <c r="CU408" s="171">
        <f t="shared" si="575"/>
        <v>0</v>
      </c>
      <c r="CV408" s="171">
        <f t="shared" si="576"/>
        <v>0</v>
      </c>
      <c r="CW408" s="171">
        <f t="shared" si="577"/>
        <v>0</v>
      </c>
      <c r="CX408" s="171">
        <f t="shared" si="578"/>
        <v>0</v>
      </c>
      <c r="CY408" s="171">
        <f t="shared" ca="1" si="579"/>
        <v>0</v>
      </c>
      <c r="CZ408" s="171">
        <f t="shared" ca="1" si="580"/>
        <v>0</v>
      </c>
      <c r="DA408" s="171">
        <f t="shared" ca="1" si="581"/>
        <v>0</v>
      </c>
      <c r="DB408" s="171">
        <f t="shared" ca="1" si="582"/>
        <v>0</v>
      </c>
      <c r="DC408" s="171">
        <f t="shared" ca="1" si="583"/>
        <v>0</v>
      </c>
      <c r="DD408" s="171">
        <f t="shared" ca="1" si="584"/>
        <v>0</v>
      </c>
      <c r="DE408" s="171">
        <f t="shared" ca="1" si="585"/>
        <v>0</v>
      </c>
      <c r="DF408" s="171">
        <f t="shared" ca="1" si="586"/>
        <v>0</v>
      </c>
      <c r="DG408" s="171">
        <f t="shared" ca="1" si="587"/>
        <v>0</v>
      </c>
      <c r="DH408" s="171">
        <f t="shared" ca="1" si="588"/>
        <v>0</v>
      </c>
      <c r="DI408" s="171">
        <f t="shared" ca="1" si="589"/>
        <v>0</v>
      </c>
      <c r="DJ408" s="171">
        <f t="shared" ca="1" si="590"/>
        <v>0</v>
      </c>
      <c r="DK408" s="171">
        <f t="shared" ca="1" si="591"/>
        <v>0</v>
      </c>
      <c r="DL408" s="171">
        <f t="shared" ca="1" si="592"/>
        <v>0</v>
      </c>
      <c r="DM408" s="171">
        <f t="shared" ca="1" si="593"/>
        <v>0</v>
      </c>
      <c r="DN408" s="171">
        <f t="shared" ca="1" si="594"/>
        <v>0</v>
      </c>
      <c r="DO408" s="171">
        <f t="shared" ca="1" si="595"/>
        <v>0</v>
      </c>
      <c r="DP408" s="171">
        <f t="shared" ca="1" si="596"/>
        <v>0</v>
      </c>
      <c r="DQ408" s="171">
        <f t="shared" ca="1" si="597"/>
        <v>0</v>
      </c>
      <c r="DR408" s="171">
        <f t="shared" ca="1" si="598"/>
        <v>0</v>
      </c>
      <c r="DS408" s="171">
        <f t="shared" ca="1" si="599"/>
        <v>0</v>
      </c>
      <c r="DT408" s="171">
        <f t="shared" ca="1" si="600"/>
        <v>0</v>
      </c>
      <c r="DU408" s="171">
        <f t="shared" ca="1" si="601"/>
        <v>0</v>
      </c>
      <c r="DV408" s="171">
        <f t="shared" ca="1" si="602"/>
        <v>0</v>
      </c>
      <c r="DW408" s="171">
        <f t="shared" ca="1" si="603"/>
        <v>0</v>
      </c>
      <c r="DX408" s="171">
        <f t="shared" ca="1" si="604"/>
        <v>0</v>
      </c>
      <c r="DY408" s="171">
        <f t="shared" ca="1" si="605"/>
        <v>0</v>
      </c>
      <c r="DZ408" s="171">
        <f t="shared" ca="1" si="606"/>
        <v>0</v>
      </c>
      <c r="EA408" s="171">
        <f t="shared" ca="1" si="607"/>
        <v>0</v>
      </c>
      <c r="EB408" s="171">
        <f t="shared" ca="1" si="608"/>
        <v>0</v>
      </c>
      <c r="EC408" s="171">
        <f t="shared" ca="1" si="609"/>
        <v>0</v>
      </c>
      <c r="ED408" s="171">
        <f t="shared" ca="1" si="610"/>
        <v>0</v>
      </c>
      <c r="EE408" s="171">
        <f t="shared" ca="1" si="611"/>
        <v>0</v>
      </c>
      <c r="EF408" s="171">
        <f t="shared" ca="1" si="612"/>
        <v>0</v>
      </c>
      <c r="EG408" s="171">
        <f t="shared" ca="1" si="613"/>
        <v>0</v>
      </c>
      <c r="EH408" s="171">
        <f t="shared" ca="1" si="614"/>
        <v>0</v>
      </c>
      <c r="EI408" s="171">
        <f t="shared" ca="1" si="615"/>
        <v>0</v>
      </c>
      <c r="EJ408" s="171">
        <f t="shared" ca="1" si="616"/>
        <v>0</v>
      </c>
      <c r="EK408" s="171">
        <f t="shared" ca="1" si="617"/>
        <v>0</v>
      </c>
      <c r="EL408" s="171">
        <f t="shared" ca="1" si="618"/>
        <v>0</v>
      </c>
      <c r="EM408" s="171">
        <f t="shared" ca="1" si="619"/>
        <v>0</v>
      </c>
      <c r="EN408" s="171">
        <f t="shared" ca="1" si="620"/>
        <v>0</v>
      </c>
      <c r="EO408" s="171">
        <f t="shared" ca="1" si="621"/>
        <v>0</v>
      </c>
      <c r="EP408" s="171">
        <f t="shared" ca="1" si="622"/>
        <v>0</v>
      </c>
      <c r="EQ408" s="171">
        <f t="shared" ca="1" si="623"/>
        <v>0</v>
      </c>
      <c r="ER408" s="171">
        <f t="shared" ca="1" si="624"/>
        <v>0</v>
      </c>
      <c r="ES408" s="171">
        <f t="shared" ca="1" si="625"/>
        <v>0</v>
      </c>
    </row>
    <row r="409" spans="3:149">
      <c r="C409" s="214"/>
      <c r="L409" s="163"/>
      <c r="M409" s="164" t="str">
        <f t="shared" si="550"/>
        <v/>
      </c>
      <c r="N409" s="164" t="str">
        <f t="shared" si="551"/>
        <v/>
      </c>
      <c r="O409" s="165" t="str">
        <f t="shared" si="552"/>
        <v/>
      </c>
      <c r="R409" s="168"/>
      <c r="U409" s="171">
        <f t="shared" si="553"/>
        <v>0</v>
      </c>
      <c r="V409" s="171">
        <f t="shared" ca="1" si="554"/>
        <v>0</v>
      </c>
      <c r="W409" s="171">
        <f t="shared" ca="1" si="555"/>
        <v>0</v>
      </c>
      <c r="X409" s="172">
        <f t="shared" si="556"/>
        <v>0</v>
      </c>
      <c r="Y409" s="172" t="str">
        <f t="shared" si="557"/>
        <v/>
      </c>
      <c r="Z409" s="173">
        <f t="shared" si="558"/>
        <v>0</v>
      </c>
      <c r="AA409" s="171">
        <f t="shared" ref="AA409:AJ418" si="644">IFERROR(
    IF($T409="Equity",
        IF(AND(AA$48&gt;=$E409, AA$48&lt;=($E409+$Q409)),
$K409*$P409*(VLOOKUP($C$39,$C$37:$BL$44,MATCH($E409,$C$37:$BL$37,0),FALSE)/VLOOKUP($L409,$C$37:$BL$44,MATCH($E409,$C$37:$BL$37,0),FALSE))*
IF($B$5="Foreign Currency",VLOOKUP($C$38,$C$37:$BL$44,MATCH(AA$48,$C$37:$BL$37,0),FALSE)/VLOOKUP($C$39,$C$37:$BL$44,MATCH(AA$48,$C$37:$BL$37,0),FALSE),1),
0),
    IF($T409="Lump Sum Principal",
        IF(AND(AA$48&gt;=$E409, AA$48&lt;($E409+$Q409)),
$K409*$P409*(VLOOKUP($C$39,$C$37:$BL$44,MATCH($E409,$C$37:$BL$37,0),FALSE)/VLOOKUP($L409,$C$37:$BL$44,MATCH($E409,$C$37:$BL$37,0),FALSE))*
IF($B$5="Foreign Currency",VLOOKUP($C$38,$C$37:$BL$44,MATCH(AA$48,$C$37:$BL$37,0),FALSE)/VLOOKUP($C$39,$C$37:$BL$44,MATCH(AA$48,$C$37:$BL$37,0),FALSE),1),
        IF(AA$48=($E409+$Q409),
$K409*(1+$P409)*(VLOOKUP($C$39,$C$37:$BL$44,MATCH($E409,$C$37:$BL$37,0),FALSE)/VLOOKUP($L409,$C$37:$BL$44,MATCH($E409,$C$37:$BL$37,0),FALSE))*
IF($B$5="Foreign Currency",VLOOKUP($C$38,$C$37:$BL$44,MATCH(AA$48,$C$37:$BL$37,0),FALSE)/VLOOKUP($C$39,$C$37:$BL$44,MATCH(AA$48,$C$37:$BL$37,0),FALSE),1),
0)),
    IF($T409="Lump Sum Principal and Interest",
        IF(AA$48=($E409+$Q409),
$K409*((1+$P409)^$Q409)*(VLOOKUP($C$39,$C$37:$BL$44,MATCH($E409,$C$37:$BL$37,0),FALSE)/VLOOKUP($L409,$C$37:$BL$44,MATCH($E409,$C$37:$BL$37,0),FALSE))*
IF($B$5="Foreign Currency",VLOOKUP($C$38,$C$37:$BL$44,MATCH(AA$48,$C$37:$BL$37,0),FALSE)/VLOOKUP($C$39,$C$37:$BL$44,MATCH(AA$48,$C$37:$BL$37,0),FALSE),1),
0),
    IF($T409="EPP with Grace Years for Principal",
        IF(AND(AA$48&gt;=$E409, AA$48&lt;($E409+$S409)),
$K409*$P409*(VLOOKUP($C$39,$C$37:$BL$44,MATCH($E409,$C$37:$BL$37,0),FALSE)/VLOOKUP($L409,$C$37:$BL$44,MATCH($E409,$C$37:$BL$37,0),FALSE))*
IF($B$5="Foreign Currency",VLOOKUP($C$38,$C$37:$BL$44,MATCH(AA$48,$C$37:$BL$37,0),FALSE)/VLOOKUP($C$39,$C$37:$BL$44,MATCH(AA$48,$C$37:$BL$37,0),FALSE),1),
        IF(AND(AA$48&gt;=($E409+$S409), AA$48&lt;=($E409+$Q409)),
-PMT($P409,($Q409-$S409+1),($K409*(VLOOKUP($C$39,$C$37:$BL$44,MATCH($E409,$C$37:$BL$37,0),FALSE)/VLOOKUP($L409,$C$37:$BL$44,MATCH($E409,$C$37:$BL$37,0),FALSE))*
IF($B$5="Foreign Currency",VLOOKUP($C$38,$C$37:$BL$44,MATCH(AA$48,$C$37:$BL$37,0),FALSE)/VLOOKUP($C$39,$C$37:$BL$44,MATCH(AA$48,$C$37:$BL$37,0),FALSE),1)),0),
0)),
    IF($T409="Equal Principal Payments (EPP)",
        IF(AND(AA$48&gt;=$E409, AA$48&lt;=($E409+$Q409)),
-PMT($P409,($Q409-$S409+1),($K409*(VLOOKUP($C$39,$C$37:$BL$44,MATCH($E409,$C$37:$BL$37,0),FALSE)/VLOOKUP($L409,$C$37:$BL$44,MATCH($E409,$C$37:$BL$37,0),FALSE))*
IF($B$5="Foreign Currency",VLOOKUP($C$38,$C$37:$BL$44,MATCH(AA$48,$C$37:$BL$37,0),FALSE)/VLOOKUP($C$39,$C$37:$BL$44,MATCH(AA$48,$C$37:$BL$37,0),FALSE),1)),0), 0),
    IF($T409="EPP with Grace Years for Principal and on Interest",
        IF(AND(AA$48&gt;=($E409+$S409), AA$48&lt;=($E409+$Q409)),
-PMT($P409,($Q409-$S409+1),($K409*(VLOOKUP($C$39,$C$37:$BL$44,MATCH($E409,$C$37:$BL$37,0),FALSE)/VLOOKUP($L409,$C$37:$BL$44,MATCH($E409,$C$37:$BL$37,0),FALSE))*
IF($B$5="Foreign Currency",VLOOKUP($C$38,$C$37:$BL$44,MATCH(AA$48,$C$37:$BL$37,0),FALSE)/VLOOKUP($C$39,$C$37:$BL$44,MATCH(AA$48,$C$37:$BL$37,0),FALSE),1))*((1+$P409)^$S409),0), 0),
    0)))))),"")</f>
        <v>0</v>
      </c>
      <c r="AB409" s="171">
        <f t="shared" si="644"/>
        <v>0</v>
      </c>
      <c r="AC409" s="171">
        <f t="shared" si="644"/>
        <v>0</v>
      </c>
      <c r="AD409" s="171">
        <f t="shared" si="644"/>
        <v>0</v>
      </c>
      <c r="AE409" s="171">
        <f t="shared" si="644"/>
        <v>0</v>
      </c>
      <c r="AF409" s="171">
        <f t="shared" si="644"/>
        <v>0</v>
      </c>
      <c r="AG409" s="171">
        <f t="shared" si="644"/>
        <v>0</v>
      </c>
      <c r="AH409" s="171">
        <f t="shared" si="644"/>
        <v>0</v>
      </c>
      <c r="AI409" s="171">
        <f t="shared" si="644"/>
        <v>0</v>
      </c>
      <c r="AJ409" s="171">
        <f t="shared" si="644"/>
        <v>0</v>
      </c>
      <c r="AK409" s="171">
        <f t="shared" ref="AK409:AT418" si="645">IFERROR(
    IF($T409="Equity",
        IF(AND(AK$48&gt;=$E409, AK$48&lt;=($E409+$Q409)),
$K409*$P409*(VLOOKUP($C$39,$C$37:$BL$44,MATCH($E409,$C$37:$BL$37,0),FALSE)/VLOOKUP($L409,$C$37:$BL$44,MATCH($E409,$C$37:$BL$37,0),FALSE))*
IF($B$5="Foreign Currency",VLOOKUP($C$38,$C$37:$BL$44,MATCH(AK$48,$C$37:$BL$37,0),FALSE)/VLOOKUP($C$39,$C$37:$BL$44,MATCH(AK$48,$C$37:$BL$37,0),FALSE),1),
0),
    IF($T409="Lump Sum Principal",
        IF(AND(AK$48&gt;=$E409, AK$48&lt;($E409+$Q409)),
$K409*$P409*(VLOOKUP($C$39,$C$37:$BL$44,MATCH($E409,$C$37:$BL$37,0),FALSE)/VLOOKUP($L409,$C$37:$BL$44,MATCH($E409,$C$37:$BL$37,0),FALSE))*
IF($B$5="Foreign Currency",VLOOKUP($C$38,$C$37:$BL$44,MATCH(AK$48,$C$37:$BL$37,0),FALSE)/VLOOKUP($C$39,$C$37:$BL$44,MATCH(AK$48,$C$37:$BL$37,0),FALSE),1),
        IF(AK$48=($E409+$Q409),
$K409*(1+$P409)*(VLOOKUP($C$39,$C$37:$BL$44,MATCH($E409,$C$37:$BL$37,0),FALSE)/VLOOKUP($L409,$C$37:$BL$44,MATCH($E409,$C$37:$BL$37,0),FALSE))*
IF($B$5="Foreign Currency",VLOOKUP($C$38,$C$37:$BL$44,MATCH(AK$48,$C$37:$BL$37,0),FALSE)/VLOOKUP($C$39,$C$37:$BL$44,MATCH(AK$48,$C$37:$BL$37,0),FALSE),1),
0)),
    IF($T409="Lump Sum Principal and Interest",
        IF(AK$48=($E409+$Q409),
$K409*((1+$P409)^$Q409)*(VLOOKUP($C$39,$C$37:$BL$44,MATCH($E409,$C$37:$BL$37,0),FALSE)/VLOOKUP($L409,$C$37:$BL$44,MATCH($E409,$C$37:$BL$37,0),FALSE))*
IF($B$5="Foreign Currency",VLOOKUP($C$38,$C$37:$BL$44,MATCH(AK$48,$C$37:$BL$37,0),FALSE)/VLOOKUP($C$39,$C$37:$BL$44,MATCH(AK$48,$C$37:$BL$37,0),FALSE),1),
0),
    IF($T409="EPP with Grace Years for Principal",
        IF(AND(AK$48&gt;=$E409, AK$48&lt;($E409+$S409)),
$K409*$P409*(VLOOKUP($C$39,$C$37:$BL$44,MATCH($E409,$C$37:$BL$37,0),FALSE)/VLOOKUP($L409,$C$37:$BL$44,MATCH($E409,$C$37:$BL$37,0),FALSE))*
IF($B$5="Foreign Currency",VLOOKUP($C$38,$C$37:$BL$44,MATCH(AK$48,$C$37:$BL$37,0),FALSE)/VLOOKUP($C$39,$C$37:$BL$44,MATCH(AK$48,$C$37:$BL$37,0),FALSE),1),
        IF(AND(AK$48&gt;=($E409+$S409), AK$48&lt;=($E409+$Q409)),
-PMT($P409,($Q409-$S409+1),($K409*(VLOOKUP($C$39,$C$37:$BL$44,MATCH($E409,$C$37:$BL$37,0),FALSE)/VLOOKUP($L409,$C$37:$BL$44,MATCH($E409,$C$37:$BL$37,0),FALSE))*
IF($B$5="Foreign Currency",VLOOKUP($C$38,$C$37:$BL$44,MATCH(AK$48,$C$37:$BL$37,0),FALSE)/VLOOKUP($C$39,$C$37:$BL$44,MATCH(AK$48,$C$37:$BL$37,0),FALSE),1)),0),
0)),
    IF($T409="Equal Principal Payments (EPP)",
        IF(AND(AK$48&gt;=$E409, AK$48&lt;=($E409+$Q409)),
-PMT($P409,($Q409-$S409+1),($K409*(VLOOKUP($C$39,$C$37:$BL$44,MATCH($E409,$C$37:$BL$37,0),FALSE)/VLOOKUP($L409,$C$37:$BL$44,MATCH($E409,$C$37:$BL$37,0),FALSE))*
IF($B$5="Foreign Currency",VLOOKUP($C$38,$C$37:$BL$44,MATCH(AK$48,$C$37:$BL$37,0),FALSE)/VLOOKUP($C$39,$C$37:$BL$44,MATCH(AK$48,$C$37:$BL$37,0),FALSE),1)),0), 0),
    IF($T409="EPP with Grace Years for Principal and on Interest",
        IF(AND(AK$48&gt;=($E409+$S409), AK$48&lt;=($E409+$Q409)),
-PMT($P409,($Q409-$S409+1),($K409*(VLOOKUP($C$39,$C$37:$BL$44,MATCH($E409,$C$37:$BL$37,0),FALSE)/VLOOKUP($L409,$C$37:$BL$44,MATCH($E409,$C$37:$BL$37,0),FALSE))*
IF($B$5="Foreign Currency",VLOOKUP($C$38,$C$37:$BL$44,MATCH(AK$48,$C$37:$BL$37,0),FALSE)/VLOOKUP($C$39,$C$37:$BL$44,MATCH(AK$48,$C$37:$BL$37,0),FALSE),1))*((1+$P409)^$S409),0), 0),
    0)))))),"")</f>
        <v>0</v>
      </c>
      <c r="AL409" s="171">
        <f t="shared" si="645"/>
        <v>0</v>
      </c>
      <c r="AM409" s="171">
        <f t="shared" si="645"/>
        <v>0</v>
      </c>
      <c r="AN409" s="171">
        <f t="shared" si="645"/>
        <v>0</v>
      </c>
      <c r="AO409" s="171">
        <f t="shared" si="645"/>
        <v>0</v>
      </c>
      <c r="AP409" s="171">
        <f t="shared" si="645"/>
        <v>0</v>
      </c>
      <c r="AQ409" s="171">
        <f t="shared" si="645"/>
        <v>0</v>
      </c>
      <c r="AR409" s="171">
        <f t="shared" si="645"/>
        <v>0</v>
      </c>
      <c r="AS409" s="171">
        <f t="shared" si="645"/>
        <v>0</v>
      </c>
      <c r="AT409" s="171">
        <f t="shared" si="645"/>
        <v>0</v>
      </c>
      <c r="AU409" s="171">
        <f t="shared" ref="AU409:BD418" si="646">IFERROR(
    IF($T409="Equity",
        IF(AND(AU$48&gt;=$E409, AU$48&lt;=($E409+$Q409)),
$K409*$P409*(VLOOKUP($C$39,$C$37:$BL$44,MATCH($E409,$C$37:$BL$37,0),FALSE)/VLOOKUP($L409,$C$37:$BL$44,MATCH($E409,$C$37:$BL$37,0),FALSE))*
IF($B$5="Foreign Currency",VLOOKUP($C$38,$C$37:$BL$44,MATCH(AU$48,$C$37:$BL$37,0),FALSE)/VLOOKUP($C$39,$C$37:$BL$44,MATCH(AU$48,$C$37:$BL$37,0),FALSE),1),
0),
    IF($T409="Lump Sum Principal",
        IF(AND(AU$48&gt;=$E409, AU$48&lt;($E409+$Q409)),
$K409*$P409*(VLOOKUP($C$39,$C$37:$BL$44,MATCH($E409,$C$37:$BL$37,0),FALSE)/VLOOKUP($L409,$C$37:$BL$44,MATCH($E409,$C$37:$BL$37,0),FALSE))*
IF($B$5="Foreign Currency",VLOOKUP($C$38,$C$37:$BL$44,MATCH(AU$48,$C$37:$BL$37,0),FALSE)/VLOOKUP($C$39,$C$37:$BL$44,MATCH(AU$48,$C$37:$BL$37,0),FALSE),1),
        IF(AU$48=($E409+$Q409),
$K409*(1+$P409)*(VLOOKUP($C$39,$C$37:$BL$44,MATCH($E409,$C$37:$BL$37,0),FALSE)/VLOOKUP($L409,$C$37:$BL$44,MATCH($E409,$C$37:$BL$37,0),FALSE))*
IF($B$5="Foreign Currency",VLOOKUP($C$38,$C$37:$BL$44,MATCH(AU$48,$C$37:$BL$37,0),FALSE)/VLOOKUP($C$39,$C$37:$BL$44,MATCH(AU$48,$C$37:$BL$37,0),FALSE),1),
0)),
    IF($T409="Lump Sum Principal and Interest",
        IF(AU$48=($E409+$Q409),
$K409*((1+$P409)^$Q409)*(VLOOKUP($C$39,$C$37:$BL$44,MATCH($E409,$C$37:$BL$37,0),FALSE)/VLOOKUP($L409,$C$37:$BL$44,MATCH($E409,$C$37:$BL$37,0),FALSE))*
IF($B$5="Foreign Currency",VLOOKUP($C$38,$C$37:$BL$44,MATCH(AU$48,$C$37:$BL$37,0),FALSE)/VLOOKUP($C$39,$C$37:$BL$44,MATCH(AU$48,$C$37:$BL$37,0),FALSE),1),
0),
    IF($T409="EPP with Grace Years for Principal",
        IF(AND(AU$48&gt;=$E409, AU$48&lt;($E409+$S409)),
$K409*$P409*(VLOOKUP($C$39,$C$37:$BL$44,MATCH($E409,$C$37:$BL$37,0),FALSE)/VLOOKUP($L409,$C$37:$BL$44,MATCH($E409,$C$37:$BL$37,0),FALSE))*
IF($B$5="Foreign Currency",VLOOKUP($C$38,$C$37:$BL$44,MATCH(AU$48,$C$37:$BL$37,0),FALSE)/VLOOKUP($C$39,$C$37:$BL$44,MATCH(AU$48,$C$37:$BL$37,0),FALSE),1),
        IF(AND(AU$48&gt;=($E409+$S409), AU$48&lt;=($E409+$Q409)),
-PMT($P409,($Q409-$S409+1),($K409*(VLOOKUP($C$39,$C$37:$BL$44,MATCH($E409,$C$37:$BL$37,0),FALSE)/VLOOKUP($L409,$C$37:$BL$44,MATCH($E409,$C$37:$BL$37,0),FALSE))*
IF($B$5="Foreign Currency",VLOOKUP($C$38,$C$37:$BL$44,MATCH(AU$48,$C$37:$BL$37,0),FALSE)/VLOOKUP($C$39,$C$37:$BL$44,MATCH(AU$48,$C$37:$BL$37,0),FALSE),1)),0),
0)),
    IF($T409="Equal Principal Payments (EPP)",
        IF(AND(AU$48&gt;=$E409, AU$48&lt;=($E409+$Q409)),
-PMT($P409,($Q409-$S409+1),($K409*(VLOOKUP($C$39,$C$37:$BL$44,MATCH($E409,$C$37:$BL$37,0),FALSE)/VLOOKUP($L409,$C$37:$BL$44,MATCH($E409,$C$37:$BL$37,0),FALSE))*
IF($B$5="Foreign Currency",VLOOKUP($C$38,$C$37:$BL$44,MATCH(AU$48,$C$37:$BL$37,0),FALSE)/VLOOKUP($C$39,$C$37:$BL$44,MATCH(AU$48,$C$37:$BL$37,0),FALSE),1)),0), 0),
    IF($T409="EPP with Grace Years for Principal and on Interest",
        IF(AND(AU$48&gt;=($E409+$S409), AU$48&lt;=($E409+$Q409)),
-PMT($P409,($Q409-$S409+1),($K409*(VLOOKUP($C$39,$C$37:$BL$44,MATCH($E409,$C$37:$BL$37,0),FALSE)/VLOOKUP($L409,$C$37:$BL$44,MATCH($E409,$C$37:$BL$37,0),FALSE))*
IF($B$5="Foreign Currency",VLOOKUP($C$38,$C$37:$BL$44,MATCH(AU$48,$C$37:$BL$37,0),FALSE)/VLOOKUP($C$39,$C$37:$BL$44,MATCH(AU$48,$C$37:$BL$37,0),FALSE),1))*((1+$P409)^$S409),0), 0),
    0)))))),"")</f>
        <v>0</v>
      </c>
      <c r="AV409" s="171">
        <f t="shared" si="646"/>
        <v>0</v>
      </c>
      <c r="AW409" s="171">
        <f t="shared" si="646"/>
        <v>0</v>
      </c>
      <c r="AX409" s="171">
        <f t="shared" si="646"/>
        <v>0</v>
      </c>
      <c r="AY409" s="171">
        <f t="shared" si="646"/>
        <v>0</v>
      </c>
      <c r="AZ409" s="171">
        <f t="shared" si="646"/>
        <v>0</v>
      </c>
      <c r="BA409" s="171">
        <f t="shared" si="646"/>
        <v>0</v>
      </c>
      <c r="BB409" s="171">
        <f t="shared" si="646"/>
        <v>0</v>
      </c>
      <c r="BC409" s="171">
        <f t="shared" si="646"/>
        <v>0</v>
      </c>
      <c r="BD409" s="171">
        <f t="shared" si="646"/>
        <v>0</v>
      </c>
      <c r="BE409" s="171">
        <f t="shared" ref="BE409:BN418" si="647">IFERROR(
    IF($T409="Equity",
        IF(AND(BE$48&gt;=$E409, BE$48&lt;=($E409+$Q409)),
$K409*$P409*(VLOOKUP($C$39,$C$37:$BL$44,MATCH($E409,$C$37:$BL$37,0),FALSE)/VLOOKUP($L409,$C$37:$BL$44,MATCH($E409,$C$37:$BL$37,0),FALSE))*
IF($B$5="Foreign Currency",VLOOKUP($C$38,$C$37:$BL$44,MATCH(BE$48,$C$37:$BL$37,0),FALSE)/VLOOKUP($C$39,$C$37:$BL$44,MATCH(BE$48,$C$37:$BL$37,0),FALSE),1),
0),
    IF($T409="Lump Sum Principal",
        IF(AND(BE$48&gt;=$E409, BE$48&lt;($E409+$Q409)),
$K409*$P409*(VLOOKUP($C$39,$C$37:$BL$44,MATCH($E409,$C$37:$BL$37,0),FALSE)/VLOOKUP($L409,$C$37:$BL$44,MATCH($E409,$C$37:$BL$37,0),FALSE))*
IF($B$5="Foreign Currency",VLOOKUP($C$38,$C$37:$BL$44,MATCH(BE$48,$C$37:$BL$37,0),FALSE)/VLOOKUP($C$39,$C$37:$BL$44,MATCH(BE$48,$C$37:$BL$37,0),FALSE),1),
        IF(BE$48=($E409+$Q409),
$K409*(1+$P409)*(VLOOKUP($C$39,$C$37:$BL$44,MATCH($E409,$C$37:$BL$37,0),FALSE)/VLOOKUP($L409,$C$37:$BL$44,MATCH($E409,$C$37:$BL$37,0),FALSE))*
IF($B$5="Foreign Currency",VLOOKUP($C$38,$C$37:$BL$44,MATCH(BE$48,$C$37:$BL$37,0),FALSE)/VLOOKUP($C$39,$C$37:$BL$44,MATCH(BE$48,$C$37:$BL$37,0),FALSE),1),
0)),
    IF($T409="Lump Sum Principal and Interest",
        IF(BE$48=($E409+$Q409),
$K409*((1+$P409)^$Q409)*(VLOOKUP($C$39,$C$37:$BL$44,MATCH($E409,$C$37:$BL$37,0),FALSE)/VLOOKUP($L409,$C$37:$BL$44,MATCH($E409,$C$37:$BL$37,0),FALSE))*
IF($B$5="Foreign Currency",VLOOKUP($C$38,$C$37:$BL$44,MATCH(BE$48,$C$37:$BL$37,0),FALSE)/VLOOKUP($C$39,$C$37:$BL$44,MATCH(BE$48,$C$37:$BL$37,0),FALSE),1),
0),
    IF($T409="EPP with Grace Years for Principal",
        IF(AND(BE$48&gt;=$E409, BE$48&lt;($E409+$S409)),
$K409*$P409*(VLOOKUP($C$39,$C$37:$BL$44,MATCH($E409,$C$37:$BL$37,0),FALSE)/VLOOKUP($L409,$C$37:$BL$44,MATCH($E409,$C$37:$BL$37,0),FALSE))*
IF($B$5="Foreign Currency",VLOOKUP($C$38,$C$37:$BL$44,MATCH(BE$48,$C$37:$BL$37,0),FALSE)/VLOOKUP($C$39,$C$37:$BL$44,MATCH(BE$48,$C$37:$BL$37,0),FALSE),1),
        IF(AND(BE$48&gt;=($E409+$S409), BE$48&lt;=($E409+$Q409)),
-PMT($P409,($Q409-$S409+1),($K409*(VLOOKUP($C$39,$C$37:$BL$44,MATCH($E409,$C$37:$BL$37,0),FALSE)/VLOOKUP($L409,$C$37:$BL$44,MATCH($E409,$C$37:$BL$37,0),FALSE))*
IF($B$5="Foreign Currency",VLOOKUP($C$38,$C$37:$BL$44,MATCH(BE$48,$C$37:$BL$37,0),FALSE)/VLOOKUP($C$39,$C$37:$BL$44,MATCH(BE$48,$C$37:$BL$37,0),FALSE),1)),0),
0)),
    IF($T409="Equal Principal Payments (EPP)",
        IF(AND(BE$48&gt;=$E409, BE$48&lt;=($E409+$Q409)),
-PMT($P409,($Q409-$S409+1),($K409*(VLOOKUP($C$39,$C$37:$BL$44,MATCH($E409,$C$37:$BL$37,0),FALSE)/VLOOKUP($L409,$C$37:$BL$44,MATCH($E409,$C$37:$BL$37,0),FALSE))*
IF($B$5="Foreign Currency",VLOOKUP($C$38,$C$37:$BL$44,MATCH(BE$48,$C$37:$BL$37,0),FALSE)/VLOOKUP($C$39,$C$37:$BL$44,MATCH(BE$48,$C$37:$BL$37,0),FALSE),1)),0), 0),
    IF($T409="EPP with Grace Years for Principal and on Interest",
        IF(AND(BE$48&gt;=($E409+$S409), BE$48&lt;=($E409+$Q409)),
-PMT($P409,($Q409-$S409+1),($K409*(VLOOKUP($C$39,$C$37:$BL$44,MATCH($E409,$C$37:$BL$37,0),FALSE)/VLOOKUP($L409,$C$37:$BL$44,MATCH($E409,$C$37:$BL$37,0),FALSE))*
IF($B$5="Foreign Currency",VLOOKUP($C$38,$C$37:$BL$44,MATCH(BE$48,$C$37:$BL$37,0),FALSE)/VLOOKUP($C$39,$C$37:$BL$44,MATCH(BE$48,$C$37:$BL$37,0),FALSE),1))*((1+$P409)^$S409),0), 0),
    0)))))),"")</f>
        <v>0</v>
      </c>
      <c r="BF409" s="171">
        <f t="shared" si="647"/>
        <v>0</v>
      </c>
      <c r="BG409" s="171">
        <f t="shared" si="647"/>
        <v>0</v>
      </c>
      <c r="BH409" s="171">
        <f t="shared" si="647"/>
        <v>0</v>
      </c>
      <c r="BI409" s="171">
        <f t="shared" si="647"/>
        <v>0</v>
      </c>
      <c r="BJ409" s="171">
        <f t="shared" si="647"/>
        <v>0</v>
      </c>
      <c r="BK409" s="171">
        <f t="shared" si="647"/>
        <v>0</v>
      </c>
      <c r="BL409" s="171">
        <f t="shared" si="647"/>
        <v>0</v>
      </c>
      <c r="BM409" s="171">
        <f t="shared" si="647"/>
        <v>0</v>
      </c>
      <c r="BN409" s="171">
        <f t="shared" si="647"/>
        <v>0</v>
      </c>
      <c r="BO409" s="171">
        <f t="shared" ref="BO409:BX418" si="648">IFERROR(
    IF($T409="Equity",
        IF(AND(BO$48&gt;=$E409, BO$48&lt;=($E409+$Q409)),
$K409*$P409*(VLOOKUP($C$39,$C$37:$BL$44,MATCH($E409,$C$37:$BL$37,0),FALSE)/VLOOKUP($L409,$C$37:$BL$44,MATCH($E409,$C$37:$BL$37,0),FALSE))*
IF($B$5="Foreign Currency",VLOOKUP($C$38,$C$37:$BL$44,MATCH(BO$48,$C$37:$BL$37,0),FALSE)/VLOOKUP($C$39,$C$37:$BL$44,MATCH(BO$48,$C$37:$BL$37,0),FALSE),1),
0),
    IF($T409="Lump Sum Principal",
        IF(AND(BO$48&gt;=$E409, BO$48&lt;($E409+$Q409)),
$K409*$P409*(VLOOKUP($C$39,$C$37:$BL$44,MATCH($E409,$C$37:$BL$37,0),FALSE)/VLOOKUP($L409,$C$37:$BL$44,MATCH($E409,$C$37:$BL$37,0),FALSE))*
IF($B$5="Foreign Currency",VLOOKUP($C$38,$C$37:$BL$44,MATCH(BO$48,$C$37:$BL$37,0),FALSE)/VLOOKUP($C$39,$C$37:$BL$44,MATCH(BO$48,$C$37:$BL$37,0),FALSE),1),
        IF(BO$48=($E409+$Q409),
$K409*(1+$P409)*(VLOOKUP($C$39,$C$37:$BL$44,MATCH($E409,$C$37:$BL$37,0),FALSE)/VLOOKUP($L409,$C$37:$BL$44,MATCH($E409,$C$37:$BL$37,0),FALSE))*
IF($B$5="Foreign Currency",VLOOKUP($C$38,$C$37:$BL$44,MATCH(BO$48,$C$37:$BL$37,0),FALSE)/VLOOKUP($C$39,$C$37:$BL$44,MATCH(BO$48,$C$37:$BL$37,0),FALSE),1),
0)),
    IF($T409="Lump Sum Principal and Interest",
        IF(BO$48=($E409+$Q409),
$K409*((1+$P409)^$Q409)*(VLOOKUP($C$39,$C$37:$BL$44,MATCH($E409,$C$37:$BL$37,0),FALSE)/VLOOKUP($L409,$C$37:$BL$44,MATCH($E409,$C$37:$BL$37,0),FALSE))*
IF($B$5="Foreign Currency",VLOOKUP($C$38,$C$37:$BL$44,MATCH(BO$48,$C$37:$BL$37,0),FALSE)/VLOOKUP($C$39,$C$37:$BL$44,MATCH(BO$48,$C$37:$BL$37,0),FALSE),1),
0),
    IF($T409="EPP with Grace Years for Principal",
        IF(AND(BO$48&gt;=$E409, BO$48&lt;($E409+$S409)),
$K409*$P409*(VLOOKUP($C$39,$C$37:$BL$44,MATCH($E409,$C$37:$BL$37,0),FALSE)/VLOOKUP($L409,$C$37:$BL$44,MATCH($E409,$C$37:$BL$37,0),FALSE))*
IF($B$5="Foreign Currency",VLOOKUP($C$38,$C$37:$BL$44,MATCH(BO$48,$C$37:$BL$37,0),FALSE)/VLOOKUP($C$39,$C$37:$BL$44,MATCH(BO$48,$C$37:$BL$37,0),FALSE),1),
        IF(AND(BO$48&gt;=($E409+$S409), BO$48&lt;=($E409+$Q409)),
-PMT($P409,($Q409-$S409+1),($K409*(VLOOKUP($C$39,$C$37:$BL$44,MATCH($E409,$C$37:$BL$37,0),FALSE)/VLOOKUP($L409,$C$37:$BL$44,MATCH($E409,$C$37:$BL$37,0),FALSE))*
IF($B$5="Foreign Currency",VLOOKUP($C$38,$C$37:$BL$44,MATCH(BO$48,$C$37:$BL$37,0),FALSE)/VLOOKUP($C$39,$C$37:$BL$44,MATCH(BO$48,$C$37:$BL$37,0),FALSE),1)),0),
0)),
    IF($T409="Equal Principal Payments (EPP)",
        IF(AND(BO$48&gt;=$E409, BO$48&lt;=($E409+$Q409)),
-PMT($P409,($Q409-$S409+1),($K409*(VLOOKUP($C$39,$C$37:$BL$44,MATCH($E409,$C$37:$BL$37,0),FALSE)/VLOOKUP($L409,$C$37:$BL$44,MATCH($E409,$C$37:$BL$37,0),FALSE))*
IF($B$5="Foreign Currency",VLOOKUP($C$38,$C$37:$BL$44,MATCH(BO$48,$C$37:$BL$37,0),FALSE)/VLOOKUP($C$39,$C$37:$BL$44,MATCH(BO$48,$C$37:$BL$37,0),FALSE),1)),0), 0),
    IF($T409="EPP with Grace Years for Principal and on Interest",
        IF(AND(BO$48&gt;=($E409+$S409), BO$48&lt;=($E409+$Q409)),
-PMT($P409,($Q409-$S409+1),($K409*(VLOOKUP($C$39,$C$37:$BL$44,MATCH($E409,$C$37:$BL$37,0),FALSE)/VLOOKUP($L409,$C$37:$BL$44,MATCH($E409,$C$37:$BL$37,0),FALSE))*
IF($B$5="Foreign Currency",VLOOKUP($C$38,$C$37:$BL$44,MATCH(BO$48,$C$37:$BL$37,0),FALSE)/VLOOKUP($C$39,$C$37:$BL$44,MATCH(BO$48,$C$37:$BL$37,0),FALSE),1))*((1+$P409)^$S409),0), 0),
    0)))))),"")</f>
        <v>0</v>
      </c>
      <c r="BP409" s="171">
        <f t="shared" si="648"/>
        <v>0</v>
      </c>
      <c r="BQ409" s="171">
        <f t="shared" si="648"/>
        <v>0</v>
      </c>
      <c r="BR409" s="171">
        <f t="shared" si="648"/>
        <v>0</v>
      </c>
      <c r="BS409" s="171">
        <f t="shared" si="648"/>
        <v>0</v>
      </c>
      <c r="BT409" s="171">
        <f t="shared" si="648"/>
        <v>0</v>
      </c>
      <c r="BU409" s="171">
        <f t="shared" si="648"/>
        <v>0</v>
      </c>
      <c r="BV409" s="171">
        <f t="shared" si="648"/>
        <v>0</v>
      </c>
      <c r="BW409" s="171">
        <f t="shared" si="648"/>
        <v>0</v>
      </c>
      <c r="BX409" s="171">
        <f t="shared" si="648"/>
        <v>0</v>
      </c>
      <c r="BY409" s="171">
        <f t="shared" ref="BY409:CI418" si="649">IFERROR(
    IF($T409="Equity",
        IF(AND(BY$48&gt;=$E409, BY$48&lt;=($E409+$Q409)),
$K409*$P409*(VLOOKUP($C$39,$C$37:$BL$44,MATCH($E409,$C$37:$BL$37,0),FALSE)/VLOOKUP($L409,$C$37:$BL$44,MATCH($E409,$C$37:$BL$37,0),FALSE))*
IF($B$5="Foreign Currency",VLOOKUP($C$38,$C$37:$BL$44,MATCH(BY$48,$C$37:$BL$37,0),FALSE)/VLOOKUP($C$39,$C$37:$BL$44,MATCH(BY$48,$C$37:$BL$37,0),FALSE),1),
0),
    IF($T409="Lump Sum Principal",
        IF(AND(BY$48&gt;=$E409, BY$48&lt;($E409+$Q409)),
$K409*$P409*(VLOOKUP($C$39,$C$37:$BL$44,MATCH($E409,$C$37:$BL$37,0),FALSE)/VLOOKUP($L409,$C$37:$BL$44,MATCH($E409,$C$37:$BL$37,0),FALSE))*
IF($B$5="Foreign Currency",VLOOKUP($C$38,$C$37:$BL$44,MATCH(BY$48,$C$37:$BL$37,0),FALSE)/VLOOKUP($C$39,$C$37:$BL$44,MATCH(BY$48,$C$37:$BL$37,0),FALSE),1),
        IF(BY$48=($E409+$Q409),
$K409*(1+$P409)*(VLOOKUP($C$39,$C$37:$BL$44,MATCH($E409,$C$37:$BL$37,0),FALSE)/VLOOKUP($L409,$C$37:$BL$44,MATCH($E409,$C$37:$BL$37,0),FALSE))*
IF($B$5="Foreign Currency",VLOOKUP($C$38,$C$37:$BL$44,MATCH(BY$48,$C$37:$BL$37,0),FALSE)/VLOOKUP($C$39,$C$37:$BL$44,MATCH(BY$48,$C$37:$BL$37,0),FALSE),1),
0)),
    IF($T409="Lump Sum Principal and Interest",
        IF(BY$48=($E409+$Q409),
$K409*((1+$P409)^$Q409)*(VLOOKUP($C$39,$C$37:$BL$44,MATCH($E409,$C$37:$BL$37,0),FALSE)/VLOOKUP($L409,$C$37:$BL$44,MATCH($E409,$C$37:$BL$37,0),FALSE))*
IF($B$5="Foreign Currency",VLOOKUP($C$38,$C$37:$BL$44,MATCH(BY$48,$C$37:$BL$37,0),FALSE)/VLOOKUP($C$39,$C$37:$BL$44,MATCH(BY$48,$C$37:$BL$37,0),FALSE),1),
0),
    IF($T409="EPP with Grace Years for Principal",
        IF(AND(BY$48&gt;=$E409, BY$48&lt;($E409+$S409)),
$K409*$P409*(VLOOKUP($C$39,$C$37:$BL$44,MATCH($E409,$C$37:$BL$37,0),FALSE)/VLOOKUP($L409,$C$37:$BL$44,MATCH($E409,$C$37:$BL$37,0),FALSE))*
IF($B$5="Foreign Currency",VLOOKUP($C$38,$C$37:$BL$44,MATCH(BY$48,$C$37:$BL$37,0),FALSE)/VLOOKUP($C$39,$C$37:$BL$44,MATCH(BY$48,$C$37:$BL$37,0),FALSE),1),
        IF(AND(BY$48&gt;=($E409+$S409), BY$48&lt;=($E409+$Q409)),
-PMT($P409,($Q409-$S409+1),($K409*(VLOOKUP($C$39,$C$37:$BL$44,MATCH($E409,$C$37:$BL$37,0),FALSE)/VLOOKUP($L409,$C$37:$BL$44,MATCH($E409,$C$37:$BL$37,0),FALSE))*
IF($B$5="Foreign Currency",VLOOKUP($C$38,$C$37:$BL$44,MATCH(BY$48,$C$37:$BL$37,0),FALSE)/VLOOKUP($C$39,$C$37:$BL$44,MATCH(BY$48,$C$37:$BL$37,0),FALSE),1)),0),
0)),
    IF($T409="Equal Principal Payments (EPP)",
        IF(AND(BY$48&gt;=$E409, BY$48&lt;=($E409+$Q409)),
-PMT($P409,($Q409-$S409+1),($K409*(VLOOKUP($C$39,$C$37:$BL$44,MATCH($E409,$C$37:$BL$37,0),FALSE)/VLOOKUP($L409,$C$37:$BL$44,MATCH($E409,$C$37:$BL$37,0),FALSE))*
IF($B$5="Foreign Currency",VLOOKUP($C$38,$C$37:$BL$44,MATCH(BY$48,$C$37:$BL$37,0),FALSE)/VLOOKUP($C$39,$C$37:$BL$44,MATCH(BY$48,$C$37:$BL$37,0),FALSE),1)),0), 0),
    IF($T409="EPP with Grace Years for Principal and on Interest",
        IF(AND(BY$48&gt;=($E409+$S409), BY$48&lt;=($E409+$Q409)),
-PMT($P409,($Q409-$S409+1),($K409*(VLOOKUP($C$39,$C$37:$BL$44,MATCH($E409,$C$37:$BL$37,0),FALSE)/VLOOKUP($L409,$C$37:$BL$44,MATCH($E409,$C$37:$BL$37,0),FALSE))*
IF($B$5="Foreign Currency",VLOOKUP($C$38,$C$37:$BL$44,MATCH(BY$48,$C$37:$BL$37,0),FALSE)/VLOOKUP($C$39,$C$37:$BL$44,MATCH(BY$48,$C$37:$BL$37,0),FALSE),1))*((1+$P409)^$S409),0), 0),
    0)))))),"")</f>
        <v>0</v>
      </c>
      <c r="BZ409" s="171">
        <f t="shared" si="649"/>
        <v>0</v>
      </c>
      <c r="CA409" s="171">
        <f t="shared" si="649"/>
        <v>0</v>
      </c>
      <c r="CB409" s="171">
        <f t="shared" si="649"/>
        <v>0</v>
      </c>
      <c r="CC409" s="171">
        <f t="shared" si="649"/>
        <v>0</v>
      </c>
      <c r="CD409" s="171">
        <f t="shared" si="649"/>
        <v>0</v>
      </c>
      <c r="CE409" s="171">
        <f t="shared" si="649"/>
        <v>0</v>
      </c>
      <c r="CF409" s="171">
        <f t="shared" si="649"/>
        <v>0</v>
      </c>
      <c r="CG409" s="171">
        <f t="shared" si="649"/>
        <v>0</v>
      </c>
      <c r="CH409" s="171">
        <f t="shared" si="649"/>
        <v>0</v>
      </c>
      <c r="CI409" s="171">
        <f t="shared" si="649"/>
        <v>0</v>
      </c>
      <c r="CJ409" s="243"/>
      <c r="CK409" s="171">
        <f t="shared" si="565"/>
        <v>0</v>
      </c>
      <c r="CL409" s="171">
        <f t="shared" si="566"/>
        <v>0</v>
      </c>
      <c r="CM409" s="171">
        <f t="shared" si="567"/>
        <v>0</v>
      </c>
      <c r="CN409" s="171">
        <f t="shared" si="568"/>
        <v>0</v>
      </c>
      <c r="CO409" s="171">
        <f t="shared" si="569"/>
        <v>0</v>
      </c>
      <c r="CP409" s="171">
        <f t="shared" si="570"/>
        <v>0</v>
      </c>
      <c r="CQ409" s="171">
        <f t="shared" si="571"/>
        <v>0</v>
      </c>
      <c r="CR409" s="171">
        <f t="shared" si="572"/>
        <v>0</v>
      </c>
      <c r="CS409" s="171">
        <f t="shared" si="573"/>
        <v>0</v>
      </c>
      <c r="CT409" s="171">
        <f t="shared" si="574"/>
        <v>0</v>
      </c>
      <c r="CU409" s="171">
        <f t="shared" si="575"/>
        <v>0</v>
      </c>
      <c r="CV409" s="171">
        <f t="shared" si="576"/>
        <v>0</v>
      </c>
      <c r="CW409" s="171">
        <f t="shared" si="577"/>
        <v>0</v>
      </c>
      <c r="CX409" s="171">
        <f t="shared" si="578"/>
        <v>0</v>
      </c>
      <c r="CY409" s="171">
        <f t="shared" ca="1" si="579"/>
        <v>0</v>
      </c>
      <c r="CZ409" s="171">
        <f t="shared" ca="1" si="580"/>
        <v>0</v>
      </c>
      <c r="DA409" s="171">
        <f t="shared" ca="1" si="581"/>
        <v>0</v>
      </c>
      <c r="DB409" s="171">
        <f t="shared" ca="1" si="582"/>
        <v>0</v>
      </c>
      <c r="DC409" s="171">
        <f t="shared" ca="1" si="583"/>
        <v>0</v>
      </c>
      <c r="DD409" s="171">
        <f t="shared" ca="1" si="584"/>
        <v>0</v>
      </c>
      <c r="DE409" s="171">
        <f t="shared" ca="1" si="585"/>
        <v>0</v>
      </c>
      <c r="DF409" s="171">
        <f t="shared" ca="1" si="586"/>
        <v>0</v>
      </c>
      <c r="DG409" s="171">
        <f t="shared" ca="1" si="587"/>
        <v>0</v>
      </c>
      <c r="DH409" s="171">
        <f t="shared" ca="1" si="588"/>
        <v>0</v>
      </c>
      <c r="DI409" s="171">
        <f t="shared" ca="1" si="589"/>
        <v>0</v>
      </c>
      <c r="DJ409" s="171">
        <f t="shared" ca="1" si="590"/>
        <v>0</v>
      </c>
      <c r="DK409" s="171">
        <f t="shared" ca="1" si="591"/>
        <v>0</v>
      </c>
      <c r="DL409" s="171">
        <f t="shared" ca="1" si="592"/>
        <v>0</v>
      </c>
      <c r="DM409" s="171">
        <f t="shared" ca="1" si="593"/>
        <v>0</v>
      </c>
      <c r="DN409" s="171">
        <f t="shared" ca="1" si="594"/>
        <v>0</v>
      </c>
      <c r="DO409" s="171">
        <f t="shared" ca="1" si="595"/>
        <v>0</v>
      </c>
      <c r="DP409" s="171">
        <f t="shared" ca="1" si="596"/>
        <v>0</v>
      </c>
      <c r="DQ409" s="171">
        <f t="shared" ca="1" si="597"/>
        <v>0</v>
      </c>
      <c r="DR409" s="171">
        <f t="shared" ca="1" si="598"/>
        <v>0</v>
      </c>
      <c r="DS409" s="171">
        <f t="shared" ca="1" si="599"/>
        <v>0</v>
      </c>
      <c r="DT409" s="171">
        <f t="shared" ca="1" si="600"/>
        <v>0</v>
      </c>
      <c r="DU409" s="171">
        <f t="shared" ca="1" si="601"/>
        <v>0</v>
      </c>
      <c r="DV409" s="171">
        <f t="shared" ca="1" si="602"/>
        <v>0</v>
      </c>
      <c r="DW409" s="171">
        <f t="shared" ca="1" si="603"/>
        <v>0</v>
      </c>
      <c r="DX409" s="171">
        <f t="shared" ca="1" si="604"/>
        <v>0</v>
      </c>
      <c r="DY409" s="171">
        <f t="shared" ca="1" si="605"/>
        <v>0</v>
      </c>
      <c r="DZ409" s="171">
        <f t="shared" ca="1" si="606"/>
        <v>0</v>
      </c>
      <c r="EA409" s="171">
        <f t="shared" ca="1" si="607"/>
        <v>0</v>
      </c>
      <c r="EB409" s="171">
        <f t="shared" ca="1" si="608"/>
        <v>0</v>
      </c>
      <c r="EC409" s="171">
        <f t="shared" ca="1" si="609"/>
        <v>0</v>
      </c>
      <c r="ED409" s="171">
        <f t="shared" ca="1" si="610"/>
        <v>0</v>
      </c>
      <c r="EE409" s="171">
        <f t="shared" ca="1" si="611"/>
        <v>0</v>
      </c>
      <c r="EF409" s="171">
        <f t="shared" ca="1" si="612"/>
        <v>0</v>
      </c>
      <c r="EG409" s="171">
        <f t="shared" ca="1" si="613"/>
        <v>0</v>
      </c>
      <c r="EH409" s="171">
        <f t="shared" ca="1" si="614"/>
        <v>0</v>
      </c>
      <c r="EI409" s="171">
        <f t="shared" ca="1" si="615"/>
        <v>0</v>
      </c>
      <c r="EJ409" s="171">
        <f t="shared" ca="1" si="616"/>
        <v>0</v>
      </c>
      <c r="EK409" s="171">
        <f t="shared" ca="1" si="617"/>
        <v>0</v>
      </c>
      <c r="EL409" s="171">
        <f t="shared" ca="1" si="618"/>
        <v>0</v>
      </c>
      <c r="EM409" s="171">
        <f t="shared" ca="1" si="619"/>
        <v>0</v>
      </c>
      <c r="EN409" s="171">
        <f t="shared" ca="1" si="620"/>
        <v>0</v>
      </c>
      <c r="EO409" s="171">
        <f t="shared" ca="1" si="621"/>
        <v>0</v>
      </c>
      <c r="EP409" s="171">
        <f t="shared" ca="1" si="622"/>
        <v>0</v>
      </c>
      <c r="EQ409" s="171">
        <f t="shared" ca="1" si="623"/>
        <v>0</v>
      </c>
      <c r="ER409" s="171">
        <f t="shared" ca="1" si="624"/>
        <v>0</v>
      </c>
      <c r="ES409" s="171">
        <f t="shared" ca="1" si="625"/>
        <v>0</v>
      </c>
    </row>
    <row r="410" spans="3:149">
      <c r="C410" s="214"/>
      <c r="L410" s="163"/>
      <c r="M410" s="164" t="str">
        <f t="shared" si="550"/>
        <v/>
      </c>
      <c r="N410" s="164" t="str">
        <f t="shared" si="551"/>
        <v/>
      </c>
      <c r="O410" s="165" t="str">
        <f t="shared" si="552"/>
        <v/>
      </c>
      <c r="R410" s="168"/>
      <c r="U410" s="171">
        <f t="shared" si="553"/>
        <v>0</v>
      </c>
      <c r="V410" s="171">
        <f t="shared" ca="1" si="554"/>
        <v>0</v>
      </c>
      <c r="W410" s="171">
        <f t="shared" ca="1" si="555"/>
        <v>0</v>
      </c>
      <c r="X410" s="172">
        <f t="shared" si="556"/>
        <v>0</v>
      </c>
      <c r="Y410" s="172" t="str">
        <f t="shared" si="557"/>
        <v/>
      </c>
      <c r="Z410" s="173">
        <f t="shared" si="558"/>
        <v>0</v>
      </c>
      <c r="AA410" s="171">
        <f t="shared" si="644"/>
        <v>0</v>
      </c>
      <c r="AB410" s="171">
        <f t="shared" si="644"/>
        <v>0</v>
      </c>
      <c r="AC410" s="171">
        <f t="shared" si="644"/>
        <v>0</v>
      </c>
      <c r="AD410" s="171">
        <f t="shared" si="644"/>
        <v>0</v>
      </c>
      <c r="AE410" s="171">
        <f t="shared" si="644"/>
        <v>0</v>
      </c>
      <c r="AF410" s="171">
        <f t="shared" si="644"/>
        <v>0</v>
      </c>
      <c r="AG410" s="171">
        <f t="shared" si="644"/>
        <v>0</v>
      </c>
      <c r="AH410" s="171">
        <f t="shared" si="644"/>
        <v>0</v>
      </c>
      <c r="AI410" s="171">
        <f t="shared" si="644"/>
        <v>0</v>
      </c>
      <c r="AJ410" s="171">
        <f t="shared" si="644"/>
        <v>0</v>
      </c>
      <c r="AK410" s="171">
        <f t="shared" si="645"/>
        <v>0</v>
      </c>
      <c r="AL410" s="171">
        <f t="shared" si="645"/>
        <v>0</v>
      </c>
      <c r="AM410" s="171">
        <f t="shared" si="645"/>
        <v>0</v>
      </c>
      <c r="AN410" s="171">
        <f t="shared" si="645"/>
        <v>0</v>
      </c>
      <c r="AO410" s="171">
        <f t="shared" si="645"/>
        <v>0</v>
      </c>
      <c r="AP410" s="171">
        <f t="shared" si="645"/>
        <v>0</v>
      </c>
      <c r="AQ410" s="171">
        <f t="shared" si="645"/>
        <v>0</v>
      </c>
      <c r="AR410" s="171">
        <f t="shared" si="645"/>
        <v>0</v>
      </c>
      <c r="AS410" s="171">
        <f t="shared" si="645"/>
        <v>0</v>
      </c>
      <c r="AT410" s="171">
        <f t="shared" si="645"/>
        <v>0</v>
      </c>
      <c r="AU410" s="171">
        <f t="shared" si="646"/>
        <v>0</v>
      </c>
      <c r="AV410" s="171">
        <f t="shared" si="646"/>
        <v>0</v>
      </c>
      <c r="AW410" s="171">
        <f t="shared" si="646"/>
        <v>0</v>
      </c>
      <c r="AX410" s="171">
        <f t="shared" si="646"/>
        <v>0</v>
      </c>
      <c r="AY410" s="171">
        <f t="shared" si="646"/>
        <v>0</v>
      </c>
      <c r="AZ410" s="171">
        <f t="shared" si="646"/>
        <v>0</v>
      </c>
      <c r="BA410" s="171">
        <f t="shared" si="646"/>
        <v>0</v>
      </c>
      <c r="BB410" s="171">
        <f t="shared" si="646"/>
        <v>0</v>
      </c>
      <c r="BC410" s="171">
        <f t="shared" si="646"/>
        <v>0</v>
      </c>
      <c r="BD410" s="171">
        <f t="shared" si="646"/>
        <v>0</v>
      </c>
      <c r="BE410" s="171">
        <f t="shared" si="647"/>
        <v>0</v>
      </c>
      <c r="BF410" s="171">
        <f t="shared" si="647"/>
        <v>0</v>
      </c>
      <c r="BG410" s="171">
        <f t="shared" si="647"/>
        <v>0</v>
      </c>
      <c r="BH410" s="171">
        <f t="shared" si="647"/>
        <v>0</v>
      </c>
      <c r="BI410" s="171">
        <f t="shared" si="647"/>
        <v>0</v>
      </c>
      <c r="BJ410" s="171">
        <f t="shared" si="647"/>
        <v>0</v>
      </c>
      <c r="BK410" s="171">
        <f t="shared" si="647"/>
        <v>0</v>
      </c>
      <c r="BL410" s="171">
        <f t="shared" si="647"/>
        <v>0</v>
      </c>
      <c r="BM410" s="171">
        <f t="shared" si="647"/>
        <v>0</v>
      </c>
      <c r="BN410" s="171">
        <f t="shared" si="647"/>
        <v>0</v>
      </c>
      <c r="BO410" s="171">
        <f t="shared" si="648"/>
        <v>0</v>
      </c>
      <c r="BP410" s="171">
        <f t="shared" si="648"/>
        <v>0</v>
      </c>
      <c r="BQ410" s="171">
        <f t="shared" si="648"/>
        <v>0</v>
      </c>
      <c r="BR410" s="171">
        <f t="shared" si="648"/>
        <v>0</v>
      </c>
      <c r="BS410" s="171">
        <f t="shared" si="648"/>
        <v>0</v>
      </c>
      <c r="BT410" s="171">
        <f t="shared" si="648"/>
        <v>0</v>
      </c>
      <c r="BU410" s="171">
        <f t="shared" si="648"/>
        <v>0</v>
      </c>
      <c r="BV410" s="171">
        <f t="shared" si="648"/>
        <v>0</v>
      </c>
      <c r="BW410" s="171">
        <f t="shared" si="648"/>
        <v>0</v>
      </c>
      <c r="BX410" s="171">
        <f t="shared" si="648"/>
        <v>0</v>
      </c>
      <c r="BY410" s="171">
        <f t="shared" si="649"/>
        <v>0</v>
      </c>
      <c r="BZ410" s="171">
        <f t="shared" si="649"/>
        <v>0</v>
      </c>
      <c r="CA410" s="171">
        <f t="shared" si="649"/>
        <v>0</v>
      </c>
      <c r="CB410" s="171">
        <f t="shared" si="649"/>
        <v>0</v>
      </c>
      <c r="CC410" s="171">
        <f t="shared" si="649"/>
        <v>0</v>
      </c>
      <c r="CD410" s="171">
        <f t="shared" si="649"/>
        <v>0</v>
      </c>
      <c r="CE410" s="171">
        <f t="shared" si="649"/>
        <v>0</v>
      </c>
      <c r="CF410" s="171">
        <f t="shared" si="649"/>
        <v>0</v>
      </c>
      <c r="CG410" s="171">
        <f t="shared" si="649"/>
        <v>0</v>
      </c>
      <c r="CH410" s="171">
        <f t="shared" si="649"/>
        <v>0</v>
      </c>
      <c r="CI410" s="171">
        <f t="shared" si="649"/>
        <v>0</v>
      </c>
      <c r="CJ410" s="243"/>
      <c r="CK410" s="171">
        <f t="shared" si="565"/>
        <v>0</v>
      </c>
      <c r="CL410" s="171">
        <f t="shared" si="566"/>
        <v>0</v>
      </c>
      <c r="CM410" s="171">
        <f t="shared" si="567"/>
        <v>0</v>
      </c>
      <c r="CN410" s="171">
        <f t="shared" si="568"/>
        <v>0</v>
      </c>
      <c r="CO410" s="171">
        <f t="shared" si="569"/>
        <v>0</v>
      </c>
      <c r="CP410" s="171">
        <f t="shared" si="570"/>
        <v>0</v>
      </c>
      <c r="CQ410" s="171">
        <f t="shared" si="571"/>
        <v>0</v>
      </c>
      <c r="CR410" s="171">
        <f t="shared" si="572"/>
        <v>0</v>
      </c>
      <c r="CS410" s="171">
        <f t="shared" si="573"/>
        <v>0</v>
      </c>
      <c r="CT410" s="171">
        <f t="shared" si="574"/>
        <v>0</v>
      </c>
      <c r="CU410" s="171">
        <f t="shared" si="575"/>
        <v>0</v>
      </c>
      <c r="CV410" s="171">
        <f t="shared" si="576"/>
        <v>0</v>
      </c>
      <c r="CW410" s="171">
        <f t="shared" si="577"/>
        <v>0</v>
      </c>
      <c r="CX410" s="171">
        <f t="shared" si="578"/>
        <v>0</v>
      </c>
      <c r="CY410" s="171">
        <f t="shared" ca="1" si="579"/>
        <v>0</v>
      </c>
      <c r="CZ410" s="171">
        <f t="shared" ca="1" si="580"/>
        <v>0</v>
      </c>
      <c r="DA410" s="171">
        <f t="shared" ca="1" si="581"/>
        <v>0</v>
      </c>
      <c r="DB410" s="171">
        <f t="shared" ca="1" si="582"/>
        <v>0</v>
      </c>
      <c r="DC410" s="171">
        <f t="shared" ca="1" si="583"/>
        <v>0</v>
      </c>
      <c r="DD410" s="171">
        <f t="shared" ca="1" si="584"/>
        <v>0</v>
      </c>
      <c r="DE410" s="171">
        <f t="shared" ca="1" si="585"/>
        <v>0</v>
      </c>
      <c r="DF410" s="171">
        <f t="shared" ca="1" si="586"/>
        <v>0</v>
      </c>
      <c r="DG410" s="171">
        <f t="shared" ca="1" si="587"/>
        <v>0</v>
      </c>
      <c r="DH410" s="171">
        <f t="shared" ca="1" si="588"/>
        <v>0</v>
      </c>
      <c r="DI410" s="171">
        <f t="shared" ca="1" si="589"/>
        <v>0</v>
      </c>
      <c r="DJ410" s="171">
        <f t="shared" ca="1" si="590"/>
        <v>0</v>
      </c>
      <c r="DK410" s="171">
        <f t="shared" ca="1" si="591"/>
        <v>0</v>
      </c>
      <c r="DL410" s="171">
        <f t="shared" ca="1" si="592"/>
        <v>0</v>
      </c>
      <c r="DM410" s="171">
        <f t="shared" ca="1" si="593"/>
        <v>0</v>
      </c>
      <c r="DN410" s="171">
        <f t="shared" ca="1" si="594"/>
        <v>0</v>
      </c>
      <c r="DO410" s="171">
        <f t="shared" ca="1" si="595"/>
        <v>0</v>
      </c>
      <c r="DP410" s="171">
        <f t="shared" ca="1" si="596"/>
        <v>0</v>
      </c>
      <c r="DQ410" s="171">
        <f t="shared" ca="1" si="597"/>
        <v>0</v>
      </c>
      <c r="DR410" s="171">
        <f t="shared" ca="1" si="598"/>
        <v>0</v>
      </c>
      <c r="DS410" s="171">
        <f t="shared" ca="1" si="599"/>
        <v>0</v>
      </c>
      <c r="DT410" s="171">
        <f t="shared" ca="1" si="600"/>
        <v>0</v>
      </c>
      <c r="DU410" s="171">
        <f t="shared" ca="1" si="601"/>
        <v>0</v>
      </c>
      <c r="DV410" s="171">
        <f t="shared" ca="1" si="602"/>
        <v>0</v>
      </c>
      <c r="DW410" s="171">
        <f t="shared" ca="1" si="603"/>
        <v>0</v>
      </c>
      <c r="DX410" s="171">
        <f t="shared" ca="1" si="604"/>
        <v>0</v>
      </c>
      <c r="DY410" s="171">
        <f t="shared" ca="1" si="605"/>
        <v>0</v>
      </c>
      <c r="DZ410" s="171">
        <f t="shared" ca="1" si="606"/>
        <v>0</v>
      </c>
      <c r="EA410" s="171">
        <f t="shared" ca="1" si="607"/>
        <v>0</v>
      </c>
      <c r="EB410" s="171">
        <f t="shared" ca="1" si="608"/>
        <v>0</v>
      </c>
      <c r="EC410" s="171">
        <f t="shared" ca="1" si="609"/>
        <v>0</v>
      </c>
      <c r="ED410" s="171">
        <f t="shared" ca="1" si="610"/>
        <v>0</v>
      </c>
      <c r="EE410" s="171">
        <f t="shared" ca="1" si="611"/>
        <v>0</v>
      </c>
      <c r="EF410" s="171">
        <f t="shared" ca="1" si="612"/>
        <v>0</v>
      </c>
      <c r="EG410" s="171">
        <f t="shared" ca="1" si="613"/>
        <v>0</v>
      </c>
      <c r="EH410" s="171">
        <f t="shared" ca="1" si="614"/>
        <v>0</v>
      </c>
      <c r="EI410" s="171">
        <f t="shared" ca="1" si="615"/>
        <v>0</v>
      </c>
      <c r="EJ410" s="171">
        <f t="shared" ca="1" si="616"/>
        <v>0</v>
      </c>
      <c r="EK410" s="171">
        <f t="shared" ca="1" si="617"/>
        <v>0</v>
      </c>
      <c r="EL410" s="171">
        <f t="shared" ca="1" si="618"/>
        <v>0</v>
      </c>
      <c r="EM410" s="171">
        <f t="shared" ca="1" si="619"/>
        <v>0</v>
      </c>
      <c r="EN410" s="171">
        <f t="shared" ca="1" si="620"/>
        <v>0</v>
      </c>
      <c r="EO410" s="171">
        <f t="shared" ca="1" si="621"/>
        <v>0</v>
      </c>
      <c r="EP410" s="171">
        <f t="shared" ca="1" si="622"/>
        <v>0</v>
      </c>
      <c r="EQ410" s="171">
        <f t="shared" ca="1" si="623"/>
        <v>0</v>
      </c>
      <c r="ER410" s="171">
        <f t="shared" ca="1" si="624"/>
        <v>0</v>
      </c>
      <c r="ES410" s="171">
        <f t="shared" ca="1" si="625"/>
        <v>0</v>
      </c>
    </row>
    <row r="411" spans="3:149">
      <c r="C411" s="214"/>
      <c r="L411" s="163"/>
      <c r="M411" s="164" t="str">
        <f t="shared" si="550"/>
        <v/>
      </c>
      <c r="N411" s="164" t="str">
        <f t="shared" si="551"/>
        <v/>
      </c>
      <c r="O411" s="165" t="str">
        <f t="shared" si="552"/>
        <v/>
      </c>
      <c r="R411" s="168"/>
      <c r="U411" s="171">
        <f t="shared" si="553"/>
        <v>0</v>
      </c>
      <c r="V411" s="171">
        <f t="shared" ca="1" si="554"/>
        <v>0</v>
      </c>
      <c r="W411" s="171">
        <f t="shared" ca="1" si="555"/>
        <v>0</v>
      </c>
      <c r="X411" s="172">
        <f t="shared" si="556"/>
        <v>0</v>
      </c>
      <c r="Y411" s="172" t="str">
        <f t="shared" si="557"/>
        <v/>
      </c>
      <c r="Z411" s="173">
        <f t="shared" si="558"/>
        <v>0</v>
      </c>
      <c r="AA411" s="171">
        <f t="shared" si="644"/>
        <v>0</v>
      </c>
      <c r="AB411" s="171">
        <f t="shared" si="644"/>
        <v>0</v>
      </c>
      <c r="AC411" s="171">
        <f t="shared" si="644"/>
        <v>0</v>
      </c>
      <c r="AD411" s="171">
        <f t="shared" si="644"/>
        <v>0</v>
      </c>
      <c r="AE411" s="171">
        <f t="shared" si="644"/>
        <v>0</v>
      </c>
      <c r="AF411" s="171">
        <f t="shared" si="644"/>
        <v>0</v>
      </c>
      <c r="AG411" s="171">
        <f t="shared" si="644"/>
        <v>0</v>
      </c>
      <c r="AH411" s="171">
        <f t="shared" si="644"/>
        <v>0</v>
      </c>
      <c r="AI411" s="171">
        <f t="shared" si="644"/>
        <v>0</v>
      </c>
      <c r="AJ411" s="171">
        <f t="shared" si="644"/>
        <v>0</v>
      </c>
      <c r="AK411" s="171">
        <f t="shared" si="645"/>
        <v>0</v>
      </c>
      <c r="AL411" s="171">
        <f t="shared" si="645"/>
        <v>0</v>
      </c>
      <c r="AM411" s="171">
        <f t="shared" si="645"/>
        <v>0</v>
      </c>
      <c r="AN411" s="171">
        <f t="shared" si="645"/>
        <v>0</v>
      </c>
      <c r="AO411" s="171">
        <f t="shared" si="645"/>
        <v>0</v>
      </c>
      <c r="AP411" s="171">
        <f t="shared" si="645"/>
        <v>0</v>
      </c>
      <c r="AQ411" s="171">
        <f t="shared" si="645"/>
        <v>0</v>
      </c>
      <c r="AR411" s="171">
        <f t="shared" si="645"/>
        <v>0</v>
      </c>
      <c r="AS411" s="171">
        <f t="shared" si="645"/>
        <v>0</v>
      </c>
      <c r="AT411" s="171">
        <f t="shared" si="645"/>
        <v>0</v>
      </c>
      <c r="AU411" s="171">
        <f t="shared" si="646"/>
        <v>0</v>
      </c>
      <c r="AV411" s="171">
        <f t="shared" si="646"/>
        <v>0</v>
      </c>
      <c r="AW411" s="171">
        <f t="shared" si="646"/>
        <v>0</v>
      </c>
      <c r="AX411" s="171">
        <f t="shared" si="646"/>
        <v>0</v>
      </c>
      <c r="AY411" s="171">
        <f t="shared" si="646"/>
        <v>0</v>
      </c>
      <c r="AZ411" s="171">
        <f t="shared" si="646"/>
        <v>0</v>
      </c>
      <c r="BA411" s="171">
        <f t="shared" si="646"/>
        <v>0</v>
      </c>
      <c r="BB411" s="171">
        <f t="shared" si="646"/>
        <v>0</v>
      </c>
      <c r="BC411" s="171">
        <f t="shared" si="646"/>
        <v>0</v>
      </c>
      <c r="BD411" s="171">
        <f t="shared" si="646"/>
        <v>0</v>
      </c>
      <c r="BE411" s="171">
        <f t="shared" si="647"/>
        <v>0</v>
      </c>
      <c r="BF411" s="171">
        <f t="shared" si="647"/>
        <v>0</v>
      </c>
      <c r="BG411" s="171">
        <f t="shared" si="647"/>
        <v>0</v>
      </c>
      <c r="BH411" s="171">
        <f t="shared" si="647"/>
        <v>0</v>
      </c>
      <c r="BI411" s="171">
        <f t="shared" si="647"/>
        <v>0</v>
      </c>
      <c r="BJ411" s="171">
        <f t="shared" si="647"/>
        <v>0</v>
      </c>
      <c r="BK411" s="171">
        <f t="shared" si="647"/>
        <v>0</v>
      </c>
      <c r="BL411" s="171">
        <f t="shared" si="647"/>
        <v>0</v>
      </c>
      <c r="BM411" s="171">
        <f t="shared" si="647"/>
        <v>0</v>
      </c>
      <c r="BN411" s="171">
        <f t="shared" si="647"/>
        <v>0</v>
      </c>
      <c r="BO411" s="171">
        <f t="shared" si="648"/>
        <v>0</v>
      </c>
      <c r="BP411" s="171">
        <f t="shared" si="648"/>
        <v>0</v>
      </c>
      <c r="BQ411" s="171">
        <f t="shared" si="648"/>
        <v>0</v>
      </c>
      <c r="BR411" s="171">
        <f t="shared" si="648"/>
        <v>0</v>
      </c>
      <c r="BS411" s="171">
        <f t="shared" si="648"/>
        <v>0</v>
      </c>
      <c r="BT411" s="171">
        <f t="shared" si="648"/>
        <v>0</v>
      </c>
      <c r="BU411" s="171">
        <f t="shared" si="648"/>
        <v>0</v>
      </c>
      <c r="BV411" s="171">
        <f t="shared" si="648"/>
        <v>0</v>
      </c>
      <c r="BW411" s="171">
        <f t="shared" si="648"/>
        <v>0</v>
      </c>
      <c r="BX411" s="171">
        <f t="shared" si="648"/>
        <v>0</v>
      </c>
      <c r="BY411" s="171">
        <f t="shared" si="649"/>
        <v>0</v>
      </c>
      <c r="BZ411" s="171">
        <f t="shared" si="649"/>
        <v>0</v>
      </c>
      <c r="CA411" s="171">
        <f t="shared" si="649"/>
        <v>0</v>
      </c>
      <c r="CB411" s="171">
        <f t="shared" si="649"/>
        <v>0</v>
      </c>
      <c r="CC411" s="171">
        <f t="shared" si="649"/>
        <v>0</v>
      </c>
      <c r="CD411" s="171">
        <f t="shared" si="649"/>
        <v>0</v>
      </c>
      <c r="CE411" s="171">
        <f t="shared" si="649"/>
        <v>0</v>
      </c>
      <c r="CF411" s="171">
        <f t="shared" si="649"/>
        <v>0</v>
      </c>
      <c r="CG411" s="171">
        <f t="shared" si="649"/>
        <v>0</v>
      </c>
      <c r="CH411" s="171">
        <f t="shared" si="649"/>
        <v>0</v>
      </c>
      <c r="CI411" s="171">
        <f t="shared" si="649"/>
        <v>0</v>
      </c>
      <c r="CJ411" s="243"/>
      <c r="CK411" s="171">
        <f t="shared" si="565"/>
        <v>0</v>
      </c>
      <c r="CL411" s="171">
        <f t="shared" si="566"/>
        <v>0</v>
      </c>
      <c r="CM411" s="171">
        <f t="shared" si="567"/>
        <v>0</v>
      </c>
      <c r="CN411" s="171">
        <f t="shared" si="568"/>
        <v>0</v>
      </c>
      <c r="CO411" s="171">
        <f t="shared" si="569"/>
        <v>0</v>
      </c>
      <c r="CP411" s="171">
        <f t="shared" si="570"/>
        <v>0</v>
      </c>
      <c r="CQ411" s="171">
        <f t="shared" si="571"/>
        <v>0</v>
      </c>
      <c r="CR411" s="171">
        <f t="shared" si="572"/>
        <v>0</v>
      </c>
      <c r="CS411" s="171">
        <f t="shared" si="573"/>
        <v>0</v>
      </c>
      <c r="CT411" s="171">
        <f t="shared" si="574"/>
        <v>0</v>
      </c>
      <c r="CU411" s="171">
        <f t="shared" si="575"/>
        <v>0</v>
      </c>
      <c r="CV411" s="171">
        <f t="shared" si="576"/>
        <v>0</v>
      </c>
      <c r="CW411" s="171">
        <f t="shared" si="577"/>
        <v>0</v>
      </c>
      <c r="CX411" s="171">
        <f t="shared" si="578"/>
        <v>0</v>
      </c>
      <c r="CY411" s="171">
        <f t="shared" ca="1" si="579"/>
        <v>0</v>
      </c>
      <c r="CZ411" s="171">
        <f t="shared" ca="1" si="580"/>
        <v>0</v>
      </c>
      <c r="DA411" s="171">
        <f t="shared" ca="1" si="581"/>
        <v>0</v>
      </c>
      <c r="DB411" s="171">
        <f t="shared" ca="1" si="582"/>
        <v>0</v>
      </c>
      <c r="DC411" s="171">
        <f t="shared" ca="1" si="583"/>
        <v>0</v>
      </c>
      <c r="DD411" s="171">
        <f t="shared" ca="1" si="584"/>
        <v>0</v>
      </c>
      <c r="DE411" s="171">
        <f t="shared" ca="1" si="585"/>
        <v>0</v>
      </c>
      <c r="DF411" s="171">
        <f t="shared" ca="1" si="586"/>
        <v>0</v>
      </c>
      <c r="DG411" s="171">
        <f t="shared" ca="1" si="587"/>
        <v>0</v>
      </c>
      <c r="DH411" s="171">
        <f t="shared" ca="1" si="588"/>
        <v>0</v>
      </c>
      <c r="DI411" s="171">
        <f t="shared" ca="1" si="589"/>
        <v>0</v>
      </c>
      <c r="DJ411" s="171">
        <f t="shared" ca="1" si="590"/>
        <v>0</v>
      </c>
      <c r="DK411" s="171">
        <f t="shared" ca="1" si="591"/>
        <v>0</v>
      </c>
      <c r="DL411" s="171">
        <f t="shared" ca="1" si="592"/>
        <v>0</v>
      </c>
      <c r="DM411" s="171">
        <f t="shared" ca="1" si="593"/>
        <v>0</v>
      </c>
      <c r="DN411" s="171">
        <f t="shared" ca="1" si="594"/>
        <v>0</v>
      </c>
      <c r="DO411" s="171">
        <f t="shared" ca="1" si="595"/>
        <v>0</v>
      </c>
      <c r="DP411" s="171">
        <f t="shared" ca="1" si="596"/>
        <v>0</v>
      </c>
      <c r="DQ411" s="171">
        <f t="shared" ca="1" si="597"/>
        <v>0</v>
      </c>
      <c r="DR411" s="171">
        <f t="shared" ca="1" si="598"/>
        <v>0</v>
      </c>
      <c r="DS411" s="171">
        <f t="shared" ca="1" si="599"/>
        <v>0</v>
      </c>
      <c r="DT411" s="171">
        <f t="shared" ca="1" si="600"/>
        <v>0</v>
      </c>
      <c r="DU411" s="171">
        <f t="shared" ca="1" si="601"/>
        <v>0</v>
      </c>
      <c r="DV411" s="171">
        <f t="shared" ca="1" si="602"/>
        <v>0</v>
      </c>
      <c r="DW411" s="171">
        <f t="shared" ca="1" si="603"/>
        <v>0</v>
      </c>
      <c r="DX411" s="171">
        <f t="shared" ca="1" si="604"/>
        <v>0</v>
      </c>
      <c r="DY411" s="171">
        <f t="shared" ca="1" si="605"/>
        <v>0</v>
      </c>
      <c r="DZ411" s="171">
        <f t="shared" ca="1" si="606"/>
        <v>0</v>
      </c>
      <c r="EA411" s="171">
        <f t="shared" ca="1" si="607"/>
        <v>0</v>
      </c>
      <c r="EB411" s="171">
        <f t="shared" ca="1" si="608"/>
        <v>0</v>
      </c>
      <c r="EC411" s="171">
        <f t="shared" ca="1" si="609"/>
        <v>0</v>
      </c>
      <c r="ED411" s="171">
        <f t="shared" ca="1" si="610"/>
        <v>0</v>
      </c>
      <c r="EE411" s="171">
        <f t="shared" ca="1" si="611"/>
        <v>0</v>
      </c>
      <c r="EF411" s="171">
        <f t="shared" ca="1" si="612"/>
        <v>0</v>
      </c>
      <c r="EG411" s="171">
        <f t="shared" ca="1" si="613"/>
        <v>0</v>
      </c>
      <c r="EH411" s="171">
        <f t="shared" ca="1" si="614"/>
        <v>0</v>
      </c>
      <c r="EI411" s="171">
        <f t="shared" ca="1" si="615"/>
        <v>0</v>
      </c>
      <c r="EJ411" s="171">
        <f t="shared" ca="1" si="616"/>
        <v>0</v>
      </c>
      <c r="EK411" s="171">
        <f t="shared" ca="1" si="617"/>
        <v>0</v>
      </c>
      <c r="EL411" s="171">
        <f t="shared" ca="1" si="618"/>
        <v>0</v>
      </c>
      <c r="EM411" s="171">
        <f t="shared" ca="1" si="619"/>
        <v>0</v>
      </c>
      <c r="EN411" s="171">
        <f t="shared" ca="1" si="620"/>
        <v>0</v>
      </c>
      <c r="EO411" s="171">
        <f t="shared" ca="1" si="621"/>
        <v>0</v>
      </c>
      <c r="EP411" s="171">
        <f t="shared" ca="1" si="622"/>
        <v>0</v>
      </c>
      <c r="EQ411" s="171">
        <f t="shared" ca="1" si="623"/>
        <v>0</v>
      </c>
      <c r="ER411" s="171">
        <f t="shared" ca="1" si="624"/>
        <v>0</v>
      </c>
      <c r="ES411" s="171">
        <f t="shared" ca="1" si="625"/>
        <v>0</v>
      </c>
    </row>
    <row r="412" spans="3:149">
      <c r="C412" s="214"/>
      <c r="L412" s="163"/>
      <c r="M412" s="164" t="str">
        <f t="shared" si="550"/>
        <v/>
      </c>
      <c r="N412" s="164" t="str">
        <f t="shared" si="551"/>
        <v/>
      </c>
      <c r="O412" s="165" t="str">
        <f t="shared" si="552"/>
        <v/>
      </c>
      <c r="R412" s="168"/>
      <c r="U412" s="171">
        <f t="shared" si="553"/>
        <v>0</v>
      </c>
      <c r="V412" s="171">
        <f t="shared" ca="1" si="554"/>
        <v>0</v>
      </c>
      <c r="W412" s="171">
        <f t="shared" ca="1" si="555"/>
        <v>0</v>
      </c>
      <c r="X412" s="172">
        <f t="shared" si="556"/>
        <v>0</v>
      </c>
      <c r="Y412" s="172" t="str">
        <f t="shared" si="557"/>
        <v/>
      </c>
      <c r="Z412" s="173">
        <f t="shared" si="558"/>
        <v>0</v>
      </c>
      <c r="AA412" s="171">
        <f t="shared" si="644"/>
        <v>0</v>
      </c>
      <c r="AB412" s="171">
        <f t="shared" si="644"/>
        <v>0</v>
      </c>
      <c r="AC412" s="171">
        <f t="shared" si="644"/>
        <v>0</v>
      </c>
      <c r="AD412" s="171">
        <f t="shared" si="644"/>
        <v>0</v>
      </c>
      <c r="AE412" s="171">
        <f t="shared" si="644"/>
        <v>0</v>
      </c>
      <c r="AF412" s="171">
        <f t="shared" si="644"/>
        <v>0</v>
      </c>
      <c r="AG412" s="171">
        <f t="shared" si="644"/>
        <v>0</v>
      </c>
      <c r="AH412" s="171">
        <f t="shared" si="644"/>
        <v>0</v>
      </c>
      <c r="AI412" s="171">
        <f t="shared" si="644"/>
        <v>0</v>
      </c>
      <c r="AJ412" s="171">
        <f t="shared" si="644"/>
        <v>0</v>
      </c>
      <c r="AK412" s="171">
        <f t="shared" si="645"/>
        <v>0</v>
      </c>
      <c r="AL412" s="171">
        <f t="shared" si="645"/>
        <v>0</v>
      </c>
      <c r="AM412" s="171">
        <f t="shared" si="645"/>
        <v>0</v>
      </c>
      <c r="AN412" s="171">
        <f t="shared" si="645"/>
        <v>0</v>
      </c>
      <c r="AO412" s="171">
        <f t="shared" si="645"/>
        <v>0</v>
      </c>
      <c r="AP412" s="171">
        <f t="shared" si="645"/>
        <v>0</v>
      </c>
      <c r="AQ412" s="171">
        <f t="shared" si="645"/>
        <v>0</v>
      </c>
      <c r="AR412" s="171">
        <f t="shared" si="645"/>
        <v>0</v>
      </c>
      <c r="AS412" s="171">
        <f t="shared" si="645"/>
        <v>0</v>
      </c>
      <c r="AT412" s="171">
        <f t="shared" si="645"/>
        <v>0</v>
      </c>
      <c r="AU412" s="171">
        <f t="shared" si="646"/>
        <v>0</v>
      </c>
      <c r="AV412" s="171">
        <f t="shared" si="646"/>
        <v>0</v>
      </c>
      <c r="AW412" s="171">
        <f t="shared" si="646"/>
        <v>0</v>
      </c>
      <c r="AX412" s="171">
        <f t="shared" si="646"/>
        <v>0</v>
      </c>
      <c r="AY412" s="171">
        <f t="shared" si="646"/>
        <v>0</v>
      </c>
      <c r="AZ412" s="171">
        <f t="shared" si="646"/>
        <v>0</v>
      </c>
      <c r="BA412" s="171">
        <f t="shared" si="646"/>
        <v>0</v>
      </c>
      <c r="BB412" s="171">
        <f t="shared" si="646"/>
        <v>0</v>
      </c>
      <c r="BC412" s="171">
        <f t="shared" si="646"/>
        <v>0</v>
      </c>
      <c r="BD412" s="171">
        <f t="shared" si="646"/>
        <v>0</v>
      </c>
      <c r="BE412" s="171">
        <f t="shared" si="647"/>
        <v>0</v>
      </c>
      <c r="BF412" s="171">
        <f t="shared" si="647"/>
        <v>0</v>
      </c>
      <c r="BG412" s="171">
        <f t="shared" si="647"/>
        <v>0</v>
      </c>
      <c r="BH412" s="171">
        <f t="shared" si="647"/>
        <v>0</v>
      </c>
      <c r="BI412" s="171">
        <f t="shared" si="647"/>
        <v>0</v>
      </c>
      <c r="BJ412" s="171">
        <f t="shared" si="647"/>
        <v>0</v>
      </c>
      <c r="BK412" s="171">
        <f t="shared" si="647"/>
        <v>0</v>
      </c>
      <c r="BL412" s="171">
        <f t="shared" si="647"/>
        <v>0</v>
      </c>
      <c r="BM412" s="171">
        <f t="shared" si="647"/>
        <v>0</v>
      </c>
      <c r="BN412" s="171">
        <f t="shared" si="647"/>
        <v>0</v>
      </c>
      <c r="BO412" s="171">
        <f t="shared" si="648"/>
        <v>0</v>
      </c>
      <c r="BP412" s="171">
        <f t="shared" si="648"/>
        <v>0</v>
      </c>
      <c r="BQ412" s="171">
        <f t="shared" si="648"/>
        <v>0</v>
      </c>
      <c r="BR412" s="171">
        <f t="shared" si="648"/>
        <v>0</v>
      </c>
      <c r="BS412" s="171">
        <f t="shared" si="648"/>
        <v>0</v>
      </c>
      <c r="BT412" s="171">
        <f t="shared" si="648"/>
        <v>0</v>
      </c>
      <c r="BU412" s="171">
        <f t="shared" si="648"/>
        <v>0</v>
      </c>
      <c r="BV412" s="171">
        <f t="shared" si="648"/>
        <v>0</v>
      </c>
      <c r="BW412" s="171">
        <f t="shared" si="648"/>
        <v>0</v>
      </c>
      <c r="BX412" s="171">
        <f t="shared" si="648"/>
        <v>0</v>
      </c>
      <c r="BY412" s="171">
        <f t="shared" si="649"/>
        <v>0</v>
      </c>
      <c r="BZ412" s="171">
        <f t="shared" si="649"/>
        <v>0</v>
      </c>
      <c r="CA412" s="171">
        <f t="shared" si="649"/>
        <v>0</v>
      </c>
      <c r="CB412" s="171">
        <f t="shared" si="649"/>
        <v>0</v>
      </c>
      <c r="CC412" s="171">
        <f t="shared" si="649"/>
        <v>0</v>
      </c>
      <c r="CD412" s="171">
        <f t="shared" si="649"/>
        <v>0</v>
      </c>
      <c r="CE412" s="171">
        <f t="shared" si="649"/>
        <v>0</v>
      </c>
      <c r="CF412" s="171">
        <f t="shared" si="649"/>
        <v>0</v>
      </c>
      <c r="CG412" s="171">
        <f t="shared" si="649"/>
        <v>0</v>
      </c>
      <c r="CH412" s="171">
        <f t="shared" si="649"/>
        <v>0</v>
      </c>
      <c r="CI412" s="171">
        <f t="shared" si="649"/>
        <v>0</v>
      </c>
      <c r="CJ412" s="243"/>
      <c r="CK412" s="171">
        <f t="shared" si="565"/>
        <v>0</v>
      </c>
      <c r="CL412" s="171">
        <f t="shared" si="566"/>
        <v>0</v>
      </c>
      <c r="CM412" s="171">
        <f t="shared" si="567"/>
        <v>0</v>
      </c>
      <c r="CN412" s="171">
        <f t="shared" si="568"/>
        <v>0</v>
      </c>
      <c r="CO412" s="171">
        <f t="shared" si="569"/>
        <v>0</v>
      </c>
      <c r="CP412" s="171">
        <f t="shared" si="570"/>
        <v>0</v>
      </c>
      <c r="CQ412" s="171">
        <f t="shared" si="571"/>
        <v>0</v>
      </c>
      <c r="CR412" s="171">
        <f t="shared" si="572"/>
        <v>0</v>
      </c>
      <c r="CS412" s="171">
        <f t="shared" si="573"/>
        <v>0</v>
      </c>
      <c r="CT412" s="171">
        <f t="shared" si="574"/>
        <v>0</v>
      </c>
      <c r="CU412" s="171">
        <f t="shared" si="575"/>
        <v>0</v>
      </c>
      <c r="CV412" s="171">
        <f t="shared" si="576"/>
        <v>0</v>
      </c>
      <c r="CW412" s="171">
        <f t="shared" si="577"/>
        <v>0</v>
      </c>
      <c r="CX412" s="171">
        <f t="shared" si="578"/>
        <v>0</v>
      </c>
      <c r="CY412" s="171">
        <f t="shared" ca="1" si="579"/>
        <v>0</v>
      </c>
      <c r="CZ412" s="171">
        <f t="shared" ca="1" si="580"/>
        <v>0</v>
      </c>
      <c r="DA412" s="171">
        <f t="shared" ca="1" si="581"/>
        <v>0</v>
      </c>
      <c r="DB412" s="171">
        <f t="shared" ca="1" si="582"/>
        <v>0</v>
      </c>
      <c r="DC412" s="171">
        <f t="shared" ca="1" si="583"/>
        <v>0</v>
      </c>
      <c r="DD412" s="171">
        <f t="shared" ca="1" si="584"/>
        <v>0</v>
      </c>
      <c r="DE412" s="171">
        <f t="shared" ca="1" si="585"/>
        <v>0</v>
      </c>
      <c r="DF412" s="171">
        <f t="shared" ca="1" si="586"/>
        <v>0</v>
      </c>
      <c r="DG412" s="171">
        <f t="shared" ca="1" si="587"/>
        <v>0</v>
      </c>
      <c r="DH412" s="171">
        <f t="shared" ca="1" si="588"/>
        <v>0</v>
      </c>
      <c r="DI412" s="171">
        <f t="shared" ca="1" si="589"/>
        <v>0</v>
      </c>
      <c r="DJ412" s="171">
        <f t="shared" ca="1" si="590"/>
        <v>0</v>
      </c>
      <c r="DK412" s="171">
        <f t="shared" ca="1" si="591"/>
        <v>0</v>
      </c>
      <c r="DL412" s="171">
        <f t="shared" ca="1" si="592"/>
        <v>0</v>
      </c>
      <c r="DM412" s="171">
        <f t="shared" ca="1" si="593"/>
        <v>0</v>
      </c>
      <c r="DN412" s="171">
        <f t="shared" ca="1" si="594"/>
        <v>0</v>
      </c>
      <c r="DO412" s="171">
        <f t="shared" ca="1" si="595"/>
        <v>0</v>
      </c>
      <c r="DP412" s="171">
        <f t="shared" ca="1" si="596"/>
        <v>0</v>
      </c>
      <c r="DQ412" s="171">
        <f t="shared" ca="1" si="597"/>
        <v>0</v>
      </c>
      <c r="DR412" s="171">
        <f t="shared" ca="1" si="598"/>
        <v>0</v>
      </c>
      <c r="DS412" s="171">
        <f t="shared" ca="1" si="599"/>
        <v>0</v>
      </c>
      <c r="DT412" s="171">
        <f t="shared" ca="1" si="600"/>
        <v>0</v>
      </c>
      <c r="DU412" s="171">
        <f t="shared" ca="1" si="601"/>
        <v>0</v>
      </c>
      <c r="DV412" s="171">
        <f t="shared" ca="1" si="602"/>
        <v>0</v>
      </c>
      <c r="DW412" s="171">
        <f t="shared" ca="1" si="603"/>
        <v>0</v>
      </c>
      <c r="DX412" s="171">
        <f t="shared" ca="1" si="604"/>
        <v>0</v>
      </c>
      <c r="DY412" s="171">
        <f t="shared" ca="1" si="605"/>
        <v>0</v>
      </c>
      <c r="DZ412" s="171">
        <f t="shared" ca="1" si="606"/>
        <v>0</v>
      </c>
      <c r="EA412" s="171">
        <f t="shared" ca="1" si="607"/>
        <v>0</v>
      </c>
      <c r="EB412" s="171">
        <f t="shared" ca="1" si="608"/>
        <v>0</v>
      </c>
      <c r="EC412" s="171">
        <f t="shared" ca="1" si="609"/>
        <v>0</v>
      </c>
      <c r="ED412" s="171">
        <f t="shared" ca="1" si="610"/>
        <v>0</v>
      </c>
      <c r="EE412" s="171">
        <f t="shared" ca="1" si="611"/>
        <v>0</v>
      </c>
      <c r="EF412" s="171">
        <f t="shared" ca="1" si="612"/>
        <v>0</v>
      </c>
      <c r="EG412" s="171">
        <f t="shared" ca="1" si="613"/>
        <v>0</v>
      </c>
      <c r="EH412" s="171">
        <f t="shared" ca="1" si="614"/>
        <v>0</v>
      </c>
      <c r="EI412" s="171">
        <f t="shared" ca="1" si="615"/>
        <v>0</v>
      </c>
      <c r="EJ412" s="171">
        <f t="shared" ca="1" si="616"/>
        <v>0</v>
      </c>
      <c r="EK412" s="171">
        <f t="shared" ca="1" si="617"/>
        <v>0</v>
      </c>
      <c r="EL412" s="171">
        <f t="shared" ca="1" si="618"/>
        <v>0</v>
      </c>
      <c r="EM412" s="171">
        <f t="shared" ca="1" si="619"/>
        <v>0</v>
      </c>
      <c r="EN412" s="171">
        <f t="shared" ca="1" si="620"/>
        <v>0</v>
      </c>
      <c r="EO412" s="171">
        <f t="shared" ca="1" si="621"/>
        <v>0</v>
      </c>
      <c r="EP412" s="171">
        <f t="shared" ca="1" si="622"/>
        <v>0</v>
      </c>
      <c r="EQ412" s="171">
        <f t="shared" ca="1" si="623"/>
        <v>0</v>
      </c>
      <c r="ER412" s="171">
        <f t="shared" ca="1" si="624"/>
        <v>0</v>
      </c>
      <c r="ES412" s="171">
        <f t="shared" ca="1" si="625"/>
        <v>0</v>
      </c>
    </row>
    <row r="413" spans="3:149">
      <c r="C413" s="214"/>
      <c r="L413" s="163"/>
      <c r="M413" s="164" t="str">
        <f t="shared" si="550"/>
        <v/>
      </c>
      <c r="N413" s="164" t="str">
        <f t="shared" si="551"/>
        <v/>
      </c>
      <c r="O413" s="165" t="str">
        <f t="shared" si="552"/>
        <v/>
      </c>
      <c r="R413" s="168"/>
      <c r="U413" s="171">
        <f t="shared" si="553"/>
        <v>0</v>
      </c>
      <c r="V413" s="171">
        <f t="shared" ca="1" si="554"/>
        <v>0</v>
      </c>
      <c r="W413" s="171">
        <f t="shared" ca="1" si="555"/>
        <v>0</v>
      </c>
      <c r="X413" s="172">
        <f t="shared" si="556"/>
        <v>0</v>
      </c>
      <c r="Y413" s="172" t="str">
        <f t="shared" si="557"/>
        <v/>
      </c>
      <c r="Z413" s="173">
        <f t="shared" si="558"/>
        <v>0</v>
      </c>
      <c r="AA413" s="171">
        <f t="shared" si="644"/>
        <v>0</v>
      </c>
      <c r="AB413" s="171">
        <f t="shared" si="644"/>
        <v>0</v>
      </c>
      <c r="AC413" s="171">
        <f t="shared" si="644"/>
        <v>0</v>
      </c>
      <c r="AD413" s="171">
        <f t="shared" si="644"/>
        <v>0</v>
      </c>
      <c r="AE413" s="171">
        <f t="shared" si="644"/>
        <v>0</v>
      </c>
      <c r="AF413" s="171">
        <f t="shared" si="644"/>
        <v>0</v>
      </c>
      <c r="AG413" s="171">
        <f t="shared" si="644"/>
        <v>0</v>
      </c>
      <c r="AH413" s="171">
        <f t="shared" si="644"/>
        <v>0</v>
      </c>
      <c r="AI413" s="171">
        <f t="shared" si="644"/>
        <v>0</v>
      </c>
      <c r="AJ413" s="171">
        <f t="shared" si="644"/>
        <v>0</v>
      </c>
      <c r="AK413" s="171">
        <f t="shared" si="645"/>
        <v>0</v>
      </c>
      <c r="AL413" s="171">
        <f t="shared" si="645"/>
        <v>0</v>
      </c>
      <c r="AM413" s="171">
        <f t="shared" si="645"/>
        <v>0</v>
      </c>
      <c r="AN413" s="171">
        <f t="shared" si="645"/>
        <v>0</v>
      </c>
      <c r="AO413" s="171">
        <f t="shared" si="645"/>
        <v>0</v>
      </c>
      <c r="AP413" s="171">
        <f t="shared" si="645"/>
        <v>0</v>
      </c>
      <c r="AQ413" s="171">
        <f t="shared" si="645"/>
        <v>0</v>
      </c>
      <c r="AR413" s="171">
        <f t="shared" si="645"/>
        <v>0</v>
      </c>
      <c r="AS413" s="171">
        <f t="shared" si="645"/>
        <v>0</v>
      </c>
      <c r="AT413" s="171">
        <f t="shared" si="645"/>
        <v>0</v>
      </c>
      <c r="AU413" s="171">
        <f t="shared" si="646"/>
        <v>0</v>
      </c>
      <c r="AV413" s="171">
        <f t="shared" si="646"/>
        <v>0</v>
      </c>
      <c r="AW413" s="171">
        <f t="shared" si="646"/>
        <v>0</v>
      </c>
      <c r="AX413" s="171">
        <f t="shared" si="646"/>
        <v>0</v>
      </c>
      <c r="AY413" s="171">
        <f t="shared" si="646"/>
        <v>0</v>
      </c>
      <c r="AZ413" s="171">
        <f t="shared" si="646"/>
        <v>0</v>
      </c>
      <c r="BA413" s="171">
        <f t="shared" si="646"/>
        <v>0</v>
      </c>
      <c r="BB413" s="171">
        <f t="shared" si="646"/>
        <v>0</v>
      </c>
      <c r="BC413" s="171">
        <f t="shared" si="646"/>
        <v>0</v>
      </c>
      <c r="BD413" s="171">
        <f t="shared" si="646"/>
        <v>0</v>
      </c>
      <c r="BE413" s="171">
        <f t="shared" si="647"/>
        <v>0</v>
      </c>
      <c r="BF413" s="171">
        <f t="shared" si="647"/>
        <v>0</v>
      </c>
      <c r="BG413" s="171">
        <f t="shared" si="647"/>
        <v>0</v>
      </c>
      <c r="BH413" s="171">
        <f t="shared" si="647"/>
        <v>0</v>
      </c>
      <c r="BI413" s="171">
        <f t="shared" si="647"/>
        <v>0</v>
      </c>
      <c r="BJ413" s="171">
        <f t="shared" si="647"/>
        <v>0</v>
      </c>
      <c r="BK413" s="171">
        <f t="shared" si="647"/>
        <v>0</v>
      </c>
      <c r="BL413" s="171">
        <f t="shared" si="647"/>
        <v>0</v>
      </c>
      <c r="BM413" s="171">
        <f t="shared" si="647"/>
        <v>0</v>
      </c>
      <c r="BN413" s="171">
        <f t="shared" si="647"/>
        <v>0</v>
      </c>
      <c r="BO413" s="171">
        <f t="shared" si="648"/>
        <v>0</v>
      </c>
      <c r="BP413" s="171">
        <f t="shared" si="648"/>
        <v>0</v>
      </c>
      <c r="BQ413" s="171">
        <f t="shared" si="648"/>
        <v>0</v>
      </c>
      <c r="BR413" s="171">
        <f t="shared" si="648"/>
        <v>0</v>
      </c>
      <c r="BS413" s="171">
        <f t="shared" si="648"/>
        <v>0</v>
      </c>
      <c r="BT413" s="171">
        <f t="shared" si="648"/>
        <v>0</v>
      </c>
      <c r="BU413" s="171">
        <f t="shared" si="648"/>
        <v>0</v>
      </c>
      <c r="BV413" s="171">
        <f t="shared" si="648"/>
        <v>0</v>
      </c>
      <c r="BW413" s="171">
        <f t="shared" si="648"/>
        <v>0</v>
      </c>
      <c r="BX413" s="171">
        <f t="shared" si="648"/>
        <v>0</v>
      </c>
      <c r="BY413" s="171">
        <f t="shared" si="649"/>
        <v>0</v>
      </c>
      <c r="BZ413" s="171">
        <f t="shared" si="649"/>
        <v>0</v>
      </c>
      <c r="CA413" s="171">
        <f t="shared" si="649"/>
        <v>0</v>
      </c>
      <c r="CB413" s="171">
        <f t="shared" si="649"/>
        <v>0</v>
      </c>
      <c r="CC413" s="171">
        <f t="shared" si="649"/>
        <v>0</v>
      </c>
      <c r="CD413" s="171">
        <f t="shared" si="649"/>
        <v>0</v>
      </c>
      <c r="CE413" s="171">
        <f t="shared" si="649"/>
        <v>0</v>
      </c>
      <c r="CF413" s="171">
        <f t="shared" si="649"/>
        <v>0</v>
      </c>
      <c r="CG413" s="171">
        <f t="shared" si="649"/>
        <v>0</v>
      </c>
      <c r="CH413" s="171">
        <f t="shared" si="649"/>
        <v>0</v>
      </c>
      <c r="CI413" s="171">
        <f t="shared" si="649"/>
        <v>0</v>
      </c>
      <c r="CJ413" s="243"/>
      <c r="CK413" s="171">
        <f t="shared" si="565"/>
        <v>0</v>
      </c>
      <c r="CL413" s="171">
        <f t="shared" si="566"/>
        <v>0</v>
      </c>
      <c r="CM413" s="171">
        <f t="shared" si="567"/>
        <v>0</v>
      </c>
      <c r="CN413" s="171">
        <f t="shared" si="568"/>
        <v>0</v>
      </c>
      <c r="CO413" s="171">
        <f t="shared" si="569"/>
        <v>0</v>
      </c>
      <c r="CP413" s="171">
        <f t="shared" si="570"/>
        <v>0</v>
      </c>
      <c r="CQ413" s="171">
        <f t="shared" si="571"/>
        <v>0</v>
      </c>
      <c r="CR413" s="171">
        <f t="shared" si="572"/>
        <v>0</v>
      </c>
      <c r="CS413" s="171">
        <f t="shared" si="573"/>
        <v>0</v>
      </c>
      <c r="CT413" s="171">
        <f t="shared" si="574"/>
        <v>0</v>
      </c>
      <c r="CU413" s="171">
        <f t="shared" si="575"/>
        <v>0</v>
      </c>
      <c r="CV413" s="171">
        <f t="shared" si="576"/>
        <v>0</v>
      </c>
      <c r="CW413" s="171">
        <f t="shared" si="577"/>
        <v>0</v>
      </c>
      <c r="CX413" s="171">
        <f t="shared" si="578"/>
        <v>0</v>
      </c>
      <c r="CY413" s="171">
        <f t="shared" ca="1" si="579"/>
        <v>0</v>
      </c>
      <c r="CZ413" s="171">
        <f t="shared" ca="1" si="580"/>
        <v>0</v>
      </c>
      <c r="DA413" s="171">
        <f t="shared" ca="1" si="581"/>
        <v>0</v>
      </c>
      <c r="DB413" s="171">
        <f t="shared" ca="1" si="582"/>
        <v>0</v>
      </c>
      <c r="DC413" s="171">
        <f t="shared" ca="1" si="583"/>
        <v>0</v>
      </c>
      <c r="DD413" s="171">
        <f t="shared" ca="1" si="584"/>
        <v>0</v>
      </c>
      <c r="DE413" s="171">
        <f t="shared" ca="1" si="585"/>
        <v>0</v>
      </c>
      <c r="DF413" s="171">
        <f t="shared" ca="1" si="586"/>
        <v>0</v>
      </c>
      <c r="DG413" s="171">
        <f t="shared" ca="1" si="587"/>
        <v>0</v>
      </c>
      <c r="DH413" s="171">
        <f t="shared" ca="1" si="588"/>
        <v>0</v>
      </c>
      <c r="DI413" s="171">
        <f t="shared" ca="1" si="589"/>
        <v>0</v>
      </c>
      <c r="DJ413" s="171">
        <f t="shared" ca="1" si="590"/>
        <v>0</v>
      </c>
      <c r="DK413" s="171">
        <f t="shared" ca="1" si="591"/>
        <v>0</v>
      </c>
      <c r="DL413" s="171">
        <f t="shared" ca="1" si="592"/>
        <v>0</v>
      </c>
      <c r="DM413" s="171">
        <f t="shared" ca="1" si="593"/>
        <v>0</v>
      </c>
      <c r="DN413" s="171">
        <f t="shared" ca="1" si="594"/>
        <v>0</v>
      </c>
      <c r="DO413" s="171">
        <f t="shared" ca="1" si="595"/>
        <v>0</v>
      </c>
      <c r="DP413" s="171">
        <f t="shared" ca="1" si="596"/>
        <v>0</v>
      </c>
      <c r="DQ413" s="171">
        <f t="shared" ca="1" si="597"/>
        <v>0</v>
      </c>
      <c r="DR413" s="171">
        <f t="shared" ca="1" si="598"/>
        <v>0</v>
      </c>
      <c r="DS413" s="171">
        <f t="shared" ca="1" si="599"/>
        <v>0</v>
      </c>
      <c r="DT413" s="171">
        <f t="shared" ca="1" si="600"/>
        <v>0</v>
      </c>
      <c r="DU413" s="171">
        <f t="shared" ca="1" si="601"/>
        <v>0</v>
      </c>
      <c r="DV413" s="171">
        <f t="shared" ca="1" si="602"/>
        <v>0</v>
      </c>
      <c r="DW413" s="171">
        <f t="shared" ca="1" si="603"/>
        <v>0</v>
      </c>
      <c r="DX413" s="171">
        <f t="shared" ca="1" si="604"/>
        <v>0</v>
      </c>
      <c r="DY413" s="171">
        <f t="shared" ca="1" si="605"/>
        <v>0</v>
      </c>
      <c r="DZ413" s="171">
        <f t="shared" ca="1" si="606"/>
        <v>0</v>
      </c>
      <c r="EA413" s="171">
        <f t="shared" ca="1" si="607"/>
        <v>0</v>
      </c>
      <c r="EB413" s="171">
        <f t="shared" ca="1" si="608"/>
        <v>0</v>
      </c>
      <c r="EC413" s="171">
        <f t="shared" ca="1" si="609"/>
        <v>0</v>
      </c>
      <c r="ED413" s="171">
        <f t="shared" ca="1" si="610"/>
        <v>0</v>
      </c>
      <c r="EE413" s="171">
        <f t="shared" ca="1" si="611"/>
        <v>0</v>
      </c>
      <c r="EF413" s="171">
        <f t="shared" ca="1" si="612"/>
        <v>0</v>
      </c>
      <c r="EG413" s="171">
        <f t="shared" ca="1" si="613"/>
        <v>0</v>
      </c>
      <c r="EH413" s="171">
        <f t="shared" ca="1" si="614"/>
        <v>0</v>
      </c>
      <c r="EI413" s="171">
        <f t="shared" ca="1" si="615"/>
        <v>0</v>
      </c>
      <c r="EJ413" s="171">
        <f t="shared" ca="1" si="616"/>
        <v>0</v>
      </c>
      <c r="EK413" s="171">
        <f t="shared" ca="1" si="617"/>
        <v>0</v>
      </c>
      <c r="EL413" s="171">
        <f t="shared" ca="1" si="618"/>
        <v>0</v>
      </c>
      <c r="EM413" s="171">
        <f t="shared" ca="1" si="619"/>
        <v>0</v>
      </c>
      <c r="EN413" s="171">
        <f t="shared" ca="1" si="620"/>
        <v>0</v>
      </c>
      <c r="EO413" s="171">
        <f t="shared" ca="1" si="621"/>
        <v>0</v>
      </c>
      <c r="EP413" s="171">
        <f t="shared" ca="1" si="622"/>
        <v>0</v>
      </c>
      <c r="EQ413" s="171">
        <f t="shared" ca="1" si="623"/>
        <v>0</v>
      </c>
      <c r="ER413" s="171">
        <f t="shared" ca="1" si="624"/>
        <v>0</v>
      </c>
      <c r="ES413" s="171">
        <f t="shared" ca="1" si="625"/>
        <v>0</v>
      </c>
    </row>
    <row r="414" spans="3:149">
      <c r="C414" s="214"/>
      <c r="L414" s="163"/>
      <c r="M414" s="164" t="str">
        <f t="shared" si="550"/>
        <v/>
      </c>
      <c r="N414" s="164" t="str">
        <f t="shared" si="551"/>
        <v/>
      </c>
      <c r="O414" s="165" t="str">
        <f t="shared" si="552"/>
        <v/>
      </c>
      <c r="R414" s="168"/>
      <c r="U414" s="171">
        <f t="shared" si="553"/>
        <v>0</v>
      </c>
      <c r="V414" s="171">
        <f t="shared" ca="1" si="554"/>
        <v>0</v>
      </c>
      <c r="W414" s="171">
        <f t="shared" ca="1" si="555"/>
        <v>0</v>
      </c>
      <c r="X414" s="172">
        <f t="shared" si="556"/>
        <v>0</v>
      </c>
      <c r="Y414" s="172" t="str">
        <f t="shared" si="557"/>
        <v/>
      </c>
      <c r="Z414" s="173">
        <f t="shared" si="558"/>
        <v>0</v>
      </c>
      <c r="AA414" s="171">
        <f t="shared" si="644"/>
        <v>0</v>
      </c>
      <c r="AB414" s="171">
        <f t="shared" si="644"/>
        <v>0</v>
      </c>
      <c r="AC414" s="171">
        <f t="shared" si="644"/>
        <v>0</v>
      </c>
      <c r="AD414" s="171">
        <f t="shared" si="644"/>
        <v>0</v>
      </c>
      <c r="AE414" s="171">
        <f t="shared" si="644"/>
        <v>0</v>
      </c>
      <c r="AF414" s="171">
        <f t="shared" si="644"/>
        <v>0</v>
      </c>
      <c r="AG414" s="171">
        <f t="shared" si="644"/>
        <v>0</v>
      </c>
      <c r="AH414" s="171">
        <f t="shared" si="644"/>
        <v>0</v>
      </c>
      <c r="AI414" s="171">
        <f t="shared" si="644"/>
        <v>0</v>
      </c>
      <c r="AJ414" s="171">
        <f t="shared" si="644"/>
        <v>0</v>
      </c>
      <c r="AK414" s="171">
        <f t="shared" si="645"/>
        <v>0</v>
      </c>
      <c r="AL414" s="171">
        <f t="shared" si="645"/>
        <v>0</v>
      </c>
      <c r="AM414" s="171">
        <f t="shared" si="645"/>
        <v>0</v>
      </c>
      <c r="AN414" s="171">
        <f t="shared" si="645"/>
        <v>0</v>
      </c>
      <c r="AO414" s="171">
        <f t="shared" si="645"/>
        <v>0</v>
      </c>
      <c r="AP414" s="171">
        <f t="shared" si="645"/>
        <v>0</v>
      </c>
      <c r="AQ414" s="171">
        <f t="shared" si="645"/>
        <v>0</v>
      </c>
      <c r="AR414" s="171">
        <f t="shared" si="645"/>
        <v>0</v>
      </c>
      <c r="AS414" s="171">
        <f t="shared" si="645"/>
        <v>0</v>
      </c>
      <c r="AT414" s="171">
        <f t="shared" si="645"/>
        <v>0</v>
      </c>
      <c r="AU414" s="171">
        <f t="shared" si="646"/>
        <v>0</v>
      </c>
      <c r="AV414" s="171">
        <f t="shared" si="646"/>
        <v>0</v>
      </c>
      <c r="AW414" s="171">
        <f t="shared" si="646"/>
        <v>0</v>
      </c>
      <c r="AX414" s="171">
        <f t="shared" si="646"/>
        <v>0</v>
      </c>
      <c r="AY414" s="171">
        <f t="shared" si="646"/>
        <v>0</v>
      </c>
      <c r="AZ414" s="171">
        <f t="shared" si="646"/>
        <v>0</v>
      </c>
      <c r="BA414" s="171">
        <f t="shared" si="646"/>
        <v>0</v>
      </c>
      <c r="BB414" s="171">
        <f t="shared" si="646"/>
        <v>0</v>
      </c>
      <c r="BC414" s="171">
        <f t="shared" si="646"/>
        <v>0</v>
      </c>
      <c r="BD414" s="171">
        <f t="shared" si="646"/>
        <v>0</v>
      </c>
      <c r="BE414" s="171">
        <f t="shared" si="647"/>
        <v>0</v>
      </c>
      <c r="BF414" s="171">
        <f t="shared" si="647"/>
        <v>0</v>
      </c>
      <c r="BG414" s="171">
        <f t="shared" si="647"/>
        <v>0</v>
      </c>
      <c r="BH414" s="171">
        <f t="shared" si="647"/>
        <v>0</v>
      </c>
      <c r="BI414" s="171">
        <f t="shared" si="647"/>
        <v>0</v>
      </c>
      <c r="BJ414" s="171">
        <f t="shared" si="647"/>
        <v>0</v>
      </c>
      <c r="BK414" s="171">
        <f t="shared" si="647"/>
        <v>0</v>
      </c>
      <c r="BL414" s="171">
        <f t="shared" si="647"/>
        <v>0</v>
      </c>
      <c r="BM414" s="171">
        <f t="shared" si="647"/>
        <v>0</v>
      </c>
      <c r="BN414" s="171">
        <f t="shared" si="647"/>
        <v>0</v>
      </c>
      <c r="BO414" s="171">
        <f t="shared" si="648"/>
        <v>0</v>
      </c>
      <c r="BP414" s="171">
        <f t="shared" si="648"/>
        <v>0</v>
      </c>
      <c r="BQ414" s="171">
        <f t="shared" si="648"/>
        <v>0</v>
      </c>
      <c r="BR414" s="171">
        <f t="shared" si="648"/>
        <v>0</v>
      </c>
      <c r="BS414" s="171">
        <f t="shared" si="648"/>
        <v>0</v>
      </c>
      <c r="BT414" s="171">
        <f t="shared" si="648"/>
        <v>0</v>
      </c>
      <c r="BU414" s="171">
        <f t="shared" si="648"/>
        <v>0</v>
      </c>
      <c r="BV414" s="171">
        <f t="shared" si="648"/>
        <v>0</v>
      </c>
      <c r="BW414" s="171">
        <f t="shared" si="648"/>
        <v>0</v>
      </c>
      <c r="BX414" s="171">
        <f t="shared" si="648"/>
        <v>0</v>
      </c>
      <c r="BY414" s="171">
        <f t="shared" si="649"/>
        <v>0</v>
      </c>
      <c r="BZ414" s="171">
        <f t="shared" si="649"/>
        <v>0</v>
      </c>
      <c r="CA414" s="171">
        <f t="shared" si="649"/>
        <v>0</v>
      </c>
      <c r="CB414" s="171">
        <f t="shared" si="649"/>
        <v>0</v>
      </c>
      <c r="CC414" s="171">
        <f t="shared" si="649"/>
        <v>0</v>
      </c>
      <c r="CD414" s="171">
        <f t="shared" si="649"/>
        <v>0</v>
      </c>
      <c r="CE414" s="171">
        <f t="shared" si="649"/>
        <v>0</v>
      </c>
      <c r="CF414" s="171">
        <f t="shared" si="649"/>
        <v>0</v>
      </c>
      <c r="CG414" s="171">
        <f t="shared" si="649"/>
        <v>0</v>
      </c>
      <c r="CH414" s="171">
        <f t="shared" si="649"/>
        <v>0</v>
      </c>
      <c r="CI414" s="171">
        <f t="shared" si="649"/>
        <v>0</v>
      </c>
      <c r="CJ414" s="243"/>
      <c r="CK414" s="171">
        <f t="shared" si="565"/>
        <v>0</v>
      </c>
      <c r="CL414" s="171">
        <f t="shared" si="566"/>
        <v>0</v>
      </c>
      <c r="CM414" s="171">
        <f t="shared" si="567"/>
        <v>0</v>
      </c>
      <c r="CN414" s="171">
        <f t="shared" si="568"/>
        <v>0</v>
      </c>
      <c r="CO414" s="171">
        <f t="shared" si="569"/>
        <v>0</v>
      </c>
      <c r="CP414" s="171">
        <f t="shared" si="570"/>
        <v>0</v>
      </c>
      <c r="CQ414" s="171">
        <f t="shared" si="571"/>
        <v>0</v>
      </c>
      <c r="CR414" s="171">
        <f t="shared" si="572"/>
        <v>0</v>
      </c>
      <c r="CS414" s="171">
        <f t="shared" si="573"/>
        <v>0</v>
      </c>
      <c r="CT414" s="171">
        <f t="shared" si="574"/>
        <v>0</v>
      </c>
      <c r="CU414" s="171">
        <f t="shared" si="575"/>
        <v>0</v>
      </c>
      <c r="CV414" s="171">
        <f t="shared" si="576"/>
        <v>0</v>
      </c>
      <c r="CW414" s="171">
        <f t="shared" si="577"/>
        <v>0</v>
      </c>
      <c r="CX414" s="171">
        <f t="shared" si="578"/>
        <v>0</v>
      </c>
      <c r="CY414" s="171">
        <f t="shared" ca="1" si="579"/>
        <v>0</v>
      </c>
      <c r="CZ414" s="171">
        <f t="shared" ca="1" si="580"/>
        <v>0</v>
      </c>
      <c r="DA414" s="171">
        <f t="shared" ca="1" si="581"/>
        <v>0</v>
      </c>
      <c r="DB414" s="171">
        <f t="shared" ca="1" si="582"/>
        <v>0</v>
      </c>
      <c r="DC414" s="171">
        <f t="shared" ca="1" si="583"/>
        <v>0</v>
      </c>
      <c r="DD414" s="171">
        <f t="shared" ca="1" si="584"/>
        <v>0</v>
      </c>
      <c r="DE414" s="171">
        <f t="shared" ca="1" si="585"/>
        <v>0</v>
      </c>
      <c r="DF414" s="171">
        <f t="shared" ca="1" si="586"/>
        <v>0</v>
      </c>
      <c r="DG414" s="171">
        <f t="shared" ca="1" si="587"/>
        <v>0</v>
      </c>
      <c r="DH414" s="171">
        <f t="shared" ca="1" si="588"/>
        <v>0</v>
      </c>
      <c r="DI414" s="171">
        <f t="shared" ca="1" si="589"/>
        <v>0</v>
      </c>
      <c r="DJ414" s="171">
        <f t="shared" ca="1" si="590"/>
        <v>0</v>
      </c>
      <c r="DK414" s="171">
        <f t="shared" ca="1" si="591"/>
        <v>0</v>
      </c>
      <c r="DL414" s="171">
        <f t="shared" ca="1" si="592"/>
        <v>0</v>
      </c>
      <c r="DM414" s="171">
        <f t="shared" ca="1" si="593"/>
        <v>0</v>
      </c>
      <c r="DN414" s="171">
        <f t="shared" ca="1" si="594"/>
        <v>0</v>
      </c>
      <c r="DO414" s="171">
        <f t="shared" ca="1" si="595"/>
        <v>0</v>
      </c>
      <c r="DP414" s="171">
        <f t="shared" ca="1" si="596"/>
        <v>0</v>
      </c>
      <c r="DQ414" s="171">
        <f t="shared" ca="1" si="597"/>
        <v>0</v>
      </c>
      <c r="DR414" s="171">
        <f t="shared" ca="1" si="598"/>
        <v>0</v>
      </c>
      <c r="DS414" s="171">
        <f t="shared" ca="1" si="599"/>
        <v>0</v>
      </c>
      <c r="DT414" s="171">
        <f t="shared" ca="1" si="600"/>
        <v>0</v>
      </c>
      <c r="DU414" s="171">
        <f t="shared" ca="1" si="601"/>
        <v>0</v>
      </c>
      <c r="DV414" s="171">
        <f t="shared" ca="1" si="602"/>
        <v>0</v>
      </c>
      <c r="DW414" s="171">
        <f t="shared" ca="1" si="603"/>
        <v>0</v>
      </c>
      <c r="DX414" s="171">
        <f t="shared" ca="1" si="604"/>
        <v>0</v>
      </c>
      <c r="DY414" s="171">
        <f t="shared" ca="1" si="605"/>
        <v>0</v>
      </c>
      <c r="DZ414" s="171">
        <f t="shared" ca="1" si="606"/>
        <v>0</v>
      </c>
      <c r="EA414" s="171">
        <f t="shared" ca="1" si="607"/>
        <v>0</v>
      </c>
      <c r="EB414" s="171">
        <f t="shared" ca="1" si="608"/>
        <v>0</v>
      </c>
      <c r="EC414" s="171">
        <f t="shared" ca="1" si="609"/>
        <v>0</v>
      </c>
      <c r="ED414" s="171">
        <f t="shared" ca="1" si="610"/>
        <v>0</v>
      </c>
      <c r="EE414" s="171">
        <f t="shared" ca="1" si="611"/>
        <v>0</v>
      </c>
      <c r="EF414" s="171">
        <f t="shared" ca="1" si="612"/>
        <v>0</v>
      </c>
      <c r="EG414" s="171">
        <f t="shared" ca="1" si="613"/>
        <v>0</v>
      </c>
      <c r="EH414" s="171">
        <f t="shared" ca="1" si="614"/>
        <v>0</v>
      </c>
      <c r="EI414" s="171">
        <f t="shared" ca="1" si="615"/>
        <v>0</v>
      </c>
      <c r="EJ414" s="171">
        <f t="shared" ca="1" si="616"/>
        <v>0</v>
      </c>
      <c r="EK414" s="171">
        <f t="shared" ca="1" si="617"/>
        <v>0</v>
      </c>
      <c r="EL414" s="171">
        <f t="shared" ca="1" si="618"/>
        <v>0</v>
      </c>
      <c r="EM414" s="171">
        <f t="shared" ca="1" si="619"/>
        <v>0</v>
      </c>
      <c r="EN414" s="171">
        <f t="shared" ca="1" si="620"/>
        <v>0</v>
      </c>
      <c r="EO414" s="171">
        <f t="shared" ca="1" si="621"/>
        <v>0</v>
      </c>
      <c r="EP414" s="171">
        <f t="shared" ca="1" si="622"/>
        <v>0</v>
      </c>
      <c r="EQ414" s="171">
        <f t="shared" ca="1" si="623"/>
        <v>0</v>
      </c>
      <c r="ER414" s="171">
        <f t="shared" ca="1" si="624"/>
        <v>0</v>
      </c>
      <c r="ES414" s="171">
        <f t="shared" ca="1" si="625"/>
        <v>0</v>
      </c>
    </row>
    <row r="415" spans="3:149">
      <c r="C415" s="214"/>
      <c r="L415" s="163"/>
      <c r="M415" s="164" t="str">
        <f t="shared" si="550"/>
        <v/>
      </c>
      <c r="N415" s="164" t="str">
        <f t="shared" si="551"/>
        <v/>
      </c>
      <c r="O415" s="165" t="str">
        <f t="shared" si="552"/>
        <v/>
      </c>
      <c r="R415" s="168"/>
      <c r="U415" s="171">
        <f t="shared" si="553"/>
        <v>0</v>
      </c>
      <c r="V415" s="171">
        <f t="shared" ca="1" si="554"/>
        <v>0</v>
      </c>
      <c r="W415" s="171">
        <f t="shared" ca="1" si="555"/>
        <v>0</v>
      </c>
      <c r="X415" s="172">
        <f t="shared" si="556"/>
        <v>0</v>
      </c>
      <c r="Y415" s="172" t="str">
        <f t="shared" si="557"/>
        <v/>
      </c>
      <c r="Z415" s="173">
        <f t="shared" si="558"/>
        <v>0</v>
      </c>
      <c r="AA415" s="171">
        <f t="shared" si="644"/>
        <v>0</v>
      </c>
      <c r="AB415" s="171">
        <f t="shared" si="644"/>
        <v>0</v>
      </c>
      <c r="AC415" s="171">
        <f t="shared" si="644"/>
        <v>0</v>
      </c>
      <c r="AD415" s="171">
        <f t="shared" si="644"/>
        <v>0</v>
      </c>
      <c r="AE415" s="171">
        <f t="shared" si="644"/>
        <v>0</v>
      </c>
      <c r="AF415" s="171">
        <f t="shared" si="644"/>
        <v>0</v>
      </c>
      <c r="AG415" s="171">
        <f t="shared" si="644"/>
        <v>0</v>
      </c>
      <c r="AH415" s="171">
        <f t="shared" si="644"/>
        <v>0</v>
      </c>
      <c r="AI415" s="171">
        <f t="shared" si="644"/>
        <v>0</v>
      </c>
      <c r="AJ415" s="171">
        <f t="shared" si="644"/>
        <v>0</v>
      </c>
      <c r="AK415" s="171">
        <f t="shared" si="645"/>
        <v>0</v>
      </c>
      <c r="AL415" s="171">
        <f t="shared" si="645"/>
        <v>0</v>
      </c>
      <c r="AM415" s="171">
        <f t="shared" si="645"/>
        <v>0</v>
      </c>
      <c r="AN415" s="171">
        <f t="shared" si="645"/>
        <v>0</v>
      </c>
      <c r="AO415" s="171">
        <f t="shared" si="645"/>
        <v>0</v>
      </c>
      <c r="AP415" s="171">
        <f t="shared" si="645"/>
        <v>0</v>
      </c>
      <c r="AQ415" s="171">
        <f t="shared" si="645"/>
        <v>0</v>
      </c>
      <c r="AR415" s="171">
        <f t="shared" si="645"/>
        <v>0</v>
      </c>
      <c r="AS415" s="171">
        <f t="shared" si="645"/>
        <v>0</v>
      </c>
      <c r="AT415" s="171">
        <f t="shared" si="645"/>
        <v>0</v>
      </c>
      <c r="AU415" s="171">
        <f t="shared" si="646"/>
        <v>0</v>
      </c>
      <c r="AV415" s="171">
        <f t="shared" si="646"/>
        <v>0</v>
      </c>
      <c r="AW415" s="171">
        <f t="shared" si="646"/>
        <v>0</v>
      </c>
      <c r="AX415" s="171">
        <f t="shared" si="646"/>
        <v>0</v>
      </c>
      <c r="AY415" s="171">
        <f t="shared" si="646"/>
        <v>0</v>
      </c>
      <c r="AZ415" s="171">
        <f t="shared" si="646"/>
        <v>0</v>
      </c>
      <c r="BA415" s="171">
        <f t="shared" si="646"/>
        <v>0</v>
      </c>
      <c r="BB415" s="171">
        <f t="shared" si="646"/>
        <v>0</v>
      </c>
      <c r="BC415" s="171">
        <f t="shared" si="646"/>
        <v>0</v>
      </c>
      <c r="BD415" s="171">
        <f t="shared" si="646"/>
        <v>0</v>
      </c>
      <c r="BE415" s="171">
        <f t="shared" si="647"/>
        <v>0</v>
      </c>
      <c r="BF415" s="171">
        <f t="shared" si="647"/>
        <v>0</v>
      </c>
      <c r="BG415" s="171">
        <f t="shared" si="647"/>
        <v>0</v>
      </c>
      <c r="BH415" s="171">
        <f t="shared" si="647"/>
        <v>0</v>
      </c>
      <c r="BI415" s="171">
        <f t="shared" si="647"/>
        <v>0</v>
      </c>
      <c r="BJ415" s="171">
        <f t="shared" si="647"/>
        <v>0</v>
      </c>
      <c r="BK415" s="171">
        <f t="shared" si="647"/>
        <v>0</v>
      </c>
      <c r="BL415" s="171">
        <f t="shared" si="647"/>
        <v>0</v>
      </c>
      <c r="BM415" s="171">
        <f t="shared" si="647"/>
        <v>0</v>
      </c>
      <c r="BN415" s="171">
        <f t="shared" si="647"/>
        <v>0</v>
      </c>
      <c r="BO415" s="171">
        <f t="shared" si="648"/>
        <v>0</v>
      </c>
      <c r="BP415" s="171">
        <f t="shared" si="648"/>
        <v>0</v>
      </c>
      <c r="BQ415" s="171">
        <f t="shared" si="648"/>
        <v>0</v>
      </c>
      <c r="BR415" s="171">
        <f t="shared" si="648"/>
        <v>0</v>
      </c>
      <c r="BS415" s="171">
        <f t="shared" si="648"/>
        <v>0</v>
      </c>
      <c r="BT415" s="171">
        <f t="shared" si="648"/>
        <v>0</v>
      </c>
      <c r="BU415" s="171">
        <f t="shared" si="648"/>
        <v>0</v>
      </c>
      <c r="BV415" s="171">
        <f t="shared" si="648"/>
        <v>0</v>
      </c>
      <c r="BW415" s="171">
        <f t="shared" si="648"/>
        <v>0</v>
      </c>
      <c r="BX415" s="171">
        <f t="shared" si="648"/>
        <v>0</v>
      </c>
      <c r="BY415" s="171">
        <f t="shared" si="649"/>
        <v>0</v>
      </c>
      <c r="BZ415" s="171">
        <f t="shared" si="649"/>
        <v>0</v>
      </c>
      <c r="CA415" s="171">
        <f t="shared" si="649"/>
        <v>0</v>
      </c>
      <c r="CB415" s="171">
        <f t="shared" si="649"/>
        <v>0</v>
      </c>
      <c r="CC415" s="171">
        <f t="shared" si="649"/>
        <v>0</v>
      </c>
      <c r="CD415" s="171">
        <f t="shared" si="649"/>
        <v>0</v>
      </c>
      <c r="CE415" s="171">
        <f t="shared" si="649"/>
        <v>0</v>
      </c>
      <c r="CF415" s="171">
        <f t="shared" si="649"/>
        <v>0</v>
      </c>
      <c r="CG415" s="171">
        <f t="shared" si="649"/>
        <v>0</v>
      </c>
      <c r="CH415" s="171">
        <f t="shared" si="649"/>
        <v>0</v>
      </c>
      <c r="CI415" s="171">
        <f t="shared" si="649"/>
        <v>0</v>
      </c>
      <c r="CJ415" s="243"/>
      <c r="CK415" s="171">
        <f t="shared" si="565"/>
        <v>0</v>
      </c>
      <c r="CL415" s="171">
        <f t="shared" si="566"/>
        <v>0</v>
      </c>
      <c r="CM415" s="171">
        <f t="shared" si="567"/>
        <v>0</v>
      </c>
      <c r="CN415" s="171">
        <f t="shared" si="568"/>
        <v>0</v>
      </c>
      <c r="CO415" s="171">
        <f t="shared" si="569"/>
        <v>0</v>
      </c>
      <c r="CP415" s="171">
        <f t="shared" si="570"/>
        <v>0</v>
      </c>
      <c r="CQ415" s="171">
        <f t="shared" si="571"/>
        <v>0</v>
      </c>
      <c r="CR415" s="171">
        <f t="shared" si="572"/>
        <v>0</v>
      </c>
      <c r="CS415" s="171">
        <f t="shared" si="573"/>
        <v>0</v>
      </c>
      <c r="CT415" s="171">
        <f t="shared" si="574"/>
        <v>0</v>
      </c>
      <c r="CU415" s="171">
        <f t="shared" si="575"/>
        <v>0</v>
      </c>
      <c r="CV415" s="171">
        <f t="shared" si="576"/>
        <v>0</v>
      </c>
      <c r="CW415" s="171">
        <f t="shared" si="577"/>
        <v>0</v>
      </c>
      <c r="CX415" s="171">
        <f t="shared" si="578"/>
        <v>0</v>
      </c>
      <c r="CY415" s="171">
        <f t="shared" ca="1" si="579"/>
        <v>0</v>
      </c>
      <c r="CZ415" s="171">
        <f t="shared" ca="1" si="580"/>
        <v>0</v>
      </c>
      <c r="DA415" s="171">
        <f t="shared" ca="1" si="581"/>
        <v>0</v>
      </c>
      <c r="DB415" s="171">
        <f t="shared" ca="1" si="582"/>
        <v>0</v>
      </c>
      <c r="DC415" s="171">
        <f t="shared" ca="1" si="583"/>
        <v>0</v>
      </c>
      <c r="DD415" s="171">
        <f t="shared" ca="1" si="584"/>
        <v>0</v>
      </c>
      <c r="DE415" s="171">
        <f t="shared" ca="1" si="585"/>
        <v>0</v>
      </c>
      <c r="DF415" s="171">
        <f t="shared" ca="1" si="586"/>
        <v>0</v>
      </c>
      <c r="DG415" s="171">
        <f t="shared" ca="1" si="587"/>
        <v>0</v>
      </c>
      <c r="DH415" s="171">
        <f t="shared" ca="1" si="588"/>
        <v>0</v>
      </c>
      <c r="DI415" s="171">
        <f t="shared" ca="1" si="589"/>
        <v>0</v>
      </c>
      <c r="DJ415" s="171">
        <f t="shared" ca="1" si="590"/>
        <v>0</v>
      </c>
      <c r="DK415" s="171">
        <f t="shared" ca="1" si="591"/>
        <v>0</v>
      </c>
      <c r="DL415" s="171">
        <f t="shared" ca="1" si="592"/>
        <v>0</v>
      </c>
      <c r="DM415" s="171">
        <f t="shared" ca="1" si="593"/>
        <v>0</v>
      </c>
      <c r="DN415" s="171">
        <f t="shared" ca="1" si="594"/>
        <v>0</v>
      </c>
      <c r="DO415" s="171">
        <f t="shared" ca="1" si="595"/>
        <v>0</v>
      </c>
      <c r="DP415" s="171">
        <f t="shared" ca="1" si="596"/>
        <v>0</v>
      </c>
      <c r="DQ415" s="171">
        <f t="shared" ca="1" si="597"/>
        <v>0</v>
      </c>
      <c r="DR415" s="171">
        <f t="shared" ca="1" si="598"/>
        <v>0</v>
      </c>
      <c r="DS415" s="171">
        <f t="shared" ca="1" si="599"/>
        <v>0</v>
      </c>
      <c r="DT415" s="171">
        <f t="shared" ca="1" si="600"/>
        <v>0</v>
      </c>
      <c r="DU415" s="171">
        <f t="shared" ca="1" si="601"/>
        <v>0</v>
      </c>
      <c r="DV415" s="171">
        <f t="shared" ca="1" si="602"/>
        <v>0</v>
      </c>
      <c r="DW415" s="171">
        <f t="shared" ca="1" si="603"/>
        <v>0</v>
      </c>
      <c r="DX415" s="171">
        <f t="shared" ca="1" si="604"/>
        <v>0</v>
      </c>
      <c r="DY415" s="171">
        <f t="shared" ca="1" si="605"/>
        <v>0</v>
      </c>
      <c r="DZ415" s="171">
        <f t="shared" ca="1" si="606"/>
        <v>0</v>
      </c>
      <c r="EA415" s="171">
        <f t="shared" ca="1" si="607"/>
        <v>0</v>
      </c>
      <c r="EB415" s="171">
        <f t="shared" ca="1" si="608"/>
        <v>0</v>
      </c>
      <c r="EC415" s="171">
        <f t="shared" ca="1" si="609"/>
        <v>0</v>
      </c>
      <c r="ED415" s="171">
        <f t="shared" ca="1" si="610"/>
        <v>0</v>
      </c>
      <c r="EE415" s="171">
        <f t="shared" ca="1" si="611"/>
        <v>0</v>
      </c>
      <c r="EF415" s="171">
        <f t="shared" ca="1" si="612"/>
        <v>0</v>
      </c>
      <c r="EG415" s="171">
        <f t="shared" ca="1" si="613"/>
        <v>0</v>
      </c>
      <c r="EH415" s="171">
        <f t="shared" ca="1" si="614"/>
        <v>0</v>
      </c>
      <c r="EI415" s="171">
        <f t="shared" ca="1" si="615"/>
        <v>0</v>
      </c>
      <c r="EJ415" s="171">
        <f t="shared" ca="1" si="616"/>
        <v>0</v>
      </c>
      <c r="EK415" s="171">
        <f t="shared" ca="1" si="617"/>
        <v>0</v>
      </c>
      <c r="EL415" s="171">
        <f t="shared" ca="1" si="618"/>
        <v>0</v>
      </c>
      <c r="EM415" s="171">
        <f t="shared" ca="1" si="619"/>
        <v>0</v>
      </c>
      <c r="EN415" s="171">
        <f t="shared" ca="1" si="620"/>
        <v>0</v>
      </c>
      <c r="EO415" s="171">
        <f t="shared" ca="1" si="621"/>
        <v>0</v>
      </c>
      <c r="EP415" s="171">
        <f t="shared" ca="1" si="622"/>
        <v>0</v>
      </c>
      <c r="EQ415" s="171">
        <f t="shared" ca="1" si="623"/>
        <v>0</v>
      </c>
      <c r="ER415" s="171">
        <f t="shared" ca="1" si="624"/>
        <v>0</v>
      </c>
      <c r="ES415" s="171">
        <f t="shared" ca="1" si="625"/>
        <v>0</v>
      </c>
    </row>
    <row r="416" spans="3:149">
      <c r="C416" s="214"/>
      <c r="L416" s="163"/>
      <c r="M416" s="164" t="str">
        <f t="shared" si="550"/>
        <v/>
      </c>
      <c r="N416" s="164" t="str">
        <f t="shared" si="551"/>
        <v/>
      </c>
      <c r="O416" s="165" t="str">
        <f t="shared" si="552"/>
        <v/>
      </c>
      <c r="R416" s="168"/>
      <c r="U416" s="171">
        <f t="shared" si="553"/>
        <v>0</v>
      </c>
      <c r="V416" s="171">
        <f t="shared" ca="1" si="554"/>
        <v>0</v>
      </c>
      <c r="W416" s="171">
        <f t="shared" ca="1" si="555"/>
        <v>0</v>
      </c>
      <c r="X416" s="172">
        <f t="shared" si="556"/>
        <v>0</v>
      </c>
      <c r="Y416" s="172" t="str">
        <f t="shared" si="557"/>
        <v/>
      </c>
      <c r="Z416" s="173">
        <f t="shared" si="558"/>
        <v>0</v>
      </c>
      <c r="AA416" s="171">
        <f t="shared" si="644"/>
        <v>0</v>
      </c>
      <c r="AB416" s="171">
        <f t="shared" si="644"/>
        <v>0</v>
      </c>
      <c r="AC416" s="171">
        <f t="shared" si="644"/>
        <v>0</v>
      </c>
      <c r="AD416" s="171">
        <f t="shared" si="644"/>
        <v>0</v>
      </c>
      <c r="AE416" s="171">
        <f t="shared" si="644"/>
        <v>0</v>
      </c>
      <c r="AF416" s="171">
        <f t="shared" si="644"/>
        <v>0</v>
      </c>
      <c r="AG416" s="171">
        <f t="shared" si="644"/>
        <v>0</v>
      </c>
      <c r="AH416" s="171">
        <f t="shared" si="644"/>
        <v>0</v>
      </c>
      <c r="AI416" s="171">
        <f t="shared" si="644"/>
        <v>0</v>
      </c>
      <c r="AJ416" s="171">
        <f t="shared" si="644"/>
        <v>0</v>
      </c>
      <c r="AK416" s="171">
        <f t="shared" si="645"/>
        <v>0</v>
      </c>
      <c r="AL416" s="171">
        <f t="shared" si="645"/>
        <v>0</v>
      </c>
      <c r="AM416" s="171">
        <f t="shared" si="645"/>
        <v>0</v>
      </c>
      <c r="AN416" s="171">
        <f t="shared" si="645"/>
        <v>0</v>
      </c>
      <c r="AO416" s="171">
        <f t="shared" si="645"/>
        <v>0</v>
      </c>
      <c r="AP416" s="171">
        <f t="shared" si="645"/>
        <v>0</v>
      </c>
      <c r="AQ416" s="171">
        <f t="shared" si="645"/>
        <v>0</v>
      </c>
      <c r="AR416" s="171">
        <f t="shared" si="645"/>
        <v>0</v>
      </c>
      <c r="AS416" s="171">
        <f t="shared" si="645"/>
        <v>0</v>
      </c>
      <c r="AT416" s="171">
        <f t="shared" si="645"/>
        <v>0</v>
      </c>
      <c r="AU416" s="171">
        <f t="shared" si="646"/>
        <v>0</v>
      </c>
      <c r="AV416" s="171">
        <f t="shared" si="646"/>
        <v>0</v>
      </c>
      <c r="AW416" s="171">
        <f t="shared" si="646"/>
        <v>0</v>
      </c>
      <c r="AX416" s="171">
        <f t="shared" si="646"/>
        <v>0</v>
      </c>
      <c r="AY416" s="171">
        <f t="shared" si="646"/>
        <v>0</v>
      </c>
      <c r="AZ416" s="171">
        <f t="shared" si="646"/>
        <v>0</v>
      </c>
      <c r="BA416" s="171">
        <f t="shared" si="646"/>
        <v>0</v>
      </c>
      <c r="BB416" s="171">
        <f t="shared" si="646"/>
        <v>0</v>
      </c>
      <c r="BC416" s="171">
        <f t="shared" si="646"/>
        <v>0</v>
      </c>
      <c r="BD416" s="171">
        <f t="shared" si="646"/>
        <v>0</v>
      </c>
      <c r="BE416" s="171">
        <f t="shared" si="647"/>
        <v>0</v>
      </c>
      <c r="BF416" s="171">
        <f t="shared" si="647"/>
        <v>0</v>
      </c>
      <c r="BG416" s="171">
        <f t="shared" si="647"/>
        <v>0</v>
      </c>
      <c r="BH416" s="171">
        <f t="shared" si="647"/>
        <v>0</v>
      </c>
      <c r="BI416" s="171">
        <f t="shared" si="647"/>
        <v>0</v>
      </c>
      <c r="BJ416" s="171">
        <f t="shared" si="647"/>
        <v>0</v>
      </c>
      <c r="BK416" s="171">
        <f t="shared" si="647"/>
        <v>0</v>
      </c>
      <c r="BL416" s="171">
        <f t="shared" si="647"/>
        <v>0</v>
      </c>
      <c r="BM416" s="171">
        <f t="shared" si="647"/>
        <v>0</v>
      </c>
      <c r="BN416" s="171">
        <f t="shared" si="647"/>
        <v>0</v>
      </c>
      <c r="BO416" s="171">
        <f t="shared" si="648"/>
        <v>0</v>
      </c>
      <c r="BP416" s="171">
        <f t="shared" si="648"/>
        <v>0</v>
      </c>
      <c r="BQ416" s="171">
        <f t="shared" si="648"/>
        <v>0</v>
      </c>
      <c r="BR416" s="171">
        <f t="shared" si="648"/>
        <v>0</v>
      </c>
      <c r="BS416" s="171">
        <f t="shared" si="648"/>
        <v>0</v>
      </c>
      <c r="BT416" s="171">
        <f t="shared" si="648"/>
        <v>0</v>
      </c>
      <c r="BU416" s="171">
        <f t="shared" si="648"/>
        <v>0</v>
      </c>
      <c r="BV416" s="171">
        <f t="shared" si="648"/>
        <v>0</v>
      </c>
      <c r="BW416" s="171">
        <f t="shared" si="648"/>
        <v>0</v>
      </c>
      <c r="BX416" s="171">
        <f t="shared" si="648"/>
        <v>0</v>
      </c>
      <c r="BY416" s="171">
        <f t="shared" si="649"/>
        <v>0</v>
      </c>
      <c r="BZ416" s="171">
        <f t="shared" si="649"/>
        <v>0</v>
      </c>
      <c r="CA416" s="171">
        <f t="shared" si="649"/>
        <v>0</v>
      </c>
      <c r="CB416" s="171">
        <f t="shared" si="649"/>
        <v>0</v>
      </c>
      <c r="CC416" s="171">
        <f t="shared" si="649"/>
        <v>0</v>
      </c>
      <c r="CD416" s="171">
        <f t="shared" si="649"/>
        <v>0</v>
      </c>
      <c r="CE416" s="171">
        <f t="shared" si="649"/>
        <v>0</v>
      </c>
      <c r="CF416" s="171">
        <f t="shared" si="649"/>
        <v>0</v>
      </c>
      <c r="CG416" s="171">
        <f t="shared" si="649"/>
        <v>0</v>
      </c>
      <c r="CH416" s="171">
        <f t="shared" si="649"/>
        <v>0</v>
      </c>
      <c r="CI416" s="171">
        <f t="shared" si="649"/>
        <v>0</v>
      </c>
      <c r="CJ416" s="243"/>
      <c r="CK416" s="171">
        <f t="shared" si="565"/>
        <v>0</v>
      </c>
      <c r="CL416" s="171">
        <f t="shared" si="566"/>
        <v>0</v>
      </c>
      <c r="CM416" s="171">
        <f t="shared" si="567"/>
        <v>0</v>
      </c>
      <c r="CN416" s="171">
        <f t="shared" si="568"/>
        <v>0</v>
      </c>
      <c r="CO416" s="171">
        <f t="shared" si="569"/>
        <v>0</v>
      </c>
      <c r="CP416" s="171">
        <f t="shared" si="570"/>
        <v>0</v>
      </c>
      <c r="CQ416" s="171">
        <f t="shared" si="571"/>
        <v>0</v>
      </c>
      <c r="CR416" s="171">
        <f t="shared" si="572"/>
        <v>0</v>
      </c>
      <c r="CS416" s="171">
        <f t="shared" si="573"/>
        <v>0</v>
      </c>
      <c r="CT416" s="171">
        <f t="shared" si="574"/>
        <v>0</v>
      </c>
      <c r="CU416" s="171">
        <f t="shared" si="575"/>
        <v>0</v>
      </c>
      <c r="CV416" s="171">
        <f t="shared" si="576"/>
        <v>0</v>
      </c>
      <c r="CW416" s="171">
        <f t="shared" si="577"/>
        <v>0</v>
      </c>
      <c r="CX416" s="171">
        <f t="shared" si="578"/>
        <v>0</v>
      </c>
      <c r="CY416" s="171">
        <f t="shared" ca="1" si="579"/>
        <v>0</v>
      </c>
      <c r="CZ416" s="171">
        <f t="shared" ca="1" si="580"/>
        <v>0</v>
      </c>
      <c r="DA416" s="171">
        <f t="shared" ca="1" si="581"/>
        <v>0</v>
      </c>
      <c r="DB416" s="171">
        <f t="shared" ca="1" si="582"/>
        <v>0</v>
      </c>
      <c r="DC416" s="171">
        <f t="shared" ca="1" si="583"/>
        <v>0</v>
      </c>
      <c r="DD416" s="171">
        <f t="shared" ca="1" si="584"/>
        <v>0</v>
      </c>
      <c r="DE416" s="171">
        <f t="shared" ca="1" si="585"/>
        <v>0</v>
      </c>
      <c r="DF416" s="171">
        <f t="shared" ca="1" si="586"/>
        <v>0</v>
      </c>
      <c r="DG416" s="171">
        <f t="shared" ca="1" si="587"/>
        <v>0</v>
      </c>
      <c r="DH416" s="171">
        <f t="shared" ca="1" si="588"/>
        <v>0</v>
      </c>
      <c r="DI416" s="171">
        <f t="shared" ca="1" si="589"/>
        <v>0</v>
      </c>
      <c r="DJ416" s="171">
        <f t="shared" ca="1" si="590"/>
        <v>0</v>
      </c>
      <c r="DK416" s="171">
        <f t="shared" ca="1" si="591"/>
        <v>0</v>
      </c>
      <c r="DL416" s="171">
        <f t="shared" ca="1" si="592"/>
        <v>0</v>
      </c>
      <c r="DM416" s="171">
        <f t="shared" ca="1" si="593"/>
        <v>0</v>
      </c>
      <c r="DN416" s="171">
        <f t="shared" ca="1" si="594"/>
        <v>0</v>
      </c>
      <c r="DO416" s="171">
        <f t="shared" ca="1" si="595"/>
        <v>0</v>
      </c>
      <c r="DP416" s="171">
        <f t="shared" ca="1" si="596"/>
        <v>0</v>
      </c>
      <c r="DQ416" s="171">
        <f t="shared" ca="1" si="597"/>
        <v>0</v>
      </c>
      <c r="DR416" s="171">
        <f t="shared" ca="1" si="598"/>
        <v>0</v>
      </c>
      <c r="DS416" s="171">
        <f t="shared" ca="1" si="599"/>
        <v>0</v>
      </c>
      <c r="DT416" s="171">
        <f t="shared" ca="1" si="600"/>
        <v>0</v>
      </c>
      <c r="DU416" s="171">
        <f t="shared" ca="1" si="601"/>
        <v>0</v>
      </c>
      <c r="DV416" s="171">
        <f t="shared" ca="1" si="602"/>
        <v>0</v>
      </c>
      <c r="DW416" s="171">
        <f t="shared" ca="1" si="603"/>
        <v>0</v>
      </c>
      <c r="DX416" s="171">
        <f t="shared" ca="1" si="604"/>
        <v>0</v>
      </c>
      <c r="DY416" s="171">
        <f t="shared" ca="1" si="605"/>
        <v>0</v>
      </c>
      <c r="DZ416" s="171">
        <f t="shared" ca="1" si="606"/>
        <v>0</v>
      </c>
      <c r="EA416" s="171">
        <f t="shared" ca="1" si="607"/>
        <v>0</v>
      </c>
      <c r="EB416" s="171">
        <f t="shared" ca="1" si="608"/>
        <v>0</v>
      </c>
      <c r="EC416" s="171">
        <f t="shared" ca="1" si="609"/>
        <v>0</v>
      </c>
      <c r="ED416" s="171">
        <f t="shared" ca="1" si="610"/>
        <v>0</v>
      </c>
      <c r="EE416" s="171">
        <f t="shared" ca="1" si="611"/>
        <v>0</v>
      </c>
      <c r="EF416" s="171">
        <f t="shared" ca="1" si="612"/>
        <v>0</v>
      </c>
      <c r="EG416" s="171">
        <f t="shared" ca="1" si="613"/>
        <v>0</v>
      </c>
      <c r="EH416" s="171">
        <f t="shared" ca="1" si="614"/>
        <v>0</v>
      </c>
      <c r="EI416" s="171">
        <f t="shared" ca="1" si="615"/>
        <v>0</v>
      </c>
      <c r="EJ416" s="171">
        <f t="shared" ca="1" si="616"/>
        <v>0</v>
      </c>
      <c r="EK416" s="171">
        <f t="shared" ca="1" si="617"/>
        <v>0</v>
      </c>
      <c r="EL416" s="171">
        <f t="shared" ca="1" si="618"/>
        <v>0</v>
      </c>
      <c r="EM416" s="171">
        <f t="shared" ca="1" si="619"/>
        <v>0</v>
      </c>
      <c r="EN416" s="171">
        <f t="shared" ca="1" si="620"/>
        <v>0</v>
      </c>
      <c r="EO416" s="171">
        <f t="shared" ca="1" si="621"/>
        <v>0</v>
      </c>
      <c r="EP416" s="171">
        <f t="shared" ca="1" si="622"/>
        <v>0</v>
      </c>
      <c r="EQ416" s="171">
        <f t="shared" ca="1" si="623"/>
        <v>0</v>
      </c>
      <c r="ER416" s="171">
        <f t="shared" ca="1" si="624"/>
        <v>0</v>
      </c>
      <c r="ES416" s="171">
        <f t="shared" ca="1" si="625"/>
        <v>0</v>
      </c>
    </row>
    <row r="417" spans="3:149">
      <c r="C417" s="214"/>
      <c r="L417" s="163"/>
      <c r="M417" s="164" t="str">
        <f t="shared" si="550"/>
        <v/>
      </c>
      <c r="N417" s="164" t="str">
        <f t="shared" si="551"/>
        <v/>
      </c>
      <c r="O417" s="165" t="str">
        <f t="shared" si="552"/>
        <v/>
      </c>
      <c r="R417" s="168"/>
      <c r="U417" s="171">
        <f t="shared" si="553"/>
        <v>0</v>
      </c>
      <c r="V417" s="171">
        <f t="shared" ca="1" si="554"/>
        <v>0</v>
      </c>
      <c r="W417" s="171">
        <f t="shared" ca="1" si="555"/>
        <v>0</v>
      </c>
      <c r="X417" s="172">
        <f t="shared" si="556"/>
        <v>0</v>
      </c>
      <c r="Y417" s="172" t="str">
        <f t="shared" si="557"/>
        <v/>
      </c>
      <c r="Z417" s="173">
        <f t="shared" si="558"/>
        <v>0</v>
      </c>
      <c r="AA417" s="171">
        <f t="shared" si="644"/>
        <v>0</v>
      </c>
      <c r="AB417" s="171">
        <f t="shared" si="644"/>
        <v>0</v>
      </c>
      <c r="AC417" s="171">
        <f t="shared" si="644"/>
        <v>0</v>
      </c>
      <c r="AD417" s="171">
        <f t="shared" si="644"/>
        <v>0</v>
      </c>
      <c r="AE417" s="171">
        <f t="shared" si="644"/>
        <v>0</v>
      </c>
      <c r="AF417" s="171">
        <f t="shared" si="644"/>
        <v>0</v>
      </c>
      <c r="AG417" s="171">
        <f t="shared" si="644"/>
        <v>0</v>
      </c>
      <c r="AH417" s="171">
        <f t="shared" si="644"/>
        <v>0</v>
      </c>
      <c r="AI417" s="171">
        <f t="shared" si="644"/>
        <v>0</v>
      </c>
      <c r="AJ417" s="171">
        <f t="shared" si="644"/>
        <v>0</v>
      </c>
      <c r="AK417" s="171">
        <f t="shared" si="645"/>
        <v>0</v>
      </c>
      <c r="AL417" s="171">
        <f t="shared" si="645"/>
        <v>0</v>
      </c>
      <c r="AM417" s="171">
        <f t="shared" si="645"/>
        <v>0</v>
      </c>
      <c r="AN417" s="171">
        <f t="shared" si="645"/>
        <v>0</v>
      </c>
      <c r="AO417" s="171">
        <f t="shared" si="645"/>
        <v>0</v>
      </c>
      <c r="AP417" s="171">
        <f t="shared" si="645"/>
        <v>0</v>
      </c>
      <c r="AQ417" s="171">
        <f t="shared" si="645"/>
        <v>0</v>
      </c>
      <c r="AR417" s="171">
        <f t="shared" si="645"/>
        <v>0</v>
      </c>
      <c r="AS417" s="171">
        <f t="shared" si="645"/>
        <v>0</v>
      </c>
      <c r="AT417" s="171">
        <f t="shared" si="645"/>
        <v>0</v>
      </c>
      <c r="AU417" s="171">
        <f t="shared" si="646"/>
        <v>0</v>
      </c>
      <c r="AV417" s="171">
        <f t="shared" si="646"/>
        <v>0</v>
      </c>
      <c r="AW417" s="171">
        <f t="shared" si="646"/>
        <v>0</v>
      </c>
      <c r="AX417" s="171">
        <f t="shared" si="646"/>
        <v>0</v>
      </c>
      <c r="AY417" s="171">
        <f t="shared" si="646"/>
        <v>0</v>
      </c>
      <c r="AZ417" s="171">
        <f t="shared" si="646"/>
        <v>0</v>
      </c>
      <c r="BA417" s="171">
        <f t="shared" si="646"/>
        <v>0</v>
      </c>
      <c r="BB417" s="171">
        <f t="shared" si="646"/>
        <v>0</v>
      </c>
      <c r="BC417" s="171">
        <f t="shared" si="646"/>
        <v>0</v>
      </c>
      <c r="BD417" s="171">
        <f t="shared" si="646"/>
        <v>0</v>
      </c>
      <c r="BE417" s="171">
        <f t="shared" si="647"/>
        <v>0</v>
      </c>
      <c r="BF417" s="171">
        <f t="shared" si="647"/>
        <v>0</v>
      </c>
      <c r="BG417" s="171">
        <f t="shared" si="647"/>
        <v>0</v>
      </c>
      <c r="BH417" s="171">
        <f t="shared" si="647"/>
        <v>0</v>
      </c>
      <c r="BI417" s="171">
        <f t="shared" si="647"/>
        <v>0</v>
      </c>
      <c r="BJ417" s="171">
        <f t="shared" si="647"/>
        <v>0</v>
      </c>
      <c r="BK417" s="171">
        <f t="shared" si="647"/>
        <v>0</v>
      </c>
      <c r="BL417" s="171">
        <f t="shared" si="647"/>
        <v>0</v>
      </c>
      <c r="BM417" s="171">
        <f t="shared" si="647"/>
        <v>0</v>
      </c>
      <c r="BN417" s="171">
        <f t="shared" si="647"/>
        <v>0</v>
      </c>
      <c r="BO417" s="171">
        <f t="shared" si="648"/>
        <v>0</v>
      </c>
      <c r="BP417" s="171">
        <f t="shared" si="648"/>
        <v>0</v>
      </c>
      <c r="BQ417" s="171">
        <f t="shared" si="648"/>
        <v>0</v>
      </c>
      <c r="BR417" s="171">
        <f t="shared" si="648"/>
        <v>0</v>
      </c>
      <c r="BS417" s="171">
        <f t="shared" si="648"/>
        <v>0</v>
      </c>
      <c r="BT417" s="171">
        <f t="shared" si="648"/>
        <v>0</v>
      </c>
      <c r="BU417" s="171">
        <f t="shared" si="648"/>
        <v>0</v>
      </c>
      <c r="BV417" s="171">
        <f t="shared" si="648"/>
        <v>0</v>
      </c>
      <c r="BW417" s="171">
        <f t="shared" si="648"/>
        <v>0</v>
      </c>
      <c r="BX417" s="171">
        <f t="shared" si="648"/>
        <v>0</v>
      </c>
      <c r="BY417" s="171">
        <f t="shared" si="649"/>
        <v>0</v>
      </c>
      <c r="BZ417" s="171">
        <f t="shared" si="649"/>
        <v>0</v>
      </c>
      <c r="CA417" s="171">
        <f t="shared" si="649"/>
        <v>0</v>
      </c>
      <c r="CB417" s="171">
        <f t="shared" si="649"/>
        <v>0</v>
      </c>
      <c r="CC417" s="171">
        <f t="shared" si="649"/>
        <v>0</v>
      </c>
      <c r="CD417" s="171">
        <f t="shared" si="649"/>
        <v>0</v>
      </c>
      <c r="CE417" s="171">
        <f t="shared" si="649"/>
        <v>0</v>
      </c>
      <c r="CF417" s="171">
        <f t="shared" si="649"/>
        <v>0</v>
      </c>
      <c r="CG417" s="171">
        <f t="shared" si="649"/>
        <v>0</v>
      </c>
      <c r="CH417" s="171">
        <f t="shared" si="649"/>
        <v>0</v>
      </c>
      <c r="CI417" s="171">
        <f t="shared" si="649"/>
        <v>0</v>
      </c>
      <c r="CJ417" s="243"/>
      <c r="CK417" s="171">
        <f t="shared" si="565"/>
        <v>0</v>
      </c>
      <c r="CL417" s="171">
        <f t="shared" si="566"/>
        <v>0</v>
      </c>
      <c r="CM417" s="171">
        <f t="shared" si="567"/>
        <v>0</v>
      </c>
      <c r="CN417" s="171">
        <f t="shared" si="568"/>
        <v>0</v>
      </c>
      <c r="CO417" s="171">
        <f t="shared" si="569"/>
        <v>0</v>
      </c>
      <c r="CP417" s="171">
        <f t="shared" si="570"/>
        <v>0</v>
      </c>
      <c r="CQ417" s="171">
        <f t="shared" si="571"/>
        <v>0</v>
      </c>
      <c r="CR417" s="171">
        <f t="shared" si="572"/>
        <v>0</v>
      </c>
      <c r="CS417" s="171">
        <f t="shared" si="573"/>
        <v>0</v>
      </c>
      <c r="CT417" s="171">
        <f t="shared" si="574"/>
        <v>0</v>
      </c>
      <c r="CU417" s="171">
        <f t="shared" si="575"/>
        <v>0</v>
      </c>
      <c r="CV417" s="171">
        <f t="shared" si="576"/>
        <v>0</v>
      </c>
      <c r="CW417" s="171">
        <f t="shared" si="577"/>
        <v>0</v>
      </c>
      <c r="CX417" s="171">
        <f t="shared" si="578"/>
        <v>0</v>
      </c>
      <c r="CY417" s="171">
        <f t="shared" ca="1" si="579"/>
        <v>0</v>
      </c>
      <c r="CZ417" s="171">
        <f t="shared" ca="1" si="580"/>
        <v>0</v>
      </c>
      <c r="DA417" s="171">
        <f t="shared" ca="1" si="581"/>
        <v>0</v>
      </c>
      <c r="DB417" s="171">
        <f t="shared" ca="1" si="582"/>
        <v>0</v>
      </c>
      <c r="DC417" s="171">
        <f t="shared" ca="1" si="583"/>
        <v>0</v>
      </c>
      <c r="DD417" s="171">
        <f t="shared" ca="1" si="584"/>
        <v>0</v>
      </c>
      <c r="DE417" s="171">
        <f t="shared" ca="1" si="585"/>
        <v>0</v>
      </c>
      <c r="DF417" s="171">
        <f t="shared" ca="1" si="586"/>
        <v>0</v>
      </c>
      <c r="DG417" s="171">
        <f t="shared" ca="1" si="587"/>
        <v>0</v>
      </c>
      <c r="DH417" s="171">
        <f t="shared" ca="1" si="588"/>
        <v>0</v>
      </c>
      <c r="DI417" s="171">
        <f t="shared" ca="1" si="589"/>
        <v>0</v>
      </c>
      <c r="DJ417" s="171">
        <f t="shared" ca="1" si="590"/>
        <v>0</v>
      </c>
      <c r="DK417" s="171">
        <f t="shared" ca="1" si="591"/>
        <v>0</v>
      </c>
      <c r="DL417" s="171">
        <f t="shared" ca="1" si="592"/>
        <v>0</v>
      </c>
      <c r="DM417" s="171">
        <f t="shared" ca="1" si="593"/>
        <v>0</v>
      </c>
      <c r="DN417" s="171">
        <f t="shared" ca="1" si="594"/>
        <v>0</v>
      </c>
      <c r="DO417" s="171">
        <f t="shared" ca="1" si="595"/>
        <v>0</v>
      </c>
      <c r="DP417" s="171">
        <f t="shared" ca="1" si="596"/>
        <v>0</v>
      </c>
      <c r="DQ417" s="171">
        <f t="shared" ca="1" si="597"/>
        <v>0</v>
      </c>
      <c r="DR417" s="171">
        <f t="shared" ca="1" si="598"/>
        <v>0</v>
      </c>
      <c r="DS417" s="171">
        <f t="shared" ca="1" si="599"/>
        <v>0</v>
      </c>
      <c r="DT417" s="171">
        <f t="shared" ca="1" si="600"/>
        <v>0</v>
      </c>
      <c r="DU417" s="171">
        <f t="shared" ca="1" si="601"/>
        <v>0</v>
      </c>
      <c r="DV417" s="171">
        <f t="shared" ca="1" si="602"/>
        <v>0</v>
      </c>
      <c r="DW417" s="171">
        <f t="shared" ca="1" si="603"/>
        <v>0</v>
      </c>
      <c r="DX417" s="171">
        <f t="shared" ca="1" si="604"/>
        <v>0</v>
      </c>
      <c r="DY417" s="171">
        <f t="shared" ca="1" si="605"/>
        <v>0</v>
      </c>
      <c r="DZ417" s="171">
        <f t="shared" ca="1" si="606"/>
        <v>0</v>
      </c>
      <c r="EA417" s="171">
        <f t="shared" ca="1" si="607"/>
        <v>0</v>
      </c>
      <c r="EB417" s="171">
        <f t="shared" ca="1" si="608"/>
        <v>0</v>
      </c>
      <c r="EC417" s="171">
        <f t="shared" ca="1" si="609"/>
        <v>0</v>
      </c>
      <c r="ED417" s="171">
        <f t="shared" ca="1" si="610"/>
        <v>0</v>
      </c>
      <c r="EE417" s="171">
        <f t="shared" ca="1" si="611"/>
        <v>0</v>
      </c>
      <c r="EF417" s="171">
        <f t="shared" ca="1" si="612"/>
        <v>0</v>
      </c>
      <c r="EG417" s="171">
        <f t="shared" ca="1" si="613"/>
        <v>0</v>
      </c>
      <c r="EH417" s="171">
        <f t="shared" ca="1" si="614"/>
        <v>0</v>
      </c>
      <c r="EI417" s="171">
        <f t="shared" ca="1" si="615"/>
        <v>0</v>
      </c>
      <c r="EJ417" s="171">
        <f t="shared" ca="1" si="616"/>
        <v>0</v>
      </c>
      <c r="EK417" s="171">
        <f t="shared" ca="1" si="617"/>
        <v>0</v>
      </c>
      <c r="EL417" s="171">
        <f t="shared" ca="1" si="618"/>
        <v>0</v>
      </c>
      <c r="EM417" s="171">
        <f t="shared" ca="1" si="619"/>
        <v>0</v>
      </c>
      <c r="EN417" s="171">
        <f t="shared" ca="1" si="620"/>
        <v>0</v>
      </c>
      <c r="EO417" s="171">
        <f t="shared" ca="1" si="621"/>
        <v>0</v>
      </c>
      <c r="EP417" s="171">
        <f t="shared" ca="1" si="622"/>
        <v>0</v>
      </c>
      <c r="EQ417" s="171">
        <f t="shared" ca="1" si="623"/>
        <v>0</v>
      </c>
      <c r="ER417" s="171">
        <f t="shared" ca="1" si="624"/>
        <v>0</v>
      </c>
      <c r="ES417" s="171">
        <f t="shared" ca="1" si="625"/>
        <v>0</v>
      </c>
    </row>
    <row r="418" spans="3:149">
      <c r="C418" s="214"/>
      <c r="L418" s="163"/>
      <c r="M418" s="164" t="str">
        <f t="shared" si="550"/>
        <v/>
      </c>
      <c r="N418" s="164" t="str">
        <f t="shared" si="551"/>
        <v/>
      </c>
      <c r="O418" s="165" t="str">
        <f t="shared" si="552"/>
        <v/>
      </c>
      <c r="R418" s="168"/>
      <c r="U418" s="171">
        <f t="shared" si="553"/>
        <v>0</v>
      </c>
      <c r="V418" s="171">
        <f t="shared" ca="1" si="554"/>
        <v>0</v>
      </c>
      <c r="W418" s="171">
        <f t="shared" ca="1" si="555"/>
        <v>0</v>
      </c>
      <c r="X418" s="172">
        <f t="shared" si="556"/>
        <v>0</v>
      </c>
      <c r="Y418" s="172" t="str">
        <f t="shared" si="557"/>
        <v/>
      </c>
      <c r="Z418" s="173">
        <f t="shared" si="558"/>
        <v>0</v>
      </c>
      <c r="AA418" s="171">
        <f t="shared" si="644"/>
        <v>0</v>
      </c>
      <c r="AB418" s="171">
        <f t="shared" si="644"/>
        <v>0</v>
      </c>
      <c r="AC418" s="171">
        <f t="shared" si="644"/>
        <v>0</v>
      </c>
      <c r="AD418" s="171">
        <f t="shared" si="644"/>
        <v>0</v>
      </c>
      <c r="AE418" s="171">
        <f t="shared" si="644"/>
        <v>0</v>
      </c>
      <c r="AF418" s="171">
        <f t="shared" si="644"/>
        <v>0</v>
      </c>
      <c r="AG418" s="171">
        <f t="shared" si="644"/>
        <v>0</v>
      </c>
      <c r="AH418" s="171">
        <f t="shared" si="644"/>
        <v>0</v>
      </c>
      <c r="AI418" s="171">
        <f t="shared" si="644"/>
        <v>0</v>
      </c>
      <c r="AJ418" s="171">
        <f t="shared" si="644"/>
        <v>0</v>
      </c>
      <c r="AK418" s="171">
        <f t="shared" si="645"/>
        <v>0</v>
      </c>
      <c r="AL418" s="171">
        <f t="shared" si="645"/>
        <v>0</v>
      </c>
      <c r="AM418" s="171">
        <f t="shared" si="645"/>
        <v>0</v>
      </c>
      <c r="AN418" s="171">
        <f t="shared" si="645"/>
        <v>0</v>
      </c>
      <c r="AO418" s="171">
        <f t="shared" si="645"/>
        <v>0</v>
      </c>
      <c r="AP418" s="171">
        <f t="shared" si="645"/>
        <v>0</v>
      </c>
      <c r="AQ418" s="171">
        <f t="shared" si="645"/>
        <v>0</v>
      </c>
      <c r="AR418" s="171">
        <f t="shared" si="645"/>
        <v>0</v>
      </c>
      <c r="AS418" s="171">
        <f t="shared" si="645"/>
        <v>0</v>
      </c>
      <c r="AT418" s="171">
        <f t="shared" si="645"/>
        <v>0</v>
      </c>
      <c r="AU418" s="171">
        <f t="shared" si="646"/>
        <v>0</v>
      </c>
      <c r="AV418" s="171">
        <f t="shared" si="646"/>
        <v>0</v>
      </c>
      <c r="AW418" s="171">
        <f t="shared" si="646"/>
        <v>0</v>
      </c>
      <c r="AX418" s="171">
        <f t="shared" si="646"/>
        <v>0</v>
      </c>
      <c r="AY418" s="171">
        <f t="shared" si="646"/>
        <v>0</v>
      </c>
      <c r="AZ418" s="171">
        <f t="shared" si="646"/>
        <v>0</v>
      </c>
      <c r="BA418" s="171">
        <f t="shared" si="646"/>
        <v>0</v>
      </c>
      <c r="BB418" s="171">
        <f t="shared" si="646"/>
        <v>0</v>
      </c>
      <c r="BC418" s="171">
        <f t="shared" si="646"/>
        <v>0</v>
      </c>
      <c r="BD418" s="171">
        <f t="shared" si="646"/>
        <v>0</v>
      </c>
      <c r="BE418" s="171">
        <f t="shared" si="647"/>
        <v>0</v>
      </c>
      <c r="BF418" s="171">
        <f t="shared" si="647"/>
        <v>0</v>
      </c>
      <c r="BG418" s="171">
        <f t="shared" si="647"/>
        <v>0</v>
      </c>
      <c r="BH418" s="171">
        <f t="shared" si="647"/>
        <v>0</v>
      </c>
      <c r="BI418" s="171">
        <f t="shared" si="647"/>
        <v>0</v>
      </c>
      <c r="BJ418" s="171">
        <f t="shared" si="647"/>
        <v>0</v>
      </c>
      <c r="BK418" s="171">
        <f t="shared" si="647"/>
        <v>0</v>
      </c>
      <c r="BL418" s="171">
        <f t="shared" si="647"/>
        <v>0</v>
      </c>
      <c r="BM418" s="171">
        <f t="shared" si="647"/>
        <v>0</v>
      </c>
      <c r="BN418" s="171">
        <f t="shared" si="647"/>
        <v>0</v>
      </c>
      <c r="BO418" s="171">
        <f t="shared" si="648"/>
        <v>0</v>
      </c>
      <c r="BP418" s="171">
        <f t="shared" si="648"/>
        <v>0</v>
      </c>
      <c r="BQ418" s="171">
        <f t="shared" si="648"/>
        <v>0</v>
      </c>
      <c r="BR418" s="171">
        <f t="shared" si="648"/>
        <v>0</v>
      </c>
      <c r="BS418" s="171">
        <f t="shared" si="648"/>
        <v>0</v>
      </c>
      <c r="BT418" s="171">
        <f t="shared" si="648"/>
        <v>0</v>
      </c>
      <c r="BU418" s="171">
        <f t="shared" si="648"/>
        <v>0</v>
      </c>
      <c r="BV418" s="171">
        <f t="shared" si="648"/>
        <v>0</v>
      </c>
      <c r="BW418" s="171">
        <f t="shared" si="648"/>
        <v>0</v>
      </c>
      <c r="BX418" s="171">
        <f t="shared" si="648"/>
        <v>0</v>
      </c>
      <c r="BY418" s="171">
        <f t="shared" si="649"/>
        <v>0</v>
      </c>
      <c r="BZ418" s="171">
        <f t="shared" si="649"/>
        <v>0</v>
      </c>
      <c r="CA418" s="171">
        <f t="shared" si="649"/>
        <v>0</v>
      </c>
      <c r="CB418" s="171">
        <f t="shared" si="649"/>
        <v>0</v>
      </c>
      <c r="CC418" s="171">
        <f t="shared" si="649"/>
        <v>0</v>
      </c>
      <c r="CD418" s="171">
        <f t="shared" si="649"/>
        <v>0</v>
      </c>
      <c r="CE418" s="171">
        <f t="shared" si="649"/>
        <v>0</v>
      </c>
      <c r="CF418" s="171">
        <f t="shared" si="649"/>
        <v>0</v>
      </c>
      <c r="CG418" s="171">
        <f t="shared" si="649"/>
        <v>0</v>
      </c>
      <c r="CH418" s="171">
        <f t="shared" si="649"/>
        <v>0</v>
      </c>
      <c r="CI418" s="171">
        <f t="shared" si="649"/>
        <v>0</v>
      </c>
      <c r="CJ418" s="243"/>
      <c r="CK418" s="171">
        <f t="shared" si="565"/>
        <v>0</v>
      </c>
      <c r="CL418" s="171">
        <f t="shared" si="566"/>
        <v>0</v>
      </c>
      <c r="CM418" s="171">
        <f t="shared" si="567"/>
        <v>0</v>
      </c>
      <c r="CN418" s="171">
        <f t="shared" si="568"/>
        <v>0</v>
      </c>
      <c r="CO418" s="171">
        <f t="shared" si="569"/>
        <v>0</v>
      </c>
      <c r="CP418" s="171">
        <f t="shared" si="570"/>
        <v>0</v>
      </c>
      <c r="CQ418" s="171">
        <f t="shared" si="571"/>
        <v>0</v>
      </c>
      <c r="CR418" s="171">
        <f t="shared" si="572"/>
        <v>0</v>
      </c>
      <c r="CS418" s="171">
        <f t="shared" si="573"/>
        <v>0</v>
      </c>
      <c r="CT418" s="171">
        <f t="shared" si="574"/>
        <v>0</v>
      </c>
      <c r="CU418" s="171">
        <f t="shared" si="575"/>
        <v>0</v>
      </c>
      <c r="CV418" s="171">
        <f t="shared" si="576"/>
        <v>0</v>
      </c>
      <c r="CW418" s="171">
        <f t="shared" si="577"/>
        <v>0</v>
      </c>
      <c r="CX418" s="171">
        <f t="shared" si="578"/>
        <v>0</v>
      </c>
      <c r="CY418" s="171">
        <f t="shared" ca="1" si="579"/>
        <v>0</v>
      </c>
      <c r="CZ418" s="171">
        <f t="shared" ca="1" si="580"/>
        <v>0</v>
      </c>
      <c r="DA418" s="171">
        <f t="shared" ca="1" si="581"/>
        <v>0</v>
      </c>
      <c r="DB418" s="171">
        <f t="shared" ca="1" si="582"/>
        <v>0</v>
      </c>
      <c r="DC418" s="171">
        <f t="shared" ca="1" si="583"/>
        <v>0</v>
      </c>
      <c r="DD418" s="171">
        <f t="shared" ca="1" si="584"/>
        <v>0</v>
      </c>
      <c r="DE418" s="171">
        <f t="shared" ca="1" si="585"/>
        <v>0</v>
      </c>
      <c r="DF418" s="171">
        <f t="shared" ca="1" si="586"/>
        <v>0</v>
      </c>
      <c r="DG418" s="171">
        <f t="shared" ca="1" si="587"/>
        <v>0</v>
      </c>
      <c r="DH418" s="171">
        <f t="shared" ca="1" si="588"/>
        <v>0</v>
      </c>
      <c r="DI418" s="171">
        <f t="shared" ca="1" si="589"/>
        <v>0</v>
      </c>
      <c r="DJ418" s="171">
        <f t="shared" ca="1" si="590"/>
        <v>0</v>
      </c>
      <c r="DK418" s="171">
        <f t="shared" ca="1" si="591"/>
        <v>0</v>
      </c>
      <c r="DL418" s="171">
        <f t="shared" ca="1" si="592"/>
        <v>0</v>
      </c>
      <c r="DM418" s="171">
        <f t="shared" ca="1" si="593"/>
        <v>0</v>
      </c>
      <c r="DN418" s="171">
        <f t="shared" ca="1" si="594"/>
        <v>0</v>
      </c>
      <c r="DO418" s="171">
        <f t="shared" ca="1" si="595"/>
        <v>0</v>
      </c>
      <c r="DP418" s="171">
        <f t="shared" ca="1" si="596"/>
        <v>0</v>
      </c>
      <c r="DQ418" s="171">
        <f t="shared" ca="1" si="597"/>
        <v>0</v>
      </c>
      <c r="DR418" s="171">
        <f t="shared" ca="1" si="598"/>
        <v>0</v>
      </c>
      <c r="DS418" s="171">
        <f t="shared" ca="1" si="599"/>
        <v>0</v>
      </c>
      <c r="DT418" s="171">
        <f t="shared" ca="1" si="600"/>
        <v>0</v>
      </c>
      <c r="DU418" s="171">
        <f t="shared" ca="1" si="601"/>
        <v>0</v>
      </c>
      <c r="DV418" s="171">
        <f t="shared" ca="1" si="602"/>
        <v>0</v>
      </c>
      <c r="DW418" s="171">
        <f t="shared" ca="1" si="603"/>
        <v>0</v>
      </c>
      <c r="DX418" s="171">
        <f t="shared" ca="1" si="604"/>
        <v>0</v>
      </c>
      <c r="DY418" s="171">
        <f t="shared" ca="1" si="605"/>
        <v>0</v>
      </c>
      <c r="DZ418" s="171">
        <f t="shared" ca="1" si="606"/>
        <v>0</v>
      </c>
      <c r="EA418" s="171">
        <f t="shared" ca="1" si="607"/>
        <v>0</v>
      </c>
      <c r="EB418" s="171">
        <f t="shared" ca="1" si="608"/>
        <v>0</v>
      </c>
      <c r="EC418" s="171">
        <f t="shared" ca="1" si="609"/>
        <v>0</v>
      </c>
      <c r="ED418" s="171">
        <f t="shared" ca="1" si="610"/>
        <v>0</v>
      </c>
      <c r="EE418" s="171">
        <f t="shared" ca="1" si="611"/>
        <v>0</v>
      </c>
      <c r="EF418" s="171">
        <f t="shared" ca="1" si="612"/>
        <v>0</v>
      </c>
      <c r="EG418" s="171">
        <f t="shared" ca="1" si="613"/>
        <v>0</v>
      </c>
      <c r="EH418" s="171">
        <f t="shared" ca="1" si="614"/>
        <v>0</v>
      </c>
      <c r="EI418" s="171">
        <f t="shared" ca="1" si="615"/>
        <v>0</v>
      </c>
      <c r="EJ418" s="171">
        <f t="shared" ca="1" si="616"/>
        <v>0</v>
      </c>
      <c r="EK418" s="171">
        <f t="shared" ca="1" si="617"/>
        <v>0</v>
      </c>
      <c r="EL418" s="171">
        <f t="shared" ca="1" si="618"/>
        <v>0</v>
      </c>
      <c r="EM418" s="171">
        <f t="shared" ca="1" si="619"/>
        <v>0</v>
      </c>
      <c r="EN418" s="171">
        <f t="shared" ca="1" si="620"/>
        <v>0</v>
      </c>
      <c r="EO418" s="171">
        <f t="shared" ca="1" si="621"/>
        <v>0</v>
      </c>
      <c r="EP418" s="171">
        <f t="shared" ca="1" si="622"/>
        <v>0</v>
      </c>
      <c r="EQ418" s="171">
        <f t="shared" ca="1" si="623"/>
        <v>0</v>
      </c>
      <c r="ER418" s="171">
        <f t="shared" ca="1" si="624"/>
        <v>0</v>
      </c>
      <c r="ES418" s="171">
        <f t="shared" ca="1" si="625"/>
        <v>0</v>
      </c>
    </row>
    <row r="419" spans="3:149">
      <c r="C419" s="214"/>
      <c r="L419" s="163"/>
      <c r="M419" s="164" t="str">
        <f t="shared" si="550"/>
        <v/>
      </c>
      <c r="N419" s="164" t="str">
        <f t="shared" si="551"/>
        <v/>
      </c>
      <c r="O419" s="165" t="str">
        <f t="shared" si="552"/>
        <v/>
      </c>
      <c r="R419" s="168"/>
      <c r="U419" s="171">
        <f t="shared" si="553"/>
        <v>0</v>
      </c>
      <c r="V419" s="171">
        <f t="shared" ca="1" si="554"/>
        <v>0</v>
      </c>
      <c r="W419" s="171">
        <f t="shared" ca="1" si="555"/>
        <v>0</v>
      </c>
      <c r="X419" s="172">
        <f t="shared" si="556"/>
        <v>0</v>
      </c>
      <c r="Y419" s="172" t="str">
        <f t="shared" si="557"/>
        <v/>
      </c>
      <c r="Z419" s="173">
        <f t="shared" si="558"/>
        <v>0</v>
      </c>
      <c r="AA419" s="171">
        <f t="shared" ref="AA419:AJ428" si="650">IFERROR(
    IF($T419="Equity",
        IF(AND(AA$48&gt;=$E419, AA$48&lt;=($E419+$Q419)),
$K419*$P419*(VLOOKUP($C$39,$C$37:$BL$44,MATCH($E419,$C$37:$BL$37,0),FALSE)/VLOOKUP($L419,$C$37:$BL$44,MATCH($E419,$C$37:$BL$37,0),FALSE))*
IF($B$5="Foreign Currency",VLOOKUP($C$38,$C$37:$BL$44,MATCH(AA$48,$C$37:$BL$37,0),FALSE)/VLOOKUP($C$39,$C$37:$BL$44,MATCH(AA$48,$C$37:$BL$37,0),FALSE),1),
0),
    IF($T419="Lump Sum Principal",
        IF(AND(AA$48&gt;=$E419, AA$48&lt;($E419+$Q419)),
$K419*$P419*(VLOOKUP($C$39,$C$37:$BL$44,MATCH($E419,$C$37:$BL$37,0),FALSE)/VLOOKUP($L419,$C$37:$BL$44,MATCH($E419,$C$37:$BL$37,0),FALSE))*
IF($B$5="Foreign Currency",VLOOKUP($C$38,$C$37:$BL$44,MATCH(AA$48,$C$37:$BL$37,0),FALSE)/VLOOKUP($C$39,$C$37:$BL$44,MATCH(AA$48,$C$37:$BL$37,0),FALSE),1),
        IF(AA$48=($E419+$Q419),
$K419*(1+$P419)*(VLOOKUP($C$39,$C$37:$BL$44,MATCH($E419,$C$37:$BL$37,0),FALSE)/VLOOKUP($L419,$C$37:$BL$44,MATCH($E419,$C$37:$BL$37,0),FALSE))*
IF($B$5="Foreign Currency",VLOOKUP($C$38,$C$37:$BL$44,MATCH(AA$48,$C$37:$BL$37,0),FALSE)/VLOOKUP($C$39,$C$37:$BL$44,MATCH(AA$48,$C$37:$BL$37,0),FALSE),1),
0)),
    IF($T419="Lump Sum Principal and Interest",
        IF(AA$48=($E419+$Q419),
$K419*((1+$P419)^$Q419)*(VLOOKUP($C$39,$C$37:$BL$44,MATCH($E419,$C$37:$BL$37,0),FALSE)/VLOOKUP($L419,$C$37:$BL$44,MATCH($E419,$C$37:$BL$37,0),FALSE))*
IF($B$5="Foreign Currency",VLOOKUP($C$38,$C$37:$BL$44,MATCH(AA$48,$C$37:$BL$37,0),FALSE)/VLOOKUP($C$39,$C$37:$BL$44,MATCH(AA$48,$C$37:$BL$37,0),FALSE),1),
0),
    IF($T419="EPP with Grace Years for Principal",
        IF(AND(AA$48&gt;=$E419, AA$48&lt;($E419+$S419)),
$K419*$P419*(VLOOKUP($C$39,$C$37:$BL$44,MATCH($E419,$C$37:$BL$37,0),FALSE)/VLOOKUP($L419,$C$37:$BL$44,MATCH($E419,$C$37:$BL$37,0),FALSE))*
IF($B$5="Foreign Currency",VLOOKUP($C$38,$C$37:$BL$44,MATCH(AA$48,$C$37:$BL$37,0),FALSE)/VLOOKUP($C$39,$C$37:$BL$44,MATCH(AA$48,$C$37:$BL$37,0),FALSE),1),
        IF(AND(AA$48&gt;=($E419+$S419), AA$48&lt;=($E419+$Q419)),
-PMT($P419,($Q419-$S419+1),($K419*(VLOOKUP($C$39,$C$37:$BL$44,MATCH($E419,$C$37:$BL$37,0),FALSE)/VLOOKUP($L419,$C$37:$BL$44,MATCH($E419,$C$37:$BL$37,0),FALSE))*
IF($B$5="Foreign Currency",VLOOKUP($C$38,$C$37:$BL$44,MATCH(AA$48,$C$37:$BL$37,0),FALSE)/VLOOKUP($C$39,$C$37:$BL$44,MATCH(AA$48,$C$37:$BL$37,0),FALSE),1)),0),
0)),
    IF($T419="Equal Principal Payments (EPP)",
        IF(AND(AA$48&gt;=$E419, AA$48&lt;=($E419+$Q419)),
-PMT($P419,($Q419-$S419+1),($K419*(VLOOKUP($C$39,$C$37:$BL$44,MATCH($E419,$C$37:$BL$37,0),FALSE)/VLOOKUP($L419,$C$37:$BL$44,MATCH($E419,$C$37:$BL$37,0),FALSE))*
IF($B$5="Foreign Currency",VLOOKUP($C$38,$C$37:$BL$44,MATCH(AA$48,$C$37:$BL$37,0),FALSE)/VLOOKUP($C$39,$C$37:$BL$44,MATCH(AA$48,$C$37:$BL$37,0),FALSE),1)),0), 0),
    IF($T419="EPP with Grace Years for Principal and on Interest",
        IF(AND(AA$48&gt;=($E419+$S419), AA$48&lt;=($E419+$Q419)),
-PMT($P419,($Q419-$S419+1),($K419*(VLOOKUP($C$39,$C$37:$BL$44,MATCH($E419,$C$37:$BL$37,0),FALSE)/VLOOKUP($L419,$C$37:$BL$44,MATCH($E419,$C$37:$BL$37,0),FALSE))*
IF($B$5="Foreign Currency",VLOOKUP($C$38,$C$37:$BL$44,MATCH(AA$48,$C$37:$BL$37,0),FALSE)/VLOOKUP($C$39,$C$37:$BL$44,MATCH(AA$48,$C$37:$BL$37,0),FALSE),1))*((1+$P419)^$S419),0), 0),
    0)))))),"")</f>
        <v>0</v>
      </c>
      <c r="AB419" s="171">
        <f t="shared" si="650"/>
        <v>0</v>
      </c>
      <c r="AC419" s="171">
        <f t="shared" si="650"/>
        <v>0</v>
      </c>
      <c r="AD419" s="171">
        <f t="shared" si="650"/>
        <v>0</v>
      </c>
      <c r="AE419" s="171">
        <f t="shared" si="650"/>
        <v>0</v>
      </c>
      <c r="AF419" s="171">
        <f t="shared" si="650"/>
        <v>0</v>
      </c>
      <c r="AG419" s="171">
        <f t="shared" si="650"/>
        <v>0</v>
      </c>
      <c r="AH419" s="171">
        <f t="shared" si="650"/>
        <v>0</v>
      </c>
      <c r="AI419" s="171">
        <f t="shared" si="650"/>
        <v>0</v>
      </c>
      <c r="AJ419" s="171">
        <f t="shared" si="650"/>
        <v>0</v>
      </c>
      <c r="AK419" s="171">
        <f t="shared" ref="AK419:AT428" si="651">IFERROR(
    IF($T419="Equity",
        IF(AND(AK$48&gt;=$E419, AK$48&lt;=($E419+$Q419)),
$K419*$P419*(VLOOKUP($C$39,$C$37:$BL$44,MATCH($E419,$C$37:$BL$37,0),FALSE)/VLOOKUP($L419,$C$37:$BL$44,MATCH($E419,$C$37:$BL$37,0),FALSE))*
IF($B$5="Foreign Currency",VLOOKUP($C$38,$C$37:$BL$44,MATCH(AK$48,$C$37:$BL$37,0),FALSE)/VLOOKUP($C$39,$C$37:$BL$44,MATCH(AK$48,$C$37:$BL$37,0),FALSE),1),
0),
    IF($T419="Lump Sum Principal",
        IF(AND(AK$48&gt;=$E419, AK$48&lt;($E419+$Q419)),
$K419*$P419*(VLOOKUP($C$39,$C$37:$BL$44,MATCH($E419,$C$37:$BL$37,0),FALSE)/VLOOKUP($L419,$C$37:$BL$44,MATCH($E419,$C$37:$BL$37,0),FALSE))*
IF($B$5="Foreign Currency",VLOOKUP($C$38,$C$37:$BL$44,MATCH(AK$48,$C$37:$BL$37,0),FALSE)/VLOOKUP($C$39,$C$37:$BL$44,MATCH(AK$48,$C$37:$BL$37,0),FALSE),1),
        IF(AK$48=($E419+$Q419),
$K419*(1+$P419)*(VLOOKUP($C$39,$C$37:$BL$44,MATCH($E419,$C$37:$BL$37,0),FALSE)/VLOOKUP($L419,$C$37:$BL$44,MATCH($E419,$C$37:$BL$37,0),FALSE))*
IF($B$5="Foreign Currency",VLOOKUP($C$38,$C$37:$BL$44,MATCH(AK$48,$C$37:$BL$37,0),FALSE)/VLOOKUP($C$39,$C$37:$BL$44,MATCH(AK$48,$C$37:$BL$37,0),FALSE),1),
0)),
    IF($T419="Lump Sum Principal and Interest",
        IF(AK$48=($E419+$Q419),
$K419*((1+$P419)^$Q419)*(VLOOKUP($C$39,$C$37:$BL$44,MATCH($E419,$C$37:$BL$37,0),FALSE)/VLOOKUP($L419,$C$37:$BL$44,MATCH($E419,$C$37:$BL$37,0),FALSE))*
IF($B$5="Foreign Currency",VLOOKUP($C$38,$C$37:$BL$44,MATCH(AK$48,$C$37:$BL$37,0),FALSE)/VLOOKUP($C$39,$C$37:$BL$44,MATCH(AK$48,$C$37:$BL$37,0),FALSE),1),
0),
    IF($T419="EPP with Grace Years for Principal",
        IF(AND(AK$48&gt;=$E419, AK$48&lt;($E419+$S419)),
$K419*$P419*(VLOOKUP($C$39,$C$37:$BL$44,MATCH($E419,$C$37:$BL$37,0),FALSE)/VLOOKUP($L419,$C$37:$BL$44,MATCH($E419,$C$37:$BL$37,0),FALSE))*
IF($B$5="Foreign Currency",VLOOKUP($C$38,$C$37:$BL$44,MATCH(AK$48,$C$37:$BL$37,0),FALSE)/VLOOKUP($C$39,$C$37:$BL$44,MATCH(AK$48,$C$37:$BL$37,0),FALSE),1),
        IF(AND(AK$48&gt;=($E419+$S419), AK$48&lt;=($E419+$Q419)),
-PMT($P419,($Q419-$S419+1),($K419*(VLOOKUP($C$39,$C$37:$BL$44,MATCH($E419,$C$37:$BL$37,0),FALSE)/VLOOKUP($L419,$C$37:$BL$44,MATCH($E419,$C$37:$BL$37,0),FALSE))*
IF($B$5="Foreign Currency",VLOOKUP($C$38,$C$37:$BL$44,MATCH(AK$48,$C$37:$BL$37,0),FALSE)/VLOOKUP($C$39,$C$37:$BL$44,MATCH(AK$48,$C$37:$BL$37,0),FALSE),1)),0),
0)),
    IF($T419="Equal Principal Payments (EPP)",
        IF(AND(AK$48&gt;=$E419, AK$48&lt;=($E419+$Q419)),
-PMT($P419,($Q419-$S419+1),($K419*(VLOOKUP($C$39,$C$37:$BL$44,MATCH($E419,$C$37:$BL$37,0),FALSE)/VLOOKUP($L419,$C$37:$BL$44,MATCH($E419,$C$37:$BL$37,0),FALSE))*
IF($B$5="Foreign Currency",VLOOKUP($C$38,$C$37:$BL$44,MATCH(AK$48,$C$37:$BL$37,0),FALSE)/VLOOKUP($C$39,$C$37:$BL$44,MATCH(AK$48,$C$37:$BL$37,0),FALSE),1)),0), 0),
    IF($T419="EPP with Grace Years for Principal and on Interest",
        IF(AND(AK$48&gt;=($E419+$S419), AK$48&lt;=($E419+$Q419)),
-PMT($P419,($Q419-$S419+1),($K419*(VLOOKUP($C$39,$C$37:$BL$44,MATCH($E419,$C$37:$BL$37,0),FALSE)/VLOOKUP($L419,$C$37:$BL$44,MATCH($E419,$C$37:$BL$37,0),FALSE))*
IF($B$5="Foreign Currency",VLOOKUP($C$38,$C$37:$BL$44,MATCH(AK$48,$C$37:$BL$37,0),FALSE)/VLOOKUP($C$39,$C$37:$BL$44,MATCH(AK$48,$C$37:$BL$37,0),FALSE),1))*((1+$P419)^$S419),0), 0),
    0)))))),"")</f>
        <v>0</v>
      </c>
      <c r="AL419" s="171">
        <f t="shared" si="651"/>
        <v>0</v>
      </c>
      <c r="AM419" s="171">
        <f t="shared" si="651"/>
        <v>0</v>
      </c>
      <c r="AN419" s="171">
        <f t="shared" si="651"/>
        <v>0</v>
      </c>
      <c r="AO419" s="171">
        <f t="shared" si="651"/>
        <v>0</v>
      </c>
      <c r="AP419" s="171">
        <f t="shared" si="651"/>
        <v>0</v>
      </c>
      <c r="AQ419" s="171">
        <f t="shared" si="651"/>
        <v>0</v>
      </c>
      <c r="AR419" s="171">
        <f t="shared" si="651"/>
        <v>0</v>
      </c>
      <c r="AS419" s="171">
        <f t="shared" si="651"/>
        <v>0</v>
      </c>
      <c r="AT419" s="171">
        <f t="shared" si="651"/>
        <v>0</v>
      </c>
      <c r="AU419" s="171">
        <f t="shared" ref="AU419:BD428" si="652">IFERROR(
    IF($T419="Equity",
        IF(AND(AU$48&gt;=$E419, AU$48&lt;=($E419+$Q419)),
$K419*$P419*(VLOOKUP($C$39,$C$37:$BL$44,MATCH($E419,$C$37:$BL$37,0),FALSE)/VLOOKUP($L419,$C$37:$BL$44,MATCH($E419,$C$37:$BL$37,0),FALSE))*
IF($B$5="Foreign Currency",VLOOKUP($C$38,$C$37:$BL$44,MATCH(AU$48,$C$37:$BL$37,0),FALSE)/VLOOKUP($C$39,$C$37:$BL$44,MATCH(AU$48,$C$37:$BL$37,0),FALSE),1),
0),
    IF($T419="Lump Sum Principal",
        IF(AND(AU$48&gt;=$E419, AU$48&lt;($E419+$Q419)),
$K419*$P419*(VLOOKUP($C$39,$C$37:$BL$44,MATCH($E419,$C$37:$BL$37,0),FALSE)/VLOOKUP($L419,$C$37:$BL$44,MATCH($E419,$C$37:$BL$37,0),FALSE))*
IF($B$5="Foreign Currency",VLOOKUP($C$38,$C$37:$BL$44,MATCH(AU$48,$C$37:$BL$37,0),FALSE)/VLOOKUP($C$39,$C$37:$BL$44,MATCH(AU$48,$C$37:$BL$37,0),FALSE),1),
        IF(AU$48=($E419+$Q419),
$K419*(1+$P419)*(VLOOKUP($C$39,$C$37:$BL$44,MATCH($E419,$C$37:$BL$37,0),FALSE)/VLOOKUP($L419,$C$37:$BL$44,MATCH($E419,$C$37:$BL$37,0),FALSE))*
IF($B$5="Foreign Currency",VLOOKUP($C$38,$C$37:$BL$44,MATCH(AU$48,$C$37:$BL$37,0),FALSE)/VLOOKUP($C$39,$C$37:$BL$44,MATCH(AU$48,$C$37:$BL$37,0),FALSE),1),
0)),
    IF($T419="Lump Sum Principal and Interest",
        IF(AU$48=($E419+$Q419),
$K419*((1+$P419)^$Q419)*(VLOOKUP($C$39,$C$37:$BL$44,MATCH($E419,$C$37:$BL$37,0),FALSE)/VLOOKUP($L419,$C$37:$BL$44,MATCH($E419,$C$37:$BL$37,0),FALSE))*
IF($B$5="Foreign Currency",VLOOKUP($C$38,$C$37:$BL$44,MATCH(AU$48,$C$37:$BL$37,0),FALSE)/VLOOKUP($C$39,$C$37:$BL$44,MATCH(AU$48,$C$37:$BL$37,0),FALSE),1),
0),
    IF($T419="EPP with Grace Years for Principal",
        IF(AND(AU$48&gt;=$E419, AU$48&lt;($E419+$S419)),
$K419*$P419*(VLOOKUP($C$39,$C$37:$BL$44,MATCH($E419,$C$37:$BL$37,0),FALSE)/VLOOKUP($L419,$C$37:$BL$44,MATCH($E419,$C$37:$BL$37,0),FALSE))*
IF($B$5="Foreign Currency",VLOOKUP($C$38,$C$37:$BL$44,MATCH(AU$48,$C$37:$BL$37,0),FALSE)/VLOOKUP($C$39,$C$37:$BL$44,MATCH(AU$48,$C$37:$BL$37,0),FALSE),1),
        IF(AND(AU$48&gt;=($E419+$S419), AU$48&lt;=($E419+$Q419)),
-PMT($P419,($Q419-$S419+1),($K419*(VLOOKUP($C$39,$C$37:$BL$44,MATCH($E419,$C$37:$BL$37,0),FALSE)/VLOOKUP($L419,$C$37:$BL$44,MATCH($E419,$C$37:$BL$37,0),FALSE))*
IF($B$5="Foreign Currency",VLOOKUP($C$38,$C$37:$BL$44,MATCH(AU$48,$C$37:$BL$37,0),FALSE)/VLOOKUP($C$39,$C$37:$BL$44,MATCH(AU$48,$C$37:$BL$37,0),FALSE),1)),0),
0)),
    IF($T419="Equal Principal Payments (EPP)",
        IF(AND(AU$48&gt;=$E419, AU$48&lt;=($E419+$Q419)),
-PMT($P419,($Q419-$S419+1),($K419*(VLOOKUP($C$39,$C$37:$BL$44,MATCH($E419,$C$37:$BL$37,0),FALSE)/VLOOKUP($L419,$C$37:$BL$44,MATCH($E419,$C$37:$BL$37,0),FALSE))*
IF($B$5="Foreign Currency",VLOOKUP($C$38,$C$37:$BL$44,MATCH(AU$48,$C$37:$BL$37,0),FALSE)/VLOOKUP($C$39,$C$37:$BL$44,MATCH(AU$48,$C$37:$BL$37,0),FALSE),1)),0), 0),
    IF($T419="EPP with Grace Years for Principal and on Interest",
        IF(AND(AU$48&gt;=($E419+$S419), AU$48&lt;=($E419+$Q419)),
-PMT($P419,($Q419-$S419+1),($K419*(VLOOKUP($C$39,$C$37:$BL$44,MATCH($E419,$C$37:$BL$37,0),FALSE)/VLOOKUP($L419,$C$37:$BL$44,MATCH($E419,$C$37:$BL$37,0),FALSE))*
IF($B$5="Foreign Currency",VLOOKUP($C$38,$C$37:$BL$44,MATCH(AU$48,$C$37:$BL$37,0),FALSE)/VLOOKUP($C$39,$C$37:$BL$44,MATCH(AU$48,$C$37:$BL$37,0),FALSE),1))*((1+$P419)^$S419),0), 0),
    0)))))),"")</f>
        <v>0</v>
      </c>
      <c r="AV419" s="171">
        <f t="shared" si="652"/>
        <v>0</v>
      </c>
      <c r="AW419" s="171">
        <f t="shared" si="652"/>
        <v>0</v>
      </c>
      <c r="AX419" s="171">
        <f t="shared" si="652"/>
        <v>0</v>
      </c>
      <c r="AY419" s="171">
        <f t="shared" si="652"/>
        <v>0</v>
      </c>
      <c r="AZ419" s="171">
        <f t="shared" si="652"/>
        <v>0</v>
      </c>
      <c r="BA419" s="171">
        <f t="shared" si="652"/>
        <v>0</v>
      </c>
      <c r="BB419" s="171">
        <f t="shared" si="652"/>
        <v>0</v>
      </c>
      <c r="BC419" s="171">
        <f t="shared" si="652"/>
        <v>0</v>
      </c>
      <c r="BD419" s="171">
        <f t="shared" si="652"/>
        <v>0</v>
      </c>
      <c r="BE419" s="171">
        <f t="shared" ref="BE419:BN428" si="653">IFERROR(
    IF($T419="Equity",
        IF(AND(BE$48&gt;=$E419, BE$48&lt;=($E419+$Q419)),
$K419*$P419*(VLOOKUP($C$39,$C$37:$BL$44,MATCH($E419,$C$37:$BL$37,0),FALSE)/VLOOKUP($L419,$C$37:$BL$44,MATCH($E419,$C$37:$BL$37,0),FALSE))*
IF($B$5="Foreign Currency",VLOOKUP($C$38,$C$37:$BL$44,MATCH(BE$48,$C$37:$BL$37,0),FALSE)/VLOOKUP($C$39,$C$37:$BL$44,MATCH(BE$48,$C$37:$BL$37,0),FALSE),1),
0),
    IF($T419="Lump Sum Principal",
        IF(AND(BE$48&gt;=$E419, BE$48&lt;($E419+$Q419)),
$K419*$P419*(VLOOKUP($C$39,$C$37:$BL$44,MATCH($E419,$C$37:$BL$37,0),FALSE)/VLOOKUP($L419,$C$37:$BL$44,MATCH($E419,$C$37:$BL$37,0),FALSE))*
IF($B$5="Foreign Currency",VLOOKUP($C$38,$C$37:$BL$44,MATCH(BE$48,$C$37:$BL$37,0),FALSE)/VLOOKUP($C$39,$C$37:$BL$44,MATCH(BE$48,$C$37:$BL$37,0),FALSE),1),
        IF(BE$48=($E419+$Q419),
$K419*(1+$P419)*(VLOOKUP($C$39,$C$37:$BL$44,MATCH($E419,$C$37:$BL$37,0),FALSE)/VLOOKUP($L419,$C$37:$BL$44,MATCH($E419,$C$37:$BL$37,0),FALSE))*
IF($B$5="Foreign Currency",VLOOKUP($C$38,$C$37:$BL$44,MATCH(BE$48,$C$37:$BL$37,0),FALSE)/VLOOKUP($C$39,$C$37:$BL$44,MATCH(BE$48,$C$37:$BL$37,0),FALSE),1),
0)),
    IF($T419="Lump Sum Principal and Interest",
        IF(BE$48=($E419+$Q419),
$K419*((1+$P419)^$Q419)*(VLOOKUP($C$39,$C$37:$BL$44,MATCH($E419,$C$37:$BL$37,0),FALSE)/VLOOKUP($L419,$C$37:$BL$44,MATCH($E419,$C$37:$BL$37,0),FALSE))*
IF($B$5="Foreign Currency",VLOOKUP($C$38,$C$37:$BL$44,MATCH(BE$48,$C$37:$BL$37,0),FALSE)/VLOOKUP($C$39,$C$37:$BL$44,MATCH(BE$48,$C$37:$BL$37,0),FALSE),1),
0),
    IF($T419="EPP with Grace Years for Principal",
        IF(AND(BE$48&gt;=$E419, BE$48&lt;($E419+$S419)),
$K419*$P419*(VLOOKUP($C$39,$C$37:$BL$44,MATCH($E419,$C$37:$BL$37,0),FALSE)/VLOOKUP($L419,$C$37:$BL$44,MATCH($E419,$C$37:$BL$37,0),FALSE))*
IF($B$5="Foreign Currency",VLOOKUP($C$38,$C$37:$BL$44,MATCH(BE$48,$C$37:$BL$37,0),FALSE)/VLOOKUP($C$39,$C$37:$BL$44,MATCH(BE$48,$C$37:$BL$37,0),FALSE),1),
        IF(AND(BE$48&gt;=($E419+$S419), BE$48&lt;=($E419+$Q419)),
-PMT($P419,($Q419-$S419+1),($K419*(VLOOKUP($C$39,$C$37:$BL$44,MATCH($E419,$C$37:$BL$37,0),FALSE)/VLOOKUP($L419,$C$37:$BL$44,MATCH($E419,$C$37:$BL$37,0),FALSE))*
IF($B$5="Foreign Currency",VLOOKUP($C$38,$C$37:$BL$44,MATCH(BE$48,$C$37:$BL$37,0),FALSE)/VLOOKUP($C$39,$C$37:$BL$44,MATCH(BE$48,$C$37:$BL$37,0),FALSE),1)),0),
0)),
    IF($T419="Equal Principal Payments (EPP)",
        IF(AND(BE$48&gt;=$E419, BE$48&lt;=($E419+$Q419)),
-PMT($P419,($Q419-$S419+1),($K419*(VLOOKUP($C$39,$C$37:$BL$44,MATCH($E419,$C$37:$BL$37,0),FALSE)/VLOOKUP($L419,$C$37:$BL$44,MATCH($E419,$C$37:$BL$37,0),FALSE))*
IF($B$5="Foreign Currency",VLOOKUP($C$38,$C$37:$BL$44,MATCH(BE$48,$C$37:$BL$37,0),FALSE)/VLOOKUP($C$39,$C$37:$BL$44,MATCH(BE$48,$C$37:$BL$37,0),FALSE),1)),0), 0),
    IF($T419="EPP with Grace Years for Principal and on Interest",
        IF(AND(BE$48&gt;=($E419+$S419), BE$48&lt;=($E419+$Q419)),
-PMT($P419,($Q419-$S419+1),($K419*(VLOOKUP($C$39,$C$37:$BL$44,MATCH($E419,$C$37:$BL$37,0),FALSE)/VLOOKUP($L419,$C$37:$BL$44,MATCH($E419,$C$37:$BL$37,0),FALSE))*
IF($B$5="Foreign Currency",VLOOKUP($C$38,$C$37:$BL$44,MATCH(BE$48,$C$37:$BL$37,0),FALSE)/VLOOKUP($C$39,$C$37:$BL$44,MATCH(BE$48,$C$37:$BL$37,0),FALSE),1))*((1+$P419)^$S419),0), 0),
    0)))))),"")</f>
        <v>0</v>
      </c>
      <c r="BF419" s="171">
        <f t="shared" si="653"/>
        <v>0</v>
      </c>
      <c r="BG419" s="171">
        <f t="shared" si="653"/>
        <v>0</v>
      </c>
      <c r="BH419" s="171">
        <f t="shared" si="653"/>
        <v>0</v>
      </c>
      <c r="BI419" s="171">
        <f t="shared" si="653"/>
        <v>0</v>
      </c>
      <c r="BJ419" s="171">
        <f t="shared" si="653"/>
        <v>0</v>
      </c>
      <c r="BK419" s="171">
        <f t="shared" si="653"/>
        <v>0</v>
      </c>
      <c r="BL419" s="171">
        <f t="shared" si="653"/>
        <v>0</v>
      </c>
      <c r="BM419" s="171">
        <f t="shared" si="653"/>
        <v>0</v>
      </c>
      <c r="BN419" s="171">
        <f t="shared" si="653"/>
        <v>0</v>
      </c>
      <c r="BO419" s="171">
        <f t="shared" ref="BO419:BX428" si="654">IFERROR(
    IF($T419="Equity",
        IF(AND(BO$48&gt;=$E419, BO$48&lt;=($E419+$Q419)),
$K419*$P419*(VLOOKUP($C$39,$C$37:$BL$44,MATCH($E419,$C$37:$BL$37,0),FALSE)/VLOOKUP($L419,$C$37:$BL$44,MATCH($E419,$C$37:$BL$37,0),FALSE))*
IF($B$5="Foreign Currency",VLOOKUP($C$38,$C$37:$BL$44,MATCH(BO$48,$C$37:$BL$37,0),FALSE)/VLOOKUP($C$39,$C$37:$BL$44,MATCH(BO$48,$C$37:$BL$37,0),FALSE),1),
0),
    IF($T419="Lump Sum Principal",
        IF(AND(BO$48&gt;=$E419, BO$48&lt;($E419+$Q419)),
$K419*$P419*(VLOOKUP($C$39,$C$37:$BL$44,MATCH($E419,$C$37:$BL$37,0),FALSE)/VLOOKUP($L419,$C$37:$BL$44,MATCH($E419,$C$37:$BL$37,0),FALSE))*
IF($B$5="Foreign Currency",VLOOKUP($C$38,$C$37:$BL$44,MATCH(BO$48,$C$37:$BL$37,0),FALSE)/VLOOKUP($C$39,$C$37:$BL$44,MATCH(BO$48,$C$37:$BL$37,0),FALSE),1),
        IF(BO$48=($E419+$Q419),
$K419*(1+$P419)*(VLOOKUP($C$39,$C$37:$BL$44,MATCH($E419,$C$37:$BL$37,0),FALSE)/VLOOKUP($L419,$C$37:$BL$44,MATCH($E419,$C$37:$BL$37,0),FALSE))*
IF($B$5="Foreign Currency",VLOOKUP($C$38,$C$37:$BL$44,MATCH(BO$48,$C$37:$BL$37,0),FALSE)/VLOOKUP($C$39,$C$37:$BL$44,MATCH(BO$48,$C$37:$BL$37,0),FALSE),1),
0)),
    IF($T419="Lump Sum Principal and Interest",
        IF(BO$48=($E419+$Q419),
$K419*((1+$P419)^$Q419)*(VLOOKUP($C$39,$C$37:$BL$44,MATCH($E419,$C$37:$BL$37,0),FALSE)/VLOOKUP($L419,$C$37:$BL$44,MATCH($E419,$C$37:$BL$37,0),FALSE))*
IF($B$5="Foreign Currency",VLOOKUP($C$38,$C$37:$BL$44,MATCH(BO$48,$C$37:$BL$37,0),FALSE)/VLOOKUP($C$39,$C$37:$BL$44,MATCH(BO$48,$C$37:$BL$37,0),FALSE),1),
0),
    IF($T419="EPP with Grace Years for Principal",
        IF(AND(BO$48&gt;=$E419, BO$48&lt;($E419+$S419)),
$K419*$P419*(VLOOKUP($C$39,$C$37:$BL$44,MATCH($E419,$C$37:$BL$37,0),FALSE)/VLOOKUP($L419,$C$37:$BL$44,MATCH($E419,$C$37:$BL$37,0),FALSE))*
IF($B$5="Foreign Currency",VLOOKUP($C$38,$C$37:$BL$44,MATCH(BO$48,$C$37:$BL$37,0),FALSE)/VLOOKUP($C$39,$C$37:$BL$44,MATCH(BO$48,$C$37:$BL$37,0),FALSE),1),
        IF(AND(BO$48&gt;=($E419+$S419), BO$48&lt;=($E419+$Q419)),
-PMT($P419,($Q419-$S419+1),($K419*(VLOOKUP($C$39,$C$37:$BL$44,MATCH($E419,$C$37:$BL$37,0),FALSE)/VLOOKUP($L419,$C$37:$BL$44,MATCH($E419,$C$37:$BL$37,0),FALSE))*
IF($B$5="Foreign Currency",VLOOKUP($C$38,$C$37:$BL$44,MATCH(BO$48,$C$37:$BL$37,0),FALSE)/VLOOKUP($C$39,$C$37:$BL$44,MATCH(BO$48,$C$37:$BL$37,0),FALSE),1)),0),
0)),
    IF($T419="Equal Principal Payments (EPP)",
        IF(AND(BO$48&gt;=$E419, BO$48&lt;=($E419+$Q419)),
-PMT($P419,($Q419-$S419+1),($K419*(VLOOKUP($C$39,$C$37:$BL$44,MATCH($E419,$C$37:$BL$37,0),FALSE)/VLOOKUP($L419,$C$37:$BL$44,MATCH($E419,$C$37:$BL$37,0),FALSE))*
IF($B$5="Foreign Currency",VLOOKUP($C$38,$C$37:$BL$44,MATCH(BO$48,$C$37:$BL$37,0),FALSE)/VLOOKUP($C$39,$C$37:$BL$44,MATCH(BO$48,$C$37:$BL$37,0),FALSE),1)),0), 0),
    IF($T419="EPP with Grace Years for Principal and on Interest",
        IF(AND(BO$48&gt;=($E419+$S419), BO$48&lt;=($E419+$Q419)),
-PMT($P419,($Q419-$S419+1),($K419*(VLOOKUP($C$39,$C$37:$BL$44,MATCH($E419,$C$37:$BL$37,0),FALSE)/VLOOKUP($L419,$C$37:$BL$44,MATCH($E419,$C$37:$BL$37,0),FALSE))*
IF($B$5="Foreign Currency",VLOOKUP($C$38,$C$37:$BL$44,MATCH(BO$48,$C$37:$BL$37,0),FALSE)/VLOOKUP($C$39,$C$37:$BL$44,MATCH(BO$48,$C$37:$BL$37,0),FALSE),1))*((1+$P419)^$S419),0), 0),
    0)))))),"")</f>
        <v>0</v>
      </c>
      <c r="BP419" s="171">
        <f t="shared" si="654"/>
        <v>0</v>
      </c>
      <c r="BQ419" s="171">
        <f t="shared" si="654"/>
        <v>0</v>
      </c>
      <c r="BR419" s="171">
        <f t="shared" si="654"/>
        <v>0</v>
      </c>
      <c r="BS419" s="171">
        <f t="shared" si="654"/>
        <v>0</v>
      </c>
      <c r="BT419" s="171">
        <f t="shared" si="654"/>
        <v>0</v>
      </c>
      <c r="BU419" s="171">
        <f t="shared" si="654"/>
        <v>0</v>
      </c>
      <c r="BV419" s="171">
        <f t="shared" si="654"/>
        <v>0</v>
      </c>
      <c r="BW419" s="171">
        <f t="shared" si="654"/>
        <v>0</v>
      </c>
      <c r="BX419" s="171">
        <f t="shared" si="654"/>
        <v>0</v>
      </c>
      <c r="BY419" s="171">
        <f t="shared" ref="BY419:CI428" si="655">IFERROR(
    IF($T419="Equity",
        IF(AND(BY$48&gt;=$E419, BY$48&lt;=($E419+$Q419)),
$K419*$P419*(VLOOKUP($C$39,$C$37:$BL$44,MATCH($E419,$C$37:$BL$37,0),FALSE)/VLOOKUP($L419,$C$37:$BL$44,MATCH($E419,$C$37:$BL$37,0),FALSE))*
IF($B$5="Foreign Currency",VLOOKUP($C$38,$C$37:$BL$44,MATCH(BY$48,$C$37:$BL$37,0),FALSE)/VLOOKUP($C$39,$C$37:$BL$44,MATCH(BY$48,$C$37:$BL$37,0),FALSE),1),
0),
    IF($T419="Lump Sum Principal",
        IF(AND(BY$48&gt;=$E419, BY$48&lt;($E419+$Q419)),
$K419*$P419*(VLOOKUP($C$39,$C$37:$BL$44,MATCH($E419,$C$37:$BL$37,0),FALSE)/VLOOKUP($L419,$C$37:$BL$44,MATCH($E419,$C$37:$BL$37,0),FALSE))*
IF($B$5="Foreign Currency",VLOOKUP($C$38,$C$37:$BL$44,MATCH(BY$48,$C$37:$BL$37,0),FALSE)/VLOOKUP($C$39,$C$37:$BL$44,MATCH(BY$48,$C$37:$BL$37,0),FALSE),1),
        IF(BY$48=($E419+$Q419),
$K419*(1+$P419)*(VLOOKUP($C$39,$C$37:$BL$44,MATCH($E419,$C$37:$BL$37,0),FALSE)/VLOOKUP($L419,$C$37:$BL$44,MATCH($E419,$C$37:$BL$37,0),FALSE))*
IF($B$5="Foreign Currency",VLOOKUP($C$38,$C$37:$BL$44,MATCH(BY$48,$C$37:$BL$37,0),FALSE)/VLOOKUP($C$39,$C$37:$BL$44,MATCH(BY$48,$C$37:$BL$37,0),FALSE),1),
0)),
    IF($T419="Lump Sum Principal and Interest",
        IF(BY$48=($E419+$Q419),
$K419*((1+$P419)^$Q419)*(VLOOKUP($C$39,$C$37:$BL$44,MATCH($E419,$C$37:$BL$37,0),FALSE)/VLOOKUP($L419,$C$37:$BL$44,MATCH($E419,$C$37:$BL$37,0),FALSE))*
IF($B$5="Foreign Currency",VLOOKUP($C$38,$C$37:$BL$44,MATCH(BY$48,$C$37:$BL$37,0),FALSE)/VLOOKUP($C$39,$C$37:$BL$44,MATCH(BY$48,$C$37:$BL$37,0),FALSE),1),
0),
    IF($T419="EPP with Grace Years for Principal",
        IF(AND(BY$48&gt;=$E419, BY$48&lt;($E419+$S419)),
$K419*$P419*(VLOOKUP($C$39,$C$37:$BL$44,MATCH($E419,$C$37:$BL$37,0),FALSE)/VLOOKUP($L419,$C$37:$BL$44,MATCH($E419,$C$37:$BL$37,0),FALSE))*
IF($B$5="Foreign Currency",VLOOKUP($C$38,$C$37:$BL$44,MATCH(BY$48,$C$37:$BL$37,0),FALSE)/VLOOKUP($C$39,$C$37:$BL$44,MATCH(BY$48,$C$37:$BL$37,0),FALSE),1),
        IF(AND(BY$48&gt;=($E419+$S419), BY$48&lt;=($E419+$Q419)),
-PMT($P419,($Q419-$S419+1),($K419*(VLOOKUP($C$39,$C$37:$BL$44,MATCH($E419,$C$37:$BL$37,0),FALSE)/VLOOKUP($L419,$C$37:$BL$44,MATCH($E419,$C$37:$BL$37,0),FALSE))*
IF($B$5="Foreign Currency",VLOOKUP($C$38,$C$37:$BL$44,MATCH(BY$48,$C$37:$BL$37,0),FALSE)/VLOOKUP($C$39,$C$37:$BL$44,MATCH(BY$48,$C$37:$BL$37,0),FALSE),1)),0),
0)),
    IF($T419="Equal Principal Payments (EPP)",
        IF(AND(BY$48&gt;=$E419, BY$48&lt;=($E419+$Q419)),
-PMT($P419,($Q419-$S419+1),($K419*(VLOOKUP($C$39,$C$37:$BL$44,MATCH($E419,$C$37:$BL$37,0),FALSE)/VLOOKUP($L419,$C$37:$BL$44,MATCH($E419,$C$37:$BL$37,0),FALSE))*
IF($B$5="Foreign Currency",VLOOKUP($C$38,$C$37:$BL$44,MATCH(BY$48,$C$37:$BL$37,0),FALSE)/VLOOKUP($C$39,$C$37:$BL$44,MATCH(BY$48,$C$37:$BL$37,0),FALSE),1)),0), 0),
    IF($T419="EPP with Grace Years for Principal and on Interest",
        IF(AND(BY$48&gt;=($E419+$S419), BY$48&lt;=($E419+$Q419)),
-PMT($P419,($Q419-$S419+1),($K419*(VLOOKUP($C$39,$C$37:$BL$44,MATCH($E419,$C$37:$BL$37,0),FALSE)/VLOOKUP($L419,$C$37:$BL$44,MATCH($E419,$C$37:$BL$37,0),FALSE))*
IF($B$5="Foreign Currency",VLOOKUP($C$38,$C$37:$BL$44,MATCH(BY$48,$C$37:$BL$37,0),FALSE)/VLOOKUP($C$39,$C$37:$BL$44,MATCH(BY$48,$C$37:$BL$37,0),FALSE),1))*((1+$P419)^$S419),0), 0),
    0)))))),"")</f>
        <v>0</v>
      </c>
      <c r="BZ419" s="171">
        <f t="shared" si="655"/>
        <v>0</v>
      </c>
      <c r="CA419" s="171">
        <f t="shared" si="655"/>
        <v>0</v>
      </c>
      <c r="CB419" s="171">
        <f t="shared" si="655"/>
        <v>0</v>
      </c>
      <c r="CC419" s="171">
        <f t="shared" si="655"/>
        <v>0</v>
      </c>
      <c r="CD419" s="171">
        <f t="shared" si="655"/>
        <v>0</v>
      </c>
      <c r="CE419" s="171">
        <f t="shared" si="655"/>
        <v>0</v>
      </c>
      <c r="CF419" s="171">
        <f t="shared" si="655"/>
        <v>0</v>
      </c>
      <c r="CG419" s="171">
        <f t="shared" si="655"/>
        <v>0</v>
      </c>
      <c r="CH419" s="171">
        <f t="shared" si="655"/>
        <v>0</v>
      </c>
      <c r="CI419" s="171">
        <f t="shared" si="655"/>
        <v>0</v>
      </c>
      <c r="CJ419" s="243"/>
      <c r="CK419" s="171">
        <f t="shared" si="565"/>
        <v>0</v>
      </c>
      <c r="CL419" s="171">
        <f t="shared" si="566"/>
        <v>0</v>
      </c>
      <c r="CM419" s="171">
        <f t="shared" si="567"/>
        <v>0</v>
      </c>
      <c r="CN419" s="171">
        <f t="shared" si="568"/>
        <v>0</v>
      </c>
      <c r="CO419" s="171">
        <f t="shared" si="569"/>
        <v>0</v>
      </c>
      <c r="CP419" s="171">
        <f t="shared" si="570"/>
        <v>0</v>
      </c>
      <c r="CQ419" s="171">
        <f t="shared" si="571"/>
        <v>0</v>
      </c>
      <c r="CR419" s="171">
        <f t="shared" si="572"/>
        <v>0</v>
      </c>
      <c r="CS419" s="171">
        <f t="shared" si="573"/>
        <v>0</v>
      </c>
      <c r="CT419" s="171">
        <f t="shared" si="574"/>
        <v>0</v>
      </c>
      <c r="CU419" s="171">
        <f t="shared" si="575"/>
        <v>0</v>
      </c>
      <c r="CV419" s="171">
        <f t="shared" si="576"/>
        <v>0</v>
      </c>
      <c r="CW419" s="171">
        <f t="shared" si="577"/>
        <v>0</v>
      </c>
      <c r="CX419" s="171">
        <f t="shared" si="578"/>
        <v>0</v>
      </c>
      <c r="CY419" s="171">
        <f t="shared" ca="1" si="579"/>
        <v>0</v>
      </c>
      <c r="CZ419" s="171">
        <f t="shared" ca="1" si="580"/>
        <v>0</v>
      </c>
      <c r="DA419" s="171">
        <f t="shared" ca="1" si="581"/>
        <v>0</v>
      </c>
      <c r="DB419" s="171">
        <f t="shared" ca="1" si="582"/>
        <v>0</v>
      </c>
      <c r="DC419" s="171">
        <f t="shared" ca="1" si="583"/>
        <v>0</v>
      </c>
      <c r="DD419" s="171">
        <f t="shared" ca="1" si="584"/>
        <v>0</v>
      </c>
      <c r="DE419" s="171">
        <f t="shared" ca="1" si="585"/>
        <v>0</v>
      </c>
      <c r="DF419" s="171">
        <f t="shared" ca="1" si="586"/>
        <v>0</v>
      </c>
      <c r="DG419" s="171">
        <f t="shared" ca="1" si="587"/>
        <v>0</v>
      </c>
      <c r="DH419" s="171">
        <f t="shared" ca="1" si="588"/>
        <v>0</v>
      </c>
      <c r="DI419" s="171">
        <f t="shared" ca="1" si="589"/>
        <v>0</v>
      </c>
      <c r="DJ419" s="171">
        <f t="shared" ca="1" si="590"/>
        <v>0</v>
      </c>
      <c r="DK419" s="171">
        <f t="shared" ca="1" si="591"/>
        <v>0</v>
      </c>
      <c r="DL419" s="171">
        <f t="shared" ca="1" si="592"/>
        <v>0</v>
      </c>
      <c r="DM419" s="171">
        <f t="shared" ca="1" si="593"/>
        <v>0</v>
      </c>
      <c r="DN419" s="171">
        <f t="shared" ca="1" si="594"/>
        <v>0</v>
      </c>
      <c r="DO419" s="171">
        <f t="shared" ca="1" si="595"/>
        <v>0</v>
      </c>
      <c r="DP419" s="171">
        <f t="shared" ca="1" si="596"/>
        <v>0</v>
      </c>
      <c r="DQ419" s="171">
        <f t="shared" ca="1" si="597"/>
        <v>0</v>
      </c>
      <c r="DR419" s="171">
        <f t="shared" ca="1" si="598"/>
        <v>0</v>
      </c>
      <c r="DS419" s="171">
        <f t="shared" ca="1" si="599"/>
        <v>0</v>
      </c>
      <c r="DT419" s="171">
        <f t="shared" ca="1" si="600"/>
        <v>0</v>
      </c>
      <c r="DU419" s="171">
        <f t="shared" ca="1" si="601"/>
        <v>0</v>
      </c>
      <c r="DV419" s="171">
        <f t="shared" ca="1" si="602"/>
        <v>0</v>
      </c>
      <c r="DW419" s="171">
        <f t="shared" ca="1" si="603"/>
        <v>0</v>
      </c>
      <c r="DX419" s="171">
        <f t="shared" ca="1" si="604"/>
        <v>0</v>
      </c>
      <c r="DY419" s="171">
        <f t="shared" ca="1" si="605"/>
        <v>0</v>
      </c>
      <c r="DZ419" s="171">
        <f t="shared" ca="1" si="606"/>
        <v>0</v>
      </c>
      <c r="EA419" s="171">
        <f t="shared" ca="1" si="607"/>
        <v>0</v>
      </c>
      <c r="EB419" s="171">
        <f t="shared" ca="1" si="608"/>
        <v>0</v>
      </c>
      <c r="EC419" s="171">
        <f t="shared" ca="1" si="609"/>
        <v>0</v>
      </c>
      <c r="ED419" s="171">
        <f t="shared" ca="1" si="610"/>
        <v>0</v>
      </c>
      <c r="EE419" s="171">
        <f t="shared" ca="1" si="611"/>
        <v>0</v>
      </c>
      <c r="EF419" s="171">
        <f t="shared" ca="1" si="612"/>
        <v>0</v>
      </c>
      <c r="EG419" s="171">
        <f t="shared" ca="1" si="613"/>
        <v>0</v>
      </c>
      <c r="EH419" s="171">
        <f t="shared" ca="1" si="614"/>
        <v>0</v>
      </c>
      <c r="EI419" s="171">
        <f t="shared" ca="1" si="615"/>
        <v>0</v>
      </c>
      <c r="EJ419" s="171">
        <f t="shared" ca="1" si="616"/>
        <v>0</v>
      </c>
      <c r="EK419" s="171">
        <f t="shared" ca="1" si="617"/>
        <v>0</v>
      </c>
      <c r="EL419" s="171">
        <f t="shared" ca="1" si="618"/>
        <v>0</v>
      </c>
      <c r="EM419" s="171">
        <f t="shared" ca="1" si="619"/>
        <v>0</v>
      </c>
      <c r="EN419" s="171">
        <f t="shared" ca="1" si="620"/>
        <v>0</v>
      </c>
      <c r="EO419" s="171">
        <f t="shared" ca="1" si="621"/>
        <v>0</v>
      </c>
      <c r="EP419" s="171">
        <f t="shared" ca="1" si="622"/>
        <v>0</v>
      </c>
      <c r="EQ419" s="171">
        <f t="shared" ca="1" si="623"/>
        <v>0</v>
      </c>
      <c r="ER419" s="171">
        <f t="shared" ca="1" si="624"/>
        <v>0</v>
      </c>
      <c r="ES419" s="171">
        <f t="shared" ca="1" si="625"/>
        <v>0</v>
      </c>
    </row>
    <row r="420" spans="3:149">
      <c r="C420" s="214"/>
      <c r="L420" s="163"/>
      <c r="M420" s="164" t="str">
        <f t="shared" si="550"/>
        <v/>
      </c>
      <c r="N420" s="164" t="str">
        <f t="shared" si="551"/>
        <v/>
      </c>
      <c r="O420" s="165" t="str">
        <f t="shared" si="552"/>
        <v/>
      </c>
      <c r="R420" s="168"/>
      <c r="U420" s="171">
        <f t="shared" si="553"/>
        <v>0</v>
      </c>
      <c r="V420" s="171">
        <f t="shared" ca="1" si="554"/>
        <v>0</v>
      </c>
      <c r="W420" s="171">
        <f t="shared" ca="1" si="555"/>
        <v>0</v>
      </c>
      <c r="X420" s="172">
        <f t="shared" si="556"/>
        <v>0</v>
      </c>
      <c r="Y420" s="172" t="str">
        <f t="shared" si="557"/>
        <v/>
      </c>
      <c r="Z420" s="173">
        <f t="shared" si="558"/>
        <v>0</v>
      </c>
      <c r="AA420" s="171">
        <f t="shared" si="650"/>
        <v>0</v>
      </c>
      <c r="AB420" s="171">
        <f t="shared" si="650"/>
        <v>0</v>
      </c>
      <c r="AC420" s="171">
        <f t="shared" si="650"/>
        <v>0</v>
      </c>
      <c r="AD420" s="171">
        <f t="shared" si="650"/>
        <v>0</v>
      </c>
      <c r="AE420" s="171">
        <f t="shared" si="650"/>
        <v>0</v>
      </c>
      <c r="AF420" s="171">
        <f t="shared" si="650"/>
        <v>0</v>
      </c>
      <c r="AG420" s="171">
        <f t="shared" si="650"/>
        <v>0</v>
      </c>
      <c r="AH420" s="171">
        <f t="shared" si="650"/>
        <v>0</v>
      </c>
      <c r="AI420" s="171">
        <f t="shared" si="650"/>
        <v>0</v>
      </c>
      <c r="AJ420" s="171">
        <f t="shared" si="650"/>
        <v>0</v>
      </c>
      <c r="AK420" s="171">
        <f t="shared" si="651"/>
        <v>0</v>
      </c>
      <c r="AL420" s="171">
        <f t="shared" si="651"/>
        <v>0</v>
      </c>
      <c r="AM420" s="171">
        <f t="shared" si="651"/>
        <v>0</v>
      </c>
      <c r="AN420" s="171">
        <f t="shared" si="651"/>
        <v>0</v>
      </c>
      <c r="AO420" s="171">
        <f t="shared" si="651"/>
        <v>0</v>
      </c>
      <c r="AP420" s="171">
        <f t="shared" si="651"/>
        <v>0</v>
      </c>
      <c r="AQ420" s="171">
        <f t="shared" si="651"/>
        <v>0</v>
      </c>
      <c r="AR420" s="171">
        <f t="shared" si="651"/>
        <v>0</v>
      </c>
      <c r="AS420" s="171">
        <f t="shared" si="651"/>
        <v>0</v>
      </c>
      <c r="AT420" s="171">
        <f t="shared" si="651"/>
        <v>0</v>
      </c>
      <c r="AU420" s="171">
        <f t="shared" si="652"/>
        <v>0</v>
      </c>
      <c r="AV420" s="171">
        <f t="shared" si="652"/>
        <v>0</v>
      </c>
      <c r="AW420" s="171">
        <f t="shared" si="652"/>
        <v>0</v>
      </c>
      <c r="AX420" s="171">
        <f t="shared" si="652"/>
        <v>0</v>
      </c>
      <c r="AY420" s="171">
        <f t="shared" si="652"/>
        <v>0</v>
      </c>
      <c r="AZ420" s="171">
        <f t="shared" si="652"/>
        <v>0</v>
      </c>
      <c r="BA420" s="171">
        <f t="shared" si="652"/>
        <v>0</v>
      </c>
      <c r="BB420" s="171">
        <f t="shared" si="652"/>
        <v>0</v>
      </c>
      <c r="BC420" s="171">
        <f t="shared" si="652"/>
        <v>0</v>
      </c>
      <c r="BD420" s="171">
        <f t="shared" si="652"/>
        <v>0</v>
      </c>
      <c r="BE420" s="171">
        <f t="shared" si="653"/>
        <v>0</v>
      </c>
      <c r="BF420" s="171">
        <f t="shared" si="653"/>
        <v>0</v>
      </c>
      <c r="BG420" s="171">
        <f t="shared" si="653"/>
        <v>0</v>
      </c>
      <c r="BH420" s="171">
        <f t="shared" si="653"/>
        <v>0</v>
      </c>
      <c r="BI420" s="171">
        <f t="shared" si="653"/>
        <v>0</v>
      </c>
      <c r="BJ420" s="171">
        <f t="shared" si="653"/>
        <v>0</v>
      </c>
      <c r="BK420" s="171">
        <f t="shared" si="653"/>
        <v>0</v>
      </c>
      <c r="BL420" s="171">
        <f t="shared" si="653"/>
        <v>0</v>
      </c>
      <c r="BM420" s="171">
        <f t="shared" si="653"/>
        <v>0</v>
      </c>
      <c r="BN420" s="171">
        <f t="shared" si="653"/>
        <v>0</v>
      </c>
      <c r="BO420" s="171">
        <f t="shared" si="654"/>
        <v>0</v>
      </c>
      <c r="BP420" s="171">
        <f t="shared" si="654"/>
        <v>0</v>
      </c>
      <c r="BQ420" s="171">
        <f t="shared" si="654"/>
        <v>0</v>
      </c>
      <c r="BR420" s="171">
        <f t="shared" si="654"/>
        <v>0</v>
      </c>
      <c r="BS420" s="171">
        <f t="shared" si="654"/>
        <v>0</v>
      </c>
      <c r="BT420" s="171">
        <f t="shared" si="654"/>
        <v>0</v>
      </c>
      <c r="BU420" s="171">
        <f t="shared" si="654"/>
        <v>0</v>
      </c>
      <c r="BV420" s="171">
        <f t="shared" si="654"/>
        <v>0</v>
      </c>
      <c r="BW420" s="171">
        <f t="shared" si="654"/>
        <v>0</v>
      </c>
      <c r="BX420" s="171">
        <f t="shared" si="654"/>
        <v>0</v>
      </c>
      <c r="BY420" s="171">
        <f t="shared" si="655"/>
        <v>0</v>
      </c>
      <c r="BZ420" s="171">
        <f t="shared" si="655"/>
        <v>0</v>
      </c>
      <c r="CA420" s="171">
        <f t="shared" si="655"/>
        <v>0</v>
      </c>
      <c r="CB420" s="171">
        <f t="shared" si="655"/>
        <v>0</v>
      </c>
      <c r="CC420" s="171">
        <f t="shared" si="655"/>
        <v>0</v>
      </c>
      <c r="CD420" s="171">
        <f t="shared" si="655"/>
        <v>0</v>
      </c>
      <c r="CE420" s="171">
        <f t="shared" si="655"/>
        <v>0</v>
      </c>
      <c r="CF420" s="171">
        <f t="shared" si="655"/>
        <v>0</v>
      </c>
      <c r="CG420" s="171">
        <f t="shared" si="655"/>
        <v>0</v>
      </c>
      <c r="CH420" s="171">
        <f t="shared" si="655"/>
        <v>0</v>
      </c>
      <c r="CI420" s="171">
        <f t="shared" si="655"/>
        <v>0</v>
      </c>
      <c r="CJ420" s="243"/>
      <c r="CK420" s="171">
        <f t="shared" si="565"/>
        <v>0</v>
      </c>
      <c r="CL420" s="171">
        <f t="shared" si="566"/>
        <v>0</v>
      </c>
      <c r="CM420" s="171">
        <f t="shared" si="567"/>
        <v>0</v>
      </c>
      <c r="CN420" s="171">
        <f t="shared" si="568"/>
        <v>0</v>
      </c>
      <c r="CO420" s="171">
        <f t="shared" si="569"/>
        <v>0</v>
      </c>
      <c r="CP420" s="171">
        <f t="shared" si="570"/>
        <v>0</v>
      </c>
      <c r="CQ420" s="171">
        <f t="shared" si="571"/>
        <v>0</v>
      </c>
      <c r="CR420" s="171">
        <f t="shared" si="572"/>
        <v>0</v>
      </c>
      <c r="CS420" s="171">
        <f t="shared" si="573"/>
        <v>0</v>
      </c>
      <c r="CT420" s="171">
        <f t="shared" si="574"/>
        <v>0</v>
      </c>
      <c r="CU420" s="171">
        <f t="shared" si="575"/>
        <v>0</v>
      </c>
      <c r="CV420" s="171">
        <f t="shared" si="576"/>
        <v>0</v>
      </c>
      <c r="CW420" s="171">
        <f t="shared" si="577"/>
        <v>0</v>
      </c>
      <c r="CX420" s="171">
        <f t="shared" si="578"/>
        <v>0</v>
      </c>
      <c r="CY420" s="171">
        <f t="shared" ca="1" si="579"/>
        <v>0</v>
      </c>
      <c r="CZ420" s="171">
        <f t="shared" ca="1" si="580"/>
        <v>0</v>
      </c>
      <c r="DA420" s="171">
        <f t="shared" ca="1" si="581"/>
        <v>0</v>
      </c>
      <c r="DB420" s="171">
        <f t="shared" ca="1" si="582"/>
        <v>0</v>
      </c>
      <c r="DC420" s="171">
        <f t="shared" ca="1" si="583"/>
        <v>0</v>
      </c>
      <c r="DD420" s="171">
        <f t="shared" ca="1" si="584"/>
        <v>0</v>
      </c>
      <c r="DE420" s="171">
        <f t="shared" ca="1" si="585"/>
        <v>0</v>
      </c>
      <c r="DF420" s="171">
        <f t="shared" ca="1" si="586"/>
        <v>0</v>
      </c>
      <c r="DG420" s="171">
        <f t="shared" ca="1" si="587"/>
        <v>0</v>
      </c>
      <c r="DH420" s="171">
        <f t="shared" ca="1" si="588"/>
        <v>0</v>
      </c>
      <c r="DI420" s="171">
        <f t="shared" ca="1" si="589"/>
        <v>0</v>
      </c>
      <c r="DJ420" s="171">
        <f t="shared" ca="1" si="590"/>
        <v>0</v>
      </c>
      <c r="DK420" s="171">
        <f t="shared" ca="1" si="591"/>
        <v>0</v>
      </c>
      <c r="DL420" s="171">
        <f t="shared" ca="1" si="592"/>
        <v>0</v>
      </c>
      <c r="DM420" s="171">
        <f t="shared" ca="1" si="593"/>
        <v>0</v>
      </c>
      <c r="DN420" s="171">
        <f t="shared" ca="1" si="594"/>
        <v>0</v>
      </c>
      <c r="DO420" s="171">
        <f t="shared" ca="1" si="595"/>
        <v>0</v>
      </c>
      <c r="DP420" s="171">
        <f t="shared" ca="1" si="596"/>
        <v>0</v>
      </c>
      <c r="DQ420" s="171">
        <f t="shared" ca="1" si="597"/>
        <v>0</v>
      </c>
      <c r="DR420" s="171">
        <f t="shared" ca="1" si="598"/>
        <v>0</v>
      </c>
      <c r="DS420" s="171">
        <f t="shared" ca="1" si="599"/>
        <v>0</v>
      </c>
      <c r="DT420" s="171">
        <f t="shared" ca="1" si="600"/>
        <v>0</v>
      </c>
      <c r="DU420" s="171">
        <f t="shared" ca="1" si="601"/>
        <v>0</v>
      </c>
      <c r="DV420" s="171">
        <f t="shared" ca="1" si="602"/>
        <v>0</v>
      </c>
      <c r="DW420" s="171">
        <f t="shared" ca="1" si="603"/>
        <v>0</v>
      </c>
      <c r="DX420" s="171">
        <f t="shared" ca="1" si="604"/>
        <v>0</v>
      </c>
      <c r="DY420" s="171">
        <f t="shared" ca="1" si="605"/>
        <v>0</v>
      </c>
      <c r="DZ420" s="171">
        <f t="shared" ca="1" si="606"/>
        <v>0</v>
      </c>
      <c r="EA420" s="171">
        <f t="shared" ca="1" si="607"/>
        <v>0</v>
      </c>
      <c r="EB420" s="171">
        <f t="shared" ca="1" si="608"/>
        <v>0</v>
      </c>
      <c r="EC420" s="171">
        <f t="shared" ca="1" si="609"/>
        <v>0</v>
      </c>
      <c r="ED420" s="171">
        <f t="shared" ca="1" si="610"/>
        <v>0</v>
      </c>
      <c r="EE420" s="171">
        <f t="shared" ca="1" si="611"/>
        <v>0</v>
      </c>
      <c r="EF420" s="171">
        <f t="shared" ca="1" si="612"/>
        <v>0</v>
      </c>
      <c r="EG420" s="171">
        <f t="shared" ca="1" si="613"/>
        <v>0</v>
      </c>
      <c r="EH420" s="171">
        <f t="shared" ca="1" si="614"/>
        <v>0</v>
      </c>
      <c r="EI420" s="171">
        <f t="shared" ca="1" si="615"/>
        <v>0</v>
      </c>
      <c r="EJ420" s="171">
        <f t="shared" ca="1" si="616"/>
        <v>0</v>
      </c>
      <c r="EK420" s="171">
        <f t="shared" ca="1" si="617"/>
        <v>0</v>
      </c>
      <c r="EL420" s="171">
        <f t="shared" ca="1" si="618"/>
        <v>0</v>
      </c>
      <c r="EM420" s="171">
        <f t="shared" ca="1" si="619"/>
        <v>0</v>
      </c>
      <c r="EN420" s="171">
        <f t="shared" ca="1" si="620"/>
        <v>0</v>
      </c>
      <c r="EO420" s="171">
        <f t="shared" ca="1" si="621"/>
        <v>0</v>
      </c>
      <c r="EP420" s="171">
        <f t="shared" ca="1" si="622"/>
        <v>0</v>
      </c>
      <c r="EQ420" s="171">
        <f t="shared" ca="1" si="623"/>
        <v>0</v>
      </c>
      <c r="ER420" s="171">
        <f t="shared" ca="1" si="624"/>
        <v>0</v>
      </c>
      <c r="ES420" s="171">
        <f t="shared" ca="1" si="625"/>
        <v>0</v>
      </c>
    </row>
    <row r="421" spans="3:149">
      <c r="C421" s="214"/>
      <c r="L421" s="163"/>
      <c r="M421" s="164" t="str">
        <f t="shared" si="550"/>
        <v/>
      </c>
      <c r="N421" s="164" t="str">
        <f t="shared" si="551"/>
        <v/>
      </c>
      <c r="O421" s="165" t="str">
        <f t="shared" si="552"/>
        <v/>
      </c>
      <c r="R421" s="168"/>
      <c r="U421" s="171">
        <f t="shared" si="553"/>
        <v>0</v>
      </c>
      <c r="V421" s="171">
        <f t="shared" ca="1" si="554"/>
        <v>0</v>
      </c>
      <c r="W421" s="171">
        <f t="shared" ca="1" si="555"/>
        <v>0</v>
      </c>
      <c r="X421" s="172">
        <f t="shared" si="556"/>
        <v>0</v>
      </c>
      <c r="Y421" s="172" t="str">
        <f t="shared" si="557"/>
        <v/>
      </c>
      <c r="Z421" s="173">
        <f t="shared" si="558"/>
        <v>0</v>
      </c>
      <c r="AA421" s="171">
        <f t="shared" si="650"/>
        <v>0</v>
      </c>
      <c r="AB421" s="171">
        <f t="shared" si="650"/>
        <v>0</v>
      </c>
      <c r="AC421" s="171">
        <f t="shared" si="650"/>
        <v>0</v>
      </c>
      <c r="AD421" s="171">
        <f t="shared" si="650"/>
        <v>0</v>
      </c>
      <c r="AE421" s="171">
        <f t="shared" si="650"/>
        <v>0</v>
      </c>
      <c r="AF421" s="171">
        <f t="shared" si="650"/>
        <v>0</v>
      </c>
      <c r="AG421" s="171">
        <f t="shared" si="650"/>
        <v>0</v>
      </c>
      <c r="AH421" s="171">
        <f t="shared" si="650"/>
        <v>0</v>
      </c>
      <c r="AI421" s="171">
        <f t="shared" si="650"/>
        <v>0</v>
      </c>
      <c r="AJ421" s="171">
        <f t="shared" si="650"/>
        <v>0</v>
      </c>
      <c r="AK421" s="171">
        <f t="shared" si="651"/>
        <v>0</v>
      </c>
      <c r="AL421" s="171">
        <f t="shared" si="651"/>
        <v>0</v>
      </c>
      <c r="AM421" s="171">
        <f t="shared" si="651"/>
        <v>0</v>
      </c>
      <c r="AN421" s="171">
        <f t="shared" si="651"/>
        <v>0</v>
      </c>
      <c r="AO421" s="171">
        <f t="shared" si="651"/>
        <v>0</v>
      </c>
      <c r="AP421" s="171">
        <f t="shared" si="651"/>
        <v>0</v>
      </c>
      <c r="AQ421" s="171">
        <f t="shared" si="651"/>
        <v>0</v>
      </c>
      <c r="AR421" s="171">
        <f t="shared" si="651"/>
        <v>0</v>
      </c>
      <c r="AS421" s="171">
        <f t="shared" si="651"/>
        <v>0</v>
      </c>
      <c r="AT421" s="171">
        <f t="shared" si="651"/>
        <v>0</v>
      </c>
      <c r="AU421" s="171">
        <f t="shared" si="652"/>
        <v>0</v>
      </c>
      <c r="AV421" s="171">
        <f t="shared" si="652"/>
        <v>0</v>
      </c>
      <c r="AW421" s="171">
        <f t="shared" si="652"/>
        <v>0</v>
      </c>
      <c r="AX421" s="171">
        <f t="shared" si="652"/>
        <v>0</v>
      </c>
      <c r="AY421" s="171">
        <f t="shared" si="652"/>
        <v>0</v>
      </c>
      <c r="AZ421" s="171">
        <f t="shared" si="652"/>
        <v>0</v>
      </c>
      <c r="BA421" s="171">
        <f t="shared" si="652"/>
        <v>0</v>
      </c>
      <c r="BB421" s="171">
        <f t="shared" si="652"/>
        <v>0</v>
      </c>
      <c r="BC421" s="171">
        <f t="shared" si="652"/>
        <v>0</v>
      </c>
      <c r="BD421" s="171">
        <f t="shared" si="652"/>
        <v>0</v>
      </c>
      <c r="BE421" s="171">
        <f t="shared" si="653"/>
        <v>0</v>
      </c>
      <c r="BF421" s="171">
        <f t="shared" si="653"/>
        <v>0</v>
      </c>
      <c r="BG421" s="171">
        <f t="shared" si="653"/>
        <v>0</v>
      </c>
      <c r="BH421" s="171">
        <f t="shared" si="653"/>
        <v>0</v>
      </c>
      <c r="BI421" s="171">
        <f t="shared" si="653"/>
        <v>0</v>
      </c>
      <c r="BJ421" s="171">
        <f t="shared" si="653"/>
        <v>0</v>
      </c>
      <c r="BK421" s="171">
        <f t="shared" si="653"/>
        <v>0</v>
      </c>
      <c r="BL421" s="171">
        <f t="shared" si="653"/>
        <v>0</v>
      </c>
      <c r="BM421" s="171">
        <f t="shared" si="653"/>
        <v>0</v>
      </c>
      <c r="BN421" s="171">
        <f t="shared" si="653"/>
        <v>0</v>
      </c>
      <c r="BO421" s="171">
        <f t="shared" si="654"/>
        <v>0</v>
      </c>
      <c r="BP421" s="171">
        <f t="shared" si="654"/>
        <v>0</v>
      </c>
      <c r="BQ421" s="171">
        <f t="shared" si="654"/>
        <v>0</v>
      </c>
      <c r="BR421" s="171">
        <f t="shared" si="654"/>
        <v>0</v>
      </c>
      <c r="BS421" s="171">
        <f t="shared" si="654"/>
        <v>0</v>
      </c>
      <c r="BT421" s="171">
        <f t="shared" si="654"/>
        <v>0</v>
      </c>
      <c r="BU421" s="171">
        <f t="shared" si="654"/>
        <v>0</v>
      </c>
      <c r="BV421" s="171">
        <f t="shared" si="654"/>
        <v>0</v>
      </c>
      <c r="BW421" s="171">
        <f t="shared" si="654"/>
        <v>0</v>
      </c>
      <c r="BX421" s="171">
        <f t="shared" si="654"/>
        <v>0</v>
      </c>
      <c r="BY421" s="171">
        <f t="shared" si="655"/>
        <v>0</v>
      </c>
      <c r="BZ421" s="171">
        <f t="shared" si="655"/>
        <v>0</v>
      </c>
      <c r="CA421" s="171">
        <f t="shared" si="655"/>
        <v>0</v>
      </c>
      <c r="CB421" s="171">
        <f t="shared" si="655"/>
        <v>0</v>
      </c>
      <c r="CC421" s="171">
        <f t="shared" si="655"/>
        <v>0</v>
      </c>
      <c r="CD421" s="171">
        <f t="shared" si="655"/>
        <v>0</v>
      </c>
      <c r="CE421" s="171">
        <f t="shared" si="655"/>
        <v>0</v>
      </c>
      <c r="CF421" s="171">
        <f t="shared" si="655"/>
        <v>0</v>
      </c>
      <c r="CG421" s="171">
        <f t="shared" si="655"/>
        <v>0</v>
      </c>
      <c r="CH421" s="171">
        <f t="shared" si="655"/>
        <v>0</v>
      </c>
      <c r="CI421" s="171">
        <f t="shared" si="655"/>
        <v>0</v>
      </c>
      <c r="CJ421" s="243"/>
      <c r="CK421" s="171">
        <f t="shared" si="565"/>
        <v>0</v>
      </c>
      <c r="CL421" s="171">
        <f t="shared" si="566"/>
        <v>0</v>
      </c>
      <c r="CM421" s="171">
        <f t="shared" si="567"/>
        <v>0</v>
      </c>
      <c r="CN421" s="171">
        <f t="shared" si="568"/>
        <v>0</v>
      </c>
      <c r="CO421" s="171">
        <f t="shared" si="569"/>
        <v>0</v>
      </c>
      <c r="CP421" s="171">
        <f t="shared" si="570"/>
        <v>0</v>
      </c>
      <c r="CQ421" s="171">
        <f t="shared" si="571"/>
        <v>0</v>
      </c>
      <c r="CR421" s="171">
        <f t="shared" si="572"/>
        <v>0</v>
      </c>
      <c r="CS421" s="171">
        <f t="shared" si="573"/>
        <v>0</v>
      </c>
      <c r="CT421" s="171">
        <f t="shared" si="574"/>
        <v>0</v>
      </c>
      <c r="CU421" s="171">
        <f t="shared" si="575"/>
        <v>0</v>
      </c>
      <c r="CV421" s="171">
        <f t="shared" si="576"/>
        <v>0</v>
      </c>
      <c r="CW421" s="171">
        <f t="shared" si="577"/>
        <v>0</v>
      </c>
      <c r="CX421" s="171">
        <f t="shared" si="578"/>
        <v>0</v>
      </c>
      <c r="CY421" s="171">
        <f t="shared" ca="1" si="579"/>
        <v>0</v>
      </c>
      <c r="CZ421" s="171">
        <f t="shared" ca="1" si="580"/>
        <v>0</v>
      </c>
      <c r="DA421" s="171">
        <f t="shared" ca="1" si="581"/>
        <v>0</v>
      </c>
      <c r="DB421" s="171">
        <f t="shared" ca="1" si="582"/>
        <v>0</v>
      </c>
      <c r="DC421" s="171">
        <f t="shared" ca="1" si="583"/>
        <v>0</v>
      </c>
      <c r="DD421" s="171">
        <f t="shared" ca="1" si="584"/>
        <v>0</v>
      </c>
      <c r="DE421" s="171">
        <f t="shared" ca="1" si="585"/>
        <v>0</v>
      </c>
      <c r="DF421" s="171">
        <f t="shared" ca="1" si="586"/>
        <v>0</v>
      </c>
      <c r="DG421" s="171">
        <f t="shared" ca="1" si="587"/>
        <v>0</v>
      </c>
      <c r="DH421" s="171">
        <f t="shared" ca="1" si="588"/>
        <v>0</v>
      </c>
      <c r="DI421" s="171">
        <f t="shared" ca="1" si="589"/>
        <v>0</v>
      </c>
      <c r="DJ421" s="171">
        <f t="shared" ca="1" si="590"/>
        <v>0</v>
      </c>
      <c r="DK421" s="171">
        <f t="shared" ca="1" si="591"/>
        <v>0</v>
      </c>
      <c r="DL421" s="171">
        <f t="shared" ca="1" si="592"/>
        <v>0</v>
      </c>
      <c r="DM421" s="171">
        <f t="shared" ca="1" si="593"/>
        <v>0</v>
      </c>
      <c r="DN421" s="171">
        <f t="shared" ca="1" si="594"/>
        <v>0</v>
      </c>
      <c r="DO421" s="171">
        <f t="shared" ca="1" si="595"/>
        <v>0</v>
      </c>
      <c r="DP421" s="171">
        <f t="shared" ca="1" si="596"/>
        <v>0</v>
      </c>
      <c r="DQ421" s="171">
        <f t="shared" ca="1" si="597"/>
        <v>0</v>
      </c>
      <c r="DR421" s="171">
        <f t="shared" ca="1" si="598"/>
        <v>0</v>
      </c>
      <c r="DS421" s="171">
        <f t="shared" ca="1" si="599"/>
        <v>0</v>
      </c>
      <c r="DT421" s="171">
        <f t="shared" ca="1" si="600"/>
        <v>0</v>
      </c>
      <c r="DU421" s="171">
        <f t="shared" ca="1" si="601"/>
        <v>0</v>
      </c>
      <c r="DV421" s="171">
        <f t="shared" ca="1" si="602"/>
        <v>0</v>
      </c>
      <c r="DW421" s="171">
        <f t="shared" ca="1" si="603"/>
        <v>0</v>
      </c>
      <c r="DX421" s="171">
        <f t="shared" ca="1" si="604"/>
        <v>0</v>
      </c>
      <c r="DY421" s="171">
        <f t="shared" ca="1" si="605"/>
        <v>0</v>
      </c>
      <c r="DZ421" s="171">
        <f t="shared" ca="1" si="606"/>
        <v>0</v>
      </c>
      <c r="EA421" s="171">
        <f t="shared" ca="1" si="607"/>
        <v>0</v>
      </c>
      <c r="EB421" s="171">
        <f t="shared" ca="1" si="608"/>
        <v>0</v>
      </c>
      <c r="EC421" s="171">
        <f t="shared" ca="1" si="609"/>
        <v>0</v>
      </c>
      <c r="ED421" s="171">
        <f t="shared" ca="1" si="610"/>
        <v>0</v>
      </c>
      <c r="EE421" s="171">
        <f t="shared" ca="1" si="611"/>
        <v>0</v>
      </c>
      <c r="EF421" s="171">
        <f t="shared" ca="1" si="612"/>
        <v>0</v>
      </c>
      <c r="EG421" s="171">
        <f t="shared" ca="1" si="613"/>
        <v>0</v>
      </c>
      <c r="EH421" s="171">
        <f t="shared" ca="1" si="614"/>
        <v>0</v>
      </c>
      <c r="EI421" s="171">
        <f t="shared" ca="1" si="615"/>
        <v>0</v>
      </c>
      <c r="EJ421" s="171">
        <f t="shared" ca="1" si="616"/>
        <v>0</v>
      </c>
      <c r="EK421" s="171">
        <f t="shared" ca="1" si="617"/>
        <v>0</v>
      </c>
      <c r="EL421" s="171">
        <f t="shared" ca="1" si="618"/>
        <v>0</v>
      </c>
      <c r="EM421" s="171">
        <f t="shared" ca="1" si="619"/>
        <v>0</v>
      </c>
      <c r="EN421" s="171">
        <f t="shared" ca="1" si="620"/>
        <v>0</v>
      </c>
      <c r="EO421" s="171">
        <f t="shared" ca="1" si="621"/>
        <v>0</v>
      </c>
      <c r="EP421" s="171">
        <f t="shared" ca="1" si="622"/>
        <v>0</v>
      </c>
      <c r="EQ421" s="171">
        <f t="shared" ca="1" si="623"/>
        <v>0</v>
      </c>
      <c r="ER421" s="171">
        <f t="shared" ca="1" si="624"/>
        <v>0</v>
      </c>
      <c r="ES421" s="171">
        <f t="shared" ca="1" si="625"/>
        <v>0</v>
      </c>
    </row>
    <row r="422" spans="3:149">
      <c r="C422" s="214"/>
      <c r="L422" s="163"/>
      <c r="M422" s="164" t="str">
        <f t="shared" si="550"/>
        <v/>
      </c>
      <c r="N422" s="164" t="str">
        <f t="shared" si="551"/>
        <v/>
      </c>
      <c r="O422" s="165" t="str">
        <f t="shared" si="552"/>
        <v/>
      </c>
      <c r="R422" s="168"/>
      <c r="U422" s="171">
        <f t="shared" si="553"/>
        <v>0</v>
      </c>
      <c r="V422" s="171">
        <f t="shared" ca="1" si="554"/>
        <v>0</v>
      </c>
      <c r="W422" s="171">
        <f t="shared" ca="1" si="555"/>
        <v>0</v>
      </c>
      <c r="X422" s="172">
        <f t="shared" si="556"/>
        <v>0</v>
      </c>
      <c r="Y422" s="172" t="str">
        <f t="shared" si="557"/>
        <v/>
      </c>
      <c r="Z422" s="173">
        <f t="shared" si="558"/>
        <v>0</v>
      </c>
      <c r="AA422" s="171">
        <f t="shared" si="650"/>
        <v>0</v>
      </c>
      <c r="AB422" s="171">
        <f t="shared" si="650"/>
        <v>0</v>
      </c>
      <c r="AC422" s="171">
        <f t="shared" si="650"/>
        <v>0</v>
      </c>
      <c r="AD422" s="171">
        <f t="shared" si="650"/>
        <v>0</v>
      </c>
      <c r="AE422" s="171">
        <f t="shared" si="650"/>
        <v>0</v>
      </c>
      <c r="AF422" s="171">
        <f t="shared" si="650"/>
        <v>0</v>
      </c>
      <c r="AG422" s="171">
        <f t="shared" si="650"/>
        <v>0</v>
      </c>
      <c r="AH422" s="171">
        <f t="shared" si="650"/>
        <v>0</v>
      </c>
      <c r="AI422" s="171">
        <f t="shared" si="650"/>
        <v>0</v>
      </c>
      <c r="AJ422" s="171">
        <f t="shared" si="650"/>
        <v>0</v>
      </c>
      <c r="AK422" s="171">
        <f t="shared" si="651"/>
        <v>0</v>
      </c>
      <c r="AL422" s="171">
        <f t="shared" si="651"/>
        <v>0</v>
      </c>
      <c r="AM422" s="171">
        <f t="shared" si="651"/>
        <v>0</v>
      </c>
      <c r="AN422" s="171">
        <f t="shared" si="651"/>
        <v>0</v>
      </c>
      <c r="AO422" s="171">
        <f t="shared" si="651"/>
        <v>0</v>
      </c>
      <c r="AP422" s="171">
        <f t="shared" si="651"/>
        <v>0</v>
      </c>
      <c r="AQ422" s="171">
        <f t="shared" si="651"/>
        <v>0</v>
      </c>
      <c r="AR422" s="171">
        <f t="shared" si="651"/>
        <v>0</v>
      </c>
      <c r="AS422" s="171">
        <f t="shared" si="651"/>
        <v>0</v>
      </c>
      <c r="AT422" s="171">
        <f t="shared" si="651"/>
        <v>0</v>
      </c>
      <c r="AU422" s="171">
        <f t="shared" si="652"/>
        <v>0</v>
      </c>
      <c r="AV422" s="171">
        <f t="shared" si="652"/>
        <v>0</v>
      </c>
      <c r="AW422" s="171">
        <f t="shared" si="652"/>
        <v>0</v>
      </c>
      <c r="AX422" s="171">
        <f t="shared" si="652"/>
        <v>0</v>
      </c>
      <c r="AY422" s="171">
        <f t="shared" si="652"/>
        <v>0</v>
      </c>
      <c r="AZ422" s="171">
        <f t="shared" si="652"/>
        <v>0</v>
      </c>
      <c r="BA422" s="171">
        <f t="shared" si="652"/>
        <v>0</v>
      </c>
      <c r="BB422" s="171">
        <f t="shared" si="652"/>
        <v>0</v>
      </c>
      <c r="BC422" s="171">
        <f t="shared" si="652"/>
        <v>0</v>
      </c>
      <c r="BD422" s="171">
        <f t="shared" si="652"/>
        <v>0</v>
      </c>
      <c r="BE422" s="171">
        <f t="shared" si="653"/>
        <v>0</v>
      </c>
      <c r="BF422" s="171">
        <f t="shared" si="653"/>
        <v>0</v>
      </c>
      <c r="BG422" s="171">
        <f t="shared" si="653"/>
        <v>0</v>
      </c>
      <c r="BH422" s="171">
        <f t="shared" si="653"/>
        <v>0</v>
      </c>
      <c r="BI422" s="171">
        <f t="shared" si="653"/>
        <v>0</v>
      </c>
      <c r="BJ422" s="171">
        <f t="shared" si="653"/>
        <v>0</v>
      </c>
      <c r="BK422" s="171">
        <f t="shared" si="653"/>
        <v>0</v>
      </c>
      <c r="BL422" s="171">
        <f t="shared" si="653"/>
        <v>0</v>
      </c>
      <c r="BM422" s="171">
        <f t="shared" si="653"/>
        <v>0</v>
      </c>
      <c r="BN422" s="171">
        <f t="shared" si="653"/>
        <v>0</v>
      </c>
      <c r="BO422" s="171">
        <f t="shared" si="654"/>
        <v>0</v>
      </c>
      <c r="BP422" s="171">
        <f t="shared" si="654"/>
        <v>0</v>
      </c>
      <c r="BQ422" s="171">
        <f t="shared" si="654"/>
        <v>0</v>
      </c>
      <c r="BR422" s="171">
        <f t="shared" si="654"/>
        <v>0</v>
      </c>
      <c r="BS422" s="171">
        <f t="shared" si="654"/>
        <v>0</v>
      </c>
      <c r="BT422" s="171">
        <f t="shared" si="654"/>
        <v>0</v>
      </c>
      <c r="BU422" s="171">
        <f t="shared" si="654"/>
        <v>0</v>
      </c>
      <c r="BV422" s="171">
        <f t="shared" si="654"/>
        <v>0</v>
      </c>
      <c r="BW422" s="171">
        <f t="shared" si="654"/>
        <v>0</v>
      </c>
      <c r="BX422" s="171">
        <f t="shared" si="654"/>
        <v>0</v>
      </c>
      <c r="BY422" s="171">
        <f t="shared" si="655"/>
        <v>0</v>
      </c>
      <c r="BZ422" s="171">
        <f t="shared" si="655"/>
        <v>0</v>
      </c>
      <c r="CA422" s="171">
        <f t="shared" si="655"/>
        <v>0</v>
      </c>
      <c r="CB422" s="171">
        <f t="shared" si="655"/>
        <v>0</v>
      </c>
      <c r="CC422" s="171">
        <f t="shared" si="655"/>
        <v>0</v>
      </c>
      <c r="CD422" s="171">
        <f t="shared" si="655"/>
        <v>0</v>
      </c>
      <c r="CE422" s="171">
        <f t="shared" si="655"/>
        <v>0</v>
      </c>
      <c r="CF422" s="171">
        <f t="shared" si="655"/>
        <v>0</v>
      </c>
      <c r="CG422" s="171">
        <f t="shared" si="655"/>
        <v>0</v>
      </c>
      <c r="CH422" s="171">
        <f t="shared" si="655"/>
        <v>0</v>
      </c>
      <c r="CI422" s="171">
        <f t="shared" si="655"/>
        <v>0</v>
      </c>
      <c r="CJ422" s="243"/>
      <c r="CK422" s="171">
        <f t="shared" si="565"/>
        <v>0</v>
      </c>
      <c r="CL422" s="171">
        <f t="shared" si="566"/>
        <v>0</v>
      </c>
      <c r="CM422" s="171">
        <f t="shared" si="567"/>
        <v>0</v>
      </c>
      <c r="CN422" s="171">
        <f t="shared" si="568"/>
        <v>0</v>
      </c>
      <c r="CO422" s="171">
        <f t="shared" si="569"/>
        <v>0</v>
      </c>
      <c r="CP422" s="171">
        <f t="shared" si="570"/>
        <v>0</v>
      </c>
      <c r="CQ422" s="171">
        <f t="shared" si="571"/>
        <v>0</v>
      </c>
      <c r="CR422" s="171">
        <f t="shared" si="572"/>
        <v>0</v>
      </c>
      <c r="CS422" s="171">
        <f t="shared" si="573"/>
        <v>0</v>
      </c>
      <c r="CT422" s="171">
        <f t="shared" si="574"/>
        <v>0</v>
      </c>
      <c r="CU422" s="171">
        <f t="shared" si="575"/>
        <v>0</v>
      </c>
      <c r="CV422" s="171">
        <f t="shared" si="576"/>
        <v>0</v>
      </c>
      <c r="CW422" s="171">
        <f t="shared" si="577"/>
        <v>0</v>
      </c>
      <c r="CX422" s="171">
        <f t="shared" si="578"/>
        <v>0</v>
      </c>
      <c r="CY422" s="171">
        <f t="shared" ca="1" si="579"/>
        <v>0</v>
      </c>
      <c r="CZ422" s="171">
        <f t="shared" ca="1" si="580"/>
        <v>0</v>
      </c>
      <c r="DA422" s="171">
        <f t="shared" ca="1" si="581"/>
        <v>0</v>
      </c>
      <c r="DB422" s="171">
        <f t="shared" ca="1" si="582"/>
        <v>0</v>
      </c>
      <c r="DC422" s="171">
        <f t="shared" ca="1" si="583"/>
        <v>0</v>
      </c>
      <c r="DD422" s="171">
        <f t="shared" ca="1" si="584"/>
        <v>0</v>
      </c>
      <c r="DE422" s="171">
        <f t="shared" ca="1" si="585"/>
        <v>0</v>
      </c>
      <c r="DF422" s="171">
        <f t="shared" ca="1" si="586"/>
        <v>0</v>
      </c>
      <c r="DG422" s="171">
        <f t="shared" ca="1" si="587"/>
        <v>0</v>
      </c>
      <c r="DH422" s="171">
        <f t="shared" ca="1" si="588"/>
        <v>0</v>
      </c>
      <c r="DI422" s="171">
        <f t="shared" ca="1" si="589"/>
        <v>0</v>
      </c>
      <c r="DJ422" s="171">
        <f t="shared" ca="1" si="590"/>
        <v>0</v>
      </c>
      <c r="DK422" s="171">
        <f t="shared" ca="1" si="591"/>
        <v>0</v>
      </c>
      <c r="DL422" s="171">
        <f t="shared" ca="1" si="592"/>
        <v>0</v>
      </c>
      <c r="DM422" s="171">
        <f t="shared" ca="1" si="593"/>
        <v>0</v>
      </c>
      <c r="DN422" s="171">
        <f t="shared" ca="1" si="594"/>
        <v>0</v>
      </c>
      <c r="DO422" s="171">
        <f t="shared" ca="1" si="595"/>
        <v>0</v>
      </c>
      <c r="DP422" s="171">
        <f t="shared" ca="1" si="596"/>
        <v>0</v>
      </c>
      <c r="DQ422" s="171">
        <f t="shared" ca="1" si="597"/>
        <v>0</v>
      </c>
      <c r="DR422" s="171">
        <f t="shared" ca="1" si="598"/>
        <v>0</v>
      </c>
      <c r="DS422" s="171">
        <f t="shared" ca="1" si="599"/>
        <v>0</v>
      </c>
      <c r="DT422" s="171">
        <f t="shared" ca="1" si="600"/>
        <v>0</v>
      </c>
      <c r="DU422" s="171">
        <f t="shared" ca="1" si="601"/>
        <v>0</v>
      </c>
      <c r="DV422" s="171">
        <f t="shared" ca="1" si="602"/>
        <v>0</v>
      </c>
      <c r="DW422" s="171">
        <f t="shared" ca="1" si="603"/>
        <v>0</v>
      </c>
      <c r="DX422" s="171">
        <f t="shared" ca="1" si="604"/>
        <v>0</v>
      </c>
      <c r="DY422" s="171">
        <f t="shared" ca="1" si="605"/>
        <v>0</v>
      </c>
      <c r="DZ422" s="171">
        <f t="shared" ca="1" si="606"/>
        <v>0</v>
      </c>
      <c r="EA422" s="171">
        <f t="shared" ca="1" si="607"/>
        <v>0</v>
      </c>
      <c r="EB422" s="171">
        <f t="shared" ca="1" si="608"/>
        <v>0</v>
      </c>
      <c r="EC422" s="171">
        <f t="shared" ca="1" si="609"/>
        <v>0</v>
      </c>
      <c r="ED422" s="171">
        <f t="shared" ca="1" si="610"/>
        <v>0</v>
      </c>
      <c r="EE422" s="171">
        <f t="shared" ca="1" si="611"/>
        <v>0</v>
      </c>
      <c r="EF422" s="171">
        <f t="shared" ca="1" si="612"/>
        <v>0</v>
      </c>
      <c r="EG422" s="171">
        <f t="shared" ca="1" si="613"/>
        <v>0</v>
      </c>
      <c r="EH422" s="171">
        <f t="shared" ca="1" si="614"/>
        <v>0</v>
      </c>
      <c r="EI422" s="171">
        <f t="shared" ca="1" si="615"/>
        <v>0</v>
      </c>
      <c r="EJ422" s="171">
        <f t="shared" ca="1" si="616"/>
        <v>0</v>
      </c>
      <c r="EK422" s="171">
        <f t="shared" ca="1" si="617"/>
        <v>0</v>
      </c>
      <c r="EL422" s="171">
        <f t="shared" ca="1" si="618"/>
        <v>0</v>
      </c>
      <c r="EM422" s="171">
        <f t="shared" ca="1" si="619"/>
        <v>0</v>
      </c>
      <c r="EN422" s="171">
        <f t="shared" ca="1" si="620"/>
        <v>0</v>
      </c>
      <c r="EO422" s="171">
        <f t="shared" ca="1" si="621"/>
        <v>0</v>
      </c>
      <c r="EP422" s="171">
        <f t="shared" ca="1" si="622"/>
        <v>0</v>
      </c>
      <c r="EQ422" s="171">
        <f t="shared" ca="1" si="623"/>
        <v>0</v>
      </c>
      <c r="ER422" s="171">
        <f t="shared" ca="1" si="624"/>
        <v>0</v>
      </c>
      <c r="ES422" s="171">
        <f t="shared" ca="1" si="625"/>
        <v>0</v>
      </c>
    </row>
    <row r="423" spans="3:149">
      <c r="C423" s="214"/>
      <c r="L423" s="163"/>
      <c r="M423" s="164" t="str">
        <f t="shared" si="550"/>
        <v/>
      </c>
      <c r="N423" s="164" t="str">
        <f t="shared" si="551"/>
        <v/>
      </c>
      <c r="O423" s="165" t="str">
        <f t="shared" si="552"/>
        <v/>
      </c>
      <c r="R423" s="168"/>
      <c r="U423" s="171">
        <f t="shared" si="553"/>
        <v>0</v>
      </c>
      <c r="V423" s="171">
        <f t="shared" ca="1" si="554"/>
        <v>0</v>
      </c>
      <c r="W423" s="171">
        <f t="shared" ca="1" si="555"/>
        <v>0</v>
      </c>
      <c r="X423" s="172">
        <f t="shared" si="556"/>
        <v>0</v>
      </c>
      <c r="Y423" s="172" t="str">
        <f t="shared" si="557"/>
        <v/>
      </c>
      <c r="Z423" s="173">
        <f t="shared" si="558"/>
        <v>0</v>
      </c>
      <c r="AA423" s="171">
        <f t="shared" si="650"/>
        <v>0</v>
      </c>
      <c r="AB423" s="171">
        <f t="shared" si="650"/>
        <v>0</v>
      </c>
      <c r="AC423" s="171">
        <f t="shared" si="650"/>
        <v>0</v>
      </c>
      <c r="AD423" s="171">
        <f t="shared" si="650"/>
        <v>0</v>
      </c>
      <c r="AE423" s="171">
        <f t="shared" si="650"/>
        <v>0</v>
      </c>
      <c r="AF423" s="171">
        <f t="shared" si="650"/>
        <v>0</v>
      </c>
      <c r="AG423" s="171">
        <f t="shared" si="650"/>
        <v>0</v>
      </c>
      <c r="AH423" s="171">
        <f t="shared" si="650"/>
        <v>0</v>
      </c>
      <c r="AI423" s="171">
        <f t="shared" si="650"/>
        <v>0</v>
      </c>
      <c r="AJ423" s="171">
        <f t="shared" si="650"/>
        <v>0</v>
      </c>
      <c r="AK423" s="171">
        <f t="shared" si="651"/>
        <v>0</v>
      </c>
      <c r="AL423" s="171">
        <f t="shared" si="651"/>
        <v>0</v>
      </c>
      <c r="AM423" s="171">
        <f t="shared" si="651"/>
        <v>0</v>
      </c>
      <c r="AN423" s="171">
        <f t="shared" si="651"/>
        <v>0</v>
      </c>
      <c r="AO423" s="171">
        <f t="shared" si="651"/>
        <v>0</v>
      </c>
      <c r="AP423" s="171">
        <f t="shared" si="651"/>
        <v>0</v>
      </c>
      <c r="AQ423" s="171">
        <f t="shared" si="651"/>
        <v>0</v>
      </c>
      <c r="AR423" s="171">
        <f t="shared" si="651"/>
        <v>0</v>
      </c>
      <c r="AS423" s="171">
        <f t="shared" si="651"/>
        <v>0</v>
      </c>
      <c r="AT423" s="171">
        <f t="shared" si="651"/>
        <v>0</v>
      </c>
      <c r="AU423" s="171">
        <f t="shared" si="652"/>
        <v>0</v>
      </c>
      <c r="AV423" s="171">
        <f t="shared" si="652"/>
        <v>0</v>
      </c>
      <c r="AW423" s="171">
        <f t="shared" si="652"/>
        <v>0</v>
      </c>
      <c r="AX423" s="171">
        <f t="shared" si="652"/>
        <v>0</v>
      </c>
      <c r="AY423" s="171">
        <f t="shared" si="652"/>
        <v>0</v>
      </c>
      <c r="AZ423" s="171">
        <f t="shared" si="652"/>
        <v>0</v>
      </c>
      <c r="BA423" s="171">
        <f t="shared" si="652"/>
        <v>0</v>
      </c>
      <c r="BB423" s="171">
        <f t="shared" si="652"/>
        <v>0</v>
      </c>
      <c r="BC423" s="171">
        <f t="shared" si="652"/>
        <v>0</v>
      </c>
      <c r="BD423" s="171">
        <f t="shared" si="652"/>
        <v>0</v>
      </c>
      <c r="BE423" s="171">
        <f t="shared" si="653"/>
        <v>0</v>
      </c>
      <c r="BF423" s="171">
        <f t="shared" si="653"/>
        <v>0</v>
      </c>
      <c r="BG423" s="171">
        <f t="shared" si="653"/>
        <v>0</v>
      </c>
      <c r="BH423" s="171">
        <f t="shared" si="653"/>
        <v>0</v>
      </c>
      <c r="BI423" s="171">
        <f t="shared" si="653"/>
        <v>0</v>
      </c>
      <c r="BJ423" s="171">
        <f t="shared" si="653"/>
        <v>0</v>
      </c>
      <c r="BK423" s="171">
        <f t="shared" si="653"/>
        <v>0</v>
      </c>
      <c r="BL423" s="171">
        <f t="shared" si="653"/>
        <v>0</v>
      </c>
      <c r="BM423" s="171">
        <f t="shared" si="653"/>
        <v>0</v>
      </c>
      <c r="BN423" s="171">
        <f t="shared" si="653"/>
        <v>0</v>
      </c>
      <c r="BO423" s="171">
        <f t="shared" si="654"/>
        <v>0</v>
      </c>
      <c r="BP423" s="171">
        <f t="shared" si="654"/>
        <v>0</v>
      </c>
      <c r="BQ423" s="171">
        <f t="shared" si="654"/>
        <v>0</v>
      </c>
      <c r="BR423" s="171">
        <f t="shared" si="654"/>
        <v>0</v>
      </c>
      <c r="BS423" s="171">
        <f t="shared" si="654"/>
        <v>0</v>
      </c>
      <c r="BT423" s="171">
        <f t="shared" si="654"/>
        <v>0</v>
      </c>
      <c r="BU423" s="171">
        <f t="shared" si="654"/>
        <v>0</v>
      </c>
      <c r="BV423" s="171">
        <f t="shared" si="654"/>
        <v>0</v>
      </c>
      <c r="BW423" s="171">
        <f t="shared" si="654"/>
        <v>0</v>
      </c>
      <c r="BX423" s="171">
        <f t="shared" si="654"/>
        <v>0</v>
      </c>
      <c r="BY423" s="171">
        <f t="shared" si="655"/>
        <v>0</v>
      </c>
      <c r="BZ423" s="171">
        <f t="shared" si="655"/>
        <v>0</v>
      </c>
      <c r="CA423" s="171">
        <f t="shared" si="655"/>
        <v>0</v>
      </c>
      <c r="CB423" s="171">
        <f t="shared" si="655"/>
        <v>0</v>
      </c>
      <c r="CC423" s="171">
        <f t="shared" si="655"/>
        <v>0</v>
      </c>
      <c r="CD423" s="171">
        <f t="shared" si="655"/>
        <v>0</v>
      </c>
      <c r="CE423" s="171">
        <f t="shared" si="655"/>
        <v>0</v>
      </c>
      <c r="CF423" s="171">
        <f t="shared" si="655"/>
        <v>0</v>
      </c>
      <c r="CG423" s="171">
        <f t="shared" si="655"/>
        <v>0</v>
      </c>
      <c r="CH423" s="171">
        <f t="shared" si="655"/>
        <v>0</v>
      </c>
      <c r="CI423" s="171">
        <f t="shared" si="655"/>
        <v>0</v>
      </c>
      <c r="CJ423" s="243"/>
      <c r="CK423" s="171">
        <f t="shared" si="565"/>
        <v>0</v>
      </c>
      <c r="CL423" s="171">
        <f t="shared" si="566"/>
        <v>0</v>
      </c>
      <c r="CM423" s="171">
        <f t="shared" si="567"/>
        <v>0</v>
      </c>
      <c r="CN423" s="171">
        <f t="shared" si="568"/>
        <v>0</v>
      </c>
      <c r="CO423" s="171">
        <f t="shared" si="569"/>
        <v>0</v>
      </c>
      <c r="CP423" s="171">
        <f t="shared" si="570"/>
        <v>0</v>
      </c>
      <c r="CQ423" s="171">
        <f t="shared" si="571"/>
        <v>0</v>
      </c>
      <c r="CR423" s="171">
        <f t="shared" si="572"/>
        <v>0</v>
      </c>
      <c r="CS423" s="171">
        <f t="shared" si="573"/>
        <v>0</v>
      </c>
      <c r="CT423" s="171">
        <f t="shared" si="574"/>
        <v>0</v>
      </c>
      <c r="CU423" s="171">
        <f t="shared" si="575"/>
        <v>0</v>
      </c>
      <c r="CV423" s="171">
        <f t="shared" si="576"/>
        <v>0</v>
      </c>
      <c r="CW423" s="171">
        <f t="shared" si="577"/>
        <v>0</v>
      </c>
      <c r="CX423" s="171">
        <f t="shared" si="578"/>
        <v>0</v>
      </c>
      <c r="CY423" s="171">
        <f t="shared" ca="1" si="579"/>
        <v>0</v>
      </c>
      <c r="CZ423" s="171">
        <f t="shared" ca="1" si="580"/>
        <v>0</v>
      </c>
      <c r="DA423" s="171">
        <f t="shared" ca="1" si="581"/>
        <v>0</v>
      </c>
      <c r="DB423" s="171">
        <f t="shared" ca="1" si="582"/>
        <v>0</v>
      </c>
      <c r="DC423" s="171">
        <f t="shared" ca="1" si="583"/>
        <v>0</v>
      </c>
      <c r="DD423" s="171">
        <f t="shared" ca="1" si="584"/>
        <v>0</v>
      </c>
      <c r="DE423" s="171">
        <f t="shared" ca="1" si="585"/>
        <v>0</v>
      </c>
      <c r="DF423" s="171">
        <f t="shared" ca="1" si="586"/>
        <v>0</v>
      </c>
      <c r="DG423" s="171">
        <f t="shared" ca="1" si="587"/>
        <v>0</v>
      </c>
      <c r="DH423" s="171">
        <f t="shared" ca="1" si="588"/>
        <v>0</v>
      </c>
      <c r="DI423" s="171">
        <f t="shared" ca="1" si="589"/>
        <v>0</v>
      </c>
      <c r="DJ423" s="171">
        <f t="shared" ca="1" si="590"/>
        <v>0</v>
      </c>
      <c r="DK423" s="171">
        <f t="shared" ca="1" si="591"/>
        <v>0</v>
      </c>
      <c r="DL423" s="171">
        <f t="shared" ca="1" si="592"/>
        <v>0</v>
      </c>
      <c r="DM423" s="171">
        <f t="shared" ca="1" si="593"/>
        <v>0</v>
      </c>
      <c r="DN423" s="171">
        <f t="shared" ca="1" si="594"/>
        <v>0</v>
      </c>
      <c r="DO423" s="171">
        <f t="shared" ca="1" si="595"/>
        <v>0</v>
      </c>
      <c r="DP423" s="171">
        <f t="shared" ca="1" si="596"/>
        <v>0</v>
      </c>
      <c r="DQ423" s="171">
        <f t="shared" ca="1" si="597"/>
        <v>0</v>
      </c>
      <c r="DR423" s="171">
        <f t="shared" ca="1" si="598"/>
        <v>0</v>
      </c>
      <c r="DS423" s="171">
        <f t="shared" ca="1" si="599"/>
        <v>0</v>
      </c>
      <c r="DT423" s="171">
        <f t="shared" ca="1" si="600"/>
        <v>0</v>
      </c>
      <c r="DU423" s="171">
        <f t="shared" ca="1" si="601"/>
        <v>0</v>
      </c>
      <c r="DV423" s="171">
        <f t="shared" ca="1" si="602"/>
        <v>0</v>
      </c>
      <c r="DW423" s="171">
        <f t="shared" ca="1" si="603"/>
        <v>0</v>
      </c>
      <c r="DX423" s="171">
        <f t="shared" ca="1" si="604"/>
        <v>0</v>
      </c>
      <c r="DY423" s="171">
        <f t="shared" ca="1" si="605"/>
        <v>0</v>
      </c>
      <c r="DZ423" s="171">
        <f t="shared" ca="1" si="606"/>
        <v>0</v>
      </c>
      <c r="EA423" s="171">
        <f t="shared" ca="1" si="607"/>
        <v>0</v>
      </c>
      <c r="EB423" s="171">
        <f t="shared" ca="1" si="608"/>
        <v>0</v>
      </c>
      <c r="EC423" s="171">
        <f t="shared" ca="1" si="609"/>
        <v>0</v>
      </c>
      <c r="ED423" s="171">
        <f t="shared" ca="1" si="610"/>
        <v>0</v>
      </c>
      <c r="EE423" s="171">
        <f t="shared" ca="1" si="611"/>
        <v>0</v>
      </c>
      <c r="EF423" s="171">
        <f t="shared" ca="1" si="612"/>
        <v>0</v>
      </c>
      <c r="EG423" s="171">
        <f t="shared" ca="1" si="613"/>
        <v>0</v>
      </c>
      <c r="EH423" s="171">
        <f t="shared" ca="1" si="614"/>
        <v>0</v>
      </c>
      <c r="EI423" s="171">
        <f t="shared" ca="1" si="615"/>
        <v>0</v>
      </c>
      <c r="EJ423" s="171">
        <f t="shared" ca="1" si="616"/>
        <v>0</v>
      </c>
      <c r="EK423" s="171">
        <f t="shared" ca="1" si="617"/>
        <v>0</v>
      </c>
      <c r="EL423" s="171">
        <f t="shared" ca="1" si="618"/>
        <v>0</v>
      </c>
      <c r="EM423" s="171">
        <f t="shared" ca="1" si="619"/>
        <v>0</v>
      </c>
      <c r="EN423" s="171">
        <f t="shared" ca="1" si="620"/>
        <v>0</v>
      </c>
      <c r="EO423" s="171">
        <f t="shared" ca="1" si="621"/>
        <v>0</v>
      </c>
      <c r="EP423" s="171">
        <f t="shared" ca="1" si="622"/>
        <v>0</v>
      </c>
      <c r="EQ423" s="171">
        <f t="shared" ca="1" si="623"/>
        <v>0</v>
      </c>
      <c r="ER423" s="171">
        <f t="shared" ca="1" si="624"/>
        <v>0</v>
      </c>
      <c r="ES423" s="171">
        <f t="shared" ca="1" si="625"/>
        <v>0</v>
      </c>
    </row>
    <row r="424" spans="3:149">
      <c r="C424" s="214"/>
      <c r="L424" s="163"/>
      <c r="M424" s="164" t="str">
        <f t="shared" si="550"/>
        <v/>
      </c>
      <c r="N424" s="164" t="str">
        <f t="shared" si="551"/>
        <v/>
      </c>
      <c r="O424" s="165" t="str">
        <f t="shared" si="552"/>
        <v/>
      </c>
      <c r="R424" s="168"/>
      <c r="U424" s="171">
        <f t="shared" si="553"/>
        <v>0</v>
      </c>
      <c r="V424" s="171">
        <f t="shared" ca="1" si="554"/>
        <v>0</v>
      </c>
      <c r="W424" s="171">
        <f t="shared" ca="1" si="555"/>
        <v>0</v>
      </c>
      <c r="X424" s="172">
        <f t="shared" si="556"/>
        <v>0</v>
      </c>
      <c r="Y424" s="172" t="str">
        <f t="shared" si="557"/>
        <v/>
      </c>
      <c r="Z424" s="173">
        <f t="shared" si="558"/>
        <v>0</v>
      </c>
      <c r="AA424" s="171">
        <f t="shared" si="650"/>
        <v>0</v>
      </c>
      <c r="AB424" s="171">
        <f t="shared" si="650"/>
        <v>0</v>
      </c>
      <c r="AC424" s="171">
        <f t="shared" si="650"/>
        <v>0</v>
      </c>
      <c r="AD424" s="171">
        <f t="shared" si="650"/>
        <v>0</v>
      </c>
      <c r="AE424" s="171">
        <f t="shared" si="650"/>
        <v>0</v>
      </c>
      <c r="AF424" s="171">
        <f t="shared" si="650"/>
        <v>0</v>
      </c>
      <c r="AG424" s="171">
        <f t="shared" si="650"/>
        <v>0</v>
      </c>
      <c r="AH424" s="171">
        <f t="shared" si="650"/>
        <v>0</v>
      </c>
      <c r="AI424" s="171">
        <f t="shared" si="650"/>
        <v>0</v>
      </c>
      <c r="AJ424" s="171">
        <f t="shared" si="650"/>
        <v>0</v>
      </c>
      <c r="AK424" s="171">
        <f t="shared" si="651"/>
        <v>0</v>
      </c>
      <c r="AL424" s="171">
        <f t="shared" si="651"/>
        <v>0</v>
      </c>
      <c r="AM424" s="171">
        <f t="shared" si="651"/>
        <v>0</v>
      </c>
      <c r="AN424" s="171">
        <f t="shared" si="651"/>
        <v>0</v>
      </c>
      <c r="AO424" s="171">
        <f t="shared" si="651"/>
        <v>0</v>
      </c>
      <c r="AP424" s="171">
        <f t="shared" si="651"/>
        <v>0</v>
      </c>
      <c r="AQ424" s="171">
        <f t="shared" si="651"/>
        <v>0</v>
      </c>
      <c r="AR424" s="171">
        <f t="shared" si="651"/>
        <v>0</v>
      </c>
      <c r="AS424" s="171">
        <f t="shared" si="651"/>
        <v>0</v>
      </c>
      <c r="AT424" s="171">
        <f t="shared" si="651"/>
        <v>0</v>
      </c>
      <c r="AU424" s="171">
        <f t="shared" si="652"/>
        <v>0</v>
      </c>
      <c r="AV424" s="171">
        <f t="shared" si="652"/>
        <v>0</v>
      </c>
      <c r="AW424" s="171">
        <f t="shared" si="652"/>
        <v>0</v>
      </c>
      <c r="AX424" s="171">
        <f t="shared" si="652"/>
        <v>0</v>
      </c>
      <c r="AY424" s="171">
        <f t="shared" si="652"/>
        <v>0</v>
      </c>
      <c r="AZ424" s="171">
        <f t="shared" si="652"/>
        <v>0</v>
      </c>
      <c r="BA424" s="171">
        <f t="shared" si="652"/>
        <v>0</v>
      </c>
      <c r="BB424" s="171">
        <f t="shared" si="652"/>
        <v>0</v>
      </c>
      <c r="BC424" s="171">
        <f t="shared" si="652"/>
        <v>0</v>
      </c>
      <c r="BD424" s="171">
        <f t="shared" si="652"/>
        <v>0</v>
      </c>
      <c r="BE424" s="171">
        <f t="shared" si="653"/>
        <v>0</v>
      </c>
      <c r="BF424" s="171">
        <f t="shared" si="653"/>
        <v>0</v>
      </c>
      <c r="BG424" s="171">
        <f t="shared" si="653"/>
        <v>0</v>
      </c>
      <c r="BH424" s="171">
        <f t="shared" si="653"/>
        <v>0</v>
      </c>
      <c r="BI424" s="171">
        <f t="shared" si="653"/>
        <v>0</v>
      </c>
      <c r="BJ424" s="171">
        <f t="shared" si="653"/>
        <v>0</v>
      </c>
      <c r="BK424" s="171">
        <f t="shared" si="653"/>
        <v>0</v>
      </c>
      <c r="BL424" s="171">
        <f t="shared" si="653"/>
        <v>0</v>
      </c>
      <c r="BM424" s="171">
        <f t="shared" si="653"/>
        <v>0</v>
      </c>
      <c r="BN424" s="171">
        <f t="shared" si="653"/>
        <v>0</v>
      </c>
      <c r="BO424" s="171">
        <f t="shared" si="654"/>
        <v>0</v>
      </c>
      <c r="BP424" s="171">
        <f t="shared" si="654"/>
        <v>0</v>
      </c>
      <c r="BQ424" s="171">
        <f t="shared" si="654"/>
        <v>0</v>
      </c>
      <c r="BR424" s="171">
        <f t="shared" si="654"/>
        <v>0</v>
      </c>
      <c r="BS424" s="171">
        <f t="shared" si="654"/>
        <v>0</v>
      </c>
      <c r="BT424" s="171">
        <f t="shared" si="654"/>
        <v>0</v>
      </c>
      <c r="BU424" s="171">
        <f t="shared" si="654"/>
        <v>0</v>
      </c>
      <c r="BV424" s="171">
        <f t="shared" si="654"/>
        <v>0</v>
      </c>
      <c r="BW424" s="171">
        <f t="shared" si="654"/>
        <v>0</v>
      </c>
      <c r="BX424" s="171">
        <f t="shared" si="654"/>
        <v>0</v>
      </c>
      <c r="BY424" s="171">
        <f t="shared" si="655"/>
        <v>0</v>
      </c>
      <c r="BZ424" s="171">
        <f t="shared" si="655"/>
        <v>0</v>
      </c>
      <c r="CA424" s="171">
        <f t="shared" si="655"/>
        <v>0</v>
      </c>
      <c r="CB424" s="171">
        <f t="shared" si="655"/>
        <v>0</v>
      </c>
      <c r="CC424" s="171">
        <f t="shared" si="655"/>
        <v>0</v>
      </c>
      <c r="CD424" s="171">
        <f t="shared" si="655"/>
        <v>0</v>
      </c>
      <c r="CE424" s="171">
        <f t="shared" si="655"/>
        <v>0</v>
      </c>
      <c r="CF424" s="171">
        <f t="shared" si="655"/>
        <v>0</v>
      </c>
      <c r="CG424" s="171">
        <f t="shared" si="655"/>
        <v>0</v>
      </c>
      <c r="CH424" s="171">
        <f t="shared" si="655"/>
        <v>0</v>
      </c>
      <c r="CI424" s="171">
        <f t="shared" si="655"/>
        <v>0</v>
      </c>
      <c r="CJ424" s="243"/>
      <c r="CK424" s="171">
        <f t="shared" si="565"/>
        <v>0</v>
      </c>
      <c r="CL424" s="171">
        <f t="shared" si="566"/>
        <v>0</v>
      </c>
      <c r="CM424" s="171">
        <f t="shared" si="567"/>
        <v>0</v>
      </c>
      <c r="CN424" s="171">
        <f t="shared" si="568"/>
        <v>0</v>
      </c>
      <c r="CO424" s="171">
        <f t="shared" si="569"/>
        <v>0</v>
      </c>
      <c r="CP424" s="171">
        <f t="shared" si="570"/>
        <v>0</v>
      </c>
      <c r="CQ424" s="171">
        <f t="shared" si="571"/>
        <v>0</v>
      </c>
      <c r="CR424" s="171">
        <f t="shared" si="572"/>
        <v>0</v>
      </c>
      <c r="CS424" s="171">
        <f t="shared" si="573"/>
        <v>0</v>
      </c>
      <c r="CT424" s="171">
        <f t="shared" si="574"/>
        <v>0</v>
      </c>
      <c r="CU424" s="171">
        <f t="shared" si="575"/>
        <v>0</v>
      </c>
      <c r="CV424" s="171">
        <f t="shared" si="576"/>
        <v>0</v>
      </c>
      <c r="CW424" s="171">
        <f t="shared" si="577"/>
        <v>0</v>
      </c>
      <c r="CX424" s="171">
        <f t="shared" si="578"/>
        <v>0</v>
      </c>
      <c r="CY424" s="171">
        <f t="shared" ca="1" si="579"/>
        <v>0</v>
      </c>
      <c r="CZ424" s="171">
        <f t="shared" ca="1" si="580"/>
        <v>0</v>
      </c>
      <c r="DA424" s="171">
        <f t="shared" ca="1" si="581"/>
        <v>0</v>
      </c>
      <c r="DB424" s="171">
        <f t="shared" ca="1" si="582"/>
        <v>0</v>
      </c>
      <c r="DC424" s="171">
        <f t="shared" ca="1" si="583"/>
        <v>0</v>
      </c>
      <c r="DD424" s="171">
        <f t="shared" ca="1" si="584"/>
        <v>0</v>
      </c>
      <c r="DE424" s="171">
        <f t="shared" ca="1" si="585"/>
        <v>0</v>
      </c>
      <c r="DF424" s="171">
        <f t="shared" ca="1" si="586"/>
        <v>0</v>
      </c>
      <c r="DG424" s="171">
        <f t="shared" ca="1" si="587"/>
        <v>0</v>
      </c>
      <c r="DH424" s="171">
        <f t="shared" ca="1" si="588"/>
        <v>0</v>
      </c>
      <c r="DI424" s="171">
        <f t="shared" ca="1" si="589"/>
        <v>0</v>
      </c>
      <c r="DJ424" s="171">
        <f t="shared" ca="1" si="590"/>
        <v>0</v>
      </c>
      <c r="DK424" s="171">
        <f t="shared" ca="1" si="591"/>
        <v>0</v>
      </c>
      <c r="DL424" s="171">
        <f t="shared" ca="1" si="592"/>
        <v>0</v>
      </c>
      <c r="DM424" s="171">
        <f t="shared" ca="1" si="593"/>
        <v>0</v>
      </c>
      <c r="DN424" s="171">
        <f t="shared" ca="1" si="594"/>
        <v>0</v>
      </c>
      <c r="DO424" s="171">
        <f t="shared" ca="1" si="595"/>
        <v>0</v>
      </c>
      <c r="DP424" s="171">
        <f t="shared" ca="1" si="596"/>
        <v>0</v>
      </c>
      <c r="DQ424" s="171">
        <f t="shared" ca="1" si="597"/>
        <v>0</v>
      </c>
      <c r="DR424" s="171">
        <f t="shared" ca="1" si="598"/>
        <v>0</v>
      </c>
      <c r="DS424" s="171">
        <f t="shared" ca="1" si="599"/>
        <v>0</v>
      </c>
      <c r="DT424" s="171">
        <f t="shared" ca="1" si="600"/>
        <v>0</v>
      </c>
      <c r="DU424" s="171">
        <f t="shared" ca="1" si="601"/>
        <v>0</v>
      </c>
      <c r="DV424" s="171">
        <f t="shared" ca="1" si="602"/>
        <v>0</v>
      </c>
      <c r="DW424" s="171">
        <f t="shared" ca="1" si="603"/>
        <v>0</v>
      </c>
      <c r="DX424" s="171">
        <f t="shared" ca="1" si="604"/>
        <v>0</v>
      </c>
      <c r="DY424" s="171">
        <f t="shared" ca="1" si="605"/>
        <v>0</v>
      </c>
      <c r="DZ424" s="171">
        <f t="shared" ca="1" si="606"/>
        <v>0</v>
      </c>
      <c r="EA424" s="171">
        <f t="shared" ca="1" si="607"/>
        <v>0</v>
      </c>
      <c r="EB424" s="171">
        <f t="shared" ca="1" si="608"/>
        <v>0</v>
      </c>
      <c r="EC424" s="171">
        <f t="shared" ca="1" si="609"/>
        <v>0</v>
      </c>
      <c r="ED424" s="171">
        <f t="shared" ca="1" si="610"/>
        <v>0</v>
      </c>
      <c r="EE424" s="171">
        <f t="shared" ca="1" si="611"/>
        <v>0</v>
      </c>
      <c r="EF424" s="171">
        <f t="shared" ca="1" si="612"/>
        <v>0</v>
      </c>
      <c r="EG424" s="171">
        <f t="shared" ca="1" si="613"/>
        <v>0</v>
      </c>
      <c r="EH424" s="171">
        <f t="shared" ca="1" si="614"/>
        <v>0</v>
      </c>
      <c r="EI424" s="171">
        <f t="shared" ca="1" si="615"/>
        <v>0</v>
      </c>
      <c r="EJ424" s="171">
        <f t="shared" ca="1" si="616"/>
        <v>0</v>
      </c>
      <c r="EK424" s="171">
        <f t="shared" ca="1" si="617"/>
        <v>0</v>
      </c>
      <c r="EL424" s="171">
        <f t="shared" ca="1" si="618"/>
        <v>0</v>
      </c>
      <c r="EM424" s="171">
        <f t="shared" ca="1" si="619"/>
        <v>0</v>
      </c>
      <c r="EN424" s="171">
        <f t="shared" ca="1" si="620"/>
        <v>0</v>
      </c>
      <c r="EO424" s="171">
        <f t="shared" ca="1" si="621"/>
        <v>0</v>
      </c>
      <c r="EP424" s="171">
        <f t="shared" ca="1" si="622"/>
        <v>0</v>
      </c>
      <c r="EQ424" s="171">
        <f t="shared" ca="1" si="623"/>
        <v>0</v>
      </c>
      <c r="ER424" s="171">
        <f t="shared" ca="1" si="624"/>
        <v>0</v>
      </c>
      <c r="ES424" s="171">
        <f t="shared" ca="1" si="625"/>
        <v>0</v>
      </c>
    </row>
    <row r="425" spans="3:149">
      <c r="C425" s="214"/>
      <c r="L425" s="163"/>
      <c r="M425" s="164" t="str">
        <f t="shared" si="550"/>
        <v/>
      </c>
      <c r="N425" s="164" t="str">
        <f t="shared" si="551"/>
        <v/>
      </c>
      <c r="O425" s="165" t="str">
        <f t="shared" si="552"/>
        <v/>
      </c>
      <c r="R425" s="168"/>
      <c r="U425" s="171">
        <f t="shared" si="553"/>
        <v>0</v>
      </c>
      <c r="V425" s="171">
        <f t="shared" ca="1" si="554"/>
        <v>0</v>
      </c>
      <c r="W425" s="171">
        <f t="shared" ca="1" si="555"/>
        <v>0</v>
      </c>
      <c r="X425" s="172">
        <f t="shared" si="556"/>
        <v>0</v>
      </c>
      <c r="Y425" s="172" t="str">
        <f t="shared" si="557"/>
        <v/>
      </c>
      <c r="Z425" s="173">
        <f t="shared" si="558"/>
        <v>0</v>
      </c>
      <c r="AA425" s="171">
        <f t="shared" si="650"/>
        <v>0</v>
      </c>
      <c r="AB425" s="171">
        <f t="shared" si="650"/>
        <v>0</v>
      </c>
      <c r="AC425" s="171">
        <f t="shared" si="650"/>
        <v>0</v>
      </c>
      <c r="AD425" s="171">
        <f t="shared" si="650"/>
        <v>0</v>
      </c>
      <c r="AE425" s="171">
        <f t="shared" si="650"/>
        <v>0</v>
      </c>
      <c r="AF425" s="171">
        <f t="shared" si="650"/>
        <v>0</v>
      </c>
      <c r="AG425" s="171">
        <f t="shared" si="650"/>
        <v>0</v>
      </c>
      <c r="AH425" s="171">
        <f t="shared" si="650"/>
        <v>0</v>
      </c>
      <c r="AI425" s="171">
        <f t="shared" si="650"/>
        <v>0</v>
      </c>
      <c r="AJ425" s="171">
        <f t="shared" si="650"/>
        <v>0</v>
      </c>
      <c r="AK425" s="171">
        <f t="shared" si="651"/>
        <v>0</v>
      </c>
      <c r="AL425" s="171">
        <f t="shared" si="651"/>
        <v>0</v>
      </c>
      <c r="AM425" s="171">
        <f t="shared" si="651"/>
        <v>0</v>
      </c>
      <c r="AN425" s="171">
        <f t="shared" si="651"/>
        <v>0</v>
      </c>
      <c r="AO425" s="171">
        <f t="shared" si="651"/>
        <v>0</v>
      </c>
      <c r="AP425" s="171">
        <f t="shared" si="651"/>
        <v>0</v>
      </c>
      <c r="AQ425" s="171">
        <f t="shared" si="651"/>
        <v>0</v>
      </c>
      <c r="AR425" s="171">
        <f t="shared" si="651"/>
        <v>0</v>
      </c>
      <c r="AS425" s="171">
        <f t="shared" si="651"/>
        <v>0</v>
      </c>
      <c r="AT425" s="171">
        <f t="shared" si="651"/>
        <v>0</v>
      </c>
      <c r="AU425" s="171">
        <f t="shared" si="652"/>
        <v>0</v>
      </c>
      <c r="AV425" s="171">
        <f t="shared" si="652"/>
        <v>0</v>
      </c>
      <c r="AW425" s="171">
        <f t="shared" si="652"/>
        <v>0</v>
      </c>
      <c r="AX425" s="171">
        <f t="shared" si="652"/>
        <v>0</v>
      </c>
      <c r="AY425" s="171">
        <f t="shared" si="652"/>
        <v>0</v>
      </c>
      <c r="AZ425" s="171">
        <f t="shared" si="652"/>
        <v>0</v>
      </c>
      <c r="BA425" s="171">
        <f t="shared" si="652"/>
        <v>0</v>
      </c>
      <c r="BB425" s="171">
        <f t="shared" si="652"/>
        <v>0</v>
      </c>
      <c r="BC425" s="171">
        <f t="shared" si="652"/>
        <v>0</v>
      </c>
      <c r="BD425" s="171">
        <f t="shared" si="652"/>
        <v>0</v>
      </c>
      <c r="BE425" s="171">
        <f t="shared" si="653"/>
        <v>0</v>
      </c>
      <c r="BF425" s="171">
        <f t="shared" si="653"/>
        <v>0</v>
      </c>
      <c r="BG425" s="171">
        <f t="shared" si="653"/>
        <v>0</v>
      </c>
      <c r="BH425" s="171">
        <f t="shared" si="653"/>
        <v>0</v>
      </c>
      <c r="BI425" s="171">
        <f t="shared" si="653"/>
        <v>0</v>
      </c>
      <c r="BJ425" s="171">
        <f t="shared" si="653"/>
        <v>0</v>
      </c>
      <c r="BK425" s="171">
        <f t="shared" si="653"/>
        <v>0</v>
      </c>
      <c r="BL425" s="171">
        <f t="shared" si="653"/>
        <v>0</v>
      </c>
      <c r="BM425" s="171">
        <f t="shared" si="653"/>
        <v>0</v>
      </c>
      <c r="BN425" s="171">
        <f t="shared" si="653"/>
        <v>0</v>
      </c>
      <c r="BO425" s="171">
        <f t="shared" si="654"/>
        <v>0</v>
      </c>
      <c r="BP425" s="171">
        <f t="shared" si="654"/>
        <v>0</v>
      </c>
      <c r="BQ425" s="171">
        <f t="shared" si="654"/>
        <v>0</v>
      </c>
      <c r="BR425" s="171">
        <f t="shared" si="654"/>
        <v>0</v>
      </c>
      <c r="BS425" s="171">
        <f t="shared" si="654"/>
        <v>0</v>
      </c>
      <c r="BT425" s="171">
        <f t="shared" si="654"/>
        <v>0</v>
      </c>
      <c r="BU425" s="171">
        <f t="shared" si="654"/>
        <v>0</v>
      </c>
      <c r="BV425" s="171">
        <f t="shared" si="654"/>
        <v>0</v>
      </c>
      <c r="BW425" s="171">
        <f t="shared" si="654"/>
        <v>0</v>
      </c>
      <c r="BX425" s="171">
        <f t="shared" si="654"/>
        <v>0</v>
      </c>
      <c r="BY425" s="171">
        <f t="shared" si="655"/>
        <v>0</v>
      </c>
      <c r="BZ425" s="171">
        <f t="shared" si="655"/>
        <v>0</v>
      </c>
      <c r="CA425" s="171">
        <f t="shared" si="655"/>
        <v>0</v>
      </c>
      <c r="CB425" s="171">
        <f t="shared" si="655"/>
        <v>0</v>
      </c>
      <c r="CC425" s="171">
        <f t="shared" si="655"/>
        <v>0</v>
      </c>
      <c r="CD425" s="171">
        <f t="shared" si="655"/>
        <v>0</v>
      </c>
      <c r="CE425" s="171">
        <f t="shared" si="655"/>
        <v>0</v>
      </c>
      <c r="CF425" s="171">
        <f t="shared" si="655"/>
        <v>0</v>
      </c>
      <c r="CG425" s="171">
        <f t="shared" si="655"/>
        <v>0</v>
      </c>
      <c r="CH425" s="171">
        <f t="shared" si="655"/>
        <v>0</v>
      </c>
      <c r="CI425" s="171">
        <f t="shared" si="655"/>
        <v>0</v>
      </c>
      <c r="CJ425" s="243"/>
      <c r="CK425" s="171">
        <f t="shared" si="565"/>
        <v>0</v>
      </c>
      <c r="CL425" s="171">
        <f t="shared" si="566"/>
        <v>0</v>
      </c>
      <c r="CM425" s="171">
        <f t="shared" si="567"/>
        <v>0</v>
      </c>
      <c r="CN425" s="171">
        <f t="shared" si="568"/>
        <v>0</v>
      </c>
      <c r="CO425" s="171">
        <f t="shared" si="569"/>
        <v>0</v>
      </c>
      <c r="CP425" s="171">
        <f t="shared" si="570"/>
        <v>0</v>
      </c>
      <c r="CQ425" s="171">
        <f t="shared" si="571"/>
        <v>0</v>
      </c>
      <c r="CR425" s="171">
        <f t="shared" si="572"/>
        <v>0</v>
      </c>
      <c r="CS425" s="171">
        <f t="shared" si="573"/>
        <v>0</v>
      </c>
      <c r="CT425" s="171">
        <f t="shared" si="574"/>
        <v>0</v>
      </c>
      <c r="CU425" s="171">
        <f t="shared" si="575"/>
        <v>0</v>
      </c>
      <c r="CV425" s="171">
        <f t="shared" si="576"/>
        <v>0</v>
      </c>
      <c r="CW425" s="171">
        <f t="shared" si="577"/>
        <v>0</v>
      </c>
      <c r="CX425" s="171">
        <f t="shared" si="578"/>
        <v>0</v>
      </c>
      <c r="CY425" s="171">
        <f t="shared" ca="1" si="579"/>
        <v>0</v>
      </c>
      <c r="CZ425" s="171">
        <f t="shared" ca="1" si="580"/>
        <v>0</v>
      </c>
      <c r="DA425" s="171">
        <f t="shared" ca="1" si="581"/>
        <v>0</v>
      </c>
      <c r="DB425" s="171">
        <f t="shared" ca="1" si="582"/>
        <v>0</v>
      </c>
      <c r="DC425" s="171">
        <f t="shared" ca="1" si="583"/>
        <v>0</v>
      </c>
      <c r="DD425" s="171">
        <f t="shared" ca="1" si="584"/>
        <v>0</v>
      </c>
      <c r="DE425" s="171">
        <f t="shared" ca="1" si="585"/>
        <v>0</v>
      </c>
      <c r="DF425" s="171">
        <f t="shared" ca="1" si="586"/>
        <v>0</v>
      </c>
      <c r="DG425" s="171">
        <f t="shared" ca="1" si="587"/>
        <v>0</v>
      </c>
      <c r="DH425" s="171">
        <f t="shared" ca="1" si="588"/>
        <v>0</v>
      </c>
      <c r="DI425" s="171">
        <f t="shared" ca="1" si="589"/>
        <v>0</v>
      </c>
      <c r="DJ425" s="171">
        <f t="shared" ca="1" si="590"/>
        <v>0</v>
      </c>
      <c r="DK425" s="171">
        <f t="shared" ca="1" si="591"/>
        <v>0</v>
      </c>
      <c r="DL425" s="171">
        <f t="shared" ca="1" si="592"/>
        <v>0</v>
      </c>
      <c r="DM425" s="171">
        <f t="shared" ca="1" si="593"/>
        <v>0</v>
      </c>
      <c r="DN425" s="171">
        <f t="shared" ca="1" si="594"/>
        <v>0</v>
      </c>
      <c r="DO425" s="171">
        <f t="shared" ca="1" si="595"/>
        <v>0</v>
      </c>
      <c r="DP425" s="171">
        <f t="shared" ca="1" si="596"/>
        <v>0</v>
      </c>
      <c r="DQ425" s="171">
        <f t="shared" ca="1" si="597"/>
        <v>0</v>
      </c>
      <c r="DR425" s="171">
        <f t="shared" ca="1" si="598"/>
        <v>0</v>
      </c>
      <c r="DS425" s="171">
        <f t="shared" ca="1" si="599"/>
        <v>0</v>
      </c>
      <c r="DT425" s="171">
        <f t="shared" ca="1" si="600"/>
        <v>0</v>
      </c>
      <c r="DU425" s="171">
        <f t="shared" ca="1" si="601"/>
        <v>0</v>
      </c>
      <c r="DV425" s="171">
        <f t="shared" ca="1" si="602"/>
        <v>0</v>
      </c>
      <c r="DW425" s="171">
        <f t="shared" ca="1" si="603"/>
        <v>0</v>
      </c>
      <c r="DX425" s="171">
        <f t="shared" ca="1" si="604"/>
        <v>0</v>
      </c>
      <c r="DY425" s="171">
        <f t="shared" ca="1" si="605"/>
        <v>0</v>
      </c>
      <c r="DZ425" s="171">
        <f t="shared" ca="1" si="606"/>
        <v>0</v>
      </c>
      <c r="EA425" s="171">
        <f t="shared" ca="1" si="607"/>
        <v>0</v>
      </c>
      <c r="EB425" s="171">
        <f t="shared" ca="1" si="608"/>
        <v>0</v>
      </c>
      <c r="EC425" s="171">
        <f t="shared" ca="1" si="609"/>
        <v>0</v>
      </c>
      <c r="ED425" s="171">
        <f t="shared" ca="1" si="610"/>
        <v>0</v>
      </c>
      <c r="EE425" s="171">
        <f t="shared" ca="1" si="611"/>
        <v>0</v>
      </c>
      <c r="EF425" s="171">
        <f t="shared" ca="1" si="612"/>
        <v>0</v>
      </c>
      <c r="EG425" s="171">
        <f t="shared" ca="1" si="613"/>
        <v>0</v>
      </c>
      <c r="EH425" s="171">
        <f t="shared" ca="1" si="614"/>
        <v>0</v>
      </c>
      <c r="EI425" s="171">
        <f t="shared" ca="1" si="615"/>
        <v>0</v>
      </c>
      <c r="EJ425" s="171">
        <f t="shared" ca="1" si="616"/>
        <v>0</v>
      </c>
      <c r="EK425" s="171">
        <f t="shared" ca="1" si="617"/>
        <v>0</v>
      </c>
      <c r="EL425" s="171">
        <f t="shared" ca="1" si="618"/>
        <v>0</v>
      </c>
      <c r="EM425" s="171">
        <f t="shared" ca="1" si="619"/>
        <v>0</v>
      </c>
      <c r="EN425" s="171">
        <f t="shared" ca="1" si="620"/>
        <v>0</v>
      </c>
      <c r="EO425" s="171">
        <f t="shared" ca="1" si="621"/>
        <v>0</v>
      </c>
      <c r="EP425" s="171">
        <f t="shared" ca="1" si="622"/>
        <v>0</v>
      </c>
      <c r="EQ425" s="171">
        <f t="shared" ca="1" si="623"/>
        <v>0</v>
      </c>
      <c r="ER425" s="171">
        <f t="shared" ca="1" si="624"/>
        <v>0</v>
      </c>
      <c r="ES425" s="171">
        <f t="shared" ca="1" si="625"/>
        <v>0</v>
      </c>
    </row>
    <row r="426" spans="3:149">
      <c r="C426" s="214"/>
      <c r="L426" s="163"/>
      <c r="M426" s="164" t="str">
        <f t="shared" si="550"/>
        <v/>
      </c>
      <c r="N426" s="164" t="str">
        <f t="shared" si="551"/>
        <v/>
      </c>
      <c r="O426" s="165" t="str">
        <f t="shared" si="552"/>
        <v/>
      </c>
      <c r="R426" s="168"/>
      <c r="U426" s="171">
        <f t="shared" si="553"/>
        <v>0</v>
      </c>
      <c r="V426" s="171">
        <f t="shared" ca="1" si="554"/>
        <v>0</v>
      </c>
      <c r="W426" s="171">
        <f t="shared" ca="1" si="555"/>
        <v>0</v>
      </c>
      <c r="X426" s="172">
        <f t="shared" si="556"/>
        <v>0</v>
      </c>
      <c r="Y426" s="172" t="str">
        <f t="shared" si="557"/>
        <v/>
      </c>
      <c r="Z426" s="173">
        <f t="shared" si="558"/>
        <v>0</v>
      </c>
      <c r="AA426" s="171">
        <f t="shared" si="650"/>
        <v>0</v>
      </c>
      <c r="AB426" s="171">
        <f t="shared" si="650"/>
        <v>0</v>
      </c>
      <c r="AC426" s="171">
        <f t="shared" si="650"/>
        <v>0</v>
      </c>
      <c r="AD426" s="171">
        <f t="shared" si="650"/>
        <v>0</v>
      </c>
      <c r="AE426" s="171">
        <f t="shared" si="650"/>
        <v>0</v>
      </c>
      <c r="AF426" s="171">
        <f t="shared" si="650"/>
        <v>0</v>
      </c>
      <c r="AG426" s="171">
        <f t="shared" si="650"/>
        <v>0</v>
      </c>
      <c r="AH426" s="171">
        <f t="shared" si="650"/>
        <v>0</v>
      </c>
      <c r="AI426" s="171">
        <f t="shared" si="650"/>
        <v>0</v>
      </c>
      <c r="AJ426" s="171">
        <f t="shared" si="650"/>
        <v>0</v>
      </c>
      <c r="AK426" s="171">
        <f t="shared" si="651"/>
        <v>0</v>
      </c>
      <c r="AL426" s="171">
        <f t="shared" si="651"/>
        <v>0</v>
      </c>
      <c r="AM426" s="171">
        <f t="shared" si="651"/>
        <v>0</v>
      </c>
      <c r="AN426" s="171">
        <f t="shared" si="651"/>
        <v>0</v>
      </c>
      <c r="AO426" s="171">
        <f t="shared" si="651"/>
        <v>0</v>
      </c>
      <c r="AP426" s="171">
        <f t="shared" si="651"/>
        <v>0</v>
      </c>
      <c r="AQ426" s="171">
        <f t="shared" si="651"/>
        <v>0</v>
      </c>
      <c r="AR426" s="171">
        <f t="shared" si="651"/>
        <v>0</v>
      </c>
      <c r="AS426" s="171">
        <f t="shared" si="651"/>
        <v>0</v>
      </c>
      <c r="AT426" s="171">
        <f t="shared" si="651"/>
        <v>0</v>
      </c>
      <c r="AU426" s="171">
        <f t="shared" si="652"/>
        <v>0</v>
      </c>
      <c r="AV426" s="171">
        <f t="shared" si="652"/>
        <v>0</v>
      </c>
      <c r="AW426" s="171">
        <f t="shared" si="652"/>
        <v>0</v>
      </c>
      <c r="AX426" s="171">
        <f t="shared" si="652"/>
        <v>0</v>
      </c>
      <c r="AY426" s="171">
        <f t="shared" si="652"/>
        <v>0</v>
      </c>
      <c r="AZ426" s="171">
        <f t="shared" si="652"/>
        <v>0</v>
      </c>
      <c r="BA426" s="171">
        <f t="shared" si="652"/>
        <v>0</v>
      </c>
      <c r="BB426" s="171">
        <f t="shared" si="652"/>
        <v>0</v>
      </c>
      <c r="BC426" s="171">
        <f t="shared" si="652"/>
        <v>0</v>
      </c>
      <c r="BD426" s="171">
        <f t="shared" si="652"/>
        <v>0</v>
      </c>
      <c r="BE426" s="171">
        <f t="shared" si="653"/>
        <v>0</v>
      </c>
      <c r="BF426" s="171">
        <f t="shared" si="653"/>
        <v>0</v>
      </c>
      <c r="BG426" s="171">
        <f t="shared" si="653"/>
        <v>0</v>
      </c>
      <c r="BH426" s="171">
        <f t="shared" si="653"/>
        <v>0</v>
      </c>
      <c r="BI426" s="171">
        <f t="shared" si="653"/>
        <v>0</v>
      </c>
      <c r="BJ426" s="171">
        <f t="shared" si="653"/>
        <v>0</v>
      </c>
      <c r="BK426" s="171">
        <f t="shared" si="653"/>
        <v>0</v>
      </c>
      <c r="BL426" s="171">
        <f t="shared" si="653"/>
        <v>0</v>
      </c>
      <c r="BM426" s="171">
        <f t="shared" si="653"/>
        <v>0</v>
      </c>
      <c r="BN426" s="171">
        <f t="shared" si="653"/>
        <v>0</v>
      </c>
      <c r="BO426" s="171">
        <f t="shared" si="654"/>
        <v>0</v>
      </c>
      <c r="BP426" s="171">
        <f t="shared" si="654"/>
        <v>0</v>
      </c>
      <c r="BQ426" s="171">
        <f t="shared" si="654"/>
        <v>0</v>
      </c>
      <c r="BR426" s="171">
        <f t="shared" si="654"/>
        <v>0</v>
      </c>
      <c r="BS426" s="171">
        <f t="shared" si="654"/>
        <v>0</v>
      </c>
      <c r="BT426" s="171">
        <f t="shared" si="654"/>
        <v>0</v>
      </c>
      <c r="BU426" s="171">
        <f t="shared" si="654"/>
        <v>0</v>
      </c>
      <c r="BV426" s="171">
        <f t="shared" si="654"/>
        <v>0</v>
      </c>
      <c r="BW426" s="171">
        <f t="shared" si="654"/>
        <v>0</v>
      </c>
      <c r="BX426" s="171">
        <f t="shared" si="654"/>
        <v>0</v>
      </c>
      <c r="BY426" s="171">
        <f t="shared" si="655"/>
        <v>0</v>
      </c>
      <c r="BZ426" s="171">
        <f t="shared" si="655"/>
        <v>0</v>
      </c>
      <c r="CA426" s="171">
        <f t="shared" si="655"/>
        <v>0</v>
      </c>
      <c r="CB426" s="171">
        <f t="shared" si="655"/>
        <v>0</v>
      </c>
      <c r="CC426" s="171">
        <f t="shared" si="655"/>
        <v>0</v>
      </c>
      <c r="CD426" s="171">
        <f t="shared" si="655"/>
        <v>0</v>
      </c>
      <c r="CE426" s="171">
        <f t="shared" si="655"/>
        <v>0</v>
      </c>
      <c r="CF426" s="171">
        <f t="shared" si="655"/>
        <v>0</v>
      </c>
      <c r="CG426" s="171">
        <f t="shared" si="655"/>
        <v>0</v>
      </c>
      <c r="CH426" s="171">
        <f t="shared" si="655"/>
        <v>0</v>
      </c>
      <c r="CI426" s="171">
        <f t="shared" si="655"/>
        <v>0</v>
      </c>
      <c r="CJ426" s="243"/>
      <c r="CK426" s="171">
        <f t="shared" si="565"/>
        <v>0</v>
      </c>
      <c r="CL426" s="171">
        <f t="shared" si="566"/>
        <v>0</v>
      </c>
      <c r="CM426" s="171">
        <f t="shared" si="567"/>
        <v>0</v>
      </c>
      <c r="CN426" s="171">
        <f t="shared" si="568"/>
        <v>0</v>
      </c>
      <c r="CO426" s="171">
        <f t="shared" si="569"/>
        <v>0</v>
      </c>
      <c r="CP426" s="171">
        <f t="shared" si="570"/>
        <v>0</v>
      </c>
      <c r="CQ426" s="171">
        <f t="shared" si="571"/>
        <v>0</v>
      </c>
      <c r="CR426" s="171">
        <f t="shared" si="572"/>
        <v>0</v>
      </c>
      <c r="CS426" s="171">
        <f t="shared" si="573"/>
        <v>0</v>
      </c>
      <c r="CT426" s="171">
        <f t="shared" si="574"/>
        <v>0</v>
      </c>
      <c r="CU426" s="171">
        <f t="shared" si="575"/>
        <v>0</v>
      </c>
      <c r="CV426" s="171">
        <f t="shared" si="576"/>
        <v>0</v>
      </c>
      <c r="CW426" s="171">
        <f t="shared" si="577"/>
        <v>0</v>
      </c>
      <c r="CX426" s="171">
        <f t="shared" si="578"/>
        <v>0</v>
      </c>
      <c r="CY426" s="171">
        <f t="shared" ca="1" si="579"/>
        <v>0</v>
      </c>
      <c r="CZ426" s="171">
        <f t="shared" ca="1" si="580"/>
        <v>0</v>
      </c>
      <c r="DA426" s="171">
        <f t="shared" ca="1" si="581"/>
        <v>0</v>
      </c>
      <c r="DB426" s="171">
        <f t="shared" ca="1" si="582"/>
        <v>0</v>
      </c>
      <c r="DC426" s="171">
        <f t="shared" ca="1" si="583"/>
        <v>0</v>
      </c>
      <c r="DD426" s="171">
        <f t="shared" ca="1" si="584"/>
        <v>0</v>
      </c>
      <c r="DE426" s="171">
        <f t="shared" ca="1" si="585"/>
        <v>0</v>
      </c>
      <c r="DF426" s="171">
        <f t="shared" ca="1" si="586"/>
        <v>0</v>
      </c>
      <c r="DG426" s="171">
        <f t="shared" ca="1" si="587"/>
        <v>0</v>
      </c>
      <c r="DH426" s="171">
        <f t="shared" ca="1" si="588"/>
        <v>0</v>
      </c>
      <c r="DI426" s="171">
        <f t="shared" ca="1" si="589"/>
        <v>0</v>
      </c>
      <c r="DJ426" s="171">
        <f t="shared" ca="1" si="590"/>
        <v>0</v>
      </c>
      <c r="DK426" s="171">
        <f t="shared" ca="1" si="591"/>
        <v>0</v>
      </c>
      <c r="DL426" s="171">
        <f t="shared" ca="1" si="592"/>
        <v>0</v>
      </c>
      <c r="DM426" s="171">
        <f t="shared" ca="1" si="593"/>
        <v>0</v>
      </c>
      <c r="DN426" s="171">
        <f t="shared" ca="1" si="594"/>
        <v>0</v>
      </c>
      <c r="DO426" s="171">
        <f t="shared" ca="1" si="595"/>
        <v>0</v>
      </c>
      <c r="DP426" s="171">
        <f t="shared" ca="1" si="596"/>
        <v>0</v>
      </c>
      <c r="DQ426" s="171">
        <f t="shared" ca="1" si="597"/>
        <v>0</v>
      </c>
      <c r="DR426" s="171">
        <f t="shared" ca="1" si="598"/>
        <v>0</v>
      </c>
      <c r="DS426" s="171">
        <f t="shared" ca="1" si="599"/>
        <v>0</v>
      </c>
      <c r="DT426" s="171">
        <f t="shared" ca="1" si="600"/>
        <v>0</v>
      </c>
      <c r="DU426" s="171">
        <f t="shared" ca="1" si="601"/>
        <v>0</v>
      </c>
      <c r="DV426" s="171">
        <f t="shared" ca="1" si="602"/>
        <v>0</v>
      </c>
      <c r="DW426" s="171">
        <f t="shared" ca="1" si="603"/>
        <v>0</v>
      </c>
      <c r="DX426" s="171">
        <f t="shared" ca="1" si="604"/>
        <v>0</v>
      </c>
      <c r="DY426" s="171">
        <f t="shared" ca="1" si="605"/>
        <v>0</v>
      </c>
      <c r="DZ426" s="171">
        <f t="shared" ca="1" si="606"/>
        <v>0</v>
      </c>
      <c r="EA426" s="171">
        <f t="shared" ca="1" si="607"/>
        <v>0</v>
      </c>
      <c r="EB426" s="171">
        <f t="shared" ca="1" si="608"/>
        <v>0</v>
      </c>
      <c r="EC426" s="171">
        <f t="shared" ca="1" si="609"/>
        <v>0</v>
      </c>
      <c r="ED426" s="171">
        <f t="shared" ca="1" si="610"/>
        <v>0</v>
      </c>
      <c r="EE426" s="171">
        <f t="shared" ca="1" si="611"/>
        <v>0</v>
      </c>
      <c r="EF426" s="171">
        <f t="shared" ca="1" si="612"/>
        <v>0</v>
      </c>
      <c r="EG426" s="171">
        <f t="shared" ca="1" si="613"/>
        <v>0</v>
      </c>
      <c r="EH426" s="171">
        <f t="shared" ca="1" si="614"/>
        <v>0</v>
      </c>
      <c r="EI426" s="171">
        <f t="shared" ca="1" si="615"/>
        <v>0</v>
      </c>
      <c r="EJ426" s="171">
        <f t="shared" ca="1" si="616"/>
        <v>0</v>
      </c>
      <c r="EK426" s="171">
        <f t="shared" ca="1" si="617"/>
        <v>0</v>
      </c>
      <c r="EL426" s="171">
        <f t="shared" ca="1" si="618"/>
        <v>0</v>
      </c>
      <c r="EM426" s="171">
        <f t="shared" ca="1" si="619"/>
        <v>0</v>
      </c>
      <c r="EN426" s="171">
        <f t="shared" ca="1" si="620"/>
        <v>0</v>
      </c>
      <c r="EO426" s="171">
        <f t="shared" ca="1" si="621"/>
        <v>0</v>
      </c>
      <c r="EP426" s="171">
        <f t="shared" ca="1" si="622"/>
        <v>0</v>
      </c>
      <c r="EQ426" s="171">
        <f t="shared" ca="1" si="623"/>
        <v>0</v>
      </c>
      <c r="ER426" s="171">
        <f t="shared" ca="1" si="624"/>
        <v>0</v>
      </c>
      <c r="ES426" s="171">
        <f t="shared" ca="1" si="625"/>
        <v>0</v>
      </c>
    </row>
    <row r="427" spans="3:149">
      <c r="C427" s="214"/>
      <c r="L427" s="163"/>
      <c r="M427" s="164" t="str">
        <f t="shared" si="550"/>
        <v/>
      </c>
      <c r="N427" s="164" t="str">
        <f t="shared" si="551"/>
        <v/>
      </c>
      <c r="O427" s="165" t="str">
        <f t="shared" si="552"/>
        <v/>
      </c>
      <c r="R427" s="168"/>
      <c r="U427" s="171">
        <f t="shared" si="553"/>
        <v>0</v>
      </c>
      <c r="V427" s="171">
        <f t="shared" ca="1" si="554"/>
        <v>0</v>
      </c>
      <c r="W427" s="171">
        <f t="shared" ca="1" si="555"/>
        <v>0</v>
      </c>
      <c r="X427" s="172">
        <f t="shared" si="556"/>
        <v>0</v>
      </c>
      <c r="Y427" s="172" t="str">
        <f t="shared" si="557"/>
        <v/>
      </c>
      <c r="Z427" s="173">
        <f t="shared" si="558"/>
        <v>0</v>
      </c>
      <c r="AA427" s="171">
        <f t="shared" si="650"/>
        <v>0</v>
      </c>
      <c r="AB427" s="171">
        <f t="shared" si="650"/>
        <v>0</v>
      </c>
      <c r="AC427" s="171">
        <f t="shared" si="650"/>
        <v>0</v>
      </c>
      <c r="AD427" s="171">
        <f t="shared" si="650"/>
        <v>0</v>
      </c>
      <c r="AE427" s="171">
        <f t="shared" si="650"/>
        <v>0</v>
      </c>
      <c r="AF427" s="171">
        <f t="shared" si="650"/>
        <v>0</v>
      </c>
      <c r="AG427" s="171">
        <f t="shared" si="650"/>
        <v>0</v>
      </c>
      <c r="AH427" s="171">
        <f t="shared" si="650"/>
        <v>0</v>
      </c>
      <c r="AI427" s="171">
        <f t="shared" si="650"/>
        <v>0</v>
      </c>
      <c r="AJ427" s="171">
        <f t="shared" si="650"/>
        <v>0</v>
      </c>
      <c r="AK427" s="171">
        <f t="shared" si="651"/>
        <v>0</v>
      </c>
      <c r="AL427" s="171">
        <f t="shared" si="651"/>
        <v>0</v>
      </c>
      <c r="AM427" s="171">
        <f t="shared" si="651"/>
        <v>0</v>
      </c>
      <c r="AN427" s="171">
        <f t="shared" si="651"/>
        <v>0</v>
      </c>
      <c r="AO427" s="171">
        <f t="shared" si="651"/>
        <v>0</v>
      </c>
      <c r="AP427" s="171">
        <f t="shared" si="651"/>
        <v>0</v>
      </c>
      <c r="AQ427" s="171">
        <f t="shared" si="651"/>
        <v>0</v>
      </c>
      <c r="AR427" s="171">
        <f t="shared" si="651"/>
        <v>0</v>
      </c>
      <c r="AS427" s="171">
        <f t="shared" si="651"/>
        <v>0</v>
      </c>
      <c r="AT427" s="171">
        <f t="shared" si="651"/>
        <v>0</v>
      </c>
      <c r="AU427" s="171">
        <f t="shared" si="652"/>
        <v>0</v>
      </c>
      <c r="AV427" s="171">
        <f t="shared" si="652"/>
        <v>0</v>
      </c>
      <c r="AW427" s="171">
        <f t="shared" si="652"/>
        <v>0</v>
      </c>
      <c r="AX427" s="171">
        <f t="shared" si="652"/>
        <v>0</v>
      </c>
      <c r="AY427" s="171">
        <f t="shared" si="652"/>
        <v>0</v>
      </c>
      <c r="AZ427" s="171">
        <f t="shared" si="652"/>
        <v>0</v>
      </c>
      <c r="BA427" s="171">
        <f t="shared" si="652"/>
        <v>0</v>
      </c>
      <c r="BB427" s="171">
        <f t="shared" si="652"/>
        <v>0</v>
      </c>
      <c r="BC427" s="171">
        <f t="shared" si="652"/>
        <v>0</v>
      </c>
      <c r="BD427" s="171">
        <f t="shared" si="652"/>
        <v>0</v>
      </c>
      <c r="BE427" s="171">
        <f t="shared" si="653"/>
        <v>0</v>
      </c>
      <c r="BF427" s="171">
        <f t="shared" si="653"/>
        <v>0</v>
      </c>
      <c r="BG427" s="171">
        <f t="shared" si="653"/>
        <v>0</v>
      </c>
      <c r="BH427" s="171">
        <f t="shared" si="653"/>
        <v>0</v>
      </c>
      <c r="BI427" s="171">
        <f t="shared" si="653"/>
        <v>0</v>
      </c>
      <c r="BJ427" s="171">
        <f t="shared" si="653"/>
        <v>0</v>
      </c>
      <c r="BK427" s="171">
        <f t="shared" si="653"/>
        <v>0</v>
      </c>
      <c r="BL427" s="171">
        <f t="shared" si="653"/>
        <v>0</v>
      </c>
      <c r="BM427" s="171">
        <f t="shared" si="653"/>
        <v>0</v>
      </c>
      <c r="BN427" s="171">
        <f t="shared" si="653"/>
        <v>0</v>
      </c>
      <c r="BO427" s="171">
        <f t="shared" si="654"/>
        <v>0</v>
      </c>
      <c r="BP427" s="171">
        <f t="shared" si="654"/>
        <v>0</v>
      </c>
      <c r="BQ427" s="171">
        <f t="shared" si="654"/>
        <v>0</v>
      </c>
      <c r="BR427" s="171">
        <f t="shared" si="654"/>
        <v>0</v>
      </c>
      <c r="BS427" s="171">
        <f t="shared" si="654"/>
        <v>0</v>
      </c>
      <c r="BT427" s="171">
        <f t="shared" si="654"/>
        <v>0</v>
      </c>
      <c r="BU427" s="171">
        <f t="shared" si="654"/>
        <v>0</v>
      </c>
      <c r="BV427" s="171">
        <f t="shared" si="654"/>
        <v>0</v>
      </c>
      <c r="BW427" s="171">
        <f t="shared" si="654"/>
        <v>0</v>
      </c>
      <c r="BX427" s="171">
        <f t="shared" si="654"/>
        <v>0</v>
      </c>
      <c r="BY427" s="171">
        <f t="shared" si="655"/>
        <v>0</v>
      </c>
      <c r="BZ427" s="171">
        <f t="shared" si="655"/>
        <v>0</v>
      </c>
      <c r="CA427" s="171">
        <f t="shared" si="655"/>
        <v>0</v>
      </c>
      <c r="CB427" s="171">
        <f t="shared" si="655"/>
        <v>0</v>
      </c>
      <c r="CC427" s="171">
        <f t="shared" si="655"/>
        <v>0</v>
      </c>
      <c r="CD427" s="171">
        <f t="shared" si="655"/>
        <v>0</v>
      </c>
      <c r="CE427" s="171">
        <f t="shared" si="655"/>
        <v>0</v>
      </c>
      <c r="CF427" s="171">
        <f t="shared" si="655"/>
        <v>0</v>
      </c>
      <c r="CG427" s="171">
        <f t="shared" si="655"/>
        <v>0</v>
      </c>
      <c r="CH427" s="171">
        <f t="shared" si="655"/>
        <v>0</v>
      </c>
      <c r="CI427" s="171">
        <f t="shared" si="655"/>
        <v>0</v>
      </c>
      <c r="CJ427" s="243"/>
      <c r="CK427" s="171">
        <f t="shared" si="565"/>
        <v>0</v>
      </c>
      <c r="CL427" s="171">
        <f t="shared" si="566"/>
        <v>0</v>
      </c>
      <c r="CM427" s="171">
        <f t="shared" si="567"/>
        <v>0</v>
      </c>
      <c r="CN427" s="171">
        <f t="shared" si="568"/>
        <v>0</v>
      </c>
      <c r="CO427" s="171">
        <f t="shared" si="569"/>
        <v>0</v>
      </c>
      <c r="CP427" s="171">
        <f t="shared" si="570"/>
        <v>0</v>
      </c>
      <c r="CQ427" s="171">
        <f t="shared" si="571"/>
        <v>0</v>
      </c>
      <c r="CR427" s="171">
        <f t="shared" si="572"/>
        <v>0</v>
      </c>
      <c r="CS427" s="171">
        <f t="shared" si="573"/>
        <v>0</v>
      </c>
      <c r="CT427" s="171">
        <f t="shared" si="574"/>
        <v>0</v>
      </c>
      <c r="CU427" s="171">
        <f t="shared" si="575"/>
        <v>0</v>
      </c>
      <c r="CV427" s="171">
        <f t="shared" si="576"/>
        <v>0</v>
      </c>
      <c r="CW427" s="171">
        <f t="shared" si="577"/>
        <v>0</v>
      </c>
      <c r="CX427" s="171">
        <f t="shared" si="578"/>
        <v>0</v>
      </c>
      <c r="CY427" s="171">
        <f t="shared" ca="1" si="579"/>
        <v>0</v>
      </c>
      <c r="CZ427" s="171">
        <f t="shared" ca="1" si="580"/>
        <v>0</v>
      </c>
      <c r="DA427" s="171">
        <f t="shared" ca="1" si="581"/>
        <v>0</v>
      </c>
      <c r="DB427" s="171">
        <f t="shared" ca="1" si="582"/>
        <v>0</v>
      </c>
      <c r="DC427" s="171">
        <f t="shared" ca="1" si="583"/>
        <v>0</v>
      </c>
      <c r="DD427" s="171">
        <f t="shared" ca="1" si="584"/>
        <v>0</v>
      </c>
      <c r="DE427" s="171">
        <f t="shared" ca="1" si="585"/>
        <v>0</v>
      </c>
      <c r="DF427" s="171">
        <f t="shared" ca="1" si="586"/>
        <v>0</v>
      </c>
      <c r="DG427" s="171">
        <f t="shared" ca="1" si="587"/>
        <v>0</v>
      </c>
      <c r="DH427" s="171">
        <f t="shared" ca="1" si="588"/>
        <v>0</v>
      </c>
      <c r="DI427" s="171">
        <f t="shared" ca="1" si="589"/>
        <v>0</v>
      </c>
      <c r="DJ427" s="171">
        <f t="shared" ca="1" si="590"/>
        <v>0</v>
      </c>
      <c r="DK427" s="171">
        <f t="shared" ca="1" si="591"/>
        <v>0</v>
      </c>
      <c r="DL427" s="171">
        <f t="shared" ca="1" si="592"/>
        <v>0</v>
      </c>
      <c r="DM427" s="171">
        <f t="shared" ca="1" si="593"/>
        <v>0</v>
      </c>
      <c r="DN427" s="171">
        <f t="shared" ca="1" si="594"/>
        <v>0</v>
      </c>
      <c r="DO427" s="171">
        <f t="shared" ca="1" si="595"/>
        <v>0</v>
      </c>
      <c r="DP427" s="171">
        <f t="shared" ca="1" si="596"/>
        <v>0</v>
      </c>
      <c r="DQ427" s="171">
        <f t="shared" ca="1" si="597"/>
        <v>0</v>
      </c>
      <c r="DR427" s="171">
        <f t="shared" ca="1" si="598"/>
        <v>0</v>
      </c>
      <c r="DS427" s="171">
        <f t="shared" ca="1" si="599"/>
        <v>0</v>
      </c>
      <c r="DT427" s="171">
        <f t="shared" ca="1" si="600"/>
        <v>0</v>
      </c>
      <c r="DU427" s="171">
        <f t="shared" ca="1" si="601"/>
        <v>0</v>
      </c>
      <c r="DV427" s="171">
        <f t="shared" ca="1" si="602"/>
        <v>0</v>
      </c>
      <c r="DW427" s="171">
        <f t="shared" ca="1" si="603"/>
        <v>0</v>
      </c>
      <c r="DX427" s="171">
        <f t="shared" ca="1" si="604"/>
        <v>0</v>
      </c>
      <c r="DY427" s="171">
        <f t="shared" ca="1" si="605"/>
        <v>0</v>
      </c>
      <c r="DZ427" s="171">
        <f t="shared" ca="1" si="606"/>
        <v>0</v>
      </c>
      <c r="EA427" s="171">
        <f t="shared" ca="1" si="607"/>
        <v>0</v>
      </c>
      <c r="EB427" s="171">
        <f t="shared" ca="1" si="608"/>
        <v>0</v>
      </c>
      <c r="EC427" s="171">
        <f t="shared" ca="1" si="609"/>
        <v>0</v>
      </c>
      <c r="ED427" s="171">
        <f t="shared" ca="1" si="610"/>
        <v>0</v>
      </c>
      <c r="EE427" s="171">
        <f t="shared" ca="1" si="611"/>
        <v>0</v>
      </c>
      <c r="EF427" s="171">
        <f t="shared" ca="1" si="612"/>
        <v>0</v>
      </c>
      <c r="EG427" s="171">
        <f t="shared" ca="1" si="613"/>
        <v>0</v>
      </c>
      <c r="EH427" s="171">
        <f t="shared" ca="1" si="614"/>
        <v>0</v>
      </c>
      <c r="EI427" s="171">
        <f t="shared" ca="1" si="615"/>
        <v>0</v>
      </c>
      <c r="EJ427" s="171">
        <f t="shared" ca="1" si="616"/>
        <v>0</v>
      </c>
      <c r="EK427" s="171">
        <f t="shared" ca="1" si="617"/>
        <v>0</v>
      </c>
      <c r="EL427" s="171">
        <f t="shared" ca="1" si="618"/>
        <v>0</v>
      </c>
      <c r="EM427" s="171">
        <f t="shared" ca="1" si="619"/>
        <v>0</v>
      </c>
      <c r="EN427" s="171">
        <f t="shared" ca="1" si="620"/>
        <v>0</v>
      </c>
      <c r="EO427" s="171">
        <f t="shared" ca="1" si="621"/>
        <v>0</v>
      </c>
      <c r="EP427" s="171">
        <f t="shared" ca="1" si="622"/>
        <v>0</v>
      </c>
      <c r="EQ427" s="171">
        <f t="shared" ca="1" si="623"/>
        <v>0</v>
      </c>
      <c r="ER427" s="171">
        <f t="shared" ca="1" si="624"/>
        <v>0</v>
      </c>
      <c r="ES427" s="171">
        <f t="shared" ca="1" si="625"/>
        <v>0</v>
      </c>
    </row>
    <row r="428" spans="3:149">
      <c r="C428" s="214"/>
      <c r="L428" s="163"/>
      <c r="M428" s="164" t="str">
        <f t="shared" si="550"/>
        <v/>
      </c>
      <c r="N428" s="164" t="str">
        <f t="shared" si="551"/>
        <v/>
      </c>
      <c r="O428" s="165" t="str">
        <f t="shared" si="552"/>
        <v/>
      </c>
      <c r="R428" s="168"/>
      <c r="U428" s="171">
        <f t="shared" si="553"/>
        <v>0</v>
      </c>
      <c r="V428" s="171">
        <f t="shared" ca="1" si="554"/>
        <v>0</v>
      </c>
      <c r="W428" s="171">
        <f t="shared" ca="1" si="555"/>
        <v>0</v>
      </c>
      <c r="X428" s="172">
        <f t="shared" si="556"/>
        <v>0</v>
      </c>
      <c r="Y428" s="172" t="str">
        <f t="shared" si="557"/>
        <v/>
      </c>
      <c r="Z428" s="173">
        <f t="shared" si="558"/>
        <v>0</v>
      </c>
      <c r="AA428" s="171">
        <f t="shared" si="650"/>
        <v>0</v>
      </c>
      <c r="AB428" s="171">
        <f t="shared" si="650"/>
        <v>0</v>
      </c>
      <c r="AC428" s="171">
        <f t="shared" si="650"/>
        <v>0</v>
      </c>
      <c r="AD428" s="171">
        <f t="shared" si="650"/>
        <v>0</v>
      </c>
      <c r="AE428" s="171">
        <f t="shared" si="650"/>
        <v>0</v>
      </c>
      <c r="AF428" s="171">
        <f t="shared" si="650"/>
        <v>0</v>
      </c>
      <c r="AG428" s="171">
        <f t="shared" si="650"/>
        <v>0</v>
      </c>
      <c r="AH428" s="171">
        <f t="shared" si="650"/>
        <v>0</v>
      </c>
      <c r="AI428" s="171">
        <f t="shared" si="650"/>
        <v>0</v>
      </c>
      <c r="AJ428" s="171">
        <f t="shared" si="650"/>
        <v>0</v>
      </c>
      <c r="AK428" s="171">
        <f t="shared" si="651"/>
        <v>0</v>
      </c>
      <c r="AL428" s="171">
        <f t="shared" si="651"/>
        <v>0</v>
      </c>
      <c r="AM428" s="171">
        <f t="shared" si="651"/>
        <v>0</v>
      </c>
      <c r="AN428" s="171">
        <f t="shared" si="651"/>
        <v>0</v>
      </c>
      <c r="AO428" s="171">
        <f t="shared" si="651"/>
        <v>0</v>
      </c>
      <c r="AP428" s="171">
        <f t="shared" si="651"/>
        <v>0</v>
      </c>
      <c r="AQ428" s="171">
        <f t="shared" si="651"/>
        <v>0</v>
      </c>
      <c r="AR428" s="171">
        <f t="shared" si="651"/>
        <v>0</v>
      </c>
      <c r="AS428" s="171">
        <f t="shared" si="651"/>
        <v>0</v>
      </c>
      <c r="AT428" s="171">
        <f t="shared" si="651"/>
        <v>0</v>
      </c>
      <c r="AU428" s="171">
        <f t="shared" si="652"/>
        <v>0</v>
      </c>
      <c r="AV428" s="171">
        <f t="shared" si="652"/>
        <v>0</v>
      </c>
      <c r="AW428" s="171">
        <f t="shared" si="652"/>
        <v>0</v>
      </c>
      <c r="AX428" s="171">
        <f t="shared" si="652"/>
        <v>0</v>
      </c>
      <c r="AY428" s="171">
        <f t="shared" si="652"/>
        <v>0</v>
      </c>
      <c r="AZ428" s="171">
        <f t="shared" si="652"/>
        <v>0</v>
      </c>
      <c r="BA428" s="171">
        <f t="shared" si="652"/>
        <v>0</v>
      </c>
      <c r="BB428" s="171">
        <f t="shared" si="652"/>
        <v>0</v>
      </c>
      <c r="BC428" s="171">
        <f t="shared" si="652"/>
        <v>0</v>
      </c>
      <c r="BD428" s="171">
        <f t="shared" si="652"/>
        <v>0</v>
      </c>
      <c r="BE428" s="171">
        <f t="shared" si="653"/>
        <v>0</v>
      </c>
      <c r="BF428" s="171">
        <f t="shared" si="653"/>
        <v>0</v>
      </c>
      <c r="BG428" s="171">
        <f t="shared" si="653"/>
        <v>0</v>
      </c>
      <c r="BH428" s="171">
        <f t="shared" si="653"/>
        <v>0</v>
      </c>
      <c r="BI428" s="171">
        <f t="shared" si="653"/>
        <v>0</v>
      </c>
      <c r="BJ428" s="171">
        <f t="shared" si="653"/>
        <v>0</v>
      </c>
      <c r="BK428" s="171">
        <f t="shared" si="653"/>
        <v>0</v>
      </c>
      <c r="BL428" s="171">
        <f t="shared" si="653"/>
        <v>0</v>
      </c>
      <c r="BM428" s="171">
        <f t="shared" si="653"/>
        <v>0</v>
      </c>
      <c r="BN428" s="171">
        <f t="shared" si="653"/>
        <v>0</v>
      </c>
      <c r="BO428" s="171">
        <f t="shared" si="654"/>
        <v>0</v>
      </c>
      <c r="BP428" s="171">
        <f t="shared" si="654"/>
        <v>0</v>
      </c>
      <c r="BQ428" s="171">
        <f t="shared" si="654"/>
        <v>0</v>
      </c>
      <c r="BR428" s="171">
        <f t="shared" si="654"/>
        <v>0</v>
      </c>
      <c r="BS428" s="171">
        <f t="shared" si="654"/>
        <v>0</v>
      </c>
      <c r="BT428" s="171">
        <f t="shared" si="654"/>
        <v>0</v>
      </c>
      <c r="BU428" s="171">
        <f t="shared" si="654"/>
        <v>0</v>
      </c>
      <c r="BV428" s="171">
        <f t="shared" si="654"/>
        <v>0</v>
      </c>
      <c r="BW428" s="171">
        <f t="shared" si="654"/>
        <v>0</v>
      </c>
      <c r="BX428" s="171">
        <f t="shared" si="654"/>
        <v>0</v>
      </c>
      <c r="BY428" s="171">
        <f t="shared" si="655"/>
        <v>0</v>
      </c>
      <c r="BZ428" s="171">
        <f t="shared" si="655"/>
        <v>0</v>
      </c>
      <c r="CA428" s="171">
        <f t="shared" si="655"/>
        <v>0</v>
      </c>
      <c r="CB428" s="171">
        <f t="shared" si="655"/>
        <v>0</v>
      </c>
      <c r="CC428" s="171">
        <f t="shared" si="655"/>
        <v>0</v>
      </c>
      <c r="CD428" s="171">
        <f t="shared" si="655"/>
        <v>0</v>
      </c>
      <c r="CE428" s="171">
        <f t="shared" si="655"/>
        <v>0</v>
      </c>
      <c r="CF428" s="171">
        <f t="shared" si="655"/>
        <v>0</v>
      </c>
      <c r="CG428" s="171">
        <f t="shared" si="655"/>
        <v>0</v>
      </c>
      <c r="CH428" s="171">
        <f t="shared" si="655"/>
        <v>0</v>
      </c>
      <c r="CI428" s="171">
        <f t="shared" si="655"/>
        <v>0</v>
      </c>
      <c r="CJ428" s="243"/>
      <c r="CK428" s="171">
        <f t="shared" si="565"/>
        <v>0</v>
      </c>
      <c r="CL428" s="171">
        <f t="shared" si="566"/>
        <v>0</v>
      </c>
      <c r="CM428" s="171">
        <f t="shared" si="567"/>
        <v>0</v>
      </c>
      <c r="CN428" s="171">
        <f t="shared" si="568"/>
        <v>0</v>
      </c>
      <c r="CO428" s="171">
        <f t="shared" si="569"/>
        <v>0</v>
      </c>
      <c r="CP428" s="171">
        <f t="shared" si="570"/>
        <v>0</v>
      </c>
      <c r="CQ428" s="171">
        <f t="shared" si="571"/>
        <v>0</v>
      </c>
      <c r="CR428" s="171">
        <f t="shared" si="572"/>
        <v>0</v>
      </c>
      <c r="CS428" s="171">
        <f t="shared" si="573"/>
        <v>0</v>
      </c>
      <c r="CT428" s="171">
        <f t="shared" si="574"/>
        <v>0</v>
      </c>
      <c r="CU428" s="171">
        <f t="shared" si="575"/>
        <v>0</v>
      </c>
      <c r="CV428" s="171">
        <f t="shared" si="576"/>
        <v>0</v>
      </c>
      <c r="CW428" s="171">
        <f t="shared" si="577"/>
        <v>0</v>
      </c>
      <c r="CX428" s="171">
        <f t="shared" si="578"/>
        <v>0</v>
      </c>
      <c r="CY428" s="171">
        <f t="shared" ca="1" si="579"/>
        <v>0</v>
      </c>
      <c r="CZ428" s="171">
        <f t="shared" ca="1" si="580"/>
        <v>0</v>
      </c>
      <c r="DA428" s="171">
        <f t="shared" ca="1" si="581"/>
        <v>0</v>
      </c>
      <c r="DB428" s="171">
        <f t="shared" ca="1" si="582"/>
        <v>0</v>
      </c>
      <c r="DC428" s="171">
        <f t="shared" ca="1" si="583"/>
        <v>0</v>
      </c>
      <c r="DD428" s="171">
        <f t="shared" ca="1" si="584"/>
        <v>0</v>
      </c>
      <c r="DE428" s="171">
        <f t="shared" ca="1" si="585"/>
        <v>0</v>
      </c>
      <c r="DF428" s="171">
        <f t="shared" ca="1" si="586"/>
        <v>0</v>
      </c>
      <c r="DG428" s="171">
        <f t="shared" ca="1" si="587"/>
        <v>0</v>
      </c>
      <c r="DH428" s="171">
        <f t="shared" ca="1" si="588"/>
        <v>0</v>
      </c>
      <c r="DI428" s="171">
        <f t="shared" ca="1" si="589"/>
        <v>0</v>
      </c>
      <c r="DJ428" s="171">
        <f t="shared" ca="1" si="590"/>
        <v>0</v>
      </c>
      <c r="DK428" s="171">
        <f t="shared" ca="1" si="591"/>
        <v>0</v>
      </c>
      <c r="DL428" s="171">
        <f t="shared" ca="1" si="592"/>
        <v>0</v>
      </c>
      <c r="DM428" s="171">
        <f t="shared" ca="1" si="593"/>
        <v>0</v>
      </c>
      <c r="DN428" s="171">
        <f t="shared" ca="1" si="594"/>
        <v>0</v>
      </c>
      <c r="DO428" s="171">
        <f t="shared" ca="1" si="595"/>
        <v>0</v>
      </c>
      <c r="DP428" s="171">
        <f t="shared" ca="1" si="596"/>
        <v>0</v>
      </c>
      <c r="DQ428" s="171">
        <f t="shared" ca="1" si="597"/>
        <v>0</v>
      </c>
      <c r="DR428" s="171">
        <f t="shared" ca="1" si="598"/>
        <v>0</v>
      </c>
      <c r="DS428" s="171">
        <f t="shared" ca="1" si="599"/>
        <v>0</v>
      </c>
      <c r="DT428" s="171">
        <f t="shared" ca="1" si="600"/>
        <v>0</v>
      </c>
      <c r="DU428" s="171">
        <f t="shared" ca="1" si="601"/>
        <v>0</v>
      </c>
      <c r="DV428" s="171">
        <f t="shared" ca="1" si="602"/>
        <v>0</v>
      </c>
      <c r="DW428" s="171">
        <f t="shared" ca="1" si="603"/>
        <v>0</v>
      </c>
      <c r="DX428" s="171">
        <f t="shared" ca="1" si="604"/>
        <v>0</v>
      </c>
      <c r="DY428" s="171">
        <f t="shared" ca="1" si="605"/>
        <v>0</v>
      </c>
      <c r="DZ428" s="171">
        <f t="shared" ca="1" si="606"/>
        <v>0</v>
      </c>
      <c r="EA428" s="171">
        <f t="shared" ca="1" si="607"/>
        <v>0</v>
      </c>
      <c r="EB428" s="171">
        <f t="shared" ca="1" si="608"/>
        <v>0</v>
      </c>
      <c r="EC428" s="171">
        <f t="shared" ca="1" si="609"/>
        <v>0</v>
      </c>
      <c r="ED428" s="171">
        <f t="shared" ca="1" si="610"/>
        <v>0</v>
      </c>
      <c r="EE428" s="171">
        <f t="shared" ca="1" si="611"/>
        <v>0</v>
      </c>
      <c r="EF428" s="171">
        <f t="shared" ca="1" si="612"/>
        <v>0</v>
      </c>
      <c r="EG428" s="171">
        <f t="shared" ca="1" si="613"/>
        <v>0</v>
      </c>
      <c r="EH428" s="171">
        <f t="shared" ca="1" si="614"/>
        <v>0</v>
      </c>
      <c r="EI428" s="171">
        <f t="shared" ca="1" si="615"/>
        <v>0</v>
      </c>
      <c r="EJ428" s="171">
        <f t="shared" ca="1" si="616"/>
        <v>0</v>
      </c>
      <c r="EK428" s="171">
        <f t="shared" ca="1" si="617"/>
        <v>0</v>
      </c>
      <c r="EL428" s="171">
        <f t="shared" ca="1" si="618"/>
        <v>0</v>
      </c>
      <c r="EM428" s="171">
        <f t="shared" ca="1" si="619"/>
        <v>0</v>
      </c>
      <c r="EN428" s="171">
        <f t="shared" ca="1" si="620"/>
        <v>0</v>
      </c>
      <c r="EO428" s="171">
        <f t="shared" ca="1" si="621"/>
        <v>0</v>
      </c>
      <c r="EP428" s="171">
        <f t="shared" ca="1" si="622"/>
        <v>0</v>
      </c>
      <c r="EQ428" s="171">
        <f t="shared" ca="1" si="623"/>
        <v>0</v>
      </c>
      <c r="ER428" s="171">
        <f t="shared" ca="1" si="624"/>
        <v>0</v>
      </c>
      <c r="ES428" s="171">
        <f t="shared" ca="1" si="625"/>
        <v>0</v>
      </c>
    </row>
    <row r="429" spans="3:149">
      <c r="C429" s="214"/>
      <c r="L429" s="163"/>
      <c r="M429" s="164" t="str">
        <f t="shared" si="550"/>
        <v/>
      </c>
      <c r="N429" s="164" t="str">
        <f t="shared" si="551"/>
        <v/>
      </c>
      <c r="O429" s="165" t="str">
        <f t="shared" si="552"/>
        <v/>
      </c>
      <c r="R429" s="168"/>
      <c r="U429" s="171">
        <f t="shared" si="553"/>
        <v>0</v>
      </c>
      <c r="V429" s="171">
        <f t="shared" ca="1" si="554"/>
        <v>0</v>
      </c>
      <c r="W429" s="171">
        <f t="shared" ca="1" si="555"/>
        <v>0</v>
      </c>
      <c r="X429" s="172">
        <f t="shared" si="556"/>
        <v>0</v>
      </c>
      <c r="Y429" s="172" t="str">
        <f t="shared" si="557"/>
        <v/>
      </c>
      <c r="Z429" s="173">
        <f t="shared" si="558"/>
        <v>0</v>
      </c>
      <c r="AA429" s="171">
        <f t="shared" ref="AA429:AJ438" si="656">IFERROR(
    IF($T429="Equity",
        IF(AND(AA$48&gt;=$E429, AA$48&lt;=($E429+$Q429)),
$K429*$P429*(VLOOKUP($C$39,$C$37:$BL$44,MATCH($E429,$C$37:$BL$37,0),FALSE)/VLOOKUP($L429,$C$37:$BL$44,MATCH($E429,$C$37:$BL$37,0),FALSE))*
IF($B$5="Foreign Currency",VLOOKUP($C$38,$C$37:$BL$44,MATCH(AA$48,$C$37:$BL$37,0),FALSE)/VLOOKUP($C$39,$C$37:$BL$44,MATCH(AA$48,$C$37:$BL$37,0),FALSE),1),
0),
    IF($T429="Lump Sum Principal",
        IF(AND(AA$48&gt;=$E429, AA$48&lt;($E429+$Q429)),
$K429*$P429*(VLOOKUP($C$39,$C$37:$BL$44,MATCH($E429,$C$37:$BL$37,0),FALSE)/VLOOKUP($L429,$C$37:$BL$44,MATCH($E429,$C$37:$BL$37,0),FALSE))*
IF($B$5="Foreign Currency",VLOOKUP($C$38,$C$37:$BL$44,MATCH(AA$48,$C$37:$BL$37,0),FALSE)/VLOOKUP($C$39,$C$37:$BL$44,MATCH(AA$48,$C$37:$BL$37,0),FALSE),1),
        IF(AA$48=($E429+$Q429),
$K429*(1+$P429)*(VLOOKUP($C$39,$C$37:$BL$44,MATCH($E429,$C$37:$BL$37,0),FALSE)/VLOOKUP($L429,$C$37:$BL$44,MATCH($E429,$C$37:$BL$37,0),FALSE))*
IF($B$5="Foreign Currency",VLOOKUP($C$38,$C$37:$BL$44,MATCH(AA$48,$C$37:$BL$37,0),FALSE)/VLOOKUP($C$39,$C$37:$BL$44,MATCH(AA$48,$C$37:$BL$37,0),FALSE),1),
0)),
    IF($T429="Lump Sum Principal and Interest",
        IF(AA$48=($E429+$Q429),
$K429*((1+$P429)^$Q429)*(VLOOKUP($C$39,$C$37:$BL$44,MATCH($E429,$C$37:$BL$37,0),FALSE)/VLOOKUP($L429,$C$37:$BL$44,MATCH($E429,$C$37:$BL$37,0),FALSE))*
IF($B$5="Foreign Currency",VLOOKUP($C$38,$C$37:$BL$44,MATCH(AA$48,$C$37:$BL$37,0),FALSE)/VLOOKUP($C$39,$C$37:$BL$44,MATCH(AA$48,$C$37:$BL$37,0),FALSE),1),
0),
    IF($T429="EPP with Grace Years for Principal",
        IF(AND(AA$48&gt;=$E429, AA$48&lt;($E429+$S429)),
$K429*$P429*(VLOOKUP($C$39,$C$37:$BL$44,MATCH($E429,$C$37:$BL$37,0),FALSE)/VLOOKUP($L429,$C$37:$BL$44,MATCH($E429,$C$37:$BL$37,0),FALSE))*
IF($B$5="Foreign Currency",VLOOKUP($C$38,$C$37:$BL$44,MATCH(AA$48,$C$37:$BL$37,0),FALSE)/VLOOKUP($C$39,$C$37:$BL$44,MATCH(AA$48,$C$37:$BL$37,0),FALSE),1),
        IF(AND(AA$48&gt;=($E429+$S429), AA$48&lt;=($E429+$Q429)),
-PMT($P429,($Q429-$S429+1),($K429*(VLOOKUP($C$39,$C$37:$BL$44,MATCH($E429,$C$37:$BL$37,0),FALSE)/VLOOKUP($L429,$C$37:$BL$44,MATCH($E429,$C$37:$BL$37,0),FALSE))*
IF($B$5="Foreign Currency",VLOOKUP($C$38,$C$37:$BL$44,MATCH(AA$48,$C$37:$BL$37,0),FALSE)/VLOOKUP($C$39,$C$37:$BL$44,MATCH(AA$48,$C$37:$BL$37,0),FALSE),1)),0),
0)),
    IF($T429="Equal Principal Payments (EPP)",
        IF(AND(AA$48&gt;=$E429, AA$48&lt;=($E429+$Q429)),
-PMT($P429,($Q429-$S429+1),($K429*(VLOOKUP($C$39,$C$37:$BL$44,MATCH($E429,$C$37:$BL$37,0),FALSE)/VLOOKUP($L429,$C$37:$BL$44,MATCH($E429,$C$37:$BL$37,0),FALSE))*
IF($B$5="Foreign Currency",VLOOKUP($C$38,$C$37:$BL$44,MATCH(AA$48,$C$37:$BL$37,0),FALSE)/VLOOKUP($C$39,$C$37:$BL$44,MATCH(AA$48,$C$37:$BL$37,0),FALSE),1)),0), 0),
    IF($T429="EPP with Grace Years for Principal and on Interest",
        IF(AND(AA$48&gt;=($E429+$S429), AA$48&lt;=($E429+$Q429)),
-PMT($P429,($Q429-$S429+1),($K429*(VLOOKUP($C$39,$C$37:$BL$44,MATCH($E429,$C$37:$BL$37,0),FALSE)/VLOOKUP($L429,$C$37:$BL$44,MATCH($E429,$C$37:$BL$37,0),FALSE))*
IF($B$5="Foreign Currency",VLOOKUP($C$38,$C$37:$BL$44,MATCH(AA$48,$C$37:$BL$37,0),FALSE)/VLOOKUP($C$39,$C$37:$BL$44,MATCH(AA$48,$C$37:$BL$37,0),FALSE),1))*((1+$P429)^$S429),0), 0),
    0)))))),"")</f>
        <v>0</v>
      </c>
      <c r="AB429" s="171">
        <f t="shared" si="656"/>
        <v>0</v>
      </c>
      <c r="AC429" s="171">
        <f t="shared" si="656"/>
        <v>0</v>
      </c>
      <c r="AD429" s="171">
        <f t="shared" si="656"/>
        <v>0</v>
      </c>
      <c r="AE429" s="171">
        <f t="shared" si="656"/>
        <v>0</v>
      </c>
      <c r="AF429" s="171">
        <f t="shared" si="656"/>
        <v>0</v>
      </c>
      <c r="AG429" s="171">
        <f t="shared" si="656"/>
        <v>0</v>
      </c>
      <c r="AH429" s="171">
        <f t="shared" si="656"/>
        <v>0</v>
      </c>
      <c r="AI429" s="171">
        <f t="shared" si="656"/>
        <v>0</v>
      </c>
      <c r="AJ429" s="171">
        <f t="shared" si="656"/>
        <v>0</v>
      </c>
      <c r="AK429" s="171">
        <f t="shared" ref="AK429:AT438" si="657">IFERROR(
    IF($T429="Equity",
        IF(AND(AK$48&gt;=$E429, AK$48&lt;=($E429+$Q429)),
$K429*$P429*(VLOOKUP($C$39,$C$37:$BL$44,MATCH($E429,$C$37:$BL$37,0),FALSE)/VLOOKUP($L429,$C$37:$BL$44,MATCH($E429,$C$37:$BL$37,0),FALSE))*
IF($B$5="Foreign Currency",VLOOKUP($C$38,$C$37:$BL$44,MATCH(AK$48,$C$37:$BL$37,0),FALSE)/VLOOKUP($C$39,$C$37:$BL$44,MATCH(AK$48,$C$37:$BL$37,0),FALSE),1),
0),
    IF($T429="Lump Sum Principal",
        IF(AND(AK$48&gt;=$E429, AK$48&lt;($E429+$Q429)),
$K429*$P429*(VLOOKUP($C$39,$C$37:$BL$44,MATCH($E429,$C$37:$BL$37,0),FALSE)/VLOOKUP($L429,$C$37:$BL$44,MATCH($E429,$C$37:$BL$37,0),FALSE))*
IF($B$5="Foreign Currency",VLOOKUP($C$38,$C$37:$BL$44,MATCH(AK$48,$C$37:$BL$37,0),FALSE)/VLOOKUP($C$39,$C$37:$BL$44,MATCH(AK$48,$C$37:$BL$37,0),FALSE),1),
        IF(AK$48=($E429+$Q429),
$K429*(1+$P429)*(VLOOKUP($C$39,$C$37:$BL$44,MATCH($E429,$C$37:$BL$37,0),FALSE)/VLOOKUP($L429,$C$37:$BL$44,MATCH($E429,$C$37:$BL$37,0),FALSE))*
IF($B$5="Foreign Currency",VLOOKUP($C$38,$C$37:$BL$44,MATCH(AK$48,$C$37:$BL$37,0),FALSE)/VLOOKUP($C$39,$C$37:$BL$44,MATCH(AK$48,$C$37:$BL$37,0),FALSE),1),
0)),
    IF($T429="Lump Sum Principal and Interest",
        IF(AK$48=($E429+$Q429),
$K429*((1+$P429)^$Q429)*(VLOOKUP($C$39,$C$37:$BL$44,MATCH($E429,$C$37:$BL$37,0),FALSE)/VLOOKUP($L429,$C$37:$BL$44,MATCH($E429,$C$37:$BL$37,0),FALSE))*
IF($B$5="Foreign Currency",VLOOKUP($C$38,$C$37:$BL$44,MATCH(AK$48,$C$37:$BL$37,0),FALSE)/VLOOKUP($C$39,$C$37:$BL$44,MATCH(AK$48,$C$37:$BL$37,0),FALSE),1),
0),
    IF($T429="EPP with Grace Years for Principal",
        IF(AND(AK$48&gt;=$E429, AK$48&lt;($E429+$S429)),
$K429*$P429*(VLOOKUP($C$39,$C$37:$BL$44,MATCH($E429,$C$37:$BL$37,0),FALSE)/VLOOKUP($L429,$C$37:$BL$44,MATCH($E429,$C$37:$BL$37,0),FALSE))*
IF($B$5="Foreign Currency",VLOOKUP($C$38,$C$37:$BL$44,MATCH(AK$48,$C$37:$BL$37,0),FALSE)/VLOOKUP($C$39,$C$37:$BL$44,MATCH(AK$48,$C$37:$BL$37,0),FALSE),1),
        IF(AND(AK$48&gt;=($E429+$S429), AK$48&lt;=($E429+$Q429)),
-PMT($P429,($Q429-$S429+1),($K429*(VLOOKUP($C$39,$C$37:$BL$44,MATCH($E429,$C$37:$BL$37,0),FALSE)/VLOOKUP($L429,$C$37:$BL$44,MATCH($E429,$C$37:$BL$37,0),FALSE))*
IF($B$5="Foreign Currency",VLOOKUP($C$38,$C$37:$BL$44,MATCH(AK$48,$C$37:$BL$37,0),FALSE)/VLOOKUP($C$39,$C$37:$BL$44,MATCH(AK$48,$C$37:$BL$37,0),FALSE),1)),0),
0)),
    IF($T429="Equal Principal Payments (EPP)",
        IF(AND(AK$48&gt;=$E429, AK$48&lt;=($E429+$Q429)),
-PMT($P429,($Q429-$S429+1),($K429*(VLOOKUP($C$39,$C$37:$BL$44,MATCH($E429,$C$37:$BL$37,0),FALSE)/VLOOKUP($L429,$C$37:$BL$44,MATCH($E429,$C$37:$BL$37,0),FALSE))*
IF($B$5="Foreign Currency",VLOOKUP($C$38,$C$37:$BL$44,MATCH(AK$48,$C$37:$BL$37,0),FALSE)/VLOOKUP($C$39,$C$37:$BL$44,MATCH(AK$48,$C$37:$BL$37,0),FALSE),1)),0), 0),
    IF($T429="EPP with Grace Years for Principal and on Interest",
        IF(AND(AK$48&gt;=($E429+$S429), AK$48&lt;=($E429+$Q429)),
-PMT($P429,($Q429-$S429+1),($K429*(VLOOKUP($C$39,$C$37:$BL$44,MATCH($E429,$C$37:$BL$37,0),FALSE)/VLOOKUP($L429,$C$37:$BL$44,MATCH($E429,$C$37:$BL$37,0),FALSE))*
IF($B$5="Foreign Currency",VLOOKUP($C$38,$C$37:$BL$44,MATCH(AK$48,$C$37:$BL$37,0),FALSE)/VLOOKUP($C$39,$C$37:$BL$44,MATCH(AK$48,$C$37:$BL$37,0),FALSE),1))*((1+$P429)^$S429),0), 0),
    0)))))),"")</f>
        <v>0</v>
      </c>
      <c r="AL429" s="171">
        <f t="shared" si="657"/>
        <v>0</v>
      </c>
      <c r="AM429" s="171">
        <f t="shared" si="657"/>
        <v>0</v>
      </c>
      <c r="AN429" s="171">
        <f t="shared" si="657"/>
        <v>0</v>
      </c>
      <c r="AO429" s="171">
        <f t="shared" si="657"/>
        <v>0</v>
      </c>
      <c r="AP429" s="171">
        <f t="shared" si="657"/>
        <v>0</v>
      </c>
      <c r="AQ429" s="171">
        <f t="shared" si="657"/>
        <v>0</v>
      </c>
      <c r="AR429" s="171">
        <f t="shared" si="657"/>
        <v>0</v>
      </c>
      <c r="AS429" s="171">
        <f t="shared" si="657"/>
        <v>0</v>
      </c>
      <c r="AT429" s="171">
        <f t="shared" si="657"/>
        <v>0</v>
      </c>
      <c r="AU429" s="171">
        <f t="shared" ref="AU429:BD438" si="658">IFERROR(
    IF($T429="Equity",
        IF(AND(AU$48&gt;=$E429, AU$48&lt;=($E429+$Q429)),
$K429*$P429*(VLOOKUP($C$39,$C$37:$BL$44,MATCH($E429,$C$37:$BL$37,0),FALSE)/VLOOKUP($L429,$C$37:$BL$44,MATCH($E429,$C$37:$BL$37,0),FALSE))*
IF($B$5="Foreign Currency",VLOOKUP($C$38,$C$37:$BL$44,MATCH(AU$48,$C$37:$BL$37,0),FALSE)/VLOOKUP($C$39,$C$37:$BL$44,MATCH(AU$48,$C$37:$BL$37,0),FALSE),1),
0),
    IF($T429="Lump Sum Principal",
        IF(AND(AU$48&gt;=$E429, AU$48&lt;($E429+$Q429)),
$K429*$P429*(VLOOKUP($C$39,$C$37:$BL$44,MATCH($E429,$C$37:$BL$37,0),FALSE)/VLOOKUP($L429,$C$37:$BL$44,MATCH($E429,$C$37:$BL$37,0),FALSE))*
IF($B$5="Foreign Currency",VLOOKUP($C$38,$C$37:$BL$44,MATCH(AU$48,$C$37:$BL$37,0),FALSE)/VLOOKUP($C$39,$C$37:$BL$44,MATCH(AU$48,$C$37:$BL$37,0),FALSE),1),
        IF(AU$48=($E429+$Q429),
$K429*(1+$P429)*(VLOOKUP($C$39,$C$37:$BL$44,MATCH($E429,$C$37:$BL$37,0),FALSE)/VLOOKUP($L429,$C$37:$BL$44,MATCH($E429,$C$37:$BL$37,0),FALSE))*
IF($B$5="Foreign Currency",VLOOKUP($C$38,$C$37:$BL$44,MATCH(AU$48,$C$37:$BL$37,0),FALSE)/VLOOKUP($C$39,$C$37:$BL$44,MATCH(AU$48,$C$37:$BL$37,0),FALSE),1),
0)),
    IF($T429="Lump Sum Principal and Interest",
        IF(AU$48=($E429+$Q429),
$K429*((1+$P429)^$Q429)*(VLOOKUP($C$39,$C$37:$BL$44,MATCH($E429,$C$37:$BL$37,0),FALSE)/VLOOKUP($L429,$C$37:$BL$44,MATCH($E429,$C$37:$BL$37,0),FALSE))*
IF($B$5="Foreign Currency",VLOOKUP($C$38,$C$37:$BL$44,MATCH(AU$48,$C$37:$BL$37,0),FALSE)/VLOOKUP($C$39,$C$37:$BL$44,MATCH(AU$48,$C$37:$BL$37,0),FALSE),1),
0),
    IF($T429="EPP with Grace Years for Principal",
        IF(AND(AU$48&gt;=$E429, AU$48&lt;($E429+$S429)),
$K429*$P429*(VLOOKUP($C$39,$C$37:$BL$44,MATCH($E429,$C$37:$BL$37,0),FALSE)/VLOOKUP($L429,$C$37:$BL$44,MATCH($E429,$C$37:$BL$37,0),FALSE))*
IF($B$5="Foreign Currency",VLOOKUP($C$38,$C$37:$BL$44,MATCH(AU$48,$C$37:$BL$37,0),FALSE)/VLOOKUP($C$39,$C$37:$BL$44,MATCH(AU$48,$C$37:$BL$37,0),FALSE),1),
        IF(AND(AU$48&gt;=($E429+$S429), AU$48&lt;=($E429+$Q429)),
-PMT($P429,($Q429-$S429+1),($K429*(VLOOKUP($C$39,$C$37:$BL$44,MATCH($E429,$C$37:$BL$37,0),FALSE)/VLOOKUP($L429,$C$37:$BL$44,MATCH($E429,$C$37:$BL$37,0),FALSE))*
IF($B$5="Foreign Currency",VLOOKUP($C$38,$C$37:$BL$44,MATCH(AU$48,$C$37:$BL$37,0),FALSE)/VLOOKUP($C$39,$C$37:$BL$44,MATCH(AU$48,$C$37:$BL$37,0),FALSE),1)),0),
0)),
    IF($T429="Equal Principal Payments (EPP)",
        IF(AND(AU$48&gt;=$E429, AU$48&lt;=($E429+$Q429)),
-PMT($P429,($Q429-$S429+1),($K429*(VLOOKUP($C$39,$C$37:$BL$44,MATCH($E429,$C$37:$BL$37,0),FALSE)/VLOOKUP($L429,$C$37:$BL$44,MATCH($E429,$C$37:$BL$37,0),FALSE))*
IF($B$5="Foreign Currency",VLOOKUP($C$38,$C$37:$BL$44,MATCH(AU$48,$C$37:$BL$37,0),FALSE)/VLOOKUP($C$39,$C$37:$BL$44,MATCH(AU$48,$C$37:$BL$37,0),FALSE),1)),0), 0),
    IF($T429="EPP with Grace Years for Principal and on Interest",
        IF(AND(AU$48&gt;=($E429+$S429), AU$48&lt;=($E429+$Q429)),
-PMT($P429,($Q429-$S429+1),($K429*(VLOOKUP($C$39,$C$37:$BL$44,MATCH($E429,$C$37:$BL$37,0),FALSE)/VLOOKUP($L429,$C$37:$BL$44,MATCH($E429,$C$37:$BL$37,0),FALSE))*
IF($B$5="Foreign Currency",VLOOKUP($C$38,$C$37:$BL$44,MATCH(AU$48,$C$37:$BL$37,0),FALSE)/VLOOKUP($C$39,$C$37:$BL$44,MATCH(AU$48,$C$37:$BL$37,0),FALSE),1))*((1+$P429)^$S429),0), 0),
    0)))))),"")</f>
        <v>0</v>
      </c>
      <c r="AV429" s="171">
        <f t="shared" si="658"/>
        <v>0</v>
      </c>
      <c r="AW429" s="171">
        <f t="shared" si="658"/>
        <v>0</v>
      </c>
      <c r="AX429" s="171">
        <f t="shared" si="658"/>
        <v>0</v>
      </c>
      <c r="AY429" s="171">
        <f t="shared" si="658"/>
        <v>0</v>
      </c>
      <c r="AZ429" s="171">
        <f t="shared" si="658"/>
        <v>0</v>
      </c>
      <c r="BA429" s="171">
        <f t="shared" si="658"/>
        <v>0</v>
      </c>
      <c r="BB429" s="171">
        <f t="shared" si="658"/>
        <v>0</v>
      </c>
      <c r="BC429" s="171">
        <f t="shared" si="658"/>
        <v>0</v>
      </c>
      <c r="BD429" s="171">
        <f t="shared" si="658"/>
        <v>0</v>
      </c>
      <c r="BE429" s="171">
        <f t="shared" ref="BE429:BN438" si="659">IFERROR(
    IF($T429="Equity",
        IF(AND(BE$48&gt;=$E429, BE$48&lt;=($E429+$Q429)),
$K429*$P429*(VLOOKUP($C$39,$C$37:$BL$44,MATCH($E429,$C$37:$BL$37,0),FALSE)/VLOOKUP($L429,$C$37:$BL$44,MATCH($E429,$C$37:$BL$37,0),FALSE))*
IF($B$5="Foreign Currency",VLOOKUP($C$38,$C$37:$BL$44,MATCH(BE$48,$C$37:$BL$37,0),FALSE)/VLOOKUP($C$39,$C$37:$BL$44,MATCH(BE$48,$C$37:$BL$37,0),FALSE),1),
0),
    IF($T429="Lump Sum Principal",
        IF(AND(BE$48&gt;=$E429, BE$48&lt;($E429+$Q429)),
$K429*$P429*(VLOOKUP($C$39,$C$37:$BL$44,MATCH($E429,$C$37:$BL$37,0),FALSE)/VLOOKUP($L429,$C$37:$BL$44,MATCH($E429,$C$37:$BL$37,0),FALSE))*
IF($B$5="Foreign Currency",VLOOKUP($C$38,$C$37:$BL$44,MATCH(BE$48,$C$37:$BL$37,0),FALSE)/VLOOKUP($C$39,$C$37:$BL$44,MATCH(BE$48,$C$37:$BL$37,0),FALSE),1),
        IF(BE$48=($E429+$Q429),
$K429*(1+$P429)*(VLOOKUP($C$39,$C$37:$BL$44,MATCH($E429,$C$37:$BL$37,0),FALSE)/VLOOKUP($L429,$C$37:$BL$44,MATCH($E429,$C$37:$BL$37,0),FALSE))*
IF($B$5="Foreign Currency",VLOOKUP($C$38,$C$37:$BL$44,MATCH(BE$48,$C$37:$BL$37,0),FALSE)/VLOOKUP($C$39,$C$37:$BL$44,MATCH(BE$48,$C$37:$BL$37,0),FALSE),1),
0)),
    IF($T429="Lump Sum Principal and Interest",
        IF(BE$48=($E429+$Q429),
$K429*((1+$P429)^$Q429)*(VLOOKUP($C$39,$C$37:$BL$44,MATCH($E429,$C$37:$BL$37,0),FALSE)/VLOOKUP($L429,$C$37:$BL$44,MATCH($E429,$C$37:$BL$37,0),FALSE))*
IF($B$5="Foreign Currency",VLOOKUP($C$38,$C$37:$BL$44,MATCH(BE$48,$C$37:$BL$37,0),FALSE)/VLOOKUP($C$39,$C$37:$BL$44,MATCH(BE$48,$C$37:$BL$37,0),FALSE),1),
0),
    IF($T429="EPP with Grace Years for Principal",
        IF(AND(BE$48&gt;=$E429, BE$48&lt;($E429+$S429)),
$K429*$P429*(VLOOKUP($C$39,$C$37:$BL$44,MATCH($E429,$C$37:$BL$37,0),FALSE)/VLOOKUP($L429,$C$37:$BL$44,MATCH($E429,$C$37:$BL$37,0),FALSE))*
IF($B$5="Foreign Currency",VLOOKUP($C$38,$C$37:$BL$44,MATCH(BE$48,$C$37:$BL$37,0),FALSE)/VLOOKUP($C$39,$C$37:$BL$44,MATCH(BE$48,$C$37:$BL$37,0),FALSE),1),
        IF(AND(BE$48&gt;=($E429+$S429), BE$48&lt;=($E429+$Q429)),
-PMT($P429,($Q429-$S429+1),($K429*(VLOOKUP($C$39,$C$37:$BL$44,MATCH($E429,$C$37:$BL$37,0),FALSE)/VLOOKUP($L429,$C$37:$BL$44,MATCH($E429,$C$37:$BL$37,0),FALSE))*
IF($B$5="Foreign Currency",VLOOKUP($C$38,$C$37:$BL$44,MATCH(BE$48,$C$37:$BL$37,0),FALSE)/VLOOKUP($C$39,$C$37:$BL$44,MATCH(BE$48,$C$37:$BL$37,0),FALSE),1)),0),
0)),
    IF($T429="Equal Principal Payments (EPP)",
        IF(AND(BE$48&gt;=$E429, BE$48&lt;=($E429+$Q429)),
-PMT($P429,($Q429-$S429+1),($K429*(VLOOKUP($C$39,$C$37:$BL$44,MATCH($E429,$C$37:$BL$37,0),FALSE)/VLOOKUP($L429,$C$37:$BL$44,MATCH($E429,$C$37:$BL$37,0),FALSE))*
IF($B$5="Foreign Currency",VLOOKUP($C$38,$C$37:$BL$44,MATCH(BE$48,$C$37:$BL$37,0),FALSE)/VLOOKUP($C$39,$C$37:$BL$44,MATCH(BE$48,$C$37:$BL$37,0),FALSE),1)),0), 0),
    IF($T429="EPP with Grace Years for Principal and on Interest",
        IF(AND(BE$48&gt;=($E429+$S429), BE$48&lt;=($E429+$Q429)),
-PMT($P429,($Q429-$S429+1),($K429*(VLOOKUP($C$39,$C$37:$BL$44,MATCH($E429,$C$37:$BL$37,0),FALSE)/VLOOKUP($L429,$C$37:$BL$44,MATCH($E429,$C$37:$BL$37,0),FALSE))*
IF($B$5="Foreign Currency",VLOOKUP($C$38,$C$37:$BL$44,MATCH(BE$48,$C$37:$BL$37,0),FALSE)/VLOOKUP($C$39,$C$37:$BL$44,MATCH(BE$48,$C$37:$BL$37,0),FALSE),1))*((1+$P429)^$S429),0), 0),
    0)))))),"")</f>
        <v>0</v>
      </c>
      <c r="BF429" s="171">
        <f t="shared" si="659"/>
        <v>0</v>
      </c>
      <c r="BG429" s="171">
        <f t="shared" si="659"/>
        <v>0</v>
      </c>
      <c r="BH429" s="171">
        <f t="shared" si="659"/>
        <v>0</v>
      </c>
      <c r="BI429" s="171">
        <f t="shared" si="659"/>
        <v>0</v>
      </c>
      <c r="BJ429" s="171">
        <f t="shared" si="659"/>
        <v>0</v>
      </c>
      <c r="BK429" s="171">
        <f t="shared" si="659"/>
        <v>0</v>
      </c>
      <c r="BL429" s="171">
        <f t="shared" si="659"/>
        <v>0</v>
      </c>
      <c r="BM429" s="171">
        <f t="shared" si="659"/>
        <v>0</v>
      </c>
      <c r="BN429" s="171">
        <f t="shared" si="659"/>
        <v>0</v>
      </c>
      <c r="BO429" s="171">
        <f t="shared" ref="BO429:BX438" si="660">IFERROR(
    IF($T429="Equity",
        IF(AND(BO$48&gt;=$E429, BO$48&lt;=($E429+$Q429)),
$K429*$P429*(VLOOKUP($C$39,$C$37:$BL$44,MATCH($E429,$C$37:$BL$37,0),FALSE)/VLOOKUP($L429,$C$37:$BL$44,MATCH($E429,$C$37:$BL$37,0),FALSE))*
IF($B$5="Foreign Currency",VLOOKUP($C$38,$C$37:$BL$44,MATCH(BO$48,$C$37:$BL$37,0),FALSE)/VLOOKUP($C$39,$C$37:$BL$44,MATCH(BO$48,$C$37:$BL$37,0),FALSE),1),
0),
    IF($T429="Lump Sum Principal",
        IF(AND(BO$48&gt;=$E429, BO$48&lt;($E429+$Q429)),
$K429*$P429*(VLOOKUP($C$39,$C$37:$BL$44,MATCH($E429,$C$37:$BL$37,0),FALSE)/VLOOKUP($L429,$C$37:$BL$44,MATCH($E429,$C$37:$BL$37,0),FALSE))*
IF($B$5="Foreign Currency",VLOOKUP($C$38,$C$37:$BL$44,MATCH(BO$48,$C$37:$BL$37,0),FALSE)/VLOOKUP($C$39,$C$37:$BL$44,MATCH(BO$48,$C$37:$BL$37,0),FALSE),1),
        IF(BO$48=($E429+$Q429),
$K429*(1+$P429)*(VLOOKUP($C$39,$C$37:$BL$44,MATCH($E429,$C$37:$BL$37,0),FALSE)/VLOOKUP($L429,$C$37:$BL$44,MATCH($E429,$C$37:$BL$37,0),FALSE))*
IF($B$5="Foreign Currency",VLOOKUP($C$38,$C$37:$BL$44,MATCH(BO$48,$C$37:$BL$37,0),FALSE)/VLOOKUP($C$39,$C$37:$BL$44,MATCH(BO$48,$C$37:$BL$37,0),FALSE),1),
0)),
    IF($T429="Lump Sum Principal and Interest",
        IF(BO$48=($E429+$Q429),
$K429*((1+$P429)^$Q429)*(VLOOKUP($C$39,$C$37:$BL$44,MATCH($E429,$C$37:$BL$37,0),FALSE)/VLOOKUP($L429,$C$37:$BL$44,MATCH($E429,$C$37:$BL$37,0),FALSE))*
IF($B$5="Foreign Currency",VLOOKUP($C$38,$C$37:$BL$44,MATCH(BO$48,$C$37:$BL$37,0),FALSE)/VLOOKUP($C$39,$C$37:$BL$44,MATCH(BO$48,$C$37:$BL$37,0),FALSE),1),
0),
    IF($T429="EPP with Grace Years for Principal",
        IF(AND(BO$48&gt;=$E429, BO$48&lt;($E429+$S429)),
$K429*$P429*(VLOOKUP($C$39,$C$37:$BL$44,MATCH($E429,$C$37:$BL$37,0),FALSE)/VLOOKUP($L429,$C$37:$BL$44,MATCH($E429,$C$37:$BL$37,0),FALSE))*
IF($B$5="Foreign Currency",VLOOKUP($C$38,$C$37:$BL$44,MATCH(BO$48,$C$37:$BL$37,0),FALSE)/VLOOKUP($C$39,$C$37:$BL$44,MATCH(BO$48,$C$37:$BL$37,0),FALSE),1),
        IF(AND(BO$48&gt;=($E429+$S429), BO$48&lt;=($E429+$Q429)),
-PMT($P429,($Q429-$S429+1),($K429*(VLOOKUP($C$39,$C$37:$BL$44,MATCH($E429,$C$37:$BL$37,0),FALSE)/VLOOKUP($L429,$C$37:$BL$44,MATCH($E429,$C$37:$BL$37,0),FALSE))*
IF($B$5="Foreign Currency",VLOOKUP($C$38,$C$37:$BL$44,MATCH(BO$48,$C$37:$BL$37,0),FALSE)/VLOOKUP($C$39,$C$37:$BL$44,MATCH(BO$48,$C$37:$BL$37,0),FALSE),1)),0),
0)),
    IF($T429="Equal Principal Payments (EPP)",
        IF(AND(BO$48&gt;=$E429, BO$48&lt;=($E429+$Q429)),
-PMT($P429,($Q429-$S429+1),($K429*(VLOOKUP($C$39,$C$37:$BL$44,MATCH($E429,$C$37:$BL$37,0),FALSE)/VLOOKUP($L429,$C$37:$BL$44,MATCH($E429,$C$37:$BL$37,0),FALSE))*
IF($B$5="Foreign Currency",VLOOKUP($C$38,$C$37:$BL$44,MATCH(BO$48,$C$37:$BL$37,0),FALSE)/VLOOKUP($C$39,$C$37:$BL$44,MATCH(BO$48,$C$37:$BL$37,0),FALSE),1)),0), 0),
    IF($T429="EPP with Grace Years for Principal and on Interest",
        IF(AND(BO$48&gt;=($E429+$S429), BO$48&lt;=($E429+$Q429)),
-PMT($P429,($Q429-$S429+1),($K429*(VLOOKUP($C$39,$C$37:$BL$44,MATCH($E429,$C$37:$BL$37,0),FALSE)/VLOOKUP($L429,$C$37:$BL$44,MATCH($E429,$C$37:$BL$37,0),FALSE))*
IF($B$5="Foreign Currency",VLOOKUP($C$38,$C$37:$BL$44,MATCH(BO$48,$C$37:$BL$37,0),FALSE)/VLOOKUP($C$39,$C$37:$BL$44,MATCH(BO$48,$C$37:$BL$37,0),FALSE),1))*((1+$P429)^$S429),0), 0),
    0)))))),"")</f>
        <v>0</v>
      </c>
      <c r="BP429" s="171">
        <f t="shared" si="660"/>
        <v>0</v>
      </c>
      <c r="BQ429" s="171">
        <f t="shared" si="660"/>
        <v>0</v>
      </c>
      <c r="BR429" s="171">
        <f t="shared" si="660"/>
        <v>0</v>
      </c>
      <c r="BS429" s="171">
        <f t="shared" si="660"/>
        <v>0</v>
      </c>
      <c r="BT429" s="171">
        <f t="shared" si="660"/>
        <v>0</v>
      </c>
      <c r="BU429" s="171">
        <f t="shared" si="660"/>
        <v>0</v>
      </c>
      <c r="BV429" s="171">
        <f t="shared" si="660"/>
        <v>0</v>
      </c>
      <c r="BW429" s="171">
        <f t="shared" si="660"/>
        <v>0</v>
      </c>
      <c r="BX429" s="171">
        <f t="shared" si="660"/>
        <v>0</v>
      </c>
      <c r="BY429" s="171">
        <f t="shared" ref="BY429:CI438" si="661">IFERROR(
    IF($T429="Equity",
        IF(AND(BY$48&gt;=$E429, BY$48&lt;=($E429+$Q429)),
$K429*$P429*(VLOOKUP($C$39,$C$37:$BL$44,MATCH($E429,$C$37:$BL$37,0),FALSE)/VLOOKUP($L429,$C$37:$BL$44,MATCH($E429,$C$37:$BL$37,0),FALSE))*
IF($B$5="Foreign Currency",VLOOKUP($C$38,$C$37:$BL$44,MATCH(BY$48,$C$37:$BL$37,0),FALSE)/VLOOKUP($C$39,$C$37:$BL$44,MATCH(BY$48,$C$37:$BL$37,0),FALSE),1),
0),
    IF($T429="Lump Sum Principal",
        IF(AND(BY$48&gt;=$E429, BY$48&lt;($E429+$Q429)),
$K429*$P429*(VLOOKUP($C$39,$C$37:$BL$44,MATCH($E429,$C$37:$BL$37,0),FALSE)/VLOOKUP($L429,$C$37:$BL$44,MATCH($E429,$C$37:$BL$37,0),FALSE))*
IF($B$5="Foreign Currency",VLOOKUP($C$38,$C$37:$BL$44,MATCH(BY$48,$C$37:$BL$37,0),FALSE)/VLOOKUP($C$39,$C$37:$BL$44,MATCH(BY$48,$C$37:$BL$37,0),FALSE),1),
        IF(BY$48=($E429+$Q429),
$K429*(1+$P429)*(VLOOKUP($C$39,$C$37:$BL$44,MATCH($E429,$C$37:$BL$37,0),FALSE)/VLOOKUP($L429,$C$37:$BL$44,MATCH($E429,$C$37:$BL$37,0),FALSE))*
IF($B$5="Foreign Currency",VLOOKUP($C$38,$C$37:$BL$44,MATCH(BY$48,$C$37:$BL$37,0),FALSE)/VLOOKUP($C$39,$C$37:$BL$44,MATCH(BY$48,$C$37:$BL$37,0),FALSE),1),
0)),
    IF($T429="Lump Sum Principal and Interest",
        IF(BY$48=($E429+$Q429),
$K429*((1+$P429)^$Q429)*(VLOOKUP($C$39,$C$37:$BL$44,MATCH($E429,$C$37:$BL$37,0),FALSE)/VLOOKUP($L429,$C$37:$BL$44,MATCH($E429,$C$37:$BL$37,0),FALSE))*
IF($B$5="Foreign Currency",VLOOKUP($C$38,$C$37:$BL$44,MATCH(BY$48,$C$37:$BL$37,0),FALSE)/VLOOKUP($C$39,$C$37:$BL$44,MATCH(BY$48,$C$37:$BL$37,0),FALSE),1),
0),
    IF($T429="EPP with Grace Years for Principal",
        IF(AND(BY$48&gt;=$E429, BY$48&lt;($E429+$S429)),
$K429*$P429*(VLOOKUP($C$39,$C$37:$BL$44,MATCH($E429,$C$37:$BL$37,0),FALSE)/VLOOKUP($L429,$C$37:$BL$44,MATCH($E429,$C$37:$BL$37,0),FALSE))*
IF($B$5="Foreign Currency",VLOOKUP($C$38,$C$37:$BL$44,MATCH(BY$48,$C$37:$BL$37,0),FALSE)/VLOOKUP($C$39,$C$37:$BL$44,MATCH(BY$48,$C$37:$BL$37,0),FALSE),1),
        IF(AND(BY$48&gt;=($E429+$S429), BY$48&lt;=($E429+$Q429)),
-PMT($P429,($Q429-$S429+1),($K429*(VLOOKUP($C$39,$C$37:$BL$44,MATCH($E429,$C$37:$BL$37,0),FALSE)/VLOOKUP($L429,$C$37:$BL$44,MATCH($E429,$C$37:$BL$37,0),FALSE))*
IF($B$5="Foreign Currency",VLOOKUP($C$38,$C$37:$BL$44,MATCH(BY$48,$C$37:$BL$37,0),FALSE)/VLOOKUP($C$39,$C$37:$BL$44,MATCH(BY$48,$C$37:$BL$37,0),FALSE),1)),0),
0)),
    IF($T429="Equal Principal Payments (EPP)",
        IF(AND(BY$48&gt;=$E429, BY$48&lt;=($E429+$Q429)),
-PMT($P429,($Q429-$S429+1),($K429*(VLOOKUP($C$39,$C$37:$BL$44,MATCH($E429,$C$37:$BL$37,0),FALSE)/VLOOKUP($L429,$C$37:$BL$44,MATCH($E429,$C$37:$BL$37,0),FALSE))*
IF($B$5="Foreign Currency",VLOOKUP($C$38,$C$37:$BL$44,MATCH(BY$48,$C$37:$BL$37,0),FALSE)/VLOOKUP($C$39,$C$37:$BL$44,MATCH(BY$48,$C$37:$BL$37,0),FALSE),1)),0), 0),
    IF($T429="EPP with Grace Years for Principal and on Interest",
        IF(AND(BY$48&gt;=($E429+$S429), BY$48&lt;=($E429+$Q429)),
-PMT($P429,($Q429-$S429+1),($K429*(VLOOKUP($C$39,$C$37:$BL$44,MATCH($E429,$C$37:$BL$37,0),FALSE)/VLOOKUP($L429,$C$37:$BL$44,MATCH($E429,$C$37:$BL$37,0),FALSE))*
IF($B$5="Foreign Currency",VLOOKUP($C$38,$C$37:$BL$44,MATCH(BY$48,$C$37:$BL$37,0),FALSE)/VLOOKUP($C$39,$C$37:$BL$44,MATCH(BY$48,$C$37:$BL$37,0),FALSE),1))*((1+$P429)^$S429),0), 0),
    0)))))),"")</f>
        <v>0</v>
      </c>
      <c r="BZ429" s="171">
        <f t="shared" si="661"/>
        <v>0</v>
      </c>
      <c r="CA429" s="171">
        <f t="shared" si="661"/>
        <v>0</v>
      </c>
      <c r="CB429" s="171">
        <f t="shared" si="661"/>
        <v>0</v>
      </c>
      <c r="CC429" s="171">
        <f t="shared" si="661"/>
        <v>0</v>
      </c>
      <c r="CD429" s="171">
        <f t="shared" si="661"/>
        <v>0</v>
      </c>
      <c r="CE429" s="171">
        <f t="shared" si="661"/>
        <v>0</v>
      </c>
      <c r="CF429" s="171">
        <f t="shared" si="661"/>
        <v>0</v>
      </c>
      <c r="CG429" s="171">
        <f t="shared" si="661"/>
        <v>0</v>
      </c>
      <c r="CH429" s="171">
        <f t="shared" si="661"/>
        <v>0</v>
      </c>
      <c r="CI429" s="171">
        <f t="shared" si="661"/>
        <v>0</v>
      </c>
      <c r="CJ429" s="243"/>
      <c r="CK429" s="171">
        <f t="shared" si="565"/>
        <v>0</v>
      </c>
      <c r="CL429" s="171">
        <f t="shared" si="566"/>
        <v>0</v>
      </c>
      <c r="CM429" s="171">
        <f t="shared" si="567"/>
        <v>0</v>
      </c>
      <c r="CN429" s="171">
        <f t="shared" si="568"/>
        <v>0</v>
      </c>
      <c r="CO429" s="171">
        <f t="shared" si="569"/>
        <v>0</v>
      </c>
      <c r="CP429" s="171">
        <f t="shared" si="570"/>
        <v>0</v>
      </c>
      <c r="CQ429" s="171">
        <f t="shared" si="571"/>
        <v>0</v>
      </c>
      <c r="CR429" s="171">
        <f t="shared" si="572"/>
        <v>0</v>
      </c>
      <c r="CS429" s="171">
        <f t="shared" si="573"/>
        <v>0</v>
      </c>
      <c r="CT429" s="171">
        <f t="shared" si="574"/>
        <v>0</v>
      </c>
      <c r="CU429" s="171">
        <f t="shared" si="575"/>
        <v>0</v>
      </c>
      <c r="CV429" s="171">
        <f t="shared" si="576"/>
        <v>0</v>
      </c>
      <c r="CW429" s="171">
        <f t="shared" si="577"/>
        <v>0</v>
      </c>
      <c r="CX429" s="171">
        <f t="shared" si="578"/>
        <v>0</v>
      </c>
      <c r="CY429" s="171">
        <f t="shared" ca="1" si="579"/>
        <v>0</v>
      </c>
      <c r="CZ429" s="171">
        <f t="shared" ca="1" si="580"/>
        <v>0</v>
      </c>
      <c r="DA429" s="171">
        <f t="shared" ca="1" si="581"/>
        <v>0</v>
      </c>
      <c r="DB429" s="171">
        <f t="shared" ca="1" si="582"/>
        <v>0</v>
      </c>
      <c r="DC429" s="171">
        <f t="shared" ca="1" si="583"/>
        <v>0</v>
      </c>
      <c r="DD429" s="171">
        <f t="shared" ca="1" si="584"/>
        <v>0</v>
      </c>
      <c r="DE429" s="171">
        <f t="shared" ca="1" si="585"/>
        <v>0</v>
      </c>
      <c r="DF429" s="171">
        <f t="shared" ca="1" si="586"/>
        <v>0</v>
      </c>
      <c r="DG429" s="171">
        <f t="shared" ca="1" si="587"/>
        <v>0</v>
      </c>
      <c r="DH429" s="171">
        <f t="shared" ca="1" si="588"/>
        <v>0</v>
      </c>
      <c r="DI429" s="171">
        <f t="shared" ca="1" si="589"/>
        <v>0</v>
      </c>
      <c r="DJ429" s="171">
        <f t="shared" ca="1" si="590"/>
        <v>0</v>
      </c>
      <c r="DK429" s="171">
        <f t="shared" ca="1" si="591"/>
        <v>0</v>
      </c>
      <c r="DL429" s="171">
        <f t="shared" ca="1" si="592"/>
        <v>0</v>
      </c>
      <c r="DM429" s="171">
        <f t="shared" ca="1" si="593"/>
        <v>0</v>
      </c>
      <c r="DN429" s="171">
        <f t="shared" ca="1" si="594"/>
        <v>0</v>
      </c>
      <c r="DO429" s="171">
        <f t="shared" ca="1" si="595"/>
        <v>0</v>
      </c>
      <c r="DP429" s="171">
        <f t="shared" ca="1" si="596"/>
        <v>0</v>
      </c>
      <c r="DQ429" s="171">
        <f t="shared" ca="1" si="597"/>
        <v>0</v>
      </c>
      <c r="DR429" s="171">
        <f t="shared" ca="1" si="598"/>
        <v>0</v>
      </c>
      <c r="DS429" s="171">
        <f t="shared" ca="1" si="599"/>
        <v>0</v>
      </c>
      <c r="DT429" s="171">
        <f t="shared" ca="1" si="600"/>
        <v>0</v>
      </c>
      <c r="DU429" s="171">
        <f t="shared" ca="1" si="601"/>
        <v>0</v>
      </c>
      <c r="DV429" s="171">
        <f t="shared" ca="1" si="602"/>
        <v>0</v>
      </c>
      <c r="DW429" s="171">
        <f t="shared" ca="1" si="603"/>
        <v>0</v>
      </c>
      <c r="DX429" s="171">
        <f t="shared" ca="1" si="604"/>
        <v>0</v>
      </c>
      <c r="DY429" s="171">
        <f t="shared" ca="1" si="605"/>
        <v>0</v>
      </c>
      <c r="DZ429" s="171">
        <f t="shared" ca="1" si="606"/>
        <v>0</v>
      </c>
      <c r="EA429" s="171">
        <f t="shared" ca="1" si="607"/>
        <v>0</v>
      </c>
      <c r="EB429" s="171">
        <f t="shared" ca="1" si="608"/>
        <v>0</v>
      </c>
      <c r="EC429" s="171">
        <f t="shared" ca="1" si="609"/>
        <v>0</v>
      </c>
      <c r="ED429" s="171">
        <f t="shared" ca="1" si="610"/>
        <v>0</v>
      </c>
      <c r="EE429" s="171">
        <f t="shared" ca="1" si="611"/>
        <v>0</v>
      </c>
      <c r="EF429" s="171">
        <f t="shared" ca="1" si="612"/>
        <v>0</v>
      </c>
      <c r="EG429" s="171">
        <f t="shared" ca="1" si="613"/>
        <v>0</v>
      </c>
      <c r="EH429" s="171">
        <f t="shared" ca="1" si="614"/>
        <v>0</v>
      </c>
      <c r="EI429" s="171">
        <f t="shared" ca="1" si="615"/>
        <v>0</v>
      </c>
      <c r="EJ429" s="171">
        <f t="shared" ca="1" si="616"/>
        <v>0</v>
      </c>
      <c r="EK429" s="171">
        <f t="shared" ca="1" si="617"/>
        <v>0</v>
      </c>
      <c r="EL429" s="171">
        <f t="shared" ca="1" si="618"/>
        <v>0</v>
      </c>
      <c r="EM429" s="171">
        <f t="shared" ca="1" si="619"/>
        <v>0</v>
      </c>
      <c r="EN429" s="171">
        <f t="shared" ca="1" si="620"/>
        <v>0</v>
      </c>
      <c r="EO429" s="171">
        <f t="shared" ca="1" si="621"/>
        <v>0</v>
      </c>
      <c r="EP429" s="171">
        <f t="shared" ca="1" si="622"/>
        <v>0</v>
      </c>
      <c r="EQ429" s="171">
        <f t="shared" ca="1" si="623"/>
        <v>0</v>
      </c>
      <c r="ER429" s="171">
        <f t="shared" ca="1" si="624"/>
        <v>0</v>
      </c>
      <c r="ES429" s="171">
        <f t="shared" ca="1" si="625"/>
        <v>0</v>
      </c>
    </row>
    <row r="430" spans="3:149">
      <c r="C430" s="214"/>
      <c r="L430" s="163"/>
      <c r="M430" s="164" t="str">
        <f t="shared" si="550"/>
        <v/>
      </c>
      <c r="N430" s="164" t="str">
        <f t="shared" si="551"/>
        <v/>
      </c>
      <c r="O430" s="165" t="str">
        <f t="shared" si="552"/>
        <v/>
      </c>
      <c r="R430" s="168"/>
      <c r="U430" s="171">
        <f t="shared" si="553"/>
        <v>0</v>
      </c>
      <c r="V430" s="171">
        <f t="shared" ca="1" si="554"/>
        <v>0</v>
      </c>
      <c r="W430" s="171">
        <f t="shared" ca="1" si="555"/>
        <v>0</v>
      </c>
      <c r="X430" s="172">
        <f t="shared" si="556"/>
        <v>0</v>
      </c>
      <c r="Y430" s="172" t="str">
        <f t="shared" si="557"/>
        <v/>
      </c>
      <c r="Z430" s="173">
        <f t="shared" si="558"/>
        <v>0</v>
      </c>
      <c r="AA430" s="171">
        <f t="shared" si="656"/>
        <v>0</v>
      </c>
      <c r="AB430" s="171">
        <f t="shared" si="656"/>
        <v>0</v>
      </c>
      <c r="AC430" s="171">
        <f t="shared" si="656"/>
        <v>0</v>
      </c>
      <c r="AD430" s="171">
        <f t="shared" si="656"/>
        <v>0</v>
      </c>
      <c r="AE430" s="171">
        <f t="shared" si="656"/>
        <v>0</v>
      </c>
      <c r="AF430" s="171">
        <f t="shared" si="656"/>
        <v>0</v>
      </c>
      <c r="AG430" s="171">
        <f t="shared" si="656"/>
        <v>0</v>
      </c>
      <c r="AH430" s="171">
        <f t="shared" si="656"/>
        <v>0</v>
      </c>
      <c r="AI430" s="171">
        <f t="shared" si="656"/>
        <v>0</v>
      </c>
      <c r="AJ430" s="171">
        <f t="shared" si="656"/>
        <v>0</v>
      </c>
      <c r="AK430" s="171">
        <f t="shared" si="657"/>
        <v>0</v>
      </c>
      <c r="AL430" s="171">
        <f t="shared" si="657"/>
        <v>0</v>
      </c>
      <c r="AM430" s="171">
        <f t="shared" si="657"/>
        <v>0</v>
      </c>
      <c r="AN430" s="171">
        <f t="shared" si="657"/>
        <v>0</v>
      </c>
      <c r="AO430" s="171">
        <f t="shared" si="657"/>
        <v>0</v>
      </c>
      <c r="AP430" s="171">
        <f t="shared" si="657"/>
        <v>0</v>
      </c>
      <c r="AQ430" s="171">
        <f t="shared" si="657"/>
        <v>0</v>
      </c>
      <c r="AR430" s="171">
        <f t="shared" si="657"/>
        <v>0</v>
      </c>
      <c r="AS430" s="171">
        <f t="shared" si="657"/>
        <v>0</v>
      </c>
      <c r="AT430" s="171">
        <f t="shared" si="657"/>
        <v>0</v>
      </c>
      <c r="AU430" s="171">
        <f t="shared" si="658"/>
        <v>0</v>
      </c>
      <c r="AV430" s="171">
        <f t="shared" si="658"/>
        <v>0</v>
      </c>
      <c r="AW430" s="171">
        <f t="shared" si="658"/>
        <v>0</v>
      </c>
      <c r="AX430" s="171">
        <f t="shared" si="658"/>
        <v>0</v>
      </c>
      <c r="AY430" s="171">
        <f t="shared" si="658"/>
        <v>0</v>
      </c>
      <c r="AZ430" s="171">
        <f t="shared" si="658"/>
        <v>0</v>
      </c>
      <c r="BA430" s="171">
        <f t="shared" si="658"/>
        <v>0</v>
      </c>
      <c r="BB430" s="171">
        <f t="shared" si="658"/>
        <v>0</v>
      </c>
      <c r="BC430" s="171">
        <f t="shared" si="658"/>
        <v>0</v>
      </c>
      <c r="BD430" s="171">
        <f t="shared" si="658"/>
        <v>0</v>
      </c>
      <c r="BE430" s="171">
        <f t="shared" si="659"/>
        <v>0</v>
      </c>
      <c r="BF430" s="171">
        <f t="shared" si="659"/>
        <v>0</v>
      </c>
      <c r="BG430" s="171">
        <f t="shared" si="659"/>
        <v>0</v>
      </c>
      <c r="BH430" s="171">
        <f t="shared" si="659"/>
        <v>0</v>
      </c>
      <c r="BI430" s="171">
        <f t="shared" si="659"/>
        <v>0</v>
      </c>
      <c r="BJ430" s="171">
        <f t="shared" si="659"/>
        <v>0</v>
      </c>
      <c r="BK430" s="171">
        <f t="shared" si="659"/>
        <v>0</v>
      </c>
      <c r="BL430" s="171">
        <f t="shared" si="659"/>
        <v>0</v>
      </c>
      <c r="BM430" s="171">
        <f t="shared" si="659"/>
        <v>0</v>
      </c>
      <c r="BN430" s="171">
        <f t="shared" si="659"/>
        <v>0</v>
      </c>
      <c r="BO430" s="171">
        <f t="shared" si="660"/>
        <v>0</v>
      </c>
      <c r="BP430" s="171">
        <f t="shared" si="660"/>
        <v>0</v>
      </c>
      <c r="BQ430" s="171">
        <f t="shared" si="660"/>
        <v>0</v>
      </c>
      <c r="BR430" s="171">
        <f t="shared" si="660"/>
        <v>0</v>
      </c>
      <c r="BS430" s="171">
        <f t="shared" si="660"/>
        <v>0</v>
      </c>
      <c r="BT430" s="171">
        <f t="shared" si="660"/>
        <v>0</v>
      </c>
      <c r="BU430" s="171">
        <f t="shared" si="660"/>
        <v>0</v>
      </c>
      <c r="BV430" s="171">
        <f t="shared" si="660"/>
        <v>0</v>
      </c>
      <c r="BW430" s="171">
        <f t="shared" si="660"/>
        <v>0</v>
      </c>
      <c r="BX430" s="171">
        <f t="shared" si="660"/>
        <v>0</v>
      </c>
      <c r="BY430" s="171">
        <f t="shared" si="661"/>
        <v>0</v>
      </c>
      <c r="BZ430" s="171">
        <f t="shared" si="661"/>
        <v>0</v>
      </c>
      <c r="CA430" s="171">
        <f t="shared" si="661"/>
        <v>0</v>
      </c>
      <c r="CB430" s="171">
        <f t="shared" si="661"/>
        <v>0</v>
      </c>
      <c r="CC430" s="171">
        <f t="shared" si="661"/>
        <v>0</v>
      </c>
      <c r="CD430" s="171">
        <f t="shared" si="661"/>
        <v>0</v>
      </c>
      <c r="CE430" s="171">
        <f t="shared" si="661"/>
        <v>0</v>
      </c>
      <c r="CF430" s="171">
        <f t="shared" si="661"/>
        <v>0</v>
      </c>
      <c r="CG430" s="171">
        <f t="shared" si="661"/>
        <v>0</v>
      </c>
      <c r="CH430" s="171">
        <f t="shared" si="661"/>
        <v>0</v>
      </c>
      <c r="CI430" s="171">
        <f t="shared" si="661"/>
        <v>0</v>
      </c>
      <c r="CJ430" s="243"/>
      <c r="CK430" s="171">
        <f t="shared" si="565"/>
        <v>0</v>
      </c>
      <c r="CL430" s="171">
        <f t="shared" si="566"/>
        <v>0</v>
      </c>
      <c r="CM430" s="171">
        <f t="shared" si="567"/>
        <v>0</v>
      </c>
      <c r="CN430" s="171">
        <f t="shared" si="568"/>
        <v>0</v>
      </c>
      <c r="CO430" s="171">
        <f t="shared" si="569"/>
        <v>0</v>
      </c>
      <c r="CP430" s="171">
        <f t="shared" si="570"/>
        <v>0</v>
      </c>
      <c r="CQ430" s="171">
        <f t="shared" si="571"/>
        <v>0</v>
      </c>
      <c r="CR430" s="171">
        <f t="shared" si="572"/>
        <v>0</v>
      </c>
      <c r="CS430" s="171">
        <f t="shared" si="573"/>
        <v>0</v>
      </c>
      <c r="CT430" s="171">
        <f t="shared" si="574"/>
        <v>0</v>
      </c>
      <c r="CU430" s="171">
        <f t="shared" si="575"/>
        <v>0</v>
      </c>
      <c r="CV430" s="171">
        <f t="shared" si="576"/>
        <v>0</v>
      </c>
      <c r="CW430" s="171">
        <f t="shared" si="577"/>
        <v>0</v>
      </c>
      <c r="CX430" s="171">
        <f t="shared" si="578"/>
        <v>0</v>
      </c>
      <c r="CY430" s="171">
        <f t="shared" ca="1" si="579"/>
        <v>0</v>
      </c>
      <c r="CZ430" s="171">
        <f t="shared" ca="1" si="580"/>
        <v>0</v>
      </c>
      <c r="DA430" s="171">
        <f t="shared" ca="1" si="581"/>
        <v>0</v>
      </c>
      <c r="DB430" s="171">
        <f t="shared" ca="1" si="582"/>
        <v>0</v>
      </c>
      <c r="DC430" s="171">
        <f t="shared" ca="1" si="583"/>
        <v>0</v>
      </c>
      <c r="DD430" s="171">
        <f t="shared" ca="1" si="584"/>
        <v>0</v>
      </c>
      <c r="DE430" s="171">
        <f t="shared" ca="1" si="585"/>
        <v>0</v>
      </c>
      <c r="DF430" s="171">
        <f t="shared" ca="1" si="586"/>
        <v>0</v>
      </c>
      <c r="DG430" s="171">
        <f t="shared" ca="1" si="587"/>
        <v>0</v>
      </c>
      <c r="DH430" s="171">
        <f t="shared" ca="1" si="588"/>
        <v>0</v>
      </c>
      <c r="DI430" s="171">
        <f t="shared" ca="1" si="589"/>
        <v>0</v>
      </c>
      <c r="DJ430" s="171">
        <f t="shared" ca="1" si="590"/>
        <v>0</v>
      </c>
      <c r="DK430" s="171">
        <f t="shared" ca="1" si="591"/>
        <v>0</v>
      </c>
      <c r="DL430" s="171">
        <f t="shared" ca="1" si="592"/>
        <v>0</v>
      </c>
      <c r="DM430" s="171">
        <f t="shared" ca="1" si="593"/>
        <v>0</v>
      </c>
      <c r="DN430" s="171">
        <f t="shared" ca="1" si="594"/>
        <v>0</v>
      </c>
      <c r="DO430" s="171">
        <f t="shared" ca="1" si="595"/>
        <v>0</v>
      </c>
      <c r="DP430" s="171">
        <f t="shared" ca="1" si="596"/>
        <v>0</v>
      </c>
      <c r="DQ430" s="171">
        <f t="shared" ca="1" si="597"/>
        <v>0</v>
      </c>
      <c r="DR430" s="171">
        <f t="shared" ca="1" si="598"/>
        <v>0</v>
      </c>
      <c r="DS430" s="171">
        <f t="shared" ca="1" si="599"/>
        <v>0</v>
      </c>
      <c r="DT430" s="171">
        <f t="shared" ca="1" si="600"/>
        <v>0</v>
      </c>
      <c r="DU430" s="171">
        <f t="shared" ca="1" si="601"/>
        <v>0</v>
      </c>
      <c r="DV430" s="171">
        <f t="shared" ca="1" si="602"/>
        <v>0</v>
      </c>
      <c r="DW430" s="171">
        <f t="shared" ca="1" si="603"/>
        <v>0</v>
      </c>
      <c r="DX430" s="171">
        <f t="shared" ca="1" si="604"/>
        <v>0</v>
      </c>
      <c r="DY430" s="171">
        <f t="shared" ca="1" si="605"/>
        <v>0</v>
      </c>
      <c r="DZ430" s="171">
        <f t="shared" ca="1" si="606"/>
        <v>0</v>
      </c>
      <c r="EA430" s="171">
        <f t="shared" ca="1" si="607"/>
        <v>0</v>
      </c>
      <c r="EB430" s="171">
        <f t="shared" ca="1" si="608"/>
        <v>0</v>
      </c>
      <c r="EC430" s="171">
        <f t="shared" ca="1" si="609"/>
        <v>0</v>
      </c>
      <c r="ED430" s="171">
        <f t="shared" ca="1" si="610"/>
        <v>0</v>
      </c>
      <c r="EE430" s="171">
        <f t="shared" ca="1" si="611"/>
        <v>0</v>
      </c>
      <c r="EF430" s="171">
        <f t="shared" ca="1" si="612"/>
        <v>0</v>
      </c>
      <c r="EG430" s="171">
        <f t="shared" ca="1" si="613"/>
        <v>0</v>
      </c>
      <c r="EH430" s="171">
        <f t="shared" ca="1" si="614"/>
        <v>0</v>
      </c>
      <c r="EI430" s="171">
        <f t="shared" ca="1" si="615"/>
        <v>0</v>
      </c>
      <c r="EJ430" s="171">
        <f t="shared" ca="1" si="616"/>
        <v>0</v>
      </c>
      <c r="EK430" s="171">
        <f t="shared" ca="1" si="617"/>
        <v>0</v>
      </c>
      <c r="EL430" s="171">
        <f t="shared" ca="1" si="618"/>
        <v>0</v>
      </c>
      <c r="EM430" s="171">
        <f t="shared" ca="1" si="619"/>
        <v>0</v>
      </c>
      <c r="EN430" s="171">
        <f t="shared" ca="1" si="620"/>
        <v>0</v>
      </c>
      <c r="EO430" s="171">
        <f t="shared" ca="1" si="621"/>
        <v>0</v>
      </c>
      <c r="EP430" s="171">
        <f t="shared" ca="1" si="622"/>
        <v>0</v>
      </c>
      <c r="EQ430" s="171">
        <f t="shared" ca="1" si="623"/>
        <v>0</v>
      </c>
      <c r="ER430" s="171">
        <f t="shared" ca="1" si="624"/>
        <v>0</v>
      </c>
      <c r="ES430" s="171">
        <f t="shared" ca="1" si="625"/>
        <v>0</v>
      </c>
    </row>
    <row r="431" spans="3:149">
      <c r="C431" s="214"/>
      <c r="L431" s="163"/>
      <c r="M431" s="164" t="str">
        <f t="shared" si="550"/>
        <v/>
      </c>
      <c r="N431" s="164" t="str">
        <f t="shared" si="551"/>
        <v/>
      </c>
      <c r="O431" s="165" t="str">
        <f t="shared" si="552"/>
        <v/>
      </c>
      <c r="R431" s="168"/>
      <c r="U431" s="171">
        <f t="shared" si="553"/>
        <v>0</v>
      </c>
      <c r="V431" s="171">
        <f t="shared" ca="1" si="554"/>
        <v>0</v>
      </c>
      <c r="W431" s="171">
        <f t="shared" ca="1" si="555"/>
        <v>0</v>
      </c>
      <c r="X431" s="172">
        <f t="shared" si="556"/>
        <v>0</v>
      </c>
      <c r="Y431" s="172" t="str">
        <f t="shared" si="557"/>
        <v/>
      </c>
      <c r="Z431" s="173">
        <f t="shared" si="558"/>
        <v>0</v>
      </c>
      <c r="AA431" s="171">
        <f t="shared" si="656"/>
        <v>0</v>
      </c>
      <c r="AB431" s="171">
        <f t="shared" si="656"/>
        <v>0</v>
      </c>
      <c r="AC431" s="171">
        <f t="shared" si="656"/>
        <v>0</v>
      </c>
      <c r="AD431" s="171">
        <f t="shared" si="656"/>
        <v>0</v>
      </c>
      <c r="AE431" s="171">
        <f t="shared" si="656"/>
        <v>0</v>
      </c>
      <c r="AF431" s="171">
        <f t="shared" si="656"/>
        <v>0</v>
      </c>
      <c r="AG431" s="171">
        <f t="shared" si="656"/>
        <v>0</v>
      </c>
      <c r="AH431" s="171">
        <f t="shared" si="656"/>
        <v>0</v>
      </c>
      <c r="AI431" s="171">
        <f t="shared" si="656"/>
        <v>0</v>
      </c>
      <c r="AJ431" s="171">
        <f t="shared" si="656"/>
        <v>0</v>
      </c>
      <c r="AK431" s="171">
        <f t="shared" si="657"/>
        <v>0</v>
      </c>
      <c r="AL431" s="171">
        <f t="shared" si="657"/>
        <v>0</v>
      </c>
      <c r="AM431" s="171">
        <f t="shared" si="657"/>
        <v>0</v>
      </c>
      <c r="AN431" s="171">
        <f t="shared" si="657"/>
        <v>0</v>
      </c>
      <c r="AO431" s="171">
        <f t="shared" si="657"/>
        <v>0</v>
      </c>
      <c r="AP431" s="171">
        <f t="shared" si="657"/>
        <v>0</v>
      </c>
      <c r="AQ431" s="171">
        <f t="shared" si="657"/>
        <v>0</v>
      </c>
      <c r="AR431" s="171">
        <f t="shared" si="657"/>
        <v>0</v>
      </c>
      <c r="AS431" s="171">
        <f t="shared" si="657"/>
        <v>0</v>
      </c>
      <c r="AT431" s="171">
        <f t="shared" si="657"/>
        <v>0</v>
      </c>
      <c r="AU431" s="171">
        <f t="shared" si="658"/>
        <v>0</v>
      </c>
      <c r="AV431" s="171">
        <f t="shared" si="658"/>
        <v>0</v>
      </c>
      <c r="AW431" s="171">
        <f t="shared" si="658"/>
        <v>0</v>
      </c>
      <c r="AX431" s="171">
        <f t="shared" si="658"/>
        <v>0</v>
      </c>
      <c r="AY431" s="171">
        <f t="shared" si="658"/>
        <v>0</v>
      </c>
      <c r="AZ431" s="171">
        <f t="shared" si="658"/>
        <v>0</v>
      </c>
      <c r="BA431" s="171">
        <f t="shared" si="658"/>
        <v>0</v>
      </c>
      <c r="BB431" s="171">
        <f t="shared" si="658"/>
        <v>0</v>
      </c>
      <c r="BC431" s="171">
        <f t="shared" si="658"/>
        <v>0</v>
      </c>
      <c r="BD431" s="171">
        <f t="shared" si="658"/>
        <v>0</v>
      </c>
      <c r="BE431" s="171">
        <f t="shared" si="659"/>
        <v>0</v>
      </c>
      <c r="BF431" s="171">
        <f t="shared" si="659"/>
        <v>0</v>
      </c>
      <c r="BG431" s="171">
        <f t="shared" si="659"/>
        <v>0</v>
      </c>
      <c r="BH431" s="171">
        <f t="shared" si="659"/>
        <v>0</v>
      </c>
      <c r="BI431" s="171">
        <f t="shared" si="659"/>
        <v>0</v>
      </c>
      <c r="BJ431" s="171">
        <f t="shared" si="659"/>
        <v>0</v>
      </c>
      <c r="BK431" s="171">
        <f t="shared" si="659"/>
        <v>0</v>
      </c>
      <c r="BL431" s="171">
        <f t="shared" si="659"/>
        <v>0</v>
      </c>
      <c r="BM431" s="171">
        <f t="shared" si="659"/>
        <v>0</v>
      </c>
      <c r="BN431" s="171">
        <f t="shared" si="659"/>
        <v>0</v>
      </c>
      <c r="BO431" s="171">
        <f t="shared" si="660"/>
        <v>0</v>
      </c>
      <c r="BP431" s="171">
        <f t="shared" si="660"/>
        <v>0</v>
      </c>
      <c r="BQ431" s="171">
        <f t="shared" si="660"/>
        <v>0</v>
      </c>
      <c r="BR431" s="171">
        <f t="shared" si="660"/>
        <v>0</v>
      </c>
      <c r="BS431" s="171">
        <f t="shared" si="660"/>
        <v>0</v>
      </c>
      <c r="BT431" s="171">
        <f t="shared" si="660"/>
        <v>0</v>
      </c>
      <c r="BU431" s="171">
        <f t="shared" si="660"/>
        <v>0</v>
      </c>
      <c r="BV431" s="171">
        <f t="shared" si="660"/>
        <v>0</v>
      </c>
      <c r="BW431" s="171">
        <f t="shared" si="660"/>
        <v>0</v>
      </c>
      <c r="BX431" s="171">
        <f t="shared" si="660"/>
        <v>0</v>
      </c>
      <c r="BY431" s="171">
        <f t="shared" si="661"/>
        <v>0</v>
      </c>
      <c r="BZ431" s="171">
        <f t="shared" si="661"/>
        <v>0</v>
      </c>
      <c r="CA431" s="171">
        <f t="shared" si="661"/>
        <v>0</v>
      </c>
      <c r="CB431" s="171">
        <f t="shared" si="661"/>
        <v>0</v>
      </c>
      <c r="CC431" s="171">
        <f t="shared" si="661"/>
        <v>0</v>
      </c>
      <c r="CD431" s="171">
        <f t="shared" si="661"/>
        <v>0</v>
      </c>
      <c r="CE431" s="171">
        <f t="shared" si="661"/>
        <v>0</v>
      </c>
      <c r="CF431" s="171">
        <f t="shared" si="661"/>
        <v>0</v>
      </c>
      <c r="CG431" s="171">
        <f t="shared" si="661"/>
        <v>0</v>
      </c>
      <c r="CH431" s="171">
        <f t="shared" si="661"/>
        <v>0</v>
      </c>
      <c r="CI431" s="171">
        <f t="shared" si="661"/>
        <v>0</v>
      </c>
      <c r="CJ431" s="243"/>
      <c r="CK431" s="171">
        <f t="shared" si="565"/>
        <v>0</v>
      </c>
      <c r="CL431" s="171">
        <f t="shared" si="566"/>
        <v>0</v>
      </c>
      <c r="CM431" s="171">
        <f t="shared" si="567"/>
        <v>0</v>
      </c>
      <c r="CN431" s="171">
        <f t="shared" si="568"/>
        <v>0</v>
      </c>
      <c r="CO431" s="171">
        <f t="shared" si="569"/>
        <v>0</v>
      </c>
      <c r="CP431" s="171">
        <f t="shared" si="570"/>
        <v>0</v>
      </c>
      <c r="CQ431" s="171">
        <f t="shared" si="571"/>
        <v>0</v>
      </c>
      <c r="CR431" s="171">
        <f t="shared" si="572"/>
        <v>0</v>
      </c>
      <c r="CS431" s="171">
        <f t="shared" si="573"/>
        <v>0</v>
      </c>
      <c r="CT431" s="171">
        <f t="shared" si="574"/>
        <v>0</v>
      </c>
      <c r="CU431" s="171">
        <f t="shared" si="575"/>
        <v>0</v>
      </c>
      <c r="CV431" s="171">
        <f t="shared" si="576"/>
        <v>0</v>
      </c>
      <c r="CW431" s="171">
        <f t="shared" si="577"/>
        <v>0</v>
      </c>
      <c r="CX431" s="171">
        <f t="shared" si="578"/>
        <v>0</v>
      </c>
      <c r="CY431" s="171">
        <f t="shared" ca="1" si="579"/>
        <v>0</v>
      </c>
      <c r="CZ431" s="171">
        <f t="shared" ca="1" si="580"/>
        <v>0</v>
      </c>
      <c r="DA431" s="171">
        <f t="shared" ca="1" si="581"/>
        <v>0</v>
      </c>
      <c r="DB431" s="171">
        <f t="shared" ca="1" si="582"/>
        <v>0</v>
      </c>
      <c r="DC431" s="171">
        <f t="shared" ca="1" si="583"/>
        <v>0</v>
      </c>
      <c r="DD431" s="171">
        <f t="shared" ca="1" si="584"/>
        <v>0</v>
      </c>
      <c r="DE431" s="171">
        <f t="shared" ca="1" si="585"/>
        <v>0</v>
      </c>
      <c r="DF431" s="171">
        <f t="shared" ca="1" si="586"/>
        <v>0</v>
      </c>
      <c r="DG431" s="171">
        <f t="shared" ca="1" si="587"/>
        <v>0</v>
      </c>
      <c r="DH431" s="171">
        <f t="shared" ca="1" si="588"/>
        <v>0</v>
      </c>
      <c r="DI431" s="171">
        <f t="shared" ca="1" si="589"/>
        <v>0</v>
      </c>
      <c r="DJ431" s="171">
        <f t="shared" ca="1" si="590"/>
        <v>0</v>
      </c>
      <c r="DK431" s="171">
        <f t="shared" ca="1" si="591"/>
        <v>0</v>
      </c>
      <c r="DL431" s="171">
        <f t="shared" ca="1" si="592"/>
        <v>0</v>
      </c>
      <c r="DM431" s="171">
        <f t="shared" ca="1" si="593"/>
        <v>0</v>
      </c>
      <c r="DN431" s="171">
        <f t="shared" ca="1" si="594"/>
        <v>0</v>
      </c>
      <c r="DO431" s="171">
        <f t="shared" ca="1" si="595"/>
        <v>0</v>
      </c>
      <c r="DP431" s="171">
        <f t="shared" ca="1" si="596"/>
        <v>0</v>
      </c>
      <c r="DQ431" s="171">
        <f t="shared" ca="1" si="597"/>
        <v>0</v>
      </c>
      <c r="DR431" s="171">
        <f t="shared" ca="1" si="598"/>
        <v>0</v>
      </c>
      <c r="DS431" s="171">
        <f t="shared" ca="1" si="599"/>
        <v>0</v>
      </c>
      <c r="DT431" s="171">
        <f t="shared" ca="1" si="600"/>
        <v>0</v>
      </c>
      <c r="DU431" s="171">
        <f t="shared" ca="1" si="601"/>
        <v>0</v>
      </c>
      <c r="DV431" s="171">
        <f t="shared" ca="1" si="602"/>
        <v>0</v>
      </c>
      <c r="DW431" s="171">
        <f t="shared" ca="1" si="603"/>
        <v>0</v>
      </c>
      <c r="DX431" s="171">
        <f t="shared" ca="1" si="604"/>
        <v>0</v>
      </c>
      <c r="DY431" s="171">
        <f t="shared" ca="1" si="605"/>
        <v>0</v>
      </c>
      <c r="DZ431" s="171">
        <f t="shared" ca="1" si="606"/>
        <v>0</v>
      </c>
      <c r="EA431" s="171">
        <f t="shared" ca="1" si="607"/>
        <v>0</v>
      </c>
      <c r="EB431" s="171">
        <f t="shared" ca="1" si="608"/>
        <v>0</v>
      </c>
      <c r="EC431" s="171">
        <f t="shared" ca="1" si="609"/>
        <v>0</v>
      </c>
      <c r="ED431" s="171">
        <f t="shared" ca="1" si="610"/>
        <v>0</v>
      </c>
      <c r="EE431" s="171">
        <f t="shared" ca="1" si="611"/>
        <v>0</v>
      </c>
      <c r="EF431" s="171">
        <f t="shared" ca="1" si="612"/>
        <v>0</v>
      </c>
      <c r="EG431" s="171">
        <f t="shared" ca="1" si="613"/>
        <v>0</v>
      </c>
      <c r="EH431" s="171">
        <f t="shared" ca="1" si="614"/>
        <v>0</v>
      </c>
      <c r="EI431" s="171">
        <f t="shared" ca="1" si="615"/>
        <v>0</v>
      </c>
      <c r="EJ431" s="171">
        <f t="shared" ca="1" si="616"/>
        <v>0</v>
      </c>
      <c r="EK431" s="171">
        <f t="shared" ca="1" si="617"/>
        <v>0</v>
      </c>
      <c r="EL431" s="171">
        <f t="shared" ca="1" si="618"/>
        <v>0</v>
      </c>
      <c r="EM431" s="171">
        <f t="shared" ca="1" si="619"/>
        <v>0</v>
      </c>
      <c r="EN431" s="171">
        <f t="shared" ca="1" si="620"/>
        <v>0</v>
      </c>
      <c r="EO431" s="171">
        <f t="shared" ca="1" si="621"/>
        <v>0</v>
      </c>
      <c r="EP431" s="171">
        <f t="shared" ca="1" si="622"/>
        <v>0</v>
      </c>
      <c r="EQ431" s="171">
        <f t="shared" ca="1" si="623"/>
        <v>0</v>
      </c>
      <c r="ER431" s="171">
        <f t="shared" ca="1" si="624"/>
        <v>0</v>
      </c>
      <c r="ES431" s="171">
        <f t="shared" ca="1" si="625"/>
        <v>0</v>
      </c>
    </row>
    <row r="432" spans="3:149">
      <c r="C432" s="214"/>
      <c r="L432" s="163"/>
      <c r="M432" s="164" t="str">
        <f t="shared" si="550"/>
        <v/>
      </c>
      <c r="N432" s="164" t="str">
        <f t="shared" si="551"/>
        <v/>
      </c>
      <c r="O432" s="165" t="str">
        <f t="shared" si="552"/>
        <v/>
      </c>
      <c r="R432" s="168"/>
      <c r="U432" s="171">
        <f t="shared" si="553"/>
        <v>0</v>
      </c>
      <c r="V432" s="171">
        <f t="shared" ca="1" si="554"/>
        <v>0</v>
      </c>
      <c r="W432" s="171">
        <f t="shared" ca="1" si="555"/>
        <v>0</v>
      </c>
      <c r="X432" s="172">
        <f t="shared" si="556"/>
        <v>0</v>
      </c>
      <c r="Y432" s="172" t="str">
        <f t="shared" si="557"/>
        <v/>
      </c>
      <c r="Z432" s="173">
        <f t="shared" si="558"/>
        <v>0</v>
      </c>
      <c r="AA432" s="171">
        <f t="shared" si="656"/>
        <v>0</v>
      </c>
      <c r="AB432" s="171">
        <f t="shared" si="656"/>
        <v>0</v>
      </c>
      <c r="AC432" s="171">
        <f t="shared" si="656"/>
        <v>0</v>
      </c>
      <c r="AD432" s="171">
        <f t="shared" si="656"/>
        <v>0</v>
      </c>
      <c r="AE432" s="171">
        <f t="shared" si="656"/>
        <v>0</v>
      </c>
      <c r="AF432" s="171">
        <f t="shared" si="656"/>
        <v>0</v>
      </c>
      <c r="AG432" s="171">
        <f t="shared" si="656"/>
        <v>0</v>
      </c>
      <c r="AH432" s="171">
        <f t="shared" si="656"/>
        <v>0</v>
      </c>
      <c r="AI432" s="171">
        <f t="shared" si="656"/>
        <v>0</v>
      </c>
      <c r="AJ432" s="171">
        <f t="shared" si="656"/>
        <v>0</v>
      </c>
      <c r="AK432" s="171">
        <f t="shared" si="657"/>
        <v>0</v>
      </c>
      <c r="AL432" s="171">
        <f t="shared" si="657"/>
        <v>0</v>
      </c>
      <c r="AM432" s="171">
        <f t="shared" si="657"/>
        <v>0</v>
      </c>
      <c r="AN432" s="171">
        <f t="shared" si="657"/>
        <v>0</v>
      </c>
      <c r="AO432" s="171">
        <f t="shared" si="657"/>
        <v>0</v>
      </c>
      <c r="AP432" s="171">
        <f t="shared" si="657"/>
        <v>0</v>
      </c>
      <c r="AQ432" s="171">
        <f t="shared" si="657"/>
        <v>0</v>
      </c>
      <c r="AR432" s="171">
        <f t="shared" si="657"/>
        <v>0</v>
      </c>
      <c r="AS432" s="171">
        <f t="shared" si="657"/>
        <v>0</v>
      </c>
      <c r="AT432" s="171">
        <f t="shared" si="657"/>
        <v>0</v>
      </c>
      <c r="AU432" s="171">
        <f t="shared" si="658"/>
        <v>0</v>
      </c>
      <c r="AV432" s="171">
        <f t="shared" si="658"/>
        <v>0</v>
      </c>
      <c r="AW432" s="171">
        <f t="shared" si="658"/>
        <v>0</v>
      </c>
      <c r="AX432" s="171">
        <f t="shared" si="658"/>
        <v>0</v>
      </c>
      <c r="AY432" s="171">
        <f t="shared" si="658"/>
        <v>0</v>
      </c>
      <c r="AZ432" s="171">
        <f t="shared" si="658"/>
        <v>0</v>
      </c>
      <c r="BA432" s="171">
        <f t="shared" si="658"/>
        <v>0</v>
      </c>
      <c r="BB432" s="171">
        <f t="shared" si="658"/>
        <v>0</v>
      </c>
      <c r="BC432" s="171">
        <f t="shared" si="658"/>
        <v>0</v>
      </c>
      <c r="BD432" s="171">
        <f t="shared" si="658"/>
        <v>0</v>
      </c>
      <c r="BE432" s="171">
        <f t="shared" si="659"/>
        <v>0</v>
      </c>
      <c r="BF432" s="171">
        <f t="shared" si="659"/>
        <v>0</v>
      </c>
      <c r="BG432" s="171">
        <f t="shared" si="659"/>
        <v>0</v>
      </c>
      <c r="BH432" s="171">
        <f t="shared" si="659"/>
        <v>0</v>
      </c>
      <c r="BI432" s="171">
        <f t="shared" si="659"/>
        <v>0</v>
      </c>
      <c r="BJ432" s="171">
        <f t="shared" si="659"/>
        <v>0</v>
      </c>
      <c r="BK432" s="171">
        <f t="shared" si="659"/>
        <v>0</v>
      </c>
      <c r="BL432" s="171">
        <f t="shared" si="659"/>
        <v>0</v>
      </c>
      <c r="BM432" s="171">
        <f t="shared" si="659"/>
        <v>0</v>
      </c>
      <c r="BN432" s="171">
        <f t="shared" si="659"/>
        <v>0</v>
      </c>
      <c r="BO432" s="171">
        <f t="shared" si="660"/>
        <v>0</v>
      </c>
      <c r="BP432" s="171">
        <f t="shared" si="660"/>
        <v>0</v>
      </c>
      <c r="BQ432" s="171">
        <f t="shared" si="660"/>
        <v>0</v>
      </c>
      <c r="BR432" s="171">
        <f t="shared" si="660"/>
        <v>0</v>
      </c>
      <c r="BS432" s="171">
        <f t="shared" si="660"/>
        <v>0</v>
      </c>
      <c r="BT432" s="171">
        <f t="shared" si="660"/>
        <v>0</v>
      </c>
      <c r="BU432" s="171">
        <f t="shared" si="660"/>
        <v>0</v>
      </c>
      <c r="BV432" s="171">
        <f t="shared" si="660"/>
        <v>0</v>
      </c>
      <c r="BW432" s="171">
        <f t="shared" si="660"/>
        <v>0</v>
      </c>
      <c r="BX432" s="171">
        <f t="shared" si="660"/>
        <v>0</v>
      </c>
      <c r="BY432" s="171">
        <f t="shared" si="661"/>
        <v>0</v>
      </c>
      <c r="BZ432" s="171">
        <f t="shared" si="661"/>
        <v>0</v>
      </c>
      <c r="CA432" s="171">
        <f t="shared" si="661"/>
        <v>0</v>
      </c>
      <c r="CB432" s="171">
        <f t="shared" si="661"/>
        <v>0</v>
      </c>
      <c r="CC432" s="171">
        <f t="shared" si="661"/>
        <v>0</v>
      </c>
      <c r="CD432" s="171">
        <f t="shared" si="661"/>
        <v>0</v>
      </c>
      <c r="CE432" s="171">
        <f t="shared" si="661"/>
        <v>0</v>
      </c>
      <c r="CF432" s="171">
        <f t="shared" si="661"/>
        <v>0</v>
      </c>
      <c r="CG432" s="171">
        <f t="shared" si="661"/>
        <v>0</v>
      </c>
      <c r="CH432" s="171">
        <f t="shared" si="661"/>
        <v>0</v>
      </c>
      <c r="CI432" s="171">
        <f t="shared" si="661"/>
        <v>0</v>
      </c>
      <c r="CJ432" s="243"/>
      <c r="CK432" s="171">
        <f t="shared" si="565"/>
        <v>0</v>
      </c>
      <c r="CL432" s="171">
        <f t="shared" si="566"/>
        <v>0</v>
      </c>
      <c r="CM432" s="171">
        <f t="shared" si="567"/>
        <v>0</v>
      </c>
      <c r="CN432" s="171">
        <f t="shared" si="568"/>
        <v>0</v>
      </c>
      <c r="CO432" s="171">
        <f t="shared" si="569"/>
        <v>0</v>
      </c>
      <c r="CP432" s="171">
        <f t="shared" si="570"/>
        <v>0</v>
      </c>
      <c r="CQ432" s="171">
        <f t="shared" si="571"/>
        <v>0</v>
      </c>
      <c r="CR432" s="171">
        <f t="shared" si="572"/>
        <v>0</v>
      </c>
      <c r="CS432" s="171">
        <f t="shared" si="573"/>
        <v>0</v>
      </c>
      <c r="CT432" s="171">
        <f t="shared" si="574"/>
        <v>0</v>
      </c>
      <c r="CU432" s="171">
        <f t="shared" si="575"/>
        <v>0</v>
      </c>
      <c r="CV432" s="171">
        <f t="shared" si="576"/>
        <v>0</v>
      </c>
      <c r="CW432" s="171">
        <f t="shared" si="577"/>
        <v>0</v>
      </c>
      <c r="CX432" s="171">
        <f t="shared" si="578"/>
        <v>0</v>
      </c>
      <c r="CY432" s="171">
        <f t="shared" ca="1" si="579"/>
        <v>0</v>
      </c>
      <c r="CZ432" s="171">
        <f t="shared" ca="1" si="580"/>
        <v>0</v>
      </c>
      <c r="DA432" s="171">
        <f t="shared" ca="1" si="581"/>
        <v>0</v>
      </c>
      <c r="DB432" s="171">
        <f t="shared" ca="1" si="582"/>
        <v>0</v>
      </c>
      <c r="DC432" s="171">
        <f t="shared" ca="1" si="583"/>
        <v>0</v>
      </c>
      <c r="DD432" s="171">
        <f t="shared" ca="1" si="584"/>
        <v>0</v>
      </c>
      <c r="DE432" s="171">
        <f t="shared" ca="1" si="585"/>
        <v>0</v>
      </c>
      <c r="DF432" s="171">
        <f t="shared" ca="1" si="586"/>
        <v>0</v>
      </c>
      <c r="DG432" s="171">
        <f t="shared" ca="1" si="587"/>
        <v>0</v>
      </c>
      <c r="DH432" s="171">
        <f t="shared" ca="1" si="588"/>
        <v>0</v>
      </c>
      <c r="DI432" s="171">
        <f t="shared" ca="1" si="589"/>
        <v>0</v>
      </c>
      <c r="DJ432" s="171">
        <f t="shared" ca="1" si="590"/>
        <v>0</v>
      </c>
      <c r="DK432" s="171">
        <f t="shared" ca="1" si="591"/>
        <v>0</v>
      </c>
      <c r="DL432" s="171">
        <f t="shared" ca="1" si="592"/>
        <v>0</v>
      </c>
      <c r="DM432" s="171">
        <f t="shared" ca="1" si="593"/>
        <v>0</v>
      </c>
      <c r="DN432" s="171">
        <f t="shared" ca="1" si="594"/>
        <v>0</v>
      </c>
      <c r="DO432" s="171">
        <f t="shared" ca="1" si="595"/>
        <v>0</v>
      </c>
      <c r="DP432" s="171">
        <f t="shared" ca="1" si="596"/>
        <v>0</v>
      </c>
      <c r="DQ432" s="171">
        <f t="shared" ca="1" si="597"/>
        <v>0</v>
      </c>
      <c r="DR432" s="171">
        <f t="shared" ca="1" si="598"/>
        <v>0</v>
      </c>
      <c r="DS432" s="171">
        <f t="shared" ca="1" si="599"/>
        <v>0</v>
      </c>
      <c r="DT432" s="171">
        <f t="shared" ca="1" si="600"/>
        <v>0</v>
      </c>
      <c r="DU432" s="171">
        <f t="shared" ca="1" si="601"/>
        <v>0</v>
      </c>
      <c r="DV432" s="171">
        <f t="shared" ca="1" si="602"/>
        <v>0</v>
      </c>
      <c r="DW432" s="171">
        <f t="shared" ca="1" si="603"/>
        <v>0</v>
      </c>
      <c r="DX432" s="171">
        <f t="shared" ca="1" si="604"/>
        <v>0</v>
      </c>
      <c r="DY432" s="171">
        <f t="shared" ca="1" si="605"/>
        <v>0</v>
      </c>
      <c r="DZ432" s="171">
        <f t="shared" ca="1" si="606"/>
        <v>0</v>
      </c>
      <c r="EA432" s="171">
        <f t="shared" ca="1" si="607"/>
        <v>0</v>
      </c>
      <c r="EB432" s="171">
        <f t="shared" ca="1" si="608"/>
        <v>0</v>
      </c>
      <c r="EC432" s="171">
        <f t="shared" ca="1" si="609"/>
        <v>0</v>
      </c>
      <c r="ED432" s="171">
        <f t="shared" ca="1" si="610"/>
        <v>0</v>
      </c>
      <c r="EE432" s="171">
        <f t="shared" ca="1" si="611"/>
        <v>0</v>
      </c>
      <c r="EF432" s="171">
        <f t="shared" ca="1" si="612"/>
        <v>0</v>
      </c>
      <c r="EG432" s="171">
        <f t="shared" ca="1" si="613"/>
        <v>0</v>
      </c>
      <c r="EH432" s="171">
        <f t="shared" ca="1" si="614"/>
        <v>0</v>
      </c>
      <c r="EI432" s="171">
        <f t="shared" ca="1" si="615"/>
        <v>0</v>
      </c>
      <c r="EJ432" s="171">
        <f t="shared" ca="1" si="616"/>
        <v>0</v>
      </c>
      <c r="EK432" s="171">
        <f t="shared" ca="1" si="617"/>
        <v>0</v>
      </c>
      <c r="EL432" s="171">
        <f t="shared" ca="1" si="618"/>
        <v>0</v>
      </c>
      <c r="EM432" s="171">
        <f t="shared" ca="1" si="619"/>
        <v>0</v>
      </c>
      <c r="EN432" s="171">
        <f t="shared" ca="1" si="620"/>
        <v>0</v>
      </c>
      <c r="EO432" s="171">
        <f t="shared" ca="1" si="621"/>
        <v>0</v>
      </c>
      <c r="EP432" s="171">
        <f t="shared" ca="1" si="622"/>
        <v>0</v>
      </c>
      <c r="EQ432" s="171">
        <f t="shared" ca="1" si="623"/>
        <v>0</v>
      </c>
      <c r="ER432" s="171">
        <f t="shared" ca="1" si="624"/>
        <v>0</v>
      </c>
      <c r="ES432" s="171">
        <f t="shared" ca="1" si="625"/>
        <v>0</v>
      </c>
    </row>
    <row r="433" spans="3:149">
      <c r="C433" s="214"/>
      <c r="L433" s="163"/>
      <c r="M433" s="164" t="str">
        <f t="shared" ref="M433:M496" si="662">IFERROR(K433*HLOOKUP(E433,$C$37:$BL$39,3,FALSE)/VLOOKUP(L433,$C$37:$BJ$44,MATCH(E433,$C$37:$BL$37,0),FALSE),"")</f>
        <v/>
      </c>
      <c r="N433" s="164" t="str">
        <f t="shared" ref="N433:N496" si="663">IFERROR(K433*HLOOKUP(E433,$C$37:$BL$39,2,FALSE)/VLOOKUP(L433,$C$37:$BJ$44,MATCH(E433,$C$37:$BL$37,0),FALSE),"")</f>
        <v/>
      </c>
      <c r="O433" s="165" t="str">
        <f t="shared" ref="O433:O496" si="664">IFERROR(IF($B$5="Foreign Currency",HLOOKUP(E433,$D$37:$BL$39,2,FALSE)/VLOOKUP(L433,$C$38:$BJ$44,MATCH(E433,$C$37:$BL$37,0),FALSE),HLOOKUP(E433,$D$37:$BL$39,3,FALSE)/VLOOKUP(L433,$C$38:$BJ$44,MATCH(E433,$C$37:$BL$37,0),FALSE)),"")</f>
        <v/>
      </c>
      <c r="R433" s="168"/>
      <c r="U433" s="171">
        <f t="shared" ref="U433:U496" si="665">IFERROR(SUM(AA433:CI433)/(Q433), 0)</f>
        <v>0</v>
      </c>
      <c r="V433" s="171">
        <f t="shared" ref="V433:V496" ca="1" si="666">IFERROR(SUM(CK433:ES433)/(Q433),0)</f>
        <v>0</v>
      </c>
      <c r="W433" s="171">
        <f t="shared" ref="W433:W496" ca="1" si="667">SUM(CK433:ES433)</f>
        <v>0</v>
      </c>
      <c r="X433" s="172">
        <f t="shared" ref="X433:X496" si="668">IFERROR(IF(T433="Equity", "Equity", 1-Y433), 0)</f>
        <v>0</v>
      </c>
      <c r="Y433" s="172" t="str">
        <f t="shared" ref="Y433:Y496" si="669">IFERROR(IF(ISNUMBER(SEARCH("EPP",T433)),(1-((P433/$B$12)/(((1+$B$11)^(1/$B$12))-1)))  *  (1-  (((1/((1+((((1+$B$11)^(1/$B$12))-1)))^($B$12*S433)))-(1/((1+((((1+$B$11)^(1/$B$12))-1)))^($B$12*(Q433+S433)))))/(((((1+$B$11)^(1/$B$12))-1))*(($B$12*(Q433+S433))-($B$12*S433))))),IF(ISNUMBER(SEARCH("Lump",T433)),(1-((1+P433*(Q433+S433))/((1+$B$11)^(Q433+S433)))),IF((T433="Equity"),"Equity",""))),"ERROR")</f>
        <v/>
      </c>
      <c r="Z433" s="173">
        <f t="shared" ref="Z433:Z496" si="670">SUM(AA433:CI433)</f>
        <v>0</v>
      </c>
      <c r="AA433" s="171">
        <f t="shared" si="656"/>
        <v>0</v>
      </c>
      <c r="AB433" s="171">
        <f t="shared" si="656"/>
        <v>0</v>
      </c>
      <c r="AC433" s="171">
        <f t="shared" si="656"/>
        <v>0</v>
      </c>
      <c r="AD433" s="171">
        <f t="shared" si="656"/>
        <v>0</v>
      </c>
      <c r="AE433" s="171">
        <f t="shared" si="656"/>
        <v>0</v>
      </c>
      <c r="AF433" s="171">
        <f t="shared" si="656"/>
        <v>0</v>
      </c>
      <c r="AG433" s="171">
        <f t="shared" si="656"/>
        <v>0</v>
      </c>
      <c r="AH433" s="171">
        <f t="shared" si="656"/>
        <v>0</v>
      </c>
      <c r="AI433" s="171">
        <f t="shared" si="656"/>
        <v>0</v>
      </c>
      <c r="AJ433" s="171">
        <f t="shared" si="656"/>
        <v>0</v>
      </c>
      <c r="AK433" s="171">
        <f t="shared" si="657"/>
        <v>0</v>
      </c>
      <c r="AL433" s="171">
        <f t="shared" si="657"/>
        <v>0</v>
      </c>
      <c r="AM433" s="171">
        <f t="shared" si="657"/>
        <v>0</v>
      </c>
      <c r="AN433" s="171">
        <f t="shared" si="657"/>
        <v>0</v>
      </c>
      <c r="AO433" s="171">
        <f t="shared" si="657"/>
        <v>0</v>
      </c>
      <c r="AP433" s="171">
        <f t="shared" si="657"/>
        <v>0</v>
      </c>
      <c r="AQ433" s="171">
        <f t="shared" si="657"/>
        <v>0</v>
      </c>
      <c r="AR433" s="171">
        <f t="shared" si="657"/>
        <v>0</v>
      </c>
      <c r="AS433" s="171">
        <f t="shared" si="657"/>
        <v>0</v>
      </c>
      <c r="AT433" s="171">
        <f t="shared" si="657"/>
        <v>0</v>
      </c>
      <c r="AU433" s="171">
        <f t="shared" si="658"/>
        <v>0</v>
      </c>
      <c r="AV433" s="171">
        <f t="shared" si="658"/>
        <v>0</v>
      </c>
      <c r="AW433" s="171">
        <f t="shared" si="658"/>
        <v>0</v>
      </c>
      <c r="AX433" s="171">
        <f t="shared" si="658"/>
        <v>0</v>
      </c>
      <c r="AY433" s="171">
        <f t="shared" si="658"/>
        <v>0</v>
      </c>
      <c r="AZ433" s="171">
        <f t="shared" si="658"/>
        <v>0</v>
      </c>
      <c r="BA433" s="171">
        <f t="shared" si="658"/>
        <v>0</v>
      </c>
      <c r="BB433" s="171">
        <f t="shared" si="658"/>
        <v>0</v>
      </c>
      <c r="BC433" s="171">
        <f t="shared" si="658"/>
        <v>0</v>
      </c>
      <c r="BD433" s="171">
        <f t="shared" si="658"/>
        <v>0</v>
      </c>
      <c r="BE433" s="171">
        <f t="shared" si="659"/>
        <v>0</v>
      </c>
      <c r="BF433" s="171">
        <f t="shared" si="659"/>
        <v>0</v>
      </c>
      <c r="BG433" s="171">
        <f t="shared" si="659"/>
        <v>0</v>
      </c>
      <c r="BH433" s="171">
        <f t="shared" si="659"/>
        <v>0</v>
      </c>
      <c r="BI433" s="171">
        <f t="shared" si="659"/>
        <v>0</v>
      </c>
      <c r="BJ433" s="171">
        <f t="shared" si="659"/>
        <v>0</v>
      </c>
      <c r="BK433" s="171">
        <f t="shared" si="659"/>
        <v>0</v>
      </c>
      <c r="BL433" s="171">
        <f t="shared" si="659"/>
        <v>0</v>
      </c>
      <c r="BM433" s="171">
        <f t="shared" si="659"/>
        <v>0</v>
      </c>
      <c r="BN433" s="171">
        <f t="shared" si="659"/>
        <v>0</v>
      </c>
      <c r="BO433" s="171">
        <f t="shared" si="660"/>
        <v>0</v>
      </c>
      <c r="BP433" s="171">
        <f t="shared" si="660"/>
        <v>0</v>
      </c>
      <c r="BQ433" s="171">
        <f t="shared" si="660"/>
        <v>0</v>
      </c>
      <c r="BR433" s="171">
        <f t="shared" si="660"/>
        <v>0</v>
      </c>
      <c r="BS433" s="171">
        <f t="shared" si="660"/>
        <v>0</v>
      </c>
      <c r="BT433" s="171">
        <f t="shared" si="660"/>
        <v>0</v>
      </c>
      <c r="BU433" s="171">
        <f t="shared" si="660"/>
        <v>0</v>
      </c>
      <c r="BV433" s="171">
        <f t="shared" si="660"/>
        <v>0</v>
      </c>
      <c r="BW433" s="171">
        <f t="shared" si="660"/>
        <v>0</v>
      </c>
      <c r="BX433" s="171">
        <f t="shared" si="660"/>
        <v>0</v>
      </c>
      <c r="BY433" s="171">
        <f t="shared" si="661"/>
        <v>0</v>
      </c>
      <c r="BZ433" s="171">
        <f t="shared" si="661"/>
        <v>0</v>
      </c>
      <c r="CA433" s="171">
        <f t="shared" si="661"/>
        <v>0</v>
      </c>
      <c r="CB433" s="171">
        <f t="shared" si="661"/>
        <v>0</v>
      </c>
      <c r="CC433" s="171">
        <f t="shared" si="661"/>
        <v>0</v>
      </c>
      <c r="CD433" s="171">
        <f t="shared" si="661"/>
        <v>0</v>
      </c>
      <c r="CE433" s="171">
        <f t="shared" si="661"/>
        <v>0</v>
      </c>
      <c r="CF433" s="171">
        <f t="shared" si="661"/>
        <v>0</v>
      </c>
      <c r="CG433" s="171">
        <f t="shared" si="661"/>
        <v>0</v>
      </c>
      <c r="CH433" s="171">
        <f t="shared" si="661"/>
        <v>0</v>
      </c>
      <c r="CI433" s="171">
        <f t="shared" si="661"/>
        <v>0</v>
      </c>
      <c r="CJ433" s="243"/>
      <c r="CK433" s="171">
        <f t="shared" ref="CK433:CK496" si="671">IF(CK$48&lt;$B$9,AA433,AA433*((1/(1+$B$10))^(CK$48-$B$9+1)))</f>
        <v>0</v>
      </c>
      <c r="CL433" s="171">
        <f t="shared" ref="CL433:CL496" si="672">IF(CL$48&lt;$B$9,AB433,AB433*((1/(1+$B$10))^(CL$48-$B$9+1)))</f>
        <v>0</v>
      </c>
      <c r="CM433" s="171">
        <f t="shared" ref="CM433:CM496" si="673">IF(CM$48&lt;$B$9,AC433,AC433*((1/(1+$B$10))^(CM$48-$B$9+1)))</f>
        <v>0</v>
      </c>
      <c r="CN433" s="171">
        <f t="shared" ref="CN433:CN496" si="674">IF(CN$48&lt;$B$9,AD433,AD433*((1/(1+$B$10))^(CN$48-$B$9+1)))</f>
        <v>0</v>
      </c>
      <c r="CO433" s="171">
        <f t="shared" ref="CO433:CO496" si="675">IF(CO$48&lt;$B$9,AE433,AE433*((1/(1+$B$10))^(CO$48-$B$9+1)))</f>
        <v>0</v>
      </c>
      <c r="CP433" s="171">
        <f t="shared" ref="CP433:CP496" si="676">IF(CP$48&lt;$B$9,AF433,AF433*((1/(1+$B$10))^(CP$48-$B$9+1)))</f>
        <v>0</v>
      </c>
      <c r="CQ433" s="171">
        <f t="shared" ref="CQ433:CQ496" si="677">IF(CQ$48&lt;$B$9,AG433,AG433*((1/(1+$B$10))^(CQ$48-$B$9+1)))</f>
        <v>0</v>
      </c>
      <c r="CR433" s="171">
        <f t="shared" ref="CR433:CR496" si="678">IF(CR$48&lt;$B$9,AH433,AH433*((1/(1+$B$10))^(CR$48-$B$9+1)))</f>
        <v>0</v>
      </c>
      <c r="CS433" s="171">
        <f t="shared" ref="CS433:CS496" si="679">IF(CS$48&lt;$B$9,AI433,AI433*((1/(1+$B$10))^(CS$48-$B$9+1)))</f>
        <v>0</v>
      </c>
      <c r="CT433" s="171">
        <f t="shared" ref="CT433:CT496" si="680">IF(CT$48&lt;$B$9,AJ433,AJ433*((1/(1+$B$10))^(CT$48-$B$9+1)))</f>
        <v>0</v>
      </c>
      <c r="CU433" s="171">
        <f t="shared" ref="CU433:CU496" si="681">IF(CU$48&lt;$B$9,AK433,AK433*((1/(1+$B$10))^(CU$48-$B$9+1)))</f>
        <v>0</v>
      </c>
      <c r="CV433" s="171">
        <f t="shared" ref="CV433:CV496" si="682">IF(CV$48&lt;$B$9,AL433,AL433*((1/(1+$B$10))^(CV$48-$B$9+1)))</f>
        <v>0</v>
      </c>
      <c r="CW433" s="171">
        <f t="shared" ref="CW433:CW496" si="683">IF(CW$48&lt;$B$9,AM433,AM433*((1/(1+$B$10))^(CW$48-$B$9+1)))</f>
        <v>0</v>
      </c>
      <c r="CX433" s="171">
        <f t="shared" ref="CX433:CX496" si="684">IF(CX$48&lt;$B$9,AN433,AN433*((1/(1+$B$10))^(CX$48-$B$9+1)))</f>
        <v>0</v>
      </c>
      <c r="CY433" s="171">
        <f t="shared" ref="CY433:CY496" ca="1" si="685">IF(CY$48&lt;$B$9,AO433,AO433*((1/(1+$B$10))^(CY$48-$B$9+1)))</f>
        <v>0</v>
      </c>
      <c r="CZ433" s="171">
        <f t="shared" ref="CZ433:CZ496" ca="1" si="686">IF(CZ$48&lt;$B$9,AP433,AP433*((1/(1+$B$10))^(CZ$48-$B$9+1)))</f>
        <v>0</v>
      </c>
      <c r="DA433" s="171">
        <f t="shared" ref="DA433:DA496" ca="1" si="687">IF(DA$48&lt;$B$9,AQ433,AQ433*((1/(1+$B$10))^(DA$48-$B$9+1)))</f>
        <v>0</v>
      </c>
      <c r="DB433" s="171">
        <f t="shared" ref="DB433:DB496" ca="1" si="688">IF(DB$48&lt;$B$9,AR433,AR433*((1/(1+$B$10))^(DB$48-$B$9+1)))</f>
        <v>0</v>
      </c>
      <c r="DC433" s="171">
        <f t="shared" ref="DC433:DC496" ca="1" si="689">IF(DC$48&lt;$B$9,AS433,AS433*((1/(1+$B$10))^(DC$48-$B$9+1)))</f>
        <v>0</v>
      </c>
      <c r="DD433" s="171">
        <f t="shared" ref="DD433:DD496" ca="1" si="690">IF(DD$48&lt;$B$9,AT433,AT433*((1/(1+$B$10))^(DD$48-$B$9+1)))</f>
        <v>0</v>
      </c>
      <c r="DE433" s="171">
        <f t="shared" ref="DE433:DE496" ca="1" si="691">IF(DE$48&lt;$B$9,AU433,AU433*((1/(1+$B$10))^(DE$48-$B$9+1)))</f>
        <v>0</v>
      </c>
      <c r="DF433" s="171">
        <f t="shared" ref="DF433:DF496" ca="1" si="692">IF(DF$48&lt;$B$9,AV433,AV433*((1/(1+$B$10))^(DF$48-$B$9+1)))</f>
        <v>0</v>
      </c>
      <c r="DG433" s="171">
        <f t="shared" ref="DG433:DG496" ca="1" si="693">IF(DG$48&lt;$B$9,AW433,AW433*((1/(1+$B$10))^(DG$48-$B$9+1)))</f>
        <v>0</v>
      </c>
      <c r="DH433" s="171">
        <f t="shared" ref="DH433:DH496" ca="1" si="694">IF(DH$48&lt;$B$9,AX433,AX433*((1/(1+$B$10))^(DH$48-$B$9+1)))</f>
        <v>0</v>
      </c>
      <c r="DI433" s="171">
        <f t="shared" ref="DI433:DI496" ca="1" si="695">IF(DI$48&lt;$B$9,AY433,AY433*((1/(1+$B$10))^(DI$48-$B$9+1)))</f>
        <v>0</v>
      </c>
      <c r="DJ433" s="171">
        <f t="shared" ref="DJ433:DJ496" ca="1" si="696">IF(DJ$48&lt;$B$9,AZ433,AZ433*((1/(1+$B$10))^(DJ$48-$B$9+1)))</f>
        <v>0</v>
      </c>
      <c r="DK433" s="171">
        <f t="shared" ref="DK433:DK496" ca="1" si="697">IF(DK$48&lt;$B$9,BA433,BA433*((1/(1+$B$10))^(DK$48-$B$9+1)))</f>
        <v>0</v>
      </c>
      <c r="DL433" s="171">
        <f t="shared" ref="DL433:DL496" ca="1" si="698">IF(DL$48&lt;$B$9,BB433,BB433*((1/(1+$B$10))^(DL$48-$B$9+1)))</f>
        <v>0</v>
      </c>
      <c r="DM433" s="171">
        <f t="shared" ref="DM433:DM496" ca="1" si="699">IF(DM$48&lt;$B$9,BC433,BC433*((1/(1+$B$10))^(DM$48-$B$9+1)))</f>
        <v>0</v>
      </c>
      <c r="DN433" s="171">
        <f t="shared" ref="DN433:DN496" ca="1" si="700">IF(DN$48&lt;$B$9,BD433,BD433*((1/(1+$B$10))^(DN$48-$B$9+1)))</f>
        <v>0</v>
      </c>
      <c r="DO433" s="171">
        <f t="shared" ref="DO433:DO496" ca="1" si="701">IF(DO$48&lt;$B$9,BE433,BE433*((1/(1+$B$10))^(DO$48-$B$9+1)))</f>
        <v>0</v>
      </c>
      <c r="DP433" s="171">
        <f t="shared" ref="DP433:DP496" ca="1" si="702">IF(DP$48&lt;$B$9,BF433,BF433*((1/(1+$B$10))^(DP$48-$B$9+1)))</f>
        <v>0</v>
      </c>
      <c r="DQ433" s="171">
        <f t="shared" ref="DQ433:DQ496" ca="1" si="703">IF(DQ$48&lt;$B$9,BG433,BG433*((1/(1+$B$10))^(DQ$48-$B$9+1)))</f>
        <v>0</v>
      </c>
      <c r="DR433" s="171">
        <f t="shared" ref="DR433:DR496" ca="1" si="704">IF(DR$48&lt;$B$9,BH433,BH433*((1/(1+$B$10))^(DR$48-$B$9+1)))</f>
        <v>0</v>
      </c>
      <c r="DS433" s="171">
        <f t="shared" ref="DS433:DS496" ca="1" si="705">IF(DS$48&lt;$B$9,BI433,BI433*((1/(1+$B$10))^(DS$48-$B$9+1)))</f>
        <v>0</v>
      </c>
      <c r="DT433" s="171">
        <f t="shared" ref="DT433:DT496" ca="1" si="706">IF(DT$48&lt;$B$9,BJ433,BJ433*((1/(1+$B$10))^(DT$48-$B$9+1)))</f>
        <v>0</v>
      </c>
      <c r="DU433" s="171">
        <f t="shared" ref="DU433:DU496" ca="1" si="707">IF(DU$48&lt;$B$9,BK433,BK433*((1/(1+$B$10))^(DU$48-$B$9+1)))</f>
        <v>0</v>
      </c>
      <c r="DV433" s="171">
        <f t="shared" ref="DV433:DV496" ca="1" si="708">IF(DV$48&lt;$B$9,BL433,BL433*((1/(1+$B$10))^(DV$48-$B$9+1)))</f>
        <v>0</v>
      </c>
      <c r="DW433" s="171">
        <f t="shared" ref="DW433:DW496" ca="1" si="709">IF(DW$48&lt;$B$9,BM433,BM433*((1/(1+$B$10))^(DW$48-$B$9+1)))</f>
        <v>0</v>
      </c>
      <c r="DX433" s="171">
        <f t="shared" ref="DX433:DX496" ca="1" si="710">IF(DX$48&lt;$B$9,BN433,BN433*((1/(1+$B$10))^(DX$48-$B$9+1)))</f>
        <v>0</v>
      </c>
      <c r="DY433" s="171">
        <f t="shared" ref="DY433:DY496" ca="1" si="711">IF(DY$48&lt;$B$9,BO433,BO433*((1/(1+$B$10))^(DY$48-$B$9+1)))</f>
        <v>0</v>
      </c>
      <c r="DZ433" s="171">
        <f t="shared" ref="DZ433:DZ496" ca="1" si="712">IF(DZ$48&lt;$B$9,BP433,BP433*((1/(1+$B$10))^(DZ$48-$B$9+1)))</f>
        <v>0</v>
      </c>
      <c r="EA433" s="171">
        <f t="shared" ref="EA433:EA496" ca="1" si="713">IF(EA$48&lt;$B$9,BQ433,BQ433*((1/(1+$B$10))^(EA$48-$B$9+1)))</f>
        <v>0</v>
      </c>
      <c r="EB433" s="171">
        <f t="shared" ref="EB433:EB496" ca="1" si="714">IF(EB$48&lt;$B$9,BR433,BR433*((1/(1+$B$10))^(EB$48-$B$9+1)))</f>
        <v>0</v>
      </c>
      <c r="EC433" s="171">
        <f t="shared" ref="EC433:EC496" ca="1" si="715">IF(EC$48&lt;$B$9,BS433,BS433*((1/(1+$B$10))^(EC$48-$B$9+1)))</f>
        <v>0</v>
      </c>
      <c r="ED433" s="171">
        <f t="shared" ref="ED433:ED496" ca="1" si="716">IF(ED$48&lt;$B$9,BT433,BT433*((1/(1+$B$10))^(ED$48-$B$9+1)))</f>
        <v>0</v>
      </c>
      <c r="EE433" s="171">
        <f t="shared" ref="EE433:EE496" ca="1" si="717">IF(EE$48&lt;$B$9,BU433,BU433*((1/(1+$B$10))^(EE$48-$B$9+1)))</f>
        <v>0</v>
      </c>
      <c r="EF433" s="171">
        <f t="shared" ref="EF433:EF496" ca="1" si="718">IF(EF$48&lt;$B$9,BV433,BV433*((1/(1+$B$10))^(EF$48-$B$9+1)))</f>
        <v>0</v>
      </c>
      <c r="EG433" s="171">
        <f t="shared" ref="EG433:EG496" ca="1" si="719">IF(EG$48&lt;$B$9,BW433,BW433*((1/(1+$B$10))^(EG$48-$B$9+1)))</f>
        <v>0</v>
      </c>
      <c r="EH433" s="171">
        <f t="shared" ref="EH433:EH496" ca="1" si="720">IF(EH$48&lt;$B$9,BX433,BX433*((1/(1+$B$10))^(EH$48-$B$9+1)))</f>
        <v>0</v>
      </c>
      <c r="EI433" s="171">
        <f t="shared" ref="EI433:EI496" ca="1" si="721">IF(EI$48&lt;$B$9,BY433,BY433*((1/(1+$B$10))^(EI$48-$B$9+1)))</f>
        <v>0</v>
      </c>
      <c r="EJ433" s="171">
        <f t="shared" ref="EJ433:EJ496" ca="1" si="722">IF(EJ$48&lt;$B$9,BZ433,BZ433*((1/(1+$B$10))^(EJ$48-$B$9+1)))</f>
        <v>0</v>
      </c>
      <c r="EK433" s="171">
        <f t="shared" ref="EK433:EK496" ca="1" si="723">IF(EK$48&lt;$B$9,CA433,CA433*((1/(1+$B$10))^(EK$48-$B$9+1)))</f>
        <v>0</v>
      </c>
      <c r="EL433" s="171">
        <f t="shared" ref="EL433:EL496" ca="1" si="724">IF(EL$48&lt;$B$9,CB433,CB433*((1/(1+$B$10))^(EL$48-$B$9+1)))</f>
        <v>0</v>
      </c>
      <c r="EM433" s="171">
        <f t="shared" ref="EM433:EM496" ca="1" si="725">IF(EM$48&lt;$B$9,CC433,CC433*((1/(1+$B$10))^(EM$48-$B$9+1)))</f>
        <v>0</v>
      </c>
      <c r="EN433" s="171">
        <f t="shared" ref="EN433:EN496" ca="1" si="726">IF(EN$48&lt;$B$9,CD433,CD433*((1/(1+$B$10))^(EN$48-$B$9+1)))</f>
        <v>0</v>
      </c>
      <c r="EO433" s="171">
        <f t="shared" ref="EO433:EO496" ca="1" si="727">IF(EO$48&lt;$B$9,CE433,CE433*((1/(1+$B$10))^(EO$48-$B$9+1)))</f>
        <v>0</v>
      </c>
      <c r="EP433" s="171">
        <f t="shared" ref="EP433:EP496" ca="1" si="728">IF(EP$48&lt;$B$9,CF433,CF433*((1/(1+$B$10))^(EP$48-$B$9+1)))</f>
        <v>0</v>
      </c>
      <c r="EQ433" s="171">
        <f t="shared" ref="EQ433:EQ496" ca="1" si="729">IF(EQ$48&lt;$B$9,CG433,CG433*((1/(1+$B$10))^(EQ$48-$B$9+1)))</f>
        <v>0</v>
      </c>
      <c r="ER433" s="171">
        <f t="shared" ref="ER433:ER496" ca="1" si="730">IF(ER$48&lt;$B$9,CH433,CH433*((1/(1+$B$10))^(ER$48-$B$9+1)))</f>
        <v>0</v>
      </c>
      <c r="ES433" s="171">
        <f t="shared" ref="ES433:ES496" ca="1" si="731">IF(ES$48&lt;$B$9,CI433,CI433*((1/(1+$B$10))^(ES$48-$B$9+1)))</f>
        <v>0</v>
      </c>
    </row>
    <row r="434" spans="3:149">
      <c r="C434" s="214"/>
      <c r="L434" s="163"/>
      <c r="M434" s="164" t="str">
        <f t="shared" si="662"/>
        <v/>
      </c>
      <c r="N434" s="164" t="str">
        <f t="shared" si="663"/>
        <v/>
      </c>
      <c r="O434" s="165" t="str">
        <f t="shared" si="664"/>
        <v/>
      </c>
      <c r="R434" s="168"/>
      <c r="U434" s="171">
        <f t="shared" si="665"/>
        <v>0</v>
      </c>
      <c r="V434" s="171">
        <f t="shared" ca="1" si="666"/>
        <v>0</v>
      </c>
      <c r="W434" s="171">
        <f t="shared" ca="1" si="667"/>
        <v>0</v>
      </c>
      <c r="X434" s="172">
        <f t="shared" si="668"/>
        <v>0</v>
      </c>
      <c r="Y434" s="172" t="str">
        <f t="shared" si="669"/>
        <v/>
      </c>
      <c r="Z434" s="173">
        <f t="shared" si="670"/>
        <v>0</v>
      </c>
      <c r="AA434" s="171">
        <f t="shared" si="656"/>
        <v>0</v>
      </c>
      <c r="AB434" s="171">
        <f t="shared" si="656"/>
        <v>0</v>
      </c>
      <c r="AC434" s="171">
        <f t="shared" si="656"/>
        <v>0</v>
      </c>
      <c r="AD434" s="171">
        <f t="shared" si="656"/>
        <v>0</v>
      </c>
      <c r="AE434" s="171">
        <f t="shared" si="656"/>
        <v>0</v>
      </c>
      <c r="AF434" s="171">
        <f t="shared" si="656"/>
        <v>0</v>
      </c>
      <c r="AG434" s="171">
        <f t="shared" si="656"/>
        <v>0</v>
      </c>
      <c r="AH434" s="171">
        <f t="shared" si="656"/>
        <v>0</v>
      </c>
      <c r="AI434" s="171">
        <f t="shared" si="656"/>
        <v>0</v>
      </c>
      <c r="AJ434" s="171">
        <f t="shared" si="656"/>
        <v>0</v>
      </c>
      <c r="AK434" s="171">
        <f t="shared" si="657"/>
        <v>0</v>
      </c>
      <c r="AL434" s="171">
        <f t="shared" si="657"/>
        <v>0</v>
      </c>
      <c r="AM434" s="171">
        <f t="shared" si="657"/>
        <v>0</v>
      </c>
      <c r="AN434" s="171">
        <f t="shared" si="657"/>
        <v>0</v>
      </c>
      <c r="AO434" s="171">
        <f t="shared" si="657"/>
        <v>0</v>
      </c>
      <c r="AP434" s="171">
        <f t="shared" si="657"/>
        <v>0</v>
      </c>
      <c r="AQ434" s="171">
        <f t="shared" si="657"/>
        <v>0</v>
      </c>
      <c r="AR434" s="171">
        <f t="shared" si="657"/>
        <v>0</v>
      </c>
      <c r="AS434" s="171">
        <f t="shared" si="657"/>
        <v>0</v>
      </c>
      <c r="AT434" s="171">
        <f t="shared" si="657"/>
        <v>0</v>
      </c>
      <c r="AU434" s="171">
        <f t="shared" si="658"/>
        <v>0</v>
      </c>
      <c r="AV434" s="171">
        <f t="shared" si="658"/>
        <v>0</v>
      </c>
      <c r="AW434" s="171">
        <f t="shared" si="658"/>
        <v>0</v>
      </c>
      <c r="AX434" s="171">
        <f t="shared" si="658"/>
        <v>0</v>
      </c>
      <c r="AY434" s="171">
        <f t="shared" si="658"/>
        <v>0</v>
      </c>
      <c r="AZ434" s="171">
        <f t="shared" si="658"/>
        <v>0</v>
      </c>
      <c r="BA434" s="171">
        <f t="shared" si="658"/>
        <v>0</v>
      </c>
      <c r="BB434" s="171">
        <f t="shared" si="658"/>
        <v>0</v>
      </c>
      <c r="BC434" s="171">
        <f t="shared" si="658"/>
        <v>0</v>
      </c>
      <c r="BD434" s="171">
        <f t="shared" si="658"/>
        <v>0</v>
      </c>
      <c r="BE434" s="171">
        <f t="shared" si="659"/>
        <v>0</v>
      </c>
      <c r="BF434" s="171">
        <f t="shared" si="659"/>
        <v>0</v>
      </c>
      <c r="BG434" s="171">
        <f t="shared" si="659"/>
        <v>0</v>
      </c>
      <c r="BH434" s="171">
        <f t="shared" si="659"/>
        <v>0</v>
      </c>
      <c r="BI434" s="171">
        <f t="shared" si="659"/>
        <v>0</v>
      </c>
      <c r="BJ434" s="171">
        <f t="shared" si="659"/>
        <v>0</v>
      </c>
      <c r="BK434" s="171">
        <f t="shared" si="659"/>
        <v>0</v>
      </c>
      <c r="BL434" s="171">
        <f t="shared" si="659"/>
        <v>0</v>
      </c>
      <c r="BM434" s="171">
        <f t="shared" si="659"/>
        <v>0</v>
      </c>
      <c r="BN434" s="171">
        <f t="shared" si="659"/>
        <v>0</v>
      </c>
      <c r="BO434" s="171">
        <f t="shared" si="660"/>
        <v>0</v>
      </c>
      <c r="BP434" s="171">
        <f t="shared" si="660"/>
        <v>0</v>
      </c>
      <c r="BQ434" s="171">
        <f t="shared" si="660"/>
        <v>0</v>
      </c>
      <c r="BR434" s="171">
        <f t="shared" si="660"/>
        <v>0</v>
      </c>
      <c r="BS434" s="171">
        <f t="shared" si="660"/>
        <v>0</v>
      </c>
      <c r="BT434" s="171">
        <f t="shared" si="660"/>
        <v>0</v>
      </c>
      <c r="BU434" s="171">
        <f t="shared" si="660"/>
        <v>0</v>
      </c>
      <c r="BV434" s="171">
        <f t="shared" si="660"/>
        <v>0</v>
      </c>
      <c r="BW434" s="171">
        <f t="shared" si="660"/>
        <v>0</v>
      </c>
      <c r="BX434" s="171">
        <f t="shared" si="660"/>
        <v>0</v>
      </c>
      <c r="BY434" s="171">
        <f t="shared" si="661"/>
        <v>0</v>
      </c>
      <c r="BZ434" s="171">
        <f t="shared" si="661"/>
        <v>0</v>
      </c>
      <c r="CA434" s="171">
        <f t="shared" si="661"/>
        <v>0</v>
      </c>
      <c r="CB434" s="171">
        <f t="shared" si="661"/>
        <v>0</v>
      </c>
      <c r="CC434" s="171">
        <f t="shared" si="661"/>
        <v>0</v>
      </c>
      <c r="CD434" s="171">
        <f t="shared" si="661"/>
        <v>0</v>
      </c>
      <c r="CE434" s="171">
        <f t="shared" si="661"/>
        <v>0</v>
      </c>
      <c r="CF434" s="171">
        <f t="shared" si="661"/>
        <v>0</v>
      </c>
      <c r="CG434" s="171">
        <f t="shared" si="661"/>
        <v>0</v>
      </c>
      <c r="CH434" s="171">
        <f t="shared" si="661"/>
        <v>0</v>
      </c>
      <c r="CI434" s="171">
        <f t="shared" si="661"/>
        <v>0</v>
      </c>
      <c r="CJ434" s="243"/>
      <c r="CK434" s="171">
        <f t="shared" si="671"/>
        <v>0</v>
      </c>
      <c r="CL434" s="171">
        <f t="shared" si="672"/>
        <v>0</v>
      </c>
      <c r="CM434" s="171">
        <f t="shared" si="673"/>
        <v>0</v>
      </c>
      <c r="CN434" s="171">
        <f t="shared" si="674"/>
        <v>0</v>
      </c>
      <c r="CO434" s="171">
        <f t="shared" si="675"/>
        <v>0</v>
      </c>
      <c r="CP434" s="171">
        <f t="shared" si="676"/>
        <v>0</v>
      </c>
      <c r="CQ434" s="171">
        <f t="shared" si="677"/>
        <v>0</v>
      </c>
      <c r="CR434" s="171">
        <f t="shared" si="678"/>
        <v>0</v>
      </c>
      <c r="CS434" s="171">
        <f t="shared" si="679"/>
        <v>0</v>
      </c>
      <c r="CT434" s="171">
        <f t="shared" si="680"/>
        <v>0</v>
      </c>
      <c r="CU434" s="171">
        <f t="shared" si="681"/>
        <v>0</v>
      </c>
      <c r="CV434" s="171">
        <f t="shared" si="682"/>
        <v>0</v>
      </c>
      <c r="CW434" s="171">
        <f t="shared" si="683"/>
        <v>0</v>
      </c>
      <c r="CX434" s="171">
        <f t="shared" si="684"/>
        <v>0</v>
      </c>
      <c r="CY434" s="171">
        <f t="shared" ca="1" si="685"/>
        <v>0</v>
      </c>
      <c r="CZ434" s="171">
        <f t="shared" ca="1" si="686"/>
        <v>0</v>
      </c>
      <c r="DA434" s="171">
        <f t="shared" ca="1" si="687"/>
        <v>0</v>
      </c>
      <c r="DB434" s="171">
        <f t="shared" ca="1" si="688"/>
        <v>0</v>
      </c>
      <c r="DC434" s="171">
        <f t="shared" ca="1" si="689"/>
        <v>0</v>
      </c>
      <c r="DD434" s="171">
        <f t="shared" ca="1" si="690"/>
        <v>0</v>
      </c>
      <c r="DE434" s="171">
        <f t="shared" ca="1" si="691"/>
        <v>0</v>
      </c>
      <c r="DF434" s="171">
        <f t="shared" ca="1" si="692"/>
        <v>0</v>
      </c>
      <c r="DG434" s="171">
        <f t="shared" ca="1" si="693"/>
        <v>0</v>
      </c>
      <c r="DH434" s="171">
        <f t="shared" ca="1" si="694"/>
        <v>0</v>
      </c>
      <c r="DI434" s="171">
        <f t="shared" ca="1" si="695"/>
        <v>0</v>
      </c>
      <c r="DJ434" s="171">
        <f t="shared" ca="1" si="696"/>
        <v>0</v>
      </c>
      <c r="DK434" s="171">
        <f t="shared" ca="1" si="697"/>
        <v>0</v>
      </c>
      <c r="DL434" s="171">
        <f t="shared" ca="1" si="698"/>
        <v>0</v>
      </c>
      <c r="DM434" s="171">
        <f t="shared" ca="1" si="699"/>
        <v>0</v>
      </c>
      <c r="DN434" s="171">
        <f t="shared" ca="1" si="700"/>
        <v>0</v>
      </c>
      <c r="DO434" s="171">
        <f t="shared" ca="1" si="701"/>
        <v>0</v>
      </c>
      <c r="DP434" s="171">
        <f t="shared" ca="1" si="702"/>
        <v>0</v>
      </c>
      <c r="DQ434" s="171">
        <f t="shared" ca="1" si="703"/>
        <v>0</v>
      </c>
      <c r="DR434" s="171">
        <f t="shared" ca="1" si="704"/>
        <v>0</v>
      </c>
      <c r="DS434" s="171">
        <f t="shared" ca="1" si="705"/>
        <v>0</v>
      </c>
      <c r="DT434" s="171">
        <f t="shared" ca="1" si="706"/>
        <v>0</v>
      </c>
      <c r="DU434" s="171">
        <f t="shared" ca="1" si="707"/>
        <v>0</v>
      </c>
      <c r="DV434" s="171">
        <f t="shared" ca="1" si="708"/>
        <v>0</v>
      </c>
      <c r="DW434" s="171">
        <f t="shared" ca="1" si="709"/>
        <v>0</v>
      </c>
      <c r="DX434" s="171">
        <f t="shared" ca="1" si="710"/>
        <v>0</v>
      </c>
      <c r="DY434" s="171">
        <f t="shared" ca="1" si="711"/>
        <v>0</v>
      </c>
      <c r="DZ434" s="171">
        <f t="shared" ca="1" si="712"/>
        <v>0</v>
      </c>
      <c r="EA434" s="171">
        <f t="shared" ca="1" si="713"/>
        <v>0</v>
      </c>
      <c r="EB434" s="171">
        <f t="shared" ca="1" si="714"/>
        <v>0</v>
      </c>
      <c r="EC434" s="171">
        <f t="shared" ca="1" si="715"/>
        <v>0</v>
      </c>
      <c r="ED434" s="171">
        <f t="shared" ca="1" si="716"/>
        <v>0</v>
      </c>
      <c r="EE434" s="171">
        <f t="shared" ca="1" si="717"/>
        <v>0</v>
      </c>
      <c r="EF434" s="171">
        <f t="shared" ca="1" si="718"/>
        <v>0</v>
      </c>
      <c r="EG434" s="171">
        <f t="shared" ca="1" si="719"/>
        <v>0</v>
      </c>
      <c r="EH434" s="171">
        <f t="shared" ca="1" si="720"/>
        <v>0</v>
      </c>
      <c r="EI434" s="171">
        <f t="shared" ca="1" si="721"/>
        <v>0</v>
      </c>
      <c r="EJ434" s="171">
        <f t="shared" ca="1" si="722"/>
        <v>0</v>
      </c>
      <c r="EK434" s="171">
        <f t="shared" ca="1" si="723"/>
        <v>0</v>
      </c>
      <c r="EL434" s="171">
        <f t="shared" ca="1" si="724"/>
        <v>0</v>
      </c>
      <c r="EM434" s="171">
        <f t="shared" ca="1" si="725"/>
        <v>0</v>
      </c>
      <c r="EN434" s="171">
        <f t="shared" ca="1" si="726"/>
        <v>0</v>
      </c>
      <c r="EO434" s="171">
        <f t="shared" ca="1" si="727"/>
        <v>0</v>
      </c>
      <c r="EP434" s="171">
        <f t="shared" ca="1" si="728"/>
        <v>0</v>
      </c>
      <c r="EQ434" s="171">
        <f t="shared" ca="1" si="729"/>
        <v>0</v>
      </c>
      <c r="ER434" s="171">
        <f t="shared" ca="1" si="730"/>
        <v>0</v>
      </c>
      <c r="ES434" s="171">
        <f t="shared" ca="1" si="731"/>
        <v>0</v>
      </c>
    </row>
    <row r="435" spans="3:149">
      <c r="C435" s="214"/>
      <c r="L435" s="163"/>
      <c r="M435" s="164" t="str">
        <f t="shared" si="662"/>
        <v/>
      </c>
      <c r="N435" s="164" t="str">
        <f t="shared" si="663"/>
        <v/>
      </c>
      <c r="O435" s="165" t="str">
        <f t="shared" si="664"/>
        <v/>
      </c>
      <c r="R435" s="168"/>
      <c r="U435" s="171">
        <f t="shared" si="665"/>
        <v>0</v>
      </c>
      <c r="V435" s="171">
        <f t="shared" ca="1" si="666"/>
        <v>0</v>
      </c>
      <c r="W435" s="171">
        <f t="shared" ca="1" si="667"/>
        <v>0</v>
      </c>
      <c r="X435" s="172">
        <f t="shared" si="668"/>
        <v>0</v>
      </c>
      <c r="Y435" s="172" t="str">
        <f t="shared" si="669"/>
        <v/>
      </c>
      <c r="Z435" s="173">
        <f t="shared" si="670"/>
        <v>0</v>
      </c>
      <c r="AA435" s="171">
        <f t="shared" si="656"/>
        <v>0</v>
      </c>
      <c r="AB435" s="171">
        <f t="shared" si="656"/>
        <v>0</v>
      </c>
      <c r="AC435" s="171">
        <f t="shared" si="656"/>
        <v>0</v>
      </c>
      <c r="AD435" s="171">
        <f t="shared" si="656"/>
        <v>0</v>
      </c>
      <c r="AE435" s="171">
        <f t="shared" si="656"/>
        <v>0</v>
      </c>
      <c r="AF435" s="171">
        <f t="shared" si="656"/>
        <v>0</v>
      </c>
      <c r="AG435" s="171">
        <f t="shared" si="656"/>
        <v>0</v>
      </c>
      <c r="AH435" s="171">
        <f t="shared" si="656"/>
        <v>0</v>
      </c>
      <c r="AI435" s="171">
        <f t="shared" si="656"/>
        <v>0</v>
      </c>
      <c r="AJ435" s="171">
        <f t="shared" si="656"/>
        <v>0</v>
      </c>
      <c r="AK435" s="171">
        <f t="shared" si="657"/>
        <v>0</v>
      </c>
      <c r="AL435" s="171">
        <f t="shared" si="657"/>
        <v>0</v>
      </c>
      <c r="AM435" s="171">
        <f t="shared" si="657"/>
        <v>0</v>
      </c>
      <c r="AN435" s="171">
        <f t="shared" si="657"/>
        <v>0</v>
      </c>
      <c r="AO435" s="171">
        <f t="shared" si="657"/>
        <v>0</v>
      </c>
      <c r="AP435" s="171">
        <f t="shared" si="657"/>
        <v>0</v>
      </c>
      <c r="AQ435" s="171">
        <f t="shared" si="657"/>
        <v>0</v>
      </c>
      <c r="AR435" s="171">
        <f t="shared" si="657"/>
        <v>0</v>
      </c>
      <c r="AS435" s="171">
        <f t="shared" si="657"/>
        <v>0</v>
      </c>
      <c r="AT435" s="171">
        <f t="shared" si="657"/>
        <v>0</v>
      </c>
      <c r="AU435" s="171">
        <f t="shared" si="658"/>
        <v>0</v>
      </c>
      <c r="AV435" s="171">
        <f t="shared" si="658"/>
        <v>0</v>
      </c>
      <c r="AW435" s="171">
        <f t="shared" si="658"/>
        <v>0</v>
      </c>
      <c r="AX435" s="171">
        <f t="shared" si="658"/>
        <v>0</v>
      </c>
      <c r="AY435" s="171">
        <f t="shared" si="658"/>
        <v>0</v>
      </c>
      <c r="AZ435" s="171">
        <f t="shared" si="658"/>
        <v>0</v>
      </c>
      <c r="BA435" s="171">
        <f t="shared" si="658"/>
        <v>0</v>
      </c>
      <c r="BB435" s="171">
        <f t="shared" si="658"/>
        <v>0</v>
      </c>
      <c r="BC435" s="171">
        <f t="shared" si="658"/>
        <v>0</v>
      </c>
      <c r="BD435" s="171">
        <f t="shared" si="658"/>
        <v>0</v>
      </c>
      <c r="BE435" s="171">
        <f t="shared" si="659"/>
        <v>0</v>
      </c>
      <c r="BF435" s="171">
        <f t="shared" si="659"/>
        <v>0</v>
      </c>
      <c r="BG435" s="171">
        <f t="shared" si="659"/>
        <v>0</v>
      </c>
      <c r="BH435" s="171">
        <f t="shared" si="659"/>
        <v>0</v>
      </c>
      <c r="BI435" s="171">
        <f t="shared" si="659"/>
        <v>0</v>
      </c>
      <c r="BJ435" s="171">
        <f t="shared" si="659"/>
        <v>0</v>
      </c>
      <c r="BK435" s="171">
        <f t="shared" si="659"/>
        <v>0</v>
      </c>
      <c r="BL435" s="171">
        <f t="shared" si="659"/>
        <v>0</v>
      </c>
      <c r="BM435" s="171">
        <f t="shared" si="659"/>
        <v>0</v>
      </c>
      <c r="BN435" s="171">
        <f t="shared" si="659"/>
        <v>0</v>
      </c>
      <c r="BO435" s="171">
        <f t="shared" si="660"/>
        <v>0</v>
      </c>
      <c r="BP435" s="171">
        <f t="shared" si="660"/>
        <v>0</v>
      </c>
      <c r="BQ435" s="171">
        <f t="shared" si="660"/>
        <v>0</v>
      </c>
      <c r="BR435" s="171">
        <f t="shared" si="660"/>
        <v>0</v>
      </c>
      <c r="BS435" s="171">
        <f t="shared" si="660"/>
        <v>0</v>
      </c>
      <c r="BT435" s="171">
        <f t="shared" si="660"/>
        <v>0</v>
      </c>
      <c r="BU435" s="171">
        <f t="shared" si="660"/>
        <v>0</v>
      </c>
      <c r="BV435" s="171">
        <f t="shared" si="660"/>
        <v>0</v>
      </c>
      <c r="BW435" s="171">
        <f t="shared" si="660"/>
        <v>0</v>
      </c>
      <c r="BX435" s="171">
        <f t="shared" si="660"/>
        <v>0</v>
      </c>
      <c r="BY435" s="171">
        <f t="shared" si="661"/>
        <v>0</v>
      </c>
      <c r="BZ435" s="171">
        <f t="shared" si="661"/>
        <v>0</v>
      </c>
      <c r="CA435" s="171">
        <f t="shared" si="661"/>
        <v>0</v>
      </c>
      <c r="CB435" s="171">
        <f t="shared" si="661"/>
        <v>0</v>
      </c>
      <c r="CC435" s="171">
        <f t="shared" si="661"/>
        <v>0</v>
      </c>
      <c r="CD435" s="171">
        <f t="shared" si="661"/>
        <v>0</v>
      </c>
      <c r="CE435" s="171">
        <f t="shared" si="661"/>
        <v>0</v>
      </c>
      <c r="CF435" s="171">
        <f t="shared" si="661"/>
        <v>0</v>
      </c>
      <c r="CG435" s="171">
        <f t="shared" si="661"/>
        <v>0</v>
      </c>
      <c r="CH435" s="171">
        <f t="shared" si="661"/>
        <v>0</v>
      </c>
      <c r="CI435" s="171">
        <f t="shared" si="661"/>
        <v>0</v>
      </c>
      <c r="CJ435" s="243"/>
      <c r="CK435" s="171">
        <f t="shared" si="671"/>
        <v>0</v>
      </c>
      <c r="CL435" s="171">
        <f t="shared" si="672"/>
        <v>0</v>
      </c>
      <c r="CM435" s="171">
        <f t="shared" si="673"/>
        <v>0</v>
      </c>
      <c r="CN435" s="171">
        <f t="shared" si="674"/>
        <v>0</v>
      </c>
      <c r="CO435" s="171">
        <f t="shared" si="675"/>
        <v>0</v>
      </c>
      <c r="CP435" s="171">
        <f t="shared" si="676"/>
        <v>0</v>
      </c>
      <c r="CQ435" s="171">
        <f t="shared" si="677"/>
        <v>0</v>
      </c>
      <c r="CR435" s="171">
        <f t="shared" si="678"/>
        <v>0</v>
      </c>
      <c r="CS435" s="171">
        <f t="shared" si="679"/>
        <v>0</v>
      </c>
      <c r="CT435" s="171">
        <f t="shared" si="680"/>
        <v>0</v>
      </c>
      <c r="CU435" s="171">
        <f t="shared" si="681"/>
        <v>0</v>
      </c>
      <c r="CV435" s="171">
        <f t="shared" si="682"/>
        <v>0</v>
      </c>
      <c r="CW435" s="171">
        <f t="shared" si="683"/>
        <v>0</v>
      </c>
      <c r="CX435" s="171">
        <f t="shared" si="684"/>
        <v>0</v>
      </c>
      <c r="CY435" s="171">
        <f t="shared" ca="1" si="685"/>
        <v>0</v>
      </c>
      <c r="CZ435" s="171">
        <f t="shared" ca="1" si="686"/>
        <v>0</v>
      </c>
      <c r="DA435" s="171">
        <f t="shared" ca="1" si="687"/>
        <v>0</v>
      </c>
      <c r="DB435" s="171">
        <f t="shared" ca="1" si="688"/>
        <v>0</v>
      </c>
      <c r="DC435" s="171">
        <f t="shared" ca="1" si="689"/>
        <v>0</v>
      </c>
      <c r="DD435" s="171">
        <f t="shared" ca="1" si="690"/>
        <v>0</v>
      </c>
      <c r="DE435" s="171">
        <f t="shared" ca="1" si="691"/>
        <v>0</v>
      </c>
      <c r="DF435" s="171">
        <f t="shared" ca="1" si="692"/>
        <v>0</v>
      </c>
      <c r="DG435" s="171">
        <f t="shared" ca="1" si="693"/>
        <v>0</v>
      </c>
      <c r="DH435" s="171">
        <f t="shared" ca="1" si="694"/>
        <v>0</v>
      </c>
      <c r="DI435" s="171">
        <f t="shared" ca="1" si="695"/>
        <v>0</v>
      </c>
      <c r="DJ435" s="171">
        <f t="shared" ca="1" si="696"/>
        <v>0</v>
      </c>
      <c r="DK435" s="171">
        <f t="shared" ca="1" si="697"/>
        <v>0</v>
      </c>
      <c r="DL435" s="171">
        <f t="shared" ca="1" si="698"/>
        <v>0</v>
      </c>
      <c r="DM435" s="171">
        <f t="shared" ca="1" si="699"/>
        <v>0</v>
      </c>
      <c r="DN435" s="171">
        <f t="shared" ca="1" si="700"/>
        <v>0</v>
      </c>
      <c r="DO435" s="171">
        <f t="shared" ca="1" si="701"/>
        <v>0</v>
      </c>
      <c r="DP435" s="171">
        <f t="shared" ca="1" si="702"/>
        <v>0</v>
      </c>
      <c r="DQ435" s="171">
        <f t="shared" ca="1" si="703"/>
        <v>0</v>
      </c>
      <c r="DR435" s="171">
        <f t="shared" ca="1" si="704"/>
        <v>0</v>
      </c>
      <c r="DS435" s="171">
        <f t="shared" ca="1" si="705"/>
        <v>0</v>
      </c>
      <c r="DT435" s="171">
        <f t="shared" ca="1" si="706"/>
        <v>0</v>
      </c>
      <c r="DU435" s="171">
        <f t="shared" ca="1" si="707"/>
        <v>0</v>
      </c>
      <c r="DV435" s="171">
        <f t="shared" ca="1" si="708"/>
        <v>0</v>
      </c>
      <c r="DW435" s="171">
        <f t="shared" ca="1" si="709"/>
        <v>0</v>
      </c>
      <c r="DX435" s="171">
        <f t="shared" ca="1" si="710"/>
        <v>0</v>
      </c>
      <c r="DY435" s="171">
        <f t="shared" ca="1" si="711"/>
        <v>0</v>
      </c>
      <c r="DZ435" s="171">
        <f t="shared" ca="1" si="712"/>
        <v>0</v>
      </c>
      <c r="EA435" s="171">
        <f t="shared" ca="1" si="713"/>
        <v>0</v>
      </c>
      <c r="EB435" s="171">
        <f t="shared" ca="1" si="714"/>
        <v>0</v>
      </c>
      <c r="EC435" s="171">
        <f t="shared" ca="1" si="715"/>
        <v>0</v>
      </c>
      <c r="ED435" s="171">
        <f t="shared" ca="1" si="716"/>
        <v>0</v>
      </c>
      <c r="EE435" s="171">
        <f t="shared" ca="1" si="717"/>
        <v>0</v>
      </c>
      <c r="EF435" s="171">
        <f t="shared" ca="1" si="718"/>
        <v>0</v>
      </c>
      <c r="EG435" s="171">
        <f t="shared" ca="1" si="719"/>
        <v>0</v>
      </c>
      <c r="EH435" s="171">
        <f t="shared" ca="1" si="720"/>
        <v>0</v>
      </c>
      <c r="EI435" s="171">
        <f t="shared" ca="1" si="721"/>
        <v>0</v>
      </c>
      <c r="EJ435" s="171">
        <f t="shared" ca="1" si="722"/>
        <v>0</v>
      </c>
      <c r="EK435" s="171">
        <f t="shared" ca="1" si="723"/>
        <v>0</v>
      </c>
      <c r="EL435" s="171">
        <f t="shared" ca="1" si="724"/>
        <v>0</v>
      </c>
      <c r="EM435" s="171">
        <f t="shared" ca="1" si="725"/>
        <v>0</v>
      </c>
      <c r="EN435" s="171">
        <f t="shared" ca="1" si="726"/>
        <v>0</v>
      </c>
      <c r="EO435" s="171">
        <f t="shared" ca="1" si="727"/>
        <v>0</v>
      </c>
      <c r="EP435" s="171">
        <f t="shared" ca="1" si="728"/>
        <v>0</v>
      </c>
      <c r="EQ435" s="171">
        <f t="shared" ca="1" si="729"/>
        <v>0</v>
      </c>
      <c r="ER435" s="171">
        <f t="shared" ca="1" si="730"/>
        <v>0</v>
      </c>
      <c r="ES435" s="171">
        <f t="shared" ca="1" si="731"/>
        <v>0</v>
      </c>
    </row>
    <row r="436" spans="3:149">
      <c r="C436" s="214"/>
      <c r="L436" s="163"/>
      <c r="M436" s="164" t="str">
        <f t="shared" si="662"/>
        <v/>
      </c>
      <c r="N436" s="164" t="str">
        <f t="shared" si="663"/>
        <v/>
      </c>
      <c r="O436" s="165" t="str">
        <f t="shared" si="664"/>
        <v/>
      </c>
      <c r="R436" s="168" t="str">
        <f t="shared" ref="R436:R447" si="732">IFERROR(IF($Q436="","",IF(($Q436-($B$9-$E436))&lt;=0,0,(Q436-($B$9-$E436)))),"NA")</f>
        <v/>
      </c>
      <c r="U436" s="171">
        <f t="shared" si="665"/>
        <v>0</v>
      </c>
      <c r="V436" s="171">
        <f t="shared" ca="1" si="666"/>
        <v>0</v>
      </c>
      <c r="W436" s="171">
        <f t="shared" ca="1" si="667"/>
        <v>0</v>
      </c>
      <c r="X436" s="172">
        <f t="shared" si="668"/>
        <v>0</v>
      </c>
      <c r="Y436" s="172" t="str">
        <f t="shared" si="669"/>
        <v/>
      </c>
      <c r="Z436" s="173">
        <f t="shared" si="670"/>
        <v>0</v>
      </c>
      <c r="AA436" s="171">
        <f t="shared" si="656"/>
        <v>0</v>
      </c>
      <c r="AB436" s="171">
        <f t="shared" si="656"/>
        <v>0</v>
      </c>
      <c r="AC436" s="171">
        <f t="shared" si="656"/>
        <v>0</v>
      </c>
      <c r="AD436" s="171">
        <f t="shared" si="656"/>
        <v>0</v>
      </c>
      <c r="AE436" s="171">
        <f t="shared" si="656"/>
        <v>0</v>
      </c>
      <c r="AF436" s="171">
        <f t="shared" si="656"/>
        <v>0</v>
      </c>
      <c r="AG436" s="171">
        <f t="shared" si="656"/>
        <v>0</v>
      </c>
      <c r="AH436" s="171">
        <f t="shared" si="656"/>
        <v>0</v>
      </c>
      <c r="AI436" s="171">
        <f t="shared" si="656"/>
        <v>0</v>
      </c>
      <c r="AJ436" s="171">
        <f t="shared" si="656"/>
        <v>0</v>
      </c>
      <c r="AK436" s="171">
        <f t="shared" si="657"/>
        <v>0</v>
      </c>
      <c r="AL436" s="171">
        <f t="shared" si="657"/>
        <v>0</v>
      </c>
      <c r="AM436" s="171">
        <f t="shared" si="657"/>
        <v>0</v>
      </c>
      <c r="AN436" s="171">
        <f t="shared" si="657"/>
        <v>0</v>
      </c>
      <c r="AO436" s="171">
        <f t="shared" si="657"/>
        <v>0</v>
      </c>
      <c r="AP436" s="171">
        <f t="shared" si="657"/>
        <v>0</v>
      </c>
      <c r="AQ436" s="171">
        <f t="shared" si="657"/>
        <v>0</v>
      </c>
      <c r="AR436" s="171">
        <f t="shared" si="657"/>
        <v>0</v>
      </c>
      <c r="AS436" s="171">
        <f t="shared" si="657"/>
        <v>0</v>
      </c>
      <c r="AT436" s="171">
        <f t="shared" si="657"/>
        <v>0</v>
      </c>
      <c r="AU436" s="171">
        <f t="shared" si="658"/>
        <v>0</v>
      </c>
      <c r="AV436" s="171">
        <f t="shared" si="658"/>
        <v>0</v>
      </c>
      <c r="AW436" s="171">
        <f t="shared" si="658"/>
        <v>0</v>
      </c>
      <c r="AX436" s="171">
        <f t="shared" si="658"/>
        <v>0</v>
      </c>
      <c r="AY436" s="171">
        <f t="shared" si="658"/>
        <v>0</v>
      </c>
      <c r="AZ436" s="171">
        <f t="shared" si="658"/>
        <v>0</v>
      </c>
      <c r="BA436" s="171">
        <f t="shared" si="658"/>
        <v>0</v>
      </c>
      <c r="BB436" s="171">
        <f t="shared" si="658"/>
        <v>0</v>
      </c>
      <c r="BC436" s="171">
        <f t="shared" si="658"/>
        <v>0</v>
      </c>
      <c r="BD436" s="171">
        <f t="shared" si="658"/>
        <v>0</v>
      </c>
      <c r="BE436" s="171">
        <f t="shared" si="659"/>
        <v>0</v>
      </c>
      <c r="BF436" s="171">
        <f t="shared" si="659"/>
        <v>0</v>
      </c>
      <c r="BG436" s="171">
        <f t="shared" si="659"/>
        <v>0</v>
      </c>
      <c r="BH436" s="171">
        <f t="shared" si="659"/>
        <v>0</v>
      </c>
      <c r="BI436" s="171">
        <f t="shared" si="659"/>
        <v>0</v>
      </c>
      <c r="BJ436" s="171">
        <f t="shared" si="659"/>
        <v>0</v>
      </c>
      <c r="BK436" s="171">
        <f t="shared" si="659"/>
        <v>0</v>
      </c>
      <c r="BL436" s="171">
        <f t="shared" si="659"/>
        <v>0</v>
      </c>
      <c r="BM436" s="171">
        <f t="shared" si="659"/>
        <v>0</v>
      </c>
      <c r="BN436" s="171">
        <f t="shared" si="659"/>
        <v>0</v>
      </c>
      <c r="BO436" s="171">
        <f t="shared" si="660"/>
        <v>0</v>
      </c>
      <c r="BP436" s="171">
        <f t="shared" si="660"/>
        <v>0</v>
      </c>
      <c r="BQ436" s="171">
        <f t="shared" si="660"/>
        <v>0</v>
      </c>
      <c r="BR436" s="171">
        <f t="shared" si="660"/>
        <v>0</v>
      </c>
      <c r="BS436" s="171">
        <f t="shared" si="660"/>
        <v>0</v>
      </c>
      <c r="BT436" s="171">
        <f t="shared" si="660"/>
        <v>0</v>
      </c>
      <c r="BU436" s="171">
        <f t="shared" si="660"/>
        <v>0</v>
      </c>
      <c r="BV436" s="171">
        <f t="shared" si="660"/>
        <v>0</v>
      </c>
      <c r="BW436" s="171">
        <f t="shared" si="660"/>
        <v>0</v>
      </c>
      <c r="BX436" s="171">
        <f t="shared" si="660"/>
        <v>0</v>
      </c>
      <c r="BY436" s="171">
        <f t="shared" si="661"/>
        <v>0</v>
      </c>
      <c r="BZ436" s="171">
        <f t="shared" si="661"/>
        <v>0</v>
      </c>
      <c r="CA436" s="171">
        <f t="shared" si="661"/>
        <v>0</v>
      </c>
      <c r="CB436" s="171">
        <f t="shared" si="661"/>
        <v>0</v>
      </c>
      <c r="CC436" s="171">
        <f t="shared" si="661"/>
        <v>0</v>
      </c>
      <c r="CD436" s="171">
        <f t="shared" si="661"/>
        <v>0</v>
      </c>
      <c r="CE436" s="171">
        <f t="shared" si="661"/>
        <v>0</v>
      </c>
      <c r="CF436" s="171">
        <f t="shared" si="661"/>
        <v>0</v>
      </c>
      <c r="CG436" s="171">
        <f t="shared" si="661"/>
        <v>0</v>
      </c>
      <c r="CH436" s="171">
        <f t="shared" si="661"/>
        <v>0</v>
      </c>
      <c r="CI436" s="171">
        <f t="shared" si="661"/>
        <v>0</v>
      </c>
      <c r="CJ436" s="243"/>
      <c r="CK436" s="171">
        <f t="shared" si="671"/>
        <v>0</v>
      </c>
      <c r="CL436" s="171">
        <f t="shared" si="672"/>
        <v>0</v>
      </c>
      <c r="CM436" s="171">
        <f t="shared" si="673"/>
        <v>0</v>
      </c>
      <c r="CN436" s="171">
        <f t="shared" si="674"/>
        <v>0</v>
      </c>
      <c r="CO436" s="171">
        <f t="shared" si="675"/>
        <v>0</v>
      </c>
      <c r="CP436" s="171">
        <f t="shared" si="676"/>
        <v>0</v>
      </c>
      <c r="CQ436" s="171">
        <f t="shared" si="677"/>
        <v>0</v>
      </c>
      <c r="CR436" s="171">
        <f t="shared" si="678"/>
        <v>0</v>
      </c>
      <c r="CS436" s="171">
        <f t="shared" si="679"/>
        <v>0</v>
      </c>
      <c r="CT436" s="171">
        <f t="shared" si="680"/>
        <v>0</v>
      </c>
      <c r="CU436" s="171">
        <f t="shared" si="681"/>
        <v>0</v>
      </c>
      <c r="CV436" s="171">
        <f t="shared" si="682"/>
        <v>0</v>
      </c>
      <c r="CW436" s="171">
        <f t="shared" si="683"/>
        <v>0</v>
      </c>
      <c r="CX436" s="171">
        <f t="shared" si="684"/>
        <v>0</v>
      </c>
      <c r="CY436" s="171">
        <f t="shared" ca="1" si="685"/>
        <v>0</v>
      </c>
      <c r="CZ436" s="171">
        <f t="shared" ca="1" si="686"/>
        <v>0</v>
      </c>
      <c r="DA436" s="171">
        <f t="shared" ca="1" si="687"/>
        <v>0</v>
      </c>
      <c r="DB436" s="171">
        <f t="shared" ca="1" si="688"/>
        <v>0</v>
      </c>
      <c r="DC436" s="171">
        <f t="shared" ca="1" si="689"/>
        <v>0</v>
      </c>
      <c r="DD436" s="171">
        <f t="shared" ca="1" si="690"/>
        <v>0</v>
      </c>
      <c r="DE436" s="171">
        <f t="shared" ca="1" si="691"/>
        <v>0</v>
      </c>
      <c r="DF436" s="171">
        <f t="shared" ca="1" si="692"/>
        <v>0</v>
      </c>
      <c r="DG436" s="171">
        <f t="shared" ca="1" si="693"/>
        <v>0</v>
      </c>
      <c r="DH436" s="171">
        <f t="shared" ca="1" si="694"/>
        <v>0</v>
      </c>
      <c r="DI436" s="171">
        <f t="shared" ca="1" si="695"/>
        <v>0</v>
      </c>
      <c r="DJ436" s="171">
        <f t="shared" ca="1" si="696"/>
        <v>0</v>
      </c>
      <c r="DK436" s="171">
        <f t="shared" ca="1" si="697"/>
        <v>0</v>
      </c>
      <c r="DL436" s="171">
        <f t="shared" ca="1" si="698"/>
        <v>0</v>
      </c>
      <c r="DM436" s="171">
        <f t="shared" ca="1" si="699"/>
        <v>0</v>
      </c>
      <c r="DN436" s="171">
        <f t="shared" ca="1" si="700"/>
        <v>0</v>
      </c>
      <c r="DO436" s="171">
        <f t="shared" ca="1" si="701"/>
        <v>0</v>
      </c>
      <c r="DP436" s="171">
        <f t="shared" ca="1" si="702"/>
        <v>0</v>
      </c>
      <c r="DQ436" s="171">
        <f t="shared" ca="1" si="703"/>
        <v>0</v>
      </c>
      <c r="DR436" s="171">
        <f t="shared" ca="1" si="704"/>
        <v>0</v>
      </c>
      <c r="DS436" s="171">
        <f t="shared" ca="1" si="705"/>
        <v>0</v>
      </c>
      <c r="DT436" s="171">
        <f t="shared" ca="1" si="706"/>
        <v>0</v>
      </c>
      <c r="DU436" s="171">
        <f t="shared" ca="1" si="707"/>
        <v>0</v>
      </c>
      <c r="DV436" s="171">
        <f t="shared" ca="1" si="708"/>
        <v>0</v>
      </c>
      <c r="DW436" s="171">
        <f t="shared" ca="1" si="709"/>
        <v>0</v>
      </c>
      <c r="DX436" s="171">
        <f t="shared" ca="1" si="710"/>
        <v>0</v>
      </c>
      <c r="DY436" s="171">
        <f t="shared" ca="1" si="711"/>
        <v>0</v>
      </c>
      <c r="DZ436" s="171">
        <f t="shared" ca="1" si="712"/>
        <v>0</v>
      </c>
      <c r="EA436" s="171">
        <f t="shared" ca="1" si="713"/>
        <v>0</v>
      </c>
      <c r="EB436" s="171">
        <f t="shared" ca="1" si="714"/>
        <v>0</v>
      </c>
      <c r="EC436" s="171">
        <f t="shared" ca="1" si="715"/>
        <v>0</v>
      </c>
      <c r="ED436" s="171">
        <f t="shared" ca="1" si="716"/>
        <v>0</v>
      </c>
      <c r="EE436" s="171">
        <f t="shared" ca="1" si="717"/>
        <v>0</v>
      </c>
      <c r="EF436" s="171">
        <f t="shared" ca="1" si="718"/>
        <v>0</v>
      </c>
      <c r="EG436" s="171">
        <f t="shared" ca="1" si="719"/>
        <v>0</v>
      </c>
      <c r="EH436" s="171">
        <f t="shared" ca="1" si="720"/>
        <v>0</v>
      </c>
      <c r="EI436" s="171">
        <f t="shared" ca="1" si="721"/>
        <v>0</v>
      </c>
      <c r="EJ436" s="171">
        <f t="shared" ca="1" si="722"/>
        <v>0</v>
      </c>
      <c r="EK436" s="171">
        <f t="shared" ca="1" si="723"/>
        <v>0</v>
      </c>
      <c r="EL436" s="171">
        <f t="shared" ca="1" si="724"/>
        <v>0</v>
      </c>
      <c r="EM436" s="171">
        <f t="shared" ca="1" si="725"/>
        <v>0</v>
      </c>
      <c r="EN436" s="171">
        <f t="shared" ca="1" si="726"/>
        <v>0</v>
      </c>
      <c r="EO436" s="171">
        <f t="shared" ca="1" si="727"/>
        <v>0</v>
      </c>
      <c r="EP436" s="171">
        <f t="shared" ca="1" si="728"/>
        <v>0</v>
      </c>
      <c r="EQ436" s="171">
        <f t="shared" ca="1" si="729"/>
        <v>0</v>
      </c>
      <c r="ER436" s="171">
        <f t="shared" ca="1" si="730"/>
        <v>0</v>
      </c>
      <c r="ES436" s="171">
        <f t="shared" ca="1" si="731"/>
        <v>0</v>
      </c>
    </row>
    <row r="437" spans="3:149">
      <c r="C437" s="214"/>
      <c r="L437" s="163"/>
      <c r="M437" s="164" t="str">
        <f t="shared" si="662"/>
        <v/>
      </c>
      <c r="N437" s="164" t="str">
        <f t="shared" si="663"/>
        <v/>
      </c>
      <c r="O437" s="165" t="str">
        <f t="shared" si="664"/>
        <v/>
      </c>
      <c r="R437" s="168" t="str">
        <f t="shared" si="732"/>
        <v/>
      </c>
      <c r="U437" s="171">
        <f t="shared" si="665"/>
        <v>0</v>
      </c>
      <c r="V437" s="171">
        <f t="shared" ca="1" si="666"/>
        <v>0</v>
      </c>
      <c r="W437" s="171">
        <f t="shared" ca="1" si="667"/>
        <v>0</v>
      </c>
      <c r="X437" s="172">
        <f t="shared" si="668"/>
        <v>0</v>
      </c>
      <c r="Y437" s="172" t="str">
        <f t="shared" si="669"/>
        <v/>
      </c>
      <c r="Z437" s="173">
        <f t="shared" si="670"/>
        <v>0</v>
      </c>
      <c r="AA437" s="171">
        <f t="shared" si="656"/>
        <v>0</v>
      </c>
      <c r="AB437" s="171">
        <f t="shared" si="656"/>
        <v>0</v>
      </c>
      <c r="AC437" s="171">
        <f t="shared" si="656"/>
        <v>0</v>
      </c>
      <c r="AD437" s="171">
        <f t="shared" si="656"/>
        <v>0</v>
      </c>
      <c r="AE437" s="171">
        <f t="shared" si="656"/>
        <v>0</v>
      </c>
      <c r="AF437" s="171">
        <f t="shared" si="656"/>
        <v>0</v>
      </c>
      <c r="AG437" s="171">
        <f t="shared" si="656"/>
        <v>0</v>
      </c>
      <c r="AH437" s="171">
        <f t="shared" si="656"/>
        <v>0</v>
      </c>
      <c r="AI437" s="171">
        <f t="shared" si="656"/>
        <v>0</v>
      </c>
      <c r="AJ437" s="171">
        <f t="shared" si="656"/>
        <v>0</v>
      </c>
      <c r="AK437" s="171">
        <f t="shared" si="657"/>
        <v>0</v>
      </c>
      <c r="AL437" s="171">
        <f t="shared" si="657"/>
        <v>0</v>
      </c>
      <c r="AM437" s="171">
        <f t="shared" si="657"/>
        <v>0</v>
      </c>
      <c r="AN437" s="171">
        <f t="shared" si="657"/>
        <v>0</v>
      </c>
      <c r="AO437" s="171">
        <f t="shared" si="657"/>
        <v>0</v>
      </c>
      <c r="AP437" s="171">
        <f t="shared" si="657"/>
        <v>0</v>
      </c>
      <c r="AQ437" s="171">
        <f t="shared" si="657"/>
        <v>0</v>
      </c>
      <c r="AR437" s="171">
        <f t="shared" si="657"/>
        <v>0</v>
      </c>
      <c r="AS437" s="171">
        <f t="shared" si="657"/>
        <v>0</v>
      </c>
      <c r="AT437" s="171">
        <f t="shared" si="657"/>
        <v>0</v>
      </c>
      <c r="AU437" s="171">
        <f t="shared" si="658"/>
        <v>0</v>
      </c>
      <c r="AV437" s="171">
        <f t="shared" si="658"/>
        <v>0</v>
      </c>
      <c r="AW437" s="171">
        <f t="shared" si="658"/>
        <v>0</v>
      </c>
      <c r="AX437" s="171">
        <f t="shared" si="658"/>
        <v>0</v>
      </c>
      <c r="AY437" s="171">
        <f t="shared" si="658"/>
        <v>0</v>
      </c>
      <c r="AZ437" s="171">
        <f t="shared" si="658"/>
        <v>0</v>
      </c>
      <c r="BA437" s="171">
        <f t="shared" si="658"/>
        <v>0</v>
      </c>
      <c r="BB437" s="171">
        <f t="shared" si="658"/>
        <v>0</v>
      </c>
      <c r="BC437" s="171">
        <f t="shared" si="658"/>
        <v>0</v>
      </c>
      <c r="BD437" s="171">
        <f t="shared" si="658"/>
        <v>0</v>
      </c>
      <c r="BE437" s="171">
        <f t="shared" si="659"/>
        <v>0</v>
      </c>
      <c r="BF437" s="171">
        <f t="shared" si="659"/>
        <v>0</v>
      </c>
      <c r="BG437" s="171">
        <f t="shared" si="659"/>
        <v>0</v>
      </c>
      <c r="BH437" s="171">
        <f t="shared" si="659"/>
        <v>0</v>
      </c>
      <c r="BI437" s="171">
        <f t="shared" si="659"/>
        <v>0</v>
      </c>
      <c r="BJ437" s="171">
        <f t="shared" si="659"/>
        <v>0</v>
      </c>
      <c r="BK437" s="171">
        <f t="shared" si="659"/>
        <v>0</v>
      </c>
      <c r="BL437" s="171">
        <f t="shared" si="659"/>
        <v>0</v>
      </c>
      <c r="BM437" s="171">
        <f t="shared" si="659"/>
        <v>0</v>
      </c>
      <c r="BN437" s="171">
        <f t="shared" si="659"/>
        <v>0</v>
      </c>
      <c r="BO437" s="171">
        <f t="shared" si="660"/>
        <v>0</v>
      </c>
      <c r="BP437" s="171">
        <f t="shared" si="660"/>
        <v>0</v>
      </c>
      <c r="BQ437" s="171">
        <f t="shared" si="660"/>
        <v>0</v>
      </c>
      <c r="BR437" s="171">
        <f t="shared" si="660"/>
        <v>0</v>
      </c>
      <c r="BS437" s="171">
        <f t="shared" si="660"/>
        <v>0</v>
      </c>
      <c r="BT437" s="171">
        <f t="shared" si="660"/>
        <v>0</v>
      </c>
      <c r="BU437" s="171">
        <f t="shared" si="660"/>
        <v>0</v>
      </c>
      <c r="BV437" s="171">
        <f t="shared" si="660"/>
        <v>0</v>
      </c>
      <c r="BW437" s="171">
        <f t="shared" si="660"/>
        <v>0</v>
      </c>
      <c r="BX437" s="171">
        <f t="shared" si="660"/>
        <v>0</v>
      </c>
      <c r="BY437" s="171">
        <f t="shared" si="661"/>
        <v>0</v>
      </c>
      <c r="BZ437" s="171">
        <f t="shared" si="661"/>
        <v>0</v>
      </c>
      <c r="CA437" s="171">
        <f t="shared" si="661"/>
        <v>0</v>
      </c>
      <c r="CB437" s="171">
        <f t="shared" si="661"/>
        <v>0</v>
      </c>
      <c r="CC437" s="171">
        <f t="shared" si="661"/>
        <v>0</v>
      </c>
      <c r="CD437" s="171">
        <f t="shared" si="661"/>
        <v>0</v>
      </c>
      <c r="CE437" s="171">
        <f t="shared" si="661"/>
        <v>0</v>
      </c>
      <c r="CF437" s="171">
        <f t="shared" si="661"/>
        <v>0</v>
      </c>
      <c r="CG437" s="171">
        <f t="shared" si="661"/>
        <v>0</v>
      </c>
      <c r="CH437" s="171">
        <f t="shared" si="661"/>
        <v>0</v>
      </c>
      <c r="CI437" s="171">
        <f t="shared" si="661"/>
        <v>0</v>
      </c>
      <c r="CJ437" s="243"/>
      <c r="CK437" s="171">
        <f t="shared" si="671"/>
        <v>0</v>
      </c>
      <c r="CL437" s="171">
        <f t="shared" si="672"/>
        <v>0</v>
      </c>
      <c r="CM437" s="171">
        <f t="shared" si="673"/>
        <v>0</v>
      </c>
      <c r="CN437" s="171">
        <f t="shared" si="674"/>
        <v>0</v>
      </c>
      <c r="CO437" s="171">
        <f t="shared" si="675"/>
        <v>0</v>
      </c>
      <c r="CP437" s="171">
        <f t="shared" si="676"/>
        <v>0</v>
      </c>
      <c r="CQ437" s="171">
        <f t="shared" si="677"/>
        <v>0</v>
      </c>
      <c r="CR437" s="171">
        <f t="shared" si="678"/>
        <v>0</v>
      </c>
      <c r="CS437" s="171">
        <f t="shared" si="679"/>
        <v>0</v>
      </c>
      <c r="CT437" s="171">
        <f t="shared" si="680"/>
        <v>0</v>
      </c>
      <c r="CU437" s="171">
        <f t="shared" si="681"/>
        <v>0</v>
      </c>
      <c r="CV437" s="171">
        <f t="shared" si="682"/>
        <v>0</v>
      </c>
      <c r="CW437" s="171">
        <f t="shared" si="683"/>
        <v>0</v>
      </c>
      <c r="CX437" s="171">
        <f t="shared" si="684"/>
        <v>0</v>
      </c>
      <c r="CY437" s="171">
        <f t="shared" ca="1" si="685"/>
        <v>0</v>
      </c>
      <c r="CZ437" s="171">
        <f t="shared" ca="1" si="686"/>
        <v>0</v>
      </c>
      <c r="DA437" s="171">
        <f t="shared" ca="1" si="687"/>
        <v>0</v>
      </c>
      <c r="DB437" s="171">
        <f t="shared" ca="1" si="688"/>
        <v>0</v>
      </c>
      <c r="DC437" s="171">
        <f t="shared" ca="1" si="689"/>
        <v>0</v>
      </c>
      <c r="DD437" s="171">
        <f t="shared" ca="1" si="690"/>
        <v>0</v>
      </c>
      <c r="DE437" s="171">
        <f t="shared" ca="1" si="691"/>
        <v>0</v>
      </c>
      <c r="DF437" s="171">
        <f t="shared" ca="1" si="692"/>
        <v>0</v>
      </c>
      <c r="DG437" s="171">
        <f t="shared" ca="1" si="693"/>
        <v>0</v>
      </c>
      <c r="DH437" s="171">
        <f t="shared" ca="1" si="694"/>
        <v>0</v>
      </c>
      <c r="DI437" s="171">
        <f t="shared" ca="1" si="695"/>
        <v>0</v>
      </c>
      <c r="DJ437" s="171">
        <f t="shared" ca="1" si="696"/>
        <v>0</v>
      </c>
      <c r="DK437" s="171">
        <f t="shared" ca="1" si="697"/>
        <v>0</v>
      </c>
      <c r="DL437" s="171">
        <f t="shared" ca="1" si="698"/>
        <v>0</v>
      </c>
      <c r="DM437" s="171">
        <f t="shared" ca="1" si="699"/>
        <v>0</v>
      </c>
      <c r="DN437" s="171">
        <f t="shared" ca="1" si="700"/>
        <v>0</v>
      </c>
      <c r="DO437" s="171">
        <f t="shared" ca="1" si="701"/>
        <v>0</v>
      </c>
      <c r="DP437" s="171">
        <f t="shared" ca="1" si="702"/>
        <v>0</v>
      </c>
      <c r="DQ437" s="171">
        <f t="shared" ca="1" si="703"/>
        <v>0</v>
      </c>
      <c r="DR437" s="171">
        <f t="shared" ca="1" si="704"/>
        <v>0</v>
      </c>
      <c r="DS437" s="171">
        <f t="shared" ca="1" si="705"/>
        <v>0</v>
      </c>
      <c r="DT437" s="171">
        <f t="shared" ca="1" si="706"/>
        <v>0</v>
      </c>
      <c r="DU437" s="171">
        <f t="shared" ca="1" si="707"/>
        <v>0</v>
      </c>
      <c r="DV437" s="171">
        <f t="shared" ca="1" si="708"/>
        <v>0</v>
      </c>
      <c r="DW437" s="171">
        <f t="shared" ca="1" si="709"/>
        <v>0</v>
      </c>
      <c r="DX437" s="171">
        <f t="shared" ca="1" si="710"/>
        <v>0</v>
      </c>
      <c r="DY437" s="171">
        <f t="shared" ca="1" si="711"/>
        <v>0</v>
      </c>
      <c r="DZ437" s="171">
        <f t="shared" ca="1" si="712"/>
        <v>0</v>
      </c>
      <c r="EA437" s="171">
        <f t="shared" ca="1" si="713"/>
        <v>0</v>
      </c>
      <c r="EB437" s="171">
        <f t="shared" ca="1" si="714"/>
        <v>0</v>
      </c>
      <c r="EC437" s="171">
        <f t="shared" ca="1" si="715"/>
        <v>0</v>
      </c>
      <c r="ED437" s="171">
        <f t="shared" ca="1" si="716"/>
        <v>0</v>
      </c>
      <c r="EE437" s="171">
        <f t="shared" ca="1" si="717"/>
        <v>0</v>
      </c>
      <c r="EF437" s="171">
        <f t="shared" ca="1" si="718"/>
        <v>0</v>
      </c>
      <c r="EG437" s="171">
        <f t="shared" ca="1" si="719"/>
        <v>0</v>
      </c>
      <c r="EH437" s="171">
        <f t="shared" ca="1" si="720"/>
        <v>0</v>
      </c>
      <c r="EI437" s="171">
        <f t="shared" ca="1" si="721"/>
        <v>0</v>
      </c>
      <c r="EJ437" s="171">
        <f t="shared" ca="1" si="722"/>
        <v>0</v>
      </c>
      <c r="EK437" s="171">
        <f t="shared" ca="1" si="723"/>
        <v>0</v>
      </c>
      <c r="EL437" s="171">
        <f t="shared" ca="1" si="724"/>
        <v>0</v>
      </c>
      <c r="EM437" s="171">
        <f t="shared" ca="1" si="725"/>
        <v>0</v>
      </c>
      <c r="EN437" s="171">
        <f t="shared" ca="1" si="726"/>
        <v>0</v>
      </c>
      <c r="EO437" s="171">
        <f t="shared" ca="1" si="727"/>
        <v>0</v>
      </c>
      <c r="EP437" s="171">
        <f t="shared" ca="1" si="728"/>
        <v>0</v>
      </c>
      <c r="EQ437" s="171">
        <f t="shared" ca="1" si="729"/>
        <v>0</v>
      </c>
      <c r="ER437" s="171">
        <f t="shared" ca="1" si="730"/>
        <v>0</v>
      </c>
      <c r="ES437" s="171">
        <f t="shared" ca="1" si="731"/>
        <v>0</v>
      </c>
    </row>
    <row r="438" spans="3:149">
      <c r="C438" s="214"/>
      <c r="L438" s="163"/>
      <c r="M438" s="164" t="str">
        <f t="shared" si="662"/>
        <v/>
      </c>
      <c r="N438" s="164" t="str">
        <f t="shared" si="663"/>
        <v/>
      </c>
      <c r="O438" s="165" t="str">
        <f t="shared" si="664"/>
        <v/>
      </c>
      <c r="R438" s="168" t="str">
        <f t="shared" si="732"/>
        <v/>
      </c>
      <c r="U438" s="171">
        <f t="shared" si="665"/>
        <v>0</v>
      </c>
      <c r="V438" s="171">
        <f t="shared" ca="1" si="666"/>
        <v>0</v>
      </c>
      <c r="W438" s="171">
        <f t="shared" ca="1" si="667"/>
        <v>0</v>
      </c>
      <c r="X438" s="172">
        <f t="shared" si="668"/>
        <v>0</v>
      </c>
      <c r="Y438" s="172" t="str">
        <f t="shared" si="669"/>
        <v/>
      </c>
      <c r="Z438" s="173">
        <f t="shared" si="670"/>
        <v>0</v>
      </c>
      <c r="AA438" s="171">
        <f t="shared" si="656"/>
        <v>0</v>
      </c>
      <c r="AB438" s="171">
        <f t="shared" si="656"/>
        <v>0</v>
      </c>
      <c r="AC438" s="171">
        <f t="shared" si="656"/>
        <v>0</v>
      </c>
      <c r="AD438" s="171">
        <f t="shared" si="656"/>
        <v>0</v>
      </c>
      <c r="AE438" s="171">
        <f t="shared" si="656"/>
        <v>0</v>
      </c>
      <c r="AF438" s="171">
        <f t="shared" si="656"/>
        <v>0</v>
      </c>
      <c r="AG438" s="171">
        <f t="shared" si="656"/>
        <v>0</v>
      </c>
      <c r="AH438" s="171">
        <f t="shared" si="656"/>
        <v>0</v>
      </c>
      <c r="AI438" s="171">
        <f t="shared" si="656"/>
        <v>0</v>
      </c>
      <c r="AJ438" s="171">
        <f t="shared" si="656"/>
        <v>0</v>
      </c>
      <c r="AK438" s="171">
        <f t="shared" si="657"/>
        <v>0</v>
      </c>
      <c r="AL438" s="171">
        <f t="shared" si="657"/>
        <v>0</v>
      </c>
      <c r="AM438" s="171">
        <f t="shared" si="657"/>
        <v>0</v>
      </c>
      <c r="AN438" s="171">
        <f t="shared" si="657"/>
        <v>0</v>
      </c>
      <c r="AO438" s="171">
        <f t="shared" si="657"/>
        <v>0</v>
      </c>
      <c r="AP438" s="171">
        <f t="shared" si="657"/>
        <v>0</v>
      </c>
      <c r="AQ438" s="171">
        <f t="shared" si="657"/>
        <v>0</v>
      </c>
      <c r="AR438" s="171">
        <f t="shared" si="657"/>
        <v>0</v>
      </c>
      <c r="AS438" s="171">
        <f t="shared" si="657"/>
        <v>0</v>
      </c>
      <c r="AT438" s="171">
        <f t="shared" si="657"/>
        <v>0</v>
      </c>
      <c r="AU438" s="171">
        <f t="shared" si="658"/>
        <v>0</v>
      </c>
      <c r="AV438" s="171">
        <f t="shared" si="658"/>
        <v>0</v>
      </c>
      <c r="AW438" s="171">
        <f t="shared" si="658"/>
        <v>0</v>
      </c>
      <c r="AX438" s="171">
        <f t="shared" si="658"/>
        <v>0</v>
      </c>
      <c r="AY438" s="171">
        <f t="shared" si="658"/>
        <v>0</v>
      </c>
      <c r="AZ438" s="171">
        <f t="shared" si="658"/>
        <v>0</v>
      </c>
      <c r="BA438" s="171">
        <f t="shared" si="658"/>
        <v>0</v>
      </c>
      <c r="BB438" s="171">
        <f t="shared" si="658"/>
        <v>0</v>
      </c>
      <c r="BC438" s="171">
        <f t="shared" si="658"/>
        <v>0</v>
      </c>
      <c r="BD438" s="171">
        <f t="shared" si="658"/>
        <v>0</v>
      </c>
      <c r="BE438" s="171">
        <f t="shared" si="659"/>
        <v>0</v>
      </c>
      <c r="BF438" s="171">
        <f t="shared" si="659"/>
        <v>0</v>
      </c>
      <c r="BG438" s="171">
        <f t="shared" si="659"/>
        <v>0</v>
      </c>
      <c r="BH438" s="171">
        <f t="shared" si="659"/>
        <v>0</v>
      </c>
      <c r="BI438" s="171">
        <f t="shared" si="659"/>
        <v>0</v>
      </c>
      <c r="BJ438" s="171">
        <f t="shared" si="659"/>
        <v>0</v>
      </c>
      <c r="BK438" s="171">
        <f t="shared" si="659"/>
        <v>0</v>
      </c>
      <c r="BL438" s="171">
        <f t="shared" si="659"/>
        <v>0</v>
      </c>
      <c r="BM438" s="171">
        <f t="shared" si="659"/>
        <v>0</v>
      </c>
      <c r="BN438" s="171">
        <f t="shared" si="659"/>
        <v>0</v>
      </c>
      <c r="BO438" s="171">
        <f t="shared" si="660"/>
        <v>0</v>
      </c>
      <c r="BP438" s="171">
        <f t="shared" si="660"/>
        <v>0</v>
      </c>
      <c r="BQ438" s="171">
        <f t="shared" si="660"/>
        <v>0</v>
      </c>
      <c r="BR438" s="171">
        <f t="shared" si="660"/>
        <v>0</v>
      </c>
      <c r="BS438" s="171">
        <f t="shared" si="660"/>
        <v>0</v>
      </c>
      <c r="BT438" s="171">
        <f t="shared" si="660"/>
        <v>0</v>
      </c>
      <c r="BU438" s="171">
        <f t="shared" si="660"/>
        <v>0</v>
      </c>
      <c r="BV438" s="171">
        <f t="shared" si="660"/>
        <v>0</v>
      </c>
      <c r="BW438" s="171">
        <f t="shared" si="660"/>
        <v>0</v>
      </c>
      <c r="BX438" s="171">
        <f t="shared" si="660"/>
        <v>0</v>
      </c>
      <c r="BY438" s="171">
        <f t="shared" si="661"/>
        <v>0</v>
      </c>
      <c r="BZ438" s="171">
        <f t="shared" si="661"/>
        <v>0</v>
      </c>
      <c r="CA438" s="171">
        <f t="shared" si="661"/>
        <v>0</v>
      </c>
      <c r="CB438" s="171">
        <f t="shared" si="661"/>
        <v>0</v>
      </c>
      <c r="CC438" s="171">
        <f t="shared" si="661"/>
        <v>0</v>
      </c>
      <c r="CD438" s="171">
        <f t="shared" si="661"/>
        <v>0</v>
      </c>
      <c r="CE438" s="171">
        <f t="shared" si="661"/>
        <v>0</v>
      </c>
      <c r="CF438" s="171">
        <f t="shared" si="661"/>
        <v>0</v>
      </c>
      <c r="CG438" s="171">
        <f t="shared" si="661"/>
        <v>0</v>
      </c>
      <c r="CH438" s="171">
        <f t="shared" si="661"/>
        <v>0</v>
      </c>
      <c r="CI438" s="171">
        <f t="shared" si="661"/>
        <v>0</v>
      </c>
      <c r="CJ438" s="243"/>
      <c r="CK438" s="171">
        <f t="shared" si="671"/>
        <v>0</v>
      </c>
      <c r="CL438" s="171">
        <f t="shared" si="672"/>
        <v>0</v>
      </c>
      <c r="CM438" s="171">
        <f t="shared" si="673"/>
        <v>0</v>
      </c>
      <c r="CN438" s="171">
        <f t="shared" si="674"/>
        <v>0</v>
      </c>
      <c r="CO438" s="171">
        <f t="shared" si="675"/>
        <v>0</v>
      </c>
      <c r="CP438" s="171">
        <f t="shared" si="676"/>
        <v>0</v>
      </c>
      <c r="CQ438" s="171">
        <f t="shared" si="677"/>
        <v>0</v>
      </c>
      <c r="CR438" s="171">
        <f t="shared" si="678"/>
        <v>0</v>
      </c>
      <c r="CS438" s="171">
        <f t="shared" si="679"/>
        <v>0</v>
      </c>
      <c r="CT438" s="171">
        <f t="shared" si="680"/>
        <v>0</v>
      </c>
      <c r="CU438" s="171">
        <f t="shared" si="681"/>
        <v>0</v>
      </c>
      <c r="CV438" s="171">
        <f t="shared" si="682"/>
        <v>0</v>
      </c>
      <c r="CW438" s="171">
        <f t="shared" si="683"/>
        <v>0</v>
      </c>
      <c r="CX438" s="171">
        <f t="shared" si="684"/>
        <v>0</v>
      </c>
      <c r="CY438" s="171">
        <f t="shared" ca="1" si="685"/>
        <v>0</v>
      </c>
      <c r="CZ438" s="171">
        <f t="shared" ca="1" si="686"/>
        <v>0</v>
      </c>
      <c r="DA438" s="171">
        <f t="shared" ca="1" si="687"/>
        <v>0</v>
      </c>
      <c r="DB438" s="171">
        <f t="shared" ca="1" si="688"/>
        <v>0</v>
      </c>
      <c r="DC438" s="171">
        <f t="shared" ca="1" si="689"/>
        <v>0</v>
      </c>
      <c r="DD438" s="171">
        <f t="shared" ca="1" si="690"/>
        <v>0</v>
      </c>
      <c r="DE438" s="171">
        <f t="shared" ca="1" si="691"/>
        <v>0</v>
      </c>
      <c r="DF438" s="171">
        <f t="shared" ca="1" si="692"/>
        <v>0</v>
      </c>
      <c r="DG438" s="171">
        <f t="shared" ca="1" si="693"/>
        <v>0</v>
      </c>
      <c r="DH438" s="171">
        <f t="shared" ca="1" si="694"/>
        <v>0</v>
      </c>
      <c r="DI438" s="171">
        <f t="shared" ca="1" si="695"/>
        <v>0</v>
      </c>
      <c r="DJ438" s="171">
        <f t="shared" ca="1" si="696"/>
        <v>0</v>
      </c>
      <c r="DK438" s="171">
        <f t="shared" ca="1" si="697"/>
        <v>0</v>
      </c>
      <c r="DL438" s="171">
        <f t="shared" ca="1" si="698"/>
        <v>0</v>
      </c>
      <c r="DM438" s="171">
        <f t="shared" ca="1" si="699"/>
        <v>0</v>
      </c>
      <c r="DN438" s="171">
        <f t="shared" ca="1" si="700"/>
        <v>0</v>
      </c>
      <c r="DO438" s="171">
        <f t="shared" ca="1" si="701"/>
        <v>0</v>
      </c>
      <c r="DP438" s="171">
        <f t="shared" ca="1" si="702"/>
        <v>0</v>
      </c>
      <c r="DQ438" s="171">
        <f t="shared" ca="1" si="703"/>
        <v>0</v>
      </c>
      <c r="DR438" s="171">
        <f t="shared" ca="1" si="704"/>
        <v>0</v>
      </c>
      <c r="DS438" s="171">
        <f t="shared" ca="1" si="705"/>
        <v>0</v>
      </c>
      <c r="DT438" s="171">
        <f t="shared" ca="1" si="706"/>
        <v>0</v>
      </c>
      <c r="DU438" s="171">
        <f t="shared" ca="1" si="707"/>
        <v>0</v>
      </c>
      <c r="DV438" s="171">
        <f t="shared" ca="1" si="708"/>
        <v>0</v>
      </c>
      <c r="DW438" s="171">
        <f t="shared" ca="1" si="709"/>
        <v>0</v>
      </c>
      <c r="DX438" s="171">
        <f t="shared" ca="1" si="710"/>
        <v>0</v>
      </c>
      <c r="DY438" s="171">
        <f t="shared" ca="1" si="711"/>
        <v>0</v>
      </c>
      <c r="DZ438" s="171">
        <f t="shared" ca="1" si="712"/>
        <v>0</v>
      </c>
      <c r="EA438" s="171">
        <f t="shared" ca="1" si="713"/>
        <v>0</v>
      </c>
      <c r="EB438" s="171">
        <f t="shared" ca="1" si="714"/>
        <v>0</v>
      </c>
      <c r="EC438" s="171">
        <f t="shared" ca="1" si="715"/>
        <v>0</v>
      </c>
      <c r="ED438" s="171">
        <f t="shared" ca="1" si="716"/>
        <v>0</v>
      </c>
      <c r="EE438" s="171">
        <f t="shared" ca="1" si="717"/>
        <v>0</v>
      </c>
      <c r="EF438" s="171">
        <f t="shared" ca="1" si="718"/>
        <v>0</v>
      </c>
      <c r="EG438" s="171">
        <f t="shared" ca="1" si="719"/>
        <v>0</v>
      </c>
      <c r="EH438" s="171">
        <f t="shared" ca="1" si="720"/>
        <v>0</v>
      </c>
      <c r="EI438" s="171">
        <f t="shared" ca="1" si="721"/>
        <v>0</v>
      </c>
      <c r="EJ438" s="171">
        <f t="shared" ca="1" si="722"/>
        <v>0</v>
      </c>
      <c r="EK438" s="171">
        <f t="shared" ca="1" si="723"/>
        <v>0</v>
      </c>
      <c r="EL438" s="171">
        <f t="shared" ca="1" si="724"/>
        <v>0</v>
      </c>
      <c r="EM438" s="171">
        <f t="shared" ca="1" si="725"/>
        <v>0</v>
      </c>
      <c r="EN438" s="171">
        <f t="shared" ca="1" si="726"/>
        <v>0</v>
      </c>
      <c r="EO438" s="171">
        <f t="shared" ca="1" si="727"/>
        <v>0</v>
      </c>
      <c r="EP438" s="171">
        <f t="shared" ca="1" si="728"/>
        <v>0</v>
      </c>
      <c r="EQ438" s="171">
        <f t="shared" ca="1" si="729"/>
        <v>0</v>
      </c>
      <c r="ER438" s="171">
        <f t="shared" ca="1" si="730"/>
        <v>0</v>
      </c>
      <c r="ES438" s="171">
        <f t="shared" ca="1" si="731"/>
        <v>0</v>
      </c>
    </row>
    <row r="439" spans="3:149">
      <c r="C439" s="214"/>
      <c r="L439" s="163"/>
      <c r="M439" s="164" t="str">
        <f t="shared" si="662"/>
        <v/>
      </c>
      <c r="N439" s="164" t="str">
        <f t="shared" si="663"/>
        <v/>
      </c>
      <c r="O439" s="165" t="str">
        <f t="shared" si="664"/>
        <v/>
      </c>
      <c r="R439" s="168" t="str">
        <f t="shared" si="732"/>
        <v/>
      </c>
      <c r="U439" s="171">
        <f t="shared" si="665"/>
        <v>0</v>
      </c>
      <c r="V439" s="171">
        <f t="shared" ca="1" si="666"/>
        <v>0</v>
      </c>
      <c r="W439" s="171">
        <f t="shared" ca="1" si="667"/>
        <v>0</v>
      </c>
      <c r="X439" s="172">
        <f t="shared" si="668"/>
        <v>0</v>
      </c>
      <c r="Y439" s="172" t="str">
        <f t="shared" si="669"/>
        <v/>
      </c>
      <c r="Z439" s="173">
        <f t="shared" si="670"/>
        <v>0</v>
      </c>
      <c r="AA439" s="171">
        <f t="shared" ref="AA439:AJ448" si="733">IFERROR(
    IF($T439="Equity",
        IF(AND(AA$48&gt;=$E439, AA$48&lt;=($E439+$Q439)),
$K439*$P439*(VLOOKUP($C$39,$C$37:$BL$44,MATCH($E439,$C$37:$BL$37,0),FALSE)/VLOOKUP($L439,$C$37:$BL$44,MATCH($E439,$C$37:$BL$37,0),FALSE))*
IF($B$5="Foreign Currency",VLOOKUP($C$38,$C$37:$BL$44,MATCH(AA$48,$C$37:$BL$37,0),FALSE)/VLOOKUP($C$39,$C$37:$BL$44,MATCH(AA$48,$C$37:$BL$37,0),FALSE),1),
0),
    IF($T439="Lump Sum Principal",
        IF(AND(AA$48&gt;=$E439, AA$48&lt;($E439+$Q439)),
$K439*$P439*(VLOOKUP($C$39,$C$37:$BL$44,MATCH($E439,$C$37:$BL$37,0),FALSE)/VLOOKUP($L439,$C$37:$BL$44,MATCH($E439,$C$37:$BL$37,0),FALSE))*
IF($B$5="Foreign Currency",VLOOKUP($C$38,$C$37:$BL$44,MATCH(AA$48,$C$37:$BL$37,0),FALSE)/VLOOKUP($C$39,$C$37:$BL$44,MATCH(AA$48,$C$37:$BL$37,0),FALSE),1),
        IF(AA$48=($E439+$Q439),
$K439*(1+$P439)*(VLOOKUP($C$39,$C$37:$BL$44,MATCH($E439,$C$37:$BL$37,0),FALSE)/VLOOKUP($L439,$C$37:$BL$44,MATCH($E439,$C$37:$BL$37,0),FALSE))*
IF($B$5="Foreign Currency",VLOOKUP($C$38,$C$37:$BL$44,MATCH(AA$48,$C$37:$BL$37,0),FALSE)/VLOOKUP($C$39,$C$37:$BL$44,MATCH(AA$48,$C$37:$BL$37,0),FALSE),1),
0)),
    IF($T439="Lump Sum Principal and Interest",
        IF(AA$48=($E439+$Q439),
$K439*((1+$P439)^$Q439)*(VLOOKUP($C$39,$C$37:$BL$44,MATCH($E439,$C$37:$BL$37,0),FALSE)/VLOOKUP($L439,$C$37:$BL$44,MATCH($E439,$C$37:$BL$37,0),FALSE))*
IF($B$5="Foreign Currency",VLOOKUP($C$38,$C$37:$BL$44,MATCH(AA$48,$C$37:$BL$37,0),FALSE)/VLOOKUP($C$39,$C$37:$BL$44,MATCH(AA$48,$C$37:$BL$37,0),FALSE),1),
0),
    IF($T439="EPP with Grace Years for Principal",
        IF(AND(AA$48&gt;=$E439, AA$48&lt;($E439+$S439)),
$K439*$P439*(VLOOKUP($C$39,$C$37:$BL$44,MATCH($E439,$C$37:$BL$37,0),FALSE)/VLOOKUP($L439,$C$37:$BL$44,MATCH($E439,$C$37:$BL$37,0),FALSE))*
IF($B$5="Foreign Currency",VLOOKUP($C$38,$C$37:$BL$44,MATCH(AA$48,$C$37:$BL$37,0),FALSE)/VLOOKUP($C$39,$C$37:$BL$44,MATCH(AA$48,$C$37:$BL$37,0),FALSE),1),
        IF(AND(AA$48&gt;=($E439+$S439), AA$48&lt;=($E439+$Q439)),
-PMT($P439,($Q439-$S439+1),($K439*(VLOOKUP($C$39,$C$37:$BL$44,MATCH($E439,$C$37:$BL$37,0),FALSE)/VLOOKUP($L439,$C$37:$BL$44,MATCH($E439,$C$37:$BL$37,0),FALSE))*
IF($B$5="Foreign Currency",VLOOKUP($C$38,$C$37:$BL$44,MATCH(AA$48,$C$37:$BL$37,0),FALSE)/VLOOKUP($C$39,$C$37:$BL$44,MATCH(AA$48,$C$37:$BL$37,0),FALSE),1)),0),
0)),
    IF($T439="Equal Principal Payments (EPP)",
        IF(AND(AA$48&gt;=$E439, AA$48&lt;=($E439+$Q439)),
-PMT($P439,($Q439-$S439+1),($K439*(VLOOKUP($C$39,$C$37:$BL$44,MATCH($E439,$C$37:$BL$37,0),FALSE)/VLOOKUP($L439,$C$37:$BL$44,MATCH($E439,$C$37:$BL$37,0),FALSE))*
IF($B$5="Foreign Currency",VLOOKUP($C$38,$C$37:$BL$44,MATCH(AA$48,$C$37:$BL$37,0),FALSE)/VLOOKUP($C$39,$C$37:$BL$44,MATCH(AA$48,$C$37:$BL$37,0),FALSE),1)),0), 0),
    IF($T439="EPP with Grace Years for Principal and on Interest",
        IF(AND(AA$48&gt;=($E439+$S439), AA$48&lt;=($E439+$Q439)),
-PMT($P439,($Q439-$S439+1),($K439*(VLOOKUP($C$39,$C$37:$BL$44,MATCH($E439,$C$37:$BL$37,0),FALSE)/VLOOKUP($L439,$C$37:$BL$44,MATCH($E439,$C$37:$BL$37,0),FALSE))*
IF($B$5="Foreign Currency",VLOOKUP($C$38,$C$37:$BL$44,MATCH(AA$48,$C$37:$BL$37,0),FALSE)/VLOOKUP($C$39,$C$37:$BL$44,MATCH(AA$48,$C$37:$BL$37,0),FALSE),1))*((1+$P439)^$S439),0), 0),
    0)))))),"")</f>
        <v>0</v>
      </c>
      <c r="AB439" s="171">
        <f t="shared" si="733"/>
        <v>0</v>
      </c>
      <c r="AC439" s="171">
        <f t="shared" si="733"/>
        <v>0</v>
      </c>
      <c r="AD439" s="171">
        <f t="shared" si="733"/>
        <v>0</v>
      </c>
      <c r="AE439" s="171">
        <f t="shared" si="733"/>
        <v>0</v>
      </c>
      <c r="AF439" s="171">
        <f t="shared" si="733"/>
        <v>0</v>
      </c>
      <c r="AG439" s="171">
        <f t="shared" si="733"/>
        <v>0</v>
      </c>
      <c r="AH439" s="171">
        <f t="shared" si="733"/>
        <v>0</v>
      </c>
      <c r="AI439" s="171">
        <f t="shared" si="733"/>
        <v>0</v>
      </c>
      <c r="AJ439" s="171">
        <f t="shared" si="733"/>
        <v>0</v>
      </c>
      <c r="AK439" s="171">
        <f t="shared" ref="AK439:AT448" si="734">IFERROR(
    IF($T439="Equity",
        IF(AND(AK$48&gt;=$E439, AK$48&lt;=($E439+$Q439)),
$K439*$P439*(VLOOKUP($C$39,$C$37:$BL$44,MATCH($E439,$C$37:$BL$37,0),FALSE)/VLOOKUP($L439,$C$37:$BL$44,MATCH($E439,$C$37:$BL$37,0),FALSE))*
IF($B$5="Foreign Currency",VLOOKUP($C$38,$C$37:$BL$44,MATCH(AK$48,$C$37:$BL$37,0),FALSE)/VLOOKUP($C$39,$C$37:$BL$44,MATCH(AK$48,$C$37:$BL$37,0),FALSE),1),
0),
    IF($T439="Lump Sum Principal",
        IF(AND(AK$48&gt;=$E439, AK$48&lt;($E439+$Q439)),
$K439*$P439*(VLOOKUP($C$39,$C$37:$BL$44,MATCH($E439,$C$37:$BL$37,0),FALSE)/VLOOKUP($L439,$C$37:$BL$44,MATCH($E439,$C$37:$BL$37,0),FALSE))*
IF($B$5="Foreign Currency",VLOOKUP($C$38,$C$37:$BL$44,MATCH(AK$48,$C$37:$BL$37,0),FALSE)/VLOOKUP($C$39,$C$37:$BL$44,MATCH(AK$48,$C$37:$BL$37,0),FALSE),1),
        IF(AK$48=($E439+$Q439),
$K439*(1+$P439)*(VLOOKUP($C$39,$C$37:$BL$44,MATCH($E439,$C$37:$BL$37,0),FALSE)/VLOOKUP($L439,$C$37:$BL$44,MATCH($E439,$C$37:$BL$37,0),FALSE))*
IF($B$5="Foreign Currency",VLOOKUP($C$38,$C$37:$BL$44,MATCH(AK$48,$C$37:$BL$37,0),FALSE)/VLOOKUP($C$39,$C$37:$BL$44,MATCH(AK$48,$C$37:$BL$37,0),FALSE),1),
0)),
    IF($T439="Lump Sum Principal and Interest",
        IF(AK$48=($E439+$Q439),
$K439*((1+$P439)^$Q439)*(VLOOKUP($C$39,$C$37:$BL$44,MATCH($E439,$C$37:$BL$37,0),FALSE)/VLOOKUP($L439,$C$37:$BL$44,MATCH($E439,$C$37:$BL$37,0),FALSE))*
IF($B$5="Foreign Currency",VLOOKUP($C$38,$C$37:$BL$44,MATCH(AK$48,$C$37:$BL$37,0),FALSE)/VLOOKUP($C$39,$C$37:$BL$44,MATCH(AK$48,$C$37:$BL$37,0),FALSE),1),
0),
    IF($T439="EPP with Grace Years for Principal",
        IF(AND(AK$48&gt;=$E439, AK$48&lt;($E439+$S439)),
$K439*$P439*(VLOOKUP($C$39,$C$37:$BL$44,MATCH($E439,$C$37:$BL$37,0),FALSE)/VLOOKUP($L439,$C$37:$BL$44,MATCH($E439,$C$37:$BL$37,0),FALSE))*
IF($B$5="Foreign Currency",VLOOKUP($C$38,$C$37:$BL$44,MATCH(AK$48,$C$37:$BL$37,0),FALSE)/VLOOKUP($C$39,$C$37:$BL$44,MATCH(AK$48,$C$37:$BL$37,0),FALSE),1),
        IF(AND(AK$48&gt;=($E439+$S439), AK$48&lt;=($E439+$Q439)),
-PMT($P439,($Q439-$S439+1),($K439*(VLOOKUP($C$39,$C$37:$BL$44,MATCH($E439,$C$37:$BL$37,0),FALSE)/VLOOKUP($L439,$C$37:$BL$44,MATCH($E439,$C$37:$BL$37,0),FALSE))*
IF($B$5="Foreign Currency",VLOOKUP($C$38,$C$37:$BL$44,MATCH(AK$48,$C$37:$BL$37,0),FALSE)/VLOOKUP($C$39,$C$37:$BL$44,MATCH(AK$48,$C$37:$BL$37,0),FALSE),1)),0),
0)),
    IF($T439="Equal Principal Payments (EPP)",
        IF(AND(AK$48&gt;=$E439, AK$48&lt;=($E439+$Q439)),
-PMT($P439,($Q439-$S439+1),($K439*(VLOOKUP($C$39,$C$37:$BL$44,MATCH($E439,$C$37:$BL$37,0),FALSE)/VLOOKUP($L439,$C$37:$BL$44,MATCH($E439,$C$37:$BL$37,0),FALSE))*
IF($B$5="Foreign Currency",VLOOKUP($C$38,$C$37:$BL$44,MATCH(AK$48,$C$37:$BL$37,0),FALSE)/VLOOKUP($C$39,$C$37:$BL$44,MATCH(AK$48,$C$37:$BL$37,0),FALSE),1)),0), 0),
    IF($T439="EPP with Grace Years for Principal and on Interest",
        IF(AND(AK$48&gt;=($E439+$S439), AK$48&lt;=($E439+$Q439)),
-PMT($P439,($Q439-$S439+1),($K439*(VLOOKUP($C$39,$C$37:$BL$44,MATCH($E439,$C$37:$BL$37,0),FALSE)/VLOOKUP($L439,$C$37:$BL$44,MATCH($E439,$C$37:$BL$37,0),FALSE))*
IF($B$5="Foreign Currency",VLOOKUP($C$38,$C$37:$BL$44,MATCH(AK$48,$C$37:$BL$37,0),FALSE)/VLOOKUP($C$39,$C$37:$BL$44,MATCH(AK$48,$C$37:$BL$37,0),FALSE),1))*((1+$P439)^$S439),0), 0),
    0)))))),"")</f>
        <v>0</v>
      </c>
      <c r="AL439" s="171">
        <f t="shared" si="734"/>
        <v>0</v>
      </c>
      <c r="AM439" s="171">
        <f t="shared" si="734"/>
        <v>0</v>
      </c>
      <c r="AN439" s="171">
        <f t="shared" si="734"/>
        <v>0</v>
      </c>
      <c r="AO439" s="171">
        <f t="shared" si="734"/>
        <v>0</v>
      </c>
      <c r="AP439" s="171">
        <f t="shared" si="734"/>
        <v>0</v>
      </c>
      <c r="AQ439" s="171">
        <f t="shared" si="734"/>
        <v>0</v>
      </c>
      <c r="AR439" s="171">
        <f t="shared" si="734"/>
        <v>0</v>
      </c>
      <c r="AS439" s="171">
        <f t="shared" si="734"/>
        <v>0</v>
      </c>
      <c r="AT439" s="171">
        <f t="shared" si="734"/>
        <v>0</v>
      </c>
      <c r="AU439" s="171">
        <f t="shared" ref="AU439:BD448" si="735">IFERROR(
    IF($T439="Equity",
        IF(AND(AU$48&gt;=$E439, AU$48&lt;=($E439+$Q439)),
$K439*$P439*(VLOOKUP($C$39,$C$37:$BL$44,MATCH($E439,$C$37:$BL$37,0),FALSE)/VLOOKUP($L439,$C$37:$BL$44,MATCH($E439,$C$37:$BL$37,0),FALSE))*
IF($B$5="Foreign Currency",VLOOKUP($C$38,$C$37:$BL$44,MATCH(AU$48,$C$37:$BL$37,0),FALSE)/VLOOKUP($C$39,$C$37:$BL$44,MATCH(AU$48,$C$37:$BL$37,0),FALSE),1),
0),
    IF($T439="Lump Sum Principal",
        IF(AND(AU$48&gt;=$E439, AU$48&lt;($E439+$Q439)),
$K439*$P439*(VLOOKUP($C$39,$C$37:$BL$44,MATCH($E439,$C$37:$BL$37,0),FALSE)/VLOOKUP($L439,$C$37:$BL$44,MATCH($E439,$C$37:$BL$37,0),FALSE))*
IF($B$5="Foreign Currency",VLOOKUP($C$38,$C$37:$BL$44,MATCH(AU$48,$C$37:$BL$37,0),FALSE)/VLOOKUP($C$39,$C$37:$BL$44,MATCH(AU$48,$C$37:$BL$37,0),FALSE),1),
        IF(AU$48=($E439+$Q439),
$K439*(1+$P439)*(VLOOKUP($C$39,$C$37:$BL$44,MATCH($E439,$C$37:$BL$37,0),FALSE)/VLOOKUP($L439,$C$37:$BL$44,MATCH($E439,$C$37:$BL$37,0),FALSE))*
IF($B$5="Foreign Currency",VLOOKUP($C$38,$C$37:$BL$44,MATCH(AU$48,$C$37:$BL$37,0),FALSE)/VLOOKUP($C$39,$C$37:$BL$44,MATCH(AU$48,$C$37:$BL$37,0),FALSE),1),
0)),
    IF($T439="Lump Sum Principal and Interest",
        IF(AU$48=($E439+$Q439),
$K439*((1+$P439)^$Q439)*(VLOOKUP($C$39,$C$37:$BL$44,MATCH($E439,$C$37:$BL$37,0),FALSE)/VLOOKUP($L439,$C$37:$BL$44,MATCH($E439,$C$37:$BL$37,0),FALSE))*
IF($B$5="Foreign Currency",VLOOKUP($C$38,$C$37:$BL$44,MATCH(AU$48,$C$37:$BL$37,0),FALSE)/VLOOKUP($C$39,$C$37:$BL$44,MATCH(AU$48,$C$37:$BL$37,0),FALSE),1),
0),
    IF($T439="EPP with Grace Years for Principal",
        IF(AND(AU$48&gt;=$E439, AU$48&lt;($E439+$S439)),
$K439*$P439*(VLOOKUP($C$39,$C$37:$BL$44,MATCH($E439,$C$37:$BL$37,0),FALSE)/VLOOKUP($L439,$C$37:$BL$44,MATCH($E439,$C$37:$BL$37,0),FALSE))*
IF($B$5="Foreign Currency",VLOOKUP($C$38,$C$37:$BL$44,MATCH(AU$48,$C$37:$BL$37,0),FALSE)/VLOOKUP($C$39,$C$37:$BL$44,MATCH(AU$48,$C$37:$BL$37,0),FALSE),1),
        IF(AND(AU$48&gt;=($E439+$S439), AU$48&lt;=($E439+$Q439)),
-PMT($P439,($Q439-$S439+1),($K439*(VLOOKUP($C$39,$C$37:$BL$44,MATCH($E439,$C$37:$BL$37,0),FALSE)/VLOOKUP($L439,$C$37:$BL$44,MATCH($E439,$C$37:$BL$37,0),FALSE))*
IF($B$5="Foreign Currency",VLOOKUP($C$38,$C$37:$BL$44,MATCH(AU$48,$C$37:$BL$37,0),FALSE)/VLOOKUP($C$39,$C$37:$BL$44,MATCH(AU$48,$C$37:$BL$37,0),FALSE),1)),0),
0)),
    IF($T439="Equal Principal Payments (EPP)",
        IF(AND(AU$48&gt;=$E439, AU$48&lt;=($E439+$Q439)),
-PMT($P439,($Q439-$S439+1),($K439*(VLOOKUP($C$39,$C$37:$BL$44,MATCH($E439,$C$37:$BL$37,0),FALSE)/VLOOKUP($L439,$C$37:$BL$44,MATCH($E439,$C$37:$BL$37,0),FALSE))*
IF($B$5="Foreign Currency",VLOOKUP($C$38,$C$37:$BL$44,MATCH(AU$48,$C$37:$BL$37,0),FALSE)/VLOOKUP($C$39,$C$37:$BL$44,MATCH(AU$48,$C$37:$BL$37,0),FALSE),1)),0), 0),
    IF($T439="EPP with Grace Years for Principal and on Interest",
        IF(AND(AU$48&gt;=($E439+$S439), AU$48&lt;=($E439+$Q439)),
-PMT($P439,($Q439-$S439+1),($K439*(VLOOKUP($C$39,$C$37:$BL$44,MATCH($E439,$C$37:$BL$37,0),FALSE)/VLOOKUP($L439,$C$37:$BL$44,MATCH($E439,$C$37:$BL$37,0),FALSE))*
IF($B$5="Foreign Currency",VLOOKUP($C$38,$C$37:$BL$44,MATCH(AU$48,$C$37:$BL$37,0),FALSE)/VLOOKUP($C$39,$C$37:$BL$44,MATCH(AU$48,$C$37:$BL$37,0),FALSE),1))*((1+$P439)^$S439),0), 0),
    0)))))),"")</f>
        <v>0</v>
      </c>
      <c r="AV439" s="171">
        <f t="shared" si="735"/>
        <v>0</v>
      </c>
      <c r="AW439" s="171">
        <f t="shared" si="735"/>
        <v>0</v>
      </c>
      <c r="AX439" s="171">
        <f t="shared" si="735"/>
        <v>0</v>
      </c>
      <c r="AY439" s="171">
        <f t="shared" si="735"/>
        <v>0</v>
      </c>
      <c r="AZ439" s="171">
        <f t="shared" si="735"/>
        <v>0</v>
      </c>
      <c r="BA439" s="171">
        <f t="shared" si="735"/>
        <v>0</v>
      </c>
      <c r="BB439" s="171">
        <f t="shared" si="735"/>
        <v>0</v>
      </c>
      <c r="BC439" s="171">
        <f t="shared" si="735"/>
        <v>0</v>
      </c>
      <c r="BD439" s="171">
        <f t="shared" si="735"/>
        <v>0</v>
      </c>
      <c r="BE439" s="171">
        <f t="shared" ref="BE439:BN448" si="736">IFERROR(
    IF($T439="Equity",
        IF(AND(BE$48&gt;=$E439, BE$48&lt;=($E439+$Q439)),
$K439*$P439*(VLOOKUP($C$39,$C$37:$BL$44,MATCH($E439,$C$37:$BL$37,0),FALSE)/VLOOKUP($L439,$C$37:$BL$44,MATCH($E439,$C$37:$BL$37,0),FALSE))*
IF($B$5="Foreign Currency",VLOOKUP($C$38,$C$37:$BL$44,MATCH(BE$48,$C$37:$BL$37,0),FALSE)/VLOOKUP($C$39,$C$37:$BL$44,MATCH(BE$48,$C$37:$BL$37,0),FALSE),1),
0),
    IF($T439="Lump Sum Principal",
        IF(AND(BE$48&gt;=$E439, BE$48&lt;($E439+$Q439)),
$K439*$P439*(VLOOKUP($C$39,$C$37:$BL$44,MATCH($E439,$C$37:$BL$37,0),FALSE)/VLOOKUP($L439,$C$37:$BL$44,MATCH($E439,$C$37:$BL$37,0),FALSE))*
IF($B$5="Foreign Currency",VLOOKUP($C$38,$C$37:$BL$44,MATCH(BE$48,$C$37:$BL$37,0),FALSE)/VLOOKUP($C$39,$C$37:$BL$44,MATCH(BE$48,$C$37:$BL$37,0),FALSE),1),
        IF(BE$48=($E439+$Q439),
$K439*(1+$P439)*(VLOOKUP($C$39,$C$37:$BL$44,MATCH($E439,$C$37:$BL$37,0),FALSE)/VLOOKUP($L439,$C$37:$BL$44,MATCH($E439,$C$37:$BL$37,0),FALSE))*
IF($B$5="Foreign Currency",VLOOKUP($C$38,$C$37:$BL$44,MATCH(BE$48,$C$37:$BL$37,0),FALSE)/VLOOKUP($C$39,$C$37:$BL$44,MATCH(BE$48,$C$37:$BL$37,0),FALSE),1),
0)),
    IF($T439="Lump Sum Principal and Interest",
        IF(BE$48=($E439+$Q439),
$K439*((1+$P439)^$Q439)*(VLOOKUP($C$39,$C$37:$BL$44,MATCH($E439,$C$37:$BL$37,0),FALSE)/VLOOKUP($L439,$C$37:$BL$44,MATCH($E439,$C$37:$BL$37,0),FALSE))*
IF($B$5="Foreign Currency",VLOOKUP($C$38,$C$37:$BL$44,MATCH(BE$48,$C$37:$BL$37,0),FALSE)/VLOOKUP($C$39,$C$37:$BL$44,MATCH(BE$48,$C$37:$BL$37,0),FALSE),1),
0),
    IF($T439="EPP with Grace Years for Principal",
        IF(AND(BE$48&gt;=$E439, BE$48&lt;($E439+$S439)),
$K439*$P439*(VLOOKUP($C$39,$C$37:$BL$44,MATCH($E439,$C$37:$BL$37,0),FALSE)/VLOOKUP($L439,$C$37:$BL$44,MATCH($E439,$C$37:$BL$37,0),FALSE))*
IF($B$5="Foreign Currency",VLOOKUP($C$38,$C$37:$BL$44,MATCH(BE$48,$C$37:$BL$37,0),FALSE)/VLOOKUP($C$39,$C$37:$BL$44,MATCH(BE$48,$C$37:$BL$37,0),FALSE),1),
        IF(AND(BE$48&gt;=($E439+$S439), BE$48&lt;=($E439+$Q439)),
-PMT($P439,($Q439-$S439+1),($K439*(VLOOKUP($C$39,$C$37:$BL$44,MATCH($E439,$C$37:$BL$37,0),FALSE)/VLOOKUP($L439,$C$37:$BL$44,MATCH($E439,$C$37:$BL$37,0),FALSE))*
IF($B$5="Foreign Currency",VLOOKUP($C$38,$C$37:$BL$44,MATCH(BE$48,$C$37:$BL$37,0),FALSE)/VLOOKUP($C$39,$C$37:$BL$44,MATCH(BE$48,$C$37:$BL$37,0),FALSE),1)),0),
0)),
    IF($T439="Equal Principal Payments (EPP)",
        IF(AND(BE$48&gt;=$E439, BE$48&lt;=($E439+$Q439)),
-PMT($P439,($Q439-$S439+1),($K439*(VLOOKUP($C$39,$C$37:$BL$44,MATCH($E439,$C$37:$BL$37,0),FALSE)/VLOOKUP($L439,$C$37:$BL$44,MATCH($E439,$C$37:$BL$37,0),FALSE))*
IF($B$5="Foreign Currency",VLOOKUP($C$38,$C$37:$BL$44,MATCH(BE$48,$C$37:$BL$37,0),FALSE)/VLOOKUP($C$39,$C$37:$BL$44,MATCH(BE$48,$C$37:$BL$37,0),FALSE),1)),0), 0),
    IF($T439="EPP with Grace Years for Principal and on Interest",
        IF(AND(BE$48&gt;=($E439+$S439), BE$48&lt;=($E439+$Q439)),
-PMT($P439,($Q439-$S439+1),($K439*(VLOOKUP($C$39,$C$37:$BL$44,MATCH($E439,$C$37:$BL$37,0),FALSE)/VLOOKUP($L439,$C$37:$BL$44,MATCH($E439,$C$37:$BL$37,0),FALSE))*
IF($B$5="Foreign Currency",VLOOKUP($C$38,$C$37:$BL$44,MATCH(BE$48,$C$37:$BL$37,0),FALSE)/VLOOKUP($C$39,$C$37:$BL$44,MATCH(BE$48,$C$37:$BL$37,0),FALSE),1))*((1+$P439)^$S439),0), 0),
    0)))))),"")</f>
        <v>0</v>
      </c>
      <c r="BF439" s="171">
        <f t="shared" si="736"/>
        <v>0</v>
      </c>
      <c r="BG439" s="171">
        <f t="shared" si="736"/>
        <v>0</v>
      </c>
      <c r="BH439" s="171">
        <f t="shared" si="736"/>
        <v>0</v>
      </c>
      <c r="BI439" s="171">
        <f t="shared" si="736"/>
        <v>0</v>
      </c>
      <c r="BJ439" s="171">
        <f t="shared" si="736"/>
        <v>0</v>
      </c>
      <c r="BK439" s="171">
        <f t="shared" si="736"/>
        <v>0</v>
      </c>
      <c r="BL439" s="171">
        <f t="shared" si="736"/>
        <v>0</v>
      </c>
      <c r="BM439" s="171">
        <f t="shared" si="736"/>
        <v>0</v>
      </c>
      <c r="BN439" s="171">
        <f t="shared" si="736"/>
        <v>0</v>
      </c>
      <c r="BO439" s="171">
        <f t="shared" ref="BO439:BX448" si="737">IFERROR(
    IF($T439="Equity",
        IF(AND(BO$48&gt;=$E439, BO$48&lt;=($E439+$Q439)),
$K439*$P439*(VLOOKUP($C$39,$C$37:$BL$44,MATCH($E439,$C$37:$BL$37,0),FALSE)/VLOOKUP($L439,$C$37:$BL$44,MATCH($E439,$C$37:$BL$37,0),FALSE))*
IF($B$5="Foreign Currency",VLOOKUP($C$38,$C$37:$BL$44,MATCH(BO$48,$C$37:$BL$37,0),FALSE)/VLOOKUP($C$39,$C$37:$BL$44,MATCH(BO$48,$C$37:$BL$37,0),FALSE),1),
0),
    IF($T439="Lump Sum Principal",
        IF(AND(BO$48&gt;=$E439, BO$48&lt;($E439+$Q439)),
$K439*$P439*(VLOOKUP($C$39,$C$37:$BL$44,MATCH($E439,$C$37:$BL$37,0),FALSE)/VLOOKUP($L439,$C$37:$BL$44,MATCH($E439,$C$37:$BL$37,0),FALSE))*
IF($B$5="Foreign Currency",VLOOKUP($C$38,$C$37:$BL$44,MATCH(BO$48,$C$37:$BL$37,0),FALSE)/VLOOKUP($C$39,$C$37:$BL$44,MATCH(BO$48,$C$37:$BL$37,0),FALSE),1),
        IF(BO$48=($E439+$Q439),
$K439*(1+$P439)*(VLOOKUP($C$39,$C$37:$BL$44,MATCH($E439,$C$37:$BL$37,0),FALSE)/VLOOKUP($L439,$C$37:$BL$44,MATCH($E439,$C$37:$BL$37,0),FALSE))*
IF($B$5="Foreign Currency",VLOOKUP($C$38,$C$37:$BL$44,MATCH(BO$48,$C$37:$BL$37,0),FALSE)/VLOOKUP($C$39,$C$37:$BL$44,MATCH(BO$48,$C$37:$BL$37,0),FALSE),1),
0)),
    IF($T439="Lump Sum Principal and Interest",
        IF(BO$48=($E439+$Q439),
$K439*((1+$P439)^$Q439)*(VLOOKUP($C$39,$C$37:$BL$44,MATCH($E439,$C$37:$BL$37,0),FALSE)/VLOOKUP($L439,$C$37:$BL$44,MATCH($E439,$C$37:$BL$37,0),FALSE))*
IF($B$5="Foreign Currency",VLOOKUP($C$38,$C$37:$BL$44,MATCH(BO$48,$C$37:$BL$37,0),FALSE)/VLOOKUP($C$39,$C$37:$BL$44,MATCH(BO$48,$C$37:$BL$37,0),FALSE),1),
0),
    IF($T439="EPP with Grace Years for Principal",
        IF(AND(BO$48&gt;=$E439, BO$48&lt;($E439+$S439)),
$K439*$P439*(VLOOKUP($C$39,$C$37:$BL$44,MATCH($E439,$C$37:$BL$37,0),FALSE)/VLOOKUP($L439,$C$37:$BL$44,MATCH($E439,$C$37:$BL$37,0),FALSE))*
IF($B$5="Foreign Currency",VLOOKUP($C$38,$C$37:$BL$44,MATCH(BO$48,$C$37:$BL$37,0),FALSE)/VLOOKUP($C$39,$C$37:$BL$44,MATCH(BO$48,$C$37:$BL$37,0),FALSE),1),
        IF(AND(BO$48&gt;=($E439+$S439), BO$48&lt;=($E439+$Q439)),
-PMT($P439,($Q439-$S439+1),($K439*(VLOOKUP($C$39,$C$37:$BL$44,MATCH($E439,$C$37:$BL$37,0),FALSE)/VLOOKUP($L439,$C$37:$BL$44,MATCH($E439,$C$37:$BL$37,0),FALSE))*
IF($B$5="Foreign Currency",VLOOKUP($C$38,$C$37:$BL$44,MATCH(BO$48,$C$37:$BL$37,0),FALSE)/VLOOKUP($C$39,$C$37:$BL$44,MATCH(BO$48,$C$37:$BL$37,0),FALSE),1)),0),
0)),
    IF($T439="Equal Principal Payments (EPP)",
        IF(AND(BO$48&gt;=$E439, BO$48&lt;=($E439+$Q439)),
-PMT($P439,($Q439-$S439+1),($K439*(VLOOKUP($C$39,$C$37:$BL$44,MATCH($E439,$C$37:$BL$37,0),FALSE)/VLOOKUP($L439,$C$37:$BL$44,MATCH($E439,$C$37:$BL$37,0),FALSE))*
IF($B$5="Foreign Currency",VLOOKUP($C$38,$C$37:$BL$44,MATCH(BO$48,$C$37:$BL$37,0),FALSE)/VLOOKUP($C$39,$C$37:$BL$44,MATCH(BO$48,$C$37:$BL$37,0),FALSE),1)),0), 0),
    IF($T439="EPP with Grace Years for Principal and on Interest",
        IF(AND(BO$48&gt;=($E439+$S439), BO$48&lt;=($E439+$Q439)),
-PMT($P439,($Q439-$S439+1),($K439*(VLOOKUP($C$39,$C$37:$BL$44,MATCH($E439,$C$37:$BL$37,0),FALSE)/VLOOKUP($L439,$C$37:$BL$44,MATCH($E439,$C$37:$BL$37,0),FALSE))*
IF($B$5="Foreign Currency",VLOOKUP($C$38,$C$37:$BL$44,MATCH(BO$48,$C$37:$BL$37,0),FALSE)/VLOOKUP($C$39,$C$37:$BL$44,MATCH(BO$48,$C$37:$BL$37,0),FALSE),1))*((1+$P439)^$S439),0), 0),
    0)))))),"")</f>
        <v>0</v>
      </c>
      <c r="BP439" s="171">
        <f t="shared" si="737"/>
        <v>0</v>
      </c>
      <c r="BQ439" s="171">
        <f t="shared" si="737"/>
        <v>0</v>
      </c>
      <c r="BR439" s="171">
        <f t="shared" si="737"/>
        <v>0</v>
      </c>
      <c r="BS439" s="171">
        <f t="shared" si="737"/>
        <v>0</v>
      </c>
      <c r="BT439" s="171">
        <f t="shared" si="737"/>
        <v>0</v>
      </c>
      <c r="BU439" s="171">
        <f t="shared" si="737"/>
        <v>0</v>
      </c>
      <c r="BV439" s="171">
        <f t="shared" si="737"/>
        <v>0</v>
      </c>
      <c r="BW439" s="171">
        <f t="shared" si="737"/>
        <v>0</v>
      </c>
      <c r="BX439" s="171">
        <f t="shared" si="737"/>
        <v>0</v>
      </c>
      <c r="BY439" s="171">
        <f t="shared" ref="BY439:CI448" si="738">IFERROR(
    IF($T439="Equity",
        IF(AND(BY$48&gt;=$E439, BY$48&lt;=($E439+$Q439)),
$K439*$P439*(VLOOKUP($C$39,$C$37:$BL$44,MATCH($E439,$C$37:$BL$37,0),FALSE)/VLOOKUP($L439,$C$37:$BL$44,MATCH($E439,$C$37:$BL$37,0),FALSE))*
IF($B$5="Foreign Currency",VLOOKUP($C$38,$C$37:$BL$44,MATCH(BY$48,$C$37:$BL$37,0),FALSE)/VLOOKUP($C$39,$C$37:$BL$44,MATCH(BY$48,$C$37:$BL$37,0),FALSE),1),
0),
    IF($T439="Lump Sum Principal",
        IF(AND(BY$48&gt;=$E439, BY$48&lt;($E439+$Q439)),
$K439*$P439*(VLOOKUP($C$39,$C$37:$BL$44,MATCH($E439,$C$37:$BL$37,0),FALSE)/VLOOKUP($L439,$C$37:$BL$44,MATCH($E439,$C$37:$BL$37,0),FALSE))*
IF($B$5="Foreign Currency",VLOOKUP($C$38,$C$37:$BL$44,MATCH(BY$48,$C$37:$BL$37,0),FALSE)/VLOOKUP($C$39,$C$37:$BL$44,MATCH(BY$48,$C$37:$BL$37,0),FALSE),1),
        IF(BY$48=($E439+$Q439),
$K439*(1+$P439)*(VLOOKUP($C$39,$C$37:$BL$44,MATCH($E439,$C$37:$BL$37,0),FALSE)/VLOOKUP($L439,$C$37:$BL$44,MATCH($E439,$C$37:$BL$37,0),FALSE))*
IF($B$5="Foreign Currency",VLOOKUP($C$38,$C$37:$BL$44,MATCH(BY$48,$C$37:$BL$37,0),FALSE)/VLOOKUP($C$39,$C$37:$BL$44,MATCH(BY$48,$C$37:$BL$37,0),FALSE),1),
0)),
    IF($T439="Lump Sum Principal and Interest",
        IF(BY$48=($E439+$Q439),
$K439*((1+$P439)^$Q439)*(VLOOKUP($C$39,$C$37:$BL$44,MATCH($E439,$C$37:$BL$37,0),FALSE)/VLOOKUP($L439,$C$37:$BL$44,MATCH($E439,$C$37:$BL$37,0),FALSE))*
IF($B$5="Foreign Currency",VLOOKUP($C$38,$C$37:$BL$44,MATCH(BY$48,$C$37:$BL$37,0),FALSE)/VLOOKUP($C$39,$C$37:$BL$44,MATCH(BY$48,$C$37:$BL$37,0),FALSE),1),
0),
    IF($T439="EPP with Grace Years for Principal",
        IF(AND(BY$48&gt;=$E439, BY$48&lt;($E439+$S439)),
$K439*$P439*(VLOOKUP($C$39,$C$37:$BL$44,MATCH($E439,$C$37:$BL$37,0),FALSE)/VLOOKUP($L439,$C$37:$BL$44,MATCH($E439,$C$37:$BL$37,0),FALSE))*
IF($B$5="Foreign Currency",VLOOKUP($C$38,$C$37:$BL$44,MATCH(BY$48,$C$37:$BL$37,0),FALSE)/VLOOKUP($C$39,$C$37:$BL$44,MATCH(BY$48,$C$37:$BL$37,0),FALSE),1),
        IF(AND(BY$48&gt;=($E439+$S439), BY$48&lt;=($E439+$Q439)),
-PMT($P439,($Q439-$S439+1),($K439*(VLOOKUP($C$39,$C$37:$BL$44,MATCH($E439,$C$37:$BL$37,0),FALSE)/VLOOKUP($L439,$C$37:$BL$44,MATCH($E439,$C$37:$BL$37,0),FALSE))*
IF($B$5="Foreign Currency",VLOOKUP($C$38,$C$37:$BL$44,MATCH(BY$48,$C$37:$BL$37,0),FALSE)/VLOOKUP($C$39,$C$37:$BL$44,MATCH(BY$48,$C$37:$BL$37,0),FALSE),1)),0),
0)),
    IF($T439="Equal Principal Payments (EPP)",
        IF(AND(BY$48&gt;=$E439, BY$48&lt;=($E439+$Q439)),
-PMT($P439,($Q439-$S439+1),($K439*(VLOOKUP($C$39,$C$37:$BL$44,MATCH($E439,$C$37:$BL$37,0),FALSE)/VLOOKUP($L439,$C$37:$BL$44,MATCH($E439,$C$37:$BL$37,0),FALSE))*
IF($B$5="Foreign Currency",VLOOKUP($C$38,$C$37:$BL$44,MATCH(BY$48,$C$37:$BL$37,0),FALSE)/VLOOKUP($C$39,$C$37:$BL$44,MATCH(BY$48,$C$37:$BL$37,0),FALSE),1)),0), 0),
    IF($T439="EPP with Grace Years for Principal and on Interest",
        IF(AND(BY$48&gt;=($E439+$S439), BY$48&lt;=($E439+$Q439)),
-PMT($P439,($Q439-$S439+1),($K439*(VLOOKUP($C$39,$C$37:$BL$44,MATCH($E439,$C$37:$BL$37,0),FALSE)/VLOOKUP($L439,$C$37:$BL$44,MATCH($E439,$C$37:$BL$37,0),FALSE))*
IF($B$5="Foreign Currency",VLOOKUP($C$38,$C$37:$BL$44,MATCH(BY$48,$C$37:$BL$37,0),FALSE)/VLOOKUP($C$39,$C$37:$BL$44,MATCH(BY$48,$C$37:$BL$37,0),FALSE),1))*((1+$P439)^$S439),0), 0),
    0)))))),"")</f>
        <v>0</v>
      </c>
      <c r="BZ439" s="171">
        <f t="shared" si="738"/>
        <v>0</v>
      </c>
      <c r="CA439" s="171">
        <f t="shared" si="738"/>
        <v>0</v>
      </c>
      <c r="CB439" s="171">
        <f t="shared" si="738"/>
        <v>0</v>
      </c>
      <c r="CC439" s="171">
        <f t="shared" si="738"/>
        <v>0</v>
      </c>
      <c r="CD439" s="171">
        <f t="shared" si="738"/>
        <v>0</v>
      </c>
      <c r="CE439" s="171">
        <f t="shared" si="738"/>
        <v>0</v>
      </c>
      <c r="CF439" s="171">
        <f t="shared" si="738"/>
        <v>0</v>
      </c>
      <c r="CG439" s="171">
        <f t="shared" si="738"/>
        <v>0</v>
      </c>
      <c r="CH439" s="171">
        <f t="shared" si="738"/>
        <v>0</v>
      </c>
      <c r="CI439" s="171">
        <f t="shared" si="738"/>
        <v>0</v>
      </c>
      <c r="CJ439" s="243"/>
      <c r="CK439" s="171">
        <f t="shared" si="671"/>
        <v>0</v>
      </c>
      <c r="CL439" s="171">
        <f t="shared" si="672"/>
        <v>0</v>
      </c>
      <c r="CM439" s="171">
        <f t="shared" si="673"/>
        <v>0</v>
      </c>
      <c r="CN439" s="171">
        <f t="shared" si="674"/>
        <v>0</v>
      </c>
      <c r="CO439" s="171">
        <f t="shared" si="675"/>
        <v>0</v>
      </c>
      <c r="CP439" s="171">
        <f t="shared" si="676"/>
        <v>0</v>
      </c>
      <c r="CQ439" s="171">
        <f t="shared" si="677"/>
        <v>0</v>
      </c>
      <c r="CR439" s="171">
        <f t="shared" si="678"/>
        <v>0</v>
      </c>
      <c r="CS439" s="171">
        <f t="shared" si="679"/>
        <v>0</v>
      </c>
      <c r="CT439" s="171">
        <f t="shared" si="680"/>
        <v>0</v>
      </c>
      <c r="CU439" s="171">
        <f t="shared" si="681"/>
        <v>0</v>
      </c>
      <c r="CV439" s="171">
        <f t="shared" si="682"/>
        <v>0</v>
      </c>
      <c r="CW439" s="171">
        <f t="shared" si="683"/>
        <v>0</v>
      </c>
      <c r="CX439" s="171">
        <f t="shared" si="684"/>
        <v>0</v>
      </c>
      <c r="CY439" s="171">
        <f t="shared" ca="1" si="685"/>
        <v>0</v>
      </c>
      <c r="CZ439" s="171">
        <f t="shared" ca="1" si="686"/>
        <v>0</v>
      </c>
      <c r="DA439" s="171">
        <f t="shared" ca="1" si="687"/>
        <v>0</v>
      </c>
      <c r="DB439" s="171">
        <f t="shared" ca="1" si="688"/>
        <v>0</v>
      </c>
      <c r="DC439" s="171">
        <f t="shared" ca="1" si="689"/>
        <v>0</v>
      </c>
      <c r="DD439" s="171">
        <f t="shared" ca="1" si="690"/>
        <v>0</v>
      </c>
      <c r="DE439" s="171">
        <f t="shared" ca="1" si="691"/>
        <v>0</v>
      </c>
      <c r="DF439" s="171">
        <f t="shared" ca="1" si="692"/>
        <v>0</v>
      </c>
      <c r="DG439" s="171">
        <f t="shared" ca="1" si="693"/>
        <v>0</v>
      </c>
      <c r="DH439" s="171">
        <f t="shared" ca="1" si="694"/>
        <v>0</v>
      </c>
      <c r="DI439" s="171">
        <f t="shared" ca="1" si="695"/>
        <v>0</v>
      </c>
      <c r="DJ439" s="171">
        <f t="shared" ca="1" si="696"/>
        <v>0</v>
      </c>
      <c r="DK439" s="171">
        <f t="shared" ca="1" si="697"/>
        <v>0</v>
      </c>
      <c r="DL439" s="171">
        <f t="shared" ca="1" si="698"/>
        <v>0</v>
      </c>
      <c r="DM439" s="171">
        <f t="shared" ca="1" si="699"/>
        <v>0</v>
      </c>
      <c r="DN439" s="171">
        <f t="shared" ca="1" si="700"/>
        <v>0</v>
      </c>
      <c r="DO439" s="171">
        <f t="shared" ca="1" si="701"/>
        <v>0</v>
      </c>
      <c r="DP439" s="171">
        <f t="shared" ca="1" si="702"/>
        <v>0</v>
      </c>
      <c r="DQ439" s="171">
        <f t="shared" ca="1" si="703"/>
        <v>0</v>
      </c>
      <c r="DR439" s="171">
        <f t="shared" ca="1" si="704"/>
        <v>0</v>
      </c>
      <c r="DS439" s="171">
        <f t="shared" ca="1" si="705"/>
        <v>0</v>
      </c>
      <c r="DT439" s="171">
        <f t="shared" ca="1" si="706"/>
        <v>0</v>
      </c>
      <c r="DU439" s="171">
        <f t="shared" ca="1" si="707"/>
        <v>0</v>
      </c>
      <c r="DV439" s="171">
        <f t="shared" ca="1" si="708"/>
        <v>0</v>
      </c>
      <c r="DW439" s="171">
        <f t="shared" ca="1" si="709"/>
        <v>0</v>
      </c>
      <c r="DX439" s="171">
        <f t="shared" ca="1" si="710"/>
        <v>0</v>
      </c>
      <c r="DY439" s="171">
        <f t="shared" ca="1" si="711"/>
        <v>0</v>
      </c>
      <c r="DZ439" s="171">
        <f t="shared" ca="1" si="712"/>
        <v>0</v>
      </c>
      <c r="EA439" s="171">
        <f t="shared" ca="1" si="713"/>
        <v>0</v>
      </c>
      <c r="EB439" s="171">
        <f t="shared" ca="1" si="714"/>
        <v>0</v>
      </c>
      <c r="EC439" s="171">
        <f t="shared" ca="1" si="715"/>
        <v>0</v>
      </c>
      <c r="ED439" s="171">
        <f t="shared" ca="1" si="716"/>
        <v>0</v>
      </c>
      <c r="EE439" s="171">
        <f t="shared" ca="1" si="717"/>
        <v>0</v>
      </c>
      <c r="EF439" s="171">
        <f t="shared" ca="1" si="718"/>
        <v>0</v>
      </c>
      <c r="EG439" s="171">
        <f t="shared" ca="1" si="719"/>
        <v>0</v>
      </c>
      <c r="EH439" s="171">
        <f t="shared" ca="1" si="720"/>
        <v>0</v>
      </c>
      <c r="EI439" s="171">
        <f t="shared" ca="1" si="721"/>
        <v>0</v>
      </c>
      <c r="EJ439" s="171">
        <f t="shared" ca="1" si="722"/>
        <v>0</v>
      </c>
      <c r="EK439" s="171">
        <f t="shared" ca="1" si="723"/>
        <v>0</v>
      </c>
      <c r="EL439" s="171">
        <f t="shared" ca="1" si="724"/>
        <v>0</v>
      </c>
      <c r="EM439" s="171">
        <f t="shared" ca="1" si="725"/>
        <v>0</v>
      </c>
      <c r="EN439" s="171">
        <f t="shared" ca="1" si="726"/>
        <v>0</v>
      </c>
      <c r="EO439" s="171">
        <f t="shared" ca="1" si="727"/>
        <v>0</v>
      </c>
      <c r="EP439" s="171">
        <f t="shared" ca="1" si="728"/>
        <v>0</v>
      </c>
      <c r="EQ439" s="171">
        <f t="shared" ca="1" si="729"/>
        <v>0</v>
      </c>
      <c r="ER439" s="171">
        <f t="shared" ca="1" si="730"/>
        <v>0</v>
      </c>
      <c r="ES439" s="171">
        <f t="shared" ca="1" si="731"/>
        <v>0</v>
      </c>
    </row>
    <row r="440" spans="3:149">
      <c r="C440" s="214"/>
      <c r="L440" s="163"/>
      <c r="M440" s="164" t="str">
        <f t="shared" si="662"/>
        <v/>
      </c>
      <c r="N440" s="164" t="str">
        <f t="shared" si="663"/>
        <v/>
      </c>
      <c r="O440" s="165" t="str">
        <f t="shared" si="664"/>
        <v/>
      </c>
      <c r="R440" s="168" t="str">
        <f t="shared" si="732"/>
        <v/>
      </c>
      <c r="U440" s="171">
        <f t="shared" si="665"/>
        <v>0</v>
      </c>
      <c r="V440" s="171">
        <f t="shared" ca="1" si="666"/>
        <v>0</v>
      </c>
      <c r="W440" s="171">
        <f t="shared" ca="1" si="667"/>
        <v>0</v>
      </c>
      <c r="X440" s="172">
        <f t="shared" si="668"/>
        <v>0</v>
      </c>
      <c r="Y440" s="172" t="str">
        <f t="shared" si="669"/>
        <v/>
      </c>
      <c r="Z440" s="173">
        <f t="shared" si="670"/>
        <v>0</v>
      </c>
      <c r="AA440" s="171">
        <f t="shared" si="733"/>
        <v>0</v>
      </c>
      <c r="AB440" s="171">
        <f t="shared" si="733"/>
        <v>0</v>
      </c>
      <c r="AC440" s="171">
        <f t="shared" si="733"/>
        <v>0</v>
      </c>
      <c r="AD440" s="171">
        <f t="shared" si="733"/>
        <v>0</v>
      </c>
      <c r="AE440" s="171">
        <f t="shared" si="733"/>
        <v>0</v>
      </c>
      <c r="AF440" s="171">
        <f t="shared" si="733"/>
        <v>0</v>
      </c>
      <c r="AG440" s="171">
        <f t="shared" si="733"/>
        <v>0</v>
      </c>
      <c r="AH440" s="171">
        <f t="shared" si="733"/>
        <v>0</v>
      </c>
      <c r="AI440" s="171">
        <f t="shared" si="733"/>
        <v>0</v>
      </c>
      <c r="AJ440" s="171">
        <f t="shared" si="733"/>
        <v>0</v>
      </c>
      <c r="AK440" s="171">
        <f t="shared" si="734"/>
        <v>0</v>
      </c>
      <c r="AL440" s="171">
        <f t="shared" si="734"/>
        <v>0</v>
      </c>
      <c r="AM440" s="171">
        <f t="shared" si="734"/>
        <v>0</v>
      </c>
      <c r="AN440" s="171">
        <f t="shared" si="734"/>
        <v>0</v>
      </c>
      <c r="AO440" s="171">
        <f t="shared" si="734"/>
        <v>0</v>
      </c>
      <c r="AP440" s="171">
        <f t="shared" si="734"/>
        <v>0</v>
      </c>
      <c r="AQ440" s="171">
        <f t="shared" si="734"/>
        <v>0</v>
      </c>
      <c r="AR440" s="171">
        <f t="shared" si="734"/>
        <v>0</v>
      </c>
      <c r="AS440" s="171">
        <f t="shared" si="734"/>
        <v>0</v>
      </c>
      <c r="AT440" s="171">
        <f t="shared" si="734"/>
        <v>0</v>
      </c>
      <c r="AU440" s="171">
        <f t="shared" si="735"/>
        <v>0</v>
      </c>
      <c r="AV440" s="171">
        <f t="shared" si="735"/>
        <v>0</v>
      </c>
      <c r="AW440" s="171">
        <f t="shared" si="735"/>
        <v>0</v>
      </c>
      <c r="AX440" s="171">
        <f t="shared" si="735"/>
        <v>0</v>
      </c>
      <c r="AY440" s="171">
        <f t="shared" si="735"/>
        <v>0</v>
      </c>
      <c r="AZ440" s="171">
        <f t="shared" si="735"/>
        <v>0</v>
      </c>
      <c r="BA440" s="171">
        <f t="shared" si="735"/>
        <v>0</v>
      </c>
      <c r="BB440" s="171">
        <f t="shared" si="735"/>
        <v>0</v>
      </c>
      <c r="BC440" s="171">
        <f t="shared" si="735"/>
        <v>0</v>
      </c>
      <c r="BD440" s="171">
        <f t="shared" si="735"/>
        <v>0</v>
      </c>
      <c r="BE440" s="171">
        <f t="shared" si="736"/>
        <v>0</v>
      </c>
      <c r="BF440" s="171">
        <f t="shared" si="736"/>
        <v>0</v>
      </c>
      <c r="BG440" s="171">
        <f t="shared" si="736"/>
        <v>0</v>
      </c>
      <c r="BH440" s="171">
        <f t="shared" si="736"/>
        <v>0</v>
      </c>
      <c r="BI440" s="171">
        <f t="shared" si="736"/>
        <v>0</v>
      </c>
      <c r="BJ440" s="171">
        <f t="shared" si="736"/>
        <v>0</v>
      </c>
      <c r="BK440" s="171">
        <f t="shared" si="736"/>
        <v>0</v>
      </c>
      <c r="BL440" s="171">
        <f t="shared" si="736"/>
        <v>0</v>
      </c>
      <c r="BM440" s="171">
        <f t="shared" si="736"/>
        <v>0</v>
      </c>
      <c r="BN440" s="171">
        <f t="shared" si="736"/>
        <v>0</v>
      </c>
      <c r="BO440" s="171">
        <f t="shared" si="737"/>
        <v>0</v>
      </c>
      <c r="BP440" s="171">
        <f t="shared" si="737"/>
        <v>0</v>
      </c>
      <c r="BQ440" s="171">
        <f t="shared" si="737"/>
        <v>0</v>
      </c>
      <c r="BR440" s="171">
        <f t="shared" si="737"/>
        <v>0</v>
      </c>
      <c r="BS440" s="171">
        <f t="shared" si="737"/>
        <v>0</v>
      </c>
      <c r="BT440" s="171">
        <f t="shared" si="737"/>
        <v>0</v>
      </c>
      <c r="BU440" s="171">
        <f t="shared" si="737"/>
        <v>0</v>
      </c>
      <c r="BV440" s="171">
        <f t="shared" si="737"/>
        <v>0</v>
      </c>
      <c r="BW440" s="171">
        <f t="shared" si="737"/>
        <v>0</v>
      </c>
      <c r="BX440" s="171">
        <f t="shared" si="737"/>
        <v>0</v>
      </c>
      <c r="BY440" s="171">
        <f t="shared" si="738"/>
        <v>0</v>
      </c>
      <c r="BZ440" s="171">
        <f t="shared" si="738"/>
        <v>0</v>
      </c>
      <c r="CA440" s="171">
        <f t="shared" si="738"/>
        <v>0</v>
      </c>
      <c r="CB440" s="171">
        <f t="shared" si="738"/>
        <v>0</v>
      </c>
      <c r="CC440" s="171">
        <f t="shared" si="738"/>
        <v>0</v>
      </c>
      <c r="CD440" s="171">
        <f t="shared" si="738"/>
        <v>0</v>
      </c>
      <c r="CE440" s="171">
        <f t="shared" si="738"/>
        <v>0</v>
      </c>
      <c r="CF440" s="171">
        <f t="shared" si="738"/>
        <v>0</v>
      </c>
      <c r="CG440" s="171">
        <f t="shared" si="738"/>
        <v>0</v>
      </c>
      <c r="CH440" s="171">
        <f t="shared" si="738"/>
        <v>0</v>
      </c>
      <c r="CI440" s="171">
        <f t="shared" si="738"/>
        <v>0</v>
      </c>
      <c r="CJ440" s="243"/>
      <c r="CK440" s="171">
        <f t="shared" si="671"/>
        <v>0</v>
      </c>
      <c r="CL440" s="171">
        <f t="shared" si="672"/>
        <v>0</v>
      </c>
      <c r="CM440" s="171">
        <f t="shared" si="673"/>
        <v>0</v>
      </c>
      <c r="CN440" s="171">
        <f t="shared" si="674"/>
        <v>0</v>
      </c>
      <c r="CO440" s="171">
        <f t="shared" si="675"/>
        <v>0</v>
      </c>
      <c r="CP440" s="171">
        <f t="shared" si="676"/>
        <v>0</v>
      </c>
      <c r="CQ440" s="171">
        <f t="shared" si="677"/>
        <v>0</v>
      </c>
      <c r="CR440" s="171">
        <f t="shared" si="678"/>
        <v>0</v>
      </c>
      <c r="CS440" s="171">
        <f t="shared" si="679"/>
        <v>0</v>
      </c>
      <c r="CT440" s="171">
        <f t="shared" si="680"/>
        <v>0</v>
      </c>
      <c r="CU440" s="171">
        <f t="shared" si="681"/>
        <v>0</v>
      </c>
      <c r="CV440" s="171">
        <f t="shared" si="682"/>
        <v>0</v>
      </c>
      <c r="CW440" s="171">
        <f t="shared" si="683"/>
        <v>0</v>
      </c>
      <c r="CX440" s="171">
        <f t="shared" si="684"/>
        <v>0</v>
      </c>
      <c r="CY440" s="171">
        <f t="shared" ca="1" si="685"/>
        <v>0</v>
      </c>
      <c r="CZ440" s="171">
        <f t="shared" ca="1" si="686"/>
        <v>0</v>
      </c>
      <c r="DA440" s="171">
        <f t="shared" ca="1" si="687"/>
        <v>0</v>
      </c>
      <c r="DB440" s="171">
        <f t="shared" ca="1" si="688"/>
        <v>0</v>
      </c>
      <c r="DC440" s="171">
        <f t="shared" ca="1" si="689"/>
        <v>0</v>
      </c>
      <c r="DD440" s="171">
        <f t="shared" ca="1" si="690"/>
        <v>0</v>
      </c>
      <c r="DE440" s="171">
        <f t="shared" ca="1" si="691"/>
        <v>0</v>
      </c>
      <c r="DF440" s="171">
        <f t="shared" ca="1" si="692"/>
        <v>0</v>
      </c>
      <c r="DG440" s="171">
        <f t="shared" ca="1" si="693"/>
        <v>0</v>
      </c>
      <c r="DH440" s="171">
        <f t="shared" ca="1" si="694"/>
        <v>0</v>
      </c>
      <c r="DI440" s="171">
        <f t="shared" ca="1" si="695"/>
        <v>0</v>
      </c>
      <c r="DJ440" s="171">
        <f t="shared" ca="1" si="696"/>
        <v>0</v>
      </c>
      <c r="DK440" s="171">
        <f t="shared" ca="1" si="697"/>
        <v>0</v>
      </c>
      <c r="DL440" s="171">
        <f t="shared" ca="1" si="698"/>
        <v>0</v>
      </c>
      <c r="DM440" s="171">
        <f t="shared" ca="1" si="699"/>
        <v>0</v>
      </c>
      <c r="DN440" s="171">
        <f t="shared" ca="1" si="700"/>
        <v>0</v>
      </c>
      <c r="DO440" s="171">
        <f t="shared" ca="1" si="701"/>
        <v>0</v>
      </c>
      <c r="DP440" s="171">
        <f t="shared" ca="1" si="702"/>
        <v>0</v>
      </c>
      <c r="DQ440" s="171">
        <f t="shared" ca="1" si="703"/>
        <v>0</v>
      </c>
      <c r="DR440" s="171">
        <f t="shared" ca="1" si="704"/>
        <v>0</v>
      </c>
      <c r="DS440" s="171">
        <f t="shared" ca="1" si="705"/>
        <v>0</v>
      </c>
      <c r="DT440" s="171">
        <f t="shared" ca="1" si="706"/>
        <v>0</v>
      </c>
      <c r="DU440" s="171">
        <f t="shared" ca="1" si="707"/>
        <v>0</v>
      </c>
      <c r="DV440" s="171">
        <f t="shared" ca="1" si="708"/>
        <v>0</v>
      </c>
      <c r="DW440" s="171">
        <f t="shared" ca="1" si="709"/>
        <v>0</v>
      </c>
      <c r="DX440" s="171">
        <f t="shared" ca="1" si="710"/>
        <v>0</v>
      </c>
      <c r="DY440" s="171">
        <f t="shared" ca="1" si="711"/>
        <v>0</v>
      </c>
      <c r="DZ440" s="171">
        <f t="shared" ca="1" si="712"/>
        <v>0</v>
      </c>
      <c r="EA440" s="171">
        <f t="shared" ca="1" si="713"/>
        <v>0</v>
      </c>
      <c r="EB440" s="171">
        <f t="shared" ca="1" si="714"/>
        <v>0</v>
      </c>
      <c r="EC440" s="171">
        <f t="shared" ca="1" si="715"/>
        <v>0</v>
      </c>
      <c r="ED440" s="171">
        <f t="shared" ca="1" si="716"/>
        <v>0</v>
      </c>
      <c r="EE440" s="171">
        <f t="shared" ca="1" si="717"/>
        <v>0</v>
      </c>
      <c r="EF440" s="171">
        <f t="shared" ca="1" si="718"/>
        <v>0</v>
      </c>
      <c r="EG440" s="171">
        <f t="shared" ca="1" si="719"/>
        <v>0</v>
      </c>
      <c r="EH440" s="171">
        <f t="shared" ca="1" si="720"/>
        <v>0</v>
      </c>
      <c r="EI440" s="171">
        <f t="shared" ca="1" si="721"/>
        <v>0</v>
      </c>
      <c r="EJ440" s="171">
        <f t="shared" ca="1" si="722"/>
        <v>0</v>
      </c>
      <c r="EK440" s="171">
        <f t="shared" ca="1" si="723"/>
        <v>0</v>
      </c>
      <c r="EL440" s="171">
        <f t="shared" ca="1" si="724"/>
        <v>0</v>
      </c>
      <c r="EM440" s="171">
        <f t="shared" ca="1" si="725"/>
        <v>0</v>
      </c>
      <c r="EN440" s="171">
        <f t="shared" ca="1" si="726"/>
        <v>0</v>
      </c>
      <c r="EO440" s="171">
        <f t="shared" ca="1" si="727"/>
        <v>0</v>
      </c>
      <c r="EP440" s="171">
        <f t="shared" ca="1" si="728"/>
        <v>0</v>
      </c>
      <c r="EQ440" s="171">
        <f t="shared" ca="1" si="729"/>
        <v>0</v>
      </c>
      <c r="ER440" s="171">
        <f t="shared" ca="1" si="730"/>
        <v>0</v>
      </c>
      <c r="ES440" s="171">
        <f t="shared" ca="1" si="731"/>
        <v>0</v>
      </c>
    </row>
    <row r="441" spans="3:149">
      <c r="C441" s="214"/>
      <c r="L441" s="163"/>
      <c r="M441" s="164" t="str">
        <f t="shared" si="662"/>
        <v/>
      </c>
      <c r="N441" s="164" t="str">
        <f t="shared" si="663"/>
        <v/>
      </c>
      <c r="O441" s="165" t="str">
        <f t="shared" si="664"/>
        <v/>
      </c>
      <c r="R441" s="168" t="str">
        <f t="shared" si="732"/>
        <v/>
      </c>
      <c r="U441" s="171">
        <f t="shared" si="665"/>
        <v>0</v>
      </c>
      <c r="V441" s="171">
        <f t="shared" ca="1" si="666"/>
        <v>0</v>
      </c>
      <c r="W441" s="171">
        <f t="shared" ca="1" si="667"/>
        <v>0</v>
      </c>
      <c r="X441" s="172">
        <f t="shared" si="668"/>
        <v>0</v>
      </c>
      <c r="Y441" s="172" t="str">
        <f t="shared" si="669"/>
        <v/>
      </c>
      <c r="Z441" s="173">
        <f t="shared" si="670"/>
        <v>0</v>
      </c>
      <c r="AA441" s="171">
        <f t="shared" si="733"/>
        <v>0</v>
      </c>
      <c r="AB441" s="171">
        <f t="shared" si="733"/>
        <v>0</v>
      </c>
      <c r="AC441" s="171">
        <f t="shared" si="733"/>
        <v>0</v>
      </c>
      <c r="AD441" s="171">
        <f t="shared" si="733"/>
        <v>0</v>
      </c>
      <c r="AE441" s="171">
        <f t="shared" si="733"/>
        <v>0</v>
      </c>
      <c r="AF441" s="171">
        <f t="shared" si="733"/>
        <v>0</v>
      </c>
      <c r="AG441" s="171">
        <f t="shared" si="733"/>
        <v>0</v>
      </c>
      <c r="AH441" s="171">
        <f t="shared" si="733"/>
        <v>0</v>
      </c>
      <c r="AI441" s="171">
        <f t="shared" si="733"/>
        <v>0</v>
      </c>
      <c r="AJ441" s="171">
        <f t="shared" si="733"/>
        <v>0</v>
      </c>
      <c r="AK441" s="171">
        <f t="shared" si="734"/>
        <v>0</v>
      </c>
      <c r="AL441" s="171">
        <f t="shared" si="734"/>
        <v>0</v>
      </c>
      <c r="AM441" s="171">
        <f t="shared" si="734"/>
        <v>0</v>
      </c>
      <c r="AN441" s="171">
        <f t="shared" si="734"/>
        <v>0</v>
      </c>
      <c r="AO441" s="171">
        <f t="shared" si="734"/>
        <v>0</v>
      </c>
      <c r="AP441" s="171">
        <f t="shared" si="734"/>
        <v>0</v>
      </c>
      <c r="AQ441" s="171">
        <f t="shared" si="734"/>
        <v>0</v>
      </c>
      <c r="AR441" s="171">
        <f t="shared" si="734"/>
        <v>0</v>
      </c>
      <c r="AS441" s="171">
        <f t="shared" si="734"/>
        <v>0</v>
      </c>
      <c r="AT441" s="171">
        <f t="shared" si="734"/>
        <v>0</v>
      </c>
      <c r="AU441" s="171">
        <f t="shared" si="735"/>
        <v>0</v>
      </c>
      <c r="AV441" s="171">
        <f t="shared" si="735"/>
        <v>0</v>
      </c>
      <c r="AW441" s="171">
        <f t="shared" si="735"/>
        <v>0</v>
      </c>
      <c r="AX441" s="171">
        <f t="shared" si="735"/>
        <v>0</v>
      </c>
      <c r="AY441" s="171">
        <f t="shared" si="735"/>
        <v>0</v>
      </c>
      <c r="AZ441" s="171">
        <f t="shared" si="735"/>
        <v>0</v>
      </c>
      <c r="BA441" s="171">
        <f t="shared" si="735"/>
        <v>0</v>
      </c>
      <c r="BB441" s="171">
        <f t="shared" si="735"/>
        <v>0</v>
      </c>
      <c r="BC441" s="171">
        <f t="shared" si="735"/>
        <v>0</v>
      </c>
      <c r="BD441" s="171">
        <f t="shared" si="735"/>
        <v>0</v>
      </c>
      <c r="BE441" s="171">
        <f t="shared" si="736"/>
        <v>0</v>
      </c>
      <c r="BF441" s="171">
        <f t="shared" si="736"/>
        <v>0</v>
      </c>
      <c r="BG441" s="171">
        <f t="shared" si="736"/>
        <v>0</v>
      </c>
      <c r="BH441" s="171">
        <f t="shared" si="736"/>
        <v>0</v>
      </c>
      <c r="BI441" s="171">
        <f t="shared" si="736"/>
        <v>0</v>
      </c>
      <c r="BJ441" s="171">
        <f t="shared" si="736"/>
        <v>0</v>
      </c>
      <c r="BK441" s="171">
        <f t="shared" si="736"/>
        <v>0</v>
      </c>
      <c r="BL441" s="171">
        <f t="shared" si="736"/>
        <v>0</v>
      </c>
      <c r="BM441" s="171">
        <f t="shared" si="736"/>
        <v>0</v>
      </c>
      <c r="BN441" s="171">
        <f t="shared" si="736"/>
        <v>0</v>
      </c>
      <c r="BO441" s="171">
        <f t="shared" si="737"/>
        <v>0</v>
      </c>
      <c r="BP441" s="171">
        <f t="shared" si="737"/>
        <v>0</v>
      </c>
      <c r="BQ441" s="171">
        <f t="shared" si="737"/>
        <v>0</v>
      </c>
      <c r="BR441" s="171">
        <f t="shared" si="737"/>
        <v>0</v>
      </c>
      <c r="BS441" s="171">
        <f t="shared" si="737"/>
        <v>0</v>
      </c>
      <c r="BT441" s="171">
        <f t="shared" si="737"/>
        <v>0</v>
      </c>
      <c r="BU441" s="171">
        <f t="shared" si="737"/>
        <v>0</v>
      </c>
      <c r="BV441" s="171">
        <f t="shared" si="737"/>
        <v>0</v>
      </c>
      <c r="BW441" s="171">
        <f t="shared" si="737"/>
        <v>0</v>
      </c>
      <c r="BX441" s="171">
        <f t="shared" si="737"/>
        <v>0</v>
      </c>
      <c r="BY441" s="171">
        <f t="shared" si="738"/>
        <v>0</v>
      </c>
      <c r="BZ441" s="171">
        <f t="shared" si="738"/>
        <v>0</v>
      </c>
      <c r="CA441" s="171">
        <f t="shared" si="738"/>
        <v>0</v>
      </c>
      <c r="CB441" s="171">
        <f t="shared" si="738"/>
        <v>0</v>
      </c>
      <c r="CC441" s="171">
        <f t="shared" si="738"/>
        <v>0</v>
      </c>
      <c r="CD441" s="171">
        <f t="shared" si="738"/>
        <v>0</v>
      </c>
      <c r="CE441" s="171">
        <f t="shared" si="738"/>
        <v>0</v>
      </c>
      <c r="CF441" s="171">
        <f t="shared" si="738"/>
        <v>0</v>
      </c>
      <c r="CG441" s="171">
        <f t="shared" si="738"/>
        <v>0</v>
      </c>
      <c r="CH441" s="171">
        <f t="shared" si="738"/>
        <v>0</v>
      </c>
      <c r="CI441" s="171">
        <f t="shared" si="738"/>
        <v>0</v>
      </c>
      <c r="CJ441" s="243"/>
      <c r="CK441" s="171">
        <f t="shared" si="671"/>
        <v>0</v>
      </c>
      <c r="CL441" s="171">
        <f t="shared" si="672"/>
        <v>0</v>
      </c>
      <c r="CM441" s="171">
        <f t="shared" si="673"/>
        <v>0</v>
      </c>
      <c r="CN441" s="171">
        <f t="shared" si="674"/>
        <v>0</v>
      </c>
      <c r="CO441" s="171">
        <f t="shared" si="675"/>
        <v>0</v>
      </c>
      <c r="CP441" s="171">
        <f t="shared" si="676"/>
        <v>0</v>
      </c>
      <c r="CQ441" s="171">
        <f t="shared" si="677"/>
        <v>0</v>
      </c>
      <c r="CR441" s="171">
        <f t="shared" si="678"/>
        <v>0</v>
      </c>
      <c r="CS441" s="171">
        <f t="shared" si="679"/>
        <v>0</v>
      </c>
      <c r="CT441" s="171">
        <f t="shared" si="680"/>
        <v>0</v>
      </c>
      <c r="CU441" s="171">
        <f t="shared" si="681"/>
        <v>0</v>
      </c>
      <c r="CV441" s="171">
        <f t="shared" si="682"/>
        <v>0</v>
      </c>
      <c r="CW441" s="171">
        <f t="shared" si="683"/>
        <v>0</v>
      </c>
      <c r="CX441" s="171">
        <f t="shared" si="684"/>
        <v>0</v>
      </c>
      <c r="CY441" s="171">
        <f t="shared" ca="1" si="685"/>
        <v>0</v>
      </c>
      <c r="CZ441" s="171">
        <f t="shared" ca="1" si="686"/>
        <v>0</v>
      </c>
      <c r="DA441" s="171">
        <f t="shared" ca="1" si="687"/>
        <v>0</v>
      </c>
      <c r="DB441" s="171">
        <f t="shared" ca="1" si="688"/>
        <v>0</v>
      </c>
      <c r="DC441" s="171">
        <f t="shared" ca="1" si="689"/>
        <v>0</v>
      </c>
      <c r="DD441" s="171">
        <f t="shared" ca="1" si="690"/>
        <v>0</v>
      </c>
      <c r="DE441" s="171">
        <f t="shared" ca="1" si="691"/>
        <v>0</v>
      </c>
      <c r="DF441" s="171">
        <f t="shared" ca="1" si="692"/>
        <v>0</v>
      </c>
      <c r="DG441" s="171">
        <f t="shared" ca="1" si="693"/>
        <v>0</v>
      </c>
      <c r="DH441" s="171">
        <f t="shared" ca="1" si="694"/>
        <v>0</v>
      </c>
      <c r="DI441" s="171">
        <f t="shared" ca="1" si="695"/>
        <v>0</v>
      </c>
      <c r="DJ441" s="171">
        <f t="shared" ca="1" si="696"/>
        <v>0</v>
      </c>
      <c r="DK441" s="171">
        <f t="shared" ca="1" si="697"/>
        <v>0</v>
      </c>
      <c r="DL441" s="171">
        <f t="shared" ca="1" si="698"/>
        <v>0</v>
      </c>
      <c r="DM441" s="171">
        <f t="shared" ca="1" si="699"/>
        <v>0</v>
      </c>
      <c r="DN441" s="171">
        <f t="shared" ca="1" si="700"/>
        <v>0</v>
      </c>
      <c r="DO441" s="171">
        <f t="shared" ca="1" si="701"/>
        <v>0</v>
      </c>
      <c r="DP441" s="171">
        <f t="shared" ca="1" si="702"/>
        <v>0</v>
      </c>
      <c r="DQ441" s="171">
        <f t="shared" ca="1" si="703"/>
        <v>0</v>
      </c>
      <c r="DR441" s="171">
        <f t="shared" ca="1" si="704"/>
        <v>0</v>
      </c>
      <c r="DS441" s="171">
        <f t="shared" ca="1" si="705"/>
        <v>0</v>
      </c>
      <c r="DT441" s="171">
        <f t="shared" ca="1" si="706"/>
        <v>0</v>
      </c>
      <c r="DU441" s="171">
        <f t="shared" ca="1" si="707"/>
        <v>0</v>
      </c>
      <c r="DV441" s="171">
        <f t="shared" ca="1" si="708"/>
        <v>0</v>
      </c>
      <c r="DW441" s="171">
        <f t="shared" ca="1" si="709"/>
        <v>0</v>
      </c>
      <c r="DX441" s="171">
        <f t="shared" ca="1" si="710"/>
        <v>0</v>
      </c>
      <c r="DY441" s="171">
        <f t="shared" ca="1" si="711"/>
        <v>0</v>
      </c>
      <c r="DZ441" s="171">
        <f t="shared" ca="1" si="712"/>
        <v>0</v>
      </c>
      <c r="EA441" s="171">
        <f t="shared" ca="1" si="713"/>
        <v>0</v>
      </c>
      <c r="EB441" s="171">
        <f t="shared" ca="1" si="714"/>
        <v>0</v>
      </c>
      <c r="EC441" s="171">
        <f t="shared" ca="1" si="715"/>
        <v>0</v>
      </c>
      <c r="ED441" s="171">
        <f t="shared" ca="1" si="716"/>
        <v>0</v>
      </c>
      <c r="EE441" s="171">
        <f t="shared" ca="1" si="717"/>
        <v>0</v>
      </c>
      <c r="EF441" s="171">
        <f t="shared" ca="1" si="718"/>
        <v>0</v>
      </c>
      <c r="EG441" s="171">
        <f t="shared" ca="1" si="719"/>
        <v>0</v>
      </c>
      <c r="EH441" s="171">
        <f t="shared" ca="1" si="720"/>
        <v>0</v>
      </c>
      <c r="EI441" s="171">
        <f t="shared" ca="1" si="721"/>
        <v>0</v>
      </c>
      <c r="EJ441" s="171">
        <f t="shared" ca="1" si="722"/>
        <v>0</v>
      </c>
      <c r="EK441" s="171">
        <f t="shared" ca="1" si="723"/>
        <v>0</v>
      </c>
      <c r="EL441" s="171">
        <f t="shared" ca="1" si="724"/>
        <v>0</v>
      </c>
      <c r="EM441" s="171">
        <f t="shared" ca="1" si="725"/>
        <v>0</v>
      </c>
      <c r="EN441" s="171">
        <f t="shared" ca="1" si="726"/>
        <v>0</v>
      </c>
      <c r="EO441" s="171">
        <f t="shared" ca="1" si="727"/>
        <v>0</v>
      </c>
      <c r="EP441" s="171">
        <f t="shared" ca="1" si="728"/>
        <v>0</v>
      </c>
      <c r="EQ441" s="171">
        <f t="shared" ca="1" si="729"/>
        <v>0</v>
      </c>
      <c r="ER441" s="171">
        <f t="shared" ca="1" si="730"/>
        <v>0</v>
      </c>
      <c r="ES441" s="171">
        <f t="shared" ca="1" si="731"/>
        <v>0</v>
      </c>
    </row>
    <row r="442" spans="3:149">
      <c r="C442" s="214"/>
      <c r="L442" s="163"/>
      <c r="M442" s="164" t="str">
        <f t="shared" si="662"/>
        <v/>
      </c>
      <c r="N442" s="164" t="str">
        <f t="shared" si="663"/>
        <v/>
      </c>
      <c r="O442" s="165" t="str">
        <f t="shared" si="664"/>
        <v/>
      </c>
      <c r="R442" s="168" t="str">
        <f t="shared" si="732"/>
        <v/>
      </c>
      <c r="U442" s="171">
        <f t="shared" si="665"/>
        <v>0</v>
      </c>
      <c r="V442" s="171">
        <f t="shared" ca="1" si="666"/>
        <v>0</v>
      </c>
      <c r="W442" s="171">
        <f t="shared" ca="1" si="667"/>
        <v>0</v>
      </c>
      <c r="X442" s="172">
        <f t="shared" si="668"/>
        <v>0</v>
      </c>
      <c r="Y442" s="172" t="str">
        <f t="shared" si="669"/>
        <v/>
      </c>
      <c r="Z442" s="173">
        <f t="shared" si="670"/>
        <v>0</v>
      </c>
      <c r="AA442" s="171">
        <f t="shared" si="733"/>
        <v>0</v>
      </c>
      <c r="AB442" s="171">
        <f t="shared" si="733"/>
        <v>0</v>
      </c>
      <c r="AC442" s="171">
        <f t="shared" si="733"/>
        <v>0</v>
      </c>
      <c r="AD442" s="171">
        <f t="shared" si="733"/>
        <v>0</v>
      </c>
      <c r="AE442" s="171">
        <f t="shared" si="733"/>
        <v>0</v>
      </c>
      <c r="AF442" s="171">
        <f t="shared" si="733"/>
        <v>0</v>
      </c>
      <c r="AG442" s="171">
        <f t="shared" si="733"/>
        <v>0</v>
      </c>
      <c r="AH442" s="171">
        <f t="shared" si="733"/>
        <v>0</v>
      </c>
      <c r="AI442" s="171">
        <f t="shared" si="733"/>
        <v>0</v>
      </c>
      <c r="AJ442" s="171">
        <f t="shared" si="733"/>
        <v>0</v>
      </c>
      <c r="AK442" s="171">
        <f t="shared" si="734"/>
        <v>0</v>
      </c>
      <c r="AL442" s="171">
        <f t="shared" si="734"/>
        <v>0</v>
      </c>
      <c r="AM442" s="171">
        <f t="shared" si="734"/>
        <v>0</v>
      </c>
      <c r="AN442" s="171">
        <f t="shared" si="734"/>
        <v>0</v>
      </c>
      <c r="AO442" s="171">
        <f t="shared" si="734"/>
        <v>0</v>
      </c>
      <c r="AP442" s="171">
        <f t="shared" si="734"/>
        <v>0</v>
      </c>
      <c r="AQ442" s="171">
        <f t="shared" si="734"/>
        <v>0</v>
      </c>
      <c r="AR442" s="171">
        <f t="shared" si="734"/>
        <v>0</v>
      </c>
      <c r="AS442" s="171">
        <f t="shared" si="734"/>
        <v>0</v>
      </c>
      <c r="AT442" s="171">
        <f t="shared" si="734"/>
        <v>0</v>
      </c>
      <c r="AU442" s="171">
        <f t="shared" si="735"/>
        <v>0</v>
      </c>
      <c r="AV442" s="171">
        <f t="shared" si="735"/>
        <v>0</v>
      </c>
      <c r="AW442" s="171">
        <f t="shared" si="735"/>
        <v>0</v>
      </c>
      <c r="AX442" s="171">
        <f t="shared" si="735"/>
        <v>0</v>
      </c>
      <c r="AY442" s="171">
        <f t="shared" si="735"/>
        <v>0</v>
      </c>
      <c r="AZ442" s="171">
        <f t="shared" si="735"/>
        <v>0</v>
      </c>
      <c r="BA442" s="171">
        <f t="shared" si="735"/>
        <v>0</v>
      </c>
      <c r="BB442" s="171">
        <f t="shared" si="735"/>
        <v>0</v>
      </c>
      <c r="BC442" s="171">
        <f t="shared" si="735"/>
        <v>0</v>
      </c>
      <c r="BD442" s="171">
        <f t="shared" si="735"/>
        <v>0</v>
      </c>
      <c r="BE442" s="171">
        <f t="shared" si="736"/>
        <v>0</v>
      </c>
      <c r="BF442" s="171">
        <f t="shared" si="736"/>
        <v>0</v>
      </c>
      <c r="BG442" s="171">
        <f t="shared" si="736"/>
        <v>0</v>
      </c>
      <c r="BH442" s="171">
        <f t="shared" si="736"/>
        <v>0</v>
      </c>
      <c r="BI442" s="171">
        <f t="shared" si="736"/>
        <v>0</v>
      </c>
      <c r="BJ442" s="171">
        <f t="shared" si="736"/>
        <v>0</v>
      </c>
      <c r="BK442" s="171">
        <f t="shared" si="736"/>
        <v>0</v>
      </c>
      <c r="BL442" s="171">
        <f t="shared" si="736"/>
        <v>0</v>
      </c>
      <c r="BM442" s="171">
        <f t="shared" si="736"/>
        <v>0</v>
      </c>
      <c r="BN442" s="171">
        <f t="shared" si="736"/>
        <v>0</v>
      </c>
      <c r="BO442" s="171">
        <f t="shared" si="737"/>
        <v>0</v>
      </c>
      <c r="BP442" s="171">
        <f t="shared" si="737"/>
        <v>0</v>
      </c>
      <c r="BQ442" s="171">
        <f t="shared" si="737"/>
        <v>0</v>
      </c>
      <c r="BR442" s="171">
        <f t="shared" si="737"/>
        <v>0</v>
      </c>
      <c r="BS442" s="171">
        <f t="shared" si="737"/>
        <v>0</v>
      </c>
      <c r="BT442" s="171">
        <f t="shared" si="737"/>
        <v>0</v>
      </c>
      <c r="BU442" s="171">
        <f t="shared" si="737"/>
        <v>0</v>
      </c>
      <c r="BV442" s="171">
        <f t="shared" si="737"/>
        <v>0</v>
      </c>
      <c r="BW442" s="171">
        <f t="shared" si="737"/>
        <v>0</v>
      </c>
      <c r="BX442" s="171">
        <f t="shared" si="737"/>
        <v>0</v>
      </c>
      <c r="BY442" s="171">
        <f t="shared" si="738"/>
        <v>0</v>
      </c>
      <c r="BZ442" s="171">
        <f t="shared" si="738"/>
        <v>0</v>
      </c>
      <c r="CA442" s="171">
        <f t="shared" si="738"/>
        <v>0</v>
      </c>
      <c r="CB442" s="171">
        <f t="shared" si="738"/>
        <v>0</v>
      </c>
      <c r="CC442" s="171">
        <f t="shared" si="738"/>
        <v>0</v>
      </c>
      <c r="CD442" s="171">
        <f t="shared" si="738"/>
        <v>0</v>
      </c>
      <c r="CE442" s="171">
        <f t="shared" si="738"/>
        <v>0</v>
      </c>
      <c r="CF442" s="171">
        <f t="shared" si="738"/>
        <v>0</v>
      </c>
      <c r="CG442" s="171">
        <f t="shared" si="738"/>
        <v>0</v>
      </c>
      <c r="CH442" s="171">
        <f t="shared" si="738"/>
        <v>0</v>
      </c>
      <c r="CI442" s="171">
        <f t="shared" si="738"/>
        <v>0</v>
      </c>
      <c r="CJ442" s="243"/>
      <c r="CK442" s="171">
        <f t="shared" si="671"/>
        <v>0</v>
      </c>
      <c r="CL442" s="171">
        <f t="shared" si="672"/>
        <v>0</v>
      </c>
      <c r="CM442" s="171">
        <f t="shared" si="673"/>
        <v>0</v>
      </c>
      <c r="CN442" s="171">
        <f t="shared" si="674"/>
        <v>0</v>
      </c>
      <c r="CO442" s="171">
        <f t="shared" si="675"/>
        <v>0</v>
      </c>
      <c r="CP442" s="171">
        <f t="shared" si="676"/>
        <v>0</v>
      </c>
      <c r="CQ442" s="171">
        <f t="shared" si="677"/>
        <v>0</v>
      </c>
      <c r="CR442" s="171">
        <f t="shared" si="678"/>
        <v>0</v>
      </c>
      <c r="CS442" s="171">
        <f t="shared" si="679"/>
        <v>0</v>
      </c>
      <c r="CT442" s="171">
        <f t="shared" si="680"/>
        <v>0</v>
      </c>
      <c r="CU442" s="171">
        <f t="shared" si="681"/>
        <v>0</v>
      </c>
      <c r="CV442" s="171">
        <f t="shared" si="682"/>
        <v>0</v>
      </c>
      <c r="CW442" s="171">
        <f t="shared" si="683"/>
        <v>0</v>
      </c>
      <c r="CX442" s="171">
        <f t="shared" si="684"/>
        <v>0</v>
      </c>
      <c r="CY442" s="171">
        <f t="shared" ca="1" si="685"/>
        <v>0</v>
      </c>
      <c r="CZ442" s="171">
        <f t="shared" ca="1" si="686"/>
        <v>0</v>
      </c>
      <c r="DA442" s="171">
        <f t="shared" ca="1" si="687"/>
        <v>0</v>
      </c>
      <c r="DB442" s="171">
        <f t="shared" ca="1" si="688"/>
        <v>0</v>
      </c>
      <c r="DC442" s="171">
        <f t="shared" ca="1" si="689"/>
        <v>0</v>
      </c>
      <c r="DD442" s="171">
        <f t="shared" ca="1" si="690"/>
        <v>0</v>
      </c>
      <c r="DE442" s="171">
        <f t="shared" ca="1" si="691"/>
        <v>0</v>
      </c>
      <c r="DF442" s="171">
        <f t="shared" ca="1" si="692"/>
        <v>0</v>
      </c>
      <c r="DG442" s="171">
        <f t="shared" ca="1" si="693"/>
        <v>0</v>
      </c>
      <c r="DH442" s="171">
        <f t="shared" ca="1" si="694"/>
        <v>0</v>
      </c>
      <c r="DI442" s="171">
        <f t="shared" ca="1" si="695"/>
        <v>0</v>
      </c>
      <c r="DJ442" s="171">
        <f t="shared" ca="1" si="696"/>
        <v>0</v>
      </c>
      <c r="DK442" s="171">
        <f t="shared" ca="1" si="697"/>
        <v>0</v>
      </c>
      <c r="DL442" s="171">
        <f t="shared" ca="1" si="698"/>
        <v>0</v>
      </c>
      <c r="DM442" s="171">
        <f t="shared" ca="1" si="699"/>
        <v>0</v>
      </c>
      <c r="DN442" s="171">
        <f t="shared" ca="1" si="700"/>
        <v>0</v>
      </c>
      <c r="DO442" s="171">
        <f t="shared" ca="1" si="701"/>
        <v>0</v>
      </c>
      <c r="DP442" s="171">
        <f t="shared" ca="1" si="702"/>
        <v>0</v>
      </c>
      <c r="DQ442" s="171">
        <f t="shared" ca="1" si="703"/>
        <v>0</v>
      </c>
      <c r="DR442" s="171">
        <f t="shared" ca="1" si="704"/>
        <v>0</v>
      </c>
      <c r="DS442" s="171">
        <f t="shared" ca="1" si="705"/>
        <v>0</v>
      </c>
      <c r="DT442" s="171">
        <f t="shared" ca="1" si="706"/>
        <v>0</v>
      </c>
      <c r="DU442" s="171">
        <f t="shared" ca="1" si="707"/>
        <v>0</v>
      </c>
      <c r="DV442" s="171">
        <f t="shared" ca="1" si="708"/>
        <v>0</v>
      </c>
      <c r="DW442" s="171">
        <f t="shared" ca="1" si="709"/>
        <v>0</v>
      </c>
      <c r="DX442" s="171">
        <f t="shared" ca="1" si="710"/>
        <v>0</v>
      </c>
      <c r="DY442" s="171">
        <f t="shared" ca="1" si="711"/>
        <v>0</v>
      </c>
      <c r="DZ442" s="171">
        <f t="shared" ca="1" si="712"/>
        <v>0</v>
      </c>
      <c r="EA442" s="171">
        <f t="shared" ca="1" si="713"/>
        <v>0</v>
      </c>
      <c r="EB442" s="171">
        <f t="shared" ca="1" si="714"/>
        <v>0</v>
      </c>
      <c r="EC442" s="171">
        <f t="shared" ca="1" si="715"/>
        <v>0</v>
      </c>
      <c r="ED442" s="171">
        <f t="shared" ca="1" si="716"/>
        <v>0</v>
      </c>
      <c r="EE442" s="171">
        <f t="shared" ca="1" si="717"/>
        <v>0</v>
      </c>
      <c r="EF442" s="171">
        <f t="shared" ca="1" si="718"/>
        <v>0</v>
      </c>
      <c r="EG442" s="171">
        <f t="shared" ca="1" si="719"/>
        <v>0</v>
      </c>
      <c r="EH442" s="171">
        <f t="shared" ca="1" si="720"/>
        <v>0</v>
      </c>
      <c r="EI442" s="171">
        <f t="shared" ca="1" si="721"/>
        <v>0</v>
      </c>
      <c r="EJ442" s="171">
        <f t="shared" ca="1" si="722"/>
        <v>0</v>
      </c>
      <c r="EK442" s="171">
        <f t="shared" ca="1" si="723"/>
        <v>0</v>
      </c>
      <c r="EL442" s="171">
        <f t="shared" ca="1" si="724"/>
        <v>0</v>
      </c>
      <c r="EM442" s="171">
        <f t="shared" ca="1" si="725"/>
        <v>0</v>
      </c>
      <c r="EN442" s="171">
        <f t="shared" ca="1" si="726"/>
        <v>0</v>
      </c>
      <c r="EO442" s="171">
        <f t="shared" ca="1" si="727"/>
        <v>0</v>
      </c>
      <c r="EP442" s="171">
        <f t="shared" ca="1" si="728"/>
        <v>0</v>
      </c>
      <c r="EQ442" s="171">
        <f t="shared" ca="1" si="729"/>
        <v>0</v>
      </c>
      <c r="ER442" s="171">
        <f t="shared" ca="1" si="730"/>
        <v>0</v>
      </c>
      <c r="ES442" s="171">
        <f t="shared" ca="1" si="731"/>
        <v>0</v>
      </c>
    </row>
    <row r="443" spans="3:149">
      <c r="C443" s="214"/>
      <c r="L443" s="163"/>
      <c r="M443" s="164" t="str">
        <f t="shared" si="662"/>
        <v/>
      </c>
      <c r="N443" s="164" t="str">
        <f t="shared" si="663"/>
        <v/>
      </c>
      <c r="O443" s="165" t="str">
        <f t="shared" si="664"/>
        <v/>
      </c>
      <c r="R443" s="168" t="str">
        <f t="shared" si="732"/>
        <v/>
      </c>
      <c r="U443" s="171">
        <f t="shared" si="665"/>
        <v>0</v>
      </c>
      <c r="V443" s="171">
        <f t="shared" ca="1" si="666"/>
        <v>0</v>
      </c>
      <c r="W443" s="171">
        <f t="shared" ca="1" si="667"/>
        <v>0</v>
      </c>
      <c r="X443" s="172">
        <f t="shared" si="668"/>
        <v>0</v>
      </c>
      <c r="Y443" s="172" t="str">
        <f t="shared" si="669"/>
        <v/>
      </c>
      <c r="Z443" s="173">
        <f t="shared" si="670"/>
        <v>0</v>
      </c>
      <c r="AA443" s="171">
        <f t="shared" si="733"/>
        <v>0</v>
      </c>
      <c r="AB443" s="171">
        <f t="shared" si="733"/>
        <v>0</v>
      </c>
      <c r="AC443" s="171">
        <f t="shared" si="733"/>
        <v>0</v>
      </c>
      <c r="AD443" s="171">
        <f t="shared" si="733"/>
        <v>0</v>
      </c>
      <c r="AE443" s="171">
        <f t="shared" si="733"/>
        <v>0</v>
      </c>
      <c r="AF443" s="171">
        <f t="shared" si="733"/>
        <v>0</v>
      </c>
      <c r="AG443" s="171">
        <f t="shared" si="733"/>
        <v>0</v>
      </c>
      <c r="AH443" s="171">
        <f t="shared" si="733"/>
        <v>0</v>
      </c>
      <c r="AI443" s="171">
        <f t="shared" si="733"/>
        <v>0</v>
      </c>
      <c r="AJ443" s="171">
        <f t="shared" si="733"/>
        <v>0</v>
      </c>
      <c r="AK443" s="171">
        <f t="shared" si="734"/>
        <v>0</v>
      </c>
      <c r="AL443" s="171">
        <f t="shared" si="734"/>
        <v>0</v>
      </c>
      <c r="AM443" s="171">
        <f t="shared" si="734"/>
        <v>0</v>
      </c>
      <c r="AN443" s="171">
        <f t="shared" si="734"/>
        <v>0</v>
      </c>
      <c r="AO443" s="171">
        <f t="shared" si="734"/>
        <v>0</v>
      </c>
      <c r="AP443" s="171">
        <f t="shared" si="734"/>
        <v>0</v>
      </c>
      <c r="AQ443" s="171">
        <f t="shared" si="734"/>
        <v>0</v>
      </c>
      <c r="AR443" s="171">
        <f t="shared" si="734"/>
        <v>0</v>
      </c>
      <c r="AS443" s="171">
        <f t="shared" si="734"/>
        <v>0</v>
      </c>
      <c r="AT443" s="171">
        <f t="shared" si="734"/>
        <v>0</v>
      </c>
      <c r="AU443" s="171">
        <f t="shared" si="735"/>
        <v>0</v>
      </c>
      <c r="AV443" s="171">
        <f t="shared" si="735"/>
        <v>0</v>
      </c>
      <c r="AW443" s="171">
        <f t="shared" si="735"/>
        <v>0</v>
      </c>
      <c r="AX443" s="171">
        <f t="shared" si="735"/>
        <v>0</v>
      </c>
      <c r="AY443" s="171">
        <f t="shared" si="735"/>
        <v>0</v>
      </c>
      <c r="AZ443" s="171">
        <f t="shared" si="735"/>
        <v>0</v>
      </c>
      <c r="BA443" s="171">
        <f t="shared" si="735"/>
        <v>0</v>
      </c>
      <c r="BB443" s="171">
        <f t="shared" si="735"/>
        <v>0</v>
      </c>
      <c r="BC443" s="171">
        <f t="shared" si="735"/>
        <v>0</v>
      </c>
      <c r="BD443" s="171">
        <f t="shared" si="735"/>
        <v>0</v>
      </c>
      <c r="BE443" s="171">
        <f t="shared" si="736"/>
        <v>0</v>
      </c>
      <c r="BF443" s="171">
        <f t="shared" si="736"/>
        <v>0</v>
      </c>
      <c r="BG443" s="171">
        <f t="shared" si="736"/>
        <v>0</v>
      </c>
      <c r="BH443" s="171">
        <f t="shared" si="736"/>
        <v>0</v>
      </c>
      <c r="BI443" s="171">
        <f t="shared" si="736"/>
        <v>0</v>
      </c>
      <c r="BJ443" s="171">
        <f t="shared" si="736"/>
        <v>0</v>
      </c>
      <c r="BK443" s="171">
        <f t="shared" si="736"/>
        <v>0</v>
      </c>
      <c r="BL443" s="171">
        <f t="shared" si="736"/>
        <v>0</v>
      </c>
      <c r="BM443" s="171">
        <f t="shared" si="736"/>
        <v>0</v>
      </c>
      <c r="BN443" s="171">
        <f t="shared" si="736"/>
        <v>0</v>
      </c>
      <c r="BO443" s="171">
        <f t="shared" si="737"/>
        <v>0</v>
      </c>
      <c r="BP443" s="171">
        <f t="shared" si="737"/>
        <v>0</v>
      </c>
      <c r="BQ443" s="171">
        <f t="shared" si="737"/>
        <v>0</v>
      </c>
      <c r="BR443" s="171">
        <f t="shared" si="737"/>
        <v>0</v>
      </c>
      <c r="BS443" s="171">
        <f t="shared" si="737"/>
        <v>0</v>
      </c>
      <c r="BT443" s="171">
        <f t="shared" si="737"/>
        <v>0</v>
      </c>
      <c r="BU443" s="171">
        <f t="shared" si="737"/>
        <v>0</v>
      </c>
      <c r="BV443" s="171">
        <f t="shared" si="737"/>
        <v>0</v>
      </c>
      <c r="BW443" s="171">
        <f t="shared" si="737"/>
        <v>0</v>
      </c>
      <c r="BX443" s="171">
        <f t="shared" si="737"/>
        <v>0</v>
      </c>
      <c r="BY443" s="171">
        <f t="shared" si="738"/>
        <v>0</v>
      </c>
      <c r="BZ443" s="171">
        <f t="shared" si="738"/>
        <v>0</v>
      </c>
      <c r="CA443" s="171">
        <f t="shared" si="738"/>
        <v>0</v>
      </c>
      <c r="CB443" s="171">
        <f t="shared" si="738"/>
        <v>0</v>
      </c>
      <c r="CC443" s="171">
        <f t="shared" si="738"/>
        <v>0</v>
      </c>
      <c r="CD443" s="171">
        <f t="shared" si="738"/>
        <v>0</v>
      </c>
      <c r="CE443" s="171">
        <f t="shared" si="738"/>
        <v>0</v>
      </c>
      <c r="CF443" s="171">
        <f t="shared" si="738"/>
        <v>0</v>
      </c>
      <c r="CG443" s="171">
        <f t="shared" si="738"/>
        <v>0</v>
      </c>
      <c r="CH443" s="171">
        <f t="shared" si="738"/>
        <v>0</v>
      </c>
      <c r="CI443" s="171">
        <f t="shared" si="738"/>
        <v>0</v>
      </c>
      <c r="CJ443" s="243"/>
      <c r="CK443" s="171">
        <f t="shared" si="671"/>
        <v>0</v>
      </c>
      <c r="CL443" s="171">
        <f t="shared" si="672"/>
        <v>0</v>
      </c>
      <c r="CM443" s="171">
        <f t="shared" si="673"/>
        <v>0</v>
      </c>
      <c r="CN443" s="171">
        <f t="shared" si="674"/>
        <v>0</v>
      </c>
      <c r="CO443" s="171">
        <f t="shared" si="675"/>
        <v>0</v>
      </c>
      <c r="CP443" s="171">
        <f t="shared" si="676"/>
        <v>0</v>
      </c>
      <c r="CQ443" s="171">
        <f t="shared" si="677"/>
        <v>0</v>
      </c>
      <c r="CR443" s="171">
        <f t="shared" si="678"/>
        <v>0</v>
      </c>
      <c r="CS443" s="171">
        <f t="shared" si="679"/>
        <v>0</v>
      </c>
      <c r="CT443" s="171">
        <f t="shared" si="680"/>
        <v>0</v>
      </c>
      <c r="CU443" s="171">
        <f t="shared" si="681"/>
        <v>0</v>
      </c>
      <c r="CV443" s="171">
        <f t="shared" si="682"/>
        <v>0</v>
      </c>
      <c r="CW443" s="171">
        <f t="shared" si="683"/>
        <v>0</v>
      </c>
      <c r="CX443" s="171">
        <f t="shared" si="684"/>
        <v>0</v>
      </c>
      <c r="CY443" s="171">
        <f t="shared" ca="1" si="685"/>
        <v>0</v>
      </c>
      <c r="CZ443" s="171">
        <f t="shared" ca="1" si="686"/>
        <v>0</v>
      </c>
      <c r="DA443" s="171">
        <f t="shared" ca="1" si="687"/>
        <v>0</v>
      </c>
      <c r="DB443" s="171">
        <f t="shared" ca="1" si="688"/>
        <v>0</v>
      </c>
      <c r="DC443" s="171">
        <f t="shared" ca="1" si="689"/>
        <v>0</v>
      </c>
      <c r="DD443" s="171">
        <f t="shared" ca="1" si="690"/>
        <v>0</v>
      </c>
      <c r="DE443" s="171">
        <f t="shared" ca="1" si="691"/>
        <v>0</v>
      </c>
      <c r="DF443" s="171">
        <f t="shared" ca="1" si="692"/>
        <v>0</v>
      </c>
      <c r="DG443" s="171">
        <f t="shared" ca="1" si="693"/>
        <v>0</v>
      </c>
      <c r="DH443" s="171">
        <f t="shared" ca="1" si="694"/>
        <v>0</v>
      </c>
      <c r="DI443" s="171">
        <f t="shared" ca="1" si="695"/>
        <v>0</v>
      </c>
      <c r="DJ443" s="171">
        <f t="shared" ca="1" si="696"/>
        <v>0</v>
      </c>
      <c r="DK443" s="171">
        <f t="shared" ca="1" si="697"/>
        <v>0</v>
      </c>
      <c r="DL443" s="171">
        <f t="shared" ca="1" si="698"/>
        <v>0</v>
      </c>
      <c r="DM443" s="171">
        <f t="shared" ca="1" si="699"/>
        <v>0</v>
      </c>
      <c r="DN443" s="171">
        <f t="shared" ca="1" si="700"/>
        <v>0</v>
      </c>
      <c r="DO443" s="171">
        <f t="shared" ca="1" si="701"/>
        <v>0</v>
      </c>
      <c r="DP443" s="171">
        <f t="shared" ca="1" si="702"/>
        <v>0</v>
      </c>
      <c r="DQ443" s="171">
        <f t="shared" ca="1" si="703"/>
        <v>0</v>
      </c>
      <c r="DR443" s="171">
        <f t="shared" ca="1" si="704"/>
        <v>0</v>
      </c>
      <c r="DS443" s="171">
        <f t="shared" ca="1" si="705"/>
        <v>0</v>
      </c>
      <c r="DT443" s="171">
        <f t="shared" ca="1" si="706"/>
        <v>0</v>
      </c>
      <c r="DU443" s="171">
        <f t="shared" ca="1" si="707"/>
        <v>0</v>
      </c>
      <c r="DV443" s="171">
        <f t="shared" ca="1" si="708"/>
        <v>0</v>
      </c>
      <c r="DW443" s="171">
        <f t="shared" ca="1" si="709"/>
        <v>0</v>
      </c>
      <c r="DX443" s="171">
        <f t="shared" ca="1" si="710"/>
        <v>0</v>
      </c>
      <c r="DY443" s="171">
        <f t="shared" ca="1" si="711"/>
        <v>0</v>
      </c>
      <c r="DZ443" s="171">
        <f t="shared" ca="1" si="712"/>
        <v>0</v>
      </c>
      <c r="EA443" s="171">
        <f t="shared" ca="1" si="713"/>
        <v>0</v>
      </c>
      <c r="EB443" s="171">
        <f t="shared" ca="1" si="714"/>
        <v>0</v>
      </c>
      <c r="EC443" s="171">
        <f t="shared" ca="1" si="715"/>
        <v>0</v>
      </c>
      <c r="ED443" s="171">
        <f t="shared" ca="1" si="716"/>
        <v>0</v>
      </c>
      <c r="EE443" s="171">
        <f t="shared" ca="1" si="717"/>
        <v>0</v>
      </c>
      <c r="EF443" s="171">
        <f t="shared" ca="1" si="718"/>
        <v>0</v>
      </c>
      <c r="EG443" s="171">
        <f t="shared" ca="1" si="719"/>
        <v>0</v>
      </c>
      <c r="EH443" s="171">
        <f t="shared" ca="1" si="720"/>
        <v>0</v>
      </c>
      <c r="EI443" s="171">
        <f t="shared" ca="1" si="721"/>
        <v>0</v>
      </c>
      <c r="EJ443" s="171">
        <f t="shared" ca="1" si="722"/>
        <v>0</v>
      </c>
      <c r="EK443" s="171">
        <f t="shared" ca="1" si="723"/>
        <v>0</v>
      </c>
      <c r="EL443" s="171">
        <f t="shared" ca="1" si="724"/>
        <v>0</v>
      </c>
      <c r="EM443" s="171">
        <f t="shared" ca="1" si="725"/>
        <v>0</v>
      </c>
      <c r="EN443" s="171">
        <f t="shared" ca="1" si="726"/>
        <v>0</v>
      </c>
      <c r="EO443" s="171">
        <f t="shared" ca="1" si="727"/>
        <v>0</v>
      </c>
      <c r="EP443" s="171">
        <f t="shared" ca="1" si="728"/>
        <v>0</v>
      </c>
      <c r="EQ443" s="171">
        <f t="shared" ca="1" si="729"/>
        <v>0</v>
      </c>
      <c r="ER443" s="171">
        <f t="shared" ca="1" si="730"/>
        <v>0</v>
      </c>
      <c r="ES443" s="171">
        <f t="shared" ca="1" si="731"/>
        <v>0</v>
      </c>
    </row>
    <row r="444" spans="3:149">
      <c r="C444" s="214"/>
      <c r="L444" s="163"/>
      <c r="M444" s="164" t="str">
        <f t="shared" si="662"/>
        <v/>
      </c>
      <c r="N444" s="164" t="str">
        <f t="shared" si="663"/>
        <v/>
      </c>
      <c r="O444" s="165" t="str">
        <f t="shared" si="664"/>
        <v/>
      </c>
      <c r="R444" s="168" t="str">
        <f t="shared" si="732"/>
        <v/>
      </c>
      <c r="U444" s="171">
        <f t="shared" si="665"/>
        <v>0</v>
      </c>
      <c r="V444" s="171">
        <f t="shared" ca="1" si="666"/>
        <v>0</v>
      </c>
      <c r="W444" s="171">
        <f t="shared" ca="1" si="667"/>
        <v>0</v>
      </c>
      <c r="X444" s="172">
        <f t="shared" si="668"/>
        <v>0</v>
      </c>
      <c r="Y444" s="172" t="str">
        <f t="shared" si="669"/>
        <v/>
      </c>
      <c r="Z444" s="173">
        <f t="shared" si="670"/>
        <v>0</v>
      </c>
      <c r="AA444" s="171">
        <f t="shared" si="733"/>
        <v>0</v>
      </c>
      <c r="AB444" s="171">
        <f t="shared" si="733"/>
        <v>0</v>
      </c>
      <c r="AC444" s="171">
        <f t="shared" si="733"/>
        <v>0</v>
      </c>
      <c r="AD444" s="171">
        <f t="shared" si="733"/>
        <v>0</v>
      </c>
      <c r="AE444" s="171">
        <f t="shared" si="733"/>
        <v>0</v>
      </c>
      <c r="AF444" s="171">
        <f t="shared" si="733"/>
        <v>0</v>
      </c>
      <c r="AG444" s="171">
        <f t="shared" si="733"/>
        <v>0</v>
      </c>
      <c r="AH444" s="171">
        <f t="shared" si="733"/>
        <v>0</v>
      </c>
      <c r="AI444" s="171">
        <f t="shared" si="733"/>
        <v>0</v>
      </c>
      <c r="AJ444" s="171">
        <f t="shared" si="733"/>
        <v>0</v>
      </c>
      <c r="AK444" s="171">
        <f t="shared" si="734"/>
        <v>0</v>
      </c>
      <c r="AL444" s="171">
        <f t="shared" si="734"/>
        <v>0</v>
      </c>
      <c r="AM444" s="171">
        <f t="shared" si="734"/>
        <v>0</v>
      </c>
      <c r="AN444" s="171">
        <f t="shared" si="734"/>
        <v>0</v>
      </c>
      <c r="AO444" s="171">
        <f t="shared" si="734"/>
        <v>0</v>
      </c>
      <c r="AP444" s="171">
        <f t="shared" si="734"/>
        <v>0</v>
      </c>
      <c r="AQ444" s="171">
        <f t="shared" si="734"/>
        <v>0</v>
      </c>
      <c r="AR444" s="171">
        <f t="shared" si="734"/>
        <v>0</v>
      </c>
      <c r="AS444" s="171">
        <f t="shared" si="734"/>
        <v>0</v>
      </c>
      <c r="AT444" s="171">
        <f t="shared" si="734"/>
        <v>0</v>
      </c>
      <c r="AU444" s="171">
        <f t="shared" si="735"/>
        <v>0</v>
      </c>
      <c r="AV444" s="171">
        <f t="shared" si="735"/>
        <v>0</v>
      </c>
      <c r="AW444" s="171">
        <f t="shared" si="735"/>
        <v>0</v>
      </c>
      <c r="AX444" s="171">
        <f t="shared" si="735"/>
        <v>0</v>
      </c>
      <c r="AY444" s="171">
        <f t="shared" si="735"/>
        <v>0</v>
      </c>
      <c r="AZ444" s="171">
        <f t="shared" si="735"/>
        <v>0</v>
      </c>
      <c r="BA444" s="171">
        <f t="shared" si="735"/>
        <v>0</v>
      </c>
      <c r="BB444" s="171">
        <f t="shared" si="735"/>
        <v>0</v>
      </c>
      <c r="BC444" s="171">
        <f t="shared" si="735"/>
        <v>0</v>
      </c>
      <c r="BD444" s="171">
        <f t="shared" si="735"/>
        <v>0</v>
      </c>
      <c r="BE444" s="171">
        <f t="shared" si="736"/>
        <v>0</v>
      </c>
      <c r="BF444" s="171">
        <f t="shared" si="736"/>
        <v>0</v>
      </c>
      <c r="BG444" s="171">
        <f t="shared" si="736"/>
        <v>0</v>
      </c>
      <c r="BH444" s="171">
        <f t="shared" si="736"/>
        <v>0</v>
      </c>
      <c r="BI444" s="171">
        <f t="shared" si="736"/>
        <v>0</v>
      </c>
      <c r="BJ444" s="171">
        <f t="shared" si="736"/>
        <v>0</v>
      </c>
      <c r="BK444" s="171">
        <f t="shared" si="736"/>
        <v>0</v>
      </c>
      <c r="BL444" s="171">
        <f t="shared" si="736"/>
        <v>0</v>
      </c>
      <c r="BM444" s="171">
        <f t="shared" si="736"/>
        <v>0</v>
      </c>
      <c r="BN444" s="171">
        <f t="shared" si="736"/>
        <v>0</v>
      </c>
      <c r="BO444" s="171">
        <f t="shared" si="737"/>
        <v>0</v>
      </c>
      <c r="BP444" s="171">
        <f t="shared" si="737"/>
        <v>0</v>
      </c>
      <c r="BQ444" s="171">
        <f t="shared" si="737"/>
        <v>0</v>
      </c>
      <c r="BR444" s="171">
        <f t="shared" si="737"/>
        <v>0</v>
      </c>
      <c r="BS444" s="171">
        <f t="shared" si="737"/>
        <v>0</v>
      </c>
      <c r="BT444" s="171">
        <f t="shared" si="737"/>
        <v>0</v>
      </c>
      <c r="BU444" s="171">
        <f t="shared" si="737"/>
        <v>0</v>
      </c>
      <c r="BV444" s="171">
        <f t="shared" si="737"/>
        <v>0</v>
      </c>
      <c r="BW444" s="171">
        <f t="shared" si="737"/>
        <v>0</v>
      </c>
      <c r="BX444" s="171">
        <f t="shared" si="737"/>
        <v>0</v>
      </c>
      <c r="BY444" s="171">
        <f t="shared" si="738"/>
        <v>0</v>
      </c>
      <c r="BZ444" s="171">
        <f t="shared" si="738"/>
        <v>0</v>
      </c>
      <c r="CA444" s="171">
        <f t="shared" si="738"/>
        <v>0</v>
      </c>
      <c r="CB444" s="171">
        <f t="shared" si="738"/>
        <v>0</v>
      </c>
      <c r="CC444" s="171">
        <f t="shared" si="738"/>
        <v>0</v>
      </c>
      <c r="CD444" s="171">
        <f t="shared" si="738"/>
        <v>0</v>
      </c>
      <c r="CE444" s="171">
        <f t="shared" si="738"/>
        <v>0</v>
      </c>
      <c r="CF444" s="171">
        <f t="shared" si="738"/>
        <v>0</v>
      </c>
      <c r="CG444" s="171">
        <f t="shared" si="738"/>
        <v>0</v>
      </c>
      <c r="CH444" s="171">
        <f t="shared" si="738"/>
        <v>0</v>
      </c>
      <c r="CI444" s="171">
        <f t="shared" si="738"/>
        <v>0</v>
      </c>
      <c r="CJ444" s="243"/>
      <c r="CK444" s="171">
        <f t="shared" si="671"/>
        <v>0</v>
      </c>
      <c r="CL444" s="171">
        <f t="shared" si="672"/>
        <v>0</v>
      </c>
      <c r="CM444" s="171">
        <f t="shared" si="673"/>
        <v>0</v>
      </c>
      <c r="CN444" s="171">
        <f t="shared" si="674"/>
        <v>0</v>
      </c>
      <c r="CO444" s="171">
        <f t="shared" si="675"/>
        <v>0</v>
      </c>
      <c r="CP444" s="171">
        <f t="shared" si="676"/>
        <v>0</v>
      </c>
      <c r="CQ444" s="171">
        <f t="shared" si="677"/>
        <v>0</v>
      </c>
      <c r="CR444" s="171">
        <f t="shared" si="678"/>
        <v>0</v>
      </c>
      <c r="CS444" s="171">
        <f t="shared" si="679"/>
        <v>0</v>
      </c>
      <c r="CT444" s="171">
        <f t="shared" si="680"/>
        <v>0</v>
      </c>
      <c r="CU444" s="171">
        <f t="shared" si="681"/>
        <v>0</v>
      </c>
      <c r="CV444" s="171">
        <f t="shared" si="682"/>
        <v>0</v>
      </c>
      <c r="CW444" s="171">
        <f t="shared" si="683"/>
        <v>0</v>
      </c>
      <c r="CX444" s="171">
        <f t="shared" si="684"/>
        <v>0</v>
      </c>
      <c r="CY444" s="171">
        <f t="shared" ca="1" si="685"/>
        <v>0</v>
      </c>
      <c r="CZ444" s="171">
        <f t="shared" ca="1" si="686"/>
        <v>0</v>
      </c>
      <c r="DA444" s="171">
        <f t="shared" ca="1" si="687"/>
        <v>0</v>
      </c>
      <c r="DB444" s="171">
        <f t="shared" ca="1" si="688"/>
        <v>0</v>
      </c>
      <c r="DC444" s="171">
        <f t="shared" ca="1" si="689"/>
        <v>0</v>
      </c>
      <c r="DD444" s="171">
        <f t="shared" ca="1" si="690"/>
        <v>0</v>
      </c>
      <c r="DE444" s="171">
        <f t="shared" ca="1" si="691"/>
        <v>0</v>
      </c>
      <c r="DF444" s="171">
        <f t="shared" ca="1" si="692"/>
        <v>0</v>
      </c>
      <c r="DG444" s="171">
        <f t="shared" ca="1" si="693"/>
        <v>0</v>
      </c>
      <c r="DH444" s="171">
        <f t="shared" ca="1" si="694"/>
        <v>0</v>
      </c>
      <c r="DI444" s="171">
        <f t="shared" ca="1" si="695"/>
        <v>0</v>
      </c>
      <c r="DJ444" s="171">
        <f t="shared" ca="1" si="696"/>
        <v>0</v>
      </c>
      <c r="DK444" s="171">
        <f t="shared" ca="1" si="697"/>
        <v>0</v>
      </c>
      <c r="DL444" s="171">
        <f t="shared" ca="1" si="698"/>
        <v>0</v>
      </c>
      <c r="DM444" s="171">
        <f t="shared" ca="1" si="699"/>
        <v>0</v>
      </c>
      <c r="DN444" s="171">
        <f t="shared" ca="1" si="700"/>
        <v>0</v>
      </c>
      <c r="DO444" s="171">
        <f t="shared" ca="1" si="701"/>
        <v>0</v>
      </c>
      <c r="DP444" s="171">
        <f t="shared" ca="1" si="702"/>
        <v>0</v>
      </c>
      <c r="DQ444" s="171">
        <f t="shared" ca="1" si="703"/>
        <v>0</v>
      </c>
      <c r="DR444" s="171">
        <f t="shared" ca="1" si="704"/>
        <v>0</v>
      </c>
      <c r="DS444" s="171">
        <f t="shared" ca="1" si="705"/>
        <v>0</v>
      </c>
      <c r="DT444" s="171">
        <f t="shared" ca="1" si="706"/>
        <v>0</v>
      </c>
      <c r="DU444" s="171">
        <f t="shared" ca="1" si="707"/>
        <v>0</v>
      </c>
      <c r="DV444" s="171">
        <f t="shared" ca="1" si="708"/>
        <v>0</v>
      </c>
      <c r="DW444" s="171">
        <f t="shared" ca="1" si="709"/>
        <v>0</v>
      </c>
      <c r="DX444" s="171">
        <f t="shared" ca="1" si="710"/>
        <v>0</v>
      </c>
      <c r="DY444" s="171">
        <f t="shared" ca="1" si="711"/>
        <v>0</v>
      </c>
      <c r="DZ444" s="171">
        <f t="shared" ca="1" si="712"/>
        <v>0</v>
      </c>
      <c r="EA444" s="171">
        <f t="shared" ca="1" si="713"/>
        <v>0</v>
      </c>
      <c r="EB444" s="171">
        <f t="shared" ca="1" si="714"/>
        <v>0</v>
      </c>
      <c r="EC444" s="171">
        <f t="shared" ca="1" si="715"/>
        <v>0</v>
      </c>
      <c r="ED444" s="171">
        <f t="shared" ca="1" si="716"/>
        <v>0</v>
      </c>
      <c r="EE444" s="171">
        <f t="shared" ca="1" si="717"/>
        <v>0</v>
      </c>
      <c r="EF444" s="171">
        <f t="shared" ca="1" si="718"/>
        <v>0</v>
      </c>
      <c r="EG444" s="171">
        <f t="shared" ca="1" si="719"/>
        <v>0</v>
      </c>
      <c r="EH444" s="171">
        <f t="shared" ca="1" si="720"/>
        <v>0</v>
      </c>
      <c r="EI444" s="171">
        <f t="shared" ca="1" si="721"/>
        <v>0</v>
      </c>
      <c r="EJ444" s="171">
        <f t="shared" ca="1" si="722"/>
        <v>0</v>
      </c>
      <c r="EK444" s="171">
        <f t="shared" ca="1" si="723"/>
        <v>0</v>
      </c>
      <c r="EL444" s="171">
        <f t="shared" ca="1" si="724"/>
        <v>0</v>
      </c>
      <c r="EM444" s="171">
        <f t="shared" ca="1" si="725"/>
        <v>0</v>
      </c>
      <c r="EN444" s="171">
        <f t="shared" ca="1" si="726"/>
        <v>0</v>
      </c>
      <c r="EO444" s="171">
        <f t="shared" ca="1" si="727"/>
        <v>0</v>
      </c>
      <c r="EP444" s="171">
        <f t="shared" ca="1" si="728"/>
        <v>0</v>
      </c>
      <c r="EQ444" s="171">
        <f t="shared" ca="1" si="729"/>
        <v>0</v>
      </c>
      <c r="ER444" s="171">
        <f t="shared" ca="1" si="730"/>
        <v>0</v>
      </c>
      <c r="ES444" s="171">
        <f t="shared" ca="1" si="731"/>
        <v>0</v>
      </c>
    </row>
    <row r="445" spans="3:149">
      <c r="C445" s="214"/>
      <c r="L445" s="163"/>
      <c r="M445" s="164" t="str">
        <f t="shared" si="662"/>
        <v/>
      </c>
      <c r="N445" s="164" t="str">
        <f t="shared" si="663"/>
        <v/>
      </c>
      <c r="O445" s="165" t="str">
        <f t="shared" si="664"/>
        <v/>
      </c>
      <c r="R445" s="168" t="str">
        <f t="shared" si="732"/>
        <v/>
      </c>
      <c r="U445" s="171">
        <f t="shared" si="665"/>
        <v>0</v>
      </c>
      <c r="V445" s="171">
        <f t="shared" ca="1" si="666"/>
        <v>0</v>
      </c>
      <c r="W445" s="171">
        <f t="shared" ca="1" si="667"/>
        <v>0</v>
      </c>
      <c r="X445" s="172">
        <f t="shared" si="668"/>
        <v>0</v>
      </c>
      <c r="Y445" s="172" t="str">
        <f t="shared" si="669"/>
        <v/>
      </c>
      <c r="Z445" s="173">
        <f t="shared" si="670"/>
        <v>0</v>
      </c>
      <c r="AA445" s="171">
        <f t="shared" si="733"/>
        <v>0</v>
      </c>
      <c r="AB445" s="171">
        <f t="shared" si="733"/>
        <v>0</v>
      </c>
      <c r="AC445" s="171">
        <f t="shared" si="733"/>
        <v>0</v>
      </c>
      <c r="AD445" s="171">
        <f t="shared" si="733"/>
        <v>0</v>
      </c>
      <c r="AE445" s="171">
        <f t="shared" si="733"/>
        <v>0</v>
      </c>
      <c r="AF445" s="171">
        <f t="shared" si="733"/>
        <v>0</v>
      </c>
      <c r="AG445" s="171">
        <f t="shared" si="733"/>
        <v>0</v>
      </c>
      <c r="AH445" s="171">
        <f t="shared" si="733"/>
        <v>0</v>
      </c>
      <c r="AI445" s="171">
        <f t="shared" si="733"/>
        <v>0</v>
      </c>
      <c r="AJ445" s="171">
        <f t="shared" si="733"/>
        <v>0</v>
      </c>
      <c r="AK445" s="171">
        <f t="shared" si="734"/>
        <v>0</v>
      </c>
      <c r="AL445" s="171">
        <f t="shared" si="734"/>
        <v>0</v>
      </c>
      <c r="AM445" s="171">
        <f t="shared" si="734"/>
        <v>0</v>
      </c>
      <c r="AN445" s="171">
        <f t="shared" si="734"/>
        <v>0</v>
      </c>
      <c r="AO445" s="171">
        <f t="shared" si="734"/>
        <v>0</v>
      </c>
      <c r="AP445" s="171">
        <f t="shared" si="734"/>
        <v>0</v>
      </c>
      <c r="AQ445" s="171">
        <f t="shared" si="734"/>
        <v>0</v>
      </c>
      <c r="AR445" s="171">
        <f t="shared" si="734"/>
        <v>0</v>
      </c>
      <c r="AS445" s="171">
        <f t="shared" si="734"/>
        <v>0</v>
      </c>
      <c r="AT445" s="171">
        <f t="shared" si="734"/>
        <v>0</v>
      </c>
      <c r="AU445" s="171">
        <f t="shared" si="735"/>
        <v>0</v>
      </c>
      <c r="AV445" s="171">
        <f t="shared" si="735"/>
        <v>0</v>
      </c>
      <c r="AW445" s="171">
        <f t="shared" si="735"/>
        <v>0</v>
      </c>
      <c r="AX445" s="171">
        <f t="shared" si="735"/>
        <v>0</v>
      </c>
      <c r="AY445" s="171">
        <f t="shared" si="735"/>
        <v>0</v>
      </c>
      <c r="AZ445" s="171">
        <f t="shared" si="735"/>
        <v>0</v>
      </c>
      <c r="BA445" s="171">
        <f t="shared" si="735"/>
        <v>0</v>
      </c>
      <c r="BB445" s="171">
        <f t="shared" si="735"/>
        <v>0</v>
      </c>
      <c r="BC445" s="171">
        <f t="shared" si="735"/>
        <v>0</v>
      </c>
      <c r="BD445" s="171">
        <f t="shared" si="735"/>
        <v>0</v>
      </c>
      <c r="BE445" s="171">
        <f t="shared" si="736"/>
        <v>0</v>
      </c>
      <c r="BF445" s="171">
        <f t="shared" si="736"/>
        <v>0</v>
      </c>
      <c r="BG445" s="171">
        <f t="shared" si="736"/>
        <v>0</v>
      </c>
      <c r="BH445" s="171">
        <f t="shared" si="736"/>
        <v>0</v>
      </c>
      <c r="BI445" s="171">
        <f t="shared" si="736"/>
        <v>0</v>
      </c>
      <c r="BJ445" s="171">
        <f t="shared" si="736"/>
        <v>0</v>
      </c>
      <c r="BK445" s="171">
        <f t="shared" si="736"/>
        <v>0</v>
      </c>
      <c r="BL445" s="171">
        <f t="shared" si="736"/>
        <v>0</v>
      </c>
      <c r="BM445" s="171">
        <f t="shared" si="736"/>
        <v>0</v>
      </c>
      <c r="BN445" s="171">
        <f t="shared" si="736"/>
        <v>0</v>
      </c>
      <c r="BO445" s="171">
        <f t="shared" si="737"/>
        <v>0</v>
      </c>
      <c r="BP445" s="171">
        <f t="shared" si="737"/>
        <v>0</v>
      </c>
      <c r="BQ445" s="171">
        <f t="shared" si="737"/>
        <v>0</v>
      </c>
      <c r="BR445" s="171">
        <f t="shared" si="737"/>
        <v>0</v>
      </c>
      <c r="BS445" s="171">
        <f t="shared" si="737"/>
        <v>0</v>
      </c>
      <c r="BT445" s="171">
        <f t="shared" si="737"/>
        <v>0</v>
      </c>
      <c r="BU445" s="171">
        <f t="shared" si="737"/>
        <v>0</v>
      </c>
      <c r="BV445" s="171">
        <f t="shared" si="737"/>
        <v>0</v>
      </c>
      <c r="BW445" s="171">
        <f t="shared" si="737"/>
        <v>0</v>
      </c>
      <c r="BX445" s="171">
        <f t="shared" si="737"/>
        <v>0</v>
      </c>
      <c r="BY445" s="171">
        <f t="shared" si="738"/>
        <v>0</v>
      </c>
      <c r="BZ445" s="171">
        <f t="shared" si="738"/>
        <v>0</v>
      </c>
      <c r="CA445" s="171">
        <f t="shared" si="738"/>
        <v>0</v>
      </c>
      <c r="CB445" s="171">
        <f t="shared" si="738"/>
        <v>0</v>
      </c>
      <c r="CC445" s="171">
        <f t="shared" si="738"/>
        <v>0</v>
      </c>
      <c r="CD445" s="171">
        <f t="shared" si="738"/>
        <v>0</v>
      </c>
      <c r="CE445" s="171">
        <f t="shared" si="738"/>
        <v>0</v>
      </c>
      <c r="CF445" s="171">
        <f t="shared" si="738"/>
        <v>0</v>
      </c>
      <c r="CG445" s="171">
        <f t="shared" si="738"/>
        <v>0</v>
      </c>
      <c r="CH445" s="171">
        <f t="shared" si="738"/>
        <v>0</v>
      </c>
      <c r="CI445" s="171">
        <f t="shared" si="738"/>
        <v>0</v>
      </c>
      <c r="CJ445" s="243"/>
      <c r="CK445" s="171">
        <f t="shared" si="671"/>
        <v>0</v>
      </c>
      <c r="CL445" s="171">
        <f t="shared" si="672"/>
        <v>0</v>
      </c>
      <c r="CM445" s="171">
        <f t="shared" si="673"/>
        <v>0</v>
      </c>
      <c r="CN445" s="171">
        <f t="shared" si="674"/>
        <v>0</v>
      </c>
      <c r="CO445" s="171">
        <f t="shared" si="675"/>
        <v>0</v>
      </c>
      <c r="CP445" s="171">
        <f t="shared" si="676"/>
        <v>0</v>
      </c>
      <c r="CQ445" s="171">
        <f t="shared" si="677"/>
        <v>0</v>
      </c>
      <c r="CR445" s="171">
        <f t="shared" si="678"/>
        <v>0</v>
      </c>
      <c r="CS445" s="171">
        <f t="shared" si="679"/>
        <v>0</v>
      </c>
      <c r="CT445" s="171">
        <f t="shared" si="680"/>
        <v>0</v>
      </c>
      <c r="CU445" s="171">
        <f t="shared" si="681"/>
        <v>0</v>
      </c>
      <c r="CV445" s="171">
        <f t="shared" si="682"/>
        <v>0</v>
      </c>
      <c r="CW445" s="171">
        <f t="shared" si="683"/>
        <v>0</v>
      </c>
      <c r="CX445" s="171">
        <f t="shared" si="684"/>
        <v>0</v>
      </c>
      <c r="CY445" s="171">
        <f t="shared" ca="1" si="685"/>
        <v>0</v>
      </c>
      <c r="CZ445" s="171">
        <f t="shared" ca="1" si="686"/>
        <v>0</v>
      </c>
      <c r="DA445" s="171">
        <f t="shared" ca="1" si="687"/>
        <v>0</v>
      </c>
      <c r="DB445" s="171">
        <f t="shared" ca="1" si="688"/>
        <v>0</v>
      </c>
      <c r="DC445" s="171">
        <f t="shared" ca="1" si="689"/>
        <v>0</v>
      </c>
      <c r="DD445" s="171">
        <f t="shared" ca="1" si="690"/>
        <v>0</v>
      </c>
      <c r="DE445" s="171">
        <f t="shared" ca="1" si="691"/>
        <v>0</v>
      </c>
      <c r="DF445" s="171">
        <f t="shared" ca="1" si="692"/>
        <v>0</v>
      </c>
      <c r="DG445" s="171">
        <f t="shared" ca="1" si="693"/>
        <v>0</v>
      </c>
      <c r="DH445" s="171">
        <f t="shared" ca="1" si="694"/>
        <v>0</v>
      </c>
      <c r="DI445" s="171">
        <f t="shared" ca="1" si="695"/>
        <v>0</v>
      </c>
      <c r="DJ445" s="171">
        <f t="shared" ca="1" si="696"/>
        <v>0</v>
      </c>
      <c r="DK445" s="171">
        <f t="shared" ca="1" si="697"/>
        <v>0</v>
      </c>
      <c r="DL445" s="171">
        <f t="shared" ca="1" si="698"/>
        <v>0</v>
      </c>
      <c r="DM445" s="171">
        <f t="shared" ca="1" si="699"/>
        <v>0</v>
      </c>
      <c r="DN445" s="171">
        <f t="shared" ca="1" si="700"/>
        <v>0</v>
      </c>
      <c r="DO445" s="171">
        <f t="shared" ca="1" si="701"/>
        <v>0</v>
      </c>
      <c r="DP445" s="171">
        <f t="shared" ca="1" si="702"/>
        <v>0</v>
      </c>
      <c r="DQ445" s="171">
        <f t="shared" ca="1" si="703"/>
        <v>0</v>
      </c>
      <c r="DR445" s="171">
        <f t="shared" ca="1" si="704"/>
        <v>0</v>
      </c>
      <c r="DS445" s="171">
        <f t="shared" ca="1" si="705"/>
        <v>0</v>
      </c>
      <c r="DT445" s="171">
        <f t="shared" ca="1" si="706"/>
        <v>0</v>
      </c>
      <c r="DU445" s="171">
        <f t="shared" ca="1" si="707"/>
        <v>0</v>
      </c>
      <c r="DV445" s="171">
        <f t="shared" ca="1" si="708"/>
        <v>0</v>
      </c>
      <c r="DW445" s="171">
        <f t="shared" ca="1" si="709"/>
        <v>0</v>
      </c>
      <c r="DX445" s="171">
        <f t="shared" ca="1" si="710"/>
        <v>0</v>
      </c>
      <c r="DY445" s="171">
        <f t="shared" ca="1" si="711"/>
        <v>0</v>
      </c>
      <c r="DZ445" s="171">
        <f t="shared" ca="1" si="712"/>
        <v>0</v>
      </c>
      <c r="EA445" s="171">
        <f t="shared" ca="1" si="713"/>
        <v>0</v>
      </c>
      <c r="EB445" s="171">
        <f t="shared" ca="1" si="714"/>
        <v>0</v>
      </c>
      <c r="EC445" s="171">
        <f t="shared" ca="1" si="715"/>
        <v>0</v>
      </c>
      <c r="ED445" s="171">
        <f t="shared" ca="1" si="716"/>
        <v>0</v>
      </c>
      <c r="EE445" s="171">
        <f t="shared" ca="1" si="717"/>
        <v>0</v>
      </c>
      <c r="EF445" s="171">
        <f t="shared" ca="1" si="718"/>
        <v>0</v>
      </c>
      <c r="EG445" s="171">
        <f t="shared" ca="1" si="719"/>
        <v>0</v>
      </c>
      <c r="EH445" s="171">
        <f t="shared" ca="1" si="720"/>
        <v>0</v>
      </c>
      <c r="EI445" s="171">
        <f t="shared" ca="1" si="721"/>
        <v>0</v>
      </c>
      <c r="EJ445" s="171">
        <f t="shared" ca="1" si="722"/>
        <v>0</v>
      </c>
      <c r="EK445" s="171">
        <f t="shared" ca="1" si="723"/>
        <v>0</v>
      </c>
      <c r="EL445" s="171">
        <f t="shared" ca="1" si="724"/>
        <v>0</v>
      </c>
      <c r="EM445" s="171">
        <f t="shared" ca="1" si="725"/>
        <v>0</v>
      </c>
      <c r="EN445" s="171">
        <f t="shared" ca="1" si="726"/>
        <v>0</v>
      </c>
      <c r="EO445" s="171">
        <f t="shared" ca="1" si="727"/>
        <v>0</v>
      </c>
      <c r="EP445" s="171">
        <f t="shared" ca="1" si="728"/>
        <v>0</v>
      </c>
      <c r="EQ445" s="171">
        <f t="shared" ca="1" si="729"/>
        <v>0</v>
      </c>
      <c r="ER445" s="171">
        <f t="shared" ca="1" si="730"/>
        <v>0</v>
      </c>
      <c r="ES445" s="171">
        <f t="shared" ca="1" si="731"/>
        <v>0</v>
      </c>
    </row>
    <row r="446" spans="3:149">
      <c r="C446" s="214"/>
      <c r="L446" s="163"/>
      <c r="M446" s="164" t="str">
        <f t="shared" si="662"/>
        <v/>
      </c>
      <c r="N446" s="164" t="str">
        <f t="shared" si="663"/>
        <v/>
      </c>
      <c r="O446" s="165" t="str">
        <f t="shared" si="664"/>
        <v/>
      </c>
      <c r="R446" s="168" t="str">
        <f t="shared" si="732"/>
        <v/>
      </c>
      <c r="U446" s="171">
        <f t="shared" si="665"/>
        <v>0</v>
      </c>
      <c r="V446" s="171">
        <f t="shared" ca="1" si="666"/>
        <v>0</v>
      </c>
      <c r="W446" s="171">
        <f t="shared" ca="1" si="667"/>
        <v>0</v>
      </c>
      <c r="X446" s="172">
        <f t="shared" si="668"/>
        <v>0</v>
      </c>
      <c r="Y446" s="172" t="str">
        <f t="shared" si="669"/>
        <v/>
      </c>
      <c r="Z446" s="173">
        <f t="shared" si="670"/>
        <v>0</v>
      </c>
      <c r="AA446" s="171">
        <f t="shared" si="733"/>
        <v>0</v>
      </c>
      <c r="AB446" s="171">
        <f t="shared" si="733"/>
        <v>0</v>
      </c>
      <c r="AC446" s="171">
        <f t="shared" si="733"/>
        <v>0</v>
      </c>
      <c r="AD446" s="171">
        <f t="shared" si="733"/>
        <v>0</v>
      </c>
      <c r="AE446" s="171">
        <f t="shared" si="733"/>
        <v>0</v>
      </c>
      <c r="AF446" s="171">
        <f t="shared" si="733"/>
        <v>0</v>
      </c>
      <c r="AG446" s="171">
        <f t="shared" si="733"/>
        <v>0</v>
      </c>
      <c r="AH446" s="171">
        <f t="shared" si="733"/>
        <v>0</v>
      </c>
      <c r="AI446" s="171">
        <f t="shared" si="733"/>
        <v>0</v>
      </c>
      <c r="AJ446" s="171">
        <f t="shared" si="733"/>
        <v>0</v>
      </c>
      <c r="AK446" s="171">
        <f t="shared" si="734"/>
        <v>0</v>
      </c>
      <c r="AL446" s="171">
        <f t="shared" si="734"/>
        <v>0</v>
      </c>
      <c r="AM446" s="171">
        <f t="shared" si="734"/>
        <v>0</v>
      </c>
      <c r="AN446" s="171">
        <f t="shared" si="734"/>
        <v>0</v>
      </c>
      <c r="AO446" s="171">
        <f t="shared" si="734"/>
        <v>0</v>
      </c>
      <c r="AP446" s="171">
        <f t="shared" si="734"/>
        <v>0</v>
      </c>
      <c r="AQ446" s="171">
        <f t="shared" si="734"/>
        <v>0</v>
      </c>
      <c r="AR446" s="171">
        <f t="shared" si="734"/>
        <v>0</v>
      </c>
      <c r="AS446" s="171">
        <f t="shared" si="734"/>
        <v>0</v>
      </c>
      <c r="AT446" s="171">
        <f t="shared" si="734"/>
        <v>0</v>
      </c>
      <c r="AU446" s="171">
        <f t="shared" si="735"/>
        <v>0</v>
      </c>
      <c r="AV446" s="171">
        <f t="shared" si="735"/>
        <v>0</v>
      </c>
      <c r="AW446" s="171">
        <f t="shared" si="735"/>
        <v>0</v>
      </c>
      <c r="AX446" s="171">
        <f t="shared" si="735"/>
        <v>0</v>
      </c>
      <c r="AY446" s="171">
        <f t="shared" si="735"/>
        <v>0</v>
      </c>
      <c r="AZ446" s="171">
        <f t="shared" si="735"/>
        <v>0</v>
      </c>
      <c r="BA446" s="171">
        <f t="shared" si="735"/>
        <v>0</v>
      </c>
      <c r="BB446" s="171">
        <f t="shared" si="735"/>
        <v>0</v>
      </c>
      <c r="BC446" s="171">
        <f t="shared" si="735"/>
        <v>0</v>
      </c>
      <c r="BD446" s="171">
        <f t="shared" si="735"/>
        <v>0</v>
      </c>
      <c r="BE446" s="171">
        <f t="shared" si="736"/>
        <v>0</v>
      </c>
      <c r="BF446" s="171">
        <f t="shared" si="736"/>
        <v>0</v>
      </c>
      <c r="BG446" s="171">
        <f t="shared" si="736"/>
        <v>0</v>
      </c>
      <c r="BH446" s="171">
        <f t="shared" si="736"/>
        <v>0</v>
      </c>
      <c r="BI446" s="171">
        <f t="shared" si="736"/>
        <v>0</v>
      </c>
      <c r="BJ446" s="171">
        <f t="shared" si="736"/>
        <v>0</v>
      </c>
      <c r="BK446" s="171">
        <f t="shared" si="736"/>
        <v>0</v>
      </c>
      <c r="BL446" s="171">
        <f t="shared" si="736"/>
        <v>0</v>
      </c>
      <c r="BM446" s="171">
        <f t="shared" si="736"/>
        <v>0</v>
      </c>
      <c r="BN446" s="171">
        <f t="shared" si="736"/>
        <v>0</v>
      </c>
      <c r="BO446" s="171">
        <f t="shared" si="737"/>
        <v>0</v>
      </c>
      <c r="BP446" s="171">
        <f t="shared" si="737"/>
        <v>0</v>
      </c>
      <c r="BQ446" s="171">
        <f t="shared" si="737"/>
        <v>0</v>
      </c>
      <c r="BR446" s="171">
        <f t="shared" si="737"/>
        <v>0</v>
      </c>
      <c r="BS446" s="171">
        <f t="shared" si="737"/>
        <v>0</v>
      </c>
      <c r="BT446" s="171">
        <f t="shared" si="737"/>
        <v>0</v>
      </c>
      <c r="BU446" s="171">
        <f t="shared" si="737"/>
        <v>0</v>
      </c>
      <c r="BV446" s="171">
        <f t="shared" si="737"/>
        <v>0</v>
      </c>
      <c r="BW446" s="171">
        <f t="shared" si="737"/>
        <v>0</v>
      </c>
      <c r="BX446" s="171">
        <f t="shared" si="737"/>
        <v>0</v>
      </c>
      <c r="BY446" s="171">
        <f t="shared" si="738"/>
        <v>0</v>
      </c>
      <c r="BZ446" s="171">
        <f t="shared" si="738"/>
        <v>0</v>
      </c>
      <c r="CA446" s="171">
        <f t="shared" si="738"/>
        <v>0</v>
      </c>
      <c r="CB446" s="171">
        <f t="shared" si="738"/>
        <v>0</v>
      </c>
      <c r="CC446" s="171">
        <f t="shared" si="738"/>
        <v>0</v>
      </c>
      <c r="CD446" s="171">
        <f t="shared" si="738"/>
        <v>0</v>
      </c>
      <c r="CE446" s="171">
        <f t="shared" si="738"/>
        <v>0</v>
      </c>
      <c r="CF446" s="171">
        <f t="shared" si="738"/>
        <v>0</v>
      </c>
      <c r="CG446" s="171">
        <f t="shared" si="738"/>
        <v>0</v>
      </c>
      <c r="CH446" s="171">
        <f t="shared" si="738"/>
        <v>0</v>
      </c>
      <c r="CI446" s="171">
        <f t="shared" si="738"/>
        <v>0</v>
      </c>
      <c r="CJ446" s="243"/>
      <c r="CK446" s="171">
        <f t="shared" si="671"/>
        <v>0</v>
      </c>
      <c r="CL446" s="171">
        <f t="shared" si="672"/>
        <v>0</v>
      </c>
      <c r="CM446" s="171">
        <f t="shared" si="673"/>
        <v>0</v>
      </c>
      <c r="CN446" s="171">
        <f t="shared" si="674"/>
        <v>0</v>
      </c>
      <c r="CO446" s="171">
        <f t="shared" si="675"/>
        <v>0</v>
      </c>
      <c r="CP446" s="171">
        <f t="shared" si="676"/>
        <v>0</v>
      </c>
      <c r="CQ446" s="171">
        <f t="shared" si="677"/>
        <v>0</v>
      </c>
      <c r="CR446" s="171">
        <f t="shared" si="678"/>
        <v>0</v>
      </c>
      <c r="CS446" s="171">
        <f t="shared" si="679"/>
        <v>0</v>
      </c>
      <c r="CT446" s="171">
        <f t="shared" si="680"/>
        <v>0</v>
      </c>
      <c r="CU446" s="171">
        <f t="shared" si="681"/>
        <v>0</v>
      </c>
      <c r="CV446" s="171">
        <f t="shared" si="682"/>
        <v>0</v>
      </c>
      <c r="CW446" s="171">
        <f t="shared" si="683"/>
        <v>0</v>
      </c>
      <c r="CX446" s="171">
        <f t="shared" si="684"/>
        <v>0</v>
      </c>
      <c r="CY446" s="171">
        <f t="shared" ca="1" si="685"/>
        <v>0</v>
      </c>
      <c r="CZ446" s="171">
        <f t="shared" ca="1" si="686"/>
        <v>0</v>
      </c>
      <c r="DA446" s="171">
        <f t="shared" ca="1" si="687"/>
        <v>0</v>
      </c>
      <c r="DB446" s="171">
        <f t="shared" ca="1" si="688"/>
        <v>0</v>
      </c>
      <c r="DC446" s="171">
        <f t="shared" ca="1" si="689"/>
        <v>0</v>
      </c>
      <c r="DD446" s="171">
        <f t="shared" ca="1" si="690"/>
        <v>0</v>
      </c>
      <c r="DE446" s="171">
        <f t="shared" ca="1" si="691"/>
        <v>0</v>
      </c>
      <c r="DF446" s="171">
        <f t="shared" ca="1" si="692"/>
        <v>0</v>
      </c>
      <c r="DG446" s="171">
        <f t="shared" ca="1" si="693"/>
        <v>0</v>
      </c>
      <c r="DH446" s="171">
        <f t="shared" ca="1" si="694"/>
        <v>0</v>
      </c>
      <c r="DI446" s="171">
        <f t="shared" ca="1" si="695"/>
        <v>0</v>
      </c>
      <c r="DJ446" s="171">
        <f t="shared" ca="1" si="696"/>
        <v>0</v>
      </c>
      <c r="DK446" s="171">
        <f t="shared" ca="1" si="697"/>
        <v>0</v>
      </c>
      <c r="DL446" s="171">
        <f t="shared" ca="1" si="698"/>
        <v>0</v>
      </c>
      <c r="DM446" s="171">
        <f t="shared" ca="1" si="699"/>
        <v>0</v>
      </c>
      <c r="DN446" s="171">
        <f t="shared" ca="1" si="700"/>
        <v>0</v>
      </c>
      <c r="DO446" s="171">
        <f t="shared" ca="1" si="701"/>
        <v>0</v>
      </c>
      <c r="DP446" s="171">
        <f t="shared" ca="1" si="702"/>
        <v>0</v>
      </c>
      <c r="DQ446" s="171">
        <f t="shared" ca="1" si="703"/>
        <v>0</v>
      </c>
      <c r="DR446" s="171">
        <f t="shared" ca="1" si="704"/>
        <v>0</v>
      </c>
      <c r="DS446" s="171">
        <f t="shared" ca="1" si="705"/>
        <v>0</v>
      </c>
      <c r="DT446" s="171">
        <f t="shared" ca="1" si="706"/>
        <v>0</v>
      </c>
      <c r="DU446" s="171">
        <f t="shared" ca="1" si="707"/>
        <v>0</v>
      </c>
      <c r="DV446" s="171">
        <f t="shared" ca="1" si="708"/>
        <v>0</v>
      </c>
      <c r="DW446" s="171">
        <f t="shared" ca="1" si="709"/>
        <v>0</v>
      </c>
      <c r="DX446" s="171">
        <f t="shared" ca="1" si="710"/>
        <v>0</v>
      </c>
      <c r="DY446" s="171">
        <f t="shared" ca="1" si="711"/>
        <v>0</v>
      </c>
      <c r="DZ446" s="171">
        <f t="shared" ca="1" si="712"/>
        <v>0</v>
      </c>
      <c r="EA446" s="171">
        <f t="shared" ca="1" si="713"/>
        <v>0</v>
      </c>
      <c r="EB446" s="171">
        <f t="shared" ca="1" si="714"/>
        <v>0</v>
      </c>
      <c r="EC446" s="171">
        <f t="shared" ca="1" si="715"/>
        <v>0</v>
      </c>
      <c r="ED446" s="171">
        <f t="shared" ca="1" si="716"/>
        <v>0</v>
      </c>
      <c r="EE446" s="171">
        <f t="shared" ca="1" si="717"/>
        <v>0</v>
      </c>
      <c r="EF446" s="171">
        <f t="shared" ca="1" si="718"/>
        <v>0</v>
      </c>
      <c r="EG446" s="171">
        <f t="shared" ca="1" si="719"/>
        <v>0</v>
      </c>
      <c r="EH446" s="171">
        <f t="shared" ca="1" si="720"/>
        <v>0</v>
      </c>
      <c r="EI446" s="171">
        <f t="shared" ca="1" si="721"/>
        <v>0</v>
      </c>
      <c r="EJ446" s="171">
        <f t="shared" ca="1" si="722"/>
        <v>0</v>
      </c>
      <c r="EK446" s="171">
        <f t="shared" ca="1" si="723"/>
        <v>0</v>
      </c>
      <c r="EL446" s="171">
        <f t="shared" ca="1" si="724"/>
        <v>0</v>
      </c>
      <c r="EM446" s="171">
        <f t="shared" ca="1" si="725"/>
        <v>0</v>
      </c>
      <c r="EN446" s="171">
        <f t="shared" ca="1" si="726"/>
        <v>0</v>
      </c>
      <c r="EO446" s="171">
        <f t="shared" ca="1" si="727"/>
        <v>0</v>
      </c>
      <c r="EP446" s="171">
        <f t="shared" ca="1" si="728"/>
        <v>0</v>
      </c>
      <c r="EQ446" s="171">
        <f t="shared" ca="1" si="729"/>
        <v>0</v>
      </c>
      <c r="ER446" s="171">
        <f t="shared" ca="1" si="730"/>
        <v>0</v>
      </c>
      <c r="ES446" s="171">
        <f t="shared" ca="1" si="731"/>
        <v>0</v>
      </c>
    </row>
    <row r="447" spans="3:149">
      <c r="C447" s="214"/>
      <c r="L447" s="163"/>
      <c r="M447" s="164" t="str">
        <f t="shared" si="662"/>
        <v/>
      </c>
      <c r="N447" s="164" t="str">
        <f t="shared" si="663"/>
        <v/>
      </c>
      <c r="O447" s="165" t="str">
        <f t="shared" si="664"/>
        <v/>
      </c>
      <c r="R447" s="168" t="str">
        <f t="shared" si="732"/>
        <v/>
      </c>
      <c r="U447" s="171">
        <f t="shared" si="665"/>
        <v>0</v>
      </c>
      <c r="V447" s="171">
        <f t="shared" ca="1" si="666"/>
        <v>0</v>
      </c>
      <c r="W447" s="171">
        <f t="shared" ca="1" si="667"/>
        <v>0</v>
      </c>
      <c r="X447" s="172">
        <f t="shared" si="668"/>
        <v>0</v>
      </c>
      <c r="Y447" s="172" t="str">
        <f t="shared" si="669"/>
        <v/>
      </c>
      <c r="Z447" s="173">
        <f t="shared" si="670"/>
        <v>0</v>
      </c>
      <c r="AA447" s="171">
        <f t="shared" si="733"/>
        <v>0</v>
      </c>
      <c r="AB447" s="171">
        <f t="shared" si="733"/>
        <v>0</v>
      </c>
      <c r="AC447" s="171">
        <f t="shared" si="733"/>
        <v>0</v>
      </c>
      <c r="AD447" s="171">
        <f t="shared" si="733"/>
        <v>0</v>
      </c>
      <c r="AE447" s="171">
        <f t="shared" si="733"/>
        <v>0</v>
      </c>
      <c r="AF447" s="171">
        <f t="shared" si="733"/>
        <v>0</v>
      </c>
      <c r="AG447" s="171">
        <f t="shared" si="733"/>
        <v>0</v>
      </c>
      <c r="AH447" s="171">
        <f t="shared" si="733"/>
        <v>0</v>
      </c>
      <c r="AI447" s="171">
        <f t="shared" si="733"/>
        <v>0</v>
      </c>
      <c r="AJ447" s="171">
        <f t="shared" si="733"/>
        <v>0</v>
      </c>
      <c r="AK447" s="171">
        <f t="shared" si="734"/>
        <v>0</v>
      </c>
      <c r="AL447" s="171">
        <f t="shared" si="734"/>
        <v>0</v>
      </c>
      <c r="AM447" s="171">
        <f t="shared" si="734"/>
        <v>0</v>
      </c>
      <c r="AN447" s="171">
        <f t="shared" si="734"/>
        <v>0</v>
      </c>
      <c r="AO447" s="171">
        <f t="shared" si="734"/>
        <v>0</v>
      </c>
      <c r="AP447" s="171">
        <f t="shared" si="734"/>
        <v>0</v>
      </c>
      <c r="AQ447" s="171">
        <f t="shared" si="734"/>
        <v>0</v>
      </c>
      <c r="AR447" s="171">
        <f t="shared" si="734"/>
        <v>0</v>
      </c>
      <c r="AS447" s="171">
        <f t="shared" si="734"/>
        <v>0</v>
      </c>
      <c r="AT447" s="171">
        <f t="shared" si="734"/>
        <v>0</v>
      </c>
      <c r="AU447" s="171">
        <f t="shared" si="735"/>
        <v>0</v>
      </c>
      <c r="AV447" s="171">
        <f t="shared" si="735"/>
        <v>0</v>
      </c>
      <c r="AW447" s="171">
        <f t="shared" si="735"/>
        <v>0</v>
      </c>
      <c r="AX447" s="171">
        <f t="shared" si="735"/>
        <v>0</v>
      </c>
      <c r="AY447" s="171">
        <f t="shared" si="735"/>
        <v>0</v>
      </c>
      <c r="AZ447" s="171">
        <f t="shared" si="735"/>
        <v>0</v>
      </c>
      <c r="BA447" s="171">
        <f t="shared" si="735"/>
        <v>0</v>
      </c>
      <c r="BB447" s="171">
        <f t="shared" si="735"/>
        <v>0</v>
      </c>
      <c r="BC447" s="171">
        <f t="shared" si="735"/>
        <v>0</v>
      </c>
      <c r="BD447" s="171">
        <f t="shared" si="735"/>
        <v>0</v>
      </c>
      <c r="BE447" s="171">
        <f t="shared" si="736"/>
        <v>0</v>
      </c>
      <c r="BF447" s="171">
        <f t="shared" si="736"/>
        <v>0</v>
      </c>
      <c r="BG447" s="171">
        <f t="shared" si="736"/>
        <v>0</v>
      </c>
      <c r="BH447" s="171">
        <f t="shared" si="736"/>
        <v>0</v>
      </c>
      <c r="BI447" s="171">
        <f t="shared" si="736"/>
        <v>0</v>
      </c>
      <c r="BJ447" s="171">
        <f t="shared" si="736"/>
        <v>0</v>
      </c>
      <c r="BK447" s="171">
        <f t="shared" si="736"/>
        <v>0</v>
      </c>
      <c r="BL447" s="171">
        <f t="shared" si="736"/>
        <v>0</v>
      </c>
      <c r="BM447" s="171">
        <f t="shared" si="736"/>
        <v>0</v>
      </c>
      <c r="BN447" s="171">
        <f t="shared" si="736"/>
        <v>0</v>
      </c>
      <c r="BO447" s="171">
        <f t="shared" si="737"/>
        <v>0</v>
      </c>
      <c r="BP447" s="171">
        <f t="shared" si="737"/>
        <v>0</v>
      </c>
      <c r="BQ447" s="171">
        <f t="shared" si="737"/>
        <v>0</v>
      </c>
      <c r="BR447" s="171">
        <f t="shared" si="737"/>
        <v>0</v>
      </c>
      <c r="BS447" s="171">
        <f t="shared" si="737"/>
        <v>0</v>
      </c>
      <c r="BT447" s="171">
        <f t="shared" si="737"/>
        <v>0</v>
      </c>
      <c r="BU447" s="171">
        <f t="shared" si="737"/>
        <v>0</v>
      </c>
      <c r="BV447" s="171">
        <f t="shared" si="737"/>
        <v>0</v>
      </c>
      <c r="BW447" s="171">
        <f t="shared" si="737"/>
        <v>0</v>
      </c>
      <c r="BX447" s="171">
        <f t="shared" si="737"/>
        <v>0</v>
      </c>
      <c r="BY447" s="171">
        <f t="shared" si="738"/>
        <v>0</v>
      </c>
      <c r="BZ447" s="171">
        <f t="shared" si="738"/>
        <v>0</v>
      </c>
      <c r="CA447" s="171">
        <f t="shared" si="738"/>
        <v>0</v>
      </c>
      <c r="CB447" s="171">
        <f t="shared" si="738"/>
        <v>0</v>
      </c>
      <c r="CC447" s="171">
        <f t="shared" si="738"/>
        <v>0</v>
      </c>
      <c r="CD447" s="171">
        <f t="shared" si="738"/>
        <v>0</v>
      </c>
      <c r="CE447" s="171">
        <f t="shared" si="738"/>
        <v>0</v>
      </c>
      <c r="CF447" s="171">
        <f t="shared" si="738"/>
        <v>0</v>
      </c>
      <c r="CG447" s="171">
        <f t="shared" si="738"/>
        <v>0</v>
      </c>
      <c r="CH447" s="171">
        <f t="shared" si="738"/>
        <v>0</v>
      </c>
      <c r="CI447" s="171">
        <f t="shared" si="738"/>
        <v>0</v>
      </c>
      <c r="CJ447" s="243"/>
      <c r="CK447" s="171">
        <f t="shared" si="671"/>
        <v>0</v>
      </c>
      <c r="CL447" s="171">
        <f t="shared" si="672"/>
        <v>0</v>
      </c>
      <c r="CM447" s="171">
        <f t="shared" si="673"/>
        <v>0</v>
      </c>
      <c r="CN447" s="171">
        <f t="shared" si="674"/>
        <v>0</v>
      </c>
      <c r="CO447" s="171">
        <f t="shared" si="675"/>
        <v>0</v>
      </c>
      <c r="CP447" s="171">
        <f t="shared" si="676"/>
        <v>0</v>
      </c>
      <c r="CQ447" s="171">
        <f t="shared" si="677"/>
        <v>0</v>
      </c>
      <c r="CR447" s="171">
        <f t="shared" si="678"/>
        <v>0</v>
      </c>
      <c r="CS447" s="171">
        <f t="shared" si="679"/>
        <v>0</v>
      </c>
      <c r="CT447" s="171">
        <f t="shared" si="680"/>
        <v>0</v>
      </c>
      <c r="CU447" s="171">
        <f t="shared" si="681"/>
        <v>0</v>
      </c>
      <c r="CV447" s="171">
        <f t="shared" si="682"/>
        <v>0</v>
      </c>
      <c r="CW447" s="171">
        <f t="shared" si="683"/>
        <v>0</v>
      </c>
      <c r="CX447" s="171">
        <f t="shared" si="684"/>
        <v>0</v>
      </c>
      <c r="CY447" s="171">
        <f t="shared" ca="1" si="685"/>
        <v>0</v>
      </c>
      <c r="CZ447" s="171">
        <f t="shared" ca="1" si="686"/>
        <v>0</v>
      </c>
      <c r="DA447" s="171">
        <f t="shared" ca="1" si="687"/>
        <v>0</v>
      </c>
      <c r="DB447" s="171">
        <f t="shared" ca="1" si="688"/>
        <v>0</v>
      </c>
      <c r="DC447" s="171">
        <f t="shared" ca="1" si="689"/>
        <v>0</v>
      </c>
      <c r="DD447" s="171">
        <f t="shared" ca="1" si="690"/>
        <v>0</v>
      </c>
      <c r="DE447" s="171">
        <f t="shared" ca="1" si="691"/>
        <v>0</v>
      </c>
      <c r="DF447" s="171">
        <f t="shared" ca="1" si="692"/>
        <v>0</v>
      </c>
      <c r="DG447" s="171">
        <f t="shared" ca="1" si="693"/>
        <v>0</v>
      </c>
      <c r="DH447" s="171">
        <f t="shared" ca="1" si="694"/>
        <v>0</v>
      </c>
      <c r="DI447" s="171">
        <f t="shared" ca="1" si="695"/>
        <v>0</v>
      </c>
      <c r="DJ447" s="171">
        <f t="shared" ca="1" si="696"/>
        <v>0</v>
      </c>
      <c r="DK447" s="171">
        <f t="shared" ca="1" si="697"/>
        <v>0</v>
      </c>
      <c r="DL447" s="171">
        <f t="shared" ca="1" si="698"/>
        <v>0</v>
      </c>
      <c r="DM447" s="171">
        <f t="shared" ca="1" si="699"/>
        <v>0</v>
      </c>
      <c r="DN447" s="171">
        <f t="shared" ca="1" si="700"/>
        <v>0</v>
      </c>
      <c r="DO447" s="171">
        <f t="shared" ca="1" si="701"/>
        <v>0</v>
      </c>
      <c r="DP447" s="171">
        <f t="shared" ca="1" si="702"/>
        <v>0</v>
      </c>
      <c r="DQ447" s="171">
        <f t="shared" ca="1" si="703"/>
        <v>0</v>
      </c>
      <c r="DR447" s="171">
        <f t="shared" ca="1" si="704"/>
        <v>0</v>
      </c>
      <c r="DS447" s="171">
        <f t="shared" ca="1" si="705"/>
        <v>0</v>
      </c>
      <c r="DT447" s="171">
        <f t="shared" ca="1" si="706"/>
        <v>0</v>
      </c>
      <c r="DU447" s="171">
        <f t="shared" ca="1" si="707"/>
        <v>0</v>
      </c>
      <c r="DV447" s="171">
        <f t="shared" ca="1" si="708"/>
        <v>0</v>
      </c>
      <c r="DW447" s="171">
        <f t="shared" ca="1" si="709"/>
        <v>0</v>
      </c>
      <c r="DX447" s="171">
        <f t="shared" ca="1" si="710"/>
        <v>0</v>
      </c>
      <c r="DY447" s="171">
        <f t="shared" ca="1" si="711"/>
        <v>0</v>
      </c>
      <c r="DZ447" s="171">
        <f t="shared" ca="1" si="712"/>
        <v>0</v>
      </c>
      <c r="EA447" s="171">
        <f t="shared" ca="1" si="713"/>
        <v>0</v>
      </c>
      <c r="EB447" s="171">
        <f t="shared" ca="1" si="714"/>
        <v>0</v>
      </c>
      <c r="EC447" s="171">
        <f t="shared" ca="1" si="715"/>
        <v>0</v>
      </c>
      <c r="ED447" s="171">
        <f t="shared" ca="1" si="716"/>
        <v>0</v>
      </c>
      <c r="EE447" s="171">
        <f t="shared" ca="1" si="717"/>
        <v>0</v>
      </c>
      <c r="EF447" s="171">
        <f t="shared" ca="1" si="718"/>
        <v>0</v>
      </c>
      <c r="EG447" s="171">
        <f t="shared" ca="1" si="719"/>
        <v>0</v>
      </c>
      <c r="EH447" s="171">
        <f t="shared" ca="1" si="720"/>
        <v>0</v>
      </c>
      <c r="EI447" s="171">
        <f t="shared" ca="1" si="721"/>
        <v>0</v>
      </c>
      <c r="EJ447" s="171">
        <f t="shared" ca="1" si="722"/>
        <v>0</v>
      </c>
      <c r="EK447" s="171">
        <f t="shared" ca="1" si="723"/>
        <v>0</v>
      </c>
      <c r="EL447" s="171">
        <f t="shared" ca="1" si="724"/>
        <v>0</v>
      </c>
      <c r="EM447" s="171">
        <f t="shared" ca="1" si="725"/>
        <v>0</v>
      </c>
      <c r="EN447" s="171">
        <f t="shared" ca="1" si="726"/>
        <v>0</v>
      </c>
      <c r="EO447" s="171">
        <f t="shared" ca="1" si="727"/>
        <v>0</v>
      </c>
      <c r="EP447" s="171">
        <f t="shared" ca="1" si="728"/>
        <v>0</v>
      </c>
      <c r="EQ447" s="171">
        <f t="shared" ca="1" si="729"/>
        <v>0</v>
      </c>
      <c r="ER447" s="171">
        <f t="shared" ca="1" si="730"/>
        <v>0</v>
      </c>
      <c r="ES447" s="171">
        <f t="shared" ca="1" si="731"/>
        <v>0</v>
      </c>
    </row>
    <row r="448" spans="3:149">
      <c r="C448" s="214"/>
      <c r="L448" s="163"/>
      <c r="M448" s="164" t="str">
        <f t="shared" si="662"/>
        <v/>
      </c>
      <c r="N448" s="164" t="str">
        <f t="shared" si="663"/>
        <v/>
      </c>
      <c r="O448" s="165" t="str">
        <f t="shared" si="664"/>
        <v/>
      </c>
      <c r="R448" s="168"/>
      <c r="U448" s="171">
        <f t="shared" si="665"/>
        <v>0</v>
      </c>
      <c r="V448" s="171">
        <f t="shared" ca="1" si="666"/>
        <v>0</v>
      </c>
      <c r="W448" s="171">
        <f t="shared" ca="1" si="667"/>
        <v>0</v>
      </c>
      <c r="X448" s="172">
        <f t="shared" si="668"/>
        <v>0</v>
      </c>
      <c r="Y448" s="172" t="str">
        <f t="shared" si="669"/>
        <v/>
      </c>
      <c r="Z448" s="173">
        <f t="shared" si="670"/>
        <v>0</v>
      </c>
      <c r="AA448" s="171">
        <f t="shared" si="733"/>
        <v>0</v>
      </c>
      <c r="AB448" s="171">
        <f t="shared" si="733"/>
        <v>0</v>
      </c>
      <c r="AC448" s="171">
        <f t="shared" si="733"/>
        <v>0</v>
      </c>
      <c r="AD448" s="171">
        <f t="shared" si="733"/>
        <v>0</v>
      </c>
      <c r="AE448" s="171">
        <f t="shared" si="733"/>
        <v>0</v>
      </c>
      <c r="AF448" s="171">
        <f t="shared" si="733"/>
        <v>0</v>
      </c>
      <c r="AG448" s="171">
        <f t="shared" si="733"/>
        <v>0</v>
      </c>
      <c r="AH448" s="171">
        <f t="shared" si="733"/>
        <v>0</v>
      </c>
      <c r="AI448" s="171">
        <f t="shared" si="733"/>
        <v>0</v>
      </c>
      <c r="AJ448" s="171">
        <f t="shared" si="733"/>
        <v>0</v>
      </c>
      <c r="AK448" s="171">
        <f t="shared" si="734"/>
        <v>0</v>
      </c>
      <c r="AL448" s="171">
        <f t="shared" si="734"/>
        <v>0</v>
      </c>
      <c r="AM448" s="171">
        <f t="shared" si="734"/>
        <v>0</v>
      </c>
      <c r="AN448" s="171">
        <f t="shared" si="734"/>
        <v>0</v>
      </c>
      <c r="AO448" s="171">
        <f t="shared" si="734"/>
        <v>0</v>
      </c>
      <c r="AP448" s="171">
        <f t="shared" si="734"/>
        <v>0</v>
      </c>
      <c r="AQ448" s="171">
        <f t="shared" si="734"/>
        <v>0</v>
      </c>
      <c r="AR448" s="171">
        <f t="shared" si="734"/>
        <v>0</v>
      </c>
      <c r="AS448" s="171">
        <f t="shared" si="734"/>
        <v>0</v>
      </c>
      <c r="AT448" s="171">
        <f t="shared" si="734"/>
        <v>0</v>
      </c>
      <c r="AU448" s="171">
        <f t="shared" si="735"/>
        <v>0</v>
      </c>
      <c r="AV448" s="171">
        <f t="shared" si="735"/>
        <v>0</v>
      </c>
      <c r="AW448" s="171">
        <f t="shared" si="735"/>
        <v>0</v>
      </c>
      <c r="AX448" s="171">
        <f t="shared" si="735"/>
        <v>0</v>
      </c>
      <c r="AY448" s="171">
        <f t="shared" si="735"/>
        <v>0</v>
      </c>
      <c r="AZ448" s="171">
        <f t="shared" si="735"/>
        <v>0</v>
      </c>
      <c r="BA448" s="171">
        <f t="shared" si="735"/>
        <v>0</v>
      </c>
      <c r="BB448" s="171">
        <f t="shared" si="735"/>
        <v>0</v>
      </c>
      <c r="BC448" s="171">
        <f t="shared" si="735"/>
        <v>0</v>
      </c>
      <c r="BD448" s="171">
        <f t="shared" si="735"/>
        <v>0</v>
      </c>
      <c r="BE448" s="171">
        <f t="shared" si="736"/>
        <v>0</v>
      </c>
      <c r="BF448" s="171">
        <f t="shared" si="736"/>
        <v>0</v>
      </c>
      <c r="BG448" s="171">
        <f t="shared" si="736"/>
        <v>0</v>
      </c>
      <c r="BH448" s="171">
        <f t="shared" si="736"/>
        <v>0</v>
      </c>
      <c r="BI448" s="171">
        <f t="shared" si="736"/>
        <v>0</v>
      </c>
      <c r="BJ448" s="171">
        <f t="shared" si="736"/>
        <v>0</v>
      </c>
      <c r="BK448" s="171">
        <f t="shared" si="736"/>
        <v>0</v>
      </c>
      <c r="BL448" s="171">
        <f t="shared" si="736"/>
        <v>0</v>
      </c>
      <c r="BM448" s="171">
        <f t="shared" si="736"/>
        <v>0</v>
      </c>
      <c r="BN448" s="171">
        <f t="shared" si="736"/>
        <v>0</v>
      </c>
      <c r="BO448" s="171">
        <f t="shared" si="737"/>
        <v>0</v>
      </c>
      <c r="BP448" s="171">
        <f t="shared" si="737"/>
        <v>0</v>
      </c>
      <c r="BQ448" s="171">
        <f t="shared" si="737"/>
        <v>0</v>
      </c>
      <c r="BR448" s="171">
        <f t="shared" si="737"/>
        <v>0</v>
      </c>
      <c r="BS448" s="171">
        <f t="shared" si="737"/>
        <v>0</v>
      </c>
      <c r="BT448" s="171">
        <f t="shared" si="737"/>
        <v>0</v>
      </c>
      <c r="BU448" s="171">
        <f t="shared" si="737"/>
        <v>0</v>
      </c>
      <c r="BV448" s="171">
        <f t="shared" si="737"/>
        <v>0</v>
      </c>
      <c r="BW448" s="171">
        <f t="shared" si="737"/>
        <v>0</v>
      </c>
      <c r="BX448" s="171">
        <f t="shared" si="737"/>
        <v>0</v>
      </c>
      <c r="BY448" s="171">
        <f t="shared" si="738"/>
        <v>0</v>
      </c>
      <c r="BZ448" s="171">
        <f t="shared" si="738"/>
        <v>0</v>
      </c>
      <c r="CA448" s="171">
        <f t="shared" si="738"/>
        <v>0</v>
      </c>
      <c r="CB448" s="171">
        <f t="shared" si="738"/>
        <v>0</v>
      </c>
      <c r="CC448" s="171">
        <f t="shared" si="738"/>
        <v>0</v>
      </c>
      <c r="CD448" s="171">
        <f t="shared" si="738"/>
        <v>0</v>
      </c>
      <c r="CE448" s="171">
        <f t="shared" si="738"/>
        <v>0</v>
      </c>
      <c r="CF448" s="171">
        <f t="shared" si="738"/>
        <v>0</v>
      </c>
      <c r="CG448" s="171">
        <f t="shared" si="738"/>
        <v>0</v>
      </c>
      <c r="CH448" s="171">
        <f t="shared" si="738"/>
        <v>0</v>
      </c>
      <c r="CI448" s="171">
        <f t="shared" si="738"/>
        <v>0</v>
      </c>
      <c r="CJ448" s="243"/>
      <c r="CK448" s="171">
        <f t="shared" si="671"/>
        <v>0</v>
      </c>
      <c r="CL448" s="171">
        <f t="shared" si="672"/>
        <v>0</v>
      </c>
      <c r="CM448" s="171">
        <f t="shared" si="673"/>
        <v>0</v>
      </c>
      <c r="CN448" s="171">
        <f t="shared" si="674"/>
        <v>0</v>
      </c>
      <c r="CO448" s="171">
        <f t="shared" si="675"/>
        <v>0</v>
      </c>
      <c r="CP448" s="171">
        <f t="shared" si="676"/>
        <v>0</v>
      </c>
      <c r="CQ448" s="171">
        <f t="shared" si="677"/>
        <v>0</v>
      </c>
      <c r="CR448" s="171">
        <f t="shared" si="678"/>
        <v>0</v>
      </c>
      <c r="CS448" s="171">
        <f t="shared" si="679"/>
        <v>0</v>
      </c>
      <c r="CT448" s="171">
        <f t="shared" si="680"/>
        <v>0</v>
      </c>
      <c r="CU448" s="171">
        <f t="shared" si="681"/>
        <v>0</v>
      </c>
      <c r="CV448" s="171">
        <f t="shared" si="682"/>
        <v>0</v>
      </c>
      <c r="CW448" s="171">
        <f t="shared" si="683"/>
        <v>0</v>
      </c>
      <c r="CX448" s="171">
        <f t="shared" si="684"/>
        <v>0</v>
      </c>
      <c r="CY448" s="171">
        <f t="shared" ca="1" si="685"/>
        <v>0</v>
      </c>
      <c r="CZ448" s="171">
        <f t="shared" ca="1" si="686"/>
        <v>0</v>
      </c>
      <c r="DA448" s="171">
        <f t="shared" ca="1" si="687"/>
        <v>0</v>
      </c>
      <c r="DB448" s="171">
        <f t="shared" ca="1" si="688"/>
        <v>0</v>
      </c>
      <c r="DC448" s="171">
        <f t="shared" ca="1" si="689"/>
        <v>0</v>
      </c>
      <c r="DD448" s="171">
        <f t="shared" ca="1" si="690"/>
        <v>0</v>
      </c>
      <c r="DE448" s="171">
        <f t="shared" ca="1" si="691"/>
        <v>0</v>
      </c>
      <c r="DF448" s="171">
        <f t="shared" ca="1" si="692"/>
        <v>0</v>
      </c>
      <c r="DG448" s="171">
        <f t="shared" ca="1" si="693"/>
        <v>0</v>
      </c>
      <c r="DH448" s="171">
        <f t="shared" ca="1" si="694"/>
        <v>0</v>
      </c>
      <c r="DI448" s="171">
        <f t="shared" ca="1" si="695"/>
        <v>0</v>
      </c>
      <c r="DJ448" s="171">
        <f t="shared" ca="1" si="696"/>
        <v>0</v>
      </c>
      <c r="DK448" s="171">
        <f t="shared" ca="1" si="697"/>
        <v>0</v>
      </c>
      <c r="DL448" s="171">
        <f t="shared" ca="1" si="698"/>
        <v>0</v>
      </c>
      <c r="DM448" s="171">
        <f t="shared" ca="1" si="699"/>
        <v>0</v>
      </c>
      <c r="DN448" s="171">
        <f t="shared" ca="1" si="700"/>
        <v>0</v>
      </c>
      <c r="DO448" s="171">
        <f t="shared" ca="1" si="701"/>
        <v>0</v>
      </c>
      <c r="DP448" s="171">
        <f t="shared" ca="1" si="702"/>
        <v>0</v>
      </c>
      <c r="DQ448" s="171">
        <f t="shared" ca="1" si="703"/>
        <v>0</v>
      </c>
      <c r="DR448" s="171">
        <f t="shared" ca="1" si="704"/>
        <v>0</v>
      </c>
      <c r="DS448" s="171">
        <f t="shared" ca="1" si="705"/>
        <v>0</v>
      </c>
      <c r="DT448" s="171">
        <f t="shared" ca="1" si="706"/>
        <v>0</v>
      </c>
      <c r="DU448" s="171">
        <f t="shared" ca="1" si="707"/>
        <v>0</v>
      </c>
      <c r="DV448" s="171">
        <f t="shared" ca="1" si="708"/>
        <v>0</v>
      </c>
      <c r="DW448" s="171">
        <f t="shared" ca="1" si="709"/>
        <v>0</v>
      </c>
      <c r="DX448" s="171">
        <f t="shared" ca="1" si="710"/>
        <v>0</v>
      </c>
      <c r="DY448" s="171">
        <f t="shared" ca="1" si="711"/>
        <v>0</v>
      </c>
      <c r="DZ448" s="171">
        <f t="shared" ca="1" si="712"/>
        <v>0</v>
      </c>
      <c r="EA448" s="171">
        <f t="shared" ca="1" si="713"/>
        <v>0</v>
      </c>
      <c r="EB448" s="171">
        <f t="shared" ca="1" si="714"/>
        <v>0</v>
      </c>
      <c r="EC448" s="171">
        <f t="shared" ca="1" si="715"/>
        <v>0</v>
      </c>
      <c r="ED448" s="171">
        <f t="shared" ca="1" si="716"/>
        <v>0</v>
      </c>
      <c r="EE448" s="171">
        <f t="shared" ca="1" si="717"/>
        <v>0</v>
      </c>
      <c r="EF448" s="171">
        <f t="shared" ca="1" si="718"/>
        <v>0</v>
      </c>
      <c r="EG448" s="171">
        <f t="shared" ca="1" si="719"/>
        <v>0</v>
      </c>
      <c r="EH448" s="171">
        <f t="shared" ca="1" si="720"/>
        <v>0</v>
      </c>
      <c r="EI448" s="171">
        <f t="shared" ca="1" si="721"/>
        <v>0</v>
      </c>
      <c r="EJ448" s="171">
        <f t="shared" ca="1" si="722"/>
        <v>0</v>
      </c>
      <c r="EK448" s="171">
        <f t="shared" ca="1" si="723"/>
        <v>0</v>
      </c>
      <c r="EL448" s="171">
        <f t="shared" ca="1" si="724"/>
        <v>0</v>
      </c>
      <c r="EM448" s="171">
        <f t="shared" ca="1" si="725"/>
        <v>0</v>
      </c>
      <c r="EN448" s="171">
        <f t="shared" ca="1" si="726"/>
        <v>0</v>
      </c>
      <c r="EO448" s="171">
        <f t="shared" ca="1" si="727"/>
        <v>0</v>
      </c>
      <c r="EP448" s="171">
        <f t="shared" ca="1" si="728"/>
        <v>0</v>
      </c>
      <c r="EQ448" s="171">
        <f t="shared" ca="1" si="729"/>
        <v>0</v>
      </c>
      <c r="ER448" s="171">
        <f t="shared" ca="1" si="730"/>
        <v>0</v>
      </c>
      <c r="ES448" s="171">
        <f t="shared" ca="1" si="731"/>
        <v>0</v>
      </c>
    </row>
    <row r="449" spans="3:149">
      <c r="C449" s="214"/>
      <c r="L449" s="163"/>
      <c r="M449" s="164" t="str">
        <f t="shared" si="662"/>
        <v/>
      </c>
      <c r="N449" s="164" t="str">
        <f t="shared" si="663"/>
        <v/>
      </c>
      <c r="O449" s="165" t="str">
        <f t="shared" si="664"/>
        <v/>
      </c>
      <c r="R449" s="168"/>
      <c r="U449" s="171">
        <f t="shared" si="665"/>
        <v>0</v>
      </c>
      <c r="V449" s="171">
        <f t="shared" ca="1" si="666"/>
        <v>0</v>
      </c>
      <c r="W449" s="171">
        <f t="shared" ca="1" si="667"/>
        <v>0</v>
      </c>
      <c r="X449" s="172">
        <f t="shared" si="668"/>
        <v>0</v>
      </c>
      <c r="Y449" s="172" t="str">
        <f t="shared" si="669"/>
        <v/>
      </c>
      <c r="Z449" s="173">
        <f t="shared" si="670"/>
        <v>0</v>
      </c>
      <c r="AA449" s="171">
        <f t="shared" ref="AA449:AJ458" si="739">IFERROR(
    IF($T449="Equity",
        IF(AND(AA$48&gt;=$E449, AA$48&lt;=($E449+$Q449)),
$K449*$P449*(VLOOKUP($C$39,$C$37:$BL$44,MATCH($E449,$C$37:$BL$37,0),FALSE)/VLOOKUP($L449,$C$37:$BL$44,MATCH($E449,$C$37:$BL$37,0),FALSE))*
IF($B$5="Foreign Currency",VLOOKUP($C$38,$C$37:$BL$44,MATCH(AA$48,$C$37:$BL$37,0),FALSE)/VLOOKUP($C$39,$C$37:$BL$44,MATCH(AA$48,$C$37:$BL$37,0),FALSE),1),
0),
    IF($T449="Lump Sum Principal",
        IF(AND(AA$48&gt;=$E449, AA$48&lt;($E449+$Q449)),
$K449*$P449*(VLOOKUP($C$39,$C$37:$BL$44,MATCH($E449,$C$37:$BL$37,0),FALSE)/VLOOKUP($L449,$C$37:$BL$44,MATCH($E449,$C$37:$BL$37,0),FALSE))*
IF($B$5="Foreign Currency",VLOOKUP($C$38,$C$37:$BL$44,MATCH(AA$48,$C$37:$BL$37,0),FALSE)/VLOOKUP($C$39,$C$37:$BL$44,MATCH(AA$48,$C$37:$BL$37,0),FALSE),1),
        IF(AA$48=($E449+$Q449),
$K449*(1+$P449)*(VLOOKUP($C$39,$C$37:$BL$44,MATCH($E449,$C$37:$BL$37,0),FALSE)/VLOOKUP($L449,$C$37:$BL$44,MATCH($E449,$C$37:$BL$37,0),FALSE))*
IF($B$5="Foreign Currency",VLOOKUP($C$38,$C$37:$BL$44,MATCH(AA$48,$C$37:$BL$37,0),FALSE)/VLOOKUP($C$39,$C$37:$BL$44,MATCH(AA$48,$C$37:$BL$37,0),FALSE),1),
0)),
    IF($T449="Lump Sum Principal and Interest",
        IF(AA$48=($E449+$Q449),
$K449*((1+$P449)^$Q449)*(VLOOKUP($C$39,$C$37:$BL$44,MATCH($E449,$C$37:$BL$37,0),FALSE)/VLOOKUP($L449,$C$37:$BL$44,MATCH($E449,$C$37:$BL$37,0),FALSE))*
IF($B$5="Foreign Currency",VLOOKUP($C$38,$C$37:$BL$44,MATCH(AA$48,$C$37:$BL$37,0),FALSE)/VLOOKUP($C$39,$C$37:$BL$44,MATCH(AA$48,$C$37:$BL$37,0),FALSE),1),
0),
    IF($T449="EPP with Grace Years for Principal",
        IF(AND(AA$48&gt;=$E449, AA$48&lt;($E449+$S449)),
$K449*$P449*(VLOOKUP($C$39,$C$37:$BL$44,MATCH($E449,$C$37:$BL$37,0),FALSE)/VLOOKUP($L449,$C$37:$BL$44,MATCH($E449,$C$37:$BL$37,0),FALSE))*
IF($B$5="Foreign Currency",VLOOKUP($C$38,$C$37:$BL$44,MATCH(AA$48,$C$37:$BL$37,0),FALSE)/VLOOKUP($C$39,$C$37:$BL$44,MATCH(AA$48,$C$37:$BL$37,0),FALSE),1),
        IF(AND(AA$48&gt;=($E449+$S449), AA$48&lt;=($E449+$Q449)),
-PMT($P449,($Q449-$S449+1),($K449*(VLOOKUP($C$39,$C$37:$BL$44,MATCH($E449,$C$37:$BL$37,0),FALSE)/VLOOKUP($L449,$C$37:$BL$44,MATCH($E449,$C$37:$BL$37,0),FALSE))*
IF($B$5="Foreign Currency",VLOOKUP($C$38,$C$37:$BL$44,MATCH(AA$48,$C$37:$BL$37,0),FALSE)/VLOOKUP($C$39,$C$37:$BL$44,MATCH(AA$48,$C$37:$BL$37,0),FALSE),1)),0),
0)),
    IF($T449="Equal Principal Payments (EPP)",
        IF(AND(AA$48&gt;=$E449, AA$48&lt;=($E449+$Q449)),
-PMT($P449,($Q449-$S449+1),($K449*(VLOOKUP($C$39,$C$37:$BL$44,MATCH($E449,$C$37:$BL$37,0),FALSE)/VLOOKUP($L449,$C$37:$BL$44,MATCH($E449,$C$37:$BL$37,0),FALSE))*
IF($B$5="Foreign Currency",VLOOKUP($C$38,$C$37:$BL$44,MATCH(AA$48,$C$37:$BL$37,0),FALSE)/VLOOKUP($C$39,$C$37:$BL$44,MATCH(AA$48,$C$37:$BL$37,0),FALSE),1)),0), 0),
    IF($T449="EPP with Grace Years for Principal and on Interest",
        IF(AND(AA$48&gt;=($E449+$S449), AA$48&lt;=($E449+$Q449)),
-PMT($P449,($Q449-$S449+1),($K449*(VLOOKUP($C$39,$C$37:$BL$44,MATCH($E449,$C$37:$BL$37,0),FALSE)/VLOOKUP($L449,$C$37:$BL$44,MATCH($E449,$C$37:$BL$37,0),FALSE))*
IF($B$5="Foreign Currency",VLOOKUP($C$38,$C$37:$BL$44,MATCH(AA$48,$C$37:$BL$37,0),FALSE)/VLOOKUP($C$39,$C$37:$BL$44,MATCH(AA$48,$C$37:$BL$37,0),FALSE),1))*((1+$P449)^$S449),0), 0),
    0)))))),"")</f>
        <v>0</v>
      </c>
      <c r="AB449" s="171">
        <f t="shared" si="739"/>
        <v>0</v>
      </c>
      <c r="AC449" s="171">
        <f t="shared" si="739"/>
        <v>0</v>
      </c>
      <c r="AD449" s="171">
        <f t="shared" si="739"/>
        <v>0</v>
      </c>
      <c r="AE449" s="171">
        <f t="shared" si="739"/>
        <v>0</v>
      </c>
      <c r="AF449" s="171">
        <f t="shared" si="739"/>
        <v>0</v>
      </c>
      <c r="AG449" s="171">
        <f t="shared" si="739"/>
        <v>0</v>
      </c>
      <c r="AH449" s="171">
        <f t="shared" si="739"/>
        <v>0</v>
      </c>
      <c r="AI449" s="171">
        <f t="shared" si="739"/>
        <v>0</v>
      </c>
      <c r="AJ449" s="171">
        <f t="shared" si="739"/>
        <v>0</v>
      </c>
      <c r="AK449" s="171">
        <f t="shared" ref="AK449:AT458" si="740">IFERROR(
    IF($T449="Equity",
        IF(AND(AK$48&gt;=$E449, AK$48&lt;=($E449+$Q449)),
$K449*$P449*(VLOOKUP($C$39,$C$37:$BL$44,MATCH($E449,$C$37:$BL$37,0),FALSE)/VLOOKUP($L449,$C$37:$BL$44,MATCH($E449,$C$37:$BL$37,0),FALSE))*
IF($B$5="Foreign Currency",VLOOKUP($C$38,$C$37:$BL$44,MATCH(AK$48,$C$37:$BL$37,0),FALSE)/VLOOKUP($C$39,$C$37:$BL$44,MATCH(AK$48,$C$37:$BL$37,0),FALSE),1),
0),
    IF($T449="Lump Sum Principal",
        IF(AND(AK$48&gt;=$E449, AK$48&lt;($E449+$Q449)),
$K449*$P449*(VLOOKUP($C$39,$C$37:$BL$44,MATCH($E449,$C$37:$BL$37,0),FALSE)/VLOOKUP($L449,$C$37:$BL$44,MATCH($E449,$C$37:$BL$37,0),FALSE))*
IF($B$5="Foreign Currency",VLOOKUP($C$38,$C$37:$BL$44,MATCH(AK$48,$C$37:$BL$37,0),FALSE)/VLOOKUP($C$39,$C$37:$BL$44,MATCH(AK$48,$C$37:$BL$37,0),FALSE),1),
        IF(AK$48=($E449+$Q449),
$K449*(1+$P449)*(VLOOKUP($C$39,$C$37:$BL$44,MATCH($E449,$C$37:$BL$37,0),FALSE)/VLOOKUP($L449,$C$37:$BL$44,MATCH($E449,$C$37:$BL$37,0),FALSE))*
IF($B$5="Foreign Currency",VLOOKUP($C$38,$C$37:$BL$44,MATCH(AK$48,$C$37:$BL$37,0),FALSE)/VLOOKUP($C$39,$C$37:$BL$44,MATCH(AK$48,$C$37:$BL$37,0),FALSE),1),
0)),
    IF($T449="Lump Sum Principal and Interest",
        IF(AK$48=($E449+$Q449),
$K449*((1+$P449)^$Q449)*(VLOOKUP($C$39,$C$37:$BL$44,MATCH($E449,$C$37:$BL$37,0),FALSE)/VLOOKUP($L449,$C$37:$BL$44,MATCH($E449,$C$37:$BL$37,0),FALSE))*
IF($B$5="Foreign Currency",VLOOKUP($C$38,$C$37:$BL$44,MATCH(AK$48,$C$37:$BL$37,0),FALSE)/VLOOKUP($C$39,$C$37:$BL$44,MATCH(AK$48,$C$37:$BL$37,0),FALSE),1),
0),
    IF($T449="EPP with Grace Years for Principal",
        IF(AND(AK$48&gt;=$E449, AK$48&lt;($E449+$S449)),
$K449*$P449*(VLOOKUP($C$39,$C$37:$BL$44,MATCH($E449,$C$37:$BL$37,0),FALSE)/VLOOKUP($L449,$C$37:$BL$44,MATCH($E449,$C$37:$BL$37,0),FALSE))*
IF($B$5="Foreign Currency",VLOOKUP($C$38,$C$37:$BL$44,MATCH(AK$48,$C$37:$BL$37,0),FALSE)/VLOOKUP($C$39,$C$37:$BL$44,MATCH(AK$48,$C$37:$BL$37,0),FALSE),1),
        IF(AND(AK$48&gt;=($E449+$S449), AK$48&lt;=($E449+$Q449)),
-PMT($P449,($Q449-$S449+1),($K449*(VLOOKUP($C$39,$C$37:$BL$44,MATCH($E449,$C$37:$BL$37,0),FALSE)/VLOOKUP($L449,$C$37:$BL$44,MATCH($E449,$C$37:$BL$37,0),FALSE))*
IF($B$5="Foreign Currency",VLOOKUP($C$38,$C$37:$BL$44,MATCH(AK$48,$C$37:$BL$37,0),FALSE)/VLOOKUP($C$39,$C$37:$BL$44,MATCH(AK$48,$C$37:$BL$37,0),FALSE),1)),0),
0)),
    IF($T449="Equal Principal Payments (EPP)",
        IF(AND(AK$48&gt;=$E449, AK$48&lt;=($E449+$Q449)),
-PMT($P449,($Q449-$S449+1),($K449*(VLOOKUP($C$39,$C$37:$BL$44,MATCH($E449,$C$37:$BL$37,0),FALSE)/VLOOKUP($L449,$C$37:$BL$44,MATCH($E449,$C$37:$BL$37,0),FALSE))*
IF($B$5="Foreign Currency",VLOOKUP($C$38,$C$37:$BL$44,MATCH(AK$48,$C$37:$BL$37,0),FALSE)/VLOOKUP($C$39,$C$37:$BL$44,MATCH(AK$48,$C$37:$BL$37,0),FALSE),1)),0), 0),
    IF($T449="EPP with Grace Years for Principal and on Interest",
        IF(AND(AK$48&gt;=($E449+$S449), AK$48&lt;=($E449+$Q449)),
-PMT($P449,($Q449-$S449+1),($K449*(VLOOKUP($C$39,$C$37:$BL$44,MATCH($E449,$C$37:$BL$37,0),FALSE)/VLOOKUP($L449,$C$37:$BL$44,MATCH($E449,$C$37:$BL$37,0),FALSE))*
IF($B$5="Foreign Currency",VLOOKUP($C$38,$C$37:$BL$44,MATCH(AK$48,$C$37:$BL$37,0),FALSE)/VLOOKUP($C$39,$C$37:$BL$44,MATCH(AK$48,$C$37:$BL$37,0),FALSE),1))*((1+$P449)^$S449),0), 0),
    0)))))),"")</f>
        <v>0</v>
      </c>
      <c r="AL449" s="171">
        <f t="shared" si="740"/>
        <v>0</v>
      </c>
      <c r="AM449" s="171">
        <f t="shared" si="740"/>
        <v>0</v>
      </c>
      <c r="AN449" s="171">
        <f t="shared" si="740"/>
        <v>0</v>
      </c>
      <c r="AO449" s="171">
        <f t="shared" si="740"/>
        <v>0</v>
      </c>
      <c r="AP449" s="171">
        <f t="shared" si="740"/>
        <v>0</v>
      </c>
      <c r="AQ449" s="171">
        <f t="shared" si="740"/>
        <v>0</v>
      </c>
      <c r="AR449" s="171">
        <f t="shared" si="740"/>
        <v>0</v>
      </c>
      <c r="AS449" s="171">
        <f t="shared" si="740"/>
        <v>0</v>
      </c>
      <c r="AT449" s="171">
        <f t="shared" si="740"/>
        <v>0</v>
      </c>
      <c r="AU449" s="171">
        <f t="shared" ref="AU449:BD458" si="741">IFERROR(
    IF($T449="Equity",
        IF(AND(AU$48&gt;=$E449, AU$48&lt;=($E449+$Q449)),
$K449*$P449*(VLOOKUP($C$39,$C$37:$BL$44,MATCH($E449,$C$37:$BL$37,0),FALSE)/VLOOKUP($L449,$C$37:$BL$44,MATCH($E449,$C$37:$BL$37,0),FALSE))*
IF($B$5="Foreign Currency",VLOOKUP($C$38,$C$37:$BL$44,MATCH(AU$48,$C$37:$BL$37,0),FALSE)/VLOOKUP($C$39,$C$37:$BL$44,MATCH(AU$48,$C$37:$BL$37,0),FALSE),1),
0),
    IF($T449="Lump Sum Principal",
        IF(AND(AU$48&gt;=$E449, AU$48&lt;($E449+$Q449)),
$K449*$P449*(VLOOKUP($C$39,$C$37:$BL$44,MATCH($E449,$C$37:$BL$37,0),FALSE)/VLOOKUP($L449,$C$37:$BL$44,MATCH($E449,$C$37:$BL$37,0),FALSE))*
IF($B$5="Foreign Currency",VLOOKUP($C$38,$C$37:$BL$44,MATCH(AU$48,$C$37:$BL$37,0),FALSE)/VLOOKUP($C$39,$C$37:$BL$44,MATCH(AU$48,$C$37:$BL$37,0),FALSE),1),
        IF(AU$48=($E449+$Q449),
$K449*(1+$P449)*(VLOOKUP($C$39,$C$37:$BL$44,MATCH($E449,$C$37:$BL$37,0),FALSE)/VLOOKUP($L449,$C$37:$BL$44,MATCH($E449,$C$37:$BL$37,0),FALSE))*
IF($B$5="Foreign Currency",VLOOKUP($C$38,$C$37:$BL$44,MATCH(AU$48,$C$37:$BL$37,0),FALSE)/VLOOKUP($C$39,$C$37:$BL$44,MATCH(AU$48,$C$37:$BL$37,0),FALSE),1),
0)),
    IF($T449="Lump Sum Principal and Interest",
        IF(AU$48=($E449+$Q449),
$K449*((1+$P449)^$Q449)*(VLOOKUP($C$39,$C$37:$BL$44,MATCH($E449,$C$37:$BL$37,0),FALSE)/VLOOKUP($L449,$C$37:$BL$44,MATCH($E449,$C$37:$BL$37,0),FALSE))*
IF($B$5="Foreign Currency",VLOOKUP($C$38,$C$37:$BL$44,MATCH(AU$48,$C$37:$BL$37,0),FALSE)/VLOOKUP($C$39,$C$37:$BL$44,MATCH(AU$48,$C$37:$BL$37,0),FALSE),1),
0),
    IF($T449="EPP with Grace Years for Principal",
        IF(AND(AU$48&gt;=$E449, AU$48&lt;($E449+$S449)),
$K449*$P449*(VLOOKUP($C$39,$C$37:$BL$44,MATCH($E449,$C$37:$BL$37,0),FALSE)/VLOOKUP($L449,$C$37:$BL$44,MATCH($E449,$C$37:$BL$37,0),FALSE))*
IF($B$5="Foreign Currency",VLOOKUP($C$38,$C$37:$BL$44,MATCH(AU$48,$C$37:$BL$37,0),FALSE)/VLOOKUP($C$39,$C$37:$BL$44,MATCH(AU$48,$C$37:$BL$37,0),FALSE),1),
        IF(AND(AU$48&gt;=($E449+$S449), AU$48&lt;=($E449+$Q449)),
-PMT($P449,($Q449-$S449+1),($K449*(VLOOKUP($C$39,$C$37:$BL$44,MATCH($E449,$C$37:$BL$37,0),FALSE)/VLOOKUP($L449,$C$37:$BL$44,MATCH($E449,$C$37:$BL$37,0),FALSE))*
IF($B$5="Foreign Currency",VLOOKUP($C$38,$C$37:$BL$44,MATCH(AU$48,$C$37:$BL$37,0),FALSE)/VLOOKUP($C$39,$C$37:$BL$44,MATCH(AU$48,$C$37:$BL$37,0),FALSE),1)),0),
0)),
    IF($T449="Equal Principal Payments (EPP)",
        IF(AND(AU$48&gt;=$E449, AU$48&lt;=($E449+$Q449)),
-PMT($P449,($Q449-$S449+1),($K449*(VLOOKUP($C$39,$C$37:$BL$44,MATCH($E449,$C$37:$BL$37,0),FALSE)/VLOOKUP($L449,$C$37:$BL$44,MATCH($E449,$C$37:$BL$37,0),FALSE))*
IF($B$5="Foreign Currency",VLOOKUP($C$38,$C$37:$BL$44,MATCH(AU$48,$C$37:$BL$37,0),FALSE)/VLOOKUP($C$39,$C$37:$BL$44,MATCH(AU$48,$C$37:$BL$37,0),FALSE),1)),0), 0),
    IF($T449="EPP with Grace Years for Principal and on Interest",
        IF(AND(AU$48&gt;=($E449+$S449), AU$48&lt;=($E449+$Q449)),
-PMT($P449,($Q449-$S449+1),($K449*(VLOOKUP($C$39,$C$37:$BL$44,MATCH($E449,$C$37:$BL$37,0),FALSE)/VLOOKUP($L449,$C$37:$BL$44,MATCH($E449,$C$37:$BL$37,0),FALSE))*
IF($B$5="Foreign Currency",VLOOKUP($C$38,$C$37:$BL$44,MATCH(AU$48,$C$37:$BL$37,0),FALSE)/VLOOKUP($C$39,$C$37:$BL$44,MATCH(AU$48,$C$37:$BL$37,0),FALSE),1))*((1+$P449)^$S449),0), 0),
    0)))))),"")</f>
        <v>0</v>
      </c>
      <c r="AV449" s="171">
        <f t="shared" si="741"/>
        <v>0</v>
      </c>
      <c r="AW449" s="171">
        <f t="shared" si="741"/>
        <v>0</v>
      </c>
      <c r="AX449" s="171">
        <f t="shared" si="741"/>
        <v>0</v>
      </c>
      <c r="AY449" s="171">
        <f t="shared" si="741"/>
        <v>0</v>
      </c>
      <c r="AZ449" s="171">
        <f t="shared" si="741"/>
        <v>0</v>
      </c>
      <c r="BA449" s="171">
        <f t="shared" si="741"/>
        <v>0</v>
      </c>
      <c r="BB449" s="171">
        <f t="shared" si="741"/>
        <v>0</v>
      </c>
      <c r="BC449" s="171">
        <f t="shared" si="741"/>
        <v>0</v>
      </c>
      <c r="BD449" s="171">
        <f t="shared" si="741"/>
        <v>0</v>
      </c>
      <c r="BE449" s="171">
        <f t="shared" ref="BE449:BN458" si="742">IFERROR(
    IF($T449="Equity",
        IF(AND(BE$48&gt;=$E449, BE$48&lt;=($E449+$Q449)),
$K449*$P449*(VLOOKUP($C$39,$C$37:$BL$44,MATCH($E449,$C$37:$BL$37,0),FALSE)/VLOOKUP($L449,$C$37:$BL$44,MATCH($E449,$C$37:$BL$37,0),FALSE))*
IF($B$5="Foreign Currency",VLOOKUP($C$38,$C$37:$BL$44,MATCH(BE$48,$C$37:$BL$37,0),FALSE)/VLOOKUP($C$39,$C$37:$BL$44,MATCH(BE$48,$C$37:$BL$37,0),FALSE),1),
0),
    IF($T449="Lump Sum Principal",
        IF(AND(BE$48&gt;=$E449, BE$48&lt;($E449+$Q449)),
$K449*$P449*(VLOOKUP($C$39,$C$37:$BL$44,MATCH($E449,$C$37:$BL$37,0),FALSE)/VLOOKUP($L449,$C$37:$BL$44,MATCH($E449,$C$37:$BL$37,0),FALSE))*
IF($B$5="Foreign Currency",VLOOKUP($C$38,$C$37:$BL$44,MATCH(BE$48,$C$37:$BL$37,0),FALSE)/VLOOKUP($C$39,$C$37:$BL$44,MATCH(BE$48,$C$37:$BL$37,0),FALSE),1),
        IF(BE$48=($E449+$Q449),
$K449*(1+$P449)*(VLOOKUP($C$39,$C$37:$BL$44,MATCH($E449,$C$37:$BL$37,0),FALSE)/VLOOKUP($L449,$C$37:$BL$44,MATCH($E449,$C$37:$BL$37,0),FALSE))*
IF($B$5="Foreign Currency",VLOOKUP($C$38,$C$37:$BL$44,MATCH(BE$48,$C$37:$BL$37,0),FALSE)/VLOOKUP($C$39,$C$37:$BL$44,MATCH(BE$48,$C$37:$BL$37,0),FALSE),1),
0)),
    IF($T449="Lump Sum Principal and Interest",
        IF(BE$48=($E449+$Q449),
$K449*((1+$P449)^$Q449)*(VLOOKUP($C$39,$C$37:$BL$44,MATCH($E449,$C$37:$BL$37,0),FALSE)/VLOOKUP($L449,$C$37:$BL$44,MATCH($E449,$C$37:$BL$37,0),FALSE))*
IF($B$5="Foreign Currency",VLOOKUP($C$38,$C$37:$BL$44,MATCH(BE$48,$C$37:$BL$37,0),FALSE)/VLOOKUP($C$39,$C$37:$BL$44,MATCH(BE$48,$C$37:$BL$37,0),FALSE),1),
0),
    IF($T449="EPP with Grace Years for Principal",
        IF(AND(BE$48&gt;=$E449, BE$48&lt;($E449+$S449)),
$K449*$P449*(VLOOKUP($C$39,$C$37:$BL$44,MATCH($E449,$C$37:$BL$37,0),FALSE)/VLOOKUP($L449,$C$37:$BL$44,MATCH($E449,$C$37:$BL$37,0),FALSE))*
IF($B$5="Foreign Currency",VLOOKUP($C$38,$C$37:$BL$44,MATCH(BE$48,$C$37:$BL$37,0),FALSE)/VLOOKUP($C$39,$C$37:$BL$44,MATCH(BE$48,$C$37:$BL$37,0),FALSE),1),
        IF(AND(BE$48&gt;=($E449+$S449), BE$48&lt;=($E449+$Q449)),
-PMT($P449,($Q449-$S449+1),($K449*(VLOOKUP($C$39,$C$37:$BL$44,MATCH($E449,$C$37:$BL$37,0),FALSE)/VLOOKUP($L449,$C$37:$BL$44,MATCH($E449,$C$37:$BL$37,0),FALSE))*
IF($B$5="Foreign Currency",VLOOKUP($C$38,$C$37:$BL$44,MATCH(BE$48,$C$37:$BL$37,0),FALSE)/VLOOKUP($C$39,$C$37:$BL$44,MATCH(BE$48,$C$37:$BL$37,0),FALSE),1)),0),
0)),
    IF($T449="Equal Principal Payments (EPP)",
        IF(AND(BE$48&gt;=$E449, BE$48&lt;=($E449+$Q449)),
-PMT($P449,($Q449-$S449+1),($K449*(VLOOKUP($C$39,$C$37:$BL$44,MATCH($E449,$C$37:$BL$37,0),FALSE)/VLOOKUP($L449,$C$37:$BL$44,MATCH($E449,$C$37:$BL$37,0),FALSE))*
IF($B$5="Foreign Currency",VLOOKUP($C$38,$C$37:$BL$44,MATCH(BE$48,$C$37:$BL$37,0),FALSE)/VLOOKUP($C$39,$C$37:$BL$44,MATCH(BE$48,$C$37:$BL$37,0),FALSE),1)),0), 0),
    IF($T449="EPP with Grace Years for Principal and on Interest",
        IF(AND(BE$48&gt;=($E449+$S449), BE$48&lt;=($E449+$Q449)),
-PMT($P449,($Q449-$S449+1),($K449*(VLOOKUP($C$39,$C$37:$BL$44,MATCH($E449,$C$37:$BL$37,0),FALSE)/VLOOKUP($L449,$C$37:$BL$44,MATCH($E449,$C$37:$BL$37,0),FALSE))*
IF($B$5="Foreign Currency",VLOOKUP($C$38,$C$37:$BL$44,MATCH(BE$48,$C$37:$BL$37,0),FALSE)/VLOOKUP($C$39,$C$37:$BL$44,MATCH(BE$48,$C$37:$BL$37,0),FALSE),1))*((1+$P449)^$S449),0), 0),
    0)))))),"")</f>
        <v>0</v>
      </c>
      <c r="BF449" s="171">
        <f t="shared" si="742"/>
        <v>0</v>
      </c>
      <c r="BG449" s="171">
        <f t="shared" si="742"/>
        <v>0</v>
      </c>
      <c r="BH449" s="171">
        <f t="shared" si="742"/>
        <v>0</v>
      </c>
      <c r="BI449" s="171">
        <f t="shared" si="742"/>
        <v>0</v>
      </c>
      <c r="BJ449" s="171">
        <f t="shared" si="742"/>
        <v>0</v>
      </c>
      <c r="BK449" s="171">
        <f t="shared" si="742"/>
        <v>0</v>
      </c>
      <c r="BL449" s="171">
        <f t="shared" si="742"/>
        <v>0</v>
      </c>
      <c r="BM449" s="171">
        <f t="shared" si="742"/>
        <v>0</v>
      </c>
      <c r="BN449" s="171">
        <f t="shared" si="742"/>
        <v>0</v>
      </c>
      <c r="BO449" s="171">
        <f t="shared" ref="BO449:BX458" si="743">IFERROR(
    IF($T449="Equity",
        IF(AND(BO$48&gt;=$E449, BO$48&lt;=($E449+$Q449)),
$K449*$P449*(VLOOKUP($C$39,$C$37:$BL$44,MATCH($E449,$C$37:$BL$37,0),FALSE)/VLOOKUP($L449,$C$37:$BL$44,MATCH($E449,$C$37:$BL$37,0),FALSE))*
IF($B$5="Foreign Currency",VLOOKUP($C$38,$C$37:$BL$44,MATCH(BO$48,$C$37:$BL$37,0),FALSE)/VLOOKUP($C$39,$C$37:$BL$44,MATCH(BO$48,$C$37:$BL$37,0),FALSE),1),
0),
    IF($T449="Lump Sum Principal",
        IF(AND(BO$48&gt;=$E449, BO$48&lt;($E449+$Q449)),
$K449*$P449*(VLOOKUP($C$39,$C$37:$BL$44,MATCH($E449,$C$37:$BL$37,0),FALSE)/VLOOKUP($L449,$C$37:$BL$44,MATCH($E449,$C$37:$BL$37,0),FALSE))*
IF($B$5="Foreign Currency",VLOOKUP($C$38,$C$37:$BL$44,MATCH(BO$48,$C$37:$BL$37,0),FALSE)/VLOOKUP($C$39,$C$37:$BL$44,MATCH(BO$48,$C$37:$BL$37,0),FALSE),1),
        IF(BO$48=($E449+$Q449),
$K449*(1+$P449)*(VLOOKUP($C$39,$C$37:$BL$44,MATCH($E449,$C$37:$BL$37,0),FALSE)/VLOOKUP($L449,$C$37:$BL$44,MATCH($E449,$C$37:$BL$37,0),FALSE))*
IF($B$5="Foreign Currency",VLOOKUP($C$38,$C$37:$BL$44,MATCH(BO$48,$C$37:$BL$37,0),FALSE)/VLOOKUP($C$39,$C$37:$BL$44,MATCH(BO$48,$C$37:$BL$37,0),FALSE),1),
0)),
    IF($T449="Lump Sum Principal and Interest",
        IF(BO$48=($E449+$Q449),
$K449*((1+$P449)^$Q449)*(VLOOKUP($C$39,$C$37:$BL$44,MATCH($E449,$C$37:$BL$37,0),FALSE)/VLOOKUP($L449,$C$37:$BL$44,MATCH($E449,$C$37:$BL$37,0),FALSE))*
IF($B$5="Foreign Currency",VLOOKUP($C$38,$C$37:$BL$44,MATCH(BO$48,$C$37:$BL$37,0),FALSE)/VLOOKUP($C$39,$C$37:$BL$44,MATCH(BO$48,$C$37:$BL$37,0),FALSE),1),
0),
    IF($T449="EPP with Grace Years for Principal",
        IF(AND(BO$48&gt;=$E449, BO$48&lt;($E449+$S449)),
$K449*$P449*(VLOOKUP($C$39,$C$37:$BL$44,MATCH($E449,$C$37:$BL$37,0),FALSE)/VLOOKUP($L449,$C$37:$BL$44,MATCH($E449,$C$37:$BL$37,0),FALSE))*
IF($B$5="Foreign Currency",VLOOKUP($C$38,$C$37:$BL$44,MATCH(BO$48,$C$37:$BL$37,0),FALSE)/VLOOKUP($C$39,$C$37:$BL$44,MATCH(BO$48,$C$37:$BL$37,0),FALSE),1),
        IF(AND(BO$48&gt;=($E449+$S449), BO$48&lt;=($E449+$Q449)),
-PMT($P449,($Q449-$S449+1),($K449*(VLOOKUP($C$39,$C$37:$BL$44,MATCH($E449,$C$37:$BL$37,0),FALSE)/VLOOKUP($L449,$C$37:$BL$44,MATCH($E449,$C$37:$BL$37,0),FALSE))*
IF($B$5="Foreign Currency",VLOOKUP($C$38,$C$37:$BL$44,MATCH(BO$48,$C$37:$BL$37,0),FALSE)/VLOOKUP($C$39,$C$37:$BL$44,MATCH(BO$48,$C$37:$BL$37,0),FALSE),1)),0),
0)),
    IF($T449="Equal Principal Payments (EPP)",
        IF(AND(BO$48&gt;=$E449, BO$48&lt;=($E449+$Q449)),
-PMT($P449,($Q449-$S449+1),($K449*(VLOOKUP($C$39,$C$37:$BL$44,MATCH($E449,$C$37:$BL$37,0),FALSE)/VLOOKUP($L449,$C$37:$BL$44,MATCH($E449,$C$37:$BL$37,0),FALSE))*
IF($B$5="Foreign Currency",VLOOKUP($C$38,$C$37:$BL$44,MATCH(BO$48,$C$37:$BL$37,0),FALSE)/VLOOKUP($C$39,$C$37:$BL$44,MATCH(BO$48,$C$37:$BL$37,0),FALSE),1)),0), 0),
    IF($T449="EPP with Grace Years for Principal and on Interest",
        IF(AND(BO$48&gt;=($E449+$S449), BO$48&lt;=($E449+$Q449)),
-PMT($P449,($Q449-$S449+1),($K449*(VLOOKUP($C$39,$C$37:$BL$44,MATCH($E449,$C$37:$BL$37,0),FALSE)/VLOOKUP($L449,$C$37:$BL$44,MATCH($E449,$C$37:$BL$37,0),FALSE))*
IF($B$5="Foreign Currency",VLOOKUP($C$38,$C$37:$BL$44,MATCH(BO$48,$C$37:$BL$37,0),FALSE)/VLOOKUP($C$39,$C$37:$BL$44,MATCH(BO$48,$C$37:$BL$37,0),FALSE),1))*((1+$P449)^$S449),0), 0),
    0)))))),"")</f>
        <v>0</v>
      </c>
      <c r="BP449" s="171">
        <f t="shared" si="743"/>
        <v>0</v>
      </c>
      <c r="BQ449" s="171">
        <f t="shared" si="743"/>
        <v>0</v>
      </c>
      <c r="BR449" s="171">
        <f t="shared" si="743"/>
        <v>0</v>
      </c>
      <c r="BS449" s="171">
        <f t="shared" si="743"/>
        <v>0</v>
      </c>
      <c r="BT449" s="171">
        <f t="shared" si="743"/>
        <v>0</v>
      </c>
      <c r="BU449" s="171">
        <f t="shared" si="743"/>
        <v>0</v>
      </c>
      <c r="BV449" s="171">
        <f t="shared" si="743"/>
        <v>0</v>
      </c>
      <c r="BW449" s="171">
        <f t="shared" si="743"/>
        <v>0</v>
      </c>
      <c r="BX449" s="171">
        <f t="shared" si="743"/>
        <v>0</v>
      </c>
      <c r="BY449" s="171">
        <f t="shared" ref="BY449:CI458" si="744">IFERROR(
    IF($T449="Equity",
        IF(AND(BY$48&gt;=$E449, BY$48&lt;=($E449+$Q449)),
$K449*$P449*(VLOOKUP($C$39,$C$37:$BL$44,MATCH($E449,$C$37:$BL$37,0),FALSE)/VLOOKUP($L449,$C$37:$BL$44,MATCH($E449,$C$37:$BL$37,0),FALSE))*
IF($B$5="Foreign Currency",VLOOKUP($C$38,$C$37:$BL$44,MATCH(BY$48,$C$37:$BL$37,0),FALSE)/VLOOKUP($C$39,$C$37:$BL$44,MATCH(BY$48,$C$37:$BL$37,0),FALSE),1),
0),
    IF($T449="Lump Sum Principal",
        IF(AND(BY$48&gt;=$E449, BY$48&lt;($E449+$Q449)),
$K449*$P449*(VLOOKUP($C$39,$C$37:$BL$44,MATCH($E449,$C$37:$BL$37,0),FALSE)/VLOOKUP($L449,$C$37:$BL$44,MATCH($E449,$C$37:$BL$37,0),FALSE))*
IF($B$5="Foreign Currency",VLOOKUP($C$38,$C$37:$BL$44,MATCH(BY$48,$C$37:$BL$37,0),FALSE)/VLOOKUP($C$39,$C$37:$BL$44,MATCH(BY$48,$C$37:$BL$37,0),FALSE),1),
        IF(BY$48=($E449+$Q449),
$K449*(1+$P449)*(VLOOKUP($C$39,$C$37:$BL$44,MATCH($E449,$C$37:$BL$37,0),FALSE)/VLOOKUP($L449,$C$37:$BL$44,MATCH($E449,$C$37:$BL$37,0),FALSE))*
IF($B$5="Foreign Currency",VLOOKUP($C$38,$C$37:$BL$44,MATCH(BY$48,$C$37:$BL$37,0),FALSE)/VLOOKUP($C$39,$C$37:$BL$44,MATCH(BY$48,$C$37:$BL$37,0),FALSE),1),
0)),
    IF($T449="Lump Sum Principal and Interest",
        IF(BY$48=($E449+$Q449),
$K449*((1+$P449)^$Q449)*(VLOOKUP($C$39,$C$37:$BL$44,MATCH($E449,$C$37:$BL$37,0),FALSE)/VLOOKUP($L449,$C$37:$BL$44,MATCH($E449,$C$37:$BL$37,0),FALSE))*
IF($B$5="Foreign Currency",VLOOKUP($C$38,$C$37:$BL$44,MATCH(BY$48,$C$37:$BL$37,0),FALSE)/VLOOKUP($C$39,$C$37:$BL$44,MATCH(BY$48,$C$37:$BL$37,0),FALSE),1),
0),
    IF($T449="EPP with Grace Years for Principal",
        IF(AND(BY$48&gt;=$E449, BY$48&lt;($E449+$S449)),
$K449*$P449*(VLOOKUP($C$39,$C$37:$BL$44,MATCH($E449,$C$37:$BL$37,0),FALSE)/VLOOKUP($L449,$C$37:$BL$44,MATCH($E449,$C$37:$BL$37,0),FALSE))*
IF($B$5="Foreign Currency",VLOOKUP($C$38,$C$37:$BL$44,MATCH(BY$48,$C$37:$BL$37,0),FALSE)/VLOOKUP($C$39,$C$37:$BL$44,MATCH(BY$48,$C$37:$BL$37,0),FALSE),1),
        IF(AND(BY$48&gt;=($E449+$S449), BY$48&lt;=($E449+$Q449)),
-PMT($P449,($Q449-$S449+1),($K449*(VLOOKUP($C$39,$C$37:$BL$44,MATCH($E449,$C$37:$BL$37,0),FALSE)/VLOOKUP($L449,$C$37:$BL$44,MATCH($E449,$C$37:$BL$37,0),FALSE))*
IF($B$5="Foreign Currency",VLOOKUP($C$38,$C$37:$BL$44,MATCH(BY$48,$C$37:$BL$37,0),FALSE)/VLOOKUP($C$39,$C$37:$BL$44,MATCH(BY$48,$C$37:$BL$37,0),FALSE),1)),0),
0)),
    IF($T449="Equal Principal Payments (EPP)",
        IF(AND(BY$48&gt;=$E449, BY$48&lt;=($E449+$Q449)),
-PMT($P449,($Q449-$S449+1),($K449*(VLOOKUP($C$39,$C$37:$BL$44,MATCH($E449,$C$37:$BL$37,0),FALSE)/VLOOKUP($L449,$C$37:$BL$44,MATCH($E449,$C$37:$BL$37,0),FALSE))*
IF($B$5="Foreign Currency",VLOOKUP($C$38,$C$37:$BL$44,MATCH(BY$48,$C$37:$BL$37,0),FALSE)/VLOOKUP($C$39,$C$37:$BL$44,MATCH(BY$48,$C$37:$BL$37,0),FALSE),1)),0), 0),
    IF($T449="EPP with Grace Years for Principal and on Interest",
        IF(AND(BY$48&gt;=($E449+$S449), BY$48&lt;=($E449+$Q449)),
-PMT($P449,($Q449-$S449+1),($K449*(VLOOKUP($C$39,$C$37:$BL$44,MATCH($E449,$C$37:$BL$37,0),FALSE)/VLOOKUP($L449,$C$37:$BL$44,MATCH($E449,$C$37:$BL$37,0),FALSE))*
IF($B$5="Foreign Currency",VLOOKUP($C$38,$C$37:$BL$44,MATCH(BY$48,$C$37:$BL$37,0),FALSE)/VLOOKUP($C$39,$C$37:$BL$44,MATCH(BY$48,$C$37:$BL$37,0),FALSE),1))*((1+$P449)^$S449),0), 0),
    0)))))),"")</f>
        <v>0</v>
      </c>
      <c r="BZ449" s="171">
        <f t="shared" si="744"/>
        <v>0</v>
      </c>
      <c r="CA449" s="171">
        <f t="shared" si="744"/>
        <v>0</v>
      </c>
      <c r="CB449" s="171">
        <f t="shared" si="744"/>
        <v>0</v>
      </c>
      <c r="CC449" s="171">
        <f t="shared" si="744"/>
        <v>0</v>
      </c>
      <c r="CD449" s="171">
        <f t="shared" si="744"/>
        <v>0</v>
      </c>
      <c r="CE449" s="171">
        <f t="shared" si="744"/>
        <v>0</v>
      </c>
      <c r="CF449" s="171">
        <f t="shared" si="744"/>
        <v>0</v>
      </c>
      <c r="CG449" s="171">
        <f t="shared" si="744"/>
        <v>0</v>
      </c>
      <c r="CH449" s="171">
        <f t="shared" si="744"/>
        <v>0</v>
      </c>
      <c r="CI449" s="171">
        <f t="shared" si="744"/>
        <v>0</v>
      </c>
      <c r="CJ449" s="243"/>
      <c r="CK449" s="171">
        <f t="shared" si="671"/>
        <v>0</v>
      </c>
      <c r="CL449" s="171">
        <f t="shared" si="672"/>
        <v>0</v>
      </c>
      <c r="CM449" s="171">
        <f t="shared" si="673"/>
        <v>0</v>
      </c>
      <c r="CN449" s="171">
        <f t="shared" si="674"/>
        <v>0</v>
      </c>
      <c r="CO449" s="171">
        <f t="shared" si="675"/>
        <v>0</v>
      </c>
      <c r="CP449" s="171">
        <f t="shared" si="676"/>
        <v>0</v>
      </c>
      <c r="CQ449" s="171">
        <f t="shared" si="677"/>
        <v>0</v>
      </c>
      <c r="CR449" s="171">
        <f t="shared" si="678"/>
        <v>0</v>
      </c>
      <c r="CS449" s="171">
        <f t="shared" si="679"/>
        <v>0</v>
      </c>
      <c r="CT449" s="171">
        <f t="shared" si="680"/>
        <v>0</v>
      </c>
      <c r="CU449" s="171">
        <f t="shared" si="681"/>
        <v>0</v>
      </c>
      <c r="CV449" s="171">
        <f t="shared" si="682"/>
        <v>0</v>
      </c>
      <c r="CW449" s="171">
        <f t="shared" si="683"/>
        <v>0</v>
      </c>
      <c r="CX449" s="171">
        <f t="shared" si="684"/>
        <v>0</v>
      </c>
      <c r="CY449" s="171">
        <f t="shared" ca="1" si="685"/>
        <v>0</v>
      </c>
      <c r="CZ449" s="171">
        <f t="shared" ca="1" si="686"/>
        <v>0</v>
      </c>
      <c r="DA449" s="171">
        <f t="shared" ca="1" si="687"/>
        <v>0</v>
      </c>
      <c r="DB449" s="171">
        <f t="shared" ca="1" si="688"/>
        <v>0</v>
      </c>
      <c r="DC449" s="171">
        <f t="shared" ca="1" si="689"/>
        <v>0</v>
      </c>
      <c r="DD449" s="171">
        <f t="shared" ca="1" si="690"/>
        <v>0</v>
      </c>
      <c r="DE449" s="171">
        <f t="shared" ca="1" si="691"/>
        <v>0</v>
      </c>
      <c r="DF449" s="171">
        <f t="shared" ca="1" si="692"/>
        <v>0</v>
      </c>
      <c r="DG449" s="171">
        <f t="shared" ca="1" si="693"/>
        <v>0</v>
      </c>
      <c r="DH449" s="171">
        <f t="shared" ca="1" si="694"/>
        <v>0</v>
      </c>
      <c r="DI449" s="171">
        <f t="shared" ca="1" si="695"/>
        <v>0</v>
      </c>
      <c r="DJ449" s="171">
        <f t="shared" ca="1" si="696"/>
        <v>0</v>
      </c>
      <c r="DK449" s="171">
        <f t="shared" ca="1" si="697"/>
        <v>0</v>
      </c>
      <c r="DL449" s="171">
        <f t="shared" ca="1" si="698"/>
        <v>0</v>
      </c>
      <c r="DM449" s="171">
        <f t="shared" ca="1" si="699"/>
        <v>0</v>
      </c>
      <c r="DN449" s="171">
        <f t="shared" ca="1" si="700"/>
        <v>0</v>
      </c>
      <c r="DO449" s="171">
        <f t="shared" ca="1" si="701"/>
        <v>0</v>
      </c>
      <c r="DP449" s="171">
        <f t="shared" ca="1" si="702"/>
        <v>0</v>
      </c>
      <c r="DQ449" s="171">
        <f t="shared" ca="1" si="703"/>
        <v>0</v>
      </c>
      <c r="DR449" s="171">
        <f t="shared" ca="1" si="704"/>
        <v>0</v>
      </c>
      <c r="DS449" s="171">
        <f t="shared" ca="1" si="705"/>
        <v>0</v>
      </c>
      <c r="DT449" s="171">
        <f t="shared" ca="1" si="706"/>
        <v>0</v>
      </c>
      <c r="DU449" s="171">
        <f t="shared" ca="1" si="707"/>
        <v>0</v>
      </c>
      <c r="DV449" s="171">
        <f t="shared" ca="1" si="708"/>
        <v>0</v>
      </c>
      <c r="DW449" s="171">
        <f t="shared" ca="1" si="709"/>
        <v>0</v>
      </c>
      <c r="DX449" s="171">
        <f t="shared" ca="1" si="710"/>
        <v>0</v>
      </c>
      <c r="DY449" s="171">
        <f t="shared" ca="1" si="711"/>
        <v>0</v>
      </c>
      <c r="DZ449" s="171">
        <f t="shared" ca="1" si="712"/>
        <v>0</v>
      </c>
      <c r="EA449" s="171">
        <f t="shared" ca="1" si="713"/>
        <v>0</v>
      </c>
      <c r="EB449" s="171">
        <f t="shared" ca="1" si="714"/>
        <v>0</v>
      </c>
      <c r="EC449" s="171">
        <f t="shared" ca="1" si="715"/>
        <v>0</v>
      </c>
      <c r="ED449" s="171">
        <f t="shared" ca="1" si="716"/>
        <v>0</v>
      </c>
      <c r="EE449" s="171">
        <f t="shared" ca="1" si="717"/>
        <v>0</v>
      </c>
      <c r="EF449" s="171">
        <f t="shared" ca="1" si="718"/>
        <v>0</v>
      </c>
      <c r="EG449" s="171">
        <f t="shared" ca="1" si="719"/>
        <v>0</v>
      </c>
      <c r="EH449" s="171">
        <f t="shared" ca="1" si="720"/>
        <v>0</v>
      </c>
      <c r="EI449" s="171">
        <f t="shared" ca="1" si="721"/>
        <v>0</v>
      </c>
      <c r="EJ449" s="171">
        <f t="shared" ca="1" si="722"/>
        <v>0</v>
      </c>
      <c r="EK449" s="171">
        <f t="shared" ca="1" si="723"/>
        <v>0</v>
      </c>
      <c r="EL449" s="171">
        <f t="shared" ca="1" si="724"/>
        <v>0</v>
      </c>
      <c r="EM449" s="171">
        <f t="shared" ca="1" si="725"/>
        <v>0</v>
      </c>
      <c r="EN449" s="171">
        <f t="shared" ca="1" si="726"/>
        <v>0</v>
      </c>
      <c r="EO449" s="171">
        <f t="shared" ca="1" si="727"/>
        <v>0</v>
      </c>
      <c r="EP449" s="171">
        <f t="shared" ca="1" si="728"/>
        <v>0</v>
      </c>
      <c r="EQ449" s="171">
        <f t="shared" ca="1" si="729"/>
        <v>0</v>
      </c>
      <c r="ER449" s="171">
        <f t="shared" ca="1" si="730"/>
        <v>0</v>
      </c>
      <c r="ES449" s="171">
        <f t="shared" ca="1" si="731"/>
        <v>0</v>
      </c>
    </row>
    <row r="450" spans="3:149">
      <c r="C450" s="214"/>
      <c r="L450" s="163"/>
      <c r="M450" s="164" t="str">
        <f t="shared" si="662"/>
        <v/>
      </c>
      <c r="N450" s="164" t="str">
        <f t="shared" si="663"/>
        <v/>
      </c>
      <c r="O450" s="165" t="str">
        <f t="shared" si="664"/>
        <v/>
      </c>
      <c r="R450" s="168"/>
      <c r="U450" s="171">
        <f t="shared" si="665"/>
        <v>0</v>
      </c>
      <c r="V450" s="171">
        <f t="shared" ca="1" si="666"/>
        <v>0</v>
      </c>
      <c r="W450" s="171">
        <f t="shared" ca="1" si="667"/>
        <v>0</v>
      </c>
      <c r="X450" s="172">
        <f t="shared" si="668"/>
        <v>0</v>
      </c>
      <c r="Y450" s="172" t="str">
        <f t="shared" si="669"/>
        <v/>
      </c>
      <c r="Z450" s="173">
        <f t="shared" si="670"/>
        <v>0</v>
      </c>
      <c r="AA450" s="171">
        <f t="shared" si="739"/>
        <v>0</v>
      </c>
      <c r="AB450" s="171">
        <f t="shared" si="739"/>
        <v>0</v>
      </c>
      <c r="AC450" s="171">
        <f t="shared" si="739"/>
        <v>0</v>
      </c>
      <c r="AD450" s="171">
        <f t="shared" si="739"/>
        <v>0</v>
      </c>
      <c r="AE450" s="171">
        <f t="shared" si="739"/>
        <v>0</v>
      </c>
      <c r="AF450" s="171">
        <f t="shared" si="739"/>
        <v>0</v>
      </c>
      <c r="AG450" s="171">
        <f t="shared" si="739"/>
        <v>0</v>
      </c>
      <c r="AH450" s="171">
        <f t="shared" si="739"/>
        <v>0</v>
      </c>
      <c r="AI450" s="171">
        <f t="shared" si="739"/>
        <v>0</v>
      </c>
      <c r="AJ450" s="171">
        <f t="shared" si="739"/>
        <v>0</v>
      </c>
      <c r="AK450" s="171">
        <f t="shared" si="740"/>
        <v>0</v>
      </c>
      <c r="AL450" s="171">
        <f t="shared" si="740"/>
        <v>0</v>
      </c>
      <c r="AM450" s="171">
        <f t="shared" si="740"/>
        <v>0</v>
      </c>
      <c r="AN450" s="171">
        <f t="shared" si="740"/>
        <v>0</v>
      </c>
      <c r="AO450" s="171">
        <f t="shared" si="740"/>
        <v>0</v>
      </c>
      <c r="AP450" s="171">
        <f t="shared" si="740"/>
        <v>0</v>
      </c>
      <c r="AQ450" s="171">
        <f t="shared" si="740"/>
        <v>0</v>
      </c>
      <c r="AR450" s="171">
        <f t="shared" si="740"/>
        <v>0</v>
      </c>
      <c r="AS450" s="171">
        <f t="shared" si="740"/>
        <v>0</v>
      </c>
      <c r="AT450" s="171">
        <f t="shared" si="740"/>
        <v>0</v>
      </c>
      <c r="AU450" s="171">
        <f t="shared" si="741"/>
        <v>0</v>
      </c>
      <c r="AV450" s="171">
        <f t="shared" si="741"/>
        <v>0</v>
      </c>
      <c r="AW450" s="171">
        <f t="shared" si="741"/>
        <v>0</v>
      </c>
      <c r="AX450" s="171">
        <f t="shared" si="741"/>
        <v>0</v>
      </c>
      <c r="AY450" s="171">
        <f t="shared" si="741"/>
        <v>0</v>
      </c>
      <c r="AZ450" s="171">
        <f t="shared" si="741"/>
        <v>0</v>
      </c>
      <c r="BA450" s="171">
        <f t="shared" si="741"/>
        <v>0</v>
      </c>
      <c r="BB450" s="171">
        <f t="shared" si="741"/>
        <v>0</v>
      </c>
      <c r="BC450" s="171">
        <f t="shared" si="741"/>
        <v>0</v>
      </c>
      <c r="BD450" s="171">
        <f t="shared" si="741"/>
        <v>0</v>
      </c>
      <c r="BE450" s="171">
        <f t="shared" si="742"/>
        <v>0</v>
      </c>
      <c r="BF450" s="171">
        <f t="shared" si="742"/>
        <v>0</v>
      </c>
      <c r="BG450" s="171">
        <f t="shared" si="742"/>
        <v>0</v>
      </c>
      <c r="BH450" s="171">
        <f t="shared" si="742"/>
        <v>0</v>
      </c>
      <c r="BI450" s="171">
        <f t="shared" si="742"/>
        <v>0</v>
      </c>
      <c r="BJ450" s="171">
        <f t="shared" si="742"/>
        <v>0</v>
      </c>
      <c r="BK450" s="171">
        <f t="shared" si="742"/>
        <v>0</v>
      </c>
      <c r="BL450" s="171">
        <f t="shared" si="742"/>
        <v>0</v>
      </c>
      <c r="BM450" s="171">
        <f t="shared" si="742"/>
        <v>0</v>
      </c>
      <c r="BN450" s="171">
        <f t="shared" si="742"/>
        <v>0</v>
      </c>
      <c r="BO450" s="171">
        <f t="shared" si="743"/>
        <v>0</v>
      </c>
      <c r="BP450" s="171">
        <f t="shared" si="743"/>
        <v>0</v>
      </c>
      <c r="BQ450" s="171">
        <f t="shared" si="743"/>
        <v>0</v>
      </c>
      <c r="BR450" s="171">
        <f t="shared" si="743"/>
        <v>0</v>
      </c>
      <c r="BS450" s="171">
        <f t="shared" si="743"/>
        <v>0</v>
      </c>
      <c r="BT450" s="171">
        <f t="shared" si="743"/>
        <v>0</v>
      </c>
      <c r="BU450" s="171">
        <f t="shared" si="743"/>
        <v>0</v>
      </c>
      <c r="BV450" s="171">
        <f t="shared" si="743"/>
        <v>0</v>
      </c>
      <c r="BW450" s="171">
        <f t="shared" si="743"/>
        <v>0</v>
      </c>
      <c r="BX450" s="171">
        <f t="shared" si="743"/>
        <v>0</v>
      </c>
      <c r="BY450" s="171">
        <f t="shared" si="744"/>
        <v>0</v>
      </c>
      <c r="BZ450" s="171">
        <f t="shared" si="744"/>
        <v>0</v>
      </c>
      <c r="CA450" s="171">
        <f t="shared" si="744"/>
        <v>0</v>
      </c>
      <c r="CB450" s="171">
        <f t="shared" si="744"/>
        <v>0</v>
      </c>
      <c r="CC450" s="171">
        <f t="shared" si="744"/>
        <v>0</v>
      </c>
      <c r="CD450" s="171">
        <f t="shared" si="744"/>
        <v>0</v>
      </c>
      <c r="CE450" s="171">
        <f t="shared" si="744"/>
        <v>0</v>
      </c>
      <c r="CF450" s="171">
        <f t="shared" si="744"/>
        <v>0</v>
      </c>
      <c r="CG450" s="171">
        <f t="shared" si="744"/>
        <v>0</v>
      </c>
      <c r="CH450" s="171">
        <f t="shared" si="744"/>
        <v>0</v>
      </c>
      <c r="CI450" s="171">
        <f t="shared" si="744"/>
        <v>0</v>
      </c>
      <c r="CJ450" s="243"/>
      <c r="CK450" s="171">
        <f t="shared" si="671"/>
        <v>0</v>
      </c>
      <c r="CL450" s="171">
        <f t="shared" si="672"/>
        <v>0</v>
      </c>
      <c r="CM450" s="171">
        <f t="shared" si="673"/>
        <v>0</v>
      </c>
      <c r="CN450" s="171">
        <f t="shared" si="674"/>
        <v>0</v>
      </c>
      <c r="CO450" s="171">
        <f t="shared" si="675"/>
        <v>0</v>
      </c>
      <c r="CP450" s="171">
        <f t="shared" si="676"/>
        <v>0</v>
      </c>
      <c r="CQ450" s="171">
        <f t="shared" si="677"/>
        <v>0</v>
      </c>
      <c r="CR450" s="171">
        <f t="shared" si="678"/>
        <v>0</v>
      </c>
      <c r="CS450" s="171">
        <f t="shared" si="679"/>
        <v>0</v>
      </c>
      <c r="CT450" s="171">
        <f t="shared" si="680"/>
        <v>0</v>
      </c>
      <c r="CU450" s="171">
        <f t="shared" si="681"/>
        <v>0</v>
      </c>
      <c r="CV450" s="171">
        <f t="shared" si="682"/>
        <v>0</v>
      </c>
      <c r="CW450" s="171">
        <f t="shared" si="683"/>
        <v>0</v>
      </c>
      <c r="CX450" s="171">
        <f t="shared" si="684"/>
        <v>0</v>
      </c>
      <c r="CY450" s="171">
        <f t="shared" ca="1" si="685"/>
        <v>0</v>
      </c>
      <c r="CZ450" s="171">
        <f t="shared" ca="1" si="686"/>
        <v>0</v>
      </c>
      <c r="DA450" s="171">
        <f t="shared" ca="1" si="687"/>
        <v>0</v>
      </c>
      <c r="DB450" s="171">
        <f t="shared" ca="1" si="688"/>
        <v>0</v>
      </c>
      <c r="DC450" s="171">
        <f t="shared" ca="1" si="689"/>
        <v>0</v>
      </c>
      <c r="DD450" s="171">
        <f t="shared" ca="1" si="690"/>
        <v>0</v>
      </c>
      <c r="DE450" s="171">
        <f t="shared" ca="1" si="691"/>
        <v>0</v>
      </c>
      <c r="DF450" s="171">
        <f t="shared" ca="1" si="692"/>
        <v>0</v>
      </c>
      <c r="DG450" s="171">
        <f t="shared" ca="1" si="693"/>
        <v>0</v>
      </c>
      <c r="DH450" s="171">
        <f t="shared" ca="1" si="694"/>
        <v>0</v>
      </c>
      <c r="DI450" s="171">
        <f t="shared" ca="1" si="695"/>
        <v>0</v>
      </c>
      <c r="DJ450" s="171">
        <f t="shared" ca="1" si="696"/>
        <v>0</v>
      </c>
      <c r="DK450" s="171">
        <f t="shared" ca="1" si="697"/>
        <v>0</v>
      </c>
      <c r="DL450" s="171">
        <f t="shared" ca="1" si="698"/>
        <v>0</v>
      </c>
      <c r="DM450" s="171">
        <f t="shared" ca="1" si="699"/>
        <v>0</v>
      </c>
      <c r="DN450" s="171">
        <f t="shared" ca="1" si="700"/>
        <v>0</v>
      </c>
      <c r="DO450" s="171">
        <f t="shared" ca="1" si="701"/>
        <v>0</v>
      </c>
      <c r="DP450" s="171">
        <f t="shared" ca="1" si="702"/>
        <v>0</v>
      </c>
      <c r="DQ450" s="171">
        <f t="shared" ca="1" si="703"/>
        <v>0</v>
      </c>
      <c r="DR450" s="171">
        <f t="shared" ca="1" si="704"/>
        <v>0</v>
      </c>
      <c r="DS450" s="171">
        <f t="shared" ca="1" si="705"/>
        <v>0</v>
      </c>
      <c r="DT450" s="171">
        <f t="shared" ca="1" si="706"/>
        <v>0</v>
      </c>
      <c r="DU450" s="171">
        <f t="shared" ca="1" si="707"/>
        <v>0</v>
      </c>
      <c r="DV450" s="171">
        <f t="shared" ca="1" si="708"/>
        <v>0</v>
      </c>
      <c r="DW450" s="171">
        <f t="shared" ca="1" si="709"/>
        <v>0</v>
      </c>
      <c r="DX450" s="171">
        <f t="shared" ca="1" si="710"/>
        <v>0</v>
      </c>
      <c r="DY450" s="171">
        <f t="shared" ca="1" si="711"/>
        <v>0</v>
      </c>
      <c r="DZ450" s="171">
        <f t="shared" ca="1" si="712"/>
        <v>0</v>
      </c>
      <c r="EA450" s="171">
        <f t="shared" ca="1" si="713"/>
        <v>0</v>
      </c>
      <c r="EB450" s="171">
        <f t="shared" ca="1" si="714"/>
        <v>0</v>
      </c>
      <c r="EC450" s="171">
        <f t="shared" ca="1" si="715"/>
        <v>0</v>
      </c>
      <c r="ED450" s="171">
        <f t="shared" ca="1" si="716"/>
        <v>0</v>
      </c>
      <c r="EE450" s="171">
        <f t="shared" ca="1" si="717"/>
        <v>0</v>
      </c>
      <c r="EF450" s="171">
        <f t="shared" ca="1" si="718"/>
        <v>0</v>
      </c>
      <c r="EG450" s="171">
        <f t="shared" ca="1" si="719"/>
        <v>0</v>
      </c>
      <c r="EH450" s="171">
        <f t="shared" ca="1" si="720"/>
        <v>0</v>
      </c>
      <c r="EI450" s="171">
        <f t="shared" ca="1" si="721"/>
        <v>0</v>
      </c>
      <c r="EJ450" s="171">
        <f t="shared" ca="1" si="722"/>
        <v>0</v>
      </c>
      <c r="EK450" s="171">
        <f t="shared" ca="1" si="723"/>
        <v>0</v>
      </c>
      <c r="EL450" s="171">
        <f t="shared" ca="1" si="724"/>
        <v>0</v>
      </c>
      <c r="EM450" s="171">
        <f t="shared" ca="1" si="725"/>
        <v>0</v>
      </c>
      <c r="EN450" s="171">
        <f t="shared" ca="1" si="726"/>
        <v>0</v>
      </c>
      <c r="EO450" s="171">
        <f t="shared" ca="1" si="727"/>
        <v>0</v>
      </c>
      <c r="EP450" s="171">
        <f t="shared" ca="1" si="728"/>
        <v>0</v>
      </c>
      <c r="EQ450" s="171">
        <f t="shared" ca="1" si="729"/>
        <v>0</v>
      </c>
      <c r="ER450" s="171">
        <f t="shared" ca="1" si="730"/>
        <v>0</v>
      </c>
      <c r="ES450" s="171">
        <f t="shared" ca="1" si="731"/>
        <v>0</v>
      </c>
    </row>
    <row r="451" spans="3:149">
      <c r="C451" s="214"/>
      <c r="L451" s="163"/>
      <c r="M451" s="164" t="str">
        <f t="shared" si="662"/>
        <v/>
      </c>
      <c r="N451" s="164" t="str">
        <f t="shared" si="663"/>
        <v/>
      </c>
      <c r="O451" s="165" t="str">
        <f t="shared" si="664"/>
        <v/>
      </c>
      <c r="R451" s="168"/>
      <c r="U451" s="171">
        <f t="shared" si="665"/>
        <v>0</v>
      </c>
      <c r="V451" s="171">
        <f t="shared" ca="1" si="666"/>
        <v>0</v>
      </c>
      <c r="W451" s="171">
        <f t="shared" ca="1" si="667"/>
        <v>0</v>
      </c>
      <c r="X451" s="172">
        <f t="shared" si="668"/>
        <v>0</v>
      </c>
      <c r="Y451" s="172" t="str">
        <f t="shared" si="669"/>
        <v/>
      </c>
      <c r="Z451" s="173">
        <f t="shared" si="670"/>
        <v>0</v>
      </c>
      <c r="AA451" s="171">
        <f t="shared" si="739"/>
        <v>0</v>
      </c>
      <c r="AB451" s="171">
        <f t="shared" si="739"/>
        <v>0</v>
      </c>
      <c r="AC451" s="171">
        <f t="shared" si="739"/>
        <v>0</v>
      </c>
      <c r="AD451" s="171">
        <f t="shared" si="739"/>
        <v>0</v>
      </c>
      <c r="AE451" s="171">
        <f t="shared" si="739"/>
        <v>0</v>
      </c>
      <c r="AF451" s="171">
        <f t="shared" si="739"/>
        <v>0</v>
      </c>
      <c r="AG451" s="171">
        <f t="shared" si="739"/>
        <v>0</v>
      </c>
      <c r="AH451" s="171">
        <f t="shared" si="739"/>
        <v>0</v>
      </c>
      <c r="AI451" s="171">
        <f t="shared" si="739"/>
        <v>0</v>
      </c>
      <c r="AJ451" s="171">
        <f t="shared" si="739"/>
        <v>0</v>
      </c>
      <c r="AK451" s="171">
        <f t="shared" si="740"/>
        <v>0</v>
      </c>
      <c r="AL451" s="171">
        <f t="shared" si="740"/>
        <v>0</v>
      </c>
      <c r="AM451" s="171">
        <f t="shared" si="740"/>
        <v>0</v>
      </c>
      <c r="AN451" s="171">
        <f t="shared" si="740"/>
        <v>0</v>
      </c>
      <c r="AO451" s="171">
        <f t="shared" si="740"/>
        <v>0</v>
      </c>
      <c r="AP451" s="171">
        <f t="shared" si="740"/>
        <v>0</v>
      </c>
      <c r="AQ451" s="171">
        <f t="shared" si="740"/>
        <v>0</v>
      </c>
      <c r="AR451" s="171">
        <f t="shared" si="740"/>
        <v>0</v>
      </c>
      <c r="AS451" s="171">
        <f t="shared" si="740"/>
        <v>0</v>
      </c>
      <c r="AT451" s="171">
        <f t="shared" si="740"/>
        <v>0</v>
      </c>
      <c r="AU451" s="171">
        <f t="shared" si="741"/>
        <v>0</v>
      </c>
      <c r="AV451" s="171">
        <f t="shared" si="741"/>
        <v>0</v>
      </c>
      <c r="AW451" s="171">
        <f t="shared" si="741"/>
        <v>0</v>
      </c>
      <c r="AX451" s="171">
        <f t="shared" si="741"/>
        <v>0</v>
      </c>
      <c r="AY451" s="171">
        <f t="shared" si="741"/>
        <v>0</v>
      </c>
      <c r="AZ451" s="171">
        <f t="shared" si="741"/>
        <v>0</v>
      </c>
      <c r="BA451" s="171">
        <f t="shared" si="741"/>
        <v>0</v>
      </c>
      <c r="BB451" s="171">
        <f t="shared" si="741"/>
        <v>0</v>
      </c>
      <c r="BC451" s="171">
        <f t="shared" si="741"/>
        <v>0</v>
      </c>
      <c r="BD451" s="171">
        <f t="shared" si="741"/>
        <v>0</v>
      </c>
      <c r="BE451" s="171">
        <f t="shared" si="742"/>
        <v>0</v>
      </c>
      <c r="BF451" s="171">
        <f t="shared" si="742"/>
        <v>0</v>
      </c>
      <c r="BG451" s="171">
        <f t="shared" si="742"/>
        <v>0</v>
      </c>
      <c r="BH451" s="171">
        <f t="shared" si="742"/>
        <v>0</v>
      </c>
      <c r="BI451" s="171">
        <f t="shared" si="742"/>
        <v>0</v>
      </c>
      <c r="BJ451" s="171">
        <f t="shared" si="742"/>
        <v>0</v>
      </c>
      <c r="BK451" s="171">
        <f t="shared" si="742"/>
        <v>0</v>
      </c>
      <c r="BL451" s="171">
        <f t="shared" si="742"/>
        <v>0</v>
      </c>
      <c r="BM451" s="171">
        <f t="shared" si="742"/>
        <v>0</v>
      </c>
      <c r="BN451" s="171">
        <f t="shared" si="742"/>
        <v>0</v>
      </c>
      <c r="BO451" s="171">
        <f t="shared" si="743"/>
        <v>0</v>
      </c>
      <c r="BP451" s="171">
        <f t="shared" si="743"/>
        <v>0</v>
      </c>
      <c r="BQ451" s="171">
        <f t="shared" si="743"/>
        <v>0</v>
      </c>
      <c r="BR451" s="171">
        <f t="shared" si="743"/>
        <v>0</v>
      </c>
      <c r="BS451" s="171">
        <f t="shared" si="743"/>
        <v>0</v>
      </c>
      <c r="BT451" s="171">
        <f t="shared" si="743"/>
        <v>0</v>
      </c>
      <c r="BU451" s="171">
        <f t="shared" si="743"/>
        <v>0</v>
      </c>
      <c r="BV451" s="171">
        <f t="shared" si="743"/>
        <v>0</v>
      </c>
      <c r="BW451" s="171">
        <f t="shared" si="743"/>
        <v>0</v>
      </c>
      <c r="BX451" s="171">
        <f t="shared" si="743"/>
        <v>0</v>
      </c>
      <c r="BY451" s="171">
        <f t="shared" si="744"/>
        <v>0</v>
      </c>
      <c r="BZ451" s="171">
        <f t="shared" si="744"/>
        <v>0</v>
      </c>
      <c r="CA451" s="171">
        <f t="shared" si="744"/>
        <v>0</v>
      </c>
      <c r="CB451" s="171">
        <f t="shared" si="744"/>
        <v>0</v>
      </c>
      <c r="CC451" s="171">
        <f t="shared" si="744"/>
        <v>0</v>
      </c>
      <c r="CD451" s="171">
        <f t="shared" si="744"/>
        <v>0</v>
      </c>
      <c r="CE451" s="171">
        <f t="shared" si="744"/>
        <v>0</v>
      </c>
      <c r="CF451" s="171">
        <f t="shared" si="744"/>
        <v>0</v>
      </c>
      <c r="CG451" s="171">
        <f t="shared" si="744"/>
        <v>0</v>
      </c>
      <c r="CH451" s="171">
        <f t="shared" si="744"/>
        <v>0</v>
      </c>
      <c r="CI451" s="171">
        <f t="shared" si="744"/>
        <v>0</v>
      </c>
      <c r="CJ451" s="243"/>
      <c r="CK451" s="171">
        <f t="shared" si="671"/>
        <v>0</v>
      </c>
      <c r="CL451" s="171">
        <f t="shared" si="672"/>
        <v>0</v>
      </c>
      <c r="CM451" s="171">
        <f t="shared" si="673"/>
        <v>0</v>
      </c>
      <c r="CN451" s="171">
        <f t="shared" si="674"/>
        <v>0</v>
      </c>
      <c r="CO451" s="171">
        <f t="shared" si="675"/>
        <v>0</v>
      </c>
      <c r="CP451" s="171">
        <f t="shared" si="676"/>
        <v>0</v>
      </c>
      <c r="CQ451" s="171">
        <f t="shared" si="677"/>
        <v>0</v>
      </c>
      <c r="CR451" s="171">
        <f t="shared" si="678"/>
        <v>0</v>
      </c>
      <c r="CS451" s="171">
        <f t="shared" si="679"/>
        <v>0</v>
      </c>
      <c r="CT451" s="171">
        <f t="shared" si="680"/>
        <v>0</v>
      </c>
      <c r="CU451" s="171">
        <f t="shared" si="681"/>
        <v>0</v>
      </c>
      <c r="CV451" s="171">
        <f t="shared" si="682"/>
        <v>0</v>
      </c>
      <c r="CW451" s="171">
        <f t="shared" si="683"/>
        <v>0</v>
      </c>
      <c r="CX451" s="171">
        <f t="shared" si="684"/>
        <v>0</v>
      </c>
      <c r="CY451" s="171">
        <f t="shared" ca="1" si="685"/>
        <v>0</v>
      </c>
      <c r="CZ451" s="171">
        <f t="shared" ca="1" si="686"/>
        <v>0</v>
      </c>
      <c r="DA451" s="171">
        <f t="shared" ca="1" si="687"/>
        <v>0</v>
      </c>
      <c r="DB451" s="171">
        <f t="shared" ca="1" si="688"/>
        <v>0</v>
      </c>
      <c r="DC451" s="171">
        <f t="shared" ca="1" si="689"/>
        <v>0</v>
      </c>
      <c r="DD451" s="171">
        <f t="shared" ca="1" si="690"/>
        <v>0</v>
      </c>
      <c r="DE451" s="171">
        <f t="shared" ca="1" si="691"/>
        <v>0</v>
      </c>
      <c r="DF451" s="171">
        <f t="shared" ca="1" si="692"/>
        <v>0</v>
      </c>
      <c r="DG451" s="171">
        <f t="shared" ca="1" si="693"/>
        <v>0</v>
      </c>
      <c r="DH451" s="171">
        <f t="shared" ca="1" si="694"/>
        <v>0</v>
      </c>
      <c r="DI451" s="171">
        <f t="shared" ca="1" si="695"/>
        <v>0</v>
      </c>
      <c r="DJ451" s="171">
        <f t="shared" ca="1" si="696"/>
        <v>0</v>
      </c>
      <c r="DK451" s="171">
        <f t="shared" ca="1" si="697"/>
        <v>0</v>
      </c>
      <c r="DL451" s="171">
        <f t="shared" ca="1" si="698"/>
        <v>0</v>
      </c>
      <c r="DM451" s="171">
        <f t="shared" ca="1" si="699"/>
        <v>0</v>
      </c>
      <c r="DN451" s="171">
        <f t="shared" ca="1" si="700"/>
        <v>0</v>
      </c>
      <c r="DO451" s="171">
        <f t="shared" ca="1" si="701"/>
        <v>0</v>
      </c>
      <c r="DP451" s="171">
        <f t="shared" ca="1" si="702"/>
        <v>0</v>
      </c>
      <c r="DQ451" s="171">
        <f t="shared" ca="1" si="703"/>
        <v>0</v>
      </c>
      <c r="DR451" s="171">
        <f t="shared" ca="1" si="704"/>
        <v>0</v>
      </c>
      <c r="DS451" s="171">
        <f t="shared" ca="1" si="705"/>
        <v>0</v>
      </c>
      <c r="DT451" s="171">
        <f t="shared" ca="1" si="706"/>
        <v>0</v>
      </c>
      <c r="DU451" s="171">
        <f t="shared" ca="1" si="707"/>
        <v>0</v>
      </c>
      <c r="DV451" s="171">
        <f t="shared" ca="1" si="708"/>
        <v>0</v>
      </c>
      <c r="DW451" s="171">
        <f t="shared" ca="1" si="709"/>
        <v>0</v>
      </c>
      <c r="DX451" s="171">
        <f t="shared" ca="1" si="710"/>
        <v>0</v>
      </c>
      <c r="DY451" s="171">
        <f t="shared" ca="1" si="711"/>
        <v>0</v>
      </c>
      <c r="DZ451" s="171">
        <f t="shared" ca="1" si="712"/>
        <v>0</v>
      </c>
      <c r="EA451" s="171">
        <f t="shared" ca="1" si="713"/>
        <v>0</v>
      </c>
      <c r="EB451" s="171">
        <f t="shared" ca="1" si="714"/>
        <v>0</v>
      </c>
      <c r="EC451" s="171">
        <f t="shared" ca="1" si="715"/>
        <v>0</v>
      </c>
      <c r="ED451" s="171">
        <f t="shared" ca="1" si="716"/>
        <v>0</v>
      </c>
      <c r="EE451" s="171">
        <f t="shared" ca="1" si="717"/>
        <v>0</v>
      </c>
      <c r="EF451" s="171">
        <f t="shared" ca="1" si="718"/>
        <v>0</v>
      </c>
      <c r="EG451" s="171">
        <f t="shared" ca="1" si="719"/>
        <v>0</v>
      </c>
      <c r="EH451" s="171">
        <f t="shared" ca="1" si="720"/>
        <v>0</v>
      </c>
      <c r="EI451" s="171">
        <f t="shared" ca="1" si="721"/>
        <v>0</v>
      </c>
      <c r="EJ451" s="171">
        <f t="shared" ca="1" si="722"/>
        <v>0</v>
      </c>
      <c r="EK451" s="171">
        <f t="shared" ca="1" si="723"/>
        <v>0</v>
      </c>
      <c r="EL451" s="171">
        <f t="shared" ca="1" si="724"/>
        <v>0</v>
      </c>
      <c r="EM451" s="171">
        <f t="shared" ca="1" si="725"/>
        <v>0</v>
      </c>
      <c r="EN451" s="171">
        <f t="shared" ca="1" si="726"/>
        <v>0</v>
      </c>
      <c r="EO451" s="171">
        <f t="shared" ca="1" si="727"/>
        <v>0</v>
      </c>
      <c r="EP451" s="171">
        <f t="shared" ca="1" si="728"/>
        <v>0</v>
      </c>
      <c r="EQ451" s="171">
        <f t="shared" ca="1" si="729"/>
        <v>0</v>
      </c>
      <c r="ER451" s="171">
        <f t="shared" ca="1" si="730"/>
        <v>0</v>
      </c>
      <c r="ES451" s="171">
        <f t="shared" ca="1" si="731"/>
        <v>0</v>
      </c>
    </row>
    <row r="452" spans="3:149">
      <c r="C452" s="214"/>
      <c r="L452" s="163"/>
      <c r="M452" s="164" t="str">
        <f t="shared" si="662"/>
        <v/>
      </c>
      <c r="N452" s="164" t="str">
        <f t="shared" si="663"/>
        <v/>
      </c>
      <c r="O452" s="165" t="str">
        <f t="shared" si="664"/>
        <v/>
      </c>
      <c r="R452" s="168"/>
      <c r="U452" s="171">
        <f t="shared" si="665"/>
        <v>0</v>
      </c>
      <c r="V452" s="171">
        <f t="shared" ca="1" si="666"/>
        <v>0</v>
      </c>
      <c r="W452" s="171">
        <f t="shared" ca="1" si="667"/>
        <v>0</v>
      </c>
      <c r="X452" s="172">
        <f t="shared" si="668"/>
        <v>0</v>
      </c>
      <c r="Y452" s="172" t="str">
        <f t="shared" si="669"/>
        <v/>
      </c>
      <c r="Z452" s="173">
        <f t="shared" si="670"/>
        <v>0</v>
      </c>
      <c r="AA452" s="171">
        <f t="shared" si="739"/>
        <v>0</v>
      </c>
      <c r="AB452" s="171">
        <f t="shared" si="739"/>
        <v>0</v>
      </c>
      <c r="AC452" s="171">
        <f t="shared" si="739"/>
        <v>0</v>
      </c>
      <c r="AD452" s="171">
        <f t="shared" si="739"/>
        <v>0</v>
      </c>
      <c r="AE452" s="171">
        <f t="shared" si="739"/>
        <v>0</v>
      </c>
      <c r="AF452" s="171">
        <f t="shared" si="739"/>
        <v>0</v>
      </c>
      <c r="AG452" s="171">
        <f t="shared" si="739"/>
        <v>0</v>
      </c>
      <c r="AH452" s="171">
        <f t="shared" si="739"/>
        <v>0</v>
      </c>
      <c r="AI452" s="171">
        <f t="shared" si="739"/>
        <v>0</v>
      </c>
      <c r="AJ452" s="171">
        <f t="shared" si="739"/>
        <v>0</v>
      </c>
      <c r="AK452" s="171">
        <f t="shared" si="740"/>
        <v>0</v>
      </c>
      <c r="AL452" s="171">
        <f t="shared" si="740"/>
        <v>0</v>
      </c>
      <c r="AM452" s="171">
        <f t="shared" si="740"/>
        <v>0</v>
      </c>
      <c r="AN452" s="171">
        <f t="shared" si="740"/>
        <v>0</v>
      </c>
      <c r="AO452" s="171">
        <f t="shared" si="740"/>
        <v>0</v>
      </c>
      <c r="AP452" s="171">
        <f t="shared" si="740"/>
        <v>0</v>
      </c>
      <c r="AQ452" s="171">
        <f t="shared" si="740"/>
        <v>0</v>
      </c>
      <c r="AR452" s="171">
        <f t="shared" si="740"/>
        <v>0</v>
      </c>
      <c r="AS452" s="171">
        <f t="shared" si="740"/>
        <v>0</v>
      </c>
      <c r="AT452" s="171">
        <f t="shared" si="740"/>
        <v>0</v>
      </c>
      <c r="AU452" s="171">
        <f t="shared" si="741"/>
        <v>0</v>
      </c>
      <c r="AV452" s="171">
        <f t="shared" si="741"/>
        <v>0</v>
      </c>
      <c r="AW452" s="171">
        <f t="shared" si="741"/>
        <v>0</v>
      </c>
      <c r="AX452" s="171">
        <f t="shared" si="741"/>
        <v>0</v>
      </c>
      <c r="AY452" s="171">
        <f t="shared" si="741"/>
        <v>0</v>
      </c>
      <c r="AZ452" s="171">
        <f t="shared" si="741"/>
        <v>0</v>
      </c>
      <c r="BA452" s="171">
        <f t="shared" si="741"/>
        <v>0</v>
      </c>
      <c r="BB452" s="171">
        <f t="shared" si="741"/>
        <v>0</v>
      </c>
      <c r="BC452" s="171">
        <f t="shared" si="741"/>
        <v>0</v>
      </c>
      <c r="BD452" s="171">
        <f t="shared" si="741"/>
        <v>0</v>
      </c>
      <c r="BE452" s="171">
        <f t="shared" si="742"/>
        <v>0</v>
      </c>
      <c r="BF452" s="171">
        <f t="shared" si="742"/>
        <v>0</v>
      </c>
      <c r="BG452" s="171">
        <f t="shared" si="742"/>
        <v>0</v>
      </c>
      <c r="BH452" s="171">
        <f t="shared" si="742"/>
        <v>0</v>
      </c>
      <c r="BI452" s="171">
        <f t="shared" si="742"/>
        <v>0</v>
      </c>
      <c r="BJ452" s="171">
        <f t="shared" si="742"/>
        <v>0</v>
      </c>
      <c r="BK452" s="171">
        <f t="shared" si="742"/>
        <v>0</v>
      </c>
      <c r="BL452" s="171">
        <f t="shared" si="742"/>
        <v>0</v>
      </c>
      <c r="BM452" s="171">
        <f t="shared" si="742"/>
        <v>0</v>
      </c>
      <c r="BN452" s="171">
        <f t="shared" si="742"/>
        <v>0</v>
      </c>
      <c r="BO452" s="171">
        <f t="shared" si="743"/>
        <v>0</v>
      </c>
      <c r="BP452" s="171">
        <f t="shared" si="743"/>
        <v>0</v>
      </c>
      <c r="BQ452" s="171">
        <f t="shared" si="743"/>
        <v>0</v>
      </c>
      <c r="BR452" s="171">
        <f t="shared" si="743"/>
        <v>0</v>
      </c>
      <c r="BS452" s="171">
        <f t="shared" si="743"/>
        <v>0</v>
      </c>
      <c r="BT452" s="171">
        <f t="shared" si="743"/>
        <v>0</v>
      </c>
      <c r="BU452" s="171">
        <f t="shared" si="743"/>
        <v>0</v>
      </c>
      <c r="BV452" s="171">
        <f t="shared" si="743"/>
        <v>0</v>
      </c>
      <c r="BW452" s="171">
        <f t="shared" si="743"/>
        <v>0</v>
      </c>
      <c r="BX452" s="171">
        <f t="shared" si="743"/>
        <v>0</v>
      </c>
      <c r="BY452" s="171">
        <f t="shared" si="744"/>
        <v>0</v>
      </c>
      <c r="BZ452" s="171">
        <f t="shared" si="744"/>
        <v>0</v>
      </c>
      <c r="CA452" s="171">
        <f t="shared" si="744"/>
        <v>0</v>
      </c>
      <c r="CB452" s="171">
        <f t="shared" si="744"/>
        <v>0</v>
      </c>
      <c r="CC452" s="171">
        <f t="shared" si="744"/>
        <v>0</v>
      </c>
      <c r="CD452" s="171">
        <f t="shared" si="744"/>
        <v>0</v>
      </c>
      <c r="CE452" s="171">
        <f t="shared" si="744"/>
        <v>0</v>
      </c>
      <c r="CF452" s="171">
        <f t="shared" si="744"/>
        <v>0</v>
      </c>
      <c r="CG452" s="171">
        <f t="shared" si="744"/>
        <v>0</v>
      </c>
      <c r="CH452" s="171">
        <f t="shared" si="744"/>
        <v>0</v>
      </c>
      <c r="CI452" s="171">
        <f t="shared" si="744"/>
        <v>0</v>
      </c>
      <c r="CJ452" s="243"/>
      <c r="CK452" s="171">
        <f t="shared" si="671"/>
        <v>0</v>
      </c>
      <c r="CL452" s="171">
        <f t="shared" si="672"/>
        <v>0</v>
      </c>
      <c r="CM452" s="171">
        <f t="shared" si="673"/>
        <v>0</v>
      </c>
      <c r="CN452" s="171">
        <f t="shared" si="674"/>
        <v>0</v>
      </c>
      <c r="CO452" s="171">
        <f t="shared" si="675"/>
        <v>0</v>
      </c>
      <c r="CP452" s="171">
        <f t="shared" si="676"/>
        <v>0</v>
      </c>
      <c r="CQ452" s="171">
        <f t="shared" si="677"/>
        <v>0</v>
      </c>
      <c r="CR452" s="171">
        <f t="shared" si="678"/>
        <v>0</v>
      </c>
      <c r="CS452" s="171">
        <f t="shared" si="679"/>
        <v>0</v>
      </c>
      <c r="CT452" s="171">
        <f t="shared" si="680"/>
        <v>0</v>
      </c>
      <c r="CU452" s="171">
        <f t="shared" si="681"/>
        <v>0</v>
      </c>
      <c r="CV452" s="171">
        <f t="shared" si="682"/>
        <v>0</v>
      </c>
      <c r="CW452" s="171">
        <f t="shared" si="683"/>
        <v>0</v>
      </c>
      <c r="CX452" s="171">
        <f t="shared" si="684"/>
        <v>0</v>
      </c>
      <c r="CY452" s="171">
        <f t="shared" ca="1" si="685"/>
        <v>0</v>
      </c>
      <c r="CZ452" s="171">
        <f t="shared" ca="1" si="686"/>
        <v>0</v>
      </c>
      <c r="DA452" s="171">
        <f t="shared" ca="1" si="687"/>
        <v>0</v>
      </c>
      <c r="DB452" s="171">
        <f t="shared" ca="1" si="688"/>
        <v>0</v>
      </c>
      <c r="DC452" s="171">
        <f t="shared" ca="1" si="689"/>
        <v>0</v>
      </c>
      <c r="DD452" s="171">
        <f t="shared" ca="1" si="690"/>
        <v>0</v>
      </c>
      <c r="DE452" s="171">
        <f t="shared" ca="1" si="691"/>
        <v>0</v>
      </c>
      <c r="DF452" s="171">
        <f t="shared" ca="1" si="692"/>
        <v>0</v>
      </c>
      <c r="DG452" s="171">
        <f t="shared" ca="1" si="693"/>
        <v>0</v>
      </c>
      <c r="DH452" s="171">
        <f t="shared" ca="1" si="694"/>
        <v>0</v>
      </c>
      <c r="DI452" s="171">
        <f t="shared" ca="1" si="695"/>
        <v>0</v>
      </c>
      <c r="DJ452" s="171">
        <f t="shared" ca="1" si="696"/>
        <v>0</v>
      </c>
      <c r="DK452" s="171">
        <f t="shared" ca="1" si="697"/>
        <v>0</v>
      </c>
      <c r="DL452" s="171">
        <f t="shared" ca="1" si="698"/>
        <v>0</v>
      </c>
      <c r="DM452" s="171">
        <f t="shared" ca="1" si="699"/>
        <v>0</v>
      </c>
      <c r="DN452" s="171">
        <f t="shared" ca="1" si="700"/>
        <v>0</v>
      </c>
      <c r="DO452" s="171">
        <f t="shared" ca="1" si="701"/>
        <v>0</v>
      </c>
      <c r="DP452" s="171">
        <f t="shared" ca="1" si="702"/>
        <v>0</v>
      </c>
      <c r="DQ452" s="171">
        <f t="shared" ca="1" si="703"/>
        <v>0</v>
      </c>
      <c r="DR452" s="171">
        <f t="shared" ca="1" si="704"/>
        <v>0</v>
      </c>
      <c r="DS452" s="171">
        <f t="shared" ca="1" si="705"/>
        <v>0</v>
      </c>
      <c r="DT452" s="171">
        <f t="shared" ca="1" si="706"/>
        <v>0</v>
      </c>
      <c r="DU452" s="171">
        <f t="shared" ca="1" si="707"/>
        <v>0</v>
      </c>
      <c r="DV452" s="171">
        <f t="shared" ca="1" si="708"/>
        <v>0</v>
      </c>
      <c r="DW452" s="171">
        <f t="shared" ca="1" si="709"/>
        <v>0</v>
      </c>
      <c r="DX452" s="171">
        <f t="shared" ca="1" si="710"/>
        <v>0</v>
      </c>
      <c r="DY452" s="171">
        <f t="shared" ca="1" si="711"/>
        <v>0</v>
      </c>
      <c r="DZ452" s="171">
        <f t="shared" ca="1" si="712"/>
        <v>0</v>
      </c>
      <c r="EA452" s="171">
        <f t="shared" ca="1" si="713"/>
        <v>0</v>
      </c>
      <c r="EB452" s="171">
        <f t="shared" ca="1" si="714"/>
        <v>0</v>
      </c>
      <c r="EC452" s="171">
        <f t="shared" ca="1" si="715"/>
        <v>0</v>
      </c>
      <c r="ED452" s="171">
        <f t="shared" ca="1" si="716"/>
        <v>0</v>
      </c>
      <c r="EE452" s="171">
        <f t="shared" ca="1" si="717"/>
        <v>0</v>
      </c>
      <c r="EF452" s="171">
        <f t="shared" ca="1" si="718"/>
        <v>0</v>
      </c>
      <c r="EG452" s="171">
        <f t="shared" ca="1" si="719"/>
        <v>0</v>
      </c>
      <c r="EH452" s="171">
        <f t="shared" ca="1" si="720"/>
        <v>0</v>
      </c>
      <c r="EI452" s="171">
        <f t="shared" ca="1" si="721"/>
        <v>0</v>
      </c>
      <c r="EJ452" s="171">
        <f t="shared" ca="1" si="722"/>
        <v>0</v>
      </c>
      <c r="EK452" s="171">
        <f t="shared" ca="1" si="723"/>
        <v>0</v>
      </c>
      <c r="EL452" s="171">
        <f t="shared" ca="1" si="724"/>
        <v>0</v>
      </c>
      <c r="EM452" s="171">
        <f t="shared" ca="1" si="725"/>
        <v>0</v>
      </c>
      <c r="EN452" s="171">
        <f t="shared" ca="1" si="726"/>
        <v>0</v>
      </c>
      <c r="EO452" s="171">
        <f t="shared" ca="1" si="727"/>
        <v>0</v>
      </c>
      <c r="EP452" s="171">
        <f t="shared" ca="1" si="728"/>
        <v>0</v>
      </c>
      <c r="EQ452" s="171">
        <f t="shared" ca="1" si="729"/>
        <v>0</v>
      </c>
      <c r="ER452" s="171">
        <f t="shared" ca="1" si="730"/>
        <v>0</v>
      </c>
      <c r="ES452" s="171">
        <f t="shared" ca="1" si="731"/>
        <v>0</v>
      </c>
    </row>
    <row r="453" spans="3:149">
      <c r="C453" s="214"/>
      <c r="L453" s="163"/>
      <c r="M453" s="164" t="str">
        <f t="shared" si="662"/>
        <v/>
      </c>
      <c r="N453" s="164" t="str">
        <f t="shared" si="663"/>
        <v/>
      </c>
      <c r="O453" s="165" t="str">
        <f t="shared" si="664"/>
        <v/>
      </c>
      <c r="R453" s="168"/>
      <c r="U453" s="171">
        <f t="shared" si="665"/>
        <v>0</v>
      </c>
      <c r="V453" s="171">
        <f t="shared" ca="1" si="666"/>
        <v>0</v>
      </c>
      <c r="W453" s="171">
        <f t="shared" ca="1" si="667"/>
        <v>0</v>
      </c>
      <c r="X453" s="172">
        <f t="shared" si="668"/>
        <v>0</v>
      </c>
      <c r="Y453" s="172" t="str">
        <f t="shared" si="669"/>
        <v/>
      </c>
      <c r="Z453" s="173">
        <f t="shared" si="670"/>
        <v>0</v>
      </c>
      <c r="AA453" s="171">
        <f t="shared" si="739"/>
        <v>0</v>
      </c>
      <c r="AB453" s="171">
        <f t="shared" si="739"/>
        <v>0</v>
      </c>
      <c r="AC453" s="171">
        <f t="shared" si="739"/>
        <v>0</v>
      </c>
      <c r="AD453" s="171">
        <f t="shared" si="739"/>
        <v>0</v>
      </c>
      <c r="AE453" s="171">
        <f t="shared" si="739"/>
        <v>0</v>
      </c>
      <c r="AF453" s="171">
        <f t="shared" si="739"/>
        <v>0</v>
      </c>
      <c r="AG453" s="171">
        <f t="shared" si="739"/>
        <v>0</v>
      </c>
      <c r="AH453" s="171">
        <f t="shared" si="739"/>
        <v>0</v>
      </c>
      <c r="AI453" s="171">
        <f t="shared" si="739"/>
        <v>0</v>
      </c>
      <c r="AJ453" s="171">
        <f t="shared" si="739"/>
        <v>0</v>
      </c>
      <c r="AK453" s="171">
        <f t="shared" si="740"/>
        <v>0</v>
      </c>
      <c r="AL453" s="171">
        <f t="shared" si="740"/>
        <v>0</v>
      </c>
      <c r="AM453" s="171">
        <f t="shared" si="740"/>
        <v>0</v>
      </c>
      <c r="AN453" s="171">
        <f t="shared" si="740"/>
        <v>0</v>
      </c>
      <c r="AO453" s="171">
        <f t="shared" si="740"/>
        <v>0</v>
      </c>
      <c r="AP453" s="171">
        <f t="shared" si="740"/>
        <v>0</v>
      </c>
      <c r="AQ453" s="171">
        <f t="shared" si="740"/>
        <v>0</v>
      </c>
      <c r="AR453" s="171">
        <f t="shared" si="740"/>
        <v>0</v>
      </c>
      <c r="AS453" s="171">
        <f t="shared" si="740"/>
        <v>0</v>
      </c>
      <c r="AT453" s="171">
        <f t="shared" si="740"/>
        <v>0</v>
      </c>
      <c r="AU453" s="171">
        <f t="shared" si="741"/>
        <v>0</v>
      </c>
      <c r="AV453" s="171">
        <f t="shared" si="741"/>
        <v>0</v>
      </c>
      <c r="AW453" s="171">
        <f t="shared" si="741"/>
        <v>0</v>
      </c>
      <c r="AX453" s="171">
        <f t="shared" si="741"/>
        <v>0</v>
      </c>
      <c r="AY453" s="171">
        <f t="shared" si="741"/>
        <v>0</v>
      </c>
      <c r="AZ453" s="171">
        <f t="shared" si="741"/>
        <v>0</v>
      </c>
      <c r="BA453" s="171">
        <f t="shared" si="741"/>
        <v>0</v>
      </c>
      <c r="BB453" s="171">
        <f t="shared" si="741"/>
        <v>0</v>
      </c>
      <c r="BC453" s="171">
        <f t="shared" si="741"/>
        <v>0</v>
      </c>
      <c r="BD453" s="171">
        <f t="shared" si="741"/>
        <v>0</v>
      </c>
      <c r="BE453" s="171">
        <f t="shared" si="742"/>
        <v>0</v>
      </c>
      <c r="BF453" s="171">
        <f t="shared" si="742"/>
        <v>0</v>
      </c>
      <c r="BG453" s="171">
        <f t="shared" si="742"/>
        <v>0</v>
      </c>
      <c r="BH453" s="171">
        <f t="shared" si="742"/>
        <v>0</v>
      </c>
      <c r="BI453" s="171">
        <f t="shared" si="742"/>
        <v>0</v>
      </c>
      <c r="BJ453" s="171">
        <f t="shared" si="742"/>
        <v>0</v>
      </c>
      <c r="BK453" s="171">
        <f t="shared" si="742"/>
        <v>0</v>
      </c>
      <c r="BL453" s="171">
        <f t="shared" si="742"/>
        <v>0</v>
      </c>
      <c r="BM453" s="171">
        <f t="shared" si="742"/>
        <v>0</v>
      </c>
      <c r="BN453" s="171">
        <f t="shared" si="742"/>
        <v>0</v>
      </c>
      <c r="BO453" s="171">
        <f t="shared" si="743"/>
        <v>0</v>
      </c>
      <c r="BP453" s="171">
        <f t="shared" si="743"/>
        <v>0</v>
      </c>
      <c r="BQ453" s="171">
        <f t="shared" si="743"/>
        <v>0</v>
      </c>
      <c r="BR453" s="171">
        <f t="shared" si="743"/>
        <v>0</v>
      </c>
      <c r="BS453" s="171">
        <f t="shared" si="743"/>
        <v>0</v>
      </c>
      <c r="BT453" s="171">
        <f t="shared" si="743"/>
        <v>0</v>
      </c>
      <c r="BU453" s="171">
        <f t="shared" si="743"/>
        <v>0</v>
      </c>
      <c r="BV453" s="171">
        <f t="shared" si="743"/>
        <v>0</v>
      </c>
      <c r="BW453" s="171">
        <f t="shared" si="743"/>
        <v>0</v>
      </c>
      <c r="BX453" s="171">
        <f t="shared" si="743"/>
        <v>0</v>
      </c>
      <c r="BY453" s="171">
        <f t="shared" si="744"/>
        <v>0</v>
      </c>
      <c r="BZ453" s="171">
        <f t="shared" si="744"/>
        <v>0</v>
      </c>
      <c r="CA453" s="171">
        <f t="shared" si="744"/>
        <v>0</v>
      </c>
      <c r="CB453" s="171">
        <f t="shared" si="744"/>
        <v>0</v>
      </c>
      <c r="CC453" s="171">
        <f t="shared" si="744"/>
        <v>0</v>
      </c>
      <c r="CD453" s="171">
        <f t="shared" si="744"/>
        <v>0</v>
      </c>
      <c r="CE453" s="171">
        <f t="shared" si="744"/>
        <v>0</v>
      </c>
      <c r="CF453" s="171">
        <f t="shared" si="744"/>
        <v>0</v>
      </c>
      <c r="CG453" s="171">
        <f t="shared" si="744"/>
        <v>0</v>
      </c>
      <c r="CH453" s="171">
        <f t="shared" si="744"/>
        <v>0</v>
      </c>
      <c r="CI453" s="171">
        <f t="shared" si="744"/>
        <v>0</v>
      </c>
      <c r="CJ453" s="243"/>
      <c r="CK453" s="171">
        <f t="shared" si="671"/>
        <v>0</v>
      </c>
      <c r="CL453" s="171">
        <f t="shared" si="672"/>
        <v>0</v>
      </c>
      <c r="CM453" s="171">
        <f t="shared" si="673"/>
        <v>0</v>
      </c>
      <c r="CN453" s="171">
        <f t="shared" si="674"/>
        <v>0</v>
      </c>
      <c r="CO453" s="171">
        <f t="shared" si="675"/>
        <v>0</v>
      </c>
      <c r="CP453" s="171">
        <f t="shared" si="676"/>
        <v>0</v>
      </c>
      <c r="CQ453" s="171">
        <f t="shared" si="677"/>
        <v>0</v>
      </c>
      <c r="CR453" s="171">
        <f t="shared" si="678"/>
        <v>0</v>
      </c>
      <c r="CS453" s="171">
        <f t="shared" si="679"/>
        <v>0</v>
      </c>
      <c r="CT453" s="171">
        <f t="shared" si="680"/>
        <v>0</v>
      </c>
      <c r="CU453" s="171">
        <f t="shared" si="681"/>
        <v>0</v>
      </c>
      <c r="CV453" s="171">
        <f t="shared" si="682"/>
        <v>0</v>
      </c>
      <c r="CW453" s="171">
        <f t="shared" si="683"/>
        <v>0</v>
      </c>
      <c r="CX453" s="171">
        <f t="shared" si="684"/>
        <v>0</v>
      </c>
      <c r="CY453" s="171">
        <f t="shared" ca="1" si="685"/>
        <v>0</v>
      </c>
      <c r="CZ453" s="171">
        <f t="shared" ca="1" si="686"/>
        <v>0</v>
      </c>
      <c r="DA453" s="171">
        <f t="shared" ca="1" si="687"/>
        <v>0</v>
      </c>
      <c r="DB453" s="171">
        <f t="shared" ca="1" si="688"/>
        <v>0</v>
      </c>
      <c r="DC453" s="171">
        <f t="shared" ca="1" si="689"/>
        <v>0</v>
      </c>
      <c r="DD453" s="171">
        <f t="shared" ca="1" si="690"/>
        <v>0</v>
      </c>
      <c r="DE453" s="171">
        <f t="shared" ca="1" si="691"/>
        <v>0</v>
      </c>
      <c r="DF453" s="171">
        <f t="shared" ca="1" si="692"/>
        <v>0</v>
      </c>
      <c r="DG453" s="171">
        <f t="shared" ca="1" si="693"/>
        <v>0</v>
      </c>
      <c r="DH453" s="171">
        <f t="shared" ca="1" si="694"/>
        <v>0</v>
      </c>
      <c r="DI453" s="171">
        <f t="shared" ca="1" si="695"/>
        <v>0</v>
      </c>
      <c r="DJ453" s="171">
        <f t="shared" ca="1" si="696"/>
        <v>0</v>
      </c>
      <c r="DK453" s="171">
        <f t="shared" ca="1" si="697"/>
        <v>0</v>
      </c>
      <c r="DL453" s="171">
        <f t="shared" ca="1" si="698"/>
        <v>0</v>
      </c>
      <c r="DM453" s="171">
        <f t="shared" ca="1" si="699"/>
        <v>0</v>
      </c>
      <c r="DN453" s="171">
        <f t="shared" ca="1" si="700"/>
        <v>0</v>
      </c>
      <c r="DO453" s="171">
        <f t="shared" ca="1" si="701"/>
        <v>0</v>
      </c>
      <c r="DP453" s="171">
        <f t="shared" ca="1" si="702"/>
        <v>0</v>
      </c>
      <c r="DQ453" s="171">
        <f t="shared" ca="1" si="703"/>
        <v>0</v>
      </c>
      <c r="DR453" s="171">
        <f t="shared" ca="1" si="704"/>
        <v>0</v>
      </c>
      <c r="DS453" s="171">
        <f t="shared" ca="1" si="705"/>
        <v>0</v>
      </c>
      <c r="DT453" s="171">
        <f t="shared" ca="1" si="706"/>
        <v>0</v>
      </c>
      <c r="DU453" s="171">
        <f t="shared" ca="1" si="707"/>
        <v>0</v>
      </c>
      <c r="DV453" s="171">
        <f t="shared" ca="1" si="708"/>
        <v>0</v>
      </c>
      <c r="DW453" s="171">
        <f t="shared" ca="1" si="709"/>
        <v>0</v>
      </c>
      <c r="DX453" s="171">
        <f t="shared" ca="1" si="710"/>
        <v>0</v>
      </c>
      <c r="DY453" s="171">
        <f t="shared" ca="1" si="711"/>
        <v>0</v>
      </c>
      <c r="DZ453" s="171">
        <f t="shared" ca="1" si="712"/>
        <v>0</v>
      </c>
      <c r="EA453" s="171">
        <f t="shared" ca="1" si="713"/>
        <v>0</v>
      </c>
      <c r="EB453" s="171">
        <f t="shared" ca="1" si="714"/>
        <v>0</v>
      </c>
      <c r="EC453" s="171">
        <f t="shared" ca="1" si="715"/>
        <v>0</v>
      </c>
      <c r="ED453" s="171">
        <f t="shared" ca="1" si="716"/>
        <v>0</v>
      </c>
      <c r="EE453" s="171">
        <f t="shared" ca="1" si="717"/>
        <v>0</v>
      </c>
      <c r="EF453" s="171">
        <f t="shared" ca="1" si="718"/>
        <v>0</v>
      </c>
      <c r="EG453" s="171">
        <f t="shared" ca="1" si="719"/>
        <v>0</v>
      </c>
      <c r="EH453" s="171">
        <f t="shared" ca="1" si="720"/>
        <v>0</v>
      </c>
      <c r="EI453" s="171">
        <f t="shared" ca="1" si="721"/>
        <v>0</v>
      </c>
      <c r="EJ453" s="171">
        <f t="shared" ca="1" si="722"/>
        <v>0</v>
      </c>
      <c r="EK453" s="171">
        <f t="shared" ca="1" si="723"/>
        <v>0</v>
      </c>
      <c r="EL453" s="171">
        <f t="shared" ca="1" si="724"/>
        <v>0</v>
      </c>
      <c r="EM453" s="171">
        <f t="shared" ca="1" si="725"/>
        <v>0</v>
      </c>
      <c r="EN453" s="171">
        <f t="shared" ca="1" si="726"/>
        <v>0</v>
      </c>
      <c r="EO453" s="171">
        <f t="shared" ca="1" si="727"/>
        <v>0</v>
      </c>
      <c r="EP453" s="171">
        <f t="shared" ca="1" si="728"/>
        <v>0</v>
      </c>
      <c r="EQ453" s="171">
        <f t="shared" ca="1" si="729"/>
        <v>0</v>
      </c>
      <c r="ER453" s="171">
        <f t="shared" ca="1" si="730"/>
        <v>0</v>
      </c>
      <c r="ES453" s="171">
        <f t="shared" ca="1" si="731"/>
        <v>0</v>
      </c>
    </row>
    <row r="454" spans="3:149">
      <c r="C454" s="214"/>
      <c r="L454" s="163"/>
      <c r="M454" s="164" t="str">
        <f t="shared" si="662"/>
        <v/>
      </c>
      <c r="N454" s="164" t="str">
        <f t="shared" si="663"/>
        <v/>
      </c>
      <c r="O454" s="165" t="str">
        <f t="shared" si="664"/>
        <v/>
      </c>
      <c r="R454" s="168"/>
      <c r="U454" s="171">
        <f t="shared" si="665"/>
        <v>0</v>
      </c>
      <c r="V454" s="171">
        <f t="shared" ca="1" si="666"/>
        <v>0</v>
      </c>
      <c r="W454" s="171">
        <f t="shared" ca="1" si="667"/>
        <v>0</v>
      </c>
      <c r="X454" s="172">
        <f t="shared" si="668"/>
        <v>0</v>
      </c>
      <c r="Y454" s="172" t="str">
        <f t="shared" si="669"/>
        <v/>
      </c>
      <c r="Z454" s="173">
        <f t="shared" si="670"/>
        <v>0</v>
      </c>
      <c r="AA454" s="171">
        <f t="shared" si="739"/>
        <v>0</v>
      </c>
      <c r="AB454" s="171">
        <f t="shared" si="739"/>
        <v>0</v>
      </c>
      <c r="AC454" s="171">
        <f t="shared" si="739"/>
        <v>0</v>
      </c>
      <c r="AD454" s="171">
        <f t="shared" si="739"/>
        <v>0</v>
      </c>
      <c r="AE454" s="171">
        <f t="shared" si="739"/>
        <v>0</v>
      </c>
      <c r="AF454" s="171">
        <f t="shared" si="739"/>
        <v>0</v>
      </c>
      <c r="AG454" s="171">
        <f t="shared" si="739"/>
        <v>0</v>
      </c>
      <c r="AH454" s="171">
        <f t="shared" si="739"/>
        <v>0</v>
      </c>
      <c r="AI454" s="171">
        <f t="shared" si="739"/>
        <v>0</v>
      </c>
      <c r="AJ454" s="171">
        <f t="shared" si="739"/>
        <v>0</v>
      </c>
      <c r="AK454" s="171">
        <f t="shared" si="740"/>
        <v>0</v>
      </c>
      <c r="AL454" s="171">
        <f t="shared" si="740"/>
        <v>0</v>
      </c>
      <c r="AM454" s="171">
        <f t="shared" si="740"/>
        <v>0</v>
      </c>
      <c r="AN454" s="171">
        <f t="shared" si="740"/>
        <v>0</v>
      </c>
      <c r="AO454" s="171">
        <f t="shared" si="740"/>
        <v>0</v>
      </c>
      <c r="AP454" s="171">
        <f t="shared" si="740"/>
        <v>0</v>
      </c>
      <c r="AQ454" s="171">
        <f t="shared" si="740"/>
        <v>0</v>
      </c>
      <c r="AR454" s="171">
        <f t="shared" si="740"/>
        <v>0</v>
      </c>
      <c r="AS454" s="171">
        <f t="shared" si="740"/>
        <v>0</v>
      </c>
      <c r="AT454" s="171">
        <f t="shared" si="740"/>
        <v>0</v>
      </c>
      <c r="AU454" s="171">
        <f t="shared" si="741"/>
        <v>0</v>
      </c>
      <c r="AV454" s="171">
        <f t="shared" si="741"/>
        <v>0</v>
      </c>
      <c r="AW454" s="171">
        <f t="shared" si="741"/>
        <v>0</v>
      </c>
      <c r="AX454" s="171">
        <f t="shared" si="741"/>
        <v>0</v>
      </c>
      <c r="AY454" s="171">
        <f t="shared" si="741"/>
        <v>0</v>
      </c>
      <c r="AZ454" s="171">
        <f t="shared" si="741"/>
        <v>0</v>
      </c>
      <c r="BA454" s="171">
        <f t="shared" si="741"/>
        <v>0</v>
      </c>
      <c r="BB454" s="171">
        <f t="shared" si="741"/>
        <v>0</v>
      </c>
      <c r="BC454" s="171">
        <f t="shared" si="741"/>
        <v>0</v>
      </c>
      <c r="BD454" s="171">
        <f t="shared" si="741"/>
        <v>0</v>
      </c>
      <c r="BE454" s="171">
        <f t="shared" si="742"/>
        <v>0</v>
      </c>
      <c r="BF454" s="171">
        <f t="shared" si="742"/>
        <v>0</v>
      </c>
      <c r="BG454" s="171">
        <f t="shared" si="742"/>
        <v>0</v>
      </c>
      <c r="BH454" s="171">
        <f t="shared" si="742"/>
        <v>0</v>
      </c>
      <c r="BI454" s="171">
        <f t="shared" si="742"/>
        <v>0</v>
      </c>
      <c r="BJ454" s="171">
        <f t="shared" si="742"/>
        <v>0</v>
      </c>
      <c r="BK454" s="171">
        <f t="shared" si="742"/>
        <v>0</v>
      </c>
      <c r="BL454" s="171">
        <f t="shared" si="742"/>
        <v>0</v>
      </c>
      <c r="BM454" s="171">
        <f t="shared" si="742"/>
        <v>0</v>
      </c>
      <c r="BN454" s="171">
        <f t="shared" si="742"/>
        <v>0</v>
      </c>
      <c r="BO454" s="171">
        <f t="shared" si="743"/>
        <v>0</v>
      </c>
      <c r="BP454" s="171">
        <f t="shared" si="743"/>
        <v>0</v>
      </c>
      <c r="BQ454" s="171">
        <f t="shared" si="743"/>
        <v>0</v>
      </c>
      <c r="BR454" s="171">
        <f t="shared" si="743"/>
        <v>0</v>
      </c>
      <c r="BS454" s="171">
        <f t="shared" si="743"/>
        <v>0</v>
      </c>
      <c r="BT454" s="171">
        <f t="shared" si="743"/>
        <v>0</v>
      </c>
      <c r="BU454" s="171">
        <f t="shared" si="743"/>
        <v>0</v>
      </c>
      <c r="BV454" s="171">
        <f t="shared" si="743"/>
        <v>0</v>
      </c>
      <c r="BW454" s="171">
        <f t="shared" si="743"/>
        <v>0</v>
      </c>
      <c r="BX454" s="171">
        <f t="shared" si="743"/>
        <v>0</v>
      </c>
      <c r="BY454" s="171">
        <f t="shared" si="744"/>
        <v>0</v>
      </c>
      <c r="BZ454" s="171">
        <f t="shared" si="744"/>
        <v>0</v>
      </c>
      <c r="CA454" s="171">
        <f t="shared" si="744"/>
        <v>0</v>
      </c>
      <c r="CB454" s="171">
        <f t="shared" si="744"/>
        <v>0</v>
      </c>
      <c r="CC454" s="171">
        <f t="shared" si="744"/>
        <v>0</v>
      </c>
      <c r="CD454" s="171">
        <f t="shared" si="744"/>
        <v>0</v>
      </c>
      <c r="CE454" s="171">
        <f t="shared" si="744"/>
        <v>0</v>
      </c>
      <c r="CF454" s="171">
        <f t="shared" si="744"/>
        <v>0</v>
      </c>
      <c r="CG454" s="171">
        <f t="shared" si="744"/>
        <v>0</v>
      </c>
      <c r="CH454" s="171">
        <f t="shared" si="744"/>
        <v>0</v>
      </c>
      <c r="CI454" s="171">
        <f t="shared" si="744"/>
        <v>0</v>
      </c>
      <c r="CJ454" s="243"/>
      <c r="CK454" s="171">
        <f t="shared" si="671"/>
        <v>0</v>
      </c>
      <c r="CL454" s="171">
        <f t="shared" si="672"/>
        <v>0</v>
      </c>
      <c r="CM454" s="171">
        <f t="shared" si="673"/>
        <v>0</v>
      </c>
      <c r="CN454" s="171">
        <f t="shared" si="674"/>
        <v>0</v>
      </c>
      <c r="CO454" s="171">
        <f t="shared" si="675"/>
        <v>0</v>
      </c>
      <c r="CP454" s="171">
        <f t="shared" si="676"/>
        <v>0</v>
      </c>
      <c r="CQ454" s="171">
        <f t="shared" si="677"/>
        <v>0</v>
      </c>
      <c r="CR454" s="171">
        <f t="shared" si="678"/>
        <v>0</v>
      </c>
      <c r="CS454" s="171">
        <f t="shared" si="679"/>
        <v>0</v>
      </c>
      <c r="CT454" s="171">
        <f t="shared" si="680"/>
        <v>0</v>
      </c>
      <c r="CU454" s="171">
        <f t="shared" si="681"/>
        <v>0</v>
      </c>
      <c r="CV454" s="171">
        <f t="shared" si="682"/>
        <v>0</v>
      </c>
      <c r="CW454" s="171">
        <f t="shared" si="683"/>
        <v>0</v>
      </c>
      <c r="CX454" s="171">
        <f t="shared" si="684"/>
        <v>0</v>
      </c>
      <c r="CY454" s="171">
        <f t="shared" ca="1" si="685"/>
        <v>0</v>
      </c>
      <c r="CZ454" s="171">
        <f t="shared" ca="1" si="686"/>
        <v>0</v>
      </c>
      <c r="DA454" s="171">
        <f t="shared" ca="1" si="687"/>
        <v>0</v>
      </c>
      <c r="DB454" s="171">
        <f t="shared" ca="1" si="688"/>
        <v>0</v>
      </c>
      <c r="DC454" s="171">
        <f t="shared" ca="1" si="689"/>
        <v>0</v>
      </c>
      <c r="DD454" s="171">
        <f t="shared" ca="1" si="690"/>
        <v>0</v>
      </c>
      <c r="DE454" s="171">
        <f t="shared" ca="1" si="691"/>
        <v>0</v>
      </c>
      <c r="DF454" s="171">
        <f t="shared" ca="1" si="692"/>
        <v>0</v>
      </c>
      <c r="DG454" s="171">
        <f t="shared" ca="1" si="693"/>
        <v>0</v>
      </c>
      <c r="DH454" s="171">
        <f t="shared" ca="1" si="694"/>
        <v>0</v>
      </c>
      <c r="DI454" s="171">
        <f t="shared" ca="1" si="695"/>
        <v>0</v>
      </c>
      <c r="DJ454" s="171">
        <f t="shared" ca="1" si="696"/>
        <v>0</v>
      </c>
      <c r="DK454" s="171">
        <f t="shared" ca="1" si="697"/>
        <v>0</v>
      </c>
      <c r="DL454" s="171">
        <f t="shared" ca="1" si="698"/>
        <v>0</v>
      </c>
      <c r="DM454" s="171">
        <f t="shared" ca="1" si="699"/>
        <v>0</v>
      </c>
      <c r="DN454" s="171">
        <f t="shared" ca="1" si="700"/>
        <v>0</v>
      </c>
      <c r="DO454" s="171">
        <f t="shared" ca="1" si="701"/>
        <v>0</v>
      </c>
      <c r="DP454" s="171">
        <f t="shared" ca="1" si="702"/>
        <v>0</v>
      </c>
      <c r="DQ454" s="171">
        <f t="shared" ca="1" si="703"/>
        <v>0</v>
      </c>
      <c r="DR454" s="171">
        <f t="shared" ca="1" si="704"/>
        <v>0</v>
      </c>
      <c r="DS454" s="171">
        <f t="shared" ca="1" si="705"/>
        <v>0</v>
      </c>
      <c r="DT454" s="171">
        <f t="shared" ca="1" si="706"/>
        <v>0</v>
      </c>
      <c r="DU454" s="171">
        <f t="shared" ca="1" si="707"/>
        <v>0</v>
      </c>
      <c r="DV454" s="171">
        <f t="shared" ca="1" si="708"/>
        <v>0</v>
      </c>
      <c r="DW454" s="171">
        <f t="shared" ca="1" si="709"/>
        <v>0</v>
      </c>
      <c r="DX454" s="171">
        <f t="shared" ca="1" si="710"/>
        <v>0</v>
      </c>
      <c r="DY454" s="171">
        <f t="shared" ca="1" si="711"/>
        <v>0</v>
      </c>
      <c r="DZ454" s="171">
        <f t="shared" ca="1" si="712"/>
        <v>0</v>
      </c>
      <c r="EA454" s="171">
        <f t="shared" ca="1" si="713"/>
        <v>0</v>
      </c>
      <c r="EB454" s="171">
        <f t="shared" ca="1" si="714"/>
        <v>0</v>
      </c>
      <c r="EC454" s="171">
        <f t="shared" ca="1" si="715"/>
        <v>0</v>
      </c>
      <c r="ED454" s="171">
        <f t="shared" ca="1" si="716"/>
        <v>0</v>
      </c>
      <c r="EE454" s="171">
        <f t="shared" ca="1" si="717"/>
        <v>0</v>
      </c>
      <c r="EF454" s="171">
        <f t="shared" ca="1" si="718"/>
        <v>0</v>
      </c>
      <c r="EG454" s="171">
        <f t="shared" ca="1" si="719"/>
        <v>0</v>
      </c>
      <c r="EH454" s="171">
        <f t="shared" ca="1" si="720"/>
        <v>0</v>
      </c>
      <c r="EI454" s="171">
        <f t="shared" ca="1" si="721"/>
        <v>0</v>
      </c>
      <c r="EJ454" s="171">
        <f t="shared" ca="1" si="722"/>
        <v>0</v>
      </c>
      <c r="EK454" s="171">
        <f t="shared" ca="1" si="723"/>
        <v>0</v>
      </c>
      <c r="EL454" s="171">
        <f t="shared" ca="1" si="724"/>
        <v>0</v>
      </c>
      <c r="EM454" s="171">
        <f t="shared" ca="1" si="725"/>
        <v>0</v>
      </c>
      <c r="EN454" s="171">
        <f t="shared" ca="1" si="726"/>
        <v>0</v>
      </c>
      <c r="EO454" s="171">
        <f t="shared" ca="1" si="727"/>
        <v>0</v>
      </c>
      <c r="EP454" s="171">
        <f t="shared" ca="1" si="728"/>
        <v>0</v>
      </c>
      <c r="EQ454" s="171">
        <f t="shared" ca="1" si="729"/>
        <v>0</v>
      </c>
      <c r="ER454" s="171">
        <f t="shared" ca="1" si="730"/>
        <v>0</v>
      </c>
      <c r="ES454" s="171">
        <f t="shared" ca="1" si="731"/>
        <v>0</v>
      </c>
    </row>
    <row r="455" spans="3:149">
      <c r="C455" s="214"/>
      <c r="L455" s="163"/>
      <c r="M455" s="164" t="str">
        <f t="shared" si="662"/>
        <v/>
      </c>
      <c r="N455" s="164" t="str">
        <f t="shared" si="663"/>
        <v/>
      </c>
      <c r="O455" s="165" t="str">
        <f t="shared" si="664"/>
        <v/>
      </c>
      <c r="R455" s="168"/>
      <c r="U455" s="171">
        <f t="shared" si="665"/>
        <v>0</v>
      </c>
      <c r="V455" s="171">
        <f t="shared" ca="1" si="666"/>
        <v>0</v>
      </c>
      <c r="W455" s="171">
        <f t="shared" ca="1" si="667"/>
        <v>0</v>
      </c>
      <c r="X455" s="172">
        <f t="shared" si="668"/>
        <v>0</v>
      </c>
      <c r="Y455" s="172" t="str">
        <f t="shared" si="669"/>
        <v/>
      </c>
      <c r="Z455" s="173">
        <f t="shared" si="670"/>
        <v>0</v>
      </c>
      <c r="AA455" s="171">
        <f t="shared" si="739"/>
        <v>0</v>
      </c>
      <c r="AB455" s="171">
        <f t="shared" si="739"/>
        <v>0</v>
      </c>
      <c r="AC455" s="171">
        <f t="shared" si="739"/>
        <v>0</v>
      </c>
      <c r="AD455" s="171">
        <f t="shared" si="739"/>
        <v>0</v>
      </c>
      <c r="AE455" s="171">
        <f t="shared" si="739"/>
        <v>0</v>
      </c>
      <c r="AF455" s="171">
        <f t="shared" si="739"/>
        <v>0</v>
      </c>
      <c r="AG455" s="171">
        <f t="shared" si="739"/>
        <v>0</v>
      </c>
      <c r="AH455" s="171">
        <f t="shared" si="739"/>
        <v>0</v>
      </c>
      <c r="AI455" s="171">
        <f t="shared" si="739"/>
        <v>0</v>
      </c>
      <c r="AJ455" s="171">
        <f t="shared" si="739"/>
        <v>0</v>
      </c>
      <c r="AK455" s="171">
        <f t="shared" si="740"/>
        <v>0</v>
      </c>
      <c r="AL455" s="171">
        <f t="shared" si="740"/>
        <v>0</v>
      </c>
      <c r="AM455" s="171">
        <f t="shared" si="740"/>
        <v>0</v>
      </c>
      <c r="AN455" s="171">
        <f t="shared" si="740"/>
        <v>0</v>
      </c>
      <c r="AO455" s="171">
        <f t="shared" si="740"/>
        <v>0</v>
      </c>
      <c r="AP455" s="171">
        <f t="shared" si="740"/>
        <v>0</v>
      </c>
      <c r="AQ455" s="171">
        <f t="shared" si="740"/>
        <v>0</v>
      </c>
      <c r="AR455" s="171">
        <f t="shared" si="740"/>
        <v>0</v>
      </c>
      <c r="AS455" s="171">
        <f t="shared" si="740"/>
        <v>0</v>
      </c>
      <c r="AT455" s="171">
        <f t="shared" si="740"/>
        <v>0</v>
      </c>
      <c r="AU455" s="171">
        <f t="shared" si="741"/>
        <v>0</v>
      </c>
      <c r="AV455" s="171">
        <f t="shared" si="741"/>
        <v>0</v>
      </c>
      <c r="AW455" s="171">
        <f t="shared" si="741"/>
        <v>0</v>
      </c>
      <c r="AX455" s="171">
        <f t="shared" si="741"/>
        <v>0</v>
      </c>
      <c r="AY455" s="171">
        <f t="shared" si="741"/>
        <v>0</v>
      </c>
      <c r="AZ455" s="171">
        <f t="shared" si="741"/>
        <v>0</v>
      </c>
      <c r="BA455" s="171">
        <f t="shared" si="741"/>
        <v>0</v>
      </c>
      <c r="BB455" s="171">
        <f t="shared" si="741"/>
        <v>0</v>
      </c>
      <c r="BC455" s="171">
        <f t="shared" si="741"/>
        <v>0</v>
      </c>
      <c r="BD455" s="171">
        <f t="shared" si="741"/>
        <v>0</v>
      </c>
      <c r="BE455" s="171">
        <f t="shared" si="742"/>
        <v>0</v>
      </c>
      <c r="BF455" s="171">
        <f t="shared" si="742"/>
        <v>0</v>
      </c>
      <c r="BG455" s="171">
        <f t="shared" si="742"/>
        <v>0</v>
      </c>
      <c r="BH455" s="171">
        <f t="shared" si="742"/>
        <v>0</v>
      </c>
      <c r="BI455" s="171">
        <f t="shared" si="742"/>
        <v>0</v>
      </c>
      <c r="BJ455" s="171">
        <f t="shared" si="742"/>
        <v>0</v>
      </c>
      <c r="BK455" s="171">
        <f t="shared" si="742"/>
        <v>0</v>
      </c>
      <c r="BL455" s="171">
        <f t="shared" si="742"/>
        <v>0</v>
      </c>
      <c r="BM455" s="171">
        <f t="shared" si="742"/>
        <v>0</v>
      </c>
      <c r="BN455" s="171">
        <f t="shared" si="742"/>
        <v>0</v>
      </c>
      <c r="BO455" s="171">
        <f t="shared" si="743"/>
        <v>0</v>
      </c>
      <c r="BP455" s="171">
        <f t="shared" si="743"/>
        <v>0</v>
      </c>
      <c r="BQ455" s="171">
        <f t="shared" si="743"/>
        <v>0</v>
      </c>
      <c r="BR455" s="171">
        <f t="shared" si="743"/>
        <v>0</v>
      </c>
      <c r="BS455" s="171">
        <f t="shared" si="743"/>
        <v>0</v>
      </c>
      <c r="BT455" s="171">
        <f t="shared" si="743"/>
        <v>0</v>
      </c>
      <c r="BU455" s="171">
        <f t="shared" si="743"/>
        <v>0</v>
      </c>
      <c r="BV455" s="171">
        <f t="shared" si="743"/>
        <v>0</v>
      </c>
      <c r="BW455" s="171">
        <f t="shared" si="743"/>
        <v>0</v>
      </c>
      <c r="BX455" s="171">
        <f t="shared" si="743"/>
        <v>0</v>
      </c>
      <c r="BY455" s="171">
        <f t="shared" si="744"/>
        <v>0</v>
      </c>
      <c r="BZ455" s="171">
        <f t="shared" si="744"/>
        <v>0</v>
      </c>
      <c r="CA455" s="171">
        <f t="shared" si="744"/>
        <v>0</v>
      </c>
      <c r="CB455" s="171">
        <f t="shared" si="744"/>
        <v>0</v>
      </c>
      <c r="CC455" s="171">
        <f t="shared" si="744"/>
        <v>0</v>
      </c>
      <c r="CD455" s="171">
        <f t="shared" si="744"/>
        <v>0</v>
      </c>
      <c r="CE455" s="171">
        <f t="shared" si="744"/>
        <v>0</v>
      </c>
      <c r="CF455" s="171">
        <f t="shared" si="744"/>
        <v>0</v>
      </c>
      <c r="CG455" s="171">
        <f t="shared" si="744"/>
        <v>0</v>
      </c>
      <c r="CH455" s="171">
        <f t="shared" si="744"/>
        <v>0</v>
      </c>
      <c r="CI455" s="171">
        <f t="shared" si="744"/>
        <v>0</v>
      </c>
      <c r="CJ455" s="243"/>
      <c r="CK455" s="171">
        <f t="shared" si="671"/>
        <v>0</v>
      </c>
      <c r="CL455" s="171">
        <f t="shared" si="672"/>
        <v>0</v>
      </c>
      <c r="CM455" s="171">
        <f t="shared" si="673"/>
        <v>0</v>
      </c>
      <c r="CN455" s="171">
        <f t="shared" si="674"/>
        <v>0</v>
      </c>
      <c r="CO455" s="171">
        <f t="shared" si="675"/>
        <v>0</v>
      </c>
      <c r="CP455" s="171">
        <f t="shared" si="676"/>
        <v>0</v>
      </c>
      <c r="CQ455" s="171">
        <f t="shared" si="677"/>
        <v>0</v>
      </c>
      <c r="CR455" s="171">
        <f t="shared" si="678"/>
        <v>0</v>
      </c>
      <c r="CS455" s="171">
        <f t="shared" si="679"/>
        <v>0</v>
      </c>
      <c r="CT455" s="171">
        <f t="shared" si="680"/>
        <v>0</v>
      </c>
      <c r="CU455" s="171">
        <f t="shared" si="681"/>
        <v>0</v>
      </c>
      <c r="CV455" s="171">
        <f t="shared" si="682"/>
        <v>0</v>
      </c>
      <c r="CW455" s="171">
        <f t="shared" si="683"/>
        <v>0</v>
      </c>
      <c r="CX455" s="171">
        <f t="shared" si="684"/>
        <v>0</v>
      </c>
      <c r="CY455" s="171">
        <f t="shared" ca="1" si="685"/>
        <v>0</v>
      </c>
      <c r="CZ455" s="171">
        <f t="shared" ca="1" si="686"/>
        <v>0</v>
      </c>
      <c r="DA455" s="171">
        <f t="shared" ca="1" si="687"/>
        <v>0</v>
      </c>
      <c r="DB455" s="171">
        <f t="shared" ca="1" si="688"/>
        <v>0</v>
      </c>
      <c r="DC455" s="171">
        <f t="shared" ca="1" si="689"/>
        <v>0</v>
      </c>
      <c r="DD455" s="171">
        <f t="shared" ca="1" si="690"/>
        <v>0</v>
      </c>
      <c r="DE455" s="171">
        <f t="shared" ca="1" si="691"/>
        <v>0</v>
      </c>
      <c r="DF455" s="171">
        <f t="shared" ca="1" si="692"/>
        <v>0</v>
      </c>
      <c r="DG455" s="171">
        <f t="shared" ca="1" si="693"/>
        <v>0</v>
      </c>
      <c r="DH455" s="171">
        <f t="shared" ca="1" si="694"/>
        <v>0</v>
      </c>
      <c r="DI455" s="171">
        <f t="shared" ca="1" si="695"/>
        <v>0</v>
      </c>
      <c r="DJ455" s="171">
        <f t="shared" ca="1" si="696"/>
        <v>0</v>
      </c>
      <c r="DK455" s="171">
        <f t="shared" ca="1" si="697"/>
        <v>0</v>
      </c>
      <c r="DL455" s="171">
        <f t="shared" ca="1" si="698"/>
        <v>0</v>
      </c>
      <c r="DM455" s="171">
        <f t="shared" ca="1" si="699"/>
        <v>0</v>
      </c>
      <c r="DN455" s="171">
        <f t="shared" ca="1" si="700"/>
        <v>0</v>
      </c>
      <c r="DO455" s="171">
        <f t="shared" ca="1" si="701"/>
        <v>0</v>
      </c>
      <c r="DP455" s="171">
        <f t="shared" ca="1" si="702"/>
        <v>0</v>
      </c>
      <c r="DQ455" s="171">
        <f t="shared" ca="1" si="703"/>
        <v>0</v>
      </c>
      <c r="DR455" s="171">
        <f t="shared" ca="1" si="704"/>
        <v>0</v>
      </c>
      <c r="DS455" s="171">
        <f t="shared" ca="1" si="705"/>
        <v>0</v>
      </c>
      <c r="DT455" s="171">
        <f t="shared" ca="1" si="706"/>
        <v>0</v>
      </c>
      <c r="DU455" s="171">
        <f t="shared" ca="1" si="707"/>
        <v>0</v>
      </c>
      <c r="DV455" s="171">
        <f t="shared" ca="1" si="708"/>
        <v>0</v>
      </c>
      <c r="DW455" s="171">
        <f t="shared" ca="1" si="709"/>
        <v>0</v>
      </c>
      <c r="DX455" s="171">
        <f t="shared" ca="1" si="710"/>
        <v>0</v>
      </c>
      <c r="DY455" s="171">
        <f t="shared" ca="1" si="711"/>
        <v>0</v>
      </c>
      <c r="DZ455" s="171">
        <f t="shared" ca="1" si="712"/>
        <v>0</v>
      </c>
      <c r="EA455" s="171">
        <f t="shared" ca="1" si="713"/>
        <v>0</v>
      </c>
      <c r="EB455" s="171">
        <f t="shared" ca="1" si="714"/>
        <v>0</v>
      </c>
      <c r="EC455" s="171">
        <f t="shared" ca="1" si="715"/>
        <v>0</v>
      </c>
      <c r="ED455" s="171">
        <f t="shared" ca="1" si="716"/>
        <v>0</v>
      </c>
      <c r="EE455" s="171">
        <f t="shared" ca="1" si="717"/>
        <v>0</v>
      </c>
      <c r="EF455" s="171">
        <f t="shared" ca="1" si="718"/>
        <v>0</v>
      </c>
      <c r="EG455" s="171">
        <f t="shared" ca="1" si="719"/>
        <v>0</v>
      </c>
      <c r="EH455" s="171">
        <f t="shared" ca="1" si="720"/>
        <v>0</v>
      </c>
      <c r="EI455" s="171">
        <f t="shared" ca="1" si="721"/>
        <v>0</v>
      </c>
      <c r="EJ455" s="171">
        <f t="shared" ca="1" si="722"/>
        <v>0</v>
      </c>
      <c r="EK455" s="171">
        <f t="shared" ca="1" si="723"/>
        <v>0</v>
      </c>
      <c r="EL455" s="171">
        <f t="shared" ca="1" si="724"/>
        <v>0</v>
      </c>
      <c r="EM455" s="171">
        <f t="shared" ca="1" si="725"/>
        <v>0</v>
      </c>
      <c r="EN455" s="171">
        <f t="shared" ca="1" si="726"/>
        <v>0</v>
      </c>
      <c r="EO455" s="171">
        <f t="shared" ca="1" si="727"/>
        <v>0</v>
      </c>
      <c r="EP455" s="171">
        <f t="shared" ca="1" si="728"/>
        <v>0</v>
      </c>
      <c r="EQ455" s="171">
        <f t="shared" ca="1" si="729"/>
        <v>0</v>
      </c>
      <c r="ER455" s="171">
        <f t="shared" ca="1" si="730"/>
        <v>0</v>
      </c>
      <c r="ES455" s="171">
        <f t="shared" ca="1" si="731"/>
        <v>0</v>
      </c>
    </row>
    <row r="456" spans="3:149">
      <c r="C456" s="214"/>
      <c r="L456" s="163"/>
      <c r="M456" s="164" t="str">
        <f t="shared" si="662"/>
        <v/>
      </c>
      <c r="N456" s="164" t="str">
        <f t="shared" si="663"/>
        <v/>
      </c>
      <c r="O456" s="165" t="str">
        <f t="shared" si="664"/>
        <v/>
      </c>
      <c r="R456" s="168"/>
      <c r="U456" s="171">
        <f t="shared" si="665"/>
        <v>0</v>
      </c>
      <c r="V456" s="171">
        <f t="shared" ca="1" si="666"/>
        <v>0</v>
      </c>
      <c r="W456" s="171">
        <f t="shared" ca="1" si="667"/>
        <v>0</v>
      </c>
      <c r="X456" s="172">
        <f t="shared" si="668"/>
        <v>0</v>
      </c>
      <c r="Y456" s="172" t="str">
        <f t="shared" si="669"/>
        <v/>
      </c>
      <c r="Z456" s="173">
        <f t="shared" si="670"/>
        <v>0</v>
      </c>
      <c r="AA456" s="171">
        <f t="shared" si="739"/>
        <v>0</v>
      </c>
      <c r="AB456" s="171">
        <f t="shared" si="739"/>
        <v>0</v>
      </c>
      <c r="AC456" s="171">
        <f t="shared" si="739"/>
        <v>0</v>
      </c>
      <c r="AD456" s="171">
        <f t="shared" si="739"/>
        <v>0</v>
      </c>
      <c r="AE456" s="171">
        <f t="shared" si="739"/>
        <v>0</v>
      </c>
      <c r="AF456" s="171">
        <f t="shared" si="739"/>
        <v>0</v>
      </c>
      <c r="AG456" s="171">
        <f t="shared" si="739"/>
        <v>0</v>
      </c>
      <c r="AH456" s="171">
        <f t="shared" si="739"/>
        <v>0</v>
      </c>
      <c r="AI456" s="171">
        <f t="shared" si="739"/>
        <v>0</v>
      </c>
      <c r="AJ456" s="171">
        <f t="shared" si="739"/>
        <v>0</v>
      </c>
      <c r="AK456" s="171">
        <f t="shared" si="740"/>
        <v>0</v>
      </c>
      <c r="AL456" s="171">
        <f t="shared" si="740"/>
        <v>0</v>
      </c>
      <c r="AM456" s="171">
        <f t="shared" si="740"/>
        <v>0</v>
      </c>
      <c r="AN456" s="171">
        <f t="shared" si="740"/>
        <v>0</v>
      </c>
      <c r="AO456" s="171">
        <f t="shared" si="740"/>
        <v>0</v>
      </c>
      <c r="AP456" s="171">
        <f t="shared" si="740"/>
        <v>0</v>
      </c>
      <c r="AQ456" s="171">
        <f t="shared" si="740"/>
        <v>0</v>
      </c>
      <c r="AR456" s="171">
        <f t="shared" si="740"/>
        <v>0</v>
      </c>
      <c r="AS456" s="171">
        <f t="shared" si="740"/>
        <v>0</v>
      </c>
      <c r="AT456" s="171">
        <f t="shared" si="740"/>
        <v>0</v>
      </c>
      <c r="AU456" s="171">
        <f t="shared" si="741"/>
        <v>0</v>
      </c>
      <c r="AV456" s="171">
        <f t="shared" si="741"/>
        <v>0</v>
      </c>
      <c r="AW456" s="171">
        <f t="shared" si="741"/>
        <v>0</v>
      </c>
      <c r="AX456" s="171">
        <f t="shared" si="741"/>
        <v>0</v>
      </c>
      <c r="AY456" s="171">
        <f t="shared" si="741"/>
        <v>0</v>
      </c>
      <c r="AZ456" s="171">
        <f t="shared" si="741"/>
        <v>0</v>
      </c>
      <c r="BA456" s="171">
        <f t="shared" si="741"/>
        <v>0</v>
      </c>
      <c r="BB456" s="171">
        <f t="shared" si="741"/>
        <v>0</v>
      </c>
      <c r="BC456" s="171">
        <f t="shared" si="741"/>
        <v>0</v>
      </c>
      <c r="BD456" s="171">
        <f t="shared" si="741"/>
        <v>0</v>
      </c>
      <c r="BE456" s="171">
        <f t="shared" si="742"/>
        <v>0</v>
      </c>
      <c r="BF456" s="171">
        <f t="shared" si="742"/>
        <v>0</v>
      </c>
      <c r="BG456" s="171">
        <f t="shared" si="742"/>
        <v>0</v>
      </c>
      <c r="BH456" s="171">
        <f t="shared" si="742"/>
        <v>0</v>
      </c>
      <c r="BI456" s="171">
        <f t="shared" si="742"/>
        <v>0</v>
      </c>
      <c r="BJ456" s="171">
        <f t="shared" si="742"/>
        <v>0</v>
      </c>
      <c r="BK456" s="171">
        <f t="shared" si="742"/>
        <v>0</v>
      </c>
      <c r="BL456" s="171">
        <f t="shared" si="742"/>
        <v>0</v>
      </c>
      <c r="BM456" s="171">
        <f t="shared" si="742"/>
        <v>0</v>
      </c>
      <c r="BN456" s="171">
        <f t="shared" si="742"/>
        <v>0</v>
      </c>
      <c r="BO456" s="171">
        <f t="shared" si="743"/>
        <v>0</v>
      </c>
      <c r="BP456" s="171">
        <f t="shared" si="743"/>
        <v>0</v>
      </c>
      <c r="BQ456" s="171">
        <f t="shared" si="743"/>
        <v>0</v>
      </c>
      <c r="BR456" s="171">
        <f t="shared" si="743"/>
        <v>0</v>
      </c>
      <c r="BS456" s="171">
        <f t="shared" si="743"/>
        <v>0</v>
      </c>
      <c r="BT456" s="171">
        <f t="shared" si="743"/>
        <v>0</v>
      </c>
      <c r="BU456" s="171">
        <f t="shared" si="743"/>
        <v>0</v>
      </c>
      <c r="BV456" s="171">
        <f t="shared" si="743"/>
        <v>0</v>
      </c>
      <c r="BW456" s="171">
        <f t="shared" si="743"/>
        <v>0</v>
      </c>
      <c r="BX456" s="171">
        <f t="shared" si="743"/>
        <v>0</v>
      </c>
      <c r="BY456" s="171">
        <f t="shared" si="744"/>
        <v>0</v>
      </c>
      <c r="BZ456" s="171">
        <f t="shared" si="744"/>
        <v>0</v>
      </c>
      <c r="CA456" s="171">
        <f t="shared" si="744"/>
        <v>0</v>
      </c>
      <c r="CB456" s="171">
        <f t="shared" si="744"/>
        <v>0</v>
      </c>
      <c r="CC456" s="171">
        <f t="shared" si="744"/>
        <v>0</v>
      </c>
      <c r="CD456" s="171">
        <f t="shared" si="744"/>
        <v>0</v>
      </c>
      <c r="CE456" s="171">
        <f t="shared" si="744"/>
        <v>0</v>
      </c>
      <c r="CF456" s="171">
        <f t="shared" si="744"/>
        <v>0</v>
      </c>
      <c r="CG456" s="171">
        <f t="shared" si="744"/>
        <v>0</v>
      </c>
      <c r="CH456" s="171">
        <f t="shared" si="744"/>
        <v>0</v>
      </c>
      <c r="CI456" s="171">
        <f t="shared" si="744"/>
        <v>0</v>
      </c>
      <c r="CJ456" s="243"/>
      <c r="CK456" s="171">
        <f t="shared" si="671"/>
        <v>0</v>
      </c>
      <c r="CL456" s="171">
        <f t="shared" si="672"/>
        <v>0</v>
      </c>
      <c r="CM456" s="171">
        <f t="shared" si="673"/>
        <v>0</v>
      </c>
      <c r="CN456" s="171">
        <f t="shared" si="674"/>
        <v>0</v>
      </c>
      <c r="CO456" s="171">
        <f t="shared" si="675"/>
        <v>0</v>
      </c>
      <c r="CP456" s="171">
        <f t="shared" si="676"/>
        <v>0</v>
      </c>
      <c r="CQ456" s="171">
        <f t="shared" si="677"/>
        <v>0</v>
      </c>
      <c r="CR456" s="171">
        <f t="shared" si="678"/>
        <v>0</v>
      </c>
      <c r="CS456" s="171">
        <f t="shared" si="679"/>
        <v>0</v>
      </c>
      <c r="CT456" s="171">
        <f t="shared" si="680"/>
        <v>0</v>
      </c>
      <c r="CU456" s="171">
        <f t="shared" si="681"/>
        <v>0</v>
      </c>
      <c r="CV456" s="171">
        <f t="shared" si="682"/>
        <v>0</v>
      </c>
      <c r="CW456" s="171">
        <f t="shared" si="683"/>
        <v>0</v>
      </c>
      <c r="CX456" s="171">
        <f t="shared" si="684"/>
        <v>0</v>
      </c>
      <c r="CY456" s="171">
        <f t="shared" ca="1" si="685"/>
        <v>0</v>
      </c>
      <c r="CZ456" s="171">
        <f t="shared" ca="1" si="686"/>
        <v>0</v>
      </c>
      <c r="DA456" s="171">
        <f t="shared" ca="1" si="687"/>
        <v>0</v>
      </c>
      <c r="DB456" s="171">
        <f t="shared" ca="1" si="688"/>
        <v>0</v>
      </c>
      <c r="DC456" s="171">
        <f t="shared" ca="1" si="689"/>
        <v>0</v>
      </c>
      <c r="DD456" s="171">
        <f t="shared" ca="1" si="690"/>
        <v>0</v>
      </c>
      <c r="DE456" s="171">
        <f t="shared" ca="1" si="691"/>
        <v>0</v>
      </c>
      <c r="DF456" s="171">
        <f t="shared" ca="1" si="692"/>
        <v>0</v>
      </c>
      <c r="DG456" s="171">
        <f t="shared" ca="1" si="693"/>
        <v>0</v>
      </c>
      <c r="DH456" s="171">
        <f t="shared" ca="1" si="694"/>
        <v>0</v>
      </c>
      <c r="DI456" s="171">
        <f t="shared" ca="1" si="695"/>
        <v>0</v>
      </c>
      <c r="DJ456" s="171">
        <f t="shared" ca="1" si="696"/>
        <v>0</v>
      </c>
      <c r="DK456" s="171">
        <f t="shared" ca="1" si="697"/>
        <v>0</v>
      </c>
      <c r="DL456" s="171">
        <f t="shared" ca="1" si="698"/>
        <v>0</v>
      </c>
      <c r="DM456" s="171">
        <f t="shared" ca="1" si="699"/>
        <v>0</v>
      </c>
      <c r="DN456" s="171">
        <f t="shared" ca="1" si="700"/>
        <v>0</v>
      </c>
      <c r="DO456" s="171">
        <f t="shared" ca="1" si="701"/>
        <v>0</v>
      </c>
      <c r="DP456" s="171">
        <f t="shared" ca="1" si="702"/>
        <v>0</v>
      </c>
      <c r="DQ456" s="171">
        <f t="shared" ca="1" si="703"/>
        <v>0</v>
      </c>
      <c r="DR456" s="171">
        <f t="shared" ca="1" si="704"/>
        <v>0</v>
      </c>
      <c r="DS456" s="171">
        <f t="shared" ca="1" si="705"/>
        <v>0</v>
      </c>
      <c r="DT456" s="171">
        <f t="shared" ca="1" si="706"/>
        <v>0</v>
      </c>
      <c r="DU456" s="171">
        <f t="shared" ca="1" si="707"/>
        <v>0</v>
      </c>
      <c r="DV456" s="171">
        <f t="shared" ca="1" si="708"/>
        <v>0</v>
      </c>
      <c r="DW456" s="171">
        <f t="shared" ca="1" si="709"/>
        <v>0</v>
      </c>
      <c r="DX456" s="171">
        <f t="shared" ca="1" si="710"/>
        <v>0</v>
      </c>
      <c r="DY456" s="171">
        <f t="shared" ca="1" si="711"/>
        <v>0</v>
      </c>
      <c r="DZ456" s="171">
        <f t="shared" ca="1" si="712"/>
        <v>0</v>
      </c>
      <c r="EA456" s="171">
        <f t="shared" ca="1" si="713"/>
        <v>0</v>
      </c>
      <c r="EB456" s="171">
        <f t="shared" ca="1" si="714"/>
        <v>0</v>
      </c>
      <c r="EC456" s="171">
        <f t="shared" ca="1" si="715"/>
        <v>0</v>
      </c>
      <c r="ED456" s="171">
        <f t="shared" ca="1" si="716"/>
        <v>0</v>
      </c>
      <c r="EE456" s="171">
        <f t="shared" ca="1" si="717"/>
        <v>0</v>
      </c>
      <c r="EF456" s="171">
        <f t="shared" ca="1" si="718"/>
        <v>0</v>
      </c>
      <c r="EG456" s="171">
        <f t="shared" ca="1" si="719"/>
        <v>0</v>
      </c>
      <c r="EH456" s="171">
        <f t="shared" ca="1" si="720"/>
        <v>0</v>
      </c>
      <c r="EI456" s="171">
        <f t="shared" ca="1" si="721"/>
        <v>0</v>
      </c>
      <c r="EJ456" s="171">
        <f t="shared" ca="1" si="722"/>
        <v>0</v>
      </c>
      <c r="EK456" s="171">
        <f t="shared" ca="1" si="723"/>
        <v>0</v>
      </c>
      <c r="EL456" s="171">
        <f t="shared" ca="1" si="724"/>
        <v>0</v>
      </c>
      <c r="EM456" s="171">
        <f t="shared" ca="1" si="725"/>
        <v>0</v>
      </c>
      <c r="EN456" s="171">
        <f t="shared" ca="1" si="726"/>
        <v>0</v>
      </c>
      <c r="EO456" s="171">
        <f t="shared" ca="1" si="727"/>
        <v>0</v>
      </c>
      <c r="EP456" s="171">
        <f t="shared" ca="1" si="728"/>
        <v>0</v>
      </c>
      <c r="EQ456" s="171">
        <f t="shared" ca="1" si="729"/>
        <v>0</v>
      </c>
      <c r="ER456" s="171">
        <f t="shared" ca="1" si="730"/>
        <v>0</v>
      </c>
      <c r="ES456" s="171">
        <f t="shared" ca="1" si="731"/>
        <v>0</v>
      </c>
    </row>
    <row r="457" spans="3:149">
      <c r="C457" s="214"/>
      <c r="L457" s="163"/>
      <c r="M457" s="164" t="str">
        <f t="shared" si="662"/>
        <v/>
      </c>
      <c r="N457" s="164" t="str">
        <f t="shared" si="663"/>
        <v/>
      </c>
      <c r="O457" s="165" t="str">
        <f t="shared" si="664"/>
        <v/>
      </c>
      <c r="R457" s="168"/>
      <c r="U457" s="171">
        <f t="shared" si="665"/>
        <v>0</v>
      </c>
      <c r="V457" s="171">
        <f t="shared" ca="1" si="666"/>
        <v>0</v>
      </c>
      <c r="W457" s="171">
        <f t="shared" ca="1" si="667"/>
        <v>0</v>
      </c>
      <c r="X457" s="172">
        <f t="shared" si="668"/>
        <v>0</v>
      </c>
      <c r="Y457" s="172" t="str">
        <f t="shared" si="669"/>
        <v/>
      </c>
      <c r="Z457" s="173">
        <f t="shared" si="670"/>
        <v>0</v>
      </c>
      <c r="AA457" s="171">
        <f t="shared" si="739"/>
        <v>0</v>
      </c>
      <c r="AB457" s="171">
        <f t="shared" si="739"/>
        <v>0</v>
      </c>
      <c r="AC457" s="171">
        <f t="shared" si="739"/>
        <v>0</v>
      </c>
      <c r="AD457" s="171">
        <f t="shared" si="739"/>
        <v>0</v>
      </c>
      <c r="AE457" s="171">
        <f t="shared" si="739"/>
        <v>0</v>
      </c>
      <c r="AF457" s="171">
        <f t="shared" si="739"/>
        <v>0</v>
      </c>
      <c r="AG457" s="171">
        <f t="shared" si="739"/>
        <v>0</v>
      </c>
      <c r="AH457" s="171">
        <f t="shared" si="739"/>
        <v>0</v>
      </c>
      <c r="AI457" s="171">
        <f t="shared" si="739"/>
        <v>0</v>
      </c>
      <c r="AJ457" s="171">
        <f t="shared" si="739"/>
        <v>0</v>
      </c>
      <c r="AK457" s="171">
        <f t="shared" si="740"/>
        <v>0</v>
      </c>
      <c r="AL457" s="171">
        <f t="shared" si="740"/>
        <v>0</v>
      </c>
      <c r="AM457" s="171">
        <f t="shared" si="740"/>
        <v>0</v>
      </c>
      <c r="AN457" s="171">
        <f t="shared" si="740"/>
        <v>0</v>
      </c>
      <c r="AO457" s="171">
        <f t="shared" si="740"/>
        <v>0</v>
      </c>
      <c r="AP457" s="171">
        <f t="shared" si="740"/>
        <v>0</v>
      </c>
      <c r="AQ457" s="171">
        <f t="shared" si="740"/>
        <v>0</v>
      </c>
      <c r="AR457" s="171">
        <f t="shared" si="740"/>
        <v>0</v>
      </c>
      <c r="AS457" s="171">
        <f t="shared" si="740"/>
        <v>0</v>
      </c>
      <c r="AT457" s="171">
        <f t="shared" si="740"/>
        <v>0</v>
      </c>
      <c r="AU457" s="171">
        <f t="shared" si="741"/>
        <v>0</v>
      </c>
      <c r="AV457" s="171">
        <f t="shared" si="741"/>
        <v>0</v>
      </c>
      <c r="AW457" s="171">
        <f t="shared" si="741"/>
        <v>0</v>
      </c>
      <c r="AX457" s="171">
        <f t="shared" si="741"/>
        <v>0</v>
      </c>
      <c r="AY457" s="171">
        <f t="shared" si="741"/>
        <v>0</v>
      </c>
      <c r="AZ457" s="171">
        <f t="shared" si="741"/>
        <v>0</v>
      </c>
      <c r="BA457" s="171">
        <f t="shared" si="741"/>
        <v>0</v>
      </c>
      <c r="BB457" s="171">
        <f t="shared" si="741"/>
        <v>0</v>
      </c>
      <c r="BC457" s="171">
        <f t="shared" si="741"/>
        <v>0</v>
      </c>
      <c r="BD457" s="171">
        <f t="shared" si="741"/>
        <v>0</v>
      </c>
      <c r="BE457" s="171">
        <f t="shared" si="742"/>
        <v>0</v>
      </c>
      <c r="BF457" s="171">
        <f t="shared" si="742"/>
        <v>0</v>
      </c>
      <c r="BG457" s="171">
        <f t="shared" si="742"/>
        <v>0</v>
      </c>
      <c r="BH457" s="171">
        <f t="shared" si="742"/>
        <v>0</v>
      </c>
      <c r="BI457" s="171">
        <f t="shared" si="742"/>
        <v>0</v>
      </c>
      <c r="BJ457" s="171">
        <f t="shared" si="742"/>
        <v>0</v>
      </c>
      <c r="BK457" s="171">
        <f t="shared" si="742"/>
        <v>0</v>
      </c>
      <c r="BL457" s="171">
        <f t="shared" si="742"/>
        <v>0</v>
      </c>
      <c r="BM457" s="171">
        <f t="shared" si="742"/>
        <v>0</v>
      </c>
      <c r="BN457" s="171">
        <f t="shared" si="742"/>
        <v>0</v>
      </c>
      <c r="BO457" s="171">
        <f t="shared" si="743"/>
        <v>0</v>
      </c>
      <c r="BP457" s="171">
        <f t="shared" si="743"/>
        <v>0</v>
      </c>
      <c r="BQ457" s="171">
        <f t="shared" si="743"/>
        <v>0</v>
      </c>
      <c r="BR457" s="171">
        <f t="shared" si="743"/>
        <v>0</v>
      </c>
      <c r="BS457" s="171">
        <f t="shared" si="743"/>
        <v>0</v>
      </c>
      <c r="BT457" s="171">
        <f t="shared" si="743"/>
        <v>0</v>
      </c>
      <c r="BU457" s="171">
        <f t="shared" si="743"/>
        <v>0</v>
      </c>
      <c r="BV457" s="171">
        <f t="shared" si="743"/>
        <v>0</v>
      </c>
      <c r="BW457" s="171">
        <f t="shared" si="743"/>
        <v>0</v>
      </c>
      <c r="BX457" s="171">
        <f t="shared" si="743"/>
        <v>0</v>
      </c>
      <c r="BY457" s="171">
        <f t="shared" si="744"/>
        <v>0</v>
      </c>
      <c r="BZ457" s="171">
        <f t="shared" si="744"/>
        <v>0</v>
      </c>
      <c r="CA457" s="171">
        <f t="shared" si="744"/>
        <v>0</v>
      </c>
      <c r="CB457" s="171">
        <f t="shared" si="744"/>
        <v>0</v>
      </c>
      <c r="CC457" s="171">
        <f t="shared" si="744"/>
        <v>0</v>
      </c>
      <c r="CD457" s="171">
        <f t="shared" si="744"/>
        <v>0</v>
      </c>
      <c r="CE457" s="171">
        <f t="shared" si="744"/>
        <v>0</v>
      </c>
      <c r="CF457" s="171">
        <f t="shared" si="744"/>
        <v>0</v>
      </c>
      <c r="CG457" s="171">
        <f t="shared" si="744"/>
        <v>0</v>
      </c>
      <c r="CH457" s="171">
        <f t="shared" si="744"/>
        <v>0</v>
      </c>
      <c r="CI457" s="171">
        <f t="shared" si="744"/>
        <v>0</v>
      </c>
      <c r="CJ457" s="243"/>
      <c r="CK457" s="171">
        <f t="shared" si="671"/>
        <v>0</v>
      </c>
      <c r="CL457" s="171">
        <f t="shared" si="672"/>
        <v>0</v>
      </c>
      <c r="CM457" s="171">
        <f t="shared" si="673"/>
        <v>0</v>
      </c>
      <c r="CN457" s="171">
        <f t="shared" si="674"/>
        <v>0</v>
      </c>
      <c r="CO457" s="171">
        <f t="shared" si="675"/>
        <v>0</v>
      </c>
      <c r="CP457" s="171">
        <f t="shared" si="676"/>
        <v>0</v>
      </c>
      <c r="CQ457" s="171">
        <f t="shared" si="677"/>
        <v>0</v>
      </c>
      <c r="CR457" s="171">
        <f t="shared" si="678"/>
        <v>0</v>
      </c>
      <c r="CS457" s="171">
        <f t="shared" si="679"/>
        <v>0</v>
      </c>
      <c r="CT457" s="171">
        <f t="shared" si="680"/>
        <v>0</v>
      </c>
      <c r="CU457" s="171">
        <f t="shared" si="681"/>
        <v>0</v>
      </c>
      <c r="CV457" s="171">
        <f t="shared" si="682"/>
        <v>0</v>
      </c>
      <c r="CW457" s="171">
        <f t="shared" si="683"/>
        <v>0</v>
      </c>
      <c r="CX457" s="171">
        <f t="shared" si="684"/>
        <v>0</v>
      </c>
      <c r="CY457" s="171">
        <f t="shared" ca="1" si="685"/>
        <v>0</v>
      </c>
      <c r="CZ457" s="171">
        <f t="shared" ca="1" si="686"/>
        <v>0</v>
      </c>
      <c r="DA457" s="171">
        <f t="shared" ca="1" si="687"/>
        <v>0</v>
      </c>
      <c r="DB457" s="171">
        <f t="shared" ca="1" si="688"/>
        <v>0</v>
      </c>
      <c r="DC457" s="171">
        <f t="shared" ca="1" si="689"/>
        <v>0</v>
      </c>
      <c r="DD457" s="171">
        <f t="shared" ca="1" si="690"/>
        <v>0</v>
      </c>
      <c r="DE457" s="171">
        <f t="shared" ca="1" si="691"/>
        <v>0</v>
      </c>
      <c r="DF457" s="171">
        <f t="shared" ca="1" si="692"/>
        <v>0</v>
      </c>
      <c r="DG457" s="171">
        <f t="shared" ca="1" si="693"/>
        <v>0</v>
      </c>
      <c r="DH457" s="171">
        <f t="shared" ca="1" si="694"/>
        <v>0</v>
      </c>
      <c r="DI457" s="171">
        <f t="shared" ca="1" si="695"/>
        <v>0</v>
      </c>
      <c r="DJ457" s="171">
        <f t="shared" ca="1" si="696"/>
        <v>0</v>
      </c>
      <c r="DK457" s="171">
        <f t="shared" ca="1" si="697"/>
        <v>0</v>
      </c>
      <c r="DL457" s="171">
        <f t="shared" ca="1" si="698"/>
        <v>0</v>
      </c>
      <c r="DM457" s="171">
        <f t="shared" ca="1" si="699"/>
        <v>0</v>
      </c>
      <c r="DN457" s="171">
        <f t="shared" ca="1" si="700"/>
        <v>0</v>
      </c>
      <c r="DO457" s="171">
        <f t="shared" ca="1" si="701"/>
        <v>0</v>
      </c>
      <c r="DP457" s="171">
        <f t="shared" ca="1" si="702"/>
        <v>0</v>
      </c>
      <c r="DQ457" s="171">
        <f t="shared" ca="1" si="703"/>
        <v>0</v>
      </c>
      <c r="DR457" s="171">
        <f t="shared" ca="1" si="704"/>
        <v>0</v>
      </c>
      <c r="DS457" s="171">
        <f t="shared" ca="1" si="705"/>
        <v>0</v>
      </c>
      <c r="DT457" s="171">
        <f t="shared" ca="1" si="706"/>
        <v>0</v>
      </c>
      <c r="DU457" s="171">
        <f t="shared" ca="1" si="707"/>
        <v>0</v>
      </c>
      <c r="DV457" s="171">
        <f t="shared" ca="1" si="708"/>
        <v>0</v>
      </c>
      <c r="DW457" s="171">
        <f t="shared" ca="1" si="709"/>
        <v>0</v>
      </c>
      <c r="DX457" s="171">
        <f t="shared" ca="1" si="710"/>
        <v>0</v>
      </c>
      <c r="DY457" s="171">
        <f t="shared" ca="1" si="711"/>
        <v>0</v>
      </c>
      <c r="DZ457" s="171">
        <f t="shared" ca="1" si="712"/>
        <v>0</v>
      </c>
      <c r="EA457" s="171">
        <f t="shared" ca="1" si="713"/>
        <v>0</v>
      </c>
      <c r="EB457" s="171">
        <f t="shared" ca="1" si="714"/>
        <v>0</v>
      </c>
      <c r="EC457" s="171">
        <f t="shared" ca="1" si="715"/>
        <v>0</v>
      </c>
      <c r="ED457" s="171">
        <f t="shared" ca="1" si="716"/>
        <v>0</v>
      </c>
      <c r="EE457" s="171">
        <f t="shared" ca="1" si="717"/>
        <v>0</v>
      </c>
      <c r="EF457" s="171">
        <f t="shared" ca="1" si="718"/>
        <v>0</v>
      </c>
      <c r="EG457" s="171">
        <f t="shared" ca="1" si="719"/>
        <v>0</v>
      </c>
      <c r="EH457" s="171">
        <f t="shared" ca="1" si="720"/>
        <v>0</v>
      </c>
      <c r="EI457" s="171">
        <f t="shared" ca="1" si="721"/>
        <v>0</v>
      </c>
      <c r="EJ457" s="171">
        <f t="shared" ca="1" si="722"/>
        <v>0</v>
      </c>
      <c r="EK457" s="171">
        <f t="shared" ca="1" si="723"/>
        <v>0</v>
      </c>
      <c r="EL457" s="171">
        <f t="shared" ca="1" si="724"/>
        <v>0</v>
      </c>
      <c r="EM457" s="171">
        <f t="shared" ca="1" si="725"/>
        <v>0</v>
      </c>
      <c r="EN457" s="171">
        <f t="shared" ca="1" si="726"/>
        <v>0</v>
      </c>
      <c r="EO457" s="171">
        <f t="shared" ca="1" si="727"/>
        <v>0</v>
      </c>
      <c r="EP457" s="171">
        <f t="shared" ca="1" si="728"/>
        <v>0</v>
      </c>
      <c r="EQ457" s="171">
        <f t="shared" ca="1" si="729"/>
        <v>0</v>
      </c>
      <c r="ER457" s="171">
        <f t="shared" ca="1" si="730"/>
        <v>0</v>
      </c>
      <c r="ES457" s="171">
        <f t="shared" ca="1" si="731"/>
        <v>0</v>
      </c>
    </row>
    <row r="458" spans="3:149">
      <c r="C458" s="214"/>
      <c r="L458" s="163"/>
      <c r="M458" s="164" t="str">
        <f t="shared" si="662"/>
        <v/>
      </c>
      <c r="N458" s="164" t="str">
        <f t="shared" si="663"/>
        <v/>
      </c>
      <c r="O458" s="165" t="str">
        <f t="shared" si="664"/>
        <v/>
      </c>
      <c r="R458" s="168"/>
      <c r="U458" s="171">
        <f t="shared" si="665"/>
        <v>0</v>
      </c>
      <c r="V458" s="171">
        <f t="shared" ca="1" si="666"/>
        <v>0</v>
      </c>
      <c r="W458" s="171">
        <f t="shared" ca="1" si="667"/>
        <v>0</v>
      </c>
      <c r="X458" s="172">
        <f t="shared" si="668"/>
        <v>0</v>
      </c>
      <c r="Y458" s="172" t="str">
        <f t="shared" si="669"/>
        <v/>
      </c>
      <c r="Z458" s="173">
        <f t="shared" si="670"/>
        <v>0</v>
      </c>
      <c r="AA458" s="171">
        <f t="shared" si="739"/>
        <v>0</v>
      </c>
      <c r="AB458" s="171">
        <f t="shared" si="739"/>
        <v>0</v>
      </c>
      <c r="AC458" s="171">
        <f t="shared" si="739"/>
        <v>0</v>
      </c>
      <c r="AD458" s="171">
        <f t="shared" si="739"/>
        <v>0</v>
      </c>
      <c r="AE458" s="171">
        <f t="shared" si="739"/>
        <v>0</v>
      </c>
      <c r="AF458" s="171">
        <f t="shared" si="739"/>
        <v>0</v>
      </c>
      <c r="AG458" s="171">
        <f t="shared" si="739"/>
        <v>0</v>
      </c>
      <c r="AH458" s="171">
        <f t="shared" si="739"/>
        <v>0</v>
      </c>
      <c r="AI458" s="171">
        <f t="shared" si="739"/>
        <v>0</v>
      </c>
      <c r="AJ458" s="171">
        <f t="shared" si="739"/>
        <v>0</v>
      </c>
      <c r="AK458" s="171">
        <f t="shared" si="740"/>
        <v>0</v>
      </c>
      <c r="AL458" s="171">
        <f t="shared" si="740"/>
        <v>0</v>
      </c>
      <c r="AM458" s="171">
        <f t="shared" si="740"/>
        <v>0</v>
      </c>
      <c r="AN458" s="171">
        <f t="shared" si="740"/>
        <v>0</v>
      </c>
      <c r="AO458" s="171">
        <f t="shared" si="740"/>
        <v>0</v>
      </c>
      <c r="AP458" s="171">
        <f t="shared" si="740"/>
        <v>0</v>
      </c>
      <c r="AQ458" s="171">
        <f t="shared" si="740"/>
        <v>0</v>
      </c>
      <c r="AR458" s="171">
        <f t="shared" si="740"/>
        <v>0</v>
      </c>
      <c r="AS458" s="171">
        <f t="shared" si="740"/>
        <v>0</v>
      </c>
      <c r="AT458" s="171">
        <f t="shared" si="740"/>
        <v>0</v>
      </c>
      <c r="AU458" s="171">
        <f t="shared" si="741"/>
        <v>0</v>
      </c>
      <c r="AV458" s="171">
        <f t="shared" si="741"/>
        <v>0</v>
      </c>
      <c r="AW458" s="171">
        <f t="shared" si="741"/>
        <v>0</v>
      </c>
      <c r="AX458" s="171">
        <f t="shared" si="741"/>
        <v>0</v>
      </c>
      <c r="AY458" s="171">
        <f t="shared" si="741"/>
        <v>0</v>
      </c>
      <c r="AZ458" s="171">
        <f t="shared" si="741"/>
        <v>0</v>
      </c>
      <c r="BA458" s="171">
        <f t="shared" si="741"/>
        <v>0</v>
      </c>
      <c r="BB458" s="171">
        <f t="shared" si="741"/>
        <v>0</v>
      </c>
      <c r="BC458" s="171">
        <f t="shared" si="741"/>
        <v>0</v>
      </c>
      <c r="BD458" s="171">
        <f t="shared" si="741"/>
        <v>0</v>
      </c>
      <c r="BE458" s="171">
        <f t="shared" si="742"/>
        <v>0</v>
      </c>
      <c r="BF458" s="171">
        <f t="shared" si="742"/>
        <v>0</v>
      </c>
      <c r="BG458" s="171">
        <f t="shared" si="742"/>
        <v>0</v>
      </c>
      <c r="BH458" s="171">
        <f t="shared" si="742"/>
        <v>0</v>
      </c>
      <c r="BI458" s="171">
        <f t="shared" si="742"/>
        <v>0</v>
      </c>
      <c r="BJ458" s="171">
        <f t="shared" si="742"/>
        <v>0</v>
      </c>
      <c r="BK458" s="171">
        <f t="shared" si="742"/>
        <v>0</v>
      </c>
      <c r="BL458" s="171">
        <f t="shared" si="742"/>
        <v>0</v>
      </c>
      <c r="BM458" s="171">
        <f t="shared" si="742"/>
        <v>0</v>
      </c>
      <c r="BN458" s="171">
        <f t="shared" si="742"/>
        <v>0</v>
      </c>
      <c r="BO458" s="171">
        <f t="shared" si="743"/>
        <v>0</v>
      </c>
      <c r="BP458" s="171">
        <f t="shared" si="743"/>
        <v>0</v>
      </c>
      <c r="BQ458" s="171">
        <f t="shared" si="743"/>
        <v>0</v>
      </c>
      <c r="BR458" s="171">
        <f t="shared" si="743"/>
        <v>0</v>
      </c>
      <c r="BS458" s="171">
        <f t="shared" si="743"/>
        <v>0</v>
      </c>
      <c r="BT458" s="171">
        <f t="shared" si="743"/>
        <v>0</v>
      </c>
      <c r="BU458" s="171">
        <f t="shared" si="743"/>
        <v>0</v>
      </c>
      <c r="BV458" s="171">
        <f t="shared" si="743"/>
        <v>0</v>
      </c>
      <c r="BW458" s="171">
        <f t="shared" si="743"/>
        <v>0</v>
      </c>
      <c r="BX458" s="171">
        <f t="shared" si="743"/>
        <v>0</v>
      </c>
      <c r="BY458" s="171">
        <f t="shared" si="744"/>
        <v>0</v>
      </c>
      <c r="BZ458" s="171">
        <f t="shared" si="744"/>
        <v>0</v>
      </c>
      <c r="CA458" s="171">
        <f t="shared" si="744"/>
        <v>0</v>
      </c>
      <c r="CB458" s="171">
        <f t="shared" si="744"/>
        <v>0</v>
      </c>
      <c r="CC458" s="171">
        <f t="shared" si="744"/>
        <v>0</v>
      </c>
      <c r="CD458" s="171">
        <f t="shared" si="744"/>
        <v>0</v>
      </c>
      <c r="CE458" s="171">
        <f t="shared" si="744"/>
        <v>0</v>
      </c>
      <c r="CF458" s="171">
        <f t="shared" si="744"/>
        <v>0</v>
      </c>
      <c r="CG458" s="171">
        <f t="shared" si="744"/>
        <v>0</v>
      </c>
      <c r="CH458" s="171">
        <f t="shared" si="744"/>
        <v>0</v>
      </c>
      <c r="CI458" s="171">
        <f t="shared" si="744"/>
        <v>0</v>
      </c>
      <c r="CJ458" s="243"/>
      <c r="CK458" s="171">
        <f t="shared" si="671"/>
        <v>0</v>
      </c>
      <c r="CL458" s="171">
        <f t="shared" si="672"/>
        <v>0</v>
      </c>
      <c r="CM458" s="171">
        <f t="shared" si="673"/>
        <v>0</v>
      </c>
      <c r="CN458" s="171">
        <f t="shared" si="674"/>
        <v>0</v>
      </c>
      <c r="CO458" s="171">
        <f t="shared" si="675"/>
        <v>0</v>
      </c>
      <c r="CP458" s="171">
        <f t="shared" si="676"/>
        <v>0</v>
      </c>
      <c r="CQ458" s="171">
        <f t="shared" si="677"/>
        <v>0</v>
      </c>
      <c r="CR458" s="171">
        <f t="shared" si="678"/>
        <v>0</v>
      </c>
      <c r="CS458" s="171">
        <f t="shared" si="679"/>
        <v>0</v>
      </c>
      <c r="CT458" s="171">
        <f t="shared" si="680"/>
        <v>0</v>
      </c>
      <c r="CU458" s="171">
        <f t="shared" si="681"/>
        <v>0</v>
      </c>
      <c r="CV458" s="171">
        <f t="shared" si="682"/>
        <v>0</v>
      </c>
      <c r="CW458" s="171">
        <f t="shared" si="683"/>
        <v>0</v>
      </c>
      <c r="CX458" s="171">
        <f t="shared" si="684"/>
        <v>0</v>
      </c>
      <c r="CY458" s="171">
        <f t="shared" ca="1" si="685"/>
        <v>0</v>
      </c>
      <c r="CZ458" s="171">
        <f t="shared" ca="1" si="686"/>
        <v>0</v>
      </c>
      <c r="DA458" s="171">
        <f t="shared" ca="1" si="687"/>
        <v>0</v>
      </c>
      <c r="DB458" s="171">
        <f t="shared" ca="1" si="688"/>
        <v>0</v>
      </c>
      <c r="DC458" s="171">
        <f t="shared" ca="1" si="689"/>
        <v>0</v>
      </c>
      <c r="DD458" s="171">
        <f t="shared" ca="1" si="690"/>
        <v>0</v>
      </c>
      <c r="DE458" s="171">
        <f t="shared" ca="1" si="691"/>
        <v>0</v>
      </c>
      <c r="DF458" s="171">
        <f t="shared" ca="1" si="692"/>
        <v>0</v>
      </c>
      <c r="DG458" s="171">
        <f t="shared" ca="1" si="693"/>
        <v>0</v>
      </c>
      <c r="DH458" s="171">
        <f t="shared" ca="1" si="694"/>
        <v>0</v>
      </c>
      <c r="DI458" s="171">
        <f t="shared" ca="1" si="695"/>
        <v>0</v>
      </c>
      <c r="DJ458" s="171">
        <f t="shared" ca="1" si="696"/>
        <v>0</v>
      </c>
      <c r="DK458" s="171">
        <f t="shared" ca="1" si="697"/>
        <v>0</v>
      </c>
      <c r="DL458" s="171">
        <f t="shared" ca="1" si="698"/>
        <v>0</v>
      </c>
      <c r="DM458" s="171">
        <f t="shared" ca="1" si="699"/>
        <v>0</v>
      </c>
      <c r="DN458" s="171">
        <f t="shared" ca="1" si="700"/>
        <v>0</v>
      </c>
      <c r="DO458" s="171">
        <f t="shared" ca="1" si="701"/>
        <v>0</v>
      </c>
      <c r="DP458" s="171">
        <f t="shared" ca="1" si="702"/>
        <v>0</v>
      </c>
      <c r="DQ458" s="171">
        <f t="shared" ca="1" si="703"/>
        <v>0</v>
      </c>
      <c r="DR458" s="171">
        <f t="shared" ca="1" si="704"/>
        <v>0</v>
      </c>
      <c r="DS458" s="171">
        <f t="shared" ca="1" si="705"/>
        <v>0</v>
      </c>
      <c r="DT458" s="171">
        <f t="shared" ca="1" si="706"/>
        <v>0</v>
      </c>
      <c r="DU458" s="171">
        <f t="shared" ca="1" si="707"/>
        <v>0</v>
      </c>
      <c r="DV458" s="171">
        <f t="shared" ca="1" si="708"/>
        <v>0</v>
      </c>
      <c r="DW458" s="171">
        <f t="shared" ca="1" si="709"/>
        <v>0</v>
      </c>
      <c r="DX458" s="171">
        <f t="shared" ca="1" si="710"/>
        <v>0</v>
      </c>
      <c r="DY458" s="171">
        <f t="shared" ca="1" si="711"/>
        <v>0</v>
      </c>
      <c r="DZ458" s="171">
        <f t="shared" ca="1" si="712"/>
        <v>0</v>
      </c>
      <c r="EA458" s="171">
        <f t="shared" ca="1" si="713"/>
        <v>0</v>
      </c>
      <c r="EB458" s="171">
        <f t="shared" ca="1" si="714"/>
        <v>0</v>
      </c>
      <c r="EC458" s="171">
        <f t="shared" ca="1" si="715"/>
        <v>0</v>
      </c>
      <c r="ED458" s="171">
        <f t="shared" ca="1" si="716"/>
        <v>0</v>
      </c>
      <c r="EE458" s="171">
        <f t="shared" ca="1" si="717"/>
        <v>0</v>
      </c>
      <c r="EF458" s="171">
        <f t="shared" ca="1" si="718"/>
        <v>0</v>
      </c>
      <c r="EG458" s="171">
        <f t="shared" ca="1" si="719"/>
        <v>0</v>
      </c>
      <c r="EH458" s="171">
        <f t="shared" ca="1" si="720"/>
        <v>0</v>
      </c>
      <c r="EI458" s="171">
        <f t="shared" ca="1" si="721"/>
        <v>0</v>
      </c>
      <c r="EJ458" s="171">
        <f t="shared" ca="1" si="722"/>
        <v>0</v>
      </c>
      <c r="EK458" s="171">
        <f t="shared" ca="1" si="723"/>
        <v>0</v>
      </c>
      <c r="EL458" s="171">
        <f t="shared" ca="1" si="724"/>
        <v>0</v>
      </c>
      <c r="EM458" s="171">
        <f t="shared" ca="1" si="725"/>
        <v>0</v>
      </c>
      <c r="EN458" s="171">
        <f t="shared" ca="1" si="726"/>
        <v>0</v>
      </c>
      <c r="EO458" s="171">
        <f t="shared" ca="1" si="727"/>
        <v>0</v>
      </c>
      <c r="EP458" s="171">
        <f t="shared" ca="1" si="728"/>
        <v>0</v>
      </c>
      <c r="EQ458" s="171">
        <f t="shared" ca="1" si="729"/>
        <v>0</v>
      </c>
      <c r="ER458" s="171">
        <f t="shared" ca="1" si="730"/>
        <v>0</v>
      </c>
      <c r="ES458" s="171">
        <f t="shared" ca="1" si="731"/>
        <v>0</v>
      </c>
    </row>
    <row r="459" spans="3:149">
      <c r="C459" s="214"/>
      <c r="L459" s="163"/>
      <c r="M459" s="164" t="str">
        <f t="shared" si="662"/>
        <v/>
      </c>
      <c r="N459" s="164" t="str">
        <f t="shared" si="663"/>
        <v/>
      </c>
      <c r="O459" s="165" t="str">
        <f t="shared" si="664"/>
        <v/>
      </c>
      <c r="R459" s="168"/>
      <c r="U459" s="171">
        <f t="shared" si="665"/>
        <v>0</v>
      </c>
      <c r="V459" s="171">
        <f t="shared" ca="1" si="666"/>
        <v>0</v>
      </c>
      <c r="W459" s="171">
        <f t="shared" ca="1" si="667"/>
        <v>0</v>
      </c>
      <c r="X459" s="172">
        <f t="shared" si="668"/>
        <v>0</v>
      </c>
      <c r="Y459" s="172" t="str">
        <f t="shared" si="669"/>
        <v/>
      </c>
      <c r="Z459" s="173">
        <f t="shared" si="670"/>
        <v>0</v>
      </c>
      <c r="AA459" s="171">
        <f t="shared" ref="AA459:AJ468" si="745">IFERROR(
    IF($T459="Equity",
        IF(AND(AA$48&gt;=$E459, AA$48&lt;=($E459+$Q459)),
$K459*$P459*(VLOOKUP($C$39,$C$37:$BL$44,MATCH($E459,$C$37:$BL$37,0),FALSE)/VLOOKUP($L459,$C$37:$BL$44,MATCH($E459,$C$37:$BL$37,0),FALSE))*
IF($B$5="Foreign Currency",VLOOKUP($C$38,$C$37:$BL$44,MATCH(AA$48,$C$37:$BL$37,0),FALSE)/VLOOKUP($C$39,$C$37:$BL$44,MATCH(AA$48,$C$37:$BL$37,0),FALSE),1),
0),
    IF($T459="Lump Sum Principal",
        IF(AND(AA$48&gt;=$E459, AA$48&lt;($E459+$Q459)),
$K459*$P459*(VLOOKUP($C$39,$C$37:$BL$44,MATCH($E459,$C$37:$BL$37,0),FALSE)/VLOOKUP($L459,$C$37:$BL$44,MATCH($E459,$C$37:$BL$37,0),FALSE))*
IF($B$5="Foreign Currency",VLOOKUP($C$38,$C$37:$BL$44,MATCH(AA$48,$C$37:$BL$37,0),FALSE)/VLOOKUP($C$39,$C$37:$BL$44,MATCH(AA$48,$C$37:$BL$37,0),FALSE),1),
        IF(AA$48=($E459+$Q459),
$K459*(1+$P459)*(VLOOKUP($C$39,$C$37:$BL$44,MATCH($E459,$C$37:$BL$37,0),FALSE)/VLOOKUP($L459,$C$37:$BL$44,MATCH($E459,$C$37:$BL$37,0),FALSE))*
IF($B$5="Foreign Currency",VLOOKUP($C$38,$C$37:$BL$44,MATCH(AA$48,$C$37:$BL$37,0),FALSE)/VLOOKUP($C$39,$C$37:$BL$44,MATCH(AA$48,$C$37:$BL$37,0),FALSE),1),
0)),
    IF($T459="Lump Sum Principal and Interest",
        IF(AA$48=($E459+$Q459),
$K459*((1+$P459)^$Q459)*(VLOOKUP($C$39,$C$37:$BL$44,MATCH($E459,$C$37:$BL$37,0),FALSE)/VLOOKUP($L459,$C$37:$BL$44,MATCH($E459,$C$37:$BL$37,0),FALSE))*
IF($B$5="Foreign Currency",VLOOKUP($C$38,$C$37:$BL$44,MATCH(AA$48,$C$37:$BL$37,0),FALSE)/VLOOKUP($C$39,$C$37:$BL$44,MATCH(AA$48,$C$37:$BL$37,0),FALSE),1),
0),
    IF($T459="EPP with Grace Years for Principal",
        IF(AND(AA$48&gt;=$E459, AA$48&lt;($E459+$S459)),
$K459*$P459*(VLOOKUP($C$39,$C$37:$BL$44,MATCH($E459,$C$37:$BL$37,0),FALSE)/VLOOKUP($L459,$C$37:$BL$44,MATCH($E459,$C$37:$BL$37,0),FALSE))*
IF($B$5="Foreign Currency",VLOOKUP($C$38,$C$37:$BL$44,MATCH(AA$48,$C$37:$BL$37,0),FALSE)/VLOOKUP($C$39,$C$37:$BL$44,MATCH(AA$48,$C$37:$BL$37,0),FALSE),1),
        IF(AND(AA$48&gt;=($E459+$S459), AA$48&lt;=($E459+$Q459)),
-PMT($P459,($Q459-$S459+1),($K459*(VLOOKUP($C$39,$C$37:$BL$44,MATCH($E459,$C$37:$BL$37,0),FALSE)/VLOOKUP($L459,$C$37:$BL$44,MATCH($E459,$C$37:$BL$37,0),FALSE))*
IF($B$5="Foreign Currency",VLOOKUP($C$38,$C$37:$BL$44,MATCH(AA$48,$C$37:$BL$37,0),FALSE)/VLOOKUP($C$39,$C$37:$BL$44,MATCH(AA$48,$C$37:$BL$37,0),FALSE),1)),0),
0)),
    IF($T459="Equal Principal Payments (EPP)",
        IF(AND(AA$48&gt;=$E459, AA$48&lt;=($E459+$Q459)),
-PMT($P459,($Q459-$S459+1),($K459*(VLOOKUP($C$39,$C$37:$BL$44,MATCH($E459,$C$37:$BL$37,0),FALSE)/VLOOKUP($L459,$C$37:$BL$44,MATCH($E459,$C$37:$BL$37,0),FALSE))*
IF($B$5="Foreign Currency",VLOOKUP($C$38,$C$37:$BL$44,MATCH(AA$48,$C$37:$BL$37,0),FALSE)/VLOOKUP($C$39,$C$37:$BL$44,MATCH(AA$48,$C$37:$BL$37,0),FALSE),1)),0), 0),
    IF($T459="EPP with Grace Years for Principal and on Interest",
        IF(AND(AA$48&gt;=($E459+$S459), AA$48&lt;=($E459+$Q459)),
-PMT($P459,($Q459-$S459+1),($K459*(VLOOKUP($C$39,$C$37:$BL$44,MATCH($E459,$C$37:$BL$37,0),FALSE)/VLOOKUP($L459,$C$37:$BL$44,MATCH($E459,$C$37:$BL$37,0),FALSE))*
IF($B$5="Foreign Currency",VLOOKUP($C$38,$C$37:$BL$44,MATCH(AA$48,$C$37:$BL$37,0),FALSE)/VLOOKUP($C$39,$C$37:$BL$44,MATCH(AA$48,$C$37:$BL$37,0),FALSE),1))*((1+$P459)^$S459),0), 0),
    0)))))),"")</f>
        <v>0</v>
      </c>
      <c r="AB459" s="171">
        <f t="shared" si="745"/>
        <v>0</v>
      </c>
      <c r="AC459" s="171">
        <f t="shared" si="745"/>
        <v>0</v>
      </c>
      <c r="AD459" s="171">
        <f t="shared" si="745"/>
        <v>0</v>
      </c>
      <c r="AE459" s="171">
        <f t="shared" si="745"/>
        <v>0</v>
      </c>
      <c r="AF459" s="171">
        <f t="shared" si="745"/>
        <v>0</v>
      </c>
      <c r="AG459" s="171">
        <f t="shared" si="745"/>
        <v>0</v>
      </c>
      <c r="AH459" s="171">
        <f t="shared" si="745"/>
        <v>0</v>
      </c>
      <c r="AI459" s="171">
        <f t="shared" si="745"/>
        <v>0</v>
      </c>
      <c r="AJ459" s="171">
        <f t="shared" si="745"/>
        <v>0</v>
      </c>
      <c r="AK459" s="171">
        <f t="shared" ref="AK459:AT468" si="746">IFERROR(
    IF($T459="Equity",
        IF(AND(AK$48&gt;=$E459, AK$48&lt;=($E459+$Q459)),
$K459*$P459*(VLOOKUP($C$39,$C$37:$BL$44,MATCH($E459,$C$37:$BL$37,0),FALSE)/VLOOKUP($L459,$C$37:$BL$44,MATCH($E459,$C$37:$BL$37,0),FALSE))*
IF($B$5="Foreign Currency",VLOOKUP($C$38,$C$37:$BL$44,MATCH(AK$48,$C$37:$BL$37,0),FALSE)/VLOOKUP($C$39,$C$37:$BL$44,MATCH(AK$48,$C$37:$BL$37,0),FALSE),1),
0),
    IF($T459="Lump Sum Principal",
        IF(AND(AK$48&gt;=$E459, AK$48&lt;($E459+$Q459)),
$K459*$P459*(VLOOKUP($C$39,$C$37:$BL$44,MATCH($E459,$C$37:$BL$37,0),FALSE)/VLOOKUP($L459,$C$37:$BL$44,MATCH($E459,$C$37:$BL$37,0),FALSE))*
IF($B$5="Foreign Currency",VLOOKUP($C$38,$C$37:$BL$44,MATCH(AK$48,$C$37:$BL$37,0),FALSE)/VLOOKUP($C$39,$C$37:$BL$44,MATCH(AK$48,$C$37:$BL$37,0),FALSE),1),
        IF(AK$48=($E459+$Q459),
$K459*(1+$P459)*(VLOOKUP($C$39,$C$37:$BL$44,MATCH($E459,$C$37:$BL$37,0),FALSE)/VLOOKUP($L459,$C$37:$BL$44,MATCH($E459,$C$37:$BL$37,0),FALSE))*
IF($B$5="Foreign Currency",VLOOKUP($C$38,$C$37:$BL$44,MATCH(AK$48,$C$37:$BL$37,0),FALSE)/VLOOKUP($C$39,$C$37:$BL$44,MATCH(AK$48,$C$37:$BL$37,0),FALSE),1),
0)),
    IF($T459="Lump Sum Principal and Interest",
        IF(AK$48=($E459+$Q459),
$K459*((1+$P459)^$Q459)*(VLOOKUP($C$39,$C$37:$BL$44,MATCH($E459,$C$37:$BL$37,0),FALSE)/VLOOKUP($L459,$C$37:$BL$44,MATCH($E459,$C$37:$BL$37,0),FALSE))*
IF($B$5="Foreign Currency",VLOOKUP($C$38,$C$37:$BL$44,MATCH(AK$48,$C$37:$BL$37,0),FALSE)/VLOOKUP($C$39,$C$37:$BL$44,MATCH(AK$48,$C$37:$BL$37,0),FALSE),1),
0),
    IF($T459="EPP with Grace Years for Principal",
        IF(AND(AK$48&gt;=$E459, AK$48&lt;($E459+$S459)),
$K459*$P459*(VLOOKUP($C$39,$C$37:$BL$44,MATCH($E459,$C$37:$BL$37,0),FALSE)/VLOOKUP($L459,$C$37:$BL$44,MATCH($E459,$C$37:$BL$37,0),FALSE))*
IF($B$5="Foreign Currency",VLOOKUP($C$38,$C$37:$BL$44,MATCH(AK$48,$C$37:$BL$37,0),FALSE)/VLOOKUP($C$39,$C$37:$BL$44,MATCH(AK$48,$C$37:$BL$37,0),FALSE),1),
        IF(AND(AK$48&gt;=($E459+$S459), AK$48&lt;=($E459+$Q459)),
-PMT($P459,($Q459-$S459+1),($K459*(VLOOKUP($C$39,$C$37:$BL$44,MATCH($E459,$C$37:$BL$37,0),FALSE)/VLOOKUP($L459,$C$37:$BL$44,MATCH($E459,$C$37:$BL$37,0),FALSE))*
IF($B$5="Foreign Currency",VLOOKUP($C$38,$C$37:$BL$44,MATCH(AK$48,$C$37:$BL$37,0),FALSE)/VLOOKUP($C$39,$C$37:$BL$44,MATCH(AK$48,$C$37:$BL$37,0),FALSE),1)),0),
0)),
    IF($T459="Equal Principal Payments (EPP)",
        IF(AND(AK$48&gt;=$E459, AK$48&lt;=($E459+$Q459)),
-PMT($P459,($Q459-$S459+1),($K459*(VLOOKUP($C$39,$C$37:$BL$44,MATCH($E459,$C$37:$BL$37,0),FALSE)/VLOOKUP($L459,$C$37:$BL$44,MATCH($E459,$C$37:$BL$37,0),FALSE))*
IF($B$5="Foreign Currency",VLOOKUP($C$38,$C$37:$BL$44,MATCH(AK$48,$C$37:$BL$37,0),FALSE)/VLOOKUP($C$39,$C$37:$BL$44,MATCH(AK$48,$C$37:$BL$37,0),FALSE),1)),0), 0),
    IF($T459="EPP with Grace Years for Principal and on Interest",
        IF(AND(AK$48&gt;=($E459+$S459), AK$48&lt;=($E459+$Q459)),
-PMT($P459,($Q459-$S459+1),($K459*(VLOOKUP($C$39,$C$37:$BL$44,MATCH($E459,$C$37:$BL$37,0),FALSE)/VLOOKUP($L459,$C$37:$BL$44,MATCH($E459,$C$37:$BL$37,0),FALSE))*
IF($B$5="Foreign Currency",VLOOKUP($C$38,$C$37:$BL$44,MATCH(AK$48,$C$37:$BL$37,0),FALSE)/VLOOKUP($C$39,$C$37:$BL$44,MATCH(AK$48,$C$37:$BL$37,0),FALSE),1))*((1+$P459)^$S459),0), 0),
    0)))))),"")</f>
        <v>0</v>
      </c>
      <c r="AL459" s="171">
        <f t="shared" si="746"/>
        <v>0</v>
      </c>
      <c r="AM459" s="171">
        <f t="shared" si="746"/>
        <v>0</v>
      </c>
      <c r="AN459" s="171">
        <f t="shared" si="746"/>
        <v>0</v>
      </c>
      <c r="AO459" s="171">
        <f t="shared" si="746"/>
        <v>0</v>
      </c>
      <c r="AP459" s="171">
        <f t="shared" si="746"/>
        <v>0</v>
      </c>
      <c r="AQ459" s="171">
        <f t="shared" si="746"/>
        <v>0</v>
      </c>
      <c r="AR459" s="171">
        <f t="shared" si="746"/>
        <v>0</v>
      </c>
      <c r="AS459" s="171">
        <f t="shared" si="746"/>
        <v>0</v>
      </c>
      <c r="AT459" s="171">
        <f t="shared" si="746"/>
        <v>0</v>
      </c>
      <c r="AU459" s="171">
        <f t="shared" ref="AU459:BD468" si="747">IFERROR(
    IF($T459="Equity",
        IF(AND(AU$48&gt;=$E459, AU$48&lt;=($E459+$Q459)),
$K459*$P459*(VLOOKUP($C$39,$C$37:$BL$44,MATCH($E459,$C$37:$BL$37,0),FALSE)/VLOOKUP($L459,$C$37:$BL$44,MATCH($E459,$C$37:$BL$37,0),FALSE))*
IF($B$5="Foreign Currency",VLOOKUP($C$38,$C$37:$BL$44,MATCH(AU$48,$C$37:$BL$37,0),FALSE)/VLOOKUP($C$39,$C$37:$BL$44,MATCH(AU$48,$C$37:$BL$37,0),FALSE),1),
0),
    IF($T459="Lump Sum Principal",
        IF(AND(AU$48&gt;=$E459, AU$48&lt;($E459+$Q459)),
$K459*$P459*(VLOOKUP($C$39,$C$37:$BL$44,MATCH($E459,$C$37:$BL$37,0),FALSE)/VLOOKUP($L459,$C$37:$BL$44,MATCH($E459,$C$37:$BL$37,0),FALSE))*
IF($B$5="Foreign Currency",VLOOKUP($C$38,$C$37:$BL$44,MATCH(AU$48,$C$37:$BL$37,0),FALSE)/VLOOKUP($C$39,$C$37:$BL$44,MATCH(AU$48,$C$37:$BL$37,0),FALSE),1),
        IF(AU$48=($E459+$Q459),
$K459*(1+$P459)*(VLOOKUP($C$39,$C$37:$BL$44,MATCH($E459,$C$37:$BL$37,0),FALSE)/VLOOKUP($L459,$C$37:$BL$44,MATCH($E459,$C$37:$BL$37,0),FALSE))*
IF($B$5="Foreign Currency",VLOOKUP($C$38,$C$37:$BL$44,MATCH(AU$48,$C$37:$BL$37,0),FALSE)/VLOOKUP($C$39,$C$37:$BL$44,MATCH(AU$48,$C$37:$BL$37,0),FALSE),1),
0)),
    IF($T459="Lump Sum Principal and Interest",
        IF(AU$48=($E459+$Q459),
$K459*((1+$P459)^$Q459)*(VLOOKUP($C$39,$C$37:$BL$44,MATCH($E459,$C$37:$BL$37,0),FALSE)/VLOOKUP($L459,$C$37:$BL$44,MATCH($E459,$C$37:$BL$37,0),FALSE))*
IF($B$5="Foreign Currency",VLOOKUP($C$38,$C$37:$BL$44,MATCH(AU$48,$C$37:$BL$37,0),FALSE)/VLOOKUP($C$39,$C$37:$BL$44,MATCH(AU$48,$C$37:$BL$37,0),FALSE),1),
0),
    IF($T459="EPP with Grace Years for Principal",
        IF(AND(AU$48&gt;=$E459, AU$48&lt;($E459+$S459)),
$K459*$P459*(VLOOKUP($C$39,$C$37:$BL$44,MATCH($E459,$C$37:$BL$37,0),FALSE)/VLOOKUP($L459,$C$37:$BL$44,MATCH($E459,$C$37:$BL$37,0),FALSE))*
IF($B$5="Foreign Currency",VLOOKUP($C$38,$C$37:$BL$44,MATCH(AU$48,$C$37:$BL$37,0),FALSE)/VLOOKUP($C$39,$C$37:$BL$44,MATCH(AU$48,$C$37:$BL$37,0),FALSE),1),
        IF(AND(AU$48&gt;=($E459+$S459), AU$48&lt;=($E459+$Q459)),
-PMT($P459,($Q459-$S459+1),($K459*(VLOOKUP($C$39,$C$37:$BL$44,MATCH($E459,$C$37:$BL$37,0),FALSE)/VLOOKUP($L459,$C$37:$BL$44,MATCH($E459,$C$37:$BL$37,0),FALSE))*
IF($B$5="Foreign Currency",VLOOKUP($C$38,$C$37:$BL$44,MATCH(AU$48,$C$37:$BL$37,0),FALSE)/VLOOKUP($C$39,$C$37:$BL$44,MATCH(AU$48,$C$37:$BL$37,0),FALSE),1)),0),
0)),
    IF($T459="Equal Principal Payments (EPP)",
        IF(AND(AU$48&gt;=$E459, AU$48&lt;=($E459+$Q459)),
-PMT($P459,($Q459-$S459+1),($K459*(VLOOKUP($C$39,$C$37:$BL$44,MATCH($E459,$C$37:$BL$37,0),FALSE)/VLOOKUP($L459,$C$37:$BL$44,MATCH($E459,$C$37:$BL$37,0),FALSE))*
IF($B$5="Foreign Currency",VLOOKUP($C$38,$C$37:$BL$44,MATCH(AU$48,$C$37:$BL$37,0),FALSE)/VLOOKUP($C$39,$C$37:$BL$44,MATCH(AU$48,$C$37:$BL$37,0),FALSE),1)),0), 0),
    IF($T459="EPP with Grace Years for Principal and on Interest",
        IF(AND(AU$48&gt;=($E459+$S459), AU$48&lt;=($E459+$Q459)),
-PMT($P459,($Q459-$S459+1),($K459*(VLOOKUP($C$39,$C$37:$BL$44,MATCH($E459,$C$37:$BL$37,0),FALSE)/VLOOKUP($L459,$C$37:$BL$44,MATCH($E459,$C$37:$BL$37,0),FALSE))*
IF($B$5="Foreign Currency",VLOOKUP($C$38,$C$37:$BL$44,MATCH(AU$48,$C$37:$BL$37,0),FALSE)/VLOOKUP($C$39,$C$37:$BL$44,MATCH(AU$48,$C$37:$BL$37,0),FALSE),1))*((1+$P459)^$S459),0), 0),
    0)))))),"")</f>
        <v>0</v>
      </c>
      <c r="AV459" s="171">
        <f t="shared" si="747"/>
        <v>0</v>
      </c>
      <c r="AW459" s="171">
        <f t="shared" si="747"/>
        <v>0</v>
      </c>
      <c r="AX459" s="171">
        <f t="shared" si="747"/>
        <v>0</v>
      </c>
      <c r="AY459" s="171">
        <f t="shared" si="747"/>
        <v>0</v>
      </c>
      <c r="AZ459" s="171">
        <f t="shared" si="747"/>
        <v>0</v>
      </c>
      <c r="BA459" s="171">
        <f t="shared" si="747"/>
        <v>0</v>
      </c>
      <c r="BB459" s="171">
        <f t="shared" si="747"/>
        <v>0</v>
      </c>
      <c r="BC459" s="171">
        <f t="shared" si="747"/>
        <v>0</v>
      </c>
      <c r="BD459" s="171">
        <f t="shared" si="747"/>
        <v>0</v>
      </c>
      <c r="BE459" s="171">
        <f t="shared" ref="BE459:BN468" si="748">IFERROR(
    IF($T459="Equity",
        IF(AND(BE$48&gt;=$E459, BE$48&lt;=($E459+$Q459)),
$K459*$P459*(VLOOKUP($C$39,$C$37:$BL$44,MATCH($E459,$C$37:$BL$37,0),FALSE)/VLOOKUP($L459,$C$37:$BL$44,MATCH($E459,$C$37:$BL$37,0),FALSE))*
IF($B$5="Foreign Currency",VLOOKUP($C$38,$C$37:$BL$44,MATCH(BE$48,$C$37:$BL$37,0),FALSE)/VLOOKUP($C$39,$C$37:$BL$44,MATCH(BE$48,$C$37:$BL$37,0),FALSE),1),
0),
    IF($T459="Lump Sum Principal",
        IF(AND(BE$48&gt;=$E459, BE$48&lt;($E459+$Q459)),
$K459*$P459*(VLOOKUP($C$39,$C$37:$BL$44,MATCH($E459,$C$37:$BL$37,0),FALSE)/VLOOKUP($L459,$C$37:$BL$44,MATCH($E459,$C$37:$BL$37,0),FALSE))*
IF($B$5="Foreign Currency",VLOOKUP($C$38,$C$37:$BL$44,MATCH(BE$48,$C$37:$BL$37,0),FALSE)/VLOOKUP($C$39,$C$37:$BL$44,MATCH(BE$48,$C$37:$BL$37,0),FALSE),1),
        IF(BE$48=($E459+$Q459),
$K459*(1+$P459)*(VLOOKUP($C$39,$C$37:$BL$44,MATCH($E459,$C$37:$BL$37,0),FALSE)/VLOOKUP($L459,$C$37:$BL$44,MATCH($E459,$C$37:$BL$37,0),FALSE))*
IF($B$5="Foreign Currency",VLOOKUP($C$38,$C$37:$BL$44,MATCH(BE$48,$C$37:$BL$37,0),FALSE)/VLOOKUP($C$39,$C$37:$BL$44,MATCH(BE$48,$C$37:$BL$37,0),FALSE),1),
0)),
    IF($T459="Lump Sum Principal and Interest",
        IF(BE$48=($E459+$Q459),
$K459*((1+$P459)^$Q459)*(VLOOKUP($C$39,$C$37:$BL$44,MATCH($E459,$C$37:$BL$37,0),FALSE)/VLOOKUP($L459,$C$37:$BL$44,MATCH($E459,$C$37:$BL$37,0),FALSE))*
IF($B$5="Foreign Currency",VLOOKUP($C$38,$C$37:$BL$44,MATCH(BE$48,$C$37:$BL$37,0),FALSE)/VLOOKUP($C$39,$C$37:$BL$44,MATCH(BE$48,$C$37:$BL$37,0),FALSE),1),
0),
    IF($T459="EPP with Grace Years for Principal",
        IF(AND(BE$48&gt;=$E459, BE$48&lt;($E459+$S459)),
$K459*$P459*(VLOOKUP($C$39,$C$37:$BL$44,MATCH($E459,$C$37:$BL$37,0),FALSE)/VLOOKUP($L459,$C$37:$BL$44,MATCH($E459,$C$37:$BL$37,0),FALSE))*
IF($B$5="Foreign Currency",VLOOKUP($C$38,$C$37:$BL$44,MATCH(BE$48,$C$37:$BL$37,0),FALSE)/VLOOKUP($C$39,$C$37:$BL$44,MATCH(BE$48,$C$37:$BL$37,0),FALSE),1),
        IF(AND(BE$48&gt;=($E459+$S459), BE$48&lt;=($E459+$Q459)),
-PMT($P459,($Q459-$S459+1),($K459*(VLOOKUP($C$39,$C$37:$BL$44,MATCH($E459,$C$37:$BL$37,0),FALSE)/VLOOKUP($L459,$C$37:$BL$44,MATCH($E459,$C$37:$BL$37,0),FALSE))*
IF($B$5="Foreign Currency",VLOOKUP($C$38,$C$37:$BL$44,MATCH(BE$48,$C$37:$BL$37,0),FALSE)/VLOOKUP($C$39,$C$37:$BL$44,MATCH(BE$48,$C$37:$BL$37,0),FALSE),1)),0),
0)),
    IF($T459="Equal Principal Payments (EPP)",
        IF(AND(BE$48&gt;=$E459, BE$48&lt;=($E459+$Q459)),
-PMT($P459,($Q459-$S459+1),($K459*(VLOOKUP($C$39,$C$37:$BL$44,MATCH($E459,$C$37:$BL$37,0),FALSE)/VLOOKUP($L459,$C$37:$BL$44,MATCH($E459,$C$37:$BL$37,0),FALSE))*
IF($B$5="Foreign Currency",VLOOKUP($C$38,$C$37:$BL$44,MATCH(BE$48,$C$37:$BL$37,0),FALSE)/VLOOKUP($C$39,$C$37:$BL$44,MATCH(BE$48,$C$37:$BL$37,0),FALSE),1)),0), 0),
    IF($T459="EPP with Grace Years for Principal and on Interest",
        IF(AND(BE$48&gt;=($E459+$S459), BE$48&lt;=($E459+$Q459)),
-PMT($P459,($Q459-$S459+1),($K459*(VLOOKUP($C$39,$C$37:$BL$44,MATCH($E459,$C$37:$BL$37,0),FALSE)/VLOOKUP($L459,$C$37:$BL$44,MATCH($E459,$C$37:$BL$37,0),FALSE))*
IF($B$5="Foreign Currency",VLOOKUP($C$38,$C$37:$BL$44,MATCH(BE$48,$C$37:$BL$37,0),FALSE)/VLOOKUP($C$39,$C$37:$BL$44,MATCH(BE$48,$C$37:$BL$37,0),FALSE),1))*((1+$P459)^$S459),0), 0),
    0)))))),"")</f>
        <v>0</v>
      </c>
      <c r="BF459" s="171">
        <f t="shared" si="748"/>
        <v>0</v>
      </c>
      <c r="BG459" s="171">
        <f t="shared" si="748"/>
        <v>0</v>
      </c>
      <c r="BH459" s="171">
        <f t="shared" si="748"/>
        <v>0</v>
      </c>
      <c r="BI459" s="171">
        <f t="shared" si="748"/>
        <v>0</v>
      </c>
      <c r="BJ459" s="171">
        <f t="shared" si="748"/>
        <v>0</v>
      </c>
      <c r="BK459" s="171">
        <f t="shared" si="748"/>
        <v>0</v>
      </c>
      <c r="BL459" s="171">
        <f t="shared" si="748"/>
        <v>0</v>
      </c>
      <c r="BM459" s="171">
        <f t="shared" si="748"/>
        <v>0</v>
      </c>
      <c r="BN459" s="171">
        <f t="shared" si="748"/>
        <v>0</v>
      </c>
      <c r="BO459" s="171">
        <f t="shared" ref="BO459:BX468" si="749">IFERROR(
    IF($T459="Equity",
        IF(AND(BO$48&gt;=$E459, BO$48&lt;=($E459+$Q459)),
$K459*$P459*(VLOOKUP($C$39,$C$37:$BL$44,MATCH($E459,$C$37:$BL$37,0),FALSE)/VLOOKUP($L459,$C$37:$BL$44,MATCH($E459,$C$37:$BL$37,0),FALSE))*
IF($B$5="Foreign Currency",VLOOKUP($C$38,$C$37:$BL$44,MATCH(BO$48,$C$37:$BL$37,0),FALSE)/VLOOKUP($C$39,$C$37:$BL$44,MATCH(BO$48,$C$37:$BL$37,0),FALSE),1),
0),
    IF($T459="Lump Sum Principal",
        IF(AND(BO$48&gt;=$E459, BO$48&lt;($E459+$Q459)),
$K459*$P459*(VLOOKUP($C$39,$C$37:$BL$44,MATCH($E459,$C$37:$BL$37,0),FALSE)/VLOOKUP($L459,$C$37:$BL$44,MATCH($E459,$C$37:$BL$37,0),FALSE))*
IF($B$5="Foreign Currency",VLOOKUP($C$38,$C$37:$BL$44,MATCH(BO$48,$C$37:$BL$37,0),FALSE)/VLOOKUP($C$39,$C$37:$BL$44,MATCH(BO$48,$C$37:$BL$37,0),FALSE),1),
        IF(BO$48=($E459+$Q459),
$K459*(1+$P459)*(VLOOKUP($C$39,$C$37:$BL$44,MATCH($E459,$C$37:$BL$37,0),FALSE)/VLOOKUP($L459,$C$37:$BL$44,MATCH($E459,$C$37:$BL$37,0),FALSE))*
IF($B$5="Foreign Currency",VLOOKUP($C$38,$C$37:$BL$44,MATCH(BO$48,$C$37:$BL$37,0),FALSE)/VLOOKUP($C$39,$C$37:$BL$44,MATCH(BO$48,$C$37:$BL$37,0),FALSE),1),
0)),
    IF($T459="Lump Sum Principal and Interest",
        IF(BO$48=($E459+$Q459),
$K459*((1+$P459)^$Q459)*(VLOOKUP($C$39,$C$37:$BL$44,MATCH($E459,$C$37:$BL$37,0),FALSE)/VLOOKUP($L459,$C$37:$BL$44,MATCH($E459,$C$37:$BL$37,0),FALSE))*
IF($B$5="Foreign Currency",VLOOKUP($C$38,$C$37:$BL$44,MATCH(BO$48,$C$37:$BL$37,0),FALSE)/VLOOKUP($C$39,$C$37:$BL$44,MATCH(BO$48,$C$37:$BL$37,0),FALSE),1),
0),
    IF($T459="EPP with Grace Years for Principal",
        IF(AND(BO$48&gt;=$E459, BO$48&lt;($E459+$S459)),
$K459*$P459*(VLOOKUP($C$39,$C$37:$BL$44,MATCH($E459,$C$37:$BL$37,0),FALSE)/VLOOKUP($L459,$C$37:$BL$44,MATCH($E459,$C$37:$BL$37,0),FALSE))*
IF($B$5="Foreign Currency",VLOOKUP($C$38,$C$37:$BL$44,MATCH(BO$48,$C$37:$BL$37,0),FALSE)/VLOOKUP($C$39,$C$37:$BL$44,MATCH(BO$48,$C$37:$BL$37,0),FALSE),1),
        IF(AND(BO$48&gt;=($E459+$S459), BO$48&lt;=($E459+$Q459)),
-PMT($P459,($Q459-$S459+1),($K459*(VLOOKUP($C$39,$C$37:$BL$44,MATCH($E459,$C$37:$BL$37,0),FALSE)/VLOOKUP($L459,$C$37:$BL$44,MATCH($E459,$C$37:$BL$37,0),FALSE))*
IF($B$5="Foreign Currency",VLOOKUP($C$38,$C$37:$BL$44,MATCH(BO$48,$C$37:$BL$37,0),FALSE)/VLOOKUP($C$39,$C$37:$BL$44,MATCH(BO$48,$C$37:$BL$37,0),FALSE),1)),0),
0)),
    IF($T459="Equal Principal Payments (EPP)",
        IF(AND(BO$48&gt;=$E459, BO$48&lt;=($E459+$Q459)),
-PMT($P459,($Q459-$S459+1),($K459*(VLOOKUP($C$39,$C$37:$BL$44,MATCH($E459,$C$37:$BL$37,0),FALSE)/VLOOKUP($L459,$C$37:$BL$44,MATCH($E459,$C$37:$BL$37,0),FALSE))*
IF($B$5="Foreign Currency",VLOOKUP($C$38,$C$37:$BL$44,MATCH(BO$48,$C$37:$BL$37,0),FALSE)/VLOOKUP($C$39,$C$37:$BL$44,MATCH(BO$48,$C$37:$BL$37,0),FALSE),1)),0), 0),
    IF($T459="EPP with Grace Years for Principal and on Interest",
        IF(AND(BO$48&gt;=($E459+$S459), BO$48&lt;=($E459+$Q459)),
-PMT($P459,($Q459-$S459+1),($K459*(VLOOKUP($C$39,$C$37:$BL$44,MATCH($E459,$C$37:$BL$37,0),FALSE)/VLOOKUP($L459,$C$37:$BL$44,MATCH($E459,$C$37:$BL$37,0),FALSE))*
IF($B$5="Foreign Currency",VLOOKUP($C$38,$C$37:$BL$44,MATCH(BO$48,$C$37:$BL$37,0),FALSE)/VLOOKUP($C$39,$C$37:$BL$44,MATCH(BO$48,$C$37:$BL$37,0),FALSE),1))*((1+$P459)^$S459),0), 0),
    0)))))),"")</f>
        <v>0</v>
      </c>
      <c r="BP459" s="171">
        <f t="shared" si="749"/>
        <v>0</v>
      </c>
      <c r="BQ459" s="171">
        <f t="shared" si="749"/>
        <v>0</v>
      </c>
      <c r="BR459" s="171">
        <f t="shared" si="749"/>
        <v>0</v>
      </c>
      <c r="BS459" s="171">
        <f t="shared" si="749"/>
        <v>0</v>
      </c>
      <c r="BT459" s="171">
        <f t="shared" si="749"/>
        <v>0</v>
      </c>
      <c r="BU459" s="171">
        <f t="shared" si="749"/>
        <v>0</v>
      </c>
      <c r="BV459" s="171">
        <f t="shared" si="749"/>
        <v>0</v>
      </c>
      <c r="BW459" s="171">
        <f t="shared" si="749"/>
        <v>0</v>
      </c>
      <c r="BX459" s="171">
        <f t="shared" si="749"/>
        <v>0</v>
      </c>
      <c r="BY459" s="171">
        <f t="shared" ref="BY459:CI468" si="750">IFERROR(
    IF($T459="Equity",
        IF(AND(BY$48&gt;=$E459, BY$48&lt;=($E459+$Q459)),
$K459*$P459*(VLOOKUP($C$39,$C$37:$BL$44,MATCH($E459,$C$37:$BL$37,0),FALSE)/VLOOKUP($L459,$C$37:$BL$44,MATCH($E459,$C$37:$BL$37,0),FALSE))*
IF($B$5="Foreign Currency",VLOOKUP($C$38,$C$37:$BL$44,MATCH(BY$48,$C$37:$BL$37,0),FALSE)/VLOOKUP($C$39,$C$37:$BL$44,MATCH(BY$48,$C$37:$BL$37,0),FALSE),1),
0),
    IF($T459="Lump Sum Principal",
        IF(AND(BY$48&gt;=$E459, BY$48&lt;($E459+$Q459)),
$K459*$P459*(VLOOKUP($C$39,$C$37:$BL$44,MATCH($E459,$C$37:$BL$37,0),FALSE)/VLOOKUP($L459,$C$37:$BL$44,MATCH($E459,$C$37:$BL$37,0),FALSE))*
IF($B$5="Foreign Currency",VLOOKUP($C$38,$C$37:$BL$44,MATCH(BY$48,$C$37:$BL$37,0),FALSE)/VLOOKUP($C$39,$C$37:$BL$44,MATCH(BY$48,$C$37:$BL$37,0),FALSE),1),
        IF(BY$48=($E459+$Q459),
$K459*(1+$P459)*(VLOOKUP($C$39,$C$37:$BL$44,MATCH($E459,$C$37:$BL$37,0),FALSE)/VLOOKUP($L459,$C$37:$BL$44,MATCH($E459,$C$37:$BL$37,0),FALSE))*
IF($B$5="Foreign Currency",VLOOKUP($C$38,$C$37:$BL$44,MATCH(BY$48,$C$37:$BL$37,0),FALSE)/VLOOKUP($C$39,$C$37:$BL$44,MATCH(BY$48,$C$37:$BL$37,0),FALSE),1),
0)),
    IF($T459="Lump Sum Principal and Interest",
        IF(BY$48=($E459+$Q459),
$K459*((1+$P459)^$Q459)*(VLOOKUP($C$39,$C$37:$BL$44,MATCH($E459,$C$37:$BL$37,0),FALSE)/VLOOKUP($L459,$C$37:$BL$44,MATCH($E459,$C$37:$BL$37,0),FALSE))*
IF($B$5="Foreign Currency",VLOOKUP($C$38,$C$37:$BL$44,MATCH(BY$48,$C$37:$BL$37,0),FALSE)/VLOOKUP($C$39,$C$37:$BL$44,MATCH(BY$48,$C$37:$BL$37,0),FALSE),1),
0),
    IF($T459="EPP with Grace Years for Principal",
        IF(AND(BY$48&gt;=$E459, BY$48&lt;($E459+$S459)),
$K459*$P459*(VLOOKUP($C$39,$C$37:$BL$44,MATCH($E459,$C$37:$BL$37,0),FALSE)/VLOOKUP($L459,$C$37:$BL$44,MATCH($E459,$C$37:$BL$37,0),FALSE))*
IF($B$5="Foreign Currency",VLOOKUP($C$38,$C$37:$BL$44,MATCH(BY$48,$C$37:$BL$37,0),FALSE)/VLOOKUP($C$39,$C$37:$BL$44,MATCH(BY$48,$C$37:$BL$37,0),FALSE),1),
        IF(AND(BY$48&gt;=($E459+$S459), BY$48&lt;=($E459+$Q459)),
-PMT($P459,($Q459-$S459+1),($K459*(VLOOKUP($C$39,$C$37:$BL$44,MATCH($E459,$C$37:$BL$37,0),FALSE)/VLOOKUP($L459,$C$37:$BL$44,MATCH($E459,$C$37:$BL$37,0),FALSE))*
IF($B$5="Foreign Currency",VLOOKUP($C$38,$C$37:$BL$44,MATCH(BY$48,$C$37:$BL$37,0),FALSE)/VLOOKUP($C$39,$C$37:$BL$44,MATCH(BY$48,$C$37:$BL$37,0),FALSE),1)),0),
0)),
    IF($T459="Equal Principal Payments (EPP)",
        IF(AND(BY$48&gt;=$E459, BY$48&lt;=($E459+$Q459)),
-PMT($P459,($Q459-$S459+1),($K459*(VLOOKUP($C$39,$C$37:$BL$44,MATCH($E459,$C$37:$BL$37,0),FALSE)/VLOOKUP($L459,$C$37:$BL$44,MATCH($E459,$C$37:$BL$37,0),FALSE))*
IF($B$5="Foreign Currency",VLOOKUP($C$38,$C$37:$BL$44,MATCH(BY$48,$C$37:$BL$37,0),FALSE)/VLOOKUP($C$39,$C$37:$BL$44,MATCH(BY$48,$C$37:$BL$37,0),FALSE),1)),0), 0),
    IF($T459="EPP with Grace Years for Principal and on Interest",
        IF(AND(BY$48&gt;=($E459+$S459), BY$48&lt;=($E459+$Q459)),
-PMT($P459,($Q459-$S459+1),($K459*(VLOOKUP($C$39,$C$37:$BL$44,MATCH($E459,$C$37:$BL$37,0),FALSE)/VLOOKUP($L459,$C$37:$BL$44,MATCH($E459,$C$37:$BL$37,0),FALSE))*
IF($B$5="Foreign Currency",VLOOKUP($C$38,$C$37:$BL$44,MATCH(BY$48,$C$37:$BL$37,0),FALSE)/VLOOKUP($C$39,$C$37:$BL$44,MATCH(BY$48,$C$37:$BL$37,0),FALSE),1))*((1+$P459)^$S459),0), 0),
    0)))))),"")</f>
        <v>0</v>
      </c>
      <c r="BZ459" s="171">
        <f t="shared" si="750"/>
        <v>0</v>
      </c>
      <c r="CA459" s="171">
        <f t="shared" si="750"/>
        <v>0</v>
      </c>
      <c r="CB459" s="171">
        <f t="shared" si="750"/>
        <v>0</v>
      </c>
      <c r="CC459" s="171">
        <f t="shared" si="750"/>
        <v>0</v>
      </c>
      <c r="CD459" s="171">
        <f t="shared" si="750"/>
        <v>0</v>
      </c>
      <c r="CE459" s="171">
        <f t="shared" si="750"/>
        <v>0</v>
      </c>
      <c r="CF459" s="171">
        <f t="shared" si="750"/>
        <v>0</v>
      </c>
      <c r="CG459" s="171">
        <f t="shared" si="750"/>
        <v>0</v>
      </c>
      <c r="CH459" s="171">
        <f t="shared" si="750"/>
        <v>0</v>
      </c>
      <c r="CI459" s="171">
        <f t="shared" si="750"/>
        <v>0</v>
      </c>
      <c r="CJ459" s="243"/>
      <c r="CK459" s="171">
        <f t="shared" si="671"/>
        <v>0</v>
      </c>
      <c r="CL459" s="171">
        <f t="shared" si="672"/>
        <v>0</v>
      </c>
      <c r="CM459" s="171">
        <f t="shared" si="673"/>
        <v>0</v>
      </c>
      <c r="CN459" s="171">
        <f t="shared" si="674"/>
        <v>0</v>
      </c>
      <c r="CO459" s="171">
        <f t="shared" si="675"/>
        <v>0</v>
      </c>
      <c r="CP459" s="171">
        <f t="shared" si="676"/>
        <v>0</v>
      </c>
      <c r="CQ459" s="171">
        <f t="shared" si="677"/>
        <v>0</v>
      </c>
      <c r="CR459" s="171">
        <f t="shared" si="678"/>
        <v>0</v>
      </c>
      <c r="CS459" s="171">
        <f t="shared" si="679"/>
        <v>0</v>
      </c>
      <c r="CT459" s="171">
        <f t="shared" si="680"/>
        <v>0</v>
      </c>
      <c r="CU459" s="171">
        <f t="shared" si="681"/>
        <v>0</v>
      </c>
      <c r="CV459" s="171">
        <f t="shared" si="682"/>
        <v>0</v>
      </c>
      <c r="CW459" s="171">
        <f t="shared" si="683"/>
        <v>0</v>
      </c>
      <c r="CX459" s="171">
        <f t="shared" si="684"/>
        <v>0</v>
      </c>
      <c r="CY459" s="171">
        <f t="shared" ca="1" si="685"/>
        <v>0</v>
      </c>
      <c r="CZ459" s="171">
        <f t="shared" ca="1" si="686"/>
        <v>0</v>
      </c>
      <c r="DA459" s="171">
        <f t="shared" ca="1" si="687"/>
        <v>0</v>
      </c>
      <c r="DB459" s="171">
        <f t="shared" ca="1" si="688"/>
        <v>0</v>
      </c>
      <c r="DC459" s="171">
        <f t="shared" ca="1" si="689"/>
        <v>0</v>
      </c>
      <c r="DD459" s="171">
        <f t="shared" ca="1" si="690"/>
        <v>0</v>
      </c>
      <c r="DE459" s="171">
        <f t="shared" ca="1" si="691"/>
        <v>0</v>
      </c>
      <c r="DF459" s="171">
        <f t="shared" ca="1" si="692"/>
        <v>0</v>
      </c>
      <c r="DG459" s="171">
        <f t="shared" ca="1" si="693"/>
        <v>0</v>
      </c>
      <c r="DH459" s="171">
        <f t="shared" ca="1" si="694"/>
        <v>0</v>
      </c>
      <c r="DI459" s="171">
        <f t="shared" ca="1" si="695"/>
        <v>0</v>
      </c>
      <c r="DJ459" s="171">
        <f t="shared" ca="1" si="696"/>
        <v>0</v>
      </c>
      <c r="DK459" s="171">
        <f t="shared" ca="1" si="697"/>
        <v>0</v>
      </c>
      <c r="DL459" s="171">
        <f t="shared" ca="1" si="698"/>
        <v>0</v>
      </c>
      <c r="DM459" s="171">
        <f t="shared" ca="1" si="699"/>
        <v>0</v>
      </c>
      <c r="DN459" s="171">
        <f t="shared" ca="1" si="700"/>
        <v>0</v>
      </c>
      <c r="DO459" s="171">
        <f t="shared" ca="1" si="701"/>
        <v>0</v>
      </c>
      <c r="DP459" s="171">
        <f t="shared" ca="1" si="702"/>
        <v>0</v>
      </c>
      <c r="DQ459" s="171">
        <f t="shared" ca="1" si="703"/>
        <v>0</v>
      </c>
      <c r="DR459" s="171">
        <f t="shared" ca="1" si="704"/>
        <v>0</v>
      </c>
      <c r="DS459" s="171">
        <f t="shared" ca="1" si="705"/>
        <v>0</v>
      </c>
      <c r="DT459" s="171">
        <f t="shared" ca="1" si="706"/>
        <v>0</v>
      </c>
      <c r="DU459" s="171">
        <f t="shared" ca="1" si="707"/>
        <v>0</v>
      </c>
      <c r="DV459" s="171">
        <f t="shared" ca="1" si="708"/>
        <v>0</v>
      </c>
      <c r="DW459" s="171">
        <f t="shared" ca="1" si="709"/>
        <v>0</v>
      </c>
      <c r="DX459" s="171">
        <f t="shared" ca="1" si="710"/>
        <v>0</v>
      </c>
      <c r="DY459" s="171">
        <f t="shared" ca="1" si="711"/>
        <v>0</v>
      </c>
      <c r="DZ459" s="171">
        <f t="shared" ca="1" si="712"/>
        <v>0</v>
      </c>
      <c r="EA459" s="171">
        <f t="shared" ca="1" si="713"/>
        <v>0</v>
      </c>
      <c r="EB459" s="171">
        <f t="shared" ca="1" si="714"/>
        <v>0</v>
      </c>
      <c r="EC459" s="171">
        <f t="shared" ca="1" si="715"/>
        <v>0</v>
      </c>
      <c r="ED459" s="171">
        <f t="shared" ca="1" si="716"/>
        <v>0</v>
      </c>
      <c r="EE459" s="171">
        <f t="shared" ca="1" si="717"/>
        <v>0</v>
      </c>
      <c r="EF459" s="171">
        <f t="shared" ca="1" si="718"/>
        <v>0</v>
      </c>
      <c r="EG459" s="171">
        <f t="shared" ca="1" si="719"/>
        <v>0</v>
      </c>
      <c r="EH459" s="171">
        <f t="shared" ca="1" si="720"/>
        <v>0</v>
      </c>
      <c r="EI459" s="171">
        <f t="shared" ca="1" si="721"/>
        <v>0</v>
      </c>
      <c r="EJ459" s="171">
        <f t="shared" ca="1" si="722"/>
        <v>0</v>
      </c>
      <c r="EK459" s="171">
        <f t="shared" ca="1" si="723"/>
        <v>0</v>
      </c>
      <c r="EL459" s="171">
        <f t="shared" ca="1" si="724"/>
        <v>0</v>
      </c>
      <c r="EM459" s="171">
        <f t="shared" ca="1" si="725"/>
        <v>0</v>
      </c>
      <c r="EN459" s="171">
        <f t="shared" ca="1" si="726"/>
        <v>0</v>
      </c>
      <c r="EO459" s="171">
        <f t="shared" ca="1" si="727"/>
        <v>0</v>
      </c>
      <c r="EP459" s="171">
        <f t="shared" ca="1" si="728"/>
        <v>0</v>
      </c>
      <c r="EQ459" s="171">
        <f t="shared" ca="1" si="729"/>
        <v>0</v>
      </c>
      <c r="ER459" s="171">
        <f t="shared" ca="1" si="730"/>
        <v>0</v>
      </c>
      <c r="ES459" s="171">
        <f t="shared" ca="1" si="731"/>
        <v>0</v>
      </c>
    </row>
    <row r="460" spans="3:149">
      <c r="C460" s="214"/>
      <c r="L460" s="163"/>
      <c r="M460" s="164" t="str">
        <f t="shared" si="662"/>
        <v/>
      </c>
      <c r="N460" s="164" t="str">
        <f t="shared" si="663"/>
        <v/>
      </c>
      <c r="O460" s="165" t="str">
        <f t="shared" si="664"/>
        <v/>
      </c>
      <c r="R460" s="168"/>
      <c r="U460" s="171">
        <f t="shared" si="665"/>
        <v>0</v>
      </c>
      <c r="V460" s="171">
        <f t="shared" ca="1" si="666"/>
        <v>0</v>
      </c>
      <c r="W460" s="171">
        <f t="shared" ca="1" si="667"/>
        <v>0</v>
      </c>
      <c r="X460" s="172">
        <f t="shared" si="668"/>
        <v>0</v>
      </c>
      <c r="Y460" s="172" t="str">
        <f t="shared" si="669"/>
        <v/>
      </c>
      <c r="Z460" s="173">
        <f t="shared" si="670"/>
        <v>0</v>
      </c>
      <c r="AA460" s="171">
        <f t="shared" si="745"/>
        <v>0</v>
      </c>
      <c r="AB460" s="171">
        <f t="shared" si="745"/>
        <v>0</v>
      </c>
      <c r="AC460" s="171">
        <f t="shared" si="745"/>
        <v>0</v>
      </c>
      <c r="AD460" s="171">
        <f t="shared" si="745"/>
        <v>0</v>
      </c>
      <c r="AE460" s="171">
        <f t="shared" si="745"/>
        <v>0</v>
      </c>
      <c r="AF460" s="171">
        <f t="shared" si="745"/>
        <v>0</v>
      </c>
      <c r="AG460" s="171">
        <f t="shared" si="745"/>
        <v>0</v>
      </c>
      <c r="AH460" s="171">
        <f t="shared" si="745"/>
        <v>0</v>
      </c>
      <c r="AI460" s="171">
        <f t="shared" si="745"/>
        <v>0</v>
      </c>
      <c r="AJ460" s="171">
        <f t="shared" si="745"/>
        <v>0</v>
      </c>
      <c r="AK460" s="171">
        <f t="shared" si="746"/>
        <v>0</v>
      </c>
      <c r="AL460" s="171">
        <f t="shared" si="746"/>
        <v>0</v>
      </c>
      <c r="AM460" s="171">
        <f t="shared" si="746"/>
        <v>0</v>
      </c>
      <c r="AN460" s="171">
        <f t="shared" si="746"/>
        <v>0</v>
      </c>
      <c r="AO460" s="171">
        <f t="shared" si="746"/>
        <v>0</v>
      </c>
      <c r="AP460" s="171">
        <f t="shared" si="746"/>
        <v>0</v>
      </c>
      <c r="AQ460" s="171">
        <f t="shared" si="746"/>
        <v>0</v>
      </c>
      <c r="AR460" s="171">
        <f t="shared" si="746"/>
        <v>0</v>
      </c>
      <c r="AS460" s="171">
        <f t="shared" si="746"/>
        <v>0</v>
      </c>
      <c r="AT460" s="171">
        <f t="shared" si="746"/>
        <v>0</v>
      </c>
      <c r="AU460" s="171">
        <f t="shared" si="747"/>
        <v>0</v>
      </c>
      <c r="AV460" s="171">
        <f t="shared" si="747"/>
        <v>0</v>
      </c>
      <c r="AW460" s="171">
        <f t="shared" si="747"/>
        <v>0</v>
      </c>
      <c r="AX460" s="171">
        <f t="shared" si="747"/>
        <v>0</v>
      </c>
      <c r="AY460" s="171">
        <f t="shared" si="747"/>
        <v>0</v>
      </c>
      <c r="AZ460" s="171">
        <f t="shared" si="747"/>
        <v>0</v>
      </c>
      <c r="BA460" s="171">
        <f t="shared" si="747"/>
        <v>0</v>
      </c>
      <c r="BB460" s="171">
        <f t="shared" si="747"/>
        <v>0</v>
      </c>
      <c r="BC460" s="171">
        <f t="shared" si="747"/>
        <v>0</v>
      </c>
      <c r="BD460" s="171">
        <f t="shared" si="747"/>
        <v>0</v>
      </c>
      <c r="BE460" s="171">
        <f t="shared" si="748"/>
        <v>0</v>
      </c>
      <c r="BF460" s="171">
        <f t="shared" si="748"/>
        <v>0</v>
      </c>
      <c r="BG460" s="171">
        <f t="shared" si="748"/>
        <v>0</v>
      </c>
      <c r="BH460" s="171">
        <f t="shared" si="748"/>
        <v>0</v>
      </c>
      <c r="BI460" s="171">
        <f t="shared" si="748"/>
        <v>0</v>
      </c>
      <c r="BJ460" s="171">
        <f t="shared" si="748"/>
        <v>0</v>
      </c>
      <c r="BK460" s="171">
        <f t="shared" si="748"/>
        <v>0</v>
      </c>
      <c r="BL460" s="171">
        <f t="shared" si="748"/>
        <v>0</v>
      </c>
      <c r="BM460" s="171">
        <f t="shared" si="748"/>
        <v>0</v>
      </c>
      <c r="BN460" s="171">
        <f t="shared" si="748"/>
        <v>0</v>
      </c>
      <c r="BO460" s="171">
        <f t="shared" si="749"/>
        <v>0</v>
      </c>
      <c r="BP460" s="171">
        <f t="shared" si="749"/>
        <v>0</v>
      </c>
      <c r="BQ460" s="171">
        <f t="shared" si="749"/>
        <v>0</v>
      </c>
      <c r="BR460" s="171">
        <f t="shared" si="749"/>
        <v>0</v>
      </c>
      <c r="BS460" s="171">
        <f t="shared" si="749"/>
        <v>0</v>
      </c>
      <c r="BT460" s="171">
        <f t="shared" si="749"/>
        <v>0</v>
      </c>
      <c r="BU460" s="171">
        <f t="shared" si="749"/>
        <v>0</v>
      </c>
      <c r="BV460" s="171">
        <f t="shared" si="749"/>
        <v>0</v>
      </c>
      <c r="BW460" s="171">
        <f t="shared" si="749"/>
        <v>0</v>
      </c>
      <c r="BX460" s="171">
        <f t="shared" si="749"/>
        <v>0</v>
      </c>
      <c r="BY460" s="171">
        <f t="shared" si="750"/>
        <v>0</v>
      </c>
      <c r="BZ460" s="171">
        <f t="shared" si="750"/>
        <v>0</v>
      </c>
      <c r="CA460" s="171">
        <f t="shared" si="750"/>
        <v>0</v>
      </c>
      <c r="CB460" s="171">
        <f t="shared" si="750"/>
        <v>0</v>
      </c>
      <c r="CC460" s="171">
        <f t="shared" si="750"/>
        <v>0</v>
      </c>
      <c r="CD460" s="171">
        <f t="shared" si="750"/>
        <v>0</v>
      </c>
      <c r="CE460" s="171">
        <f t="shared" si="750"/>
        <v>0</v>
      </c>
      <c r="CF460" s="171">
        <f t="shared" si="750"/>
        <v>0</v>
      </c>
      <c r="CG460" s="171">
        <f t="shared" si="750"/>
        <v>0</v>
      </c>
      <c r="CH460" s="171">
        <f t="shared" si="750"/>
        <v>0</v>
      </c>
      <c r="CI460" s="171">
        <f t="shared" si="750"/>
        <v>0</v>
      </c>
      <c r="CJ460" s="243"/>
      <c r="CK460" s="171">
        <f t="shared" si="671"/>
        <v>0</v>
      </c>
      <c r="CL460" s="171">
        <f t="shared" si="672"/>
        <v>0</v>
      </c>
      <c r="CM460" s="171">
        <f t="shared" si="673"/>
        <v>0</v>
      </c>
      <c r="CN460" s="171">
        <f t="shared" si="674"/>
        <v>0</v>
      </c>
      <c r="CO460" s="171">
        <f t="shared" si="675"/>
        <v>0</v>
      </c>
      <c r="CP460" s="171">
        <f t="shared" si="676"/>
        <v>0</v>
      </c>
      <c r="CQ460" s="171">
        <f t="shared" si="677"/>
        <v>0</v>
      </c>
      <c r="CR460" s="171">
        <f t="shared" si="678"/>
        <v>0</v>
      </c>
      <c r="CS460" s="171">
        <f t="shared" si="679"/>
        <v>0</v>
      </c>
      <c r="CT460" s="171">
        <f t="shared" si="680"/>
        <v>0</v>
      </c>
      <c r="CU460" s="171">
        <f t="shared" si="681"/>
        <v>0</v>
      </c>
      <c r="CV460" s="171">
        <f t="shared" si="682"/>
        <v>0</v>
      </c>
      <c r="CW460" s="171">
        <f t="shared" si="683"/>
        <v>0</v>
      </c>
      <c r="CX460" s="171">
        <f t="shared" si="684"/>
        <v>0</v>
      </c>
      <c r="CY460" s="171">
        <f t="shared" ca="1" si="685"/>
        <v>0</v>
      </c>
      <c r="CZ460" s="171">
        <f t="shared" ca="1" si="686"/>
        <v>0</v>
      </c>
      <c r="DA460" s="171">
        <f t="shared" ca="1" si="687"/>
        <v>0</v>
      </c>
      <c r="DB460" s="171">
        <f t="shared" ca="1" si="688"/>
        <v>0</v>
      </c>
      <c r="DC460" s="171">
        <f t="shared" ca="1" si="689"/>
        <v>0</v>
      </c>
      <c r="DD460" s="171">
        <f t="shared" ca="1" si="690"/>
        <v>0</v>
      </c>
      <c r="DE460" s="171">
        <f t="shared" ca="1" si="691"/>
        <v>0</v>
      </c>
      <c r="DF460" s="171">
        <f t="shared" ca="1" si="692"/>
        <v>0</v>
      </c>
      <c r="DG460" s="171">
        <f t="shared" ca="1" si="693"/>
        <v>0</v>
      </c>
      <c r="DH460" s="171">
        <f t="shared" ca="1" si="694"/>
        <v>0</v>
      </c>
      <c r="DI460" s="171">
        <f t="shared" ca="1" si="695"/>
        <v>0</v>
      </c>
      <c r="DJ460" s="171">
        <f t="shared" ca="1" si="696"/>
        <v>0</v>
      </c>
      <c r="DK460" s="171">
        <f t="shared" ca="1" si="697"/>
        <v>0</v>
      </c>
      <c r="DL460" s="171">
        <f t="shared" ca="1" si="698"/>
        <v>0</v>
      </c>
      <c r="DM460" s="171">
        <f t="shared" ca="1" si="699"/>
        <v>0</v>
      </c>
      <c r="DN460" s="171">
        <f t="shared" ca="1" si="700"/>
        <v>0</v>
      </c>
      <c r="DO460" s="171">
        <f t="shared" ca="1" si="701"/>
        <v>0</v>
      </c>
      <c r="DP460" s="171">
        <f t="shared" ca="1" si="702"/>
        <v>0</v>
      </c>
      <c r="DQ460" s="171">
        <f t="shared" ca="1" si="703"/>
        <v>0</v>
      </c>
      <c r="DR460" s="171">
        <f t="shared" ca="1" si="704"/>
        <v>0</v>
      </c>
      <c r="DS460" s="171">
        <f t="shared" ca="1" si="705"/>
        <v>0</v>
      </c>
      <c r="DT460" s="171">
        <f t="shared" ca="1" si="706"/>
        <v>0</v>
      </c>
      <c r="DU460" s="171">
        <f t="shared" ca="1" si="707"/>
        <v>0</v>
      </c>
      <c r="DV460" s="171">
        <f t="shared" ca="1" si="708"/>
        <v>0</v>
      </c>
      <c r="DW460" s="171">
        <f t="shared" ca="1" si="709"/>
        <v>0</v>
      </c>
      <c r="DX460" s="171">
        <f t="shared" ca="1" si="710"/>
        <v>0</v>
      </c>
      <c r="DY460" s="171">
        <f t="shared" ca="1" si="711"/>
        <v>0</v>
      </c>
      <c r="DZ460" s="171">
        <f t="shared" ca="1" si="712"/>
        <v>0</v>
      </c>
      <c r="EA460" s="171">
        <f t="shared" ca="1" si="713"/>
        <v>0</v>
      </c>
      <c r="EB460" s="171">
        <f t="shared" ca="1" si="714"/>
        <v>0</v>
      </c>
      <c r="EC460" s="171">
        <f t="shared" ca="1" si="715"/>
        <v>0</v>
      </c>
      <c r="ED460" s="171">
        <f t="shared" ca="1" si="716"/>
        <v>0</v>
      </c>
      <c r="EE460" s="171">
        <f t="shared" ca="1" si="717"/>
        <v>0</v>
      </c>
      <c r="EF460" s="171">
        <f t="shared" ca="1" si="718"/>
        <v>0</v>
      </c>
      <c r="EG460" s="171">
        <f t="shared" ca="1" si="719"/>
        <v>0</v>
      </c>
      <c r="EH460" s="171">
        <f t="shared" ca="1" si="720"/>
        <v>0</v>
      </c>
      <c r="EI460" s="171">
        <f t="shared" ca="1" si="721"/>
        <v>0</v>
      </c>
      <c r="EJ460" s="171">
        <f t="shared" ca="1" si="722"/>
        <v>0</v>
      </c>
      <c r="EK460" s="171">
        <f t="shared" ca="1" si="723"/>
        <v>0</v>
      </c>
      <c r="EL460" s="171">
        <f t="shared" ca="1" si="724"/>
        <v>0</v>
      </c>
      <c r="EM460" s="171">
        <f t="shared" ca="1" si="725"/>
        <v>0</v>
      </c>
      <c r="EN460" s="171">
        <f t="shared" ca="1" si="726"/>
        <v>0</v>
      </c>
      <c r="EO460" s="171">
        <f t="shared" ca="1" si="727"/>
        <v>0</v>
      </c>
      <c r="EP460" s="171">
        <f t="shared" ca="1" si="728"/>
        <v>0</v>
      </c>
      <c r="EQ460" s="171">
        <f t="shared" ca="1" si="729"/>
        <v>0</v>
      </c>
      <c r="ER460" s="171">
        <f t="shared" ca="1" si="730"/>
        <v>0</v>
      </c>
      <c r="ES460" s="171">
        <f t="shared" ca="1" si="731"/>
        <v>0</v>
      </c>
    </row>
    <row r="461" spans="3:149">
      <c r="C461" s="214"/>
      <c r="L461" s="163"/>
      <c r="M461" s="164" t="str">
        <f t="shared" si="662"/>
        <v/>
      </c>
      <c r="N461" s="164" t="str">
        <f t="shared" si="663"/>
        <v/>
      </c>
      <c r="O461" s="165" t="str">
        <f t="shared" si="664"/>
        <v/>
      </c>
      <c r="R461" s="168"/>
      <c r="U461" s="171">
        <f t="shared" si="665"/>
        <v>0</v>
      </c>
      <c r="V461" s="171">
        <f t="shared" ca="1" si="666"/>
        <v>0</v>
      </c>
      <c r="W461" s="171">
        <f t="shared" ca="1" si="667"/>
        <v>0</v>
      </c>
      <c r="X461" s="172">
        <f t="shared" si="668"/>
        <v>0</v>
      </c>
      <c r="Y461" s="172" t="str">
        <f t="shared" si="669"/>
        <v/>
      </c>
      <c r="Z461" s="173">
        <f t="shared" si="670"/>
        <v>0</v>
      </c>
      <c r="AA461" s="171">
        <f t="shared" si="745"/>
        <v>0</v>
      </c>
      <c r="AB461" s="171">
        <f t="shared" si="745"/>
        <v>0</v>
      </c>
      <c r="AC461" s="171">
        <f t="shared" si="745"/>
        <v>0</v>
      </c>
      <c r="AD461" s="171">
        <f t="shared" si="745"/>
        <v>0</v>
      </c>
      <c r="AE461" s="171">
        <f t="shared" si="745"/>
        <v>0</v>
      </c>
      <c r="AF461" s="171">
        <f t="shared" si="745"/>
        <v>0</v>
      </c>
      <c r="AG461" s="171">
        <f t="shared" si="745"/>
        <v>0</v>
      </c>
      <c r="AH461" s="171">
        <f t="shared" si="745"/>
        <v>0</v>
      </c>
      <c r="AI461" s="171">
        <f t="shared" si="745"/>
        <v>0</v>
      </c>
      <c r="AJ461" s="171">
        <f t="shared" si="745"/>
        <v>0</v>
      </c>
      <c r="AK461" s="171">
        <f t="shared" si="746"/>
        <v>0</v>
      </c>
      <c r="AL461" s="171">
        <f t="shared" si="746"/>
        <v>0</v>
      </c>
      <c r="AM461" s="171">
        <f t="shared" si="746"/>
        <v>0</v>
      </c>
      <c r="AN461" s="171">
        <f t="shared" si="746"/>
        <v>0</v>
      </c>
      <c r="AO461" s="171">
        <f t="shared" si="746"/>
        <v>0</v>
      </c>
      <c r="AP461" s="171">
        <f t="shared" si="746"/>
        <v>0</v>
      </c>
      <c r="AQ461" s="171">
        <f t="shared" si="746"/>
        <v>0</v>
      </c>
      <c r="AR461" s="171">
        <f t="shared" si="746"/>
        <v>0</v>
      </c>
      <c r="AS461" s="171">
        <f t="shared" si="746"/>
        <v>0</v>
      </c>
      <c r="AT461" s="171">
        <f t="shared" si="746"/>
        <v>0</v>
      </c>
      <c r="AU461" s="171">
        <f t="shared" si="747"/>
        <v>0</v>
      </c>
      <c r="AV461" s="171">
        <f t="shared" si="747"/>
        <v>0</v>
      </c>
      <c r="AW461" s="171">
        <f t="shared" si="747"/>
        <v>0</v>
      </c>
      <c r="AX461" s="171">
        <f t="shared" si="747"/>
        <v>0</v>
      </c>
      <c r="AY461" s="171">
        <f t="shared" si="747"/>
        <v>0</v>
      </c>
      <c r="AZ461" s="171">
        <f t="shared" si="747"/>
        <v>0</v>
      </c>
      <c r="BA461" s="171">
        <f t="shared" si="747"/>
        <v>0</v>
      </c>
      <c r="BB461" s="171">
        <f t="shared" si="747"/>
        <v>0</v>
      </c>
      <c r="BC461" s="171">
        <f t="shared" si="747"/>
        <v>0</v>
      </c>
      <c r="BD461" s="171">
        <f t="shared" si="747"/>
        <v>0</v>
      </c>
      <c r="BE461" s="171">
        <f t="shared" si="748"/>
        <v>0</v>
      </c>
      <c r="BF461" s="171">
        <f t="shared" si="748"/>
        <v>0</v>
      </c>
      <c r="BG461" s="171">
        <f t="shared" si="748"/>
        <v>0</v>
      </c>
      <c r="BH461" s="171">
        <f t="shared" si="748"/>
        <v>0</v>
      </c>
      <c r="BI461" s="171">
        <f t="shared" si="748"/>
        <v>0</v>
      </c>
      <c r="BJ461" s="171">
        <f t="shared" si="748"/>
        <v>0</v>
      </c>
      <c r="BK461" s="171">
        <f t="shared" si="748"/>
        <v>0</v>
      </c>
      <c r="BL461" s="171">
        <f t="shared" si="748"/>
        <v>0</v>
      </c>
      <c r="BM461" s="171">
        <f t="shared" si="748"/>
        <v>0</v>
      </c>
      <c r="BN461" s="171">
        <f t="shared" si="748"/>
        <v>0</v>
      </c>
      <c r="BO461" s="171">
        <f t="shared" si="749"/>
        <v>0</v>
      </c>
      <c r="BP461" s="171">
        <f t="shared" si="749"/>
        <v>0</v>
      </c>
      <c r="BQ461" s="171">
        <f t="shared" si="749"/>
        <v>0</v>
      </c>
      <c r="BR461" s="171">
        <f t="shared" si="749"/>
        <v>0</v>
      </c>
      <c r="BS461" s="171">
        <f t="shared" si="749"/>
        <v>0</v>
      </c>
      <c r="BT461" s="171">
        <f t="shared" si="749"/>
        <v>0</v>
      </c>
      <c r="BU461" s="171">
        <f t="shared" si="749"/>
        <v>0</v>
      </c>
      <c r="BV461" s="171">
        <f t="shared" si="749"/>
        <v>0</v>
      </c>
      <c r="BW461" s="171">
        <f t="shared" si="749"/>
        <v>0</v>
      </c>
      <c r="BX461" s="171">
        <f t="shared" si="749"/>
        <v>0</v>
      </c>
      <c r="BY461" s="171">
        <f t="shared" si="750"/>
        <v>0</v>
      </c>
      <c r="BZ461" s="171">
        <f t="shared" si="750"/>
        <v>0</v>
      </c>
      <c r="CA461" s="171">
        <f t="shared" si="750"/>
        <v>0</v>
      </c>
      <c r="CB461" s="171">
        <f t="shared" si="750"/>
        <v>0</v>
      </c>
      <c r="CC461" s="171">
        <f t="shared" si="750"/>
        <v>0</v>
      </c>
      <c r="CD461" s="171">
        <f t="shared" si="750"/>
        <v>0</v>
      </c>
      <c r="CE461" s="171">
        <f t="shared" si="750"/>
        <v>0</v>
      </c>
      <c r="CF461" s="171">
        <f t="shared" si="750"/>
        <v>0</v>
      </c>
      <c r="CG461" s="171">
        <f t="shared" si="750"/>
        <v>0</v>
      </c>
      <c r="CH461" s="171">
        <f t="shared" si="750"/>
        <v>0</v>
      </c>
      <c r="CI461" s="171">
        <f t="shared" si="750"/>
        <v>0</v>
      </c>
      <c r="CJ461" s="243"/>
      <c r="CK461" s="171">
        <f t="shared" si="671"/>
        <v>0</v>
      </c>
      <c r="CL461" s="171">
        <f t="shared" si="672"/>
        <v>0</v>
      </c>
      <c r="CM461" s="171">
        <f t="shared" si="673"/>
        <v>0</v>
      </c>
      <c r="CN461" s="171">
        <f t="shared" si="674"/>
        <v>0</v>
      </c>
      <c r="CO461" s="171">
        <f t="shared" si="675"/>
        <v>0</v>
      </c>
      <c r="CP461" s="171">
        <f t="shared" si="676"/>
        <v>0</v>
      </c>
      <c r="CQ461" s="171">
        <f t="shared" si="677"/>
        <v>0</v>
      </c>
      <c r="CR461" s="171">
        <f t="shared" si="678"/>
        <v>0</v>
      </c>
      <c r="CS461" s="171">
        <f t="shared" si="679"/>
        <v>0</v>
      </c>
      <c r="CT461" s="171">
        <f t="shared" si="680"/>
        <v>0</v>
      </c>
      <c r="CU461" s="171">
        <f t="shared" si="681"/>
        <v>0</v>
      </c>
      <c r="CV461" s="171">
        <f t="shared" si="682"/>
        <v>0</v>
      </c>
      <c r="CW461" s="171">
        <f t="shared" si="683"/>
        <v>0</v>
      </c>
      <c r="CX461" s="171">
        <f t="shared" si="684"/>
        <v>0</v>
      </c>
      <c r="CY461" s="171">
        <f t="shared" ca="1" si="685"/>
        <v>0</v>
      </c>
      <c r="CZ461" s="171">
        <f t="shared" ca="1" si="686"/>
        <v>0</v>
      </c>
      <c r="DA461" s="171">
        <f t="shared" ca="1" si="687"/>
        <v>0</v>
      </c>
      <c r="DB461" s="171">
        <f t="shared" ca="1" si="688"/>
        <v>0</v>
      </c>
      <c r="DC461" s="171">
        <f t="shared" ca="1" si="689"/>
        <v>0</v>
      </c>
      <c r="DD461" s="171">
        <f t="shared" ca="1" si="690"/>
        <v>0</v>
      </c>
      <c r="DE461" s="171">
        <f t="shared" ca="1" si="691"/>
        <v>0</v>
      </c>
      <c r="DF461" s="171">
        <f t="shared" ca="1" si="692"/>
        <v>0</v>
      </c>
      <c r="DG461" s="171">
        <f t="shared" ca="1" si="693"/>
        <v>0</v>
      </c>
      <c r="DH461" s="171">
        <f t="shared" ca="1" si="694"/>
        <v>0</v>
      </c>
      <c r="DI461" s="171">
        <f t="shared" ca="1" si="695"/>
        <v>0</v>
      </c>
      <c r="DJ461" s="171">
        <f t="shared" ca="1" si="696"/>
        <v>0</v>
      </c>
      <c r="DK461" s="171">
        <f t="shared" ca="1" si="697"/>
        <v>0</v>
      </c>
      <c r="DL461" s="171">
        <f t="shared" ca="1" si="698"/>
        <v>0</v>
      </c>
      <c r="DM461" s="171">
        <f t="shared" ca="1" si="699"/>
        <v>0</v>
      </c>
      <c r="DN461" s="171">
        <f t="shared" ca="1" si="700"/>
        <v>0</v>
      </c>
      <c r="DO461" s="171">
        <f t="shared" ca="1" si="701"/>
        <v>0</v>
      </c>
      <c r="DP461" s="171">
        <f t="shared" ca="1" si="702"/>
        <v>0</v>
      </c>
      <c r="DQ461" s="171">
        <f t="shared" ca="1" si="703"/>
        <v>0</v>
      </c>
      <c r="DR461" s="171">
        <f t="shared" ca="1" si="704"/>
        <v>0</v>
      </c>
      <c r="DS461" s="171">
        <f t="shared" ca="1" si="705"/>
        <v>0</v>
      </c>
      <c r="DT461" s="171">
        <f t="shared" ca="1" si="706"/>
        <v>0</v>
      </c>
      <c r="DU461" s="171">
        <f t="shared" ca="1" si="707"/>
        <v>0</v>
      </c>
      <c r="DV461" s="171">
        <f t="shared" ca="1" si="708"/>
        <v>0</v>
      </c>
      <c r="DW461" s="171">
        <f t="shared" ca="1" si="709"/>
        <v>0</v>
      </c>
      <c r="DX461" s="171">
        <f t="shared" ca="1" si="710"/>
        <v>0</v>
      </c>
      <c r="DY461" s="171">
        <f t="shared" ca="1" si="711"/>
        <v>0</v>
      </c>
      <c r="DZ461" s="171">
        <f t="shared" ca="1" si="712"/>
        <v>0</v>
      </c>
      <c r="EA461" s="171">
        <f t="shared" ca="1" si="713"/>
        <v>0</v>
      </c>
      <c r="EB461" s="171">
        <f t="shared" ca="1" si="714"/>
        <v>0</v>
      </c>
      <c r="EC461" s="171">
        <f t="shared" ca="1" si="715"/>
        <v>0</v>
      </c>
      <c r="ED461" s="171">
        <f t="shared" ca="1" si="716"/>
        <v>0</v>
      </c>
      <c r="EE461" s="171">
        <f t="shared" ca="1" si="717"/>
        <v>0</v>
      </c>
      <c r="EF461" s="171">
        <f t="shared" ca="1" si="718"/>
        <v>0</v>
      </c>
      <c r="EG461" s="171">
        <f t="shared" ca="1" si="719"/>
        <v>0</v>
      </c>
      <c r="EH461" s="171">
        <f t="shared" ca="1" si="720"/>
        <v>0</v>
      </c>
      <c r="EI461" s="171">
        <f t="shared" ca="1" si="721"/>
        <v>0</v>
      </c>
      <c r="EJ461" s="171">
        <f t="shared" ca="1" si="722"/>
        <v>0</v>
      </c>
      <c r="EK461" s="171">
        <f t="shared" ca="1" si="723"/>
        <v>0</v>
      </c>
      <c r="EL461" s="171">
        <f t="shared" ca="1" si="724"/>
        <v>0</v>
      </c>
      <c r="EM461" s="171">
        <f t="shared" ca="1" si="725"/>
        <v>0</v>
      </c>
      <c r="EN461" s="171">
        <f t="shared" ca="1" si="726"/>
        <v>0</v>
      </c>
      <c r="EO461" s="171">
        <f t="shared" ca="1" si="727"/>
        <v>0</v>
      </c>
      <c r="EP461" s="171">
        <f t="shared" ca="1" si="728"/>
        <v>0</v>
      </c>
      <c r="EQ461" s="171">
        <f t="shared" ca="1" si="729"/>
        <v>0</v>
      </c>
      <c r="ER461" s="171">
        <f t="shared" ca="1" si="730"/>
        <v>0</v>
      </c>
      <c r="ES461" s="171">
        <f t="shared" ca="1" si="731"/>
        <v>0</v>
      </c>
    </row>
    <row r="462" spans="3:149">
      <c r="C462" s="214"/>
      <c r="L462" s="163"/>
      <c r="M462" s="164" t="str">
        <f t="shared" si="662"/>
        <v/>
      </c>
      <c r="N462" s="164" t="str">
        <f t="shared" si="663"/>
        <v/>
      </c>
      <c r="O462" s="165" t="str">
        <f t="shared" si="664"/>
        <v/>
      </c>
      <c r="R462" s="168"/>
      <c r="U462" s="171">
        <f t="shared" si="665"/>
        <v>0</v>
      </c>
      <c r="V462" s="171">
        <f t="shared" ca="1" si="666"/>
        <v>0</v>
      </c>
      <c r="W462" s="171">
        <f t="shared" ca="1" si="667"/>
        <v>0</v>
      </c>
      <c r="X462" s="172">
        <f t="shared" si="668"/>
        <v>0</v>
      </c>
      <c r="Y462" s="172" t="str">
        <f t="shared" si="669"/>
        <v/>
      </c>
      <c r="Z462" s="173">
        <f t="shared" si="670"/>
        <v>0</v>
      </c>
      <c r="AA462" s="171">
        <f t="shared" si="745"/>
        <v>0</v>
      </c>
      <c r="AB462" s="171">
        <f t="shared" si="745"/>
        <v>0</v>
      </c>
      <c r="AC462" s="171">
        <f t="shared" si="745"/>
        <v>0</v>
      </c>
      <c r="AD462" s="171">
        <f t="shared" si="745"/>
        <v>0</v>
      </c>
      <c r="AE462" s="171">
        <f t="shared" si="745"/>
        <v>0</v>
      </c>
      <c r="AF462" s="171">
        <f t="shared" si="745"/>
        <v>0</v>
      </c>
      <c r="AG462" s="171">
        <f t="shared" si="745"/>
        <v>0</v>
      </c>
      <c r="AH462" s="171">
        <f t="shared" si="745"/>
        <v>0</v>
      </c>
      <c r="AI462" s="171">
        <f t="shared" si="745"/>
        <v>0</v>
      </c>
      <c r="AJ462" s="171">
        <f t="shared" si="745"/>
        <v>0</v>
      </c>
      <c r="AK462" s="171">
        <f t="shared" si="746"/>
        <v>0</v>
      </c>
      <c r="AL462" s="171">
        <f t="shared" si="746"/>
        <v>0</v>
      </c>
      <c r="AM462" s="171">
        <f t="shared" si="746"/>
        <v>0</v>
      </c>
      <c r="AN462" s="171">
        <f t="shared" si="746"/>
        <v>0</v>
      </c>
      <c r="AO462" s="171">
        <f t="shared" si="746"/>
        <v>0</v>
      </c>
      <c r="AP462" s="171">
        <f t="shared" si="746"/>
        <v>0</v>
      </c>
      <c r="AQ462" s="171">
        <f t="shared" si="746"/>
        <v>0</v>
      </c>
      <c r="AR462" s="171">
        <f t="shared" si="746"/>
        <v>0</v>
      </c>
      <c r="AS462" s="171">
        <f t="shared" si="746"/>
        <v>0</v>
      </c>
      <c r="AT462" s="171">
        <f t="shared" si="746"/>
        <v>0</v>
      </c>
      <c r="AU462" s="171">
        <f t="shared" si="747"/>
        <v>0</v>
      </c>
      <c r="AV462" s="171">
        <f t="shared" si="747"/>
        <v>0</v>
      </c>
      <c r="AW462" s="171">
        <f t="shared" si="747"/>
        <v>0</v>
      </c>
      <c r="AX462" s="171">
        <f t="shared" si="747"/>
        <v>0</v>
      </c>
      <c r="AY462" s="171">
        <f t="shared" si="747"/>
        <v>0</v>
      </c>
      <c r="AZ462" s="171">
        <f t="shared" si="747"/>
        <v>0</v>
      </c>
      <c r="BA462" s="171">
        <f t="shared" si="747"/>
        <v>0</v>
      </c>
      <c r="BB462" s="171">
        <f t="shared" si="747"/>
        <v>0</v>
      </c>
      <c r="BC462" s="171">
        <f t="shared" si="747"/>
        <v>0</v>
      </c>
      <c r="BD462" s="171">
        <f t="shared" si="747"/>
        <v>0</v>
      </c>
      <c r="BE462" s="171">
        <f t="shared" si="748"/>
        <v>0</v>
      </c>
      <c r="BF462" s="171">
        <f t="shared" si="748"/>
        <v>0</v>
      </c>
      <c r="BG462" s="171">
        <f t="shared" si="748"/>
        <v>0</v>
      </c>
      <c r="BH462" s="171">
        <f t="shared" si="748"/>
        <v>0</v>
      </c>
      <c r="BI462" s="171">
        <f t="shared" si="748"/>
        <v>0</v>
      </c>
      <c r="BJ462" s="171">
        <f t="shared" si="748"/>
        <v>0</v>
      </c>
      <c r="BK462" s="171">
        <f t="shared" si="748"/>
        <v>0</v>
      </c>
      <c r="BL462" s="171">
        <f t="shared" si="748"/>
        <v>0</v>
      </c>
      <c r="BM462" s="171">
        <f t="shared" si="748"/>
        <v>0</v>
      </c>
      <c r="BN462" s="171">
        <f t="shared" si="748"/>
        <v>0</v>
      </c>
      <c r="BO462" s="171">
        <f t="shared" si="749"/>
        <v>0</v>
      </c>
      <c r="BP462" s="171">
        <f t="shared" si="749"/>
        <v>0</v>
      </c>
      <c r="BQ462" s="171">
        <f t="shared" si="749"/>
        <v>0</v>
      </c>
      <c r="BR462" s="171">
        <f t="shared" si="749"/>
        <v>0</v>
      </c>
      <c r="BS462" s="171">
        <f t="shared" si="749"/>
        <v>0</v>
      </c>
      <c r="BT462" s="171">
        <f t="shared" si="749"/>
        <v>0</v>
      </c>
      <c r="BU462" s="171">
        <f t="shared" si="749"/>
        <v>0</v>
      </c>
      <c r="BV462" s="171">
        <f t="shared" si="749"/>
        <v>0</v>
      </c>
      <c r="BW462" s="171">
        <f t="shared" si="749"/>
        <v>0</v>
      </c>
      <c r="BX462" s="171">
        <f t="shared" si="749"/>
        <v>0</v>
      </c>
      <c r="BY462" s="171">
        <f t="shared" si="750"/>
        <v>0</v>
      </c>
      <c r="BZ462" s="171">
        <f t="shared" si="750"/>
        <v>0</v>
      </c>
      <c r="CA462" s="171">
        <f t="shared" si="750"/>
        <v>0</v>
      </c>
      <c r="CB462" s="171">
        <f t="shared" si="750"/>
        <v>0</v>
      </c>
      <c r="CC462" s="171">
        <f t="shared" si="750"/>
        <v>0</v>
      </c>
      <c r="CD462" s="171">
        <f t="shared" si="750"/>
        <v>0</v>
      </c>
      <c r="CE462" s="171">
        <f t="shared" si="750"/>
        <v>0</v>
      </c>
      <c r="CF462" s="171">
        <f t="shared" si="750"/>
        <v>0</v>
      </c>
      <c r="CG462" s="171">
        <f t="shared" si="750"/>
        <v>0</v>
      </c>
      <c r="CH462" s="171">
        <f t="shared" si="750"/>
        <v>0</v>
      </c>
      <c r="CI462" s="171">
        <f t="shared" si="750"/>
        <v>0</v>
      </c>
      <c r="CJ462" s="243"/>
      <c r="CK462" s="171">
        <f t="shared" si="671"/>
        <v>0</v>
      </c>
      <c r="CL462" s="171">
        <f t="shared" si="672"/>
        <v>0</v>
      </c>
      <c r="CM462" s="171">
        <f t="shared" si="673"/>
        <v>0</v>
      </c>
      <c r="CN462" s="171">
        <f t="shared" si="674"/>
        <v>0</v>
      </c>
      <c r="CO462" s="171">
        <f t="shared" si="675"/>
        <v>0</v>
      </c>
      <c r="CP462" s="171">
        <f t="shared" si="676"/>
        <v>0</v>
      </c>
      <c r="CQ462" s="171">
        <f t="shared" si="677"/>
        <v>0</v>
      </c>
      <c r="CR462" s="171">
        <f t="shared" si="678"/>
        <v>0</v>
      </c>
      <c r="CS462" s="171">
        <f t="shared" si="679"/>
        <v>0</v>
      </c>
      <c r="CT462" s="171">
        <f t="shared" si="680"/>
        <v>0</v>
      </c>
      <c r="CU462" s="171">
        <f t="shared" si="681"/>
        <v>0</v>
      </c>
      <c r="CV462" s="171">
        <f t="shared" si="682"/>
        <v>0</v>
      </c>
      <c r="CW462" s="171">
        <f t="shared" si="683"/>
        <v>0</v>
      </c>
      <c r="CX462" s="171">
        <f t="shared" si="684"/>
        <v>0</v>
      </c>
      <c r="CY462" s="171">
        <f t="shared" ca="1" si="685"/>
        <v>0</v>
      </c>
      <c r="CZ462" s="171">
        <f t="shared" ca="1" si="686"/>
        <v>0</v>
      </c>
      <c r="DA462" s="171">
        <f t="shared" ca="1" si="687"/>
        <v>0</v>
      </c>
      <c r="DB462" s="171">
        <f t="shared" ca="1" si="688"/>
        <v>0</v>
      </c>
      <c r="DC462" s="171">
        <f t="shared" ca="1" si="689"/>
        <v>0</v>
      </c>
      <c r="DD462" s="171">
        <f t="shared" ca="1" si="690"/>
        <v>0</v>
      </c>
      <c r="DE462" s="171">
        <f t="shared" ca="1" si="691"/>
        <v>0</v>
      </c>
      <c r="DF462" s="171">
        <f t="shared" ca="1" si="692"/>
        <v>0</v>
      </c>
      <c r="DG462" s="171">
        <f t="shared" ca="1" si="693"/>
        <v>0</v>
      </c>
      <c r="DH462" s="171">
        <f t="shared" ca="1" si="694"/>
        <v>0</v>
      </c>
      <c r="DI462" s="171">
        <f t="shared" ca="1" si="695"/>
        <v>0</v>
      </c>
      <c r="DJ462" s="171">
        <f t="shared" ca="1" si="696"/>
        <v>0</v>
      </c>
      <c r="DK462" s="171">
        <f t="shared" ca="1" si="697"/>
        <v>0</v>
      </c>
      <c r="DL462" s="171">
        <f t="shared" ca="1" si="698"/>
        <v>0</v>
      </c>
      <c r="DM462" s="171">
        <f t="shared" ca="1" si="699"/>
        <v>0</v>
      </c>
      <c r="DN462" s="171">
        <f t="shared" ca="1" si="700"/>
        <v>0</v>
      </c>
      <c r="DO462" s="171">
        <f t="shared" ca="1" si="701"/>
        <v>0</v>
      </c>
      <c r="DP462" s="171">
        <f t="shared" ca="1" si="702"/>
        <v>0</v>
      </c>
      <c r="DQ462" s="171">
        <f t="shared" ca="1" si="703"/>
        <v>0</v>
      </c>
      <c r="DR462" s="171">
        <f t="shared" ca="1" si="704"/>
        <v>0</v>
      </c>
      <c r="DS462" s="171">
        <f t="shared" ca="1" si="705"/>
        <v>0</v>
      </c>
      <c r="DT462" s="171">
        <f t="shared" ca="1" si="706"/>
        <v>0</v>
      </c>
      <c r="DU462" s="171">
        <f t="shared" ca="1" si="707"/>
        <v>0</v>
      </c>
      <c r="DV462" s="171">
        <f t="shared" ca="1" si="708"/>
        <v>0</v>
      </c>
      <c r="DW462" s="171">
        <f t="shared" ca="1" si="709"/>
        <v>0</v>
      </c>
      <c r="DX462" s="171">
        <f t="shared" ca="1" si="710"/>
        <v>0</v>
      </c>
      <c r="DY462" s="171">
        <f t="shared" ca="1" si="711"/>
        <v>0</v>
      </c>
      <c r="DZ462" s="171">
        <f t="shared" ca="1" si="712"/>
        <v>0</v>
      </c>
      <c r="EA462" s="171">
        <f t="shared" ca="1" si="713"/>
        <v>0</v>
      </c>
      <c r="EB462" s="171">
        <f t="shared" ca="1" si="714"/>
        <v>0</v>
      </c>
      <c r="EC462" s="171">
        <f t="shared" ca="1" si="715"/>
        <v>0</v>
      </c>
      <c r="ED462" s="171">
        <f t="shared" ca="1" si="716"/>
        <v>0</v>
      </c>
      <c r="EE462" s="171">
        <f t="shared" ca="1" si="717"/>
        <v>0</v>
      </c>
      <c r="EF462" s="171">
        <f t="shared" ca="1" si="718"/>
        <v>0</v>
      </c>
      <c r="EG462" s="171">
        <f t="shared" ca="1" si="719"/>
        <v>0</v>
      </c>
      <c r="EH462" s="171">
        <f t="shared" ca="1" si="720"/>
        <v>0</v>
      </c>
      <c r="EI462" s="171">
        <f t="shared" ca="1" si="721"/>
        <v>0</v>
      </c>
      <c r="EJ462" s="171">
        <f t="shared" ca="1" si="722"/>
        <v>0</v>
      </c>
      <c r="EK462" s="171">
        <f t="shared" ca="1" si="723"/>
        <v>0</v>
      </c>
      <c r="EL462" s="171">
        <f t="shared" ca="1" si="724"/>
        <v>0</v>
      </c>
      <c r="EM462" s="171">
        <f t="shared" ca="1" si="725"/>
        <v>0</v>
      </c>
      <c r="EN462" s="171">
        <f t="shared" ca="1" si="726"/>
        <v>0</v>
      </c>
      <c r="EO462" s="171">
        <f t="shared" ca="1" si="727"/>
        <v>0</v>
      </c>
      <c r="EP462" s="171">
        <f t="shared" ca="1" si="728"/>
        <v>0</v>
      </c>
      <c r="EQ462" s="171">
        <f t="shared" ca="1" si="729"/>
        <v>0</v>
      </c>
      <c r="ER462" s="171">
        <f t="shared" ca="1" si="730"/>
        <v>0</v>
      </c>
      <c r="ES462" s="171">
        <f t="shared" ca="1" si="731"/>
        <v>0</v>
      </c>
    </row>
    <row r="463" spans="3:149">
      <c r="C463" s="214"/>
      <c r="L463" s="163"/>
      <c r="M463" s="164" t="str">
        <f t="shared" si="662"/>
        <v/>
      </c>
      <c r="N463" s="164" t="str">
        <f t="shared" si="663"/>
        <v/>
      </c>
      <c r="O463" s="165" t="str">
        <f t="shared" si="664"/>
        <v/>
      </c>
      <c r="R463" s="168"/>
      <c r="U463" s="171">
        <f t="shared" si="665"/>
        <v>0</v>
      </c>
      <c r="V463" s="171">
        <f t="shared" ca="1" si="666"/>
        <v>0</v>
      </c>
      <c r="W463" s="171">
        <f t="shared" ca="1" si="667"/>
        <v>0</v>
      </c>
      <c r="X463" s="172">
        <f t="shared" si="668"/>
        <v>0</v>
      </c>
      <c r="Y463" s="172" t="str">
        <f t="shared" si="669"/>
        <v/>
      </c>
      <c r="Z463" s="173">
        <f t="shared" si="670"/>
        <v>0</v>
      </c>
      <c r="AA463" s="171">
        <f t="shared" si="745"/>
        <v>0</v>
      </c>
      <c r="AB463" s="171">
        <f t="shared" si="745"/>
        <v>0</v>
      </c>
      <c r="AC463" s="171">
        <f t="shared" si="745"/>
        <v>0</v>
      </c>
      <c r="AD463" s="171">
        <f t="shared" si="745"/>
        <v>0</v>
      </c>
      <c r="AE463" s="171">
        <f t="shared" si="745"/>
        <v>0</v>
      </c>
      <c r="AF463" s="171">
        <f t="shared" si="745"/>
        <v>0</v>
      </c>
      <c r="AG463" s="171">
        <f t="shared" si="745"/>
        <v>0</v>
      </c>
      <c r="AH463" s="171">
        <f t="shared" si="745"/>
        <v>0</v>
      </c>
      <c r="AI463" s="171">
        <f t="shared" si="745"/>
        <v>0</v>
      </c>
      <c r="AJ463" s="171">
        <f t="shared" si="745"/>
        <v>0</v>
      </c>
      <c r="AK463" s="171">
        <f t="shared" si="746"/>
        <v>0</v>
      </c>
      <c r="AL463" s="171">
        <f t="shared" si="746"/>
        <v>0</v>
      </c>
      <c r="AM463" s="171">
        <f t="shared" si="746"/>
        <v>0</v>
      </c>
      <c r="AN463" s="171">
        <f t="shared" si="746"/>
        <v>0</v>
      </c>
      <c r="AO463" s="171">
        <f t="shared" si="746"/>
        <v>0</v>
      </c>
      <c r="AP463" s="171">
        <f t="shared" si="746"/>
        <v>0</v>
      </c>
      <c r="AQ463" s="171">
        <f t="shared" si="746"/>
        <v>0</v>
      </c>
      <c r="AR463" s="171">
        <f t="shared" si="746"/>
        <v>0</v>
      </c>
      <c r="AS463" s="171">
        <f t="shared" si="746"/>
        <v>0</v>
      </c>
      <c r="AT463" s="171">
        <f t="shared" si="746"/>
        <v>0</v>
      </c>
      <c r="AU463" s="171">
        <f t="shared" si="747"/>
        <v>0</v>
      </c>
      <c r="AV463" s="171">
        <f t="shared" si="747"/>
        <v>0</v>
      </c>
      <c r="AW463" s="171">
        <f t="shared" si="747"/>
        <v>0</v>
      </c>
      <c r="AX463" s="171">
        <f t="shared" si="747"/>
        <v>0</v>
      </c>
      <c r="AY463" s="171">
        <f t="shared" si="747"/>
        <v>0</v>
      </c>
      <c r="AZ463" s="171">
        <f t="shared" si="747"/>
        <v>0</v>
      </c>
      <c r="BA463" s="171">
        <f t="shared" si="747"/>
        <v>0</v>
      </c>
      <c r="BB463" s="171">
        <f t="shared" si="747"/>
        <v>0</v>
      </c>
      <c r="BC463" s="171">
        <f t="shared" si="747"/>
        <v>0</v>
      </c>
      <c r="BD463" s="171">
        <f t="shared" si="747"/>
        <v>0</v>
      </c>
      <c r="BE463" s="171">
        <f t="shared" si="748"/>
        <v>0</v>
      </c>
      <c r="BF463" s="171">
        <f t="shared" si="748"/>
        <v>0</v>
      </c>
      <c r="BG463" s="171">
        <f t="shared" si="748"/>
        <v>0</v>
      </c>
      <c r="BH463" s="171">
        <f t="shared" si="748"/>
        <v>0</v>
      </c>
      <c r="BI463" s="171">
        <f t="shared" si="748"/>
        <v>0</v>
      </c>
      <c r="BJ463" s="171">
        <f t="shared" si="748"/>
        <v>0</v>
      </c>
      <c r="BK463" s="171">
        <f t="shared" si="748"/>
        <v>0</v>
      </c>
      <c r="BL463" s="171">
        <f t="shared" si="748"/>
        <v>0</v>
      </c>
      <c r="BM463" s="171">
        <f t="shared" si="748"/>
        <v>0</v>
      </c>
      <c r="BN463" s="171">
        <f t="shared" si="748"/>
        <v>0</v>
      </c>
      <c r="BO463" s="171">
        <f t="shared" si="749"/>
        <v>0</v>
      </c>
      <c r="BP463" s="171">
        <f t="shared" si="749"/>
        <v>0</v>
      </c>
      <c r="BQ463" s="171">
        <f t="shared" si="749"/>
        <v>0</v>
      </c>
      <c r="BR463" s="171">
        <f t="shared" si="749"/>
        <v>0</v>
      </c>
      <c r="BS463" s="171">
        <f t="shared" si="749"/>
        <v>0</v>
      </c>
      <c r="BT463" s="171">
        <f t="shared" si="749"/>
        <v>0</v>
      </c>
      <c r="BU463" s="171">
        <f t="shared" si="749"/>
        <v>0</v>
      </c>
      <c r="BV463" s="171">
        <f t="shared" si="749"/>
        <v>0</v>
      </c>
      <c r="BW463" s="171">
        <f t="shared" si="749"/>
        <v>0</v>
      </c>
      <c r="BX463" s="171">
        <f t="shared" si="749"/>
        <v>0</v>
      </c>
      <c r="BY463" s="171">
        <f t="shared" si="750"/>
        <v>0</v>
      </c>
      <c r="BZ463" s="171">
        <f t="shared" si="750"/>
        <v>0</v>
      </c>
      <c r="CA463" s="171">
        <f t="shared" si="750"/>
        <v>0</v>
      </c>
      <c r="CB463" s="171">
        <f t="shared" si="750"/>
        <v>0</v>
      </c>
      <c r="CC463" s="171">
        <f t="shared" si="750"/>
        <v>0</v>
      </c>
      <c r="CD463" s="171">
        <f t="shared" si="750"/>
        <v>0</v>
      </c>
      <c r="CE463" s="171">
        <f t="shared" si="750"/>
        <v>0</v>
      </c>
      <c r="CF463" s="171">
        <f t="shared" si="750"/>
        <v>0</v>
      </c>
      <c r="CG463" s="171">
        <f t="shared" si="750"/>
        <v>0</v>
      </c>
      <c r="CH463" s="171">
        <f t="shared" si="750"/>
        <v>0</v>
      </c>
      <c r="CI463" s="171">
        <f t="shared" si="750"/>
        <v>0</v>
      </c>
      <c r="CJ463" s="243"/>
      <c r="CK463" s="171">
        <f t="shared" si="671"/>
        <v>0</v>
      </c>
      <c r="CL463" s="171">
        <f t="shared" si="672"/>
        <v>0</v>
      </c>
      <c r="CM463" s="171">
        <f t="shared" si="673"/>
        <v>0</v>
      </c>
      <c r="CN463" s="171">
        <f t="shared" si="674"/>
        <v>0</v>
      </c>
      <c r="CO463" s="171">
        <f t="shared" si="675"/>
        <v>0</v>
      </c>
      <c r="CP463" s="171">
        <f t="shared" si="676"/>
        <v>0</v>
      </c>
      <c r="CQ463" s="171">
        <f t="shared" si="677"/>
        <v>0</v>
      </c>
      <c r="CR463" s="171">
        <f t="shared" si="678"/>
        <v>0</v>
      </c>
      <c r="CS463" s="171">
        <f t="shared" si="679"/>
        <v>0</v>
      </c>
      <c r="CT463" s="171">
        <f t="shared" si="680"/>
        <v>0</v>
      </c>
      <c r="CU463" s="171">
        <f t="shared" si="681"/>
        <v>0</v>
      </c>
      <c r="CV463" s="171">
        <f t="shared" si="682"/>
        <v>0</v>
      </c>
      <c r="CW463" s="171">
        <f t="shared" si="683"/>
        <v>0</v>
      </c>
      <c r="CX463" s="171">
        <f t="shared" si="684"/>
        <v>0</v>
      </c>
      <c r="CY463" s="171">
        <f t="shared" ca="1" si="685"/>
        <v>0</v>
      </c>
      <c r="CZ463" s="171">
        <f t="shared" ca="1" si="686"/>
        <v>0</v>
      </c>
      <c r="DA463" s="171">
        <f t="shared" ca="1" si="687"/>
        <v>0</v>
      </c>
      <c r="DB463" s="171">
        <f t="shared" ca="1" si="688"/>
        <v>0</v>
      </c>
      <c r="DC463" s="171">
        <f t="shared" ca="1" si="689"/>
        <v>0</v>
      </c>
      <c r="DD463" s="171">
        <f t="shared" ca="1" si="690"/>
        <v>0</v>
      </c>
      <c r="DE463" s="171">
        <f t="shared" ca="1" si="691"/>
        <v>0</v>
      </c>
      <c r="DF463" s="171">
        <f t="shared" ca="1" si="692"/>
        <v>0</v>
      </c>
      <c r="DG463" s="171">
        <f t="shared" ca="1" si="693"/>
        <v>0</v>
      </c>
      <c r="DH463" s="171">
        <f t="shared" ca="1" si="694"/>
        <v>0</v>
      </c>
      <c r="DI463" s="171">
        <f t="shared" ca="1" si="695"/>
        <v>0</v>
      </c>
      <c r="DJ463" s="171">
        <f t="shared" ca="1" si="696"/>
        <v>0</v>
      </c>
      <c r="DK463" s="171">
        <f t="shared" ca="1" si="697"/>
        <v>0</v>
      </c>
      <c r="DL463" s="171">
        <f t="shared" ca="1" si="698"/>
        <v>0</v>
      </c>
      <c r="DM463" s="171">
        <f t="shared" ca="1" si="699"/>
        <v>0</v>
      </c>
      <c r="DN463" s="171">
        <f t="shared" ca="1" si="700"/>
        <v>0</v>
      </c>
      <c r="DO463" s="171">
        <f t="shared" ca="1" si="701"/>
        <v>0</v>
      </c>
      <c r="DP463" s="171">
        <f t="shared" ca="1" si="702"/>
        <v>0</v>
      </c>
      <c r="DQ463" s="171">
        <f t="shared" ca="1" si="703"/>
        <v>0</v>
      </c>
      <c r="DR463" s="171">
        <f t="shared" ca="1" si="704"/>
        <v>0</v>
      </c>
      <c r="DS463" s="171">
        <f t="shared" ca="1" si="705"/>
        <v>0</v>
      </c>
      <c r="DT463" s="171">
        <f t="shared" ca="1" si="706"/>
        <v>0</v>
      </c>
      <c r="DU463" s="171">
        <f t="shared" ca="1" si="707"/>
        <v>0</v>
      </c>
      <c r="DV463" s="171">
        <f t="shared" ca="1" si="708"/>
        <v>0</v>
      </c>
      <c r="DW463" s="171">
        <f t="shared" ca="1" si="709"/>
        <v>0</v>
      </c>
      <c r="DX463" s="171">
        <f t="shared" ca="1" si="710"/>
        <v>0</v>
      </c>
      <c r="DY463" s="171">
        <f t="shared" ca="1" si="711"/>
        <v>0</v>
      </c>
      <c r="DZ463" s="171">
        <f t="shared" ca="1" si="712"/>
        <v>0</v>
      </c>
      <c r="EA463" s="171">
        <f t="shared" ca="1" si="713"/>
        <v>0</v>
      </c>
      <c r="EB463" s="171">
        <f t="shared" ca="1" si="714"/>
        <v>0</v>
      </c>
      <c r="EC463" s="171">
        <f t="shared" ca="1" si="715"/>
        <v>0</v>
      </c>
      <c r="ED463" s="171">
        <f t="shared" ca="1" si="716"/>
        <v>0</v>
      </c>
      <c r="EE463" s="171">
        <f t="shared" ca="1" si="717"/>
        <v>0</v>
      </c>
      <c r="EF463" s="171">
        <f t="shared" ca="1" si="718"/>
        <v>0</v>
      </c>
      <c r="EG463" s="171">
        <f t="shared" ca="1" si="719"/>
        <v>0</v>
      </c>
      <c r="EH463" s="171">
        <f t="shared" ca="1" si="720"/>
        <v>0</v>
      </c>
      <c r="EI463" s="171">
        <f t="shared" ca="1" si="721"/>
        <v>0</v>
      </c>
      <c r="EJ463" s="171">
        <f t="shared" ca="1" si="722"/>
        <v>0</v>
      </c>
      <c r="EK463" s="171">
        <f t="shared" ca="1" si="723"/>
        <v>0</v>
      </c>
      <c r="EL463" s="171">
        <f t="shared" ca="1" si="724"/>
        <v>0</v>
      </c>
      <c r="EM463" s="171">
        <f t="shared" ca="1" si="725"/>
        <v>0</v>
      </c>
      <c r="EN463" s="171">
        <f t="shared" ca="1" si="726"/>
        <v>0</v>
      </c>
      <c r="EO463" s="171">
        <f t="shared" ca="1" si="727"/>
        <v>0</v>
      </c>
      <c r="EP463" s="171">
        <f t="shared" ca="1" si="728"/>
        <v>0</v>
      </c>
      <c r="EQ463" s="171">
        <f t="shared" ca="1" si="729"/>
        <v>0</v>
      </c>
      <c r="ER463" s="171">
        <f t="shared" ca="1" si="730"/>
        <v>0</v>
      </c>
      <c r="ES463" s="171">
        <f t="shared" ca="1" si="731"/>
        <v>0</v>
      </c>
    </row>
    <row r="464" spans="3:149">
      <c r="C464" s="214"/>
      <c r="L464" s="163"/>
      <c r="M464" s="164" t="str">
        <f t="shared" si="662"/>
        <v/>
      </c>
      <c r="N464" s="164" t="str">
        <f t="shared" si="663"/>
        <v/>
      </c>
      <c r="O464" s="165" t="str">
        <f t="shared" si="664"/>
        <v/>
      </c>
      <c r="R464" s="168"/>
      <c r="U464" s="171">
        <f t="shared" si="665"/>
        <v>0</v>
      </c>
      <c r="V464" s="171">
        <f t="shared" ca="1" si="666"/>
        <v>0</v>
      </c>
      <c r="W464" s="171">
        <f t="shared" ca="1" si="667"/>
        <v>0</v>
      </c>
      <c r="X464" s="172">
        <f t="shared" si="668"/>
        <v>0</v>
      </c>
      <c r="Y464" s="172" t="str">
        <f t="shared" si="669"/>
        <v/>
      </c>
      <c r="Z464" s="173">
        <f t="shared" si="670"/>
        <v>0</v>
      </c>
      <c r="AA464" s="171">
        <f t="shared" si="745"/>
        <v>0</v>
      </c>
      <c r="AB464" s="171">
        <f t="shared" si="745"/>
        <v>0</v>
      </c>
      <c r="AC464" s="171">
        <f t="shared" si="745"/>
        <v>0</v>
      </c>
      <c r="AD464" s="171">
        <f t="shared" si="745"/>
        <v>0</v>
      </c>
      <c r="AE464" s="171">
        <f t="shared" si="745"/>
        <v>0</v>
      </c>
      <c r="AF464" s="171">
        <f t="shared" si="745"/>
        <v>0</v>
      </c>
      <c r="AG464" s="171">
        <f t="shared" si="745"/>
        <v>0</v>
      </c>
      <c r="AH464" s="171">
        <f t="shared" si="745"/>
        <v>0</v>
      </c>
      <c r="AI464" s="171">
        <f t="shared" si="745"/>
        <v>0</v>
      </c>
      <c r="AJ464" s="171">
        <f t="shared" si="745"/>
        <v>0</v>
      </c>
      <c r="AK464" s="171">
        <f t="shared" si="746"/>
        <v>0</v>
      </c>
      <c r="AL464" s="171">
        <f t="shared" si="746"/>
        <v>0</v>
      </c>
      <c r="AM464" s="171">
        <f t="shared" si="746"/>
        <v>0</v>
      </c>
      <c r="AN464" s="171">
        <f t="shared" si="746"/>
        <v>0</v>
      </c>
      <c r="AO464" s="171">
        <f t="shared" si="746"/>
        <v>0</v>
      </c>
      <c r="AP464" s="171">
        <f t="shared" si="746"/>
        <v>0</v>
      </c>
      <c r="AQ464" s="171">
        <f t="shared" si="746"/>
        <v>0</v>
      </c>
      <c r="AR464" s="171">
        <f t="shared" si="746"/>
        <v>0</v>
      </c>
      <c r="AS464" s="171">
        <f t="shared" si="746"/>
        <v>0</v>
      </c>
      <c r="AT464" s="171">
        <f t="shared" si="746"/>
        <v>0</v>
      </c>
      <c r="AU464" s="171">
        <f t="shared" si="747"/>
        <v>0</v>
      </c>
      <c r="AV464" s="171">
        <f t="shared" si="747"/>
        <v>0</v>
      </c>
      <c r="AW464" s="171">
        <f t="shared" si="747"/>
        <v>0</v>
      </c>
      <c r="AX464" s="171">
        <f t="shared" si="747"/>
        <v>0</v>
      </c>
      <c r="AY464" s="171">
        <f t="shared" si="747"/>
        <v>0</v>
      </c>
      <c r="AZ464" s="171">
        <f t="shared" si="747"/>
        <v>0</v>
      </c>
      <c r="BA464" s="171">
        <f t="shared" si="747"/>
        <v>0</v>
      </c>
      <c r="BB464" s="171">
        <f t="shared" si="747"/>
        <v>0</v>
      </c>
      <c r="BC464" s="171">
        <f t="shared" si="747"/>
        <v>0</v>
      </c>
      <c r="BD464" s="171">
        <f t="shared" si="747"/>
        <v>0</v>
      </c>
      <c r="BE464" s="171">
        <f t="shared" si="748"/>
        <v>0</v>
      </c>
      <c r="BF464" s="171">
        <f t="shared" si="748"/>
        <v>0</v>
      </c>
      <c r="BG464" s="171">
        <f t="shared" si="748"/>
        <v>0</v>
      </c>
      <c r="BH464" s="171">
        <f t="shared" si="748"/>
        <v>0</v>
      </c>
      <c r="BI464" s="171">
        <f t="shared" si="748"/>
        <v>0</v>
      </c>
      <c r="BJ464" s="171">
        <f t="shared" si="748"/>
        <v>0</v>
      </c>
      <c r="BK464" s="171">
        <f t="shared" si="748"/>
        <v>0</v>
      </c>
      <c r="BL464" s="171">
        <f t="shared" si="748"/>
        <v>0</v>
      </c>
      <c r="BM464" s="171">
        <f t="shared" si="748"/>
        <v>0</v>
      </c>
      <c r="BN464" s="171">
        <f t="shared" si="748"/>
        <v>0</v>
      </c>
      <c r="BO464" s="171">
        <f t="shared" si="749"/>
        <v>0</v>
      </c>
      <c r="BP464" s="171">
        <f t="shared" si="749"/>
        <v>0</v>
      </c>
      <c r="BQ464" s="171">
        <f t="shared" si="749"/>
        <v>0</v>
      </c>
      <c r="BR464" s="171">
        <f t="shared" si="749"/>
        <v>0</v>
      </c>
      <c r="BS464" s="171">
        <f t="shared" si="749"/>
        <v>0</v>
      </c>
      <c r="BT464" s="171">
        <f t="shared" si="749"/>
        <v>0</v>
      </c>
      <c r="BU464" s="171">
        <f t="shared" si="749"/>
        <v>0</v>
      </c>
      <c r="BV464" s="171">
        <f t="shared" si="749"/>
        <v>0</v>
      </c>
      <c r="BW464" s="171">
        <f t="shared" si="749"/>
        <v>0</v>
      </c>
      <c r="BX464" s="171">
        <f t="shared" si="749"/>
        <v>0</v>
      </c>
      <c r="BY464" s="171">
        <f t="shared" si="750"/>
        <v>0</v>
      </c>
      <c r="BZ464" s="171">
        <f t="shared" si="750"/>
        <v>0</v>
      </c>
      <c r="CA464" s="171">
        <f t="shared" si="750"/>
        <v>0</v>
      </c>
      <c r="CB464" s="171">
        <f t="shared" si="750"/>
        <v>0</v>
      </c>
      <c r="CC464" s="171">
        <f t="shared" si="750"/>
        <v>0</v>
      </c>
      <c r="CD464" s="171">
        <f t="shared" si="750"/>
        <v>0</v>
      </c>
      <c r="CE464" s="171">
        <f t="shared" si="750"/>
        <v>0</v>
      </c>
      <c r="CF464" s="171">
        <f t="shared" si="750"/>
        <v>0</v>
      </c>
      <c r="CG464" s="171">
        <f t="shared" si="750"/>
        <v>0</v>
      </c>
      <c r="CH464" s="171">
        <f t="shared" si="750"/>
        <v>0</v>
      </c>
      <c r="CI464" s="171">
        <f t="shared" si="750"/>
        <v>0</v>
      </c>
      <c r="CJ464" s="243"/>
      <c r="CK464" s="171">
        <f t="shared" si="671"/>
        <v>0</v>
      </c>
      <c r="CL464" s="171">
        <f t="shared" si="672"/>
        <v>0</v>
      </c>
      <c r="CM464" s="171">
        <f t="shared" si="673"/>
        <v>0</v>
      </c>
      <c r="CN464" s="171">
        <f t="shared" si="674"/>
        <v>0</v>
      </c>
      <c r="CO464" s="171">
        <f t="shared" si="675"/>
        <v>0</v>
      </c>
      <c r="CP464" s="171">
        <f t="shared" si="676"/>
        <v>0</v>
      </c>
      <c r="CQ464" s="171">
        <f t="shared" si="677"/>
        <v>0</v>
      </c>
      <c r="CR464" s="171">
        <f t="shared" si="678"/>
        <v>0</v>
      </c>
      <c r="CS464" s="171">
        <f t="shared" si="679"/>
        <v>0</v>
      </c>
      <c r="CT464" s="171">
        <f t="shared" si="680"/>
        <v>0</v>
      </c>
      <c r="CU464" s="171">
        <f t="shared" si="681"/>
        <v>0</v>
      </c>
      <c r="CV464" s="171">
        <f t="shared" si="682"/>
        <v>0</v>
      </c>
      <c r="CW464" s="171">
        <f t="shared" si="683"/>
        <v>0</v>
      </c>
      <c r="CX464" s="171">
        <f t="shared" si="684"/>
        <v>0</v>
      </c>
      <c r="CY464" s="171">
        <f t="shared" ca="1" si="685"/>
        <v>0</v>
      </c>
      <c r="CZ464" s="171">
        <f t="shared" ca="1" si="686"/>
        <v>0</v>
      </c>
      <c r="DA464" s="171">
        <f t="shared" ca="1" si="687"/>
        <v>0</v>
      </c>
      <c r="DB464" s="171">
        <f t="shared" ca="1" si="688"/>
        <v>0</v>
      </c>
      <c r="DC464" s="171">
        <f t="shared" ca="1" si="689"/>
        <v>0</v>
      </c>
      <c r="DD464" s="171">
        <f t="shared" ca="1" si="690"/>
        <v>0</v>
      </c>
      <c r="DE464" s="171">
        <f t="shared" ca="1" si="691"/>
        <v>0</v>
      </c>
      <c r="DF464" s="171">
        <f t="shared" ca="1" si="692"/>
        <v>0</v>
      </c>
      <c r="DG464" s="171">
        <f t="shared" ca="1" si="693"/>
        <v>0</v>
      </c>
      <c r="DH464" s="171">
        <f t="shared" ca="1" si="694"/>
        <v>0</v>
      </c>
      <c r="DI464" s="171">
        <f t="shared" ca="1" si="695"/>
        <v>0</v>
      </c>
      <c r="DJ464" s="171">
        <f t="shared" ca="1" si="696"/>
        <v>0</v>
      </c>
      <c r="DK464" s="171">
        <f t="shared" ca="1" si="697"/>
        <v>0</v>
      </c>
      <c r="DL464" s="171">
        <f t="shared" ca="1" si="698"/>
        <v>0</v>
      </c>
      <c r="DM464" s="171">
        <f t="shared" ca="1" si="699"/>
        <v>0</v>
      </c>
      <c r="DN464" s="171">
        <f t="shared" ca="1" si="700"/>
        <v>0</v>
      </c>
      <c r="DO464" s="171">
        <f t="shared" ca="1" si="701"/>
        <v>0</v>
      </c>
      <c r="DP464" s="171">
        <f t="shared" ca="1" si="702"/>
        <v>0</v>
      </c>
      <c r="DQ464" s="171">
        <f t="shared" ca="1" si="703"/>
        <v>0</v>
      </c>
      <c r="DR464" s="171">
        <f t="shared" ca="1" si="704"/>
        <v>0</v>
      </c>
      <c r="DS464" s="171">
        <f t="shared" ca="1" si="705"/>
        <v>0</v>
      </c>
      <c r="DT464" s="171">
        <f t="shared" ca="1" si="706"/>
        <v>0</v>
      </c>
      <c r="DU464" s="171">
        <f t="shared" ca="1" si="707"/>
        <v>0</v>
      </c>
      <c r="DV464" s="171">
        <f t="shared" ca="1" si="708"/>
        <v>0</v>
      </c>
      <c r="DW464" s="171">
        <f t="shared" ca="1" si="709"/>
        <v>0</v>
      </c>
      <c r="DX464" s="171">
        <f t="shared" ca="1" si="710"/>
        <v>0</v>
      </c>
      <c r="DY464" s="171">
        <f t="shared" ca="1" si="711"/>
        <v>0</v>
      </c>
      <c r="DZ464" s="171">
        <f t="shared" ca="1" si="712"/>
        <v>0</v>
      </c>
      <c r="EA464" s="171">
        <f t="shared" ca="1" si="713"/>
        <v>0</v>
      </c>
      <c r="EB464" s="171">
        <f t="shared" ca="1" si="714"/>
        <v>0</v>
      </c>
      <c r="EC464" s="171">
        <f t="shared" ca="1" si="715"/>
        <v>0</v>
      </c>
      <c r="ED464" s="171">
        <f t="shared" ca="1" si="716"/>
        <v>0</v>
      </c>
      <c r="EE464" s="171">
        <f t="shared" ca="1" si="717"/>
        <v>0</v>
      </c>
      <c r="EF464" s="171">
        <f t="shared" ca="1" si="718"/>
        <v>0</v>
      </c>
      <c r="EG464" s="171">
        <f t="shared" ca="1" si="719"/>
        <v>0</v>
      </c>
      <c r="EH464" s="171">
        <f t="shared" ca="1" si="720"/>
        <v>0</v>
      </c>
      <c r="EI464" s="171">
        <f t="shared" ca="1" si="721"/>
        <v>0</v>
      </c>
      <c r="EJ464" s="171">
        <f t="shared" ca="1" si="722"/>
        <v>0</v>
      </c>
      <c r="EK464" s="171">
        <f t="shared" ca="1" si="723"/>
        <v>0</v>
      </c>
      <c r="EL464" s="171">
        <f t="shared" ca="1" si="724"/>
        <v>0</v>
      </c>
      <c r="EM464" s="171">
        <f t="shared" ca="1" si="725"/>
        <v>0</v>
      </c>
      <c r="EN464" s="171">
        <f t="shared" ca="1" si="726"/>
        <v>0</v>
      </c>
      <c r="EO464" s="171">
        <f t="shared" ca="1" si="727"/>
        <v>0</v>
      </c>
      <c r="EP464" s="171">
        <f t="shared" ca="1" si="728"/>
        <v>0</v>
      </c>
      <c r="EQ464" s="171">
        <f t="shared" ca="1" si="729"/>
        <v>0</v>
      </c>
      <c r="ER464" s="171">
        <f t="shared" ca="1" si="730"/>
        <v>0</v>
      </c>
      <c r="ES464" s="171">
        <f t="shared" ca="1" si="731"/>
        <v>0</v>
      </c>
    </row>
    <row r="465" spans="3:149">
      <c r="C465" s="214"/>
      <c r="L465" s="163"/>
      <c r="M465" s="164" t="str">
        <f t="shared" si="662"/>
        <v/>
      </c>
      <c r="N465" s="164" t="str">
        <f t="shared" si="663"/>
        <v/>
      </c>
      <c r="O465" s="165" t="str">
        <f t="shared" si="664"/>
        <v/>
      </c>
      <c r="R465" s="168"/>
      <c r="U465" s="171">
        <f t="shared" si="665"/>
        <v>0</v>
      </c>
      <c r="V465" s="171">
        <f t="shared" ca="1" si="666"/>
        <v>0</v>
      </c>
      <c r="W465" s="171">
        <f t="shared" ca="1" si="667"/>
        <v>0</v>
      </c>
      <c r="X465" s="172">
        <f t="shared" si="668"/>
        <v>0</v>
      </c>
      <c r="Y465" s="172" t="str">
        <f t="shared" si="669"/>
        <v/>
      </c>
      <c r="Z465" s="173">
        <f t="shared" si="670"/>
        <v>0</v>
      </c>
      <c r="AA465" s="171">
        <f t="shared" si="745"/>
        <v>0</v>
      </c>
      <c r="AB465" s="171">
        <f t="shared" si="745"/>
        <v>0</v>
      </c>
      <c r="AC465" s="171">
        <f t="shared" si="745"/>
        <v>0</v>
      </c>
      <c r="AD465" s="171">
        <f t="shared" si="745"/>
        <v>0</v>
      </c>
      <c r="AE465" s="171">
        <f t="shared" si="745"/>
        <v>0</v>
      </c>
      <c r="AF465" s="171">
        <f t="shared" si="745"/>
        <v>0</v>
      </c>
      <c r="AG465" s="171">
        <f t="shared" si="745"/>
        <v>0</v>
      </c>
      <c r="AH465" s="171">
        <f t="shared" si="745"/>
        <v>0</v>
      </c>
      <c r="AI465" s="171">
        <f t="shared" si="745"/>
        <v>0</v>
      </c>
      <c r="AJ465" s="171">
        <f t="shared" si="745"/>
        <v>0</v>
      </c>
      <c r="AK465" s="171">
        <f t="shared" si="746"/>
        <v>0</v>
      </c>
      <c r="AL465" s="171">
        <f t="shared" si="746"/>
        <v>0</v>
      </c>
      <c r="AM465" s="171">
        <f t="shared" si="746"/>
        <v>0</v>
      </c>
      <c r="AN465" s="171">
        <f t="shared" si="746"/>
        <v>0</v>
      </c>
      <c r="AO465" s="171">
        <f t="shared" si="746"/>
        <v>0</v>
      </c>
      <c r="AP465" s="171">
        <f t="shared" si="746"/>
        <v>0</v>
      </c>
      <c r="AQ465" s="171">
        <f t="shared" si="746"/>
        <v>0</v>
      </c>
      <c r="AR465" s="171">
        <f t="shared" si="746"/>
        <v>0</v>
      </c>
      <c r="AS465" s="171">
        <f t="shared" si="746"/>
        <v>0</v>
      </c>
      <c r="AT465" s="171">
        <f t="shared" si="746"/>
        <v>0</v>
      </c>
      <c r="AU465" s="171">
        <f t="shared" si="747"/>
        <v>0</v>
      </c>
      <c r="AV465" s="171">
        <f t="shared" si="747"/>
        <v>0</v>
      </c>
      <c r="AW465" s="171">
        <f t="shared" si="747"/>
        <v>0</v>
      </c>
      <c r="AX465" s="171">
        <f t="shared" si="747"/>
        <v>0</v>
      </c>
      <c r="AY465" s="171">
        <f t="shared" si="747"/>
        <v>0</v>
      </c>
      <c r="AZ465" s="171">
        <f t="shared" si="747"/>
        <v>0</v>
      </c>
      <c r="BA465" s="171">
        <f t="shared" si="747"/>
        <v>0</v>
      </c>
      <c r="BB465" s="171">
        <f t="shared" si="747"/>
        <v>0</v>
      </c>
      <c r="BC465" s="171">
        <f t="shared" si="747"/>
        <v>0</v>
      </c>
      <c r="BD465" s="171">
        <f t="shared" si="747"/>
        <v>0</v>
      </c>
      <c r="BE465" s="171">
        <f t="shared" si="748"/>
        <v>0</v>
      </c>
      <c r="BF465" s="171">
        <f t="shared" si="748"/>
        <v>0</v>
      </c>
      <c r="BG465" s="171">
        <f t="shared" si="748"/>
        <v>0</v>
      </c>
      <c r="BH465" s="171">
        <f t="shared" si="748"/>
        <v>0</v>
      </c>
      <c r="BI465" s="171">
        <f t="shared" si="748"/>
        <v>0</v>
      </c>
      <c r="BJ465" s="171">
        <f t="shared" si="748"/>
        <v>0</v>
      </c>
      <c r="BK465" s="171">
        <f t="shared" si="748"/>
        <v>0</v>
      </c>
      <c r="BL465" s="171">
        <f t="shared" si="748"/>
        <v>0</v>
      </c>
      <c r="BM465" s="171">
        <f t="shared" si="748"/>
        <v>0</v>
      </c>
      <c r="BN465" s="171">
        <f t="shared" si="748"/>
        <v>0</v>
      </c>
      <c r="BO465" s="171">
        <f t="shared" si="749"/>
        <v>0</v>
      </c>
      <c r="BP465" s="171">
        <f t="shared" si="749"/>
        <v>0</v>
      </c>
      <c r="BQ465" s="171">
        <f t="shared" si="749"/>
        <v>0</v>
      </c>
      <c r="BR465" s="171">
        <f t="shared" si="749"/>
        <v>0</v>
      </c>
      <c r="BS465" s="171">
        <f t="shared" si="749"/>
        <v>0</v>
      </c>
      <c r="BT465" s="171">
        <f t="shared" si="749"/>
        <v>0</v>
      </c>
      <c r="BU465" s="171">
        <f t="shared" si="749"/>
        <v>0</v>
      </c>
      <c r="BV465" s="171">
        <f t="shared" si="749"/>
        <v>0</v>
      </c>
      <c r="BW465" s="171">
        <f t="shared" si="749"/>
        <v>0</v>
      </c>
      <c r="BX465" s="171">
        <f t="shared" si="749"/>
        <v>0</v>
      </c>
      <c r="BY465" s="171">
        <f t="shared" si="750"/>
        <v>0</v>
      </c>
      <c r="BZ465" s="171">
        <f t="shared" si="750"/>
        <v>0</v>
      </c>
      <c r="CA465" s="171">
        <f t="shared" si="750"/>
        <v>0</v>
      </c>
      <c r="CB465" s="171">
        <f t="shared" si="750"/>
        <v>0</v>
      </c>
      <c r="CC465" s="171">
        <f t="shared" si="750"/>
        <v>0</v>
      </c>
      <c r="CD465" s="171">
        <f t="shared" si="750"/>
        <v>0</v>
      </c>
      <c r="CE465" s="171">
        <f t="shared" si="750"/>
        <v>0</v>
      </c>
      <c r="CF465" s="171">
        <f t="shared" si="750"/>
        <v>0</v>
      </c>
      <c r="CG465" s="171">
        <f t="shared" si="750"/>
        <v>0</v>
      </c>
      <c r="CH465" s="171">
        <f t="shared" si="750"/>
        <v>0</v>
      </c>
      <c r="CI465" s="171">
        <f t="shared" si="750"/>
        <v>0</v>
      </c>
      <c r="CJ465" s="243"/>
      <c r="CK465" s="171">
        <f t="shared" si="671"/>
        <v>0</v>
      </c>
      <c r="CL465" s="171">
        <f t="shared" si="672"/>
        <v>0</v>
      </c>
      <c r="CM465" s="171">
        <f t="shared" si="673"/>
        <v>0</v>
      </c>
      <c r="CN465" s="171">
        <f t="shared" si="674"/>
        <v>0</v>
      </c>
      <c r="CO465" s="171">
        <f t="shared" si="675"/>
        <v>0</v>
      </c>
      <c r="CP465" s="171">
        <f t="shared" si="676"/>
        <v>0</v>
      </c>
      <c r="CQ465" s="171">
        <f t="shared" si="677"/>
        <v>0</v>
      </c>
      <c r="CR465" s="171">
        <f t="shared" si="678"/>
        <v>0</v>
      </c>
      <c r="CS465" s="171">
        <f t="shared" si="679"/>
        <v>0</v>
      </c>
      <c r="CT465" s="171">
        <f t="shared" si="680"/>
        <v>0</v>
      </c>
      <c r="CU465" s="171">
        <f t="shared" si="681"/>
        <v>0</v>
      </c>
      <c r="CV465" s="171">
        <f t="shared" si="682"/>
        <v>0</v>
      </c>
      <c r="CW465" s="171">
        <f t="shared" si="683"/>
        <v>0</v>
      </c>
      <c r="CX465" s="171">
        <f t="shared" si="684"/>
        <v>0</v>
      </c>
      <c r="CY465" s="171">
        <f t="shared" ca="1" si="685"/>
        <v>0</v>
      </c>
      <c r="CZ465" s="171">
        <f t="shared" ca="1" si="686"/>
        <v>0</v>
      </c>
      <c r="DA465" s="171">
        <f t="shared" ca="1" si="687"/>
        <v>0</v>
      </c>
      <c r="DB465" s="171">
        <f t="shared" ca="1" si="688"/>
        <v>0</v>
      </c>
      <c r="DC465" s="171">
        <f t="shared" ca="1" si="689"/>
        <v>0</v>
      </c>
      <c r="DD465" s="171">
        <f t="shared" ca="1" si="690"/>
        <v>0</v>
      </c>
      <c r="DE465" s="171">
        <f t="shared" ca="1" si="691"/>
        <v>0</v>
      </c>
      <c r="DF465" s="171">
        <f t="shared" ca="1" si="692"/>
        <v>0</v>
      </c>
      <c r="DG465" s="171">
        <f t="shared" ca="1" si="693"/>
        <v>0</v>
      </c>
      <c r="DH465" s="171">
        <f t="shared" ca="1" si="694"/>
        <v>0</v>
      </c>
      <c r="DI465" s="171">
        <f t="shared" ca="1" si="695"/>
        <v>0</v>
      </c>
      <c r="DJ465" s="171">
        <f t="shared" ca="1" si="696"/>
        <v>0</v>
      </c>
      <c r="DK465" s="171">
        <f t="shared" ca="1" si="697"/>
        <v>0</v>
      </c>
      <c r="DL465" s="171">
        <f t="shared" ca="1" si="698"/>
        <v>0</v>
      </c>
      <c r="DM465" s="171">
        <f t="shared" ca="1" si="699"/>
        <v>0</v>
      </c>
      <c r="DN465" s="171">
        <f t="shared" ca="1" si="700"/>
        <v>0</v>
      </c>
      <c r="DO465" s="171">
        <f t="shared" ca="1" si="701"/>
        <v>0</v>
      </c>
      <c r="DP465" s="171">
        <f t="shared" ca="1" si="702"/>
        <v>0</v>
      </c>
      <c r="DQ465" s="171">
        <f t="shared" ca="1" si="703"/>
        <v>0</v>
      </c>
      <c r="DR465" s="171">
        <f t="shared" ca="1" si="704"/>
        <v>0</v>
      </c>
      <c r="DS465" s="171">
        <f t="shared" ca="1" si="705"/>
        <v>0</v>
      </c>
      <c r="DT465" s="171">
        <f t="shared" ca="1" si="706"/>
        <v>0</v>
      </c>
      <c r="DU465" s="171">
        <f t="shared" ca="1" si="707"/>
        <v>0</v>
      </c>
      <c r="DV465" s="171">
        <f t="shared" ca="1" si="708"/>
        <v>0</v>
      </c>
      <c r="DW465" s="171">
        <f t="shared" ca="1" si="709"/>
        <v>0</v>
      </c>
      <c r="DX465" s="171">
        <f t="shared" ca="1" si="710"/>
        <v>0</v>
      </c>
      <c r="DY465" s="171">
        <f t="shared" ca="1" si="711"/>
        <v>0</v>
      </c>
      <c r="DZ465" s="171">
        <f t="shared" ca="1" si="712"/>
        <v>0</v>
      </c>
      <c r="EA465" s="171">
        <f t="shared" ca="1" si="713"/>
        <v>0</v>
      </c>
      <c r="EB465" s="171">
        <f t="shared" ca="1" si="714"/>
        <v>0</v>
      </c>
      <c r="EC465" s="171">
        <f t="shared" ca="1" si="715"/>
        <v>0</v>
      </c>
      <c r="ED465" s="171">
        <f t="shared" ca="1" si="716"/>
        <v>0</v>
      </c>
      <c r="EE465" s="171">
        <f t="shared" ca="1" si="717"/>
        <v>0</v>
      </c>
      <c r="EF465" s="171">
        <f t="shared" ca="1" si="718"/>
        <v>0</v>
      </c>
      <c r="EG465" s="171">
        <f t="shared" ca="1" si="719"/>
        <v>0</v>
      </c>
      <c r="EH465" s="171">
        <f t="shared" ca="1" si="720"/>
        <v>0</v>
      </c>
      <c r="EI465" s="171">
        <f t="shared" ca="1" si="721"/>
        <v>0</v>
      </c>
      <c r="EJ465" s="171">
        <f t="shared" ca="1" si="722"/>
        <v>0</v>
      </c>
      <c r="EK465" s="171">
        <f t="shared" ca="1" si="723"/>
        <v>0</v>
      </c>
      <c r="EL465" s="171">
        <f t="shared" ca="1" si="724"/>
        <v>0</v>
      </c>
      <c r="EM465" s="171">
        <f t="shared" ca="1" si="725"/>
        <v>0</v>
      </c>
      <c r="EN465" s="171">
        <f t="shared" ca="1" si="726"/>
        <v>0</v>
      </c>
      <c r="EO465" s="171">
        <f t="shared" ca="1" si="727"/>
        <v>0</v>
      </c>
      <c r="EP465" s="171">
        <f t="shared" ca="1" si="728"/>
        <v>0</v>
      </c>
      <c r="EQ465" s="171">
        <f t="shared" ca="1" si="729"/>
        <v>0</v>
      </c>
      <c r="ER465" s="171">
        <f t="shared" ca="1" si="730"/>
        <v>0</v>
      </c>
      <c r="ES465" s="171">
        <f t="shared" ca="1" si="731"/>
        <v>0</v>
      </c>
    </row>
    <row r="466" spans="3:149">
      <c r="C466" s="214"/>
      <c r="L466" s="163"/>
      <c r="M466" s="164" t="str">
        <f t="shared" si="662"/>
        <v/>
      </c>
      <c r="N466" s="164" t="str">
        <f t="shared" si="663"/>
        <v/>
      </c>
      <c r="O466" s="165" t="str">
        <f t="shared" si="664"/>
        <v/>
      </c>
      <c r="R466" s="168"/>
      <c r="U466" s="171">
        <f t="shared" si="665"/>
        <v>0</v>
      </c>
      <c r="V466" s="171">
        <f t="shared" ca="1" si="666"/>
        <v>0</v>
      </c>
      <c r="W466" s="171">
        <f t="shared" ca="1" si="667"/>
        <v>0</v>
      </c>
      <c r="X466" s="172">
        <f t="shared" si="668"/>
        <v>0</v>
      </c>
      <c r="Y466" s="172" t="str">
        <f t="shared" si="669"/>
        <v/>
      </c>
      <c r="Z466" s="173">
        <f t="shared" si="670"/>
        <v>0</v>
      </c>
      <c r="AA466" s="171">
        <f t="shared" si="745"/>
        <v>0</v>
      </c>
      <c r="AB466" s="171">
        <f t="shared" si="745"/>
        <v>0</v>
      </c>
      <c r="AC466" s="171">
        <f t="shared" si="745"/>
        <v>0</v>
      </c>
      <c r="AD466" s="171">
        <f t="shared" si="745"/>
        <v>0</v>
      </c>
      <c r="AE466" s="171">
        <f t="shared" si="745"/>
        <v>0</v>
      </c>
      <c r="AF466" s="171">
        <f t="shared" si="745"/>
        <v>0</v>
      </c>
      <c r="AG466" s="171">
        <f t="shared" si="745"/>
        <v>0</v>
      </c>
      <c r="AH466" s="171">
        <f t="shared" si="745"/>
        <v>0</v>
      </c>
      <c r="AI466" s="171">
        <f t="shared" si="745"/>
        <v>0</v>
      </c>
      <c r="AJ466" s="171">
        <f t="shared" si="745"/>
        <v>0</v>
      </c>
      <c r="AK466" s="171">
        <f t="shared" si="746"/>
        <v>0</v>
      </c>
      <c r="AL466" s="171">
        <f t="shared" si="746"/>
        <v>0</v>
      </c>
      <c r="AM466" s="171">
        <f t="shared" si="746"/>
        <v>0</v>
      </c>
      <c r="AN466" s="171">
        <f t="shared" si="746"/>
        <v>0</v>
      </c>
      <c r="AO466" s="171">
        <f t="shared" si="746"/>
        <v>0</v>
      </c>
      <c r="AP466" s="171">
        <f t="shared" si="746"/>
        <v>0</v>
      </c>
      <c r="AQ466" s="171">
        <f t="shared" si="746"/>
        <v>0</v>
      </c>
      <c r="AR466" s="171">
        <f t="shared" si="746"/>
        <v>0</v>
      </c>
      <c r="AS466" s="171">
        <f t="shared" si="746"/>
        <v>0</v>
      </c>
      <c r="AT466" s="171">
        <f t="shared" si="746"/>
        <v>0</v>
      </c>
      <c r="AU466" s="171">
        <f t="shared" si="747"/>
        <v>0</v>
      </c>
      <c r="AV466" s="171">
        <f t="shared" si="747"/>
        <v>0</v>
      </c>
      <c r="AW466" s="171">
        <f t="shared" si="747"/>
        <v>0</v>
      </c>
      <c r="AX466" s="171">
        <f t="shared" si="747"/>
        <v>0</v>
      </c>
      <c r="AY466" s="171">
        <f t="shared" si="747"/>
        <v>0</v>
      </c>
      <c r="AZ466" s="171">
        <f t="shared" si="747"/>
        <v>0</v>
      </c>
      <c r="BA466" s="171">
        <f t="shared" si="747"/>
        <v>0</v>
      </c>
      <c r="BB466" s="171">
        <f t="shared" si="747"/>
        <v>0</v>
      </c>
      <c r="BC466" s="171">
        <f t="shared" si="747"/>
        <v>0</v>
      </c>
      <c r="BD466" s="171">
        <f t="shared" si="747"/>
        <v>0</v>
      </c>
      <c r="BE466" s="171">
        <f t="shared" si="748"/>
        <v>0</v>
      </c>
      <c r="BF466" s="171">
        <f t="shared" si="748"/>
        <v>0</v>
      </c>
      <c r="BG466" s="171">
        <f t="shared" si="748"/>
        <v>0</v>
      </c>
      <c r="BH466" s="171">
        <f t="shared" si="748"/>
        <v>0</v>
      </c>
      <c r="BI466" s="171">
        <f t="shared" si="748"/>
        <v>0</v>
      </c>
      <c r="BJ466" s="171">
        <f t="shared" si="748"/>
        <v>0</v>
      </c>
      <c r="BK466" s="171">
        <f t="shared" si="748"/>
        <v>0</v>
      </c>
      <c r="BL466" s="171">
        <f t="shared" si="748"/>
        <v>0</v>
      </c>
      <c r="BM466" s="171">
        <f t="shared" si="748"/>
        <v>0</v>
      </c>
      <c r="BN466" s="171">
        <f t="shared" si="748"/>
        <v>0</v>
      </c>
      <c r="BO466" s="171">
        <f t="shared" si="749"/>
        <v>0</v>
      </c>
      <c r="BP466" s="171">
        <f t="shared" si="749"/>
        <v>0</v>
      </c>
      <c r="BQ466" s="171">
        <f t="shared" si="749"/>
        <v>0</v>
      </c>
      <c r="BR466" s="171">
        <f t="shared" si="749"/>
        <v>0</v>
      </c>
      <c r="BS466" s="171">
        <f t="shared" si="749"/>
        <v>0</v>
      </c>
      <c r="BT466" s="171">
        <f t="shared" si="749"/>
        <v>0</v>
      </c>
      <c r="BU466" s="171">
        <f t="shared" si="749"/>
        <v>0</v>
      </c>
      <c r="BV466" s="171">
        <f t="shared" si="749"/>
        <v>0</v>
      </c>
      <c r="BW466" s="171">
        <f t="shared" si="749"/>
        <v>0</v>
      </c>
      <c r="BX466" s="171">
        <f t="shared" si="749"/>
        <v>0</v>
      </c>
      <c r="BY466" s="171">
        <f t="shared" si="750"/>
        <v>0</v>
      </c>
      <c r="BZ466" s="171">
        <f t="shared" si="750"/>
        <v>0</v>
      </c>
      <c r="CA466" s="171">
        <f t="shared" si="750"/>
        <v>0</v>
      </c>
      <c r="CB466" s="171">
        <f t="shared" si="750"/>
        <v>0</v>
      </c>
      <c r="CC466" s="171">
        <f t="shared" si="750"/>
        <v>0</v>
      </c>
      <c r="CD466" s="171">
        <f t="shared" si="750"/>
        <v>0</v>
      </c>
      <c r="CE466" s="171">
        <f t="shared" si="750"/>
        <v>0</v>
      </c>
      <c r="CF466" s="171">
        <f t="shared" si="750"/>
        <v>0</v>
      </c>
      <c r="CG466" s="171">
        <f t="shared" si="750"/>
        <v>0</v>
      </c>
      <c r="CH466" s="171">
        <f t="shared" si="750"/>
        <v>0</v>
      </c>
      <c r="CI466" s="171">
        <f t="shared" si="750"/>
        <v>0</v>
      </c>
      <c r="CJ466" s="243"/>
      <c r="CK466" s="171">
        <f t="shared" si="671"/>
        <v>0</v>
      </c>
      <c r="CL466" s="171">
        <f t="shared" si="672"/>
        <v>0</v>
      </c>
      <c r="CM466" s="171">
        <f t="shared" si="673"/>
        <v>0</v>
      </c>
      <c r="CN466" s="171">
        <f t="shared" si="674"/>
        <v>0</v>
      </c>
      <c r="CO466" s="171">
        <f t="shared" si="675"/>
        <v>0</v>
      </c>
      <c r="CP466" s="171">
        <f t="shared" si="676"/>
        <v>0</v>
      </c>
      <c r="CQ466" s="171">
        <f t="shared" si="677"/>
        <v>0</v>
      </c>
      <c r="CR466" s="171">
        <f t="shared" si="678"/>
        <v>0</v>
      </c>
      <c r="CS466" s="171">
        <f t="shared" si="679"/>
        <v>0</v>
      </c>
      <c r="CT466" s="171">
        <f t="shared" si="680"/>
        <v>0</v>
      </c>
      <c r="CU466" s="171">
        <f t="shared" si="681"/>
        <v>0</v>
      </c>
      <c r="CV466" s="171">
        <f t="shared" si="682"/>
        <v>0</v>
      </c>
      <c r="CW466" s="171">
        <f t="shared" si="683"/>
        <v>0</v>
      </c>
      <c r="CX466" s="171">
        <f t="shared" si="684"/>
        <v>0</v>
      </c>
      <c r="CY466" s="171">
        <f t="shared" ca="1" si="685"/>
        <v>0</v>
      </c>
      <c r="CZ466" s="171">
        <f t="shared" ca="1" si="686"/>
        <v>0</v>
      </c>
      <c r="DA466" s="171">
        <f t="shared" ca="1" si="687"/>
        <v>0</v>
      </c>
      <c r="DB466" s="171">
        <f t="shared" ca="1" si="688"/>
        <v>0</v>
      </c>
      <c r="DC466" s="171">
        <f t="shared" ca="1" si="689"/>
        <v>0</v>
      </c>
      <c r="DD466" s="171">
        <f t="shared" ca="1" si="690"/>
        <v>0</v>
      </c>
      <c r="DE466" s="171">
        <f t="shared" ca="1" si="691"/>
        <v>0</v>
      </c>
      <c r="DF466" s="171">
        <f t="shared" ca="1" si="692"/>
        <v>0</v>
      </c>
      <c r="DG466" s="171">
        <f t="shared" ca="1" si="693"/>
        <v>0</v>
      </c>
      <c r="DH466" s="171">
        <f t="shared" ca="1" si="694"/>
        <v>0</v>
      </c>
      <c r="DI466" s="171">
        <f t="shared" ca="1" si="695"/>
        <v>0</v>
      </c>
      <c r="DJ466" s="171">
        <f t="shared" ca="1" si="696"/>
        <v>0</v>
      </c>
      <c r="DK466" s="171">
        <f t="shared" ca="1" si="697"/>
        <v>0</v>
      </c>
      <c r="DL466" s="171">
        <f t="shared" ca="1" si="698"/>
        <v>0</v>
      </c>
      <c r="DM466" s="171">
        <f t="shared" ca="1" si="699"/>
        <v>0</v>
      </c>
      <c r="DN466" s="171">
        <f t="shared" ca="1" si="700"/>
        <v>0</v>
      </c>
      <c r="DO466" s="171">
        <f t="shared" ca="1" si="701"/>
        <v>0</v>
      </c>
      <c r="DP466" s="171">
        <f t="shared" ca="1" si="702"/>
        <v>0</v>
      </c>
      <c r="DQ466" s="171">
        <f t="shared" ca="1" si="703"/>
        <v>0</v>
      </c>
      <c r="DR466" s="171">
        <f t="shared" ca="1" si="704"/>
        <v>0</v>
      </c>
      <c r="DS466" s="171">
        <f t="shared" ca="1" si="705"/>
        <v>0</v>
      </c>
      <c r="DT466" s="171">
        <f t="shared" ca="1" si="706"/>
        <v>0</v>
      </c>
      <c r="DU466" s="171">
        <f t="shared" ca="1" si="707"/>
        <v>0</v>
      </c>
      <c r="DV466" s="171">
        <f t="shared" ca="1" si="708"/>
        <v>0</v>
      </c>
      <c r="DW466" s="171">
        <f t="shared" ca="1" si="709"/>
        <v>0</v>
      </c>
      <c r="DX466" s="171">
        <f t="shared" ca="1" si="710"/>
        <v>0</v>
      </c>
      <c r="DY466" s="171">
        <f t="shared" ca="1" si="711"/>
        <v>0</v>
      </c>
      <c r="DZ466" s="171">
        <f t="shared" ca="1" si="712"/>
        <v>0</v>
      </c>
      <c r="EA466" s="171">
        <f t="shared" ca="1" si="713"/>
        <v>0</v>
      </c>
      <c r="EB466" s="171">
        <f t="shared" ca="1" si="714"/>
        <v>0</v>
      </c>
      <c r="EC466" s="171">
        <f t="shared" ca="1" si="715"/>
        <v>0</v>
      </c>
      <c r="ED466" s="171">
        <f t="shared" ca="1" si="716"/>
        <v>0</v>
      </c>
      <c r="EE466" s="171">
        <f t="shared" ca="1" si="717"/>
        <v>0</v>
      </c>
      <c r="EF466" s="171">
        <f t="shared" ca="1" si="718"/>
        <v>0</v>
      </c>
      <c r="EG466" s="171">
        <f t="shared" ca="1" si="719"/>
        <v>0</v>
      </c>
      <c r="EH466" s="171">
        <f t="shared" ca="1" si="720"/>
        <v>0</v>
      </c>
      <c r="EI466" s="171">
        <f t="shared" ca="1" si="721"/>
        <v>0</v>
      </c>
      <c r="EJ466" s="171">
        <f t="shared" ca="1" si="722"/>
        <v>0</v>
      </c>
      <c r="EK466" s="171">
        <f t="shared" ca="1" si="723"/>
        <v>0</v>
      </c>
      <c r="EL466" s="171">
        <f t="shared" ca="1" si="724"/>
        <v>0</v>
      </c>
      <c r="EM466" s="171">
        <f t="shared" ca="1" si="725"/>
        <v>0</v>
      </c>
      <c r="EN466" s="171">
        <f t="shared" ca="1" si="726"/>
        <v>0</v>
      </c>
      <c r="EO466" s="171">
        <f t="shared" ca="1" si="727"/>
        <v>0</v>
      </c>
      <c r="EP466" s="171">
        <f t="shared" ca="1" si="728"/>
        <v>0</v>
      </c>
      <c r="EQ466" s="171">
        <f t="shared" ca="1" si="729"/>
        <v>0</v>
      </c>
      <c r="ER466" s="171">
        <f t="shared" ca="1" si="730"/>
        <v>0</v>
      </c>
      <c r="ES466" s="171">
        <f t="shared" ca="1" si="731"/>
        <v>0</v>
      </c>
    </row>
    <row r="467" spans="3:149">
      <c r="C467" s="214"/>
      <c r="L467" s="163"/>
      <c r="M467" s="164" t="str">
        <f t="shared" si="662"/>
        <v/>
      </c>
      <c r="N467" s="164" t="str">
        <f t="shared" si="663"/>
        <v/>
      </c>
      <c r="O467" s="165" t="str">
        <f t="shared" si="664"/>
        <v/>
      </c>
      <c r="R467" s="168" t="str">
        <f t="shared" ref="R467:R498" si="751">IFERROR(IF($Q467="","",IF(($Q467-($B$9-$E467))&lt;=0,0,(Q467-($B$9-$E467)))),"NA")</f>
        <v/>
      </c>
      <c r="U467" s="171">
        <f t="shared" si="665"/>
        <v>0</v>
      </c>
      <c r="V467" s="171">
        <f t="shared" ca="1" si="666"/>
        <v>0</v>
      </c>
      <c r="W467" s="171">
        <f t="shared" ca="1" si="667"/>
        <v>0</v>
      </c>
      <c r="X467" s="172">
        <f t="shared" si="668"/>
        <v>0</v>
      </c>
      <c r="Y467" s="172" t="str">
        <f t="shared" si="669"/>
        <v/>
      </c>
      <c r="Z467" s="173">
        <f t="shared" si="670"/>
        <v>0</v>
      </c>
      <c r="AA467" s="171">
        <f t="shared" si="745"/>
        <v>0</v>
      </c>
      <c r="AB467" s="171">
        <f t="shared" si="745"/>
        <v>0</v>
      </c>
      <c r="AC467" s="171">
        <f t="shared" si="745"/>
        <v>0</v>
      </c>
      <c r="AD467" s="171">
        <f t="shared" si="745"/>
        <v>0</v>
      </c>
      <c r="AE467" s="171">
        <f t="shared" si="745"/>
        <v>0</v>
      </c>
      <c r="AF467" s="171">
        <f t="shared" si="745"/>
        <v>0</v>
      </c>
      <c r="AG467" s="171">
        <f t="shared" si="745"/>
        <v>0</v>
      </c>
      <c r="AH467" s="171">
        <f t="shared" si="745"/>
        <v>0</v>
      </c>
      <c r="AI467" s="171">
        <f t="shared" si="745"/>
        <v>0</v>
      </c>
      <c r="AJ467" s="171">
        <f t="shared" si="745"/>
        <v>0</v>
      </c>
      <c r="AK467" s="171">
        <f t="shared" si="746"/>
        <v>0</v>
      </c>
      <c r="AL467" s="171">
        <f t="shared" si="746"/>
        <v>0</v>
      </c>
      <c r="AM467" s="171">
        <f t="shared" si="746"/>
        <v>0</v>
      </c>
      <c r="AN467" s="171">
        <f t="shared" si="746"/>
        <v>0</v>
      </c>
      <c r="AO467" s="171">
        <f t="shared" si="746"/>
        <v>0</v>
      </c>
      <c r="AP467" s="171">
        <f t="shared" si="746"/>
        <v>0</v>
      </c>
      <c r="AQ467" s="171">
        <f t="shared" si="746"/>
        <v>0</v>
      </c>
      <c r="AR467" s="171">
        <f t="shared" si="746"/>
        <v>0</v>
      </c>
      <c r="AS467" s="171">
        <f t="shared" si="746"/>
        <v>0</v>
      </c>
      <c r="AT467" s="171">
        <f t="shared" si="746"/>
        <v>0</v>
      </c>
      <c r="AU467" s="171">
        <f t="shared" si="747"/>
        <v>0</v>
      </c>
      <c r="AV467" s="171">
        <f t="shared" si="747"/>
        <v>0</v>
      </c>
      <c r="AW467" s="171">
        <f t="shared" si="747"/>
        <v>0</v>
      </c>
      <c r="AX467" s="171">
        <f t="shared" si="747"/>
        <v>0</v>
      </c>
      <c r="AY467" s="171">
        <f t="shared" si="747"/>
        <v>0</v>
      </c>
      <c r="AZ467" s="171">
        <f t="shared" si="747"/>
        <v>0</v>
      </c>
      <c r="BA467" s="171">
        <f t="shared" si="747"/>
        <v>0</v>
      </c>
      <c r="BB467" s="171">
        <f t="shared" si="747"/>
        <v>0</v>
      </c>
      <c r="BC467" s="171">
        <f t="shared" si="747"/>
        <v>0</v>
      </c>
      <c r="BD467" s="171">
        <f t="shared" si="747"/>
        <v>0</v>
      </c>
      <c r="BE467" s="171">
        <f t="shared" si="748"/>
        <v>0</v>
      </c>
      <c r="BF467" s="171">
        <f t="shared" si="748"/>
        <v>0</v>
      </c>
      <c r="BG467" s="171">
        <f t="shared" si="748"/>
        <v>0</v>
      </c>
      <c r="BH467" s="171">
        <f t="shared" si="748"/>
        <v>0</v>
      </c>
      <c r="BI467" s="171">
        <f t="shared" si="748"/>
        <v>0</v>
      </c>
      <c r="BJ467" s="171">
        <f t="shared" si="748"/>
        <v>0</v>
      </c>
      <c r="BK467" s="171">
        <f t="shared" si="748"/>
        <v>0</v>
      </c>
      <c r="BL467" s="171">
        <f t="shared" si="748"/>
        <v>0</v>
      </c>
      <c r="BM467" s="171">
        <f t="shared" si="748"/>
        <v>0</v>
      </c>
      <c r="BN467" s="171">
        <f t="shared" si="748"/>
        <v>0</v>
      </c>
      <c r="BO467" s="171">
        <f t="shared" si="749"/>
        <v>0</v>
      </c>
      <c r="BP467" s="171">
        <f t="shared" si="749"/>
        <v>0</v>
      </c>
      <c r="BQ467" s="171">
        <f t="shared" si="749"/>
        <v>0</v>
      </c>
      <c r="BR467" s="171">
        <f t="shared" si="749"/>
        <v>0</v>
      </c>
      <c r="BS467" s="171">
        <f t="shared" si="749"/>
        <v>0</v>
      </c>
      <c r="BT467" s="171">
        <f t="shared" si="749"/>
        <v>0</v>
      </c>
      <c r="BU467" s="171">
        <f t="shared" si="749"/>
        <v>0</v>
      </c>
      <c r="BV467" s="171">
        <f t="shared" si="749"/>
        <v>0</v>
      </c>
      <c r="BW467" s="171">
        <f t="shared" si="749"/>
        <v>0</v>
      </c>
      <c r="BX467" s="171">
        <f t="shared" si="749"/>
        <v>0</v>
      </c>
      <c r="BY467" s="171">
        <f t="shared" si="750"/>
        <v>0</v>
      </c>
      <c r="BZ467" s="171">
        <f t="shared" si="750"/>
        <v>0</v>
      </c>
      <c r="CA467" s="171">
        <f t="shared" si="750"/>
        <v>0</v>
      </c>
      <c r="CB467" s="171">
        <f t="shared" si="750"/>
        <v>0</v>
      </c>
      <c r="CC467" s="171">
        <f t="shared" si="750"/>
        <v>0</v>
      </c>
      <c r="CD467" s="171">
        <f t="shared" si="750"/>
        <v>0</v>
      </c>
      <c r="CE467" s="171">
        <f t="shared" si="750"/>
        <v>0</v>
      </c>
      <c r="CF467" s="171">
        <f t="shared" si="750"/>
        <v>0</v>
      </c>
      <c r="CG467" s="171">
        <f t="shared" si="750"/>
        <v>0</v>
      </c>
      <c r="CH467" s="171">
        <f t="shared" si="750"/>
        <v>0</v>
      </c>
      <c r="CI467" s="171">
        <f t="shared" si="750"/>
        <v>0</v>
      </c>
      <c r="CJ467" s="243"/>
      <c r="CK467" s="171">
        <f t="shared" si="671"/>
        <v>0</v>
      </c>
      <c r="CL467" s="171">
        <f t="shared" si="672"/>
        <v>0</v>
      </c>
      <c r="CM467" s="171">
        <f t="shared" si="673"/>
        <v>0</v>
      </c>
      <c r="CN467" s="171">
        <f t="shared" si="674"/>
        <v>0</v>
      </c>
      <c r="CO467" s="171">
        <f t="shared" si="675"/>
        <v>0</v>
      </c>
      <c r="CP467" s="171">
        <f t="shared" si="676"/>
        <v>0</v>
      </c>
      <c r="CQ467" s="171">
        <f t="shared" si="677"/>
        <v>0</v>
      </c>
      <c r="CR467" s="171">
        <f t="shared" si="678"/>
        <v>0</v>
      </c>
      <c r="CS467" s="171">
        <f t="shared" si="679"/>
        <v>0</v>
      </c>
      <c r="CT467" s="171">
        <f t="shared" si="680"/>
        <v>0</v>
      </c>
      <c r="CU467" s="171">
        <f t="shared" si="681"/>
        <v>0</v>
      </c>
      <c r="CV467" s="171">
        <f t="shared" si="682"/>
        <v>0</v>
      </c>
      <c r="CW467" s="171">
        <f t="shared" si="683"/>
        <v>0</v>
      </c>
      <c r="CX467" s="171">
        <f t="shared" si="684"/>
        <v>0</v>
      </c>
      <c r="CY467" s="171">
        <f t="shared" ca="1" si="685"/>
        <v>0</v>
      </c>
      <c r="CZ467" s="171">
        <f t="shared" ca="1" si="686"/>
        <v>0</v>
      </c>
      <c r="DA467" s="171">
        <f t="shared" ca="1" si="687"/>
        <v>0</v>
      </c>
      <c r="DB467" s="171">
        <f t="shared" ca="1" si="688"/>
        <v>0</v>
      </c>
      <c r="DC467" s="171">
        <f t="shared" ca="1" si="689"/>
        <v>0</v>
      </c>
      <c r="DD467" s="171">
        <f t="shared" ca="1" si="690"/>
        <v>0</v>
      </c>
      <c r="DE467" s="171">
        <f t="shared" ca="1" si="691"/>
        <v>0</v>
      </c>
      <c r="DF467" s="171">
        <f t="shared" ca="1" si="692"/>
        <v>0</v>
      </c>
      <c r="DG467" s="171">
        <f t="shared" ca="1" si="693"/>
        <v>0</v>
      </c>
      <c r="DH467" s="171">
        <f t="shared" ca="1" si="694"/>
        <v>0</v>
      </c>
      <c r="DI467" s="171">
        <f t="shared" ca="1" si="695"/>
        <v>0</v>
      </c>
      <c r="DJ467" s="171">
        <f t="shared" ca="1" si="696"/>
        <v>0</v>
      </c>
      <c r="DK467" s="171">
        <f t="shared" ca="1" si="697"/>
        <v>0</v>
      </c>
      <c r="DL467" s="171">
        <f t="shared" ca="1" si="698"/>
        <v>0</v>
      </c>
      <c r="DM467" s="171">
        <f t="shared" ca="1" si="699"/>
        <v>0</v>
      </c>
      <c r="DN467" s="171">
        <f t="shared" ca="1" si="700"/>
        <v>0</v>
      </c>
      <c r="DO467" s="171">
        <f t="shared" ca="1" si="701"/>
        <v>0</v>
      </c>
      <c r="DP467" s="171">
        <f t="shared" ca="1" si="702"/>
        <v>0</v>
      </c>
      <c r="DQ467" s="171">
        <f t="shared" ca="1" si="703"/>
        <v>0</v>
      </c>
      <c r="DR467" s="171">
        <f t="shared" ca="1" si="704"/>
        <v>0</v>
      </c>
      <c r="DS467" s="171">
        <f t="shared" ca="1" si="705"/>
        <v>0</v>
      </c>
      <c r="DT467" s="171">
        <f t="shared" ca="1" si="706"/>
        <v>0</v>
      </c>
      <c r="DU467" s="171">
        <f t="shared" ca="1" si="707"/>
        <v>0</v>
      </c>
      <c r="DV467" s="171">
        <f t="shared" ca="1" si="708"/>
        <v>0</v>
      </c>
      <c r="DW467" s="171">
        <f t="shared" ca="1" si="709"/>
        <v>0</v>
      </c>
      <c r="DX467" s="171">
        <f t="shared" ca="1" si="710"/>
        <v>0</v>
      </c>
      <c r="DY467" s="171">
        <f t="shared" ca="1" si="711"/>
        <v>0</v>
      </c>
      <c r="DZ467" s="171">
        <f t="shared" ca="1" si="712"/>
        <v>0</v>
      </c>
      <c r="EA467" s="171">
        <f t="shared" ca="1" si="713"/>
        <v>0</v>
      </c>
      <c r="EB467" s="171">
        <f t="shared" ca="1" si="714"/>
        <v>0</v>
      </c>
      <c r="EC467" s="171">
        <f t="shared" ca="1" si="715"/>
        <v>0</v>
      </c>
      <c r="ED467" s="171">
        <f t="shared" ca="1" si="716"/>
        <v>0</v>
      </c>
      <c r="EE467" s="171">
        <f t="shared" ca="1" si="717"/>
        <v>0</v>
      </c>
      <c r="EF467" s="171">
        <f t="shared" ca="1" si="718"/>
        <v>0</v>
      </c>
      <c r="EG467" s="171">
        <f t="shared" ca="1" si="719"/>
        <v>0</v>
      </c>
      <c r="EH467" s="171">
        <f t="shared" ca="1" si="720"/>
        <v>0</v>
      </c>
      <c r="EI467" s="171">
        <f t="shared" ca="1" si="721"/>
        <v>0</v>
      </c>
      <c r="EJ467" s="171">
        <f t="shared" ca="1" si="722"/>
        <v>0</v>
      </c>
      <c r="EK467" s="171">
        <f t="shared" ca="1" si="723"/>
        <v>0</v>
      </c>
      <c r="EL467" s="171">
        <f t="shared" ca="1" si="724"/>
        <v>0</v>
      </c>
      <c r="EM467" s="171">
        <f t="shared" ca="1" si="725"/>
        <v>0</v>
      </c>
      <c r="EN467" s="171">
        <f t="shared" ca="1" si="726"/>
        <v>0</v>
      </c>
      <c r="EO467" s="171">
        <f t="shared" ca="1" si="727"/>
        <v>0</v>
      </c>
      <c r="EP467" s="171">
        <f t="shared" ca="1" si="728"/>
        <v>0</v>
      </c>
      <c r="EQ467" s="171">
        <f t="shared" ca="1" si="729"/>
        <v>0</v>
      </c>
      <c r="ER467" s="171">
        <f t="shared" ca="1" si="730"/>
        <v>0</v>
      </c>
      <c r="ES467" s="171">
        <f t="shared" ca="1" si="731"/>
        <v>0</v>
      </c>
    </row>
    <row r="468" spans="3:149">
      <c r="C468" s="214"/>
      <c r="L468" s="163"/>
      <c r="M468" s="164" t="str">
        <f t="shared" si="662"/>
        <v/>
      </c>
      <c r="N468" s="164" t="str">
        <f t="shared" si="663"/>
        <v/>
      </c>
      <c r="O468" s="165" t="str">
        <f t="shared" si="664"/>
        <v/>
      </c>
      <c r="R468" s="168" t="str">
        <f t="shared" si="751"/>
        <v/>
      </c>
      <c r="U468" s="171">
        <f t="shared" si="665"/>
        <v>0</v>
      </c>
      <c r="V468" s="171">
        <f t="shared" ca="1" si="666"/>
        <v>0</v>
      </c>
      <c r="W468" s="171">
        <f t="shared" ca="1" si="667"/>
        <v>0</v>
      </c>
      <c r="X468" s="172">
        <f t="shared" si="668"/>
        <v>0</v>
      </c>
      <c r="Y468" s="172" t="str">
        <f t="shared" si="669"/>
        <v/>
      </c>
      <c r="Z468" s="173">
        <f t="shared" si="670"/>
        <v>0</v>
      </c>
      <c r="AA468" s="171">
        <f t="shared" si="745"/>
        <v>0</v>
      </c>
      <c r="AB468" s="171">
        <f t="shared" si="745"/>
        <v>0</v>
      </c>
      <c r="AC468" s="171">
        <f t="shared" si="745"/>
        <v>0</v>
      </c>
      <c r="AD468" s="171">
        <f t="shared" si="745"/>
        <v>0</v>
      </c>
      <c r="AE468" s="171">
        <f t="shared" si="745"/>
        <v>0</v>
      </c>
      <c r="AF468" s="171">
        <f t="shared" si="745"/>
        <v>0</v>
      </c>
      <c r="AG468" s="171">
        <f t="shared" si="745"/>
        <v>0</v>
      </c>
      <c r="AH468" s="171">
        <f t="shared" si="745"/>
        <v>0</v>
      </c>
      <c r="AI468" s="171">
        <f t="shared" si="745"/>
        <v>0</v>
      </c>
      <c r="AJ468" s="171">
        <f t="shared" si="745"/>
        <v>0</v>
      </c>
      <c r="AK468" s="171">
        <f t="shared" si="746"/>
        <v>0</v>
      </c>
      <c r="AL468" s="171">
        <f t="shared" si="746"/>
        <v>0</v>
      </c>
      <c r="AM468" s="171">
        <f t="shared" si="746"/>
        <v>0</v>
      </c>
      <c r="AN468" s="171">
        <f t="shared" si="746"/>
        <v>0</v>
      </c>
      <c r="AO468" s="171">
        <f t="shared" si="746"/>
        <v>0</v>
      </c>
      <c r="AP468" s="171">
        <f t="shared" si="746"/>
        <v>0</v>
      </c>
      <c r="AQ468" s="171">
        <f t="shared" si="746"/>
        <v>0</v>
      </c>
      <c r="AR468" s="171">
        <f t="shared" si="746"/>
        <v>0</v>
      </c>
      <c r="AS468" s="171">
        <f t="shared" si="746"/>
        <v>0</v>
      </c>
      <c r="AT468" s="171">
        <f t="shared" si="746"/>
        <v>0</v>
      </c>
      <c r="AU468" s="171">
        <f t="shared" si="747"/>
        <v>0</v>
      </c>
      <c r="AV468" s="171">
        <f t="shared" si="747"/>
        <v>0</v>
      </c>
      <c r="AW468" s="171">
        <f t="shared" si="747"/>
        <v>0</v>
      </c>
      <c r="AX468" s="171">
        <f t="shared" si="747"/>
        <v>0</v>
      </c>
      <c r="AY468" s="171">
        <f t="shared" si="747"/>
        <v>0</v>
      </c>
      <c r="AZ468" s="171">
        <f t="shared" si="747"/>
        <v>0</v>
      </c>
      <c r="BA468" s="171">
        <f t="shared" si="747"/>
        <v>0</v>
      </c>
      <c r="BB468" s="171">
        <f t="shared" si="747"/>
        <v>0</v>
      </c>
      <c r="BC468" s="171">
        <f t="shared" si="747"/>
        <v>0</v>
      </c>
      <c r="BD468" s="171">
        <f t="shared" si="747"/>
        <v>0</v>
      </c>
      <c r="BE468" s="171">
        <f t="shared" si="748"/>
        <v>0</v>
      </c>
      <c r="BF468" s="171">
        <f t="shared" si="748"/>
        <v>0</v>
      </c>
      <c r="BG468" s="171">
        <f t="shared" si="748"/>
        <v>0</v>
      </c>
      <c r="BH468" s="171">
        <f t="shared" si="748"/>
        <v>0</v>
      </c>
      <c r="BI468" s="171">
        <f t="shared" si="748"/>
        <v>0</v>
      </c>
      <c r="BJ468" s="171">
        <f t="shared" si="748"/>
        <v>0</v>
      </c>
      <c r="BK468" s="171">
        <f t="shared" si="748"/>
        <v>0</v>
      </c>
      <c r="BL468" s="171">
        <f t="shared" si="748"/>
        <v>0</v>
      </c>
      <c r="BM468" s="171">
        <f t="shared" si="748"/>
        <v>0</v>
      </c>
      <c r="BN468" s="171">
        <f t="shared" si="748"/>
        <v>0</v>
      </c>
      <c r="BO468" s="171">
        <f t="shared" si="749"/>
        <v>0</v>
      </c>
      <c r="BP468" s="171">
        <f t="shared" si="749"/>
        <v>0</v>
      </c>
      <c r="BQ468" s="171">
        <f t="shared" si="749"/>
        <v>0</v>
      </c>
      <c r="BR468" s="171">
        <f t="shared" si="749"/>
        <v>0</v>
      </c>
      <c r="BS468" s="171">
        <f t="shared" si="749"/>
        <v>0</v>
      </c>
      <c r="BT468" s="171">
        <f t="shared" si="749"/>
        <v>0</v>
      </c>
      <c r="BU468" s="171">
        <f t="shared" si="749"/>
        <v>0</v>
      </c>
      <c r="BV468" s="171">
        <f t="shared" si="749"/>
        <v>0</v>
      </c>
      <c r="BW468" s="171">
        <f t="shared" si="749"/>
        <v>0</v>
      </c>
      <c r="BX468" s="171">
        <f t="shared" si="749"/>
        <v>0</v>
      </c>
      <c r="BY468" s="171">
        <f t="shared" si="750"/>
        <v>0</v>
      </c>
      <c r="BZ468" s="171">
        <f t="shared" si="750"/>
        <v>0</v>
      </c>
      <c r="CA468" s="171">
        <f t="shared" si="750"/>
        <v>0</v>
      </c>
      <c r="CB468" s="171">
        <f t="shared" si="750"/>
        <v>0</v>
      </c>
      <c r="CC468" s="171">
        <f t="shared" si="750"/>
        <v>0</v>
      </c>
      <c r="CD468" s="171">
        <f t="shared" si="750"/>
        <v>0</v>
      </c>
      <c r="CE468" s="171">
        <f t="shared" si="750"/>
        <v>0</v>
      </c>
      <c r="CF468" s="171">
        <f t="shared" si="750"/>
        <v>0</v>
      </c>
      <c r="CG468" s="171">
        <f t="shared" si="750"/>
        <v>0</v>
      </c>
      <c r="CH468" s="171">
        <f t="shared" si="750"/>
        <v>0</v>
      </c>
      <c r="CI468" s="171">
        <f t="shared" si="750"/>
        <v>0</v>
      </c>
      <c r="CJ468" s="243"/>
      <c r="CK468" s="171">
        <f t="shared" si="671"/>
        <v>0</v>
      </c>
      <c r="CL468" s="171">
        <f t="shared" si="672"/>
        <v>0</v>
      </c>
      <c r="CM468" s="171">
        <f t="shared" si="673"/>
        <v>0</v>
      </c>
      <c r="CN468" s="171">
        <f t="shared" si="674"/>
        <v>0</v>
      </c>
      <c r="CO468" s="171">
        <f t="shared" si="675"/>
        <v>0</v>
      </c>
      <c r="CP468" s="171">
        <f t="shared" si="676"/>
        <v>0</v>
      </c>
      <c r="CQ468" s="171">
        <f t="shared" si="677"/>
        <v>0</v>
      </c>
      <c r="CR468" s="171">
        <f t="shared" si="678"/>
        <v>0</v>
      </c>
      <c r="CS468" s="171">
        <f t="shared" si="679"/>
        <v>0</v>
      </c>
      <c r="CT468" s="171">
        <f t="shared" si="680"/>
        <v>0</v>
      </c>
      <c r="CU468" s="171">
        <f t="shared" si="681"/>
        <v>0</v>
      </c>
      <c r="CV468" s="171">
        <f t="shared" si="682"/>
        <v>0</v>
      </c>
      <c r="CW468" s="171">
        <f t="shared" si="683"/>
        <v>0</v>
      </c>
      <c r="CX468" s="171">
        <f t="shared" si="684"/>
        <v>0</v>
      </c>
      <c r="CY468" s="171">
        <f t="shared" ca="1" si="685"/>
        <v>0</v>
      </c>
      <c r="CZ468" s="171">
        <f t="shared" ca="1" si="686"/>
        <v>0</v>
      </c>
      <c r="DA468" s="171">
        <f t="shared" ca="1" si="687"/>
        <v>0</v>
      </c>
      <c r="DB468" s="171">
        <f t="shared" ca="1" si="688"/>
        <v>0</v>
      </c>
      <c r="DC468" s="171">
        <f t="shared" ca="1" si="689"/>
        <v>0</v>
      </c>
      <c r="DD468" s="171">
        <f t="shared" ca="1" si="690"/>
        <v>0</v>
      </c>
      <c r="DE468" s="171">
        <f t="shared" ca="1" si="691"/>
        <v>0</v>
      </c>
      <c r="DF468" s="171">
        <f t="shared" ca="1" si="692"/>
        <v>0</v>
      </c>
      <c r="DG468" s="171">
        <f t="shared" ca="1" si="693"/>
        <v>0</v>
      </c>
      <c r="DH468" s="171">
        <f t="shared" ca="1" si="694"/>
        <v>0</v>
      </c>
      <c r="DI468" s="171">
        <f t="shared" ca="1" si="695"/>
        <v>0</v>
      </c>
      <c r="DJ468" s="171">
        <f t="shared" ca="1" si="696"/>
        <v>0</v>
      </c>
      <c r="DK468" s="171">
        <f t="shared" ca="1" si="697"/>
        <v>0</v>
      </c>
      <c r="DL468" s="171">
        <f t="shared" ca="1" si="698"/>
        <v>0</v>
      </c>
      <c r="DM468" s="171">
        <f t="shared" ca="1" si="699"/>
        <v>0</v>
      </c>
      <c r="DN468" s="171">
        <f t="shared" ca="1" si="700"/>
        <v>0</v>
      </c>
      <c r="DO468" s="171">
        <f t="shared" ca="1" si="701"/>
        <v>0</v>
      </c>
      <c r="DP468" s="171">
        <f t="shared" ca="1" si="702"/>
        <v>0</v>
      </c>
      <c r="DQ468" s="171">
        <f t="shared" ca="1" si="703"/>
        <v>0</v>
      </c>
      <c r="DR468" s="171">
        <f t="shared" ca="1" si="704"/>
        <v>0</v>
      </c>
      <c r="DS468" s="171">
        <f t="shared" ca="1" si="705"/>
        <v>0</v>
      </c>
      <c r="DT468" s="171">
        <f t="shared" ca="1" si="706"/>
        <v>0</v>
      </c>
      <c r="DU468" s="171">
        <f t="shared" ca="1" si="707"/>
        <v>0</v>
      </c>
      <c r="DV468" s="171">
        <f t="shared" ca="1" si="708"/>
        <v>0</v>
      </c>
      <c r="DW468" s="171">
        <f t="shared" ca="1" si="709"/>
        <v>0</v>
      </c>
      <c r="DX468" s="171">
        <f t="shared" ca="1" si="710"/>
        <v>0</v>
      </c>
      <c r="DY468" s="171">
        <f t="shared" ca="1" si="711"/>
        <v>0</v>
      </c>
      <c r="DZ468" s="171">
        <f t="shared" ca="1" si="712"/>
        <v>0</v>
      </c>
      <c r="EA468" s="171">
        <f t="shared" ca="1" si="713"/>
        <v>0</v>
      </c>
      <c r="EB468" s="171">
        <f t="shared" ca="1" si="714"/>
        <v>0</v>
      </c>
      <c r="EC468" s="171">
        <f t="shared" ca="1" si="715"/>
        <v>0</v>
      </c>
      <c r="ED468" s="171">
        <f t="shared" ca="1" si="716"/>
        <v>0</v>
      </c>
      <c r="EE468" s="171">
        <f t="shared" ca="1" si="717"/>
        <v>0</v>
      </c>
      <c r="EF468" s="171">
        <f t="shared" ca="1" si="718"/>
        <v>0</v>
      </c>
      <c r="EG468" s="171">
        <f t="shared" ca="1" si="719"/>
        <v>0</v>
      </c>
      <c r="EH468" s="171">
        <f t="shared" ca="1" si="720"/>
        <v>0</v>
      </c>
      <c r="EI468" s="171">
        <f t="shared" ca="1" si="721"/>
        <v>0</v>
      </c>
      <c r="EJ468" s="171">
        <f t="shared" ca="1" si="722"/>
        <v>0</v>
      </c>
      <c r="EK468" s="171">
        <f t="shared" ca="1" si="723"/>
        <v>0</v>
      </c>
      <c r="EL468" s="171">
        <f t="shared" ca="1" si="724"/>
        <v>0</v>
      </c>
      <c r="EM468" s="171">
        <f t="shared" ca="1" si="725"/>
        <v>0</v>
      </c>
      <c r="EN468" s="171">
        <f t="shared" ca="1" si="726"/>
        <v>0</v>
      </c>
      <c r="EO468" s="171">
        <f t="shared" ca="1" si="727"/>
        <v>0</v>
      </c>
      <c r="EP468" s="171">
        <f t="shared" ca="1" si="728"/>
        <v>0</v>
      </c>
      <c r="EQ468" s="171">
        <f t="shared" ca="1" si="729"/>
        <v>0</v>
      </c>
      <c r="ER468" s="171">
        <f t="shared" ca="1" si="730"/>
        <v>0</v>
      </c>
      <c r="ES468" s="171">
        <f t="shared" ca="1" si="731"/>
        <v>0</v>
      </c>
    </row>
    <row r="469" spans="3:149">
      <c r="C469" s="214"/>
      <c r="L469" s="163"/>
      <c r="M469" s="164" t="str">
        <f t="shared" si="662"/>
        <v/>
      </c>
      <c r="N469" s="164" t="str">
        <f t="shared" si="663"/>
        <v/>
      </c>
      <c r="O469" s="165" t="str">
        <f t="shared" si="664"/>
        <v/>
      </c>
      <c r="R469" s="168" t="str">
        <f t="shared" si="751"/>
        <v/>
      </c>
      <c r="U469" s="171">
        <f t="shared" si="665"/>
        <v>0</v>
      </c>
      <c r="V469" s="171">
        <f t="shared" ca="1" si="666"/>
        <v>0</v>
      </c>
      <c r="W469" s="171">
        <f t="shared" ca="1" si="667"/>
        <v>0</v>
      </c>
      <c r="X469" s="172">
        <f t="shared" si="668"/>
        <v>0</v>
      </c>
      <c r="Y469" s="172" t="str">
        <f t="shared" si="669"/>
        <v/>
      </c>
      <c r="Z469" s="173">
        <f t="shared" si="670"/>
        <v>0</v>
      </c>
      <c r="AA469" s="171">
        <f t="shared" ref="AA469:AJ478" si="752">IFERROR(
    IF($T469="Equity",
        IF(AND(AA$48&gt;=$E469, AA$48&lt;=($E469+$Q469)),
$K469*$P469*(VLOOKUP($C$39,$C$37:$BL$44,MATCH($E469,$C$37:$BL$37,0),FALSE)/VLOOKUP($L469,$C$37:$BL$44,MATCH($E469,$C$37:$BL$37,0),FALSE))*
IF($B$5="Foreign Currency",VLOOKUP($C$38,$C$37:$BL$44,MATCH(AA$48,$C$37:$BL$37,0),FALSE)/VLOOKUP($C$39,$C$37:$BL$44,MATCH(AA$48,$C$37:$BL$37,0),FALSE),1),
0),
    IF($T469="Lump Sum Principal",
        IF(AND(AA$48&gt;=$E469, AA$48&lt;($E469+$Q469)),
$K469*$P469*(VLOOKUP($C$39,$C$37:$BL$44,MATCH($E469,$C$37:$BL$37,0),FALSE)/VLOOKUP($L469,$C$37:$BL$44,MATCH($E469,$C$37:$BL$37,0),FALSE))*
IF($B$5="Foreign Currency",VLOOKUP($C$38,$C$37:$BL$44,MATCH(AA$48,$C$37:$BL$37,0),FALSE)/VLOOKUP($C$39,$C$37:$BL$44,MATCH(AA$48,$C$37:$BL$37,0),FALSE),1),
        IF(AA$48=($E469+$Q469),
$K469*(1+$P469)*(VLOOKUP($C$39,$C$37:$BL$44,MATCH($E469,$C$37:$BL$37,0),FALSE)/VLOOKUP($L469,$C$37:$BL$44,MATCH($E469,$C$37:$BL$37,0),FALSE))*
IF($B$5="Foreign Currency",VLOOKUP($C$38,$C$37:$BL$44,MATCH(AA$48,$C$37:$BL$37,0),FALSE)/VLOOKUP($C$39,$C$37:$BL$44,MATCH(AA$48,$C$37:$BL$37,0),FALSE),1),
0)),
    IF($T469="Lump Sum Principal and Interest",
        IF(AA$48=($E469+$Q469),
$K469*((1+$P469)^$Q469)*(VLOOKUP($C$39,$C$37:$BL$44,MATCH($E469,$C$37:$BL$37,0),FALSE)/VLOOKUP($L469,$C$37:$BL$44,MATCH($E469,$C$37:$BL$37,0),FALSE))*
IF($B$5="Foreign Currency",VLOOKUP($C$38,$C$37:$BL$44,MATCH(AA$48,$C$37:$BL$37,0),FALSE)/VLOOKUP($C$39,$C$37:$BL$44,MATCH(AA$48,$C$37:$BL$37,0),FALSE),1),
0),
    IF($T469="EPP with Grace Years for Principal",
        IF(AND(AA$48&gt;=$E469, AA$48&lt;($E469+$S469)),
$K469*$P469*(VLOOKUP($C$39,$C$37:$BL$44,MATCH($E469,$C$37:$BL$37,0),FALSE)/VLOOKUP($L469,$C$37:$BL$44,MATCH($E469,$C$37:$BL$37,0),FALSE))*
IF($B$5="Foreign Currency",VLOOKUP($C$38,$C$37:$BL$44,MATCH(AA$48,$C$37:$BL$37,0),FALSE)/VLOOKUP($C$39,$C$37:$BL$44,MATCH(AA$48,$C$37:$BL$37,0),FALSE),1),
        IF(AND(AA$48&gt;=($E469+$S469), AA$48&lt;=($E469+$Q469)),
-PMT($P469,($Q469-$S469+1),($K469*(VLOOKUP($C$39,$C$37:$BL$44,MATCH($E469,$C$37:$BL$37,0),FALSE)/VLOOKUP($L469,$C$37:$BL$44,MATCH($E469,$C$37:$BL$37,0),FALSE))*
IF($B$5="Foreign Currency",VLOOKUP($C$38,$C$37:$BL$44,MATCH(AA$48,$C$37:$BL$37,0),FALSE)/VLOOKUP($C$39,$C$37:$BL$44,MATCH(AA$48,$C$37:$BL$37,0),FALSE),1)),0),
0)),
    IF($T469="Equal Principal Payments (EPP)",
        IF(AND(AA$48&gt;=$E469, AA$48&lt;=($E469+$Q469)),
-PMT($P469,($Q469-$S469+1),($K469*(VLOOKUP($C$39,$C$37:$BL$44,MATCH($E469,$C$37:$BL$37,0),FALSE)/VLOOKUP($L469,$C$37:$BL$44,MATCH($E469,$C$37:$BL$37,0),FALSE))*
IF($B$5="Foreign Currency",VLOOKUP($C$38,$C$37:$BL$44,MATCH(AA$48,$C$37:$BL$37,0),FALSE)/VLOOKUP($C$39,$C$37:$BL$44,MATCH(AA$48,$C$37:$BL$37,0),FALSE),1)),0), 0),
    IF($T469="EPP with Grace Years for Principal and on Interest",
        IF(AND(AA$48&gt;=($E469+$S469), AA$48&lt;=($E469+$Q469)),
-PMT($P469,($Q469-$S469+1),($K469*(VLOOKUP($C$39,$C$37:$BL$44,MATCH($E469,$C$37:$BL$37,0),FALSE)/VLOOKUP($L469,$C$37:$BL$44,MATCH($E469,$C$37:$BL$37,0),FALSE))*
IF($B$5="Foreign Currency",VLOOKUP($C$38,$C$37:$BL$44,MATCH(AA$48,$C$37:$BL$37,0),FALSE)/VLOOKUP($C$39,$C$37:$BL$44,MATCH(AA$48,$C$37:$BL$37,0),FALSE),1))*((1+$P469)^$S469),0), 0),
    0)))))),"")</f>
        <v>0</v>
      </c>
      <c r="AB469" s="171">
        <f t="shared" si="752"/>
        <v>0</v>
      </c>
      <c r="AC469" s="171">
        <f t="shared" si="752"/>
        <v>0</v>
      </c>
      <c r="AD469" s="171">
        <f t="shared" si="752"/>
        <v>0</v>
      </c>
      <c r="AE469" s="171">
        <f t="shared" si="752"/>
        <v>0</v>
      </c>
      <c r="AF469" s="171">
        <f t="shared" si="752"/>
        <v>0</v>
      </c>
      <c r="AG469" s="171">
        <f t="shared" si="752"/>
        <v>0</v>
      </c>
      <c r="AH469" s="171">
        <f t="shared" si="752"/>
        <v>0</v>
      </c>
      <c r="AI469" s="171">
        <f t="shared" si="752"/>
        <v>0</v>
      </c>
      <c r="AJ469" s="171">
        <f t="shared" si="752"/>
        <v>0</v>
      </c>
      <c r="AK469" s="171">
        <f t="shared" ref="AK469:AT478" si="753">IFERROR(
    IF($T469="Equity",
        IF(AND(AK$48&gt;=$E469, AK$48&lt;=($E469+$Q469)),
$K469*$P469*(VLOOKUP($C$39,$C$37:$BL$44,MATCH($E469,$C$37:$BL$37,0),FALSE)/VLOOKUP($L469,$C$37:$BL$44,MATCH($E469,$C$37:$BL$37,0),FALSE))*
IF($B$5="Foreign Currency",VLOOKUP($C$38,$C$37:$BL$44,MATCH(AK$48,$C$37:$BL$37,0),FALSE)/VLOOKUP($C$39,$C$37:$BL$44,MATCH(AK$48,$C$37:$BL$37,0),FALSE),1),
0),
    IF($T469="Lump Sum Principal",
        IF(AND(AK$48&gt;=$E469, AK$48&lt;($E469+$Q469)),
$K469*$P469*(VLOOKUP($C$39,$C$37:$BL$44,MATCH($E469,$C$37:$BL$37,0),FALSE)/VLOOKUP($L469,$C$37:$BL$44,MATCH($E469,$C$37:$BL$37,0),FALSE))*
IF($B$5="Foreign Currency",VLOOKUP($C$38,$C$37:$BL$44,MATCH(AK$48,$C$37:$BL$37,0),FALSE)/VLOOKUP($C$39,$C$37:$BL$44,MATCH(AK$48,$C$37:$BL$37,0),FALSE),1),
        IF(AK$48=($E469+$Q469),
$K469*(1+$P469)*(VLOOKUP($C$39,$C$37:$BL$44,MATCH($E469,$C$37:$BL$37,0),FALSE)/VLOOKUP($L469,$C$37:$BL$44,MATCH($E469,$C$37:$BL$37,0),FALSE))*
IF($B$5="Foreign Currency",VLOOKUP($C$38,$C$37:$BL$44,MATCH(AK$48,$C$37:$BL$37,0),FALSE)/VLOOKUP($C$39,$C$37:$BL$44,MATCH(AK$48,$C$37:$BL$37,0),FALSE),1),
0)),
    IF($T469="Lump Sum Principal and Interest",
        IF(AK$48=($E469+$Q469),
$K469*((1+$P469)^$Q469)*(VLOOKUP($C$39,$C$37:$BL$44,MATCH($E469,$C$37:$BL$37,0),FALSE)/VLOOKUP($L469,$C$37:$BL$44,MATCH($E469,$C$37:$BL$37,0),FALSE))*
IF($B$5="Foreign Currency",VLOOKUP($C$38,$C$37:$BL$44,MATCH(AK$48,$C$37:$BL$37,0),FALSE)/VLOOKUP($C$39,$C$37:$BL$44,MATCH(AK$48,$C$37:$BL$37,0),FALSE),1),
0),
    IF($T469="EPP with Grace Years for Principal",
        IF(AND(AK$48&gt;=$E469, AK$48&lt;($E469+$S469)),
$K469*$P469*(VLOOKUP($C$39,$C$37:$BL$44,MATCH($E469,$C$37:$BL$37,0),FALSE)/VLOOKUP($L469,$C$37:$BL$44,MATCH($E469,$C$37:$BL$37,0),FALSE))*
IF($B$5="Foreign Currency",VLOOKUP($C$38,$C$37:$BL$44,MATCH(AK$48,$C$37:$BL$37,0),FALSE)/VLOOKUP($C$39,$C$37:$BL$44,MATCH(AK$48,$C$37:$BL$37,0),FALSE),1),
        IF(AND(AK$48&gt;=($E469+$S469), AK$48&lt;=($E469+$Q469)),
-PMT($P469,($Q469-$S469+1),($K469*(VLOOKUP($C$39,$C$37:$BL$44,MATCH($E469,$C$37:$BL$37,0),FALSE)/VLOOKUP($L469,$C$37:$BL$44,MATCH($E469,$C$37:$BL$37,0),FALSE))*
IF($B$5="Foreign Currency",VLOOKUP($C$38,$C$37:$BL$44,MATCH(AK$48,$C$37:$BL$37,0),FALSE)/VLOOKUP($C$39,$C$37:$BL$44,MATCH(AK$48,$C$37:$BL$37,0),FALSE),1)),0),
0)),
    IF($T469="Equal Principal Payments (EPP)",
        IF(AND(AK$48&gt;=$E469, AK$48&lt;=($E469+$Q469)),
-PMT($P469,($Q469-$S469+1),($K469*(VLOOKUP($C$39,$C$37:$BL$44,MATCH($E469,$C$37:$BL$37,0),FALSE)/VLOOKUP($L469,$C$37:$BL$44,MATCH($E469,$C$37:$BL$37,0),FALSE))*
IF($B$5="Foreign Currency",VLOOKUP($C$38,$C$37:$BL$44,MATCH(AK$48,$C$37:$BL$37,0),FALSE)/VLOOKUP($C$39,$C$37:$BL$44,MATCH(AK$48,$C$37:$BL$37,0),FALSE),1)),0), 0),
    IF($T469="EPP with Grace Years for Principal and on Interest",
        IF(AND(AK$48&gt;=($E469+$S469), AK$48&lt;=($E469+$Q469)),
-PMT($P469,($Q469-$S469+1),($K469*(VLOOKUP($C$39,$C$37:$BL$44,MATCH($E469,$C$37:$BL$37,0),FALSE)/VLOOKUP($L469,$C$37:$BL$44,MATCH($E469,$C$37:$BL$37,0),FALSE))*
IF($B$5="Foreign Currency",VLOOKUP($C$38,$C$37:$BL$44,MATCH(AK$48,$C$37:$BL$37,0),FALSE)/VLOOKUP($C$39,$C$37:$BL$44,MATCH(AK$48,$C$37:$BL$37,0),FALSE),1))*((1+$P469)^$S469),0), 0),
    0)))))),"")</f>
        <v>0</v>
      </c>
      <c r="AL469" s="171">
        <f t="shared" si="753"/>
        <v>0</v>
      </c>
      <c r="AM469" s="171">
        <f t="shared" si="753"/>
        <v>0</v>
      </c>
      <c r="AN469" s="171">
        <f t="shared" si="753"/>
        <v>0</v>
      </c>
      <c r="AO469" s="171">
        <f t="shared" si="753"/>
        <v>0</v>
      </c>
      <c r="AP469" s="171">
        <f t="shared" si="753"/>
        <v>0</v>
      </c>
      <c r="AQ469" s="171">
        <f t="shared" si="753"/>
        <v>0</v>
      </c>
      <c r="AR469" s="171">
        <f t="shared" si="753"/>
        <v>0</v>
      </c>
      <c r="AS469" s="171">
        <f t="shared" si="753"/>
        <v>0</v>
      </c>
      <c r="AT469" s="171">
        <f t="shared" si="753"/>
        <v>0</v>
      </c>
      <c r="AU469" s="171">
        <f t="shared" ref="AU469:BD478" si="754">IFERROR(
    IF($T469="Equity",
        IF(AND(AU$48&gt;=$E469, AU$48&lt;=($E469+$Q469)),
$K469*$P469*(VLOOKUP($C$39,$C$37:$BL$44,MATCH($E469,$C$37:$BL$37,0),FALSE)/VLOOKUP($L469,$C$37:$BL$44,MATCH($E469,$C$37:$BL$37,0),FALSE))*
IF($B$5="Foreign Currency",VLOOKUP($C$38,$C$37:$BL$44,MATCH(AU$48,$C$37:$BL$37,0),FALSE)/VLOOKUP($C$39,$C$37:$BL$44,MATCH(AU$48,$C$37:$BL$37,0),FALSE),1),
0),
    IF($T469="Lump Sum Principal",
        IF(AND(AU$48&gt;=$E469, AU$48&lt;($E469+$Q469)),
$K469*$P469*(VLOOKUP($C$39,$C$37:$BL$44,MATCH($E469,$C$37:$BL$37,0),FALSE)/VLOOKUP($L469,$C$37:$BL$44,MATCH($E469,$C$37:$BL$37,0),FALSE))*
IF($B$5="Foreign Currency",VLOOKUP($C$38,$C$37:$BL$44,MATCH(AU$48,$C$37:$BL$37,0),FALSE)/VLOOKUP($C$39,$C$37:$BL$44,MATCH(AU$48,$C$37:$BL$37,0),FALSE),1),
        IF(AU$48=($E469+$Q469),
$K469*(1+$P469)*(VLOOKUP($C$39,$C$37:$BL$44,MATCH($E469,$C$37:$BL$37,0),FALSE)/VLOOKUP($L469,$C$37:$BL$44,MATCH($E469,$C$37:$BL$37,0),FALSE))*
IF($B$5="Foreign Currency",VLOOKUP($C$38,$C$37:$BL$44,MATCH(AU$48,$C$37:$BL$37,0),FALSE)/VLOOKUP($C$39,$C$37:$BL$44,MATCH(AU$48,$C$37:$BL$37,0),FALSE),1),
0)),
    IF($T469="Lump Sum Principal and Interest",
        IF(AU$48=($E469+$Q469),
$K469*((1+$P469)^$Q469)*(VLOOKUP($C$39,$C$37:$BL$44,MATCH($E469,$C$37:$BL$37,0),FALSE)/VLOOKUP($L469,$C$37:$BL$44,MATCH($E469,$C$37:$BL$37,0),FALSE))*
IF($B$5="Foreign Currency",VLOOKUP($C$38,$C$37:$BL$44,MATCH(AU$48,$C$37:$BL$37,0),FALSE)/VLOOKUP($C$39,$C$37:$BL$44,MATCH(AU$48,$C$37:$BL$37,0),FALSE),1),
0),
    IF($T469="EPP with Grace Years for Principal",
        IF(AND(AU$48&gt;=$E469, AU$48&lt;($E469+$S469)),
$K469*$P469*(VLOOKUP($C$39,$C$37:$BL$44,MATCH($E469,$C$37:$BL$37,0),FALSE)/VLOOKUP($L469,$C$37:$BL$44,MATCH($E469,$C$37:$BL$37,0),FALSE))*
IF($B$5="Foreign Currency",VLOOKUP($C$38,$C$37:$BL$44,MATCH(AU$48,$C$37:$BL$37,0),FALSE)/VLOOKUP($C$39,$C$37:$BL$44,MATCH(AU$48,$C$37:$BL$37,0),FALSE),1),
        IF(AND(AU$48&gt;=($E469+$S469), AU$48&lt;=($E469+$Q469)),
-PMT($P469,($Q469-$S469+1),($K469*(VLOOKUP($C$39,$C$37:$BL$44,MATCH($E469,$C$37:$BL$37,0),FALSE)/VLOOKUP($L469,$C$37:$BL$44,MATCH($E469,$C$37:$BL$37,0),FALSE))*
IF($B$5="Foreign Currency",VLOOKUP($C$38,$C$37:$BL$44,MATCH(AU$48,$C$37:$BL$37,0),FALSE)/VLOOKUP($C$39,$C$37:$BL$44,MATCH(AU$48,$C$37:$BL$37,0),FALSE),1)),0),
0)),
    IF($T469="Equal Principal Payments (EPP)",
        IF(AND(AU$48&gt;=$E469, AU$48&lt;=($E469+$Q469)),
-PMT($P469,($Q469-$S469+1),($K469*(VLOOKUP($C$39,$C$37:$BL$44,MATCH($E469,$C$37:$BL$37,0),FALSE)/VLOOKUP($L469,$C$37:$BL$44,MATCH($E469,$C$37:$BL$37,0),FALSE))*
IF($B$5="Foreign Currency",VLOOKUP($C$38,$C$37:$BL$44,MATCH(AU$48,$C$37:$BL$37,0),FALSE)/VLOOKUP($C$39,$C$37:$BL$44,MATCH(AU$48,$C$37:$BL$37,0),FALSE),1)),0), 0),
    IF($T469="EPP with Grace Years for Principal and on Interest",
        IF(AND(AU$48&gt;=($E469+$S469), AU$48&lt;=($E469+$Q469)),
-PMT($P469,($Q469-$S469+1),($K469*(VLOOKUP($C$39,$C$37:$BL$44,MATCH($E469,$C$37:$BL$37,0),FALSE)/VLOOKUP($L469,$C$37:$BL$44,MATCH($E469,$C$37:$BL$37,0),FALSE))*
IF($B$5="Foreign Currency",VLOOKUP($C$38,$C$37:$BL$44,MATCH(AU$48,$C$37:$BL$37,0),FALSE)/VLOOKUP($C$39,$C$37:$BL$44,MATCH(AU$48,$C$37:$BL$37,0),FALSE),1))*((1+$P469)^$S469),0), 0),
    0)))))),"")</f>
        <v>0</v>
      </c>
      <c r="AV469" s="171">
        <f t="shared" si="754"/>
        <v>0</v>
      </c>
      <c r="AW469" s="171">
        <f t="shared" si="754"/>
        <v>0</v>
      </c>
      <c r="AX469" s="171">
        <f t="shared" si="754"/>
        <v>0</v>
      </c>
      <c r="AY469" s="171">
        <f t="shared" si="754"/>
        <v>0</v>
      </c>
      <c r="AZ469" s="171">
        <f t="shared" si="754"/>
        <v>0</v>
      </c>
      <c r="BA469" s="171">
        <f t="shared" si="754"/>
        <v>0</v>
      </c>
      <c r="BB469" s="171">
        <f t="shared" si="754"/>
        <v>0</v>
      </c>
      <c r="BC469" s="171">
        <f t="shared" si="754"/>
        <v>0</v>
      </c>
      <c r="BD469" s="171">
        <f t="shared" si="754"/>
        <v>0</v>
      </c>
      <c r="BE469" s="171">
        <f t="shared" ref="BE469:BN478" si="755">IFERROR(
    IF($T469="Equity",
        IF(AND(BE$48&gt;=$E469, BE$48&lt;=($E469+$Q469)),
$K469*$P469*(VLOOKUP($C$39,$C$37:$BL$44,MATCH($E469,$C$37:$BL$37,0),FALSE)/VLOOKUP($L469,$C$37:$BL$44,MATCH($E469,$C$37:$BL$37,0),FALSE))*
IF($B$5="Foreign Currency",VLOOKUP($C$38,$C$37:$BL$44,MATCH(BE$48,$C$37:$BL$37,0),FALSE)/VLOOKUP($C$39,$C$37:$BL$44,MATCH(BE$48,$C$37:$BL$37,0),FALSE),1),
0),
    IF($T469="Lump Sum Principal",
        IF(AND(BE$48&gt;=$E469, BE$48&lt;($E469+$Q469)),
$K469*$P469*(VLOOKUP($C$39,$C$37:$BL$44,MATCH($E469,$C$37:$BL$37,0),FALSE)/VLOOKUP($L469,$C$37:$BL$44,MATCH($E469,$C$37:$BL$37,0),FALSE))*
IF($B$5="Foreign Currency",VLOOKUP($C$38,$C$37:$BL$44,MATCH(BE$48,$C$37:$BL$37,0),FALSE)/VLOOKUP($C$39,$C$37:$BL$44,MATCH(BE$48,$C$37:$BL$37,0),FALSE),1),
        IF(BE$48=($E469+$Q469),
$K469*(1+$P469)*(VLOOKUP($C$39,$C$37:$BL$44,MATCH($E469,$C$37:$BL$37,0),FALSE)/VLOOKUP($L469,$C$37:$BL$44,MATCH($E469,$C$37:$BL$37,0),FALSE))*
IF($B$5="Foreign Currency",VLOOKUP($C$38,$C$37:$BL$44,MATCH(BE$48,$C$37:$BL$37,0),FALSE)/VLOOKUP($C$39,$C$37:$BL$44,MATCH(BE$48,$C$37:$BL$37,0),FALSE),1),
0)),
    IF($T469="Lump Sum Principal and Interest",
        IF(BE$48=($E469+$Q469),
$K469*((1+$P469)^$Q469)*(VLOOKUP($C$39,$C$37:$BL$44,MATCH($E469,$C$37:$BL$37,0),FALSE)/VLOOKUP($L469,$C$37:$BL$44,MATCH($E469,$C$37:$BL$37,0),FALSE))*
IF($B$5="Foreign Currency",VLOOKUP($C$38,$C$37:$BL$44,MATCH(BE$48,$C$37:$BL$37,0),FALSE)/VLOOKUP($C$39,$C$37:$BL$44,MATCH(BE$48,$C$37:$BL$37,0),FALSE),1),
0),
    IF($T469="EPP with Grace Years for Principal",
        IF(AND(BE$48&gt;=$E469, BE$48&lt;($E469+$S469)),
$K469*$P469*(VLOOKUP($C$39,$C$37:$BL$44,MATCH($E469,$C$37:$BL$37,0),FALSE)/VLOOKUP($L469,$C$37:$BL$44,MATCH($E469,$C$37:$BL$37,0),FALSE))*
IF($B$5="Foreign Currency",VLOOKUP($C$38,$C$37:$BL$44,MATCH(BE$48,$C$37:$BL$37,0),FALSE)/VLOOKUP($C$39,$C$37:$BL$44,MATCH(BE$48,$C$37:$BL$37,0),FALSE),1),
        IF(AND(BE$48&gt;=($E469+$S469), BE$48&lt;=($E469+$Q469)),
-PMT($P469,($Q469-$S469+1),($K469*(VLOOKUP($C$39,$C$37:$BL$44,MATCH($E469,$C$37:$BL$37,0),FALSE)/VLOOKUP($L469,$C$37:$BL$44,MATCH($E469,$C$37:$BL$37,0),FALSE))*
IF($B$5="Foreign Currency",VLOOKUP($C$38,$C$37:$BL$44,MATCH(BE$48,$C$37:$BL$37,0),FALSE)/VLOOKUP($C$39,$C$37:$BL$44,MATCH(BE$48,$C$37:$BL$37,0),FALSE),1)),0),
0)),
    IF($T469="Equal Principal Payments (EPP)",
        IF(AND(BE$48&gt;=$E469, BE$48&lt;=($E469+$Q469)),
-PMT($P469,($Q469-$S469+1),($K469*(VLOOKUP($C$39,$C$37:$BL$44,MATCH($E469,$C$37:$BL$37,0),FALSE)/VLOOKUP($L469,$C$37:$BL$44,MATCH($E469,$C$37:$BL$37,0),FALSE))*
IF($B$5="Foreign Currency",VLOOKUP($C$38,$C$37:$BL$44,MATCH(BE$48,$C$37:$BL$37,0),FALSE)/VLOOKUP($C$39,$C$37:$BL$44,MATCH(BE$48,$C$37:$BL$37,0),FALSE),1)),0), 0),
    IF($T469="EPP with Grace Years for Principal and on Interest",
        IF(AND(BE$48&gt;=($E469+$S469), BE$48&lt;=($E469+$Q469)),
-PMT($P469,($Q469-$S469+1),($K469*(VLOOKUP($C$39,$C$37:$BL$44,MATCH($E469,$C$37:$BL$37,0),FALSE)/VLOOKUP($L469,$C$37:$BL$44,MATCH($E469,$C$37:$BL$37,0),FALSE))*
IF($B$5="Foreign Currency",VLOOKUP($C$38,$C$37:$BL$44,MATCH(BE$48,$C$37:$BL$37,0),FALSE)/VLOOKUP($C$39,$C$37:$BL$44,MATCH(BE$48,$C$37:$BL$37,0),FALSE),1))*((1+$P469)^$S469),0), 0),
    0)))))),"")</f>
        <v>0</v>
      </c>
      <c r="BF469" s="171">
        <f t="shared" si="755"/>
        <v>0</v>
      </c>
      <c r="BG469" s="171">
        <f t="shared" si="755"/>
        <v>0</v>
      </c>
      <c r="BH469" s="171">
        <f t="shared" si="755"/>
        <v>0</v>
      </c>
      <c r="BI469" s="171">
        <f t="shared" si="755"/>
        <v>0</v>
      </c>
      <c r="BJ469" s="171">
        <f t="shared" si="755"/>
        <v>0</v>
      </c>
      <c r="BK469" s="171">
        <f t="shared" si="755"/>
        <v>0</v>
      </c>
      <c r="BL469" s="171">
        <f t="shared" si="755"/>
        <v>0</v>
      </c>
      <c r="BM469" s="171">
        <f t="shared" si="755"/>
        <v>0</v>
      </c>
      <c r="BN469" s="171">
        <f t="shared" si="755"/>
        <v>0</v>
      </c>
      <c r="BO469" s="171">
        <f t="shared" ref="BO469:BX478" si="756">IFERROR(
    IF($T469="Equity",
        IF(AND(BO$48&gt;=$E469, BO$48&lt;=($E469+$Q469)),
$K469*$P469*(VLOOKUP($C$39,$C$37:$BL$44,MATCH($E469,$C$37:$BL$37,0),FALSE)/VLOOKUP($L469,$C$37:$BL$44,MATCH($E469,$C$37:$BL$37,0),FALSE))*
IF($B$5="Foreign Currency",VLOOKUP($C$38,$C$37:$BL$44,MATCH(BO$48,$C$37:$BL$37,0),FALSE)/VLOOKUP($C$39,$C$37:$BL$44,MATCH(BO$48,$C$37:$BL$37,0),FALSE),1),
0),
    IF($T469="Lump Sum Principal",
        IF(AND(BO$48&gt;=$E469, BO$48&lt;($E469+$Q469)),
$K469*$P469*(VLOOKUP($C$39,$C$37:$BL$44,MATCH($E469,$C$37:$BL$37,0),FALSE)/VLOOKUP($L469,$C$37:$BL$44,MATCH($E469,$C$37:$BL$37,0),FALSE))*
IF($B$5="Foreign Currency",VLOOKUP($C$38,$C$37:$BL$44,MATCH(BO$48,$C$37:$BL$37,0),FALSE)/VLOOKUP($C$39,$C$37:$BL$44,MATCH(BO$48,$C$37:$BL$37,0),FALSE),1),
        IF(BO$48=($E469+$Q469),
$K469*(1+$P469)*(VLOOKUP($C$39,$C$37:$BL$44,MATCH($E469,$C$37:$BL$37,0),FALSE)/VLOOKUP($L469,$C$37:$BL$44,MATCH($E469,$C$37:$BL$37,0),FALSE))*
IF($B$5="Foreign Currency",VLOOKUP($C$38,$C$37:$BL$44,MATCH(BO$48,$C$37:$BL$37,0),FALSE)/VLOOKUP($C$39,$C$37:$BL$44,MATCH(BO$48,$C$37:$BL$37,0),FALSE),1),
0)),
    IF($T469="Lump Sum Principal and Interest",
        IF(BO$48=($E469+$Q469),
$K469*((1+$P469)^$Q469)*(VLOOKUP($C$39,$C$37:$BL$44,MATCH($E469,$C$37:$BL$37,0),FALSE)/VLOOKUP($L469,$C$37:$BL$44,MATCH($E469,$C$37:$BL$37,0),FALSE))*
IF($B$5="Foreign Currency",VLOOKUP($C$38,$C$37:$BL$44,MATCH(BO$48,$C$37:$BL$37,0),FALSE)/VLOOKUP($C$39,$C$37:$BL$44,MATCH(BO$48,$C$37:$BL$37,0),FALSE),1),
0),
    IF($T469="EPP with Grace Years for Principal",
        IF(AND(BO$48&gt;=$E469, BO$48&lt;($E469+$S469)),
$K469*$P469*(VLOOKUP($C$39,$C$37:$BL$44,MATCH($E469,$C$37:$BL$37,0),FALSE)/VLOOKUP($L469,$C$37:$BL$44,MATCH($E469,$C$37:$BL$37,0),FALSE))*
IF($B$5="Foreign Currency",VLOOKUP($C$38,$C$37:$BL$44,MATCH(BO$48,$C$37:$BL$37,0),FALSE)/VLOOKUP($C$39,$C$37:$BL$44,MATCH(BO$48,$C$37:$BL$37,0),FALSE),1),
        IF(AND(BO$48&gt;=($E469+$S469), BO$48&lt;=($E469+$Q469)),
-PMT($P469,($Q469-$S469+1),($K469*(VLOOKUP($C$39,$C$37:$BL$44,MATCH($E469,$C$37:$BL$37,0),FALSE)/VLOOKUP($L469,$C$37:$BL$44,MATCH($E469,$C$37:$BL$37,0),FALSE))*
IF($B$5="Foreign Currency",VLOOKUP($C$38,$C$37:$BL$44,MATCH(BO$48,$C$37:$BL$37,0),FALSE)/VLOOKUP($C$39,$C$37:$BL$44,MATCH(BO$48,$C$37:$BL$37,0),FALSE),1)),0),
0)),
    IF($T469="Equal Principal Payments (EPP)",
        IF(AND(BO$48&gt;=$E469, BO$48&lt;=($E469+$Q469)),
-PMT($P469,($Q469-$S469+1),($K469*(VLOOKUP($C$39,$C$37:$BL$44,MATCH($E469,$C$37:$BL$37,0),FALSE)/VLOOKUP($L469,$C$37:$BL$44,MATCH($E469,$C$37:$BL$37,0),FALSE))*
IF($B$5="Foreign Currency",VLOOKUP($C$38,$C$37:$BL$44,MATCH(BO$48,$C$37:$BL$37,0),FALSE)/VLOOKUP($C$39,$C$37:$BL$44,MATCH(BO$48,$C$37:$BL$37,0),FALSE),1)),0), 0),
    IF($T469="EPP with Grace Years for Principal and on Interest",
        IF(AND(BO$48&gt;=($E469+$S469), BO$48&lt;=($E469+$Q469)),
-PMT($P469,($Q469-$S469+1),($K469*(VLOOKUP($C$39,$C$37:$BL$44,MATCH($E469,$C$37:$BL$37,0),FALSE)/VLOOKUP($L469,$C$37:$BL$44,MATCH($E469,$C$37:$BL$37,0),FALSE))*
IF($B$5="Foreign Currency",VLOOKUP($C$38,$C$37:$BL$44,MATCH(BO$48,$C$37:$BL$37,0),FALSE)/VLOOKUP($C$39,$C$37:$BL$44,MATCH(BO$48,$C$37:$BL$37,0),FALSE),1))*((1+$P469)^$S469),0), 0),
    0)))))),"")</f>
        <v>0</v>
      </c>
      <c r="BP469" s="171">
        <f t="shared" si="756"/>
        <v>0</v>
      </c>
      <c r="BQ469" s="171">
        <f t="shared" si="756"/>
        <v>0</v>
      </c>
      <c r="BR469" s="171">
        <f t="shared" si="756"/>
        <v>0</v>
      </c>
      <c r="BS469" s="171">
        <f t="shared" si="756"/>
        <v>0</v>
      </c>
      <c r="BT469" s="171">
        <f t="shared" si="756"/>
        <v>0</v>
      </c>
      <c r="BU469" s="171">
        <f t="shared" si="756"/>
        <v>0</v>
      </c>
      <c r="BV469" s="171">
        <f t="shared" si="756"/>
        <v>0</v>
      </c>
      <c r="BW469" s="171">
        <f t="shared" si="756"/>
        <v>0</v>
      </c>
      <c r="BX469" s="171">
        <f t="shared" si="756"/>
        <v>0</v>
      </c>
      <c r="BY469" s="171">
        <f t="shared" ref="BY469:CI478" si="757">IFERROR(
    IF($T469="Equity",
        IF(AND(BY$48&gt;=$E469, BY$48&lt;=($E469+$Q469)),
$K469*$P469*(VLOOKUP($C$39,$C$37:$BL$44,MATCH($E469,$C$37:$BL$37,0),FALSE)/VLOOKUP($L469,$C$37:$BL$44,MATCH($E469,$C$37:$BL$37,0),FALSE))*
IF($B$5="Foreign Currency",VLOOKUP($C$38,$C$37:$BL$44,MATCH(BY$48,$C$37:$BL$37,0),FALSE)/VLOOKUP($C$39,$C$37:$BL$44,MATCH(BY$48,$C$37:$BL$37,0),FALSE),1),
0),
    IF($T469="Lump Sum Principal",
        IF(AND(BY$48&gt;=$E469, BY$48&lt;($E469+$Q469)),
$K469*$P469*(VLOOKUP($C$39,$C$37:$BL$44,MATCH($E469,$C$37:$BL$37,0),FALSE)/VLOOKUP($L469,$C$37:$BL$44,MATCH($E469,$C$37:$BL$37,0),FALSE))*
IF($B$5="Foreign Currency",VLOOKUP($C$38,$C$37:$BL$44,MATCH(BY$48,$C$37:$BL$37,0),FALSE)/VLOOKUP($C$39,$C$37:$BL$44,MATCH(BY$48,$C$37:$BL$37,0),FALSE),1),
        IF(BY$48=($E469+$Q469),
$K469*(1+$P469)*(VLOOKUP($C$39,$C$37:$BL$44,MATCH($E469,$C$37:$BL$37,0),FALSE)/VLOOKUP($L469,$C$37:$BL$44,MATCH($E469,$C$37:$BL$37,0),FALSE))*
IF($B$5="Foreign Currency",VLOOKUP($C$38,$C$37:$BL$44,MATCH(BY$48,$C$37:$BL$37,0),FALSE)/VLOOKUP($C$39,$C$37:$BL$44,MATCH(BY$48,$C$37:$BL$37,0),FALSE),1),
0)),
    IF($T469="Lump Sum Principal and Interest",
        IF(BY$48=($E469+$Q469),
$K469*((1+$P469)^$Q469)*(VLOOKUP($C$39,$C$37:$BL$44,MATCH($E469,$C$37:$BL$37,0),FALSE)/VLOOKUP($L469,$C$37:$BL$44,MATCH($E469,$C$37:$BL$37,0),FALSE))*
IF($B$5="Foreign Currency",VLOOKUP($C$38,$C$37:$BL$44,MATCH(BY$48,$C$37:$BL$37,0),FALSE)/VLOOKUP($C$39,$C$37:$BL$44,MATCH(BY$48,$C$37:$BL$37,0),FALSE),1),
0),
    IF($T469="EPP with Grace Years for Principal",
        IF(AND(BY$48&gt;=$E469, BY$48&lt;($E469+$S469)),
$K469*$P469*(VLOOKUP($C$39,$C$37:$BL$44,MATCH($E469,$C$37:$BL$37,0),FALSE)/VLOOKUP($L469,$C$37:$BL$44,MATCH($E469,$C$37:$BL$37,0),FALSE))*
IF($B$5="Foreign Currency",VLOOKUP($C$38,$C$37:$BL$44,MATCH(BY$48,$C$37:$BL$37,0),FALSE)/VLOOKUP($C$39,$C$37:$BL$44,MATCH(BY$48,$C$37:$BL$37,0),FALSE),1),
        IF(AND(BY$48&gt;=($E469+$S469), BY$48&lt;=($E469+$Q469)),
-PMT($P469,($Q469-$S469+1),($K469*(VLOOKUP($C$39,$C$37:$BL$44,MATCH($E469,$C$37:$BL$37,0),FALSE)/VLOOKUP($L469,$C$37:$BL$44,MATCH($E469,$C$37:$BL$37,0),FALSE))*
IF($B$5="Foreign Currency",VLOOKUP($C$38,$C$37:$BL$44,MATCH(BY$48,$C$37:$BL$37,0),FALSE)/VLOOKUP($C$39,$C$37:$BL$44,MATCH(BY$48,$C$37:$BL$37,0),FALSE),1)),0),
0)),
    IF($T469="Equal Principal Payments (EPP)",
        IF(AND(BY$48&gt;=$E469, BY$48&lt;=($E469+$Q469)),
-PMT($P469,($Q469-$S469+1),($K469*(VLOOKUP($C$39,$C$37:$BL$44,MATCH($E469,$C$37:$BL$37,0),FALSE)/VLOOKUP($L469,$C$37:$BL$44,MATCH($E469,$C$37:$BL$37,0),FALSE))*
IF($B$5="Foreign Currency",VLOOKUP($C$38,$C$37:$BL$44,MATCH(BY$48,$C$37:$BL$37,0),FALSE)/VLOOKUP($C$39,$C$37:$BL$44,MATCH(BY$48,$C$37:$BL$37,0),FALSE),1)),0), 0),
    IF($T469="EPP with Grace Years for Principal and on Interest",
        IF(AND(BY$48&gt;=($E469+$S469), BY$48&lt;=($E469+$Q469)),
-PMT($P469,($Q469-$S469+1),($K469*(VLOOKUP($C$39,$C$37:$BL$44,MATCH($E469,$C$37:$BL$37,0),FALSE)/VLOOKUP($L469,$C$37:$BL$44,MATCH($E469,$C$37:$BL$37,0),FALSE))*
IF($B$5="Foreign Currency",VLOOKUP($C$38,$C$37:$BL$44,MATCH(BY$48,$C$37:$BL$37,0),FALSE)/VLOOKUP($C$39,$C$37:$BL$44,MATCH(BY$48,$C$37:$BL$37,0),FALSE),1))*((1+$P469)^$S469),0), 0),
    0)))))),"")</f>
        <v>0</v>
      </c>
      <c r="BZ469" s="171">
        <f t="shared" si="757"/>
        <v>0</v>
      </c>
      <c r="CA469" s="171">
        <f t="shared" si="757"/>
        <v>0</v>
      </c>
      <c r="CB469" s="171">
        <f t="shared" si="757"/>
        <v>0</v>
      </c>
      <c r="CC469" s="171">
        <f t="shared" si="757"/>
        <v>0</v>
      </c>
      <c r="CD469" s="171">
        <f t="shared" si="757"/>
        <v>0</v>
      </c>
      <c r="CE469" s="171">
        <f t="shared" si="757"/>
        <v>0</v>
      </c>
      <c r="CF469" s="171">
        <f t="shared" si="757"/>
        <v>0</v>
      </c>
      <c r="CG469" s="171">
        <f t="shared" si="757"/>
        <v>0</v>
      </c>
      <c r="CH469" s="171">
        <f t="shared" si="757"/>
        <v>0</v>
      </c>
      <c r="CI469" s="171">
        <f t="shared" si="757"/>
        <v>0</v>
      </c>
      <c r="CJ469" s="243"/>
      <c r="CK469" s="171">
        <f t="shared" si="671"/>
        <v>0</v>
      </c>
      <c r="CL469" s="171">
        <f t="shared" si="672"/>
        <v>0</v>
      </c>
      <c r="CM469" s="171">
        <f t="shared" si="673"/>
        <v>0</v>
      </c>
      <c r="CN469" s="171">
        <f t="shared" si="674"/>
        <v>0</v>
      </c>
      <c r="CO469" s="171">
        <f t="shared" si="675"/>
        <v>0</v>
      </c>
      <c r="CP469" s="171">
        <f t="shared" si="676"/>
        <v>0</v>
      </c>
      <c r="CQ469" s="171">
        <f t="shared" si="677"/>
        <v>0</v>
      </c>
      <c r="CR469" s="171">
        <f t="shared" si="678"/>
        <v>0</v>
      </c>
      <c r="CS469" s="171">
        <f t="shared" si="679"/>
        <v>0</v>
      </c>
      <c r="CT469" s="171">
        <f t="shared" si="680"/>
        <v>0</v>
      </c>
      <c r="CU469" s="171">
        <f t="shared" si="681"/>
        <v>0</v>
      </c>
      <c r="CV469" s="171">
        <f t="shared" si="682"/>
        <v>0</v>
      </c>
      <c r="CW469" s="171">
        <f t="shared" si="683"/>
        <v>0</v>
      </c>
      <c r="CX469" s="171">
        <f t="shared" si="684"/>
        <v>0</v>
      </c>
      <c r="CY469" s="171">
        <f t="shared" ca="1" si="685"/>
        <v>0</v>
      </c>
      <c r="CZ469" s="171">
        <f t="shared" ca="1" si="686"/>
        <v>0</v>
      </c>
      <c r="DA469" s="171">
        <f t="shared" ca="1" si="687"/>
        <v>0</v>
      </c>
      <c r="DB469" s="171">
        <f t="shared" ca="1" si="688"/>
        <v>0</v>
      </c>
      <c r="DC469" s="171">
        <f t="shared" ca="1" si="689"/>
        <v>0</v>
      </c>
      <c r="DD469" s="171">
        <f t="shared" ca="1" si="690"/>
        <v>0</v>
      </c>
      <c r="DE469" s="171">
        <f t="shared" ca="1" si="691"/>
        <v>0</v>
      </c>
      <c r="DF469" s="171">
        <f t="shared" ca="1" si="692"/>
        <v>0</v>
      </c>
      <c r="DG469" s="171">
        <f t="shared" ca="1" si="693"/>
        <v>0</v>
      </c>
      <c r="DH469" s="171">
        <f t="shared" ca="1" si="694"/>
        <v>0</v>
      </c>
      <c r="DI469" s="171">
        <f t="shared" ca="1" si="695"/>
        <v>0</v>
      </c>
      <c r="DJ469" s="171">
        <f t="shared" ca="1" si="696"/>
        <v>0</v>
      </c>
      <c r="DK469" s="171">
        <f t="shared" ca="1" si="697"/>
        <v>0</v>
      </c>
      <c r="DL469" s="171">
        <f t="shared" ca="1" si="698"/>
        <v>0</v>
      </c>
      <c r="DM469" s="171">
        <f t="shared" ca="1" si="699"/>
        <v>0</v>
      </c>
      <c r="DN469" s="171">
        <f t="shared" ca="1" si="700"/>
        <v>0</v>
      </c>
      <c r="DO469" s="171">
        <f t="shared" ca="1" si="701"/>
        <v>0</v>
      </c>
      <c r="DP469" s="171">
        <f t="shared" ca="1" si="702"/>
        <v>0</v>
      </c>
      <c r="DQ469" s="171">
        <f t="shared" ca="1" si="703"/>
        <v>0</v>
      </c>
      <c r="DR469" s="171">
        <f t="shared" ca="1" si="704"/>
        <v>0</v>
      </c>
      <c r="DS469" s="171">
        <f t="shared" ca="1" si="705"/>
        <v>0</v>
      </c>
      <c r="DT469" s="171">
        <f t="shared" ca="1" si="706"/>
        <v>0</v>
      </c>
      <c r="DU469" s="171">
        <f t="shared" ca="1" si="707"/>
        <v>0</v>
      </c>
      <c r="DV469" s="171">
        <f t="shared" ca="1" si="708"/>
        <v>0</v>
      </c>
      <c r="DW469" s="171">
        <f t="shared" ca="1" si="709"/>
        <v>0</v>
      </c>
      <c r="DX469" s="171">
        <f t="shared" ca="1" si="710"/>
        <v>0</v>
      </c>
      <c r="DY469" s="171">
        <f t="shared" ca="1" si="711"/>
        <v>0</v>
      </c>
      <c r="DZ469" s="171">
        <f t="shared" ca="1" si="712"/>
        <v>0</v>
      </c>
      <c r="EA469" s="171">
        <f t="shared" ca="1" si="713"/>
        <v>0</v>
      </c>
      <c r="EB469" s="171">
        <f t="shared" ca="1" si="714"/>
        <v>0</v>
      </c>
      <c r="EC469" s="171">
        <f t="shared" ca="1" si="715"/>
        <v>0</v>
      </c>
      <c r="ED469" s="171">
        <f t="shared" ca="1" si="716"/>
        <v>0</v>
      </c>
      <c r="EE469" s="171">
        <f t="shared" ca="1" si="717"/>
        <v>0</v>
      </c>
      <c r="EF469" s="171">
        <f t="shared" ca="1" si="718"/>
        <v>0</v>
      </c>
      <c r="EG469" s="171">
        <f t="shared" ca="1" si="719"/>
        <v>0</v>
      </c>
      <c r="EH469" s="171">
        <f t="shared" ca="1" si="720"/>
        <v>0</v>
      </c>
      <c r="EI469" s="171">
        <f t="shared" ca="1" si="721"/>
        <v>0</v>
      </c>
      <c r="EJ469" s="171">
        <f t="shared" ca="1" si="722"/>
        <v>0</v>
      </c>
      <c r="EK469" s="171">
        <f t="shared" ca="1" si="723"/>
        <v>0</v>
      </c>
      <c r="EL469" s="171">
        <f t="shared" ca="1" si="724"/>
        <v>0</v>
      </c>
      <c r="EM469" s="171">
        <f t="shared" ca="1" si="725"/>
        <v>0</v>
      </c>
      <c r="EN469" s="171">
        <f t="shared" ca="1" si="726"/>
        <v>0</v>
      </c>
      <c r="EO469" s="171">
        <f t="shared" ca="1" si="727"/>
        <v>0</v>
      </c>
      <c r="EP469" s="171">
        <f t="shared" ca="1" si="728"/>
        <v>0</v>
      </c>
      <c r="EQ469" s="171">
        <f t="shared" ca="1" si="729"/>
        <v>0</v>
      </c>
      <c r="ER469" s="171">
        <f t="shared" ca="1" si="730"/>
        <v>0</v>
      </c>
      <c r="ES469" s="171">
        <f t="shared" ca="1" si="731"/>
        <v>0</v>
      </c>
    </row>
    <row r="470" spans="3:149">
      <c r="C470" s="214"/>
      <c r="L470" s="163"/>
      <c r="M470" s="164" t="str">
        <f t="shared" si="662"/>
        <v/>
      </c>
      <c r="N470" s="164" t="str">
        <f t="shared" si="663"/>
        <v/>
      </c>
      <c r="O470" s="165" t="str">
        <f t="shared" si="664"/>
        <v/>
      </c>
      <c r="R470" s="168" t="str">
        <f t="shared" si="751"/>
        <v/>
      </c>
      <c r="U470" s="171">
        <f t="shared" si="665"/>
        <v>0</v>
      </c>
      <c r="V470" s="171">
        <f t="shared" ca="1" si="666"/>
        <v>0</v>
      </c>
      <c r="W470" s="171">
        <f t="shared" ca="1" si="667"/>
        <v>0</v>
      </c>
      <c r="X470" s="172">
        <f t="shared" si="668"/>
        <v>0</v>
      </c>
      <c r="Y470" s="172" t="str">
        <f t="shared" si="669"/>
        <v/>
      </c>
      <c r="Z470" s="173">
        <f t="shared" si="670"/>
        <v>0</v>
      </c>
      <c r="AA470" s="171">
        <f t="shared" si="752"/>
        <v>0</v>
      </c>
      <c r="AB470" s="171">
        <f t="shared" si="752"/>
        <v>0</v>
      </c>
      <c r="AC470" s="171">
        <f t="shared" si="752"/>
        <v>0</v>
      </c>
      <c r="AD470" s="171">
        <f t="shared" si="752"/>
        <v>0</v>
      </c>
      <c r="AE470" s="171">
        <f t="shared" si="752"/>
        <v>0</v>
      </c>
      <c r="AF470" s="171">
        <f t="shared" si="752"/>
        <v>0</v>
      </c>
      <c r="AG470" s="171">
        <f t="shared" si="752"/>
        <v>0</v>
      </c>
      <c r="AH470" s="171">
        <f t="shared" si="752"/>
        <v>0</v>
      </c>
      <c r="AI470" s="171">
        <f t="shared" si="752"/>
        <v>0</v>
      </c>
      <c r="AJ470" s="171">
        <f t="shared" si="752"/>
        <v>0</v>
      </c>
      <c r="AK470" s="171">
        <f t="shared" si="753"/>
        <v>0</v>
      </c>
      <c r="AL470" s="171">
        <f t="shared" si="753"/>
        <v>0</v>
      </c>
      <c r="AM470" s="171">
        <f t="shared" si="753"/>
        <v>0</v>
      </c>
      <c r="AN470" s="171">
        <f t="shared" si="753"/>
        <v>0</v>
      </c>
      <c r="AO470" s="171">
        <f t="shared" si="753"/>
        <v>0</v>
      </c>
      <c r="AP470" s="171">
        <f t="shared" si="753"/>
        <v>0</v>
      </c>
      <c r="AQ470" s="171">
        <f t="shared" si="753"/>
        <v>0</v>
      </c>
      <c r="AR470" s="171">
        <f t="shared" si="753"/>
        <v>0</v>
      </c>
      <c r="AS470" s="171">
        <f t="shared" si="753"/>
        <v>0</v>
      </c>
      <c r="AT470" s="171">
        <f t="shared" si="753"/>
        <v>0</v>
      </c>
      <c r="AU470" s="171">
        <f t="shared" si="754"/>
        <v>0</v>
      </c>
      <c r="AV470" s="171">
        <f t="shared" si="754"/>
        <v>0</v>
      </c>
      <c r="AW470" s="171">
        <f t="shared" si="754"/>
        <v>0</v>
      </c>
      <c r="AX470" s="171">
        <f t="shared" si="754"/>
        <v>0</v>
      </c>
      <c r="AY470" s="171">
        <f t="shared" si="754"/>
        <v>0</v>
      </c>
      <c r="AZ470" s="171">
        <f t="shared" si="754"/>
        <v>0</v>
      </c>
      <c r="BA470" s="171">
        <f t="shared" si="754"/>
        <v>0</v>
      </c>
      <c r="BB470" s="171">
        <f t="shared" si="754"/>
        <v>0</v>
      </c>
      <c r="BC470" s="171">
        <f t="shared" si="754"/>
        <v>0</v>
      </c>
      <c r="BD470" s="171">
        <f t="shared" si="754"/>
        <v>0</v>
      </c>
      <c r="BE470" s="171">
        <f t="shared" si="755"/>
        <v>0</v>
      </c>
      <c r="BF470" s="171">
        <f t="shared" si="755"/>
        <v>0</v>
      </c>
      <c r="BG470" s="171">
        <f t="shared" si="755"/>
        <v>0</v>
      </c>
      <c r="BH470" s="171">
        <f t="shared" si="755"/>
        <v>0</v>
      </c>
      <c r="BI470" s="171">
        <f t="shared" si="755"/>
        <v>0</v>
      </c>
      <c r="BJ470" s="171">
        <f t="shared" si="755"/>
        <v>0</v>
      </c>
      <c r="BK470" s="171">
        <f t="shared" si="755"/>
        <v>0</v>
      </c>
      <c r="BL470" s="171">
        <f t="shared" si="755"/>
        <v>0</v>
      </c>
      <c r="BM470" s="171">
        <f t="shared" si="755"/>
        <v>0</v>
      </c>
      <c r="BN470" s="171">
        <f t="shared" si="755"/>
        <v>0</v>
      </c>
      <c r="BO470" s="171">
        <f t="shared" si="756"/>
        <v>0</v>
      </c>
      <c r="BP470" s="171">
        <f t="shared" si="756"/>
        <v>0</v>
      </c>
      <c r="BQ470" s="171">
        <f t="shared" si="756"/>
        <v>0</v>
      </c>
      <c r="BR470" s="171">
        <f t="shared" si="756"/>
        <v>0</v>
      </c>
      <c r="BS470" s="171">
        <f t="shared" si="756"/>
        <v>0</v>
      </c>
      <c r="BT470" s="171">
        <f t="shared" si="756"/>
        <v>0</v>
      </c>
      <c r="BU470" s="171">
        <f t="shared" si="756"/>
        <v>0</v>
      </c>
      <c r="BV470" s="171">
        <f t="shared" si="756"/>
        <v>0</v>
      </c>
      <c r="BW470" s="171">
        <f t="shared" si="756"/>
        <v>0</v>
      </c>
      <c r="BX470" s="171">
        <f t="shared" si="756"/>
        <v>0</v>
      </c>
      <c r="BY470" s="171">
        <f t="shared" si="757"/>
        <v>0</v>
      </c>
      <c r="BZ470" s="171">
        <f t="shared" si="757"/>
        <v>0</v>
      </c>
      <c r="CA470" s="171">
        <f t="shared" si="757"/>
        <v>0</v>
      </c>
      <c r="CB470" s="171">
        <f t="shared" si="757"/>
        <v>0</v>
      </c>
      <c r="CC470" s="171">
        <f t="shared" si="757"/>
        <v>0</v>
      </c>
      <c r="CD470" s="171">
        <f t="shared" si="757"/>
        <v>0</v>
      </c>
      <c r="CE470" s="171">
        <f t="shared" si="757"/>
        <v>0</v>
      </c>
      <c r="CF470" s="171">
        <f t="shared" si="757"/>
        <v>0</v>
      </c>
      <c r="CG470" s="171">
        <f t="shared" si="757"/>
        <v>0</v>
      </c>
      <c r="CH470" s="171">
        <f t="shared" si="757"/>
        <v>0</v>
      </c>
      <c r="CI470" s="171">
        <f t="shared" si="757"/>
        <v>0</v>
      </c>
      <c r="CJ470" s="243"/>
      <c r="CK470" s="171">
        <f t="shared" si="671"/>
        <v>0</v>
      </c>
      <c r="CL470" s="171">
        <f t="shared" si="672"/>
        <v>0</v>
      </c>
      <c r="CM470" s="171">
        <f t="shared" si="673"/>
        <v>0</v>
      </c>
      <c r="CN470" s="171">
        <f t="shared" si="674"/>
        <v>0</v>
      </c>
      <c r="CO470" s="171">
        <f t="shared" si="675"/>
        <v>0</v>
      </c>
      <c r="CP470" s="171">
        <f t="shared" si="676"/>
        <v>0</v>
      </c>
      <c r="CQ470" s="171">
        <f t="shared" si="677"/>
        <v>0</v>
      </c>
      <c r="CR470" s="171">
        <f t="shared" si="678"/>
        <v>0</v>
      </c>
      <c r="CS470" s="171">
        <f t="shared" si="679"/>
        <v>0</v>
      </c>
      <c r="CT470" s="171">
        <f t="shared" si="680"/>
        <v>0</v>
      </c>
      <c r="CU470" s="171">
        <f t="shared" si="681"/>
        <v>0</v>
      </c>
      <c r="CV470" s="171">
        <f t="shared" si="682"/>
        <v>0</v>
      </c>
      <c r="CW470" s="171">
        <f t="shared" si="683"/>
        <v>0</v>
      </c>
      <c r="CX470" s="171">
        <f t="shared" si="684"/>
        <v>0</v>
      </c>
      <c r="CY470" s="171">
        <f t="shared" ca="1" si="685"/>
        <v>0</v>
      </c>
      <c r="CZ470" s="171">
        <f t="shared" ca="1" si="686"/>
        <v>0</v>
      </c>
      <c r="DA470" s="171">
        <f t="shared" ca="1" si="687"/>
        <v>0</v>
      </c>
      <c r="DB470" s="171">
        <f t="shared" ca="1" si="688"/>
        <v>0</v>
      </c>
      <c r="DC470" s="171">
        <f t="shared" ca="1" si="689"/>
        <v>0</v>
      </c>
      <c r="DD470" s="171">
        <f t="shared" ca="1" si="690"/>
        <v>0</v>
      </c>
      <c r="DE470" s="171">
        <f t="shared" ca="1" si="691"/>
        <v>0</v>
      </c>
      <c r="DF470" s="171">
        <f t="shared" ca="1" si="692"/>
        <v>0</v>
      </c>
      <c r="DG470" s="171">
        <f t="shared" ca="1" si="693"/>
        <v>0</v>
      </c>
      <c r="DH470" s="171">
        <f t="shared" ca="1" si="694"/>
        <v>0</v>
      </c>
      <c r="DI470" s="171">
        <f t="shared" ca="1" si="695"/>
        <v>0</v>
      </c>
      <c r="DJ470" s="171">
        <f t="shared" ca="1" si="696"/>
        <v>0</v>
      </c>
      <c r="DK470" s="171">
        <f t="shared" ca="1" si="697"/>
        <v>0</v>
      </c>
      <c r="DL470" s="171">
        <f t="shared" ca="1" si="698"/>
        <v>0</v>
      </c>
      <c r="DM470" s="171">
        <f t="shared" ca="1" si="699"/>
        <v>0</v>
      </c>
      <c r="DN470" s="171">
        <f t="shared" ca="1" si="700"/>
        <v>0</v>
      </c>
      <c r="DO470" s="171">
        <f t="shared" ca="1" si="701"/>
        <v>0</v>
      </c>
      <c r="DP470" s="171">
        <f t="shared" ca="1" si="702"/>
        <v>0</v>
      </c>
      <c r="DQ470" s="171">
        <f t="shared" ca="1" si="703"/>
        <v>0</v>
      </c>
      <c r="DR470" s="171">
        <f t="shared" ca="1" si="704"/>
        <v>0</v>
      </c>
      <c r="DS470" s="171">
        <f t="shared" ca="1" si="705"/>
        <v>0</v>
      </c>
      <c r="DT470" s="171">
        <f t="shared" ca="1" si="706"/>
        <v>0</v>
      </c>
      <c r="DU470" s="171">
        <f t="shared" ca="1" si="707"/>
        <v>0</v>
      </c>
      <c r="DV470" s="171">
        <f t="shared" ca="1" si="708"/>
        <v>0</v>
      </c>
      <c r="DW470" s="171">
        <f t="shared" ca="1" si="709"/>
        <v>0</v>
      </c>
      <c r="DX470" s="171">
        <f t="shared" ca="1" si="710"/>
        <v>0</v>
      </c>
      <c r="DY470" s="171">
        <f t="shared" ca="1" si="711"/>
        <v>0</v>
      </c>
      <c r="DZ470" s="171">
        <f t="shared" ca="1" si="712"/>
        <v>0</v>
      </c>
      <c r="EA470" s="171">
        <f t="shared" ca="1" si="713"/>
        <v>0</v>
      </c>
      <c r="EB470" s="171">
        <f t="shared" ca="1" si="714"/>
        <v>0</v>
      </c>
      <c r="EC470" s="171">
        <f t="shared" ca="1" si="715"/>
        <v>0</v>
      </c>
      <c r="ED470" s="171">
        <f t="shared" ca="1" si="716"/>
        <v>0</v>
      </c>
      <c r="EE470" s="171">
        <f t="shared" ca="1" si="717"/>
        <v>0</v>
      </c>
      <c r="EF470" s="171">
        <f t="shared" ca="1" si="718"/>
        <v>0</v>
      </c>
      <c r="EG470" s="171">
        <f t="shared" ca="1" si="719"/>
        <v>0</v>
      </c>
      <c r="EH470" s="171">
        <f t="shared" ca="1" si="720"/>
        <v>0</v>
      </c>
      <c r="EI470" s="171">
        <f t="shared" ca="1" si="721"/>
        <v>0</v>
      </c>
      <c r="EJ470" s="171">
        <f t="shared" ca="1" si="722"/>
        <v>0</v>
      </c>
      <c r="EK470" s="171">
        <f t="shared" ca="1" si="723"/>
        <v>0</v>
      </c>
      <c r="EL470" s="171">
        <f t="shared" ca="1" si="724"/>
        <v>0</v>
      </c>
      <c r="EM470" s="171">
        <f t="shared" ca="1" si="725"/>
        <v>0</v>
      </c>
      <c r="EN470" s="171">
        <f t="shared" ca="1" si="726"/>
        <v>0</v>
      </c>
      <c r="EO470" s="171">
        <f t="shared" ca="1" si="727"/>
        <v>0</v>
      </c>
      <c r="EP470" s="171">
        <f t="shared" ca="1" si="728"/>
        <v>0</v>
      </c>
      <c r="EQ470" s="171">
        <f t="shared" ca="1" si="729"/>
        <v>0</v>
      </c>
      <c r="ER470" s="171">
        <f t="shared" ca="1" si="730"/>
        <v>0</v>
      </c>
      <c r="ES470" s="171">
        <f t="shared" ca="1" si="731"/>
        <v>0</v>
      </c>
    </row>
    <row r="471" spans="3:149">
      <c r="C471" s="214"/>
      <c r="L471" s="163"/>
      <c r="M471" s="164" t="str">
        <f t="shared" si="662"/>
        <v/>
      </c>
      <c r="N471" s="164" t="str">
        <f t="shared" si="663"/>
        <v/>
      </c>
      <c r="O471" s="165" t="str">
        <f t="shared" si="664"/>
        <v/>
      </c>
      <c r="R471" s="168" t="str">
        <f t="shared" si="751"/>
        <v/>
      </c>
      <c r="U471" s="171">
        <f t="shared" si="665"/>
        <v>0</v>
      </c>
      <c r="V471" s="171">
        <f t="shared" ca="1" si="666"/>
        <v>0</v>
      </c>
      <c r="W471" s="171">
        <f t="shared" ca="1" si="667"/>
        <v>0</v>
      </c>
      <c r="X471" s="172">
        <f t="shared" si="668"/>
        <v>0</v>
      </c>
      <c r="Y471" s="172" t="str">
        <f t="shared" si="669"/>
        <v/>
      </c>
      <c r="Z471" s="173">
        <f t="shared" si="670"/>
        <v>0</v>
      </c>
      <c r="AA471" s="171">
        <f t="shared" si="752"/>
        <v>0</v>
      </c>
      <c r="AB471" s="171">
        <f t="shared" si="752"/>
        <v>0</v>
      </c>
      <c r="AC471" s="171">
        <f t="shared" si="752"/>
        <v>0</v>
      </c>
      <c r="AD471" s="171">
        <f t="shared" si="752"/>
        <v>0</v>
      </c>
      <c r="AE471" s="171">
        <f t="shared" si="752"/>
        <v>0</v>
      </c>
      <c r="AF471" s="171">
        <f t="shared" si="752"/>
        <v>0</v>
      </c>
      <c r="AG471" s="171">
        <f t="shared" si="752"/>
        <v>0</v>
      </c>
      <c r="AH471" s="171">
        <f t="shared" si="752"/>
        <v>0</v>
      </c>
      <c r="AI471" s="171">
        <f t="shared" si="752"/>
        <v>0</v>
      </c>
      <c r="AJ471" s="171">
        <f t="shared" si="752"/>
        <v>0</v>
      </c>
      <c r="AK471" s="171">
        <f t="shared" si="753"/>
        <v>0</v>
      </c>
      <c r="AL471" s="171">
        <f t="shared" si="753"/>
        <v>0</v>
      </c>
      <c r="AM471" s="171">
        <f t="shared" si="753"/>
        <v>0</v>
      </c>
      <c r="AN471" s="171">
        <f t="shared" si="753"/>
        <v>0</v>
      </c>
      <c r="AO471" s="171">
        <f t="shared" si="753"/>
        <v>0</v>
      </c>
      <c r="AP471" s="171">
        <f t="shared" si="753"/>
        <v>0</v>
      </c>
      <c r="AQ471" s="171">
        <f t="shared" si="753"/>
        <v>0</v>
      </c>
      <c r="AR471" s="171">
        <f t="shared" si="753"/>
        <v>0</v>
      </c>
      <c r="AS471" s="171">
        <f t="shared" si="753"/>
        <v>0</v>
      </c>
      <c r="AT471" s="171">
        <f t="shared" si="753"/>
        <v>0</v>
      </c>
      <c r="AU471" s="171">
        <f t="shared" si="754"/>
        <v>0</v>
      </c>
      <c r="AV471" s="171">
        <f t="shared" si="754"/>
        <v>0</v>
      </c>
      <c r="AW471" s="171">
        <f t="shared" si="754"/>
        <v>0</v>
      </c>
      <c r="AX471" s="171">
        <f t="shared" si="754"/>
        <v>0</v>
      </c>
      <c r="AY471" s="171">
        <f t="shared" si="754"/>
        <v>0</v>
      </c>
      <c r="AZ471" s="171">
        <f t="shared" si="754"/>
        <v>0</v>
      </c>
      <c r="BA471" s="171">
        <f t="shared" si="754"/>
        <v>0</v>
      </c>
      <c r="BB471" s="171">
        <f t="shared" si="754"/>
        <v>0</v>
      </c>
      <c r="BC471" s="171">
        <f t="shared" si="754"/>
        <v>0</v>
      </c>
      <c r="BD471" s="171">
        <f t="shared" si="754"/>
        <v>0</v>
      </c>
      <c r="BE471" s="171">
        <f t="shared" si="755"/>
        <v>0</v>
      </c>
      <c r="BF471" s="171">
        <f t="shared" si="755"/>
        <v>0</v>
      </c>
      <c r="BG471" s="171">
        <f t="shared" si="755"/>
        <v>0</v>
      </c>
      <c r="BH471" s="171">
        <f t="shared" si="755"/>
        <v>0</v>
      </c>
      <c r="BI471" s="171">
        <f t="shared" si="755"/>
        <v>0</v>
      </c>
      <c r="BJ471" s="171">
        <f t="shared" si="755"/>
        <v>0</v>
      </c>
      <c r="BK471" s="171">
        <f t="shared" si="755"/>
        <v>0</v>
      </c>
      <c r="BL471" s="171">
        <f t="shared" si="755"/>
        <v>0</v>
      </c>
      <c r="BM471" s="171">
        <f t="shared" si="755"/>
        <v>0</v>
      </c>
      <c r="BN471" s="171">
        <f t="shared" si="755"/>
        <v>0</v>
      </c>
      <c r="BO471" s="171">
        <f t="shared" si="756"/>
        <v>0</v>
      </c>
      <c r="BP471" s="171">
        <f t="shared" si="756"/>
        <v>0</v>
      </c>
      <c r="BQ471" s="171">
        <f t="shared" si="756"/>
        <v>0</v>
      </c>
      <c r="BR471" s="171">
        <f t="shared" si="756"/>
        <v>0</v>
      </c>
      <c r="BS471" s="171">
        <f t="shared" si="756"/>
        <v>0</v>
      </c>
      <c r="BT471" s="171">
        <f t="shared" si="756"/>
        <v>0</v>
      </c>
      <c r="BU471" s="171">
        <f t="shared" si="756"/>
        <v>0</v>
      </c>
      <c r="BV471" s="171">
        <f t="shared" si="756"/>
        <v>0</v>
      </c>
      <c r="BW471" s="171">
        <f t="shared" si="756"/>
        <v>0</v>
      </c>
      <c r="BX471" s="171">
        <f t="shared" si="756"/>
        <v>0</v>
      </c>
      <c r="BY471" s="171">
        <f t="shared" si="757"/>
        <v>0</v>
      </c>
      <c r="BZ471" s="171">
        <f t="shared" si="757"/>
        <v>0</v>
      </c>
      <c r="CA471" s="171">
        <f t="shared" si="757"/>
        <v>0</v>
      </c>
      <c r="CB471" s="171">
        <f t="shared" si="757"/>
        <v>0</v>
      </c>
      <c r="CC471" s="171">
        <f t="shared" si="757"/>
        <v>0</v>
      </c>
      <c r="CD471" s="171">
        <f t="shared" si="757"/>
        <v>0</v>
      </c>
      <c r="CE471" s="171">
        <f t="shared" si="757"/>
        <v>0</v>
      </c>
      <c r="CF471" s="171">
        <f t="shared" si="757"/>
        <v>0</v>
      </c>
      <c r="CG471" s="171">
        <f t="shared" si="757"/>
        <v>0</v>
      </c>
      <c r="CH471" s="171">
        <f t="shared" si="757"/>
        <v>0</v>
      </c>
      <c r="CI471" s="171">
        <f t="shared" si="757"/>
        <v>0</v>
      </c>
      <c r="CJ471" s="243"/>
      <c r="CK471" s="171">
        <f t="shared" si="671"/>
        <v>0</v>
      </c>
      <c r="CL471" s="171">
        <f t="shared" si="672"/>
        <v>0</v>
      </c>
      <c r="CM471" s="171">
        <f t="shared" si="673"/>
        <v>0</v>
      </c>
      <c r="CN471" s="171">
        <f t="shared" si="674"/>
        <v>0</v>
      </c>
      <c r="CO471" s="171">
        <f t="shared" si="675"/>
        <v>0</v>
      </c>
      <c r="CP471" s="171">
        <f t="shared" si="676"/>
        <v>0</v>
      </c>
      <c r="CQ471" s="171">
        <f t="shared" si="677"/>
        <v>0</v>
      </c>
      <c r="CR471" s="171">
        <f t="shared" si="678"/>
        <v>0</v>
      </c>
      <c r="CS471" s="171">
        <f t="shared" si="679"/>
        <v>0</v>
      </c>
      <c r="CT471" s="171">
        <f t="shared" si="680"/>
        <v>0</v>
      </c>
      <c r="CU471" s="171">
        <f t="shared" si="681"/>
        <v>0</v>
      </c>
      <c r="CV471" s="171">
        <f t="shared" si="682"/>
        <v>0</v>
      </c>
      <c r="CW471" s="171">
        <f t="shared" si="683"/>
        <v>0</v>
      </c>
      <c r="CX471" s="171">
        <f t="shared" si="684"/>
        <v>0</v>
      </c>
      <c r="CY471" s="171">
        <f t="shared" ca="1" si="685"/>
        <v>0</v>
      </c>
      <c r="CZ471" s="171">
        <f t="shared" ca="1" si="686"/>
        <v>0</v>
      </c>
      <c r="DA471" s="171">
        <f t="shared" ca="1" si="687"/>
        <v>0</v>
      </c>
      <c r="DB471" s="171">
        <f t="shared" ca="1" si="688"/>
        <v>0</v>
      </c>
      <c r="DC471" s="171">
        <f t="shared" ca="1" si="689"/>
        <v>0</v>
      </c>
      <c r="DD471" s="171">
        <f t="shared" ca="1" si="690"/>
        <v>0</v>
      </c>
      <c r="DE471" s="171">
        <f t="shared" ca="1" si="691"/>
        <v>0</v>
      </c>
      <c r="DF471" s="171">
        <f t="shared" ca="1" si="692"/>
        <v>0</v>
      </c>
      <c r="DG471" s="171">
        <f t="shared" ca="1" si="693"/>
        <v>0</v>
      </c>
      <c r="DH471" s="171">
        <f t="shared" ca="1" si="694"/>
        <v>0</v>
      </c>
      <c r="DI471" s="171">
        <f t="shared" ca="1" si="695"/>
        <v>0</v>
      </c>
      <c r="DJ471" s="171">
        <f t="shared" ca="1" si="696"/>
        <v>0</v>
      </c>
      <c r="DK471" s="171">
        <f t="shared" ca="1" si="697"/>
        <v>0</v>
      </c>
      <c r="DL471" s="171">
        <f t="shared" ca="1" si="698"/>
        <v>0</v>
      </c>
      <c r="DM471" s="171">
        <f t="shared" ca="1" si="699"/>
        <v>0</v>
      </c>
      <c r="DN471" s="171">
        <f t="shared" ca="1" si="700"/>
        <v>0</v>
      </c>
      <c r="DO471" s="171">
        <f t="shared" ca="1" si="701"/>
        <v>0</v>
      </c>
      <c r="DP471" s="171">
        <f t="shared" ca="1" si="702"/>
        <v>0</v>
      </c>
      <c r="DQ471" s="171">
        <f t="shared" ca="1" si="703"/>
        <v>0</v>
      </c>
      <c r="DR471" s="171">
        <f t="shared" ca="1" si="704"/>
        <v>0</v>
      </c>
      <c r="DS471" s="171">
        <f t="shared" ca="1" si="705"/>
        <v>0</v>
      </c>
      <c r="DT471" s="171">
        <f t="shared" ca="1" si="706"/>
        <v>0</v>
      </c>
      <c r="DU471" s="171">
        <f t="shared" ca="1" si="707"/>
        <v>0</v>
      </c>
      <c r="DV471" s="171">
        <f t="shared" ca="1" si="708"/>
        <v>0</v>
      </c>
      <c r="DW471" s="171">
        <f t="shared" ca="1" si="709"/>
        <v>0</v>
      </c>
      <c r="DX471" s="171">
        <f t="shared" ca="1" si="710"/>
        <v>0</v>
      </c>
      <c r="DY471" s="171">
        <f t="shared" ca="1" si="711"/>
        <v>0</v>
      </c>
      <c r="DZ471" s="171">
        <f t="shared" ca="1" si="712"/>
        <v>0</v>
      </c>
      <c r="EA471" s="171">
        <f t="shared" ca="1" si="713"/>
        <v>0</v>
      </c>
      <c r="EB471" s="171">
        <f t="shared" ca="1" si="714"/>
        <v>0</v>
      </c>
      <c r="EC471" s="171">
        <f t="shared" ca="1" si="715"/>
        <v>0</v>
      </c>
      <c r="ED471" s="171">
        <f t="shared" ca="1" si="716"/>
        <v>0</v>
      </c>
      <c r="EE471" s="171">
        <f t="shared" ca="1" si="717"/>
        <v>0</v>
      </c>
      <c r="EF471" s="171">
        <f t="shared" ca="1" si="718"/>
        <v>0</v>
      </c>
      <c r="EG471" s="171">
        <f t="shared" ca="1" si="719"/>
        <v>0</v>
      </c>
      <c r="EH471" s="171">
        <f t="shared" ca="1" si="720"/>
        <v>0</v>
      </c>
      <c r="EI471" s="171">
        <f t="shared" ca="1" si="721"/>
        <v>0</v>
      </c>
      <c r="EJ471" s="171">
        <f t="shared" ca="1" si="722"/>
        <v>0</v>
      </c>
      <c r="EK471" s="171">
        <f t="shared" ca="1" si="723"/>
        <v>0</v>
      </c>
      <c r="EL471" s="171">
        <f t="shared" ca="1" si="724"/>
        <v>0</v>
      </c>
      <c r="EM471" s="171">
        <f t="shared" ca="1" si="725"/>
        <v>0</v>
      </c>
      <c r="EN471" s="171">
        <f t="shared" ca="1" si="726"/>
        <v>0</v>
      </c>
      <c r="EO471" s="171">
        <f t="shared" ca="1" si="727"/>
        <v>0</v>
      </c>
      <c r="EP471" s="171">
        <f t="shared" ca="1" si="728"/>
        <v>0</v>
      </c>
      <c r="EQ471" s="171">
        <f t="shared" ca="1" si="729"/>
        <v>0</v>
      </c>
      <c r="ER471" s="171">
        <f t="shared" ca="1" si="730"/>
        <v>0</v>
      </c>
      <c r="ES471" s="171">
        <f t="shared" ca="1" si="731"/>
        <v>0</v>
      </c>
    </row>
    <row r="472" spans="3:149">
      <c r="C472" s="214"/>
      <c r="L472" s="163"/>
      <c r="M472" s="164" t="str">
        <f t="shared" si="662"/>
        <v/>
      </c>
      <c r="N472" s="164" t="str">
        <f t="shared" si="663"/>
        <v/>
      </c>
      <c r="O472" s="165" t="str">
        <f t="shared" si="664"/>
        <v/>
      </c>
      <c r="R472" s="168" t="str">
        <f t="shared" si="751"/>
        <v/>
      </c>
      <c r="U472" s="171">
        <f t="shared" si="665"/>
        <v>0</v>
      </c>
      <c r="V472" s="171">
        <f t="shared" ca="1" si="666"/>
        <v>0</v>
      </c>
      <c r="W472" s="171">
        <f t="shared" ca="1" si="667"/>
        <v>0</v>
      </c>
      <c r="X472" s="172">
        <f t="shared" si="668"/>
        <v>0</v>
      </c>
      <c r="Y472" s="172" t="str">
        <f t="shared" si="669"/>
        <v/>
      </c>
      <c r="Z472" s="173">
        <f t="shared" si="670"/>
        <v>0</v>
      </c>
      <c r="AA472" s="171">
        <f t="shared" si="752"/>
        <v>0</v>
      </c>
      <c r="AB472" s="171">
        <f t="shared" si="752"/>
        <v>0</v>
      </c>
      <c r="AC472" s="171">
        <f t="shared" si="752"/>
        <v>0</v>
      </c>
      <c r="AD472" s="171">
        <f t="shared" si="752"/>
        <v>0</v>
      </c>
      <c r="AE472" s="171">
        <f t="shared" si="752"/>
        <v>0</v>
      </c>
      <c r="AF472" s="171">
        <f t="shared" si="752"/>
        <v>0</v>
      </c>
      <c r="AG472" s="171">
        <f t="shared" si="752"/>
        <v>0</v>
      </c>
      <c r="AH472" s="171">
        <f t="shared" si="752"/>
        <v>0</v>
      </c>
      <c r="AI472" s="171">
        <f t="shared" si="752"/>
        <v>0</v>
      </c>
      <c r="AJ472" s="171">
        <f t="shared" si="752"/>
        <v>0</v>
      </c>
      <c r="AK472" s="171">
        <f t="shared" si="753"/>
        <v>0</v>
      </c>
      <c r="AL472" s="171">
        <f t="shared" si="753"/>
        <v>0</v>
      </c>
      <c r="AM472" s="171">
        <f t="shared" si="753"/>
        <v>0</v>
      </c>
      <c r="AN472" s="171">
        <f t="shared" si="753"/>
        <v>0</v>
      </c>
      <c r="AO472" s="171">
        <f t="shared" si="753"/>
        <v>0</v>
      </c>
      <c r="AP472" s="171">
        <f t="shared" si="753"/>
        <v>0</v>
      </c>
      <c r="AQ472" s="171">
        <f t="shared" si="753"/>
        <v>0</v>
      </c>
      <c r="AR472" s="171">
        <f t="shared" si="753"/>
        <v>0</v>
      </c>
      <c r="AS472" s="171">
        <f t="shared" si="753"/>
        <v>0</v>
      </c>
      <c r="AT472" s="171">
        <f t="shared" si="753"/>
        <v>0</v>
      </c>
      <c r="AU472" s="171">
        <f t="shared" si="754"/>
        <v>0</v>
      </c>
      <c r="AV472" s="171">
        <f t="shared" si="754"/>
        <v>0</v>
      </c>
      <c r="AW472" s="171">
        <f t="shared" si="754"/>
        <v>0</v>
      </c>
      <c r="AX472" s="171">
        <f t="shared" si="754"/>
        <v>0</v>
      </c>
      <c r="AY472" s="171">
        <f t="shared" si="754"/>
        <v>0</v>
      </c>
      <c r="AZ472" s="171">
        <f t="shared" si="754"/>
        <v>0</v>
      </c>
      <c r="BA472" s="171">
        <f t="shared" si="754"/>
        <v>0</v>
      </c>
      <c r="BB472" s="171">
        <f t="shared" si="754"/>
        <v>0</v>
      </c>
      <c r="BC472" s="171">
        <f t="shared" si="754"/>
        <v>0</v>
      </c>
      <c r="BD472" s="171">
        <f t="shared" si="754"/>
        <v>0</v>
      </c>
      <c r="BE472" s="171">
        <f t="shared" si="755"/>
        <v>0</v>
      </c>
      <c r="BF472" s="171">
        <f t="shared" si="755"/>
        <v>0</v>
      </c>
      <c r="BG472" s="171">
        <f t="shared" si="755"/>
        <v>0</v>
      </c>
      <c r="BH472" s="171">
        <f t="shared" si="755"/>
        <v>0</v>
      </c>
      <c r="BI472" s="171">
        <f t="shared" si="755"/>
        <v>0</v>
      </c>
      <c r="BJ472" s="171">
        <f t="shared" si="755"/>
        <v>0</v>
      </c>
      <c r="BK472" s="171">
        <f t="shared" si="755"/>
        <v>0</v>
      </c>
      <c r="BL472" s="171">
        <f t="shared" si="755"/>
        <v>0</v>
      </c>
      <c r="BM472" s="171">
        <f t="shared" si="755"/>
        <v>0</v>
      </c>
      <c r="BN472" s="171">
        <f t="shared" si="755"/>
        <v>0</v>
      </c>
      <c r="BO472" s="171">
        <f t="shared" si="756"/>
        <v>0</v>
      </c>
      <c r="BP472" s="171">
        <f t="shared" si="756"/>
        <v>0</v>
      </c>
      <c r="BQ472" s="171">
        <f t="shared" si="756"/>
        <v>0</v>
      </c>
      <c r="BR472" s="171">
        <f t="shared" si="756"/>
        <v>0</v>
      </c>
      <c r="BS472" s="171">
        <f t="shared" si="756"/>
        <v>0</v>
      </c>
      <c r="BT472" s="171">
        <f t="shared" si="756"/>
        <v>0</v>
      </c>
      <c r="BU472" s="171">
        <f t="shared" si="756"/>
        <v>0</v>
      </c>
      <c r="BV472" s="171">
        <f t="shared" si="756"/>
        <v>0</v>
      </c>
      <c r="BW472" s="171">
        <f t="shared" si="756"/>
        <v>0</v>
      </c>
      <c r="BX472" s="171">
        <f t="shared" si="756"/>
        <v>0</v>
      </c>
      <c r="BY472" s="171">
        <f t="shared" si="757"/>
        <v>0</v>
      </c>
      <c r="BZ472" s="171">
        <f t="shared" si="757"/>
        <v>0</v>
      </c>
      <c r="CA472" s="171">
        <f t="shared" si="757"/>
        <v>0</v>
      </c>
      <c r="CB472" s="171">
        <f t="shared" si="757"/>
        <v>0</v>
      </c>
      <c r="CC472" s="171">
        <f t="shared" si="757"/>
        <v>0</v>
      </c>
      <c r="CD472" s="171">
        <f t="shared" si="757"/>
        <v>0</v>
      </c>
      <c r="CE472" s="171">
        <f t="shared" si="757"/>
        <v>0</v>
      </c>
      <c r="CF472" s="171">
        <f t="shared" si="757"/>
        <v>0</v>
      </c>
      <c r="CG472" s="171">
        <f t="shared" si="757"/>
        <v>0</v>
      </c>
      <c r="CH472" s="171">
        <f t="shared" si="757"/>
        <v>0</v>
      </c>
      <c r="CI472" s="171">
        <f t="shared" si="757"/>
        <v>0</v>
      </c>
      <c r="CJ472" s="243"/>
      <c r="CK472" s="171">
        <f t="shared" si="671"/>
        <v>0</v>
      </c>
      <c r="CL472" s="171">
        <f t="shared" si="672"/>
        <v>0</v>
      </c>
      <c r="CM472" s="171">
        <f t="shared" si="673"/>
        <v>0</v>
      </c>
      <c r="CN472" s="171">
        <f t="shared" si="674"/>
        <v>0</v>
      </c>
      <c r="CO472" s="171">
        <f t="shared" si="675"/>
        <v>0</v>
      </c>
      <c r="CP472" s="171">
        <f t="shared" si="676"/>
        <v>0</v>
      </c>
      <c r="CQ472" s="171">
        <f t="shared" si="677"/>
        <v>0</v>
      </c>
      <c r="CR472" s="171">
        <f t="shared" si="678"/>
        <v>0</v>
      </c>
      <c r="CS472" s="171">
        <f t="shared" si="679"/>
        <v>0</v>
      </c>
      <c r="CT472" s="171">
        <f t="shared" si="680"/>
        <v>0</v>
      </c>
      <c r="CU472" s="171">
        <f t="shared" si="681"/>
        <v>0</v>
      </c>
      <c r="CV472" s="171">
        <f t="shared" si="682"/>
        <v>0</v>
      </c>
      <c r="CW472" s="171">
        <f t="shared" si="683"/>
        <v>0</v>
      </c>
      <c r="CX472" s="171">
        <f t="shared" si="684"/>
        <v>0</v>
      </c>
      <c r="CY472" s="171">
        <f t="shared" ca="1" si="685"/>
        <v>0</v>
      </c>
      <c r="CZ472" s="171">
        <f t="shared" ca="1" si="686"/>
        <v>0</v>
      </c>
      <c r="DA472" s="171">
        <f t="shared" ca="1" si="687"/>
        <v>0</v>
      </c>
      <c r="DB472" s="171">
        <f t="shared" ca="1" si="688"/>
        <v>0</v>
      </c>
      <c r="DC472" s="171">
        <f t="shared" ca="1" si="689"/>
        <v>0</v>
      </c>
      <c r="DD472" s="171">
        <f t="shared" ca="1" si="690"/>
        <v>0</v>
      </c>
      <c r="DE472" s="171">
        <f t="shared" ca="1" si="691"/>
        <v>0</v>
      </c>
      <c r="DF472" s="171">
        <f t="shared" ca="1" si="692"/>
        <v>0</v>
      </c>
      <c r="DG472" s="171">
        <f t="shared" ca="1" si="693"/>
        <v>0</v>
      </c>
      <c r="DH472" s="171">
        <f t="shared" ca="1" si="694"/>
        <v>0</v>
      </c>
      <c r="DI472" s="171">
        <f t="shared" ca="1" si="695"/>
        <v>0</v>
      </c>
      <c r="DJ472" s="171">
        <f t="shared" ca="1" si="696"/>
        <v>0</v>
      </c>
      <c r="DK472" s="171">
        <f t="shared" ca="1" si="697"/>
        <v>0</v>
      </c>
      <c r="DL472" s="171">
        <f t="shared" ca="1" si="698"/>
        <v>0</v>
      </c>
      <c r="DM472" s="171">
        <f t="shared" ca="1" si="699"/>
        <v>0</v>
      </c>
      <c r="DN472" s="171">
        <f t="shared" ca="1" si="700"/>
        <v>0</v>
      </c>
      <c r="DO472" s="171">
        <f t="shared" ca="1" si="701"/>
        <v>0</v>
      </c>
      <c r="DP472" s="171">
        <f t="shared" ca="1" si="702"/>
        <v>0</v>
      </c>
      <c r="DQ472" s="171">
        <f t="shared" ca="1" si="703"/>
        <v>0</v>
      </c>
      <c r="DR472" s="171">
        <f t="shared" ca="1" si="704"/>
        <v>0</v>
      </c>
      <c r="DS472" s="171">
        <f t="shared" ca="1" si="705"/>
        <v>0</v>
      </c>
      <c r="DT472" s="171">
        <f t="shared" ca="1" si="706"/>
        <v>0</v>
      </c>
      <c r="DU472" s="171">
        <f t="shared" ca="1" si="707"/>
        <v>0</v>
      </c>
      <c r="DV472" s="171">
        <f t="shared" ca="1" si="708"/>
        <v>0</v>
      </c>
      <c r="DW472" s="171">
        <f t="shared" ca="1" si="709"/>
        <v>0</v>
      </c>
      <c r="DX472" s="171">
        <f t="shared" ca="1" si="710"/>
        <v>0</v>
      </c>
      <c r="DY472" s="171">
        <f t="shared" ca="1" si="711"/>
        <v>0</v>
      </c>
      <c r="DZ472" s="171">
        <f t="shared" ca="1" si="712"/>
        <v>0</v>
      </c>
      <c r="EA472" s="171">
        <f t="shared" ca="1" si="713"/>
        <v>0</v>
      </c>
      <c r="EB472" s="171">
        <f t="shared" ca="1" si="714"/>
        <v>0</v>
      </c>
      <c r="EC472" s="171">
        <f t="shared" ca="1" si="715"/>
        <v>0</v>
      </c>
      <c r="ED472" s="171">
        <f t="shared" ca="1" si="716"/>
        <v>0</v>
      </c>
      <c r="EE472" s="171">
        <f t="shared" ca="1" si="717"/>
        <v>0</v>
      </c>
      <c r="EF472" s="171">
        <f t="shared" ca="1" si="718"/>
        <v>0</v>
      </c>
      <c r="EG472" s="171">
        <f t="shared" ca="1" si="719"/>
        <v>0</v>
      </c>
      <c r="EH472" s="171">
        <f t="shared" ca="1" si="720"/>
        <v>0</v>
      </c>
      <c r="EI472" s="171">
        <f t="shared" ca="1" si="721"/>
        <v>0</v>
      </c>
      <c r="EJ472" s="171">
        <f t="shared" ca="1" si="722"/>
        <v>0</v>
      </c>
      <c r="EK472" s="171">
        <f t="shared" ca="1" si="723"/>
        <v>0</v>
      </c>
      <c r="EL472" s="171">
        <f t="shared" ca="1" si="724"/>
        <v>0</v>
      </c>
      <c r="EM472" s="171">
        <f t="shared" ca="1" si="725"/>
        <v>0</v>
      </c>
      <c r="EN472" s="171">
        <f t="shared" ca="1" si="726"/>
        <v>0</v>
      </c>
      <c r="EO472" s="171">
        <f t="shared" ca="1" si="727"/>
        <v>0</v>
      </c>
      <c r="EP472" s="171">
        <f t="shared" ca="1" si="728"/>
        <v>0</v>
      </c>
      <c r="EQ472" s="171">
        <f t="shared" ca="1" si="729"/>
        <v>0</v>
      </c>
      <c r="ER472" s="171">
        <f t="shared" ca="1" si="730"/>
        <v>0</v>
      </c>
      <c r="ES472" s="171">
        <f t="shared" ca="1" si="731"/>
        <v>0</v>
      </c>
    </row>
    <row r="473" spans="3:149">
      <c r="C473" s="214"/>
      <c r="L473" s="163"/>
      <c r="M473" s="164" t="str">
        <f t="shared" si="662"/>
        <v/>
      </c>
      <c r="N473" s="164" t="str">
        <f t="shared" si="663"/>
        <v/>
      </c>
      <c r="O473" s="165" t="str">
        <f t="shared" si="664"/>
        <v/>
      </c>
      <c r="R473" s="168" t="str">
        <f t="shared" si="751"/>
        <v/>
      </c>
      <c r="U473" s="171">
        <f t="shared" si="665"/>
        <v>0</v>
      </c>
      <c r="V473" s="171">
        <f t="shared" ca="1" si="666"/>
        <v>0</v>
      </c>
      <c r="W473" s="171">
        <f t="shared" ca="1" si="667"/>
        <v>0</v>
      </c>
      <c r="X473" s="172">
        <f t="shared" si="668"/>
        <v>0</v>
      </c>
      <c r="Y473" s="172" t="str">
        <f t="shared" si="669"/>
        <v/>
      </c>
      <c r="Z473" s="173">
        <f t="shared" si="670"/>
        <v>0</v>
      </c>
      <c r="AA473" s="171">
        <f t="shared" si="752"/>
        <v>0</v>
      </c>
      <c r="AB473" s="171">
        <f t="shared" si="752"/>
        <v>0</v>
      </c>
      <c r="AC473" s="171">
        <f t="shared" si="752"/>
        <v>0</v>
      </c>
      <c r="AD473" s="171">
        <f t="shared" si="752"/>
        <v>0</v>
      </c>
      <c r="AE473" s="171">
        <f t="shared" si="752"/>
        <v>0</v>
      </c>
      <c r="AF473" s="171">
        <f t="shared" si="752"/>
        <v>0</v>
      </c>
      <c r="AG473" s="171">
        <f t="shared" si="752"/>
        <v>0</v>
      </c>
      <c r="AH473" s="171">
        <f t="shared" si="752"/>
        <v>0</v>
      </c>
      <c r="AI473" s="171">
        <f t="shared" si="752"/>
        <v>0</v>
      </c>
      <c r="AJ473" s="171">
        <f t="shared" si="752"/>
        <v>0</v>
      </c>
      <c r="AK473" s="171">
        <f t="shared" si="753"/>
        <v>0</v>
      </c>
      <c r="AL473" s="171">
        <f t="shared" si="753"/>
        <v>0</v>
      </c>
      <c r="AM473" s="171">
        <f t="shared" si="753"/>
        <v>0</v>
      </c>
      <c r="AN473" s="171">
        <f t="shared" si="753"/>
        <v>0</v>
      </c>
      <c r="AO473" s="171">
        <f t="shared" si="753"/>
        <v>0</v>
      </c>
      <c r="AP473" s="171">
        <f t="shared" si="753"/>
        <v>0</v>
      </c>
      <c r="AQ473" s="171">
        <f t="shared" si="753"/>
        <v>0</v>
      </c>
      <c r="AR473" s="171">
        <f t="shared" si="753"/>
        <v>0</v>
      </c>
      <c r="AS473" s="171">
        <f t="shared" si="753"/>
        <v>0</v>
      </c>
      <c r="AT473" s="171">
        <f t="shared" si="753"/>
        <v>0</v>
      </c>
      <c r="AU473" s="171">
        <f t="shared" si="754"/>
        <v>0</v>
      </c>
      <c r="AV473" s="171">
        <f t="shared" si="754"/>
        <v>0</v>
      </c>
      <c r="AW473" s="171">
        <f t="shared" si="754"/>
        <v>0</v>
      </c>
      <c r="AX473" s="171">
        <f t="shared" si="754"/>
        <v>0</v>
      </c>
      <c r="AY473" s="171">
        <f t="shared" si="754"/>
        <v>0</v>
      </c>
      <c r="AZ473" s="171">
        <f t="shared" si="754"/>
        <v>0</v>
      </c>
      <c r="BA473" s="171">
        <f t="shared" si="754"/>
        <v>0</v>
      </c>
      <c r="BB473" s="171">
        <f t="shared" si="754"/>
        <v>0</v>
      </c>
      <c r="BC473" s="171">
        <f t="shared" si="754"/>
        <v>0</v>
      </c>
      <c r="BD473" s="171">
        <f t="shared" si="754"/>
        <v>0</v>
      </c>
      <c r="BE473" s="171">
        <f t="shared" si="755"/>
        <v>0</v>
      </c>
      <c r="BF473" s="171">
        <f t="shared" si="755"/>
        <v>0</v>
      </c>
      <c r="BG473" s="171">
        <f t="shared" si="755"/>
        <v>0</v>
      </c>
      <c r="BH473" s="171">
        <f t="shared" si="755"/>
        <v>0</v>
      </c>
      <c r="BI473" s="171">
        <f t="shared" si="755"/>
        <v>0</v>
      </c>
      <c r="BJ473" s="171">
        <f t="shared" si="755"/>
        <v>0</v>
      </c>
      <c r="BK473" s="171">
        <f t="shared" si="755"/>
        <v>0</v>
      </c>
      <c r="BL473" s="171">
        <f t="shared" si="755"/>
        <v>0</v>
      </c>
      <c r="BM473" s="171">
        <f t="shared" si="755"/>
        <v>0</v>
      </c>
      <c r="BN473" s="171">
        <f t="shared" si="755"/>
        <v>0</v>
      </c>
      <c r="BO473" s="171">
        <f t="shared" si="756"/>
        <v>0</v>
      </c>
      <c r="BP473" s="171">
        <f t="shared" si="756"/>
        <v>0</v>
      </c>
      <c r="BQ473" s="171">
        <f t="shared" si="756"/>
        <v>0</v>
      </c>
      <c r="BR473" s="171">
        <f t="shared" si="756"/>
        <v>0</v>
      </c>
      <c r="BS473" s="171">
        <f t="shared" si="756"/>
        <v>0</v>
      </c>
      <c r="BT473" s="171">
        <f t="shared" si="756"/>
        <v>0</v>
      </c>
      <c r="BU473" s="171">
        <f t="shared" si="756"/>
        <v>0</v>
      </c>
      <c r="BV473" s="171">
        <f t="shared" si="756"/>
        <v>0</v>
      </c>
      <c r="BW473" s="171">
        <f t="shared" si="756"/>
        <v>0</v>
      </c>
      <c r="BX473" s="171">
        <f t="shared" si="756"/>
        <v>0</v>
      </c>
      <c r="BY473" s="171">
        <f t="shared" si="757"/>
        <v>0</v>
      </c>
      <c r="BZ473" s="171">
        <f t="shared" si="757"/>
        <v>0</v>
      </c>
      <c r="CA473" s="171">
        <f t="shared" si="757"/>
        <v>0</v>
      </c>
      <c r="CB473" s="171">
        <f t="shared" si="757"/>
        <v>0</v>
      </c>
      <c r="CC473" s="171">
        <f t="shared" si="757"/>
        <v>0</v>
      </c>
      <c r="CD473" s="171">
        <f t="shared" si="757"/>
        <v>0</v>
      </c>
      <c r="CE473" s="171">
        <f t="shared" si="757"/>
        <v>0</v>
      </c>
      <c r="CF473" s="171">
        <f t="shared" si="757"/>
        <v>0</v>
      </c>
      <c r="CG473" s="171">
        <f t="shared" si="757"/>
        <v>0</v>
      </c>
      <c r="CH473" s="171">
        <f t="shared" si="757"/>
        <v>0</v>
      </c>
      <c r="CI473" s="171">
        <f t="shared" si="757"/>
        <v>0</v>
      </c>
      <c r="CJ473" s="243"/>
      <c r="CK473" s="171">
        <f t="shared" si="671"/>
        <v>0</v>
      </c>
      <c r="CL473" s="171">
        <f t="shared" si="672"/>
        <v>0</v>
      </c>
      <c r="CM473" s="171">
        <f t="shared" si="673"/>
        <v>0</v>
      </c>
      <c r="CN473" s="171">
        <f t="shared" si="674"/>
        <v>0</v>
      </c>
      <c r="CO473" s="171">
        <f t="shared" si="675"/>
        <v>0</v>
      </c>
      <c r="CP473" s="171">
        <f t="shared" si="676"/>
        <v>0</v>
      </c>
      <c r="CQ473" s="171">
        <f t="shared" si="677"/>
        <v>0</v>
      </c>
      <c r="CR473" s="171">
        <f t="shared" si="678"/>
        <v>0</v>
      </c>
      <c r="CS473" s="171">
        <f t="shared" si="679"/>
        <v>0</v>
      </c>
      <c r="CT473" s="171">
        <f t="shared" si="680"/>
        <v>0</v>
      </c>
      <c r="CU473" s="171">
        <f t="shared" si="681"/>
        <v>0</v>
      </c>
      <c r="CV473" s="171">
        <f t="shared" si="682"/>
        <v>0</v>
      </c>
      <c r="CW473" s="171">
        <f t="shared" si="683"/>
        <v>0</v>
      </c>
      <c r="CX473" s="171">
        <f t="shared" si="684"/>
        <v>0</v>
      </c>
      <c r="CY473" s="171">
        <f t="shared" ca="1" si="685"/>
        <v>0</v>
      </c>
      <c r="CZ473" s="171">
        <f t="shared" ca="1" si="686"/>
        <v>0</v>
      </c>
      <c r="DA473" s="171">
        <f t="shared" ca="1" si="687"/>
        <v>0</v>
      </c>
      <c r="DB473" s="171">
        <f t="shared" ca="1" si="688"/>
        <v>0</v>
      </c>
      <c r="DC473" s="171">
        <f t="shared" ca="1" si="689"/>
        <v>0</v>
      </c>
      <c r="DD473" s="171">
        <f t="shared" ca="1" si="690"/>
        <v>0</v>
      </c>
      <c r="DE473" s="171">
        <f t="shared" ca="1" si="691"/>
        <v>0</v>
      </c>
      <c r="DF473" s="171">
        <f t="shared" ca="1" si="692"/>
        <v>0</v>
      </c>
      <c r="DG473" s="171">
        <f t="shared" ca="1" si="693"/>
        <v>0</v>
      </c>
      <c r="DH473" s="171">
        <f t="shared" ca="1" si="694"/>
        <v>0</v>
      </c>
      <c r="DI473" s="171">
        <f t="shared" ca="1" si="695"/>
        <v>0</v>
      </c>
      <c r="DJ473" s="171">
        <f t="shared" ca="1" si="696"/>
        <v>0</v>
      </c>
      <c r="DK473" s="171">
        <f t="shared" ca="1" si="697"/>
        <v>0</v>
      </c>
      <c r="DL473" s="171">
        <f t="shared" ca="1" si="698"/>
        <v>0</v>
      </c>
      <c r="DM473" s="171">
        <f t="shared" ca="1" si="699"/>
        <v>0</v>
      </c>
      <c r="DN473" s="171">
        <f t="shared" ca="1" si="700"/>
        <v>0</v>
      </c>
      <c r="DO473" s="171">
        <f t="shared" ca="1" si="701"/>
        <v>0</v>
      </c>
      <c r="DP473" s="171">
        <f t="shared" ca="1" si="702"/>
        <v>0</v>
      </c>
      <c r="DQ473" s="171">
        <f t="shared" ca="1" si="703"/>
        <v>0</v>
      </c>
      <c r="DR473" s="171">
        <f t="shared" ca="1" si="704"/>
        <v>0</v>
      </c>
      <c r="DS473" s="171">
        <f t="shared" ca="1" si="705"/>
        <v>0</v>
      </c>
      <c r="DT473" s="171">
        <f t="shared" ca="1" si="706"/>
        <v>0</v>
      </c>
      <c r="DU473" s="171">
        <f t="shared" ca="1" si="707"/>
        <v>0</v>
      </c>
      <c r="DV473" s="171">
        <f t="shared" ca="1" si="708"/>
        <v>0</v>
      </c>
      <c r="DW473" s="171">
        <f t="shared" ca="1" si="709"/>
        <v>0</v>
      </c>
      <c r="DX473" s="171">
        <f t="shared" ca="1" si="710"/>
        <v>0</v>
      </c>
      <c r="DY473" s="171">
        <f t="shared" ca="1" si="711"/>
        <v>0</v>
      </c>
      <c r="DZ473" s="171">
        <f t="shared" ca="1" si="712"/>
        <v>0</v>
      </c>
      <c r="EA473" s="171">
        <f t="shared" ca="1" si="713"/>
        <v>0</v>
      </c>
      <c r="EB473" s="171">
        <f t="shared" ca="1" si="714"/>
        <v>0</v>
      </c>
      <c r="EC473" s="171">
        <f t="shared" ca="1" si="715"/>
        <v>0</v>
      </c>
      <c r="ED473" s="171">
        <f t="shared" ca="1" si="716"/>
        <v>0</v>
      </c>
      <c r="EE473" s="171">
        <f t="shared" ca="1" si="717"/>
        <v>0</v>
      </c>
      <c r="EF473" s="171">
        <f t="shared" ca="1" si="718"/>
        <v>0</v>
      </c>
      <c r="EG473" s="171">
        <f t="shared" ca="1" si="719"/>
        <v>0</v>
      </c>
      <c r="EH473" s="171">
        <f t="shared" ca="1" si="720"/>
        <v>0</v>
      </c>
      <c r="EI473" s="171">
        <f t="shared" ca="1" si="721"/>
        <v>0</v>
      </c>
      <c r="EJ473" s="171">
        <f t="shared" ca="1" si="722"/>
        <v>0</v>
      </c>
      <c r="EK473" s="171">
        <f t="shared" ca="1" si="723"/>
        <v>0</v>
      </c>
      <c r="EL473" s="171">
        <f t="shared" ca="1" si="724"/>
        <v>0</v>
      </c>
      <c r="EM473" s="171">
        <f t="shared" ca="1" si="725"/>
        <v>0</v>
      </c>
      <c r="EN473" s="171">
        <f t="shared" ca="1" si="726"/>
        <v>0</v>
      </c>
      <c r="EO473" s="171">
        <f t="shared" ca="1" si="727"/>
        <v>0</v>
      </c>
      <c r="EP473" s="171">
        <f t="shared" ca="1" si="728"/>
        <v>0</v>
      </c>
      <c r="EQ473" s="171">
        <f t="shared" ca="1" si="729"/>
        <v>0</v>
      </c>
      <c r="ER473" s="171">
        <f t="shared" ca="1" si="730"/>
        <v>0</v>
      </c>
      <c r="ES473" s="171">
        <f t="shared" ca="1" si="731"/>
        <v>0</v>
      </c>
    </row>
    <row r="474" spans="3:149">
      <c r="C474" s="214"/>
      <c r="L474" s="163"/>
      <c r="M474" s="164" t="str">
        <f t="shared" si="662"/>
        <v/>
      </c>
      <c r="N474" s="164" t="str">
        <f t="shared" si="663"/>
        <v/>
      </c>
      <c r="O474" s="165" t="str">
        <f t="shared" si="664"/>
        <v/>
      </c>
      <c r="R474" s="168" t="str">
        <f t="shared" si="751"/>
        <v/>
      </c>
      <c r="U474" s="171">
        <f t="shared" si="665"/>
        <v>0</v>
      </c>
      <c r="V474" s="171">
        <f t="shared" ca="1" si="666"/>
        <v>0</v>
      </c>
      <c r="W474" s="171">
        <f t="shared" ca="1" si="667"/>
        <v>0</v>
      </c>
      <c r="X474" s="172">
        <f t="shared" si="668"/>
        <v>0</v>
      </c>
      <c r="Y474" s="172" t="str">
        <f t="shared" si="669"/>
        <v/>
      </c>
      <c r="Z474" s="173">
        <f t="shared" si="670"/>
        <v>0</v>
      </c>
      <c r="AA474" s="171">
        <f t="shared" si="752"/>
        <v>0</v>
      </c>
      <c r="AB474" s="171">
        <f t="shared" si="752"/>
        <v>0</v>
      </c>
      <c r="AC474" s="171">
        <f t="shared" si="752"/>
        <v>0</v>
      </c>
      <c r="AD474" s="171">
        <f t="shared" si="752"/>
        <v>0</v>
      </c>
      <c r="AE474" s="171">
        <f t="shared" si="752"/>
        <v>0</v>
      </c>
      <c r="AF474" s="171">
        <f t="shared" si="752"/>
        <v>0</v>
      </c>
      <c r="AG474" s="171">
        <f t="shared" si="752"/>
        <v>0</v>
      </c>
      <c r="AH474" s="171">
        <f t="shared" si="752"/>
        <v>0</v>
      </c>
      <c r="AI474" s="171">
        <f t="shared" si="752"/>
        <v>0</v>
      </c>
      <c r="AJ474" s="171">
        <f t="shared" si="752"/>
        <v>0</v>
      </c>
      <c r="AK474" s="171">
        <f t="shared" si="753"/>
        <v>0</v>
      </c>
      <c r="AL474" s="171">
        <f t="shared" si="753"/>
        <v>0</v>
      </c>
      <c r="AM474" s="171">
        <f t="shared" si="753"/>
        <v>0</v>
      </c>
      <c r="AN474" s="171">
        <f t="shared" si="753"/>
        <v>0</v>
      </c>
      <c r="AO474" s="171">
        <f t="shared" si="753"/>
        <v>0</v>
      </c>
      <c r="AP474" s="171">
        <f t="shared" si="753"/>
        <v>0</v>
      </c>
      <c r="AQ474" s="171">
        <f t="shared" si="753"/>
        <v>0</v>
      </c>
      <c r="AR474" s="171">
        <f t="shared" si="753"/>
        <v>0</v>
      </c>
      <c r="AS474" s="171">
        <f t="shared" si="753"/>
        <v>0</v>
      </c>
      <c r="AT474" s="171">
        <f t="shared" si="753"/>
        <v>0</v>
      </c>
      <c r="AU474" s="171">
        <f t="shared" si="754"/>
        <v>0</v>
      </c>
      <c r="AV474" s="171">
        <f t="shared" si="754"/>
        <v>0</v>
      </c>
      <c r="AW474" s="171">
        <f t="shared" si="754"/>
        <v>0</v>
      </c>
      <c r="AX474" s="171">
        <f t="shared" si="754"/>
        <v>0</v>
      </c>
      <c r="AY474" s="171">
        <f t="shared" si="754"/>
        <v>0</v>
      </c>
      <c r="AZ474" s="171">
        <f t="shared" si="754"/>
        <v>0</v>
      </c>
      <c r="BA474" s="171">
        <f t="shared" si="754"/>
        <v>0</v>
      </c>
      <c r="BB474" s="171">
        <f t="shared" si="754"/>
        <v>0</v>
      </c>
      <c r="BC474" s="171">
        <f t="shared" si="754"/>
        <v>0</v>
      </c>
      <c r="BD474" s="171">
        <f t="shared" si="754"/>
        <v>0</v>
      </c>
      <c r="BE474" s="171">
        <f t="shared" si="755"/>
        <v>0</v>
      </c>
      <c r="BF474" s="171">
        <f t="shared" si="755"/>
        <v>0</v>
      </c>
      <c r="BG474" s="171">
        <f t="shared" si="755"/>
        <v>0</v>
      </c>
      <c r="BH474" s="171">
        <f t="shared" si="755"/>
        <v>0</v>
      </c>
      <c r="BI474" s="171">
        <f t="shared" si="755"/>
        <v>0</v>
      </c>
      <c r="BJ474" s="171">
        <f t="shared" si="755"/>
        <v>0</v>
      </c>
      <c r="BK474" s="171">
        <f t="shared" si="755"/>
        <v>0</v>
      </c>
      <c r="BL474" s="171">
        <f t="shared" si="755"/>
        <v>0</v>
      </c>
      <c r="BM474" s="171">
        <f t="shared" si="755"/>
        <v>0</v>
      </c>
      <c r="BN474" s="171">
        <f t="shared" si="755"/>
        <v>0</v>
      </c>
      <c r="BO474" s="171">
        <f t="shared" si="756"/>
        <v>0</v>
      </c>
      <c r="BP474" s="171">
        <f t="shared" si="756"/>
        <v>0</v>
      </c>
      <c r="BQ474" s="171">
        <f t="shared" si="756"/>
        <v>0</v>
      </c>
      <c r="BR474" s="171">
        <f t="shared" si="756"/>
        <v>0</v>
      </c>
      <c r="BS474" s="171">
        <f t="shared" si="756"/>
        <v>0</v>
      </c>
      <c r="BT474" s="171">
        <f t="shared" si="756"/>
        <v>0</v>
      </c>
      <c r="BU474" s="171">
        <f t="shared" si="756"/>
        <v>0</v>
      </c>
      <c r="BV474" s="171">
        <f t="shared" si="756"/>
        <v>0</v>
      </c>
      <c r="BW474" s="171">
        <f t="shared" si="756"/>
        <v>0</v>
      </c>
      <c r="BX474" s="171">
        <f t="shared" si="756"/>
        <v>0</v>
      </c>
      <c r="BY474" s="171">
        <f t="shared" si="757"/>
        <v>0</v>
      </c>
      <c r="BZ474" s="171">
        <f t="shared" si="757"/>
        <v>0</v>
      </c>
      <c r="CA474" s="171">
        <f t="shared" si="757"/>
        <v>0</v>
      </c>
      <c r="CB474" s="171">
        <f t="shared" si="757"/>
        <v>0</v>
      </c>
      <c r="CC474" s="171">
        <f t="shared" si="757"/>
        <v>0</v>
      </c>
      <c r="CD474" s="171">
        <f t="shared" si="757"/>
        <v>0</v>
      </c>
      <c r="CE474" s="171">
        <f t="shared" si="757"/>
        <v>0</v>
      </c>
      <c r="CF474" s="171">
        <f t="shared" si="757"/>
        <v>0</v>
      </c>
      <c r="CG474" s="171">
        <f t="shared" si="757"/>
        <v>0</v>
      </c>
      <c r="CH474" s="171">
        <f t="shared" si="757"/>
        <v>0</v>
      </c>
      <c r="CI474" s="171">
        <f t="shared" si="757"/>
        <v>0</v>
      </c>
      <c r="CJ474" s="243"/>
      <c r="CK474" s="171">
        <f t="shared" si="671"/>
        <v>0</v>
      </c>
      <c r="CL474" s="171">
        <f t="shared" si="672"/>
        <v>0</v>
      </c>
      <c r="CM474" s="171">
        <f t="shared" si="673"/>
        <v>0</v>
      </c>
      <c r="CN474" s="171">
        <f t="shared" si="674"/>
        <v>0</v>
      </c>
      <c r="CO474" s="171">
        <f t="shared" si="675"/>
        <v>0</v>
      </c>
      <c r="CP474" s="171">
        <f t="shared" si="676"/>
        <v>0</v>
      </c>
      <c r="CQ474" s="171">
        <f t="shared" si="677"/>
        <v>0</v>
      </c>
      <c r="CR474" s="171">
        <f t="shared" si="678"/>
        <v>0</v>
      </c>
      <c r="CS474" s="171">
        <f t="shared" si="679"/>
        <v>0</v>
      </c>
      <c r="CT474" s="171">
        <f t="shared" si="680"/>
        <v>0</v>
      </c>
      <c r="CU474" s="171">
        <f t="shared" si="681"/>
        <v>0</v>
      </c>
      <c r="CV474" s="171">
        <f t="shared" si="682"/>
        <v>0</v>
      </c>
      <c r="CW474" s="171">
        <f t="shared" si="683"/>
        <v>0</v>
      </c>
      <c r="CX474" s="171">
        <f t="shared" si="684"/>
        <v>0</v>
      </c>
      <c r="CY474" s="171">
        <f t="shared" ca="1" si="685"/>
        <v>0</v>
      </c>
      <c r="CZ474" s="171">
        <f t="shared" ca="1" si="686"/>
        <v>0</v>
      </c>
      <c r="DA474" s="171">
        <f t="shared" ca="1" si="687"/>
        <v>0</v>
      </c>
      <c r="DB474" s="171">
        <f t="shared" ca="1" si="688"/>
        <v>0</v>
      </c>
      <c r="DC474" s="171">
        <f t="shared" ca="1" si="689"/>
        <v>0</v>
      </c>
      <c r="DD474" s="171">
        <f t="shared" ca="1" si="690"/>
        <v>0</v>
      </c>
      <c r="DE474" s="171">
        <f t="shared" ca="1" si="691"/>
        <v>0</v>
      </c>
      <c r="DF474" s="171">
        <f t="shared" ca="1" si="692"/>
        <v>0</v>
      </c>
      <c r="DG474" s="171">
        <f t="shared" ca="1" si="693"/>
        <v>0</v>
      </c>
      <c r="DH474" s="171">
        <f t="shared" ca="1" si="694"/>
        <v>0</v>
      </c>
      <c r="DI474" s="171">
        <f t="shared" ca="1" si="695"/>
        <v>0</v>
      </c>
      <c r="DJ474" s="171">
        <f t="shared" ca="1" si="696"/>
        <v>0</v>
      </c>
      <c r="DK474" s="171">
        <f t="shared" ca="1" si="697"/>
        <v>0</v>
      </c>
      <c r="DL474" s="171">
        <f t="shared" ca="1" si="698"/>
        <v>0</v>
      </c>
      <c r="DM474" s="171">
        <f t="shared" ca="1" si="699"/>
        <v>0</v>
      </c>
      <c r="DN474" s="171">
        <f t="shared" ca="1" si="700"/>
        <v>0</v>
      </c>
      <c r="DO474" s="171">
        <f t="shared" ca="1" si="701"/>
        <v>0</v>
      </c>
      <c r="DP474" s="171">
        <f t="shared" ca="1" si="702"/>
        <v>0</v>
      </c>
      <c r="DQ474" s="171">
        <f t="shared" ca="1" si="703"/>
        <v>0</v>
      </c>
      <c r="DR474" s="171">
        <f t="shared" ca="1" si="704"/>
        <v>0</v>
      </c>
      <c r="DS474" s="171">
        <f t="shared" ca="1" si="705"/>
        <v>0</v>
      </c>
      <c r="DT474" s="171">
        <f t="shared" ca="1" si="706"/>
        <v>0</v>
      </c>
      <c r="DU474" s="171">
        <f t="shared" ca="1" si="707"/>
        <v>0</v>
      </c>
      <c r="DV474" s="171">
        <f t="shared" ca="1" si="708"/>
        <v>0</v>
      </c>
      <c r="DW474" s="171">
        <f t="shared" ca="1" si="709"/>
        <v>0</v>
      </c>
      <c r="DX474" s="171">
        <f t="shared" ca="1" si="710"/>
        <v>0</v>
      </c>
      <c r="DY474" s="171">
        <f t="shared" ca="1" si="711"/>
        <v>0</v>
      </c>
      <c r="DZ474" s="171">
        <f t="shared" ca="1" si="712"/>
        <v>0</v>
      </c>
      <c r="EA474" s="171">
        <f t="shared" ca="1" si="713"/>
        <v>0</v>
      </c>
      <c r="EB474" s="171">
        <f t="shared" ca="1" si="714"/>
        <v>0</v>
      </c>
      <c r="EC474" s="171">
        <f t="shared" ca="1" si="715"/>
        <v>0</v>
      </c>
      <c r="ED474" s="171">
        <f t="shared" ca="1" si="716"/>
        <v>0</v>
      </c>
      <c r="EE474" s="171">
        <f t="shared" ca="1" si="717"/>
        <v>0</v>
      </c>
      <c r="EF474" s="171">
        <f t="shared" ca="1" si="718"/>
        <v>0</v>
      </c>
      <c r="EG474" s="171">
        <f t="shared" ca="1" si="719"/>
        <v>0</v>
      </c>
      <c r="EH474" s="171">
        <f t="shared" ca="1" si="720"/>
        <v>0</v>
      </c>
      <c r="EI474" s="171">
        <f t="shared" ca="1" si="721"/>
        <v>0</v>
      </c>
      <c r="EJ474" s="171">
        <f t="shared" ca="1" si="722"/>
        <v>0</v>
      </c>
      <c r="EK474" s="171">
        <f t="shared" ca="1" si="723"/>
        <v>0</v>
      </c>
      <c r="EL474" s="171">
        <f t="shared" ca="1" si="724"/>
        <v>0</v>
      </c>
      <c r="EM474" s="171">
        <f t="shared" ca="1" si="725"/>
        <v>0</v>
      </c>
      <c r="EN474" s="171">
        <f t="shared" ca="1" si="726"/>
        <v>0</v>
      </c>
      <c r="EO474" s="171">
        <f t="shared" ca="1" si="727"/>
        <v>0</v>
      </c>
      <c r="EP474" s="171">
        <f t="shared" ca="1" si="728"/>
        <v>0</v>
      </c>
      <c r="EQ474" s="171">
        <f t="shared" ca="1" si="729"/>
        <v>0</v>
      </c>
      <c r="ER474" s="171">
        <f t="shared" ca="1" si="730"/>
        <v>0</v>
      </c>
      <c r="ES474" s="171">
        <f t="shared" ca="1" si="731"/>
        <v>0</v>
      </c>
    </row>
    <row r="475" spans="3:149">
      <c r="C475" s="214"/>
      <c r="L475" s="163"/>
      <c r="M475" s="164" t="str">
        <f t="shared" si="662"/>
        <v/>
      </c>
      <c r="N475" s="164" t="str">
        <f t="shared" si="663"/>
        <v/>
      </c>
      <c r="O475" s="165" t="str">
        <f t="shared" si="664"/>
        <v/>
      </c>
      <c r="R475" s="168" t="str">
        <f t="shared" si="751"/>
        <v/>
      </c>
      <c r="U475" s="171">
        <f t="shared" si="665"/>
        <v>0</v>
      </c>
      <c r="V475" s="171">
        <f t="shared" ca="1" si="666"/>
        <v>0</v>
      </c>
      <c r="W475" s="171">
        <f t="shared" ca="1" si="667"/>
        <v>0</v>
      </c>
      <c r="X475" s="172">
        <f t="shared" si="668"/>
        <v>0</v>
      </c>
      <c r="Y475" s="172" t="str">
        <f t="shared" si="669"/>
        <v/>
      </c>
      <c r="Z475" s="173">
        <f t="shared" si="670"/>
        <v>0</v>
      </c>
      <c r="AA475" s="171">
        <f t="shared" si="752"/>
        <v>0</v>
      </c>
      <c r="AB475" s="171">
        <f t="shared" si="752"/>
        <v>0</v>
      </c>
      <c r="AC475" s="171">
        <f t="shared" si="752"/>
        <v>0</v>
      </c>
      <c r="AD475" s="171">
        <f t="shared" si="752"/>
        <v>0</v>
      </c>
      <c r="AE475" s="171">
        <f t="shared" si="752"/>
        <v>0</v>
      </c>
      <c r="AF475" s="171">
        <f t="shared" si="752"/>
        <v>0</v>
      </c>
      <c r="AG475" s="171">
        <f t="shared" si="752"/>
        <v>0</v>
      </c>
      <c r="AH475" s="171">
        <f t="shared" si="752"/>
        <v>0</v>
      </c>
      <c r="AI475" s="171">
        <f t="shared" si="752"/>
        <v>0</v>
      </c>
      <c r="AJ475" s="171">
        <f t="shared" si="752"/>
        <v>0</v>
      </c>
      <c r="AK475" s="171">
        <f t="shared" si="753"/>
        <v>0</v>
      </c>
      <c r="AL475" s="171">
        <f t="shared" si="753"/>
        <v>0</v>
      </c>
      <c r="AM475" s="171">
        <f t="shared" si="753"/>
        <v>0</v>
      </c>
      <c r="AN475" s="171">
        <f t="shared" si="753"/>
        <v>0</v>
      </c>
      <c r="AO475" s="171">
        <f t="shared" si="753"/>
        <v>0</v>
      </c>
      <c r="AP475" s="171">
        <f t="shared" si="753"/>
        <v>0</v>
      </c>
      <c r="AQ475" s="171">
        <f t="shared" si="753"/>
        <v>0</v>
      </c>
      <c r="AR475" s="171">
        <f t="shared" si="753"/>
        <v>0</v>
      </c>
      <c r="AS475" s="171">
        <f t="shared" si="753"/>
        <v>0</v>
      </c>
      <c r="AT475" s="171">
        <f t="shared" si="753"/>
        <v>0</v>
      </c>
      <c r="AU475" s="171">
        <f t="shared" si="754"/>
        <v>0</v>
      </c>
      <c r="AV475" s="171">
        <f t="shared" si="754"/>
        <v>0</v>
      </c>
      <c r="AW475" s="171">
        <f t="shared" si="754"/>
        <v>0</v>
      </c>
      <c r="AX475" s="171">
        <f t="shared" si="754"/>
        <v>0</v>
      </c>
      <c r="AY475" s="171">
        <f t="shared" si="754"/>
        <v>0</v>
      </c>
      <c r="AZ475" s="171">
        <f t="shared" si="754"/>
        <v>0</v>
      </c>
      <c r="BA475" s="171">
        <f t="shared" si="754"/>
        <v>0</v>
      </c>
      <c r="BB475" s="171">
        <f t="shared" si="754"/>
        <v>0</v>
      </c>
      <c r="BC475" s="171">
        <f t="shared" si="754"/>
        <v>0</v>
      </c>
      <c r="BD475" s="171">
        <f t="shared" si="754"/>
        <v>0</v>
      </c>
      <c r="BE475" s="171">
        <f t="shared" si="755"/>
        <v>0</v>
      </c>
      <c r="BF475" s="171">
        <f t="shared" si="755"/>
        <v>0</v>
      </c>
      <c r="BG475" s="171">
        <f t="shared" si="755"/>
        <v>0</v>
      </c>
      <c r="BH475" s="171">
        <f t="shared" si="755"/>
        <v>0</v>
      </c>
      <c r="BI475" s="171">
        <f t="shared" si="755"/>
        <v>0</v>
      </c>
      <c r="BJ475" s="171">
        <f t="shared" si="755"/>
        <v>0</v>
      </c>
      <c r="BK475" s="171">
        <f t="shared" si="755"/>
        <v>0</v>
      </c>
      <c r="BL475" s="171">
        <f t="shared" si="755"/>
        <v>0</v>
      </c>
      <c r="BM475" s="171">
        <f t="shared" si="755"/>
        <v>0</v>
      </c>
      <c r="BN475" s="171">
        <f t="shared" si="755"/>
        <v>0</v>
      </c>
      <c r="BO475" s="171">
        <f t="shared" si="756"/>
        <v>0</v>
      </c>
      <c r="BP475" s="171">
        <f t="shared" si="756"/>
        <v>0</v>
      </c>
      <c r="BQ475" s="171">
        <f t="shared" si="756"/>
        <v>0</v>
      </c>
      <c r="BR475" s="171">
        <f t="shared" si="756"/>
        <v>0</v>
      </c>
      <c r="BS475" s="171">
        <f t="shared" si="756"/>
        <v>0</v>
      </c>
      <c r="BT475" s="171">
        <f t="shared" si="756"/>
        <v>0</v>
      </c>
      <c r="BU475" s="171">
        <f t="shared" si="756"/>
        <v>0</v>
      </c>
      <c r="BV475" s="171">
        <f t="shared" si="756"/>
        <v>0</v>
      </c>
      <c r="BW475" s="171">
        <f t="shared" si="756"/>
        <v>0</v>
      </c>
      <c r="BX475" s="171">
        <f t="shared" si="756"/>
        <v>0</v>
      </c>
      <c r="BY475" s="171">
        <f t="shared" si="757"/>
        <v>0</v>
      </c>
      <c r="BZ475" s="171">
        <f t="shared" si="757"/>
        <v>0</v>
      </c>
      <c r="CA475" s="171">
        <f t="shared" si="757"/>
        <v>0</v>
      </c>
      <c r="CB475" s="171">
        <f t="shared" si="757"/>
        <v>0</v>
      </c>
      <c r="CC475" s="171">
        <f t="shared" si="757"/>
        <v>0</v>
      </c>
      <c r="CD475" s="171">
        <f t="shared" si="757"/>
        <v>0</v>
      </c>
      <c r="CE475" s="171">
        <f t="shared" si="757"/>
        <v>0</v>
      </c>
      <c r="CF475" s="171">
        <f t="shared" si="757"/>
        <v>0</v>
      </c>
      <c r="CG475" s="171">
        <f t="shared" si="757"/>
        <v>0</v>
      </c>
      <c r="CH475" s="171">
        <f t="shared" si="757"/>
        <v>0</v>
      </c>
      <c r="CI475" s="171">
        <f t="shared" si="757"/>
        <v>0</v>
      </c>
      <c r="CJ475" s="243"/>
      <c r="CK475" s="171">
        <f t="shared" si="671"/>
        <v>0</v>
      </c>
      <c r="CL475" s="171">
        <f t="shared" si="672"/>
        <v>0</v>
      </c>
      <c r="CM475" s="171">
        <f t="shared" si="673"/>
        <v>0</v>
      </c>
      <c r="CN475" s="171">
        <f t="shared" si="674"/>
        <v>0</v>
      </c>
      <c r="CO475" s="171">
        <f t="shared" si="675"/>
        <v>0</v>
      </c>
      <c r="CP475" s="171">
        <f t="shared" si="676"/>
        <v>0</v>
      </c>
      <c r="CQ475" s="171">
        <f t="shared" si="677"/>
        <v>0</v>
      </c>
      <c r="CR475" s="171">
        <f t="shared" si="678"/>
        <v>0</v>
      </c>
      <c r="CS475" s="171">
        <f t="shared" si="679"/>
        <v>0</v>
      </c>
      <c r="CT475" s="171">
        <f t="shared" si="680"/>
        <v>0</v>
      </c>
      <c r="CU475" s="171">
        <f t="shared" si="681"/>
        <v>0</v>
      </c>
      <c r="CV475" s="171">
        <f t="shared" si="682"/>
        <v>0</v>
      </c>
      <c r="CW475" s="171">
        <f t="shared" si="683"/>
        <v>0</v>
      </c>
      <c r="CX475" s="171">
        <f t="shared" si="684"/>
        <v>0</v>
      </c>
      <c r="CY475" s="171">
        <f t="shared" ca="1" si="685"/>
        <v>0</v>
      </c>
      <c r="CZ475" s="171">
        <f t="shared" ca="1" si="686"/>
        <v>0</v>
      </c>
      <c r="DA475" s="171">
        <f t="shared" ca="1" si="687"/>
        <v>0</v>
      </c>
      <c r="DB475" s="171">
        <f t="shared" ca="1" si="688"/>
        <v>0</v>
      </c>
      <c r="DC475" s="171">
        <f t="shared" ca="1" si="689"/>
        <v>0</v>
      </c>
      <c r="DD475" s="171">
        <f t="shared" ca="1" si="690"/>
        <v>0</v>
      </c>
      <c r="DE475" s="171">
        <f t="shared" ca="1" si="691"/>
        <v>0</v>
      </c>
      <c r="DF475" s="171">
        <f t="shared" ca="1" si="692"/>
        <v>0</v>
      </c>
      <c r="DG475" s="171">
        <f t="shared" ca="1" si="693"/>
        <v>0</v>
      </c>
      <c r="DH475" s="171">
        <f t="shared" ca="1" si="694"/>
        <v>0</v>
      </c>
      <c r="DI475" s="171">
        <f t="shared" ca="1" si="695"/>
        <v>0</v>
      </c>
      <c r="DJ475" s="171">
        <f t="shared" ca="1" si="696"/>
        <v>0</v>
      </c>
      <c r="DK475" s="171">
        <f t="shared" ca="1" si="697"/>
        <v>0</v>
      </c>
      <c r="DL475" s="171">
        <f t="shared" ca="1" si="698"/>
        <v>0</v>
      </c>
      <c r="DM475" s="171">
        <f t="shared" ca="1" si="699"/>
        <v>0</v>
      </c>
      <c r="DN475" s="171">
        <f t="shared" ca="1" si="700"/>
        <v>0</v>
      </c>
      <c r="DO475" s="171">
        <f t="shared" ca="1" si="701"/>
        <v>0</v>
      </c>
      <c r="DP475" s="171">
        <f t="shared" ca="1" si="702"/>
        <v>0</v>
      </c>
      <c r="DQ475" s="171">
        <f t="shared" ca="1" si="703"/>
        <v>0</v>
      </c>
      <c r="DR475" s="171">
        <f t="shared" ca="1" si="704"/>
        <v>0</v>
      </c>
      <c r="DS475" s="171">
        <f t="shared" ca="1" si="705"/>
        <v>0</v>
      </c>
      <c r="DT475" s="171">
        <f t="shared" ca="1" si="706"/>
        <v>0</v>
      </c>
      <c r="DU475" s="171">
        <f t="shared" ca="1" si="707"/>
        <v>0</v>
      </c>
      <c r="DV475" s="171">
        <f t="shared" ca="1" si="708"/>
        <v>0</v>
      </c>
      <c r="DW475" s="171">
        <f t="shared" ca="1" si="709"/>
        <v>0</v>
      </c>
      <c r="DX475" s="171">
        <f t="shared" ca="1" si="710"/>
        <v>0</v>
      </c>
      <c r="DY475" s="171">
        <f t="shared" ca="1" si="711"/>
        <v>0</v>
      </c>
      <c r="DZ475" s="171">
        <f t="shared" ca="1" si="712"/>
        <v>0</v>
      </c>
      <c r="EA475" s="171">
        <f t="shared" ca="1" si="713"/>
        <v>0</v>
      </c>
      <c r="EB475" s="171">
        <f t="shared" ca="1" si="714"/>
        <v>0</v>
      </c>
      <c r="EC475" s="171">
        <f t="shared" ca="1" si="715"/>
        <v>0</v>
      </c>
      <c r="ED475" s="171">
        <f t="shared" ca="1" si="716"/>
        <v>0</v>
      </c>
      <c r="EE475" s="171">
        <f t="shared" ca="1" si="717"/>
        <v>0</v>
      </c>
      <c r="EF475" s="171">
        <f t="shared" ca="1" si="718"/>
        <v>0</v>
      </c>
      <c r="EG475" s="171">
        <f t="shared" ca="1" si="719"/>
        <v>0</v>
      </c>
      <c r="EH475" s="171">
        <f t="shared" ca="1" si="720"/>
        <v>0</v>
      </c>
      <c r="EI475" s="171">
        <f t="shared" ca="1" si="721"/>
        <v>0</v>
      </c>
      <c r="EJ475" s="171">
        <f t="shared" ca="1" si="722"/>
        <v>0</v>
      </c>
      <c r="EK475" s="171">
        <f t="shared" ca="1" si="723"/>
        <v>0</v>
      </c>
      <c r="EL475" s="171">
        <f t="shared" ca="1" si="724"/>
        <v>0</v>
      </c>
      <c r="EM475" s="171">
        <f t="shared" ca="1" si="725"/>
        <v>0</v>
      </c>
      <c r="EN475" s="171">
        <f t="shared" ca="1" si="726"/>
        <v>0</v>
      </c>
      <c r="EO475" s="171">
        <f t="shared" ca="1" si="727"/>
        <v>0</v>
      </c>
      <c r="EP475" s="171">
        <f t="shared" ca="1" si="728"/>
        <v>0</v>
      </c>
      <c r="EQ475" s="171">
        <f t="shared" ca="1" si="729"/>
        <v>0</v>
      </c>
      <c r="ER475" s="171">
        <f t="shared" ca="1" si="730"/>
        <v>0</v>
      </c>
      <c r="ES475" s="171">
        <f t="shared" ca="1" si="731"/>
        <v>0</v>
      </c>
    </row>
    <row r="476" spans="3:149">
      <c r="C476" s="214"/>
      <c r="L476" s="163"/>
      <c r="M476" s="164" t="str">
        <f t="shared" si="662"/>
        <v/>
      </c>
      <c r="N476" s="164" t="str">
        <f t="shared" si="663"/>
        <v/>
      </c>
      <c r="O476" s="165" t="str">
        <f t="shared" si="664"/>
        <v/>
      </c>
      <c r="R476" s="168" t="str">
        <f t="shared" si="751"/>
        <v/>
      </c>
      <c r="U476" s="171">
        <f t="shared" si="665"/>
        <v>0</v>
      </c>
      <c r="V476" s="171">
        <f t="shared" ca="1" si="666"/>
        <v>0</v>
      </c>
      <c r="W476" s="171">
        <f t="shared" ca="1" si="667"/>
        <v>0</v>
      </c>
      <c r="X476" s="172">
        <f t="shared" si="668"/>
        <v>0</v>
      </c>
      <c r="Y476" s="172" t="str">
        <f t="shared" si="669"/>
        <v/>
      </c>
      <c r="Z476" s="173">
        <f t="shared" si="670"/>
        <v>0</v>
      </c>
      <c r="AA476" s="171">
        <f t="shared" si="752"/>
        <v>0</v>
      </c>
      <c r="AB476" s="171">
        <f t="shared" si="752"/>
        <v>0</v>
      </c>
      <c r="AC476" s="171">
        <f t="shared" si="752"/>
        <v>0</v>
      </c>
      <c r="AD476" s="171">
        <f t="shared" si="752"/>
        <v>0</v>
      </c>
      <c r="AE476" s="171">
        <f t="shared" si="752"/>
        <v>0</v>
      </c>
      <c r="AF476" s="171">
        <f t="shared" si="752"/>
        <v>0</v>
      </c>
      <c r="AG476" s="171">
        <f t="shared" si="752"/>
        <v>0</v>
      </c>
      <c r="AH476" s="171">
        <f t="shared" si="752"/>
        <v>0</v>
      </c>
      <c r="AI476" s="171">
        <f t="shared" si="752"/>
        <v>0</v>
      </c>
      <c r="AJ476" s="171">
        <f t="shared" si="752"/>
        <v>0</v>
      </c>
      <c r="AK476" s="171">
        <f t="shared" si="753"/>
        <v>0</v>
      </c>
      <c r="AL476" s="171">
        <f t="shared" si="753"/>
        <v>0</v>
      </c>
      <c r="AM476" s="171">
        <f t="shared" si="753"/>
        <v>0</v>
      </c>
      <c r="AN476" s="171">
        <f t="shared" si="753"/>
        <v>0</v>
      </c>
      <c r="AO476" s="171">
        <f t="shared" si="753"/>
        <v>0</v>
      </c>
      <c r="AP476" s="171">
        <f t="shared" si="753"/>
        <v>0</v>
      </c>
      <c r="AQ476" s="171">
        <f t="shared" si="753"/>
        <v>0</v>
      </c>
      <c r="AR476" s="171">
        <f t="shared" si="753"/>
        <v>0</v>
      </c>
      <c r="AS476" s="171">
        <f t="shared" si="753"/>
        <v>0</v>
      </c>
      <c r="AT476" s="171">
        <f t="shared" si="753"/>
        <v>0</v>
      </c>
      <c r="AU476" s="171">
        <f t="shared" si="754"/>
        <v>0</v>
      </c>
      <c r="AV476" s="171">
        <f t="shared" si="754"/>
        <v>0</v>
      </c>
      <c r="AW476" s="171">
        <f t="shared" si="754"/>
        <v>0</v>
      </c>
      <c r="AX476" s="171">
        <f t="shared" si="754"/>
        <v>0</v>
      </c>
      <c r="AY476" s="171">
        <f t="shared" si="754"/>
        <v>0</v>
      </c>
      <c r="AZ476" s="171">
        <f t="shared" si="754"/>
        <v>0</v>
      </c>
      <c r="BA476" s="171">
        <f t="shared" si="754"/>
        <v>0</v>
      </c>
      <c r="BB476" s="171">
        <f t="shared" si="754"/>
        <v>0</v>
      </c>
      <c r="BC476" s="171">
        <f t="shared" si="754"/>
        <v>0</v>
      </c>
      <c r="BD476" s="171">
        <f t="shared" si="754"/>
        <v>0</v>
      </c>
      <c r="BE476" s="171">
        <f t="shared" si="755"/>
        <v>0</v>
      </c>
      <c r="BF476" s="171">
        <f t="shared" si="755"/>
        <v>0</v>
      </c>
      <c r="BG476" s="171">
        <f t="shared" si="755"/>
        <v>0</v>
      </c>
      <c r="BH476" s="171">
        <f t="shared" si="755"/>
        <v>0</v>
      </c>
      <c r="BI476" s="171">
        <f t="shared" si="755"/>
        <v>0</v>
      </c>
      <c r="BJ476" s="171">
        <f t="shared" si="755"/>
        <v>0</v>
      </c>
      <c r="BK476" s="171">
        <f t="shared" si="755"/>
        <v>0</v>
      </c>
      <c r="BL476" s="171">
        <f t="shared" si="755"/>
        <v>0</v>
      </c>
      <c r="BM476" s="171">
        <f t="shared" si="755"/>
        <v>0</v>
      </c>
      <c r="BN476" s="171">
        <f t="shared" si="755"/>
        <v>0</v>
      </c>
      <c r="BO476" s="171">
        <f t="shared" si="756"/>
        <v>0</v>
      </c>
      <c r="BP476" s="171">
        <f t="shared" si="756"/>
        <v>0</v>
      </c>
      <c r="BQ476" s="171">
        <f t="shared" si="756"/>
        <v>0</v>
      </c>
      <c r="BR476" s="171">
        <f t="shared" si="756"/>
        <v>0</v>
      </c>
      <c r="BS476" s="171">
        <f t="shared" si="756"/>
        <v>0</v>
      </c>
      <c r="BT476" s="171">
        <f t="shared" si="756"/>
        <v>0</v>
      </c>
      <c r="BU476" s="171">
        <f t="shared" si="756"/>
        <v>0</v>
      </c>
      <c r="BV476" s="171">
        <f t="shared" si="756"/>
        <v>0</v>
      </c>
      <c r="BW476" s="171">
        <f t="shared" si="756"/>
        <v>0</v>
      </c>
      <c r="BX476" s="171">
        <f t="shared" si="756"/>
        <v>0</v>
      </c>
      <c r="BY476" s="171">
        <f t="shared" si="757"/>
        <v>0</v>
      </c>
      <c r="BZ476" s="171">
        <f t="shared" si="757"/>
        <v>0</v>
      </c>
      <c r="CA476" s="171">
        <f t="shared" si="757"/>
        <v>0</v>
      </c>
      <c r="CB476" s="171">
        <f t="shared" si="757"/>
        <v>0</v>
      </c>
      <c r="CC476" s="171">
        <f t="shared" si="757"/>
        <v>0</v>
      </c>
      <c r="CD476" s="171">
        <f t="shared" si="757"/>
        <v>0</v>
      </c>
      <c r="CE476" s="171">
        <f t="shared" si="757"/>
        <v>0</v>
      </c>
      <c r="CF476" s="171">
        <f t="shared" si="757"/>
        <v>0</v>
      </c>
      <c r="CG476" s="171">
        <f t="shared" si="757"/>
        <v>0</v>
      </c>
      <c r="CH476" s="171">
        <f t="shared" si="757"/>
        <v>0</v>
      </c>
      <c r="CI476" s="171">
        <f t="shared" si="757"/>
        <v>0</v>
      </c>
      <c r="CJ476" s="243"/>
      <c r="CK476" s="171">
        <f t="shared" si="671"/>
        <v>0</v>
      </c>
      <c r="CL476" s="171">
        <f t="shared" si="672"/>
        <v>0</v>
      </c>
      <c r="CM476" s="171">
        <f t="shared" si="673"/>
        <v>0</v>
      </c>
      <c r="CN476" s="171">
        <f t="shared" si="674"/>
        <v>0</v>
      </c>
      <c r="CO476" s="171">
        <f t="shared" si="675"/>
        <v>0</v>
      </c>
      <c r="CP476" s="171">
        <f t="shared" si="676"/>
        <v>0</v>
      </c>
      <c r="CQ476" s="171">
        <f t="shared" si="677"/>
        <v>0</v>
      </c>
      <c r="CR476" s="171">
        <f t="shared" si="678"/>
        <v>0</v>
      </c>
      <c r="CS476" s="171">
        <f t="shared" si="679"/>
        <v>0</v>
      </c>
      <c r="CT476" s="171">
        <f t="shared" si="680"/>
        <v>0</v>
      </c>
      <c r="CU476" s="171">
        <f t="shared" si="681"/>
        <v>0</v>
      </c>
      <c r="CV476" s="171">
        <f t="shared" si="682"/>
        <v>0</v>
      </c>
      <c r="CW476" s="171">
        <f t="shared" si="683"/>
        <v>0</v>
      </c>
      <c r="CX476" s="171">
        <f t="shared" si="684"/>
        <v>0</v>
      </c>
      <c r="CY476" s="171">
        <f t="shared" ca="1" si="685"/>
        <v>0</v>
      </c>
      <c r="CZ476" s="171">
        <f t="shared" ca="1" si="686"/>
        <v>0</v>
      </c>
      <c r="DA476" s="171">
        <f t="shared" ca="1" si="687"/>
        <v>0</v>
      </c>
      <c r="DB476" s="171">
        <f t="shared" ca="1" si="688"/>
        <v>0</v>
      </c>
      <c r="DC476" s="171">
        <f t="shared" ca="1" si="689"/>
        <v>0</v>
      </c>
      <c r="DD476" s="171">
        <f t="shared" ca="1" si="690"/>
        <v>0</v>
      </c>
      <c r="DE476" s="171">
        <f t="shared" ca="1" si="691"/>
        <v>0</v>
      </c>
      <c r="DF476" s="171">
        <f t="shared" ca="1" si="692"/>
        <v>0</v>
      </c>
      <c r="DG476" s="171">
        <f t="shared" ca="1" si="693"/>
        <v>0</v>
      </c>
      <c r="DH476" s="171">
        <f t="shared" ca="1" si="694"/>
        <v>0</v>
      </c>
      <c r="DI476" s="171">
        <f t="shared" ca="1" si="695"/>
        <v>0</v>
      </c>
      <c r="DJ476" s="171">
        <f t="shared" ca="1" si="696"/>
        <v>0</v>
      </c>
      <c r="DK476" s="171">
        <f t="shared" ca="1" si="697"/>
        <v>0</v>
      </c>
      <c r="DL476" s="171">
        <f t="shared" ca="1" si="698"/>
        <v>0</v>
      </c>
      <c r="DM476" s="171">
        <f t="shared" ca="1" si="699"/>
        <v>0</v>
      </c>
      <c r="DN476" s="171">
        <f t="shared" ca="1" si="700"/>
        <v>0</v>
      </c>
      <c r="DO476" s="171">
        <f t="shared" ca="1" si="701"/>
        <v>0</v>
      </c>
      <c r="DP476" s="171">
        <f t="shared" ca="1" si="702"/>
        <v>0</v>
      </c>
      <c r="DQ476" s="171">
        <f t="shared" ca="1" si="703"/>
        <v>0</v>
      </c>
      <c r="DR476" s="171">
        <f t="shared" ca="1" si="704"/>
        <v>0</v>
      </c>
      <c r="DS476" s="171">
        <f t="shared" ca="1" si="705"/>
        <v>0</v>
      </c>
      <c r="DT476" s="171">
        <f t="shared" ca="1" si="706"/>
        <v>0</v>
      </c>
      <c r="DU476" s="171">
        <f t="shared" ca="1" si="707"/>
        <v>0</v>
      </c>
      <c r="DV476" s="171">
        <f t="shared" ca="1" si="708"/>
        <v>0</v>
      </c>
      <c r="DW476" s="171">
        <f t="shared" ca="1" si="709"/>
        <v>0</v>
      </c>
      <c r="DX476" s="171">
        <f t="shared" ca="1" si="710"/>
        <v>0</v>
      </c>
      <c r="DY476" s="171">
        <f t="shared" ca="1" si="711"/>
        <v>0</v>
      </c>
      <c r="DZ476" s="171">
        <f t="shared" ca="1" si="712"/>
        <v>0</v>
      </c>
      <c r="EA476" s="171">
        <f t="shared" ca="1" si="713"/>
        <v>0</v>
      </c>
      <c r="EB476" s="171">
        <f t="shared" ca="1" si="714"/>
        <v>0</v>
      </c>
      <c r="EC476" s="171">
        <f t="shared" ca="1" si="715"/>
        <v>0</v>
      </c>
      <c r="ED476" s="171">
        <f t="shared" ca="1" si="716"/>
        <v>0</v>
      </c>
      <c r="EE476" s="171">
        <f t="shared" ca="1" si="717"/>
        <v>0</v>
      </c>
      <c r="EF476" s="171">
        <f t="shared" ca="1" si="718"/>
        <v>0</v>
      </c>
      <c r="EG476" s="171">
        <f t="shared" ca="1" si="719"/>
        <v>0</v>
      </c>
      <c r="EH476" s="171">
        <f t="shared" ca="1" si="720"/>
        <v>0</v>
      </c>
      <c r="EI476" s="171">
        <f t="shared" ca="1" si="721"/>
        <v>0</v>
      </c>
      <c r="EJ476" s="171">
        <f t="shared" ca="1" si="722"/>
        <v>0</v>
      </c>
      <c r="EK476" s="171">
        <f t="shared" ca="1" si="723"/>
        <v>0</v>
      </c>
      <c r="EL476" s="171">
        <f t="shared" ca="1" si="724"/>
        <v>0</v>
      </c>
      <c r="EM476" s="171">
        <f t="shared" ca="1" si="725"/>
        <v>0</v>
      </c>
      <c r="EN476" s="171">
        <f t="shared" ca="1" si="726"/>
        <v>0</v>
      </c>
      <c r="EO476" s="171">
        <f t="shared" ca="1" si="727"/>
        <v>0</v>
      </c>
      <c r="EP476" s="171">
        <f t="shared" ca="1" si="728"/>
        <v>0</v>
      </c>
      <c r="EQ476" s="171">
        <f t="shared" ca="1" si="729"/>
        <v>0</v>
      </c>
      <c r="ER476" s="171">
        <f t="shared" ca="1" si="730"/>
        <v>0</v>
      </c>
      <c r="ES476" s="171">
        <f t="shared" ca="1" si="731"/>
        <v>0</v>
      </c>
    </row>
    <row r="477" spans="3:149">
      <c r="C477" s="214"/>
      <c r="L477" s="163"/>
      <c r="M477" s="164" t="str">
        <f t="shared" si="662"/>
        <v/>
      </c>
      <c r="N477" s="164" t="str">
        <f t="shared" si="663"/>
        <v/>
      </c>
      <c r="O477" s="165" t="str">
        <f t="shared" si="664"/>
        <v/>
      </c>
      <c r="R477" s="168" t="str">
        <f t="shared" si="751"/>
        <v/>
      </c>
      <c r="U477" s="171">
        <f t="shared" si="665"/>
        <v>0</v>
      </c>
      <c r="V477" s="171">
        <f t="shared" ca="1" si="666"/>
        <v>0</v>
      </c>
      <c r="W477" s="171">
        <f t="shared" ca="1" si="667"/>
        <v>0</v>
      </c>
      <c r="X477" s="172">
        <f t="shared" si="668"/>
        <v>0</v>
      </c>
      <c r="Y477" s="172" t="str">
        <f t="shared" si="669"/>
        <v/>
      </c>
      <c r="Z477" s="173">
        <f t="shared" si="670"/>
        <v>0</v>
      </c>
      <c r="AA477" s="171">
        <f t="shared" si="752"/>
        <v>0</v>
      </c>
      <c r="AB477" s="171">
        <f t="shared" si="752"/>
        <v>0</v>
      </c>
      <c r="AC477" s="171">
        <f t="shared" si="752"/>
        <v>0</v>
      </c>
      <c r="AD477" s="171">
        <f t="shared" si="752"/>
        <v>0</v>
      </c>
      <c r="AE477" s="171">
        <f t="shared" si="752"/>
        <v>0</v>
      </c>
      <c r="AF477" s="171">
        <f t="shared" si="752"/>
        <v>0</v>
      </c>
      <c r="AG477" s="171">
        <f t="shared" si="752"/>
        <v>0</v>
      </c>
      <c r="AH477" s="171">
        <f t="shared" si="752"/>
        <v>0</v>
      </c>
      <c r="AI477" s="171">
        <f t="shared" si="752"/>
        <v>0</v>
      </c>
      <c r="AJ477" s="171">
        <f t="shared" si="752"/>
        <v>0</v>
      </c>
      <c r="AK477" s="171">
        <f t="shared" si="753"/>
        <v>0</v>
      </c>
      <c r="AL477" s="171">
        <f t="shared" si="753"/>
        <v>0</v>
      </c>
      <c r="AM477" s="171">
        <f t="shared" si="753"/>
        <v>0</v>
      </c>
      <c r="AN477" s="171">
        <f t="shared" si="753"/>
        <v>0</v>
      </c>
      <c r="AO477" s="171">
        <f t="shared" si="753"/>
        <v>0</v>
      </c>
      <c r="AP477" s="171">
        <f t="shared" si="753"/>
        <v>0</v>
      </c>
      <c r="AQ477" s="171">
        <f t="shared" si="753"/>
        <v>0</v>
      </c>
      <c r="AR477" s="171">
        <f t="shared" si="753"/>
        <v>0</v>
      </c>
      <c r="AS477" s="171">
        <f t="shared" si="753"/>
        <v>0</v>
      </c>
      <c r="AT477" s="171">
        <f t="shared" si="753"/>
        <v>0</v>
      </c>
      <c r="AU477" s="171">
        <f t="shared" si="754"/>
        <v>0</v>
      </c>
      <c r="AV477" s="171">
        <f t="shared" si="754"/>
        <v>0</v>
      </c>
      <c r="AW477" s="171">
        <f t="shared" si="754"/>
        <v>0</v>
      </c>
      <c r="AX477" s="171">
        <f t="shared" si="754"/>
        <v>0</v>
      </c>
      <c r="AY477" s="171">
        <f t="shared" si="754"/>
        <v>0</v>
      </c>
      <c r="AZ477" s="171">
        <f t="shared" si="754"/>
        <v>0</v>
      </c>
      <c r="BA477" s="171">
        <f t="shared" si="754"/>
        <v>0</v>
      </c>
      <c r="BB477" s="171">
        <f t="shared" si="754"/>
        <v>0</v>
      </c>
      <c r="BC477" s="171">
        <f t="shared" si="754"/>
        <v>0</v>
      </c>
      <c r="BD477" s="171">
        <f t="shared" si="754"/>
        <v>0</v>
      </c>
      <c r="BE477" s="171">
        <f t="shared" si="755"/>
        <v>0</v>
      </c>
      <c r="BF477" s="171">
        <f t="shared" si="755"/>
        <v>0</v>
      </c>
      <c r="BG477" s="171">
        <f t="shared" si="755"/>
        <v>0</v>
      </c>
      <c r="BH477" s="171">
        <f t="shared" si="755"/>
        <v>0</v>
      </c>
      <c r="BI477" s="171">
        <f t="shared" si="755"/>
        <v>0</v>
      </c>
      <c r="BJ477" s="171">
        <f t="shared" si="755"/>
        <v>0</v>
      </c>
      <c r="BK477" s="171">
        <f t="shared" si="755"/>
        <v>0</v>
      </c>
      <c r="BL477" s="171">
        <f t="shared" si="755"/>
        <v>0</v>
      </c>
      <c r="BM477" s="171">
        <f t="shared" si="755"/>
        <v>0</v>
      </c>
      <c r="BN477" s="171">
        <f t="shared" si="755"/>
        <v>0</v>
      </c>
      <c r="BO477" s="171">
        <f t="shared" si="756"/>
        <v>0</v>
      </c>
      <c r="BP477" s="171">
        <f t="shared" si="756"/>
        <v>0</v>
      </c>
      <c r="BQ477" s="171">
        <f t="shared" si="756"/>
        <v>0</v>
      </c>
      <c r="BR477" s="171">
        <f t="shared" si="756"/>
        <v>0</v>
      </c>
      <c r="BS477" s="171">
        <f t="shared" si="756"/>
        <v>0</v>
      </c>
      <c r="BT477" s="171">
        <f t="shared" si="756"/>
        <v>0</v>
      </c>
      <c r="BU477" s="171">
        <f t="shared" si="756"/>
        <v>0</v>
      </c>
      <c r="BV477" s="171">
        <f t="shared" si="756"/>
        <v>0</v>
      </c>
      <c r="BW477" s="171">
        <f t="shared" si="756"/>
        <v>0</v>
      </c>
      <c r="BX477" s="171">
        <f t="shared" si="756"/>
        <v>0</v>
      </c>
      <c r="BY477" s="171">
        <f t="shared" si="757"/>
        <v>0</v>
      </c>
      <c r="BZ477" s="171">
        <f t="shared" si="757"/>
        <v>0</v>
      </c>
      <c r="CA477" s="171">
        <f t="shared" si="757"/>
        <v>0</v>
      </c>
      <c r="CB477" s="171">
        <f t="shared" si="757"/>
        <v>0</v>
      </c>
      <c r="CC477" s="171">
        <f t="shared" si="757"/>
        <v>0</v>
      </c>
      <c r="CD477" s="171">
        <f t="shared" si="757"/>
        <v>0</v>
      </c>
      <c r="CE477" s="171">
        <f t="shared" si="757"/>
        <v>0</v>
      </c>
      <c r="CF477" s="171">
        <f t="shared" si="757"/>
        <v>0</v>
      </c>
      <c r="CG477" s="171">
        <f t="shared" si="757"/>
        <v>0</v>
      </c>
      <c r="CH477" s="171">
        <f t="shared" si="757"/>
        <v>0</v>
      </c>
      <c r="CI477" s="171">
        <f t="shared" si="757"/>
        <v>0</v>
      </c>
      <c r="CJ477" s="243"/>
      <c r="CK477" s="171">
        <f t="shared" si="671"/>
        <v>0</v>
      </c>
      <c r="CL477" s="171">
        <f t="shared" si="672"/>
        <v>0</v>
      </c>
      <c r="CM477" s="171">
        <f t="shared" si="673"/>
        <v>0</v>
      </c>
      <c r="CN477" s="171">
        <f t="shared" si="674"/>
        <v>0</v>
      </c>
      <c r="CO477" s="171">
        <f t="shared" si="675"/>
        <v>0</v>
      </c>
      <c r="CP477" s="171">
        <f t="shared" si="676"/>
        <v>0</v>
      </c>
      <c r="CQ477" s="171">
        <f t="shared" si="677"/>
        <v>0</v>
      </c>
      <c r="CR477" s="171">
        <f t="shared" si="678"/>
        <v>0</v>
      </c>
      <c r="CS477" s="171">
        <f t="shared" si="679"/>
        <v>0</v>
      </c>
      <c r="CT477" s="171">
        <f t="shared" si="680"/>
        <v>0</v>
      </c>
      <c r="CU477" s="171">
        <f t="shared" si="681"/>
        <v>0</v>
      </c>
      <c r="CV477" s="171">
        <f t="shared" si="682"/>
        <v>0</v>
      </c>
      <c r="CW477" s="171">
        <f t="shared" si="683"/>
        <v>0</v>
      </c>
      <c r="CX477" s="171">
        <f t="shared" si="684"/>
        <v>0</v>
      </c>
      <c r="CY477" s="171">
        <f t="shared" ca="1" si="685"/>
        <v>0</v>
      </c>
      <c r="CZ477" s="171">
        <f t="shared" ca="1" si="686"/>
        <v>0</v>
      </c>
      <c r="DA477" s="171">
        <f t="shared" ca="1" si="687"/>
        <v>0</v>
      </c>
      <c r="DB477" s="171">
        <f t="shared" ca="1" si="688"/>
        <v>0</v>
      </c>
      <c r="DC477" s="171">
        <f t="shared" ca="1" si="689"/>
        <v>0</v>
      </c>
      <c r="DD477" s="171">
        <f t="shared" ca="1" si="690"/>
        <v>0</v>
      </c>
      <c r="DE477" s="171">
        <f t="shared" ca="1" si="691"/>
        <v>0</v>
      </c>
      <c r="DF477" s="171">
        <f t="shared" ca="1" si="692"/>
        <v>0</v>
      </c>
      <c r="DG477" s="171">
        <f t="shared" ca="1" si="693"/>
        <v>0</v>
      </c>
      <c r="DH477" s="171">
        <f t="shared" ca="1" si="694"/>
        <v>0</v>
      </c>
      <c r="DI477" s="171">
        <f t="shared" ca="1" si="695"/>
        <v>0</v>
      </c>
      <c r="DJ477" s="171">
        <f t="shared" ca="1" si="696"/>
        <v>0</v>
      </c>
      <c r="DK477" s="171">
        <f t="shared" ca="1" si="697"/>
        <v>0</v>
      </c>
      <c r="DL477" s="171">
        <f t="shared" ca="1" si="698"/>
        <v>0</v>
      </c>
      <c r="DM477" s="171">
        <f t="shared" ca="1" si="699"/>
        <v>0</v>
      </c>
      <c r="DN477" s="171">
        <f t="shared" ca="1" si="700"/>
        <v>0</v>
      </c>
      <c r="DO477" s="171">
        <f t="shared" ca="1" si="701"/>
        <v>0</v>
      </c>
      <c r="DP477" s="171">
        <f t="shared" ca="1" si="702"/>
        <v>0</v>
      </c>
      <c r="DQ477" s="171">
        <f t="shared" ca="1" si="703"/>
        <v>0</v>
      </c>
      <c r="DR477" s="171">
        <f t="shared" ca="1" si="704"/>
        <v>0</v>
      </c>
      <c r="DS477" s="171">
        <f t="shared" ca="1" si="705"/>
        <v>0</v>
      </c>
      <c r="DT477" s="171">
        <f t="shared" ca="1" si="706"/>
        <v>0</v>
      </c>
      <c r="DU477" s="171">
        <f t="shared" ca="1" si="707"/>
        <v>0</v>
      </c>
      <c r="DV477" s="171">
        <f t="shared" ca="1" si="708"/>
        <v>0</v>
      </c>
      <c r="DW477" s="171">
        <f t="shared" ca="1" si="709"/>
        <v>0</v>
      </c>
      <c r="DX477" s="171">
        <f t="shared" ca="1" si="710"/>
        <v>0</v>
      </c>
      <c r="DY477" s="171">
        <f t="shared" ca="1" si="711"/>
        <v>0</v>
      </c>
      <c r="DZ477" s="171">
        <f t="shared" ca="1" si="712"/>
        <v>0</v>
      </c>
      <c r="EA477" s="171">
        <f t="shared" ca="1" si="713"/>
        <v>0</v>
      </c>
      <c r="EB477" s="171">
        <f t="shared" ca="1" si="714"/>
        <v>0</v>
      </c>
      <c r="EC477" s="171">
        <f t="shared" ca="1" si="715"/>
        <v>0</v>
      </c>
      <c r="ED477" s="171">
        <f t="shared" ca="1" si="716"/>
        <v>0</v>
      </c>
      <c r="EE477" s="171">
        <f t="shared" ca="1" si="717"/>
        <v>0</v>
      </c>
      <c r="EF477" s="171">
        <f t="shared" ca="1" si="718"/>
        <v>0</v>
      </c>
      <c r="EG477" s="171">
        <f t="shared" ca="1" si="719"/>
        <v>0</v>
      </c>
      <c r="EH477" s="171">
        <f t="shared" ca="1" si="720"/>
        <v>0</v>
      </c>
      <c r="EI477" s="171">
        <f t="shared" ca="1" si="721"/>
        <v>0</v>
      </c>
      <c r="EJ477" s="171">
        <f t="shared" ca="1" si="722"/>
        <v>0</v>
      </c>
      <c r="EK477" s="171">
        <f t="shared" ca="1" si="723"/>
        <v>0</v>
      </c>
      <c r="EL477" s="171">
        <f t="shared" ca="1" si="724"/>
        <v>0</v>
      </c>
      <c r="EM477" s="171">
        <f t="shared" ca="1" si="725"/>
        <v>0</v>
      </c>
      <c r="EN477" s="171">
        <f t="shared" ca="1" si="726"/>
        <v>0</v>
      </c>
      <c r="EO477" s="171">
        <f t="shared" ca="1" si="727"/>
        <v>0</v>
      </c>
      <c r="EP477" s="171">
        <f t="shared" ca="1" si="728"/>
        <v>0</v>
      </c>
      <c r="EQ477" s="171">
        <f t="shared" ca="1" si="729"/>
        <v>0</v>
      </c>
      <c r="ER477" s="171">
        <f t="shared" ca="1" si="730"/>
        <v>0</v>
      </c>
      <c r="ES477" s="171">
        <f t="shared" ca="1" si="731"/>
        <v>0</v>
      </c>
    </row>
    <row r="478" spans="3:149">
      <c r="C478" s="214"/>
      <c r="L478" s="163"/>
      <c r="M478" s="164" t="str">
        <f t="shared" si="662"/>
        <v/>
      </c>
      <c r="N478" s="164" t="str">
        <f t="shared" si="663"/>
        <v/>
      </c>
      <c r="O478" s="165" t="str">
        <f t="shared" si="664"/>
        <v/>
      </c>
      <c r="R478" s="168" t="str">
        <f t="shared" si="751"/>
        <v/>
      </c>
      <c r="U478" s="171">
        <f t="shared" si="665"/>
        <v>0</v>
      </c>
      <c r="V478" s="171">
        <f t="shared" ca="1" si="666"/>
        <v>0</v>
      </c>
      <c r="W478" s="171">
        <f t="shared" ca="1" si="667"/>
        <v>0</v>
      </c>
      <c r="X478" s="172">
        <f t="shared" si="668"/>
        <v>0</v>
      </c>
      <c r="Y478" s="172" t="str">
        <f t="shared" si="669"/>
        <v/>
      </c>
      <c r="Z478" s="173">
        <f t="shared" si="670"/>
        <v>0</v>
      </c>
      <c r="AA478" s="171">
        <f t="shared" si="752"/>
        <v>0</v>
      </c>
      <c r="AB478" s="171">
        <f t="shared" si="752"/>
        <v>0</v>
      </c>
      <c r="AC478" s="171">
        <f t="shared" si="752"/>
        <v>0</v>
      </c>
      <c r="AD478" s="171">
        <f t="shared" si="752"/>
        <v>0</v>
      </c>
      <c r="AE478" s="171">
        <f t="shared" si="752"/>
        <v>0</v>
      </c>
      <c r="AF478" s="171">
        <f t="shared" si="752"/>
        <v>0</v>
      </c>
      <c r="AG478" s="171">
        <f t="shared" si="752"/>
        <v>0</v>
      </c>
      <c r="AH478" s="171">
        <f t="shared" si="752"/>
        <v>0</v>
      </c>
      <c r="AI478" s="171">
        <f t="shared" si="752"/>
        <v>0</v>
      </c>
      <c r="AJ478" s="171">
        <f t="shared" si="752"/>
        <v>0</v>
      </c>
      <c r="AK478" s="171">
        <f t="shared" si="753"/>
        <v>0</v>
      </c>
      <c r="AL478" s="171">
        <f t="shared" si="753"/>
        <v>0</v>
      </c>
      <c r="AM478" s="171">
        <f t="shared" si="753"/>
        <v>0</v>
      </c>
      <c r="AN478" s="171">
        <f t="shared" si="753"/>
        <v>0</v>
      </c>
      <c r="AO478" s="171">
        <f t="shared" si="753"/>
        <v>0</v>
      </c>
      <c r="AP478" s="171">
        <f t="shared" si="753"/>
        <v>0</v>
      </c>
      <c r="AQ478" s="171">
        <f t="shared" si="753"/>
        <v>0</v>
      </c>
      <c r="AR478" s="171">
        <f t="shared" si="753"/>
        <v>0</v>
      </c>
      <c r="AS478" s="171">
        <f t="shared" si="753"/>
        <v>0</v>
      </c>
      <c r="AT478" s="171">
        <f t="shared" si="753"/>
        <v>0</v>
      </c>
      <c r="AU478" s="171">
        <f t="shared" si="754"/>
        <v>0</v>
      </c>
      <c r="AV478" s="171">
        <f t="shared" si="754"/>
        <v>0</v>
      </c>
      <c r="AW478" s="171">
        <f t="shared" si="754"/>
        <v>0</v>
      </c>
      <c r="AX478" s="171">
        <f t="shared" si="754"/>
        <v>0</v>
      </c>
      <c r="AY478" s="171">
        <f t="shared" si="754"/>
        <v>0</v>
      </c>
      <c r="AZ478" s="171">
        <f t="shared" si="754"/>
        <v>0</v>
      </c>
      <c r="BA478" s="171">
        <f t="shared" si="754"/>
        <v>0</v>
      </c>
      <c r="BB478" s="171">
        <f t="shared" si="754"/>
        <v>0</v>
      </c>
      <c r="BC478" s="171">
        <f t="shared" si="754"/>
        <v>0</v>
      </c>
      <c r="BD478" s="171">
        <f t="shared" si="754"/>
        <v>0</v>
      </c>
      <c r="BE478" s="171">
        <f t="shared" si="755"/>
        <v>0</v>
      </c>
      <c r="BF478" s="171">
        <f t="shared" si="755"/>
        <v>0</v>
      </c>
      <c r="BG478" s="171">
        <f t="shared" si="755"/>
        <v>0</v>
      </c>
      <c r="BH478" s="171">
        <f t="shared" si="755"/>
        <v>0</v>
      </c>
      <c r="BI478" s="171">
        <f t="shared" si="755"/>
        <v>0</v>
      </c>
      <c r="BJ478" s="171">
        <f t="shared" si="755"/>
        <v>0</v>
      </c>
      <c r="BK478" s="171">
        <f t="shared" si="755"/>
        <v>0</v>
      </c>
      <c r="BL478" s="171">
        <f t="shared" si="755"/>
        <v>0</v>
      </c>
      <c r="BM478" s="171">
        <f t="shared" si="755"/>
        <v>0</v>
      </c>
      <c r="BN478" s="171">
        <f t="shared" si="755"/>
        <v>0</v>
      </c>
      <c r="BO478" s="171">
        <f t="shared" si="756"/>
        <v>0</v>
      </c>
      <c r="BP478" s="171">
        <f t="shared" si="756"/>
        <v>0</v>
      </c>
      <c r="BQ478" s="171">
        <f t="shared" si="756"/>
        <v>0</v>
      </c>
      <c r="BR478" s="171">
        <f t="shared" si="756"/>
        <v>0</v>
      </c>
      <c r="BS478" s="171">
        <f t="shared" si="756"/>
        <v>0</v>
      </c>
      <c r="BT478" s="171">
        <f t="shared" si="756"/>
        <v>0</v>
      </c>
      <c r="BU478" s="171">
        <f t="shared" si="756"/>
        <v>0</v>
      </c>
      <c r="BV478" s="171">
        <f t="shared" si="756"/>
        <v>0</v>
      </c>
      <c r="BW478" s="171">
        <f t="shared" si="756"/>
        <v>0</v>
      </c>
      <c r="BX478" s="171">
        <f t="shared" si="756"/>
        <v>0</v>
      </c>
      <c r="BY478" s="171">
        <f t="shared" si="757"/>
        <v>0</v>
      </c>
      <c r="BZ478" s="171">
        <f t="shared" si="757"/>
        <v>0</v>
      </c>
      <c r="CA478" s="171">
        <f t="shared" si="757"/>
        <v>0</v>
      </c>
      <c r="CB478" s="171">
        <f t="shared" si="757"/>
        <v>0</v>
      </c>
      <c r="CC478" s="171">
        <f t="shared" si="757"/>
        <v>0</v>
      </c>
      <c r="CD478" s="171">
        <f t="shared" si="757"/>
        <v>0</v>
      </c>
      <c r="CE478" s="171">
        <f t="shared" si="757"/>
        <v>0</v>
      </c>
      <c r="CF478" s="171">
        <f t="shared" si="757"/>
        <v>0</v>
      </c>
      <c r="CG478" s="171">
        <f t="shared" si="757"/>
        <v>0</v>
      </c>
      <c r="CH478" s="171">
        <f t="shared" si="757"/>
        <v>0</v>
      </c>
      <c r="CI478" s="171">
        <f t="shared" si="757"/>
        <v>0</v>
      </c>
      <c r="CJ478" s="243"/>
      <c r="CK478" s="171">
        <f t="shared" si="671"/>
        <v>0</v>
      </c>
      <c r="CL478" s="171">
        <f t="shared" si="672"/>
        <v>0</v>
      </c>
      <c r="CM478" s="171">
        <f t="shared" si="673"/>
        <v>0</v>
      </c>
      <c r="CN478" s="171">
        <f t="shared" si="674"/>
        <v>0</v>
      </c>
      <c r="CO478" s="171">
        <f t="shared" si="675"/>
        <v>0</v>
      </c>
      <c r="CP478" s="171">
        <f t="shared" si="676"/>
        <v>0</v>
      </c>
      <c r="CQ478" s="171">
        <f t="shared" si="677"/>
        <v>0</v>
      </c>
      <c r="CR478" s="171">
        <f t="shared" si="678"/>
        <v>0</v>
      </c>
      <c r="CS478" s="171">
        <f t="shared" si="679"/>
        <v>0</v>
      </c>
      <c r="CT478" s="171">
        <f t="shared" si="680"/>
        <v>0</v>
      </c>
      <c r="CU478" s="171">
        <f t="shared" si="681"/>
        <v>0</v>
      </c>
      <c r="CV478" s="171">
        <f t="shared" si="682"/>
        <v>0</v>
      </c>
      <c r="CW478" s="171">
        <f t="shared" si="683"/>
        <v>0</v>
      </c>
      <c r="CX478" s="171">
        <f t="shared" si="684"/>
        <v>0</v>
      </c>
      <c r="CY478" s="171">
        <f t="shared" ca="1" si="685"/>
        <v>0</v>
      </c>
      <c r="CZ478" s="171">
        <f t="shared" ca="1" si="686"/>
        <v>0</v>
      </c>
      <c r="DA478" s="171">
        <f t="shared" ca="1" si="687"/>
        <v>0</v>
      </c>
      <c r="DB478" s="171">
        <f t="shared" ca="1" si="688"/>
        <v>0</v>
      </c>
      <c r="DC478" s="171">
        <f t="shared" ca="1" si="689"/>
        <v>0</v>
      </c>
      <c r="DD478" s="171">
        <f t="shared" ca="1" si="690"/>
        <v>0</v>
      </c>
      <c r="DE478" s="171">
        <f t="shared" ca="1" si="691"/>
        <v>0</v>
      </c>
      <c r="DF478" s="171">
        <f t="shared" ca="1" si="692"/>
        <v>0</v>
      </c>
      <c r="DG478" s="171">
        <f t="shared" ca="1" si="693"/>
        <v>0</v>
      </c>
      <c r="DH478" s="171">
        <f t="shared" ca="1" si="694"/>
        <v>0</v>
      </c>
      <c r="DI478" s="171">
        <f t="shared" ca="1" si="695"/>
        <v>0</v>
      </c>
      <c r="DJ478" s="171">
        <f t="shared" ca="1" si="696"/>
        <v>0</v>
      </c>
      <c r="DK478" s="171">
        <f t="shared" ca="1" si="697"/>
        <v>0</v>
      </c>
      <c r="DL478" s="171">
        <f t="shared" ca="1" si="698"/>
        <v>0</v>
      </c>
      <c r="DM478" s="171">
        <f t="shared" ca="1" si="699"/>
        <v>0</v>
      </c>
      <c r="DN478" s="171">
        <f t="shared" ca="1" si="700"/>
        <v>0</v>
      </c>
      <c r="DO478" s="171">
        <f t="shared" ca="1" si="701"/>
        <v>0</v>
      </c>
      <c r="DP478" s="171">
        <f t="shared" ca="1" si="702"/>
        <v>0</v>
      </c>
      <c r="DQ478" s="171">
        <f t="shared" ca="1" si="703"/>
        <v>0</v>
      </c>
      <c r="DR478" s="171">
        <f t="shared" ca="1" si="704"/>
        <v>0</v>
      </c>
      <c r="DS478" s="171">
        <f t="shared" ca="1" si="705"/>
        <v>0</v>
      </c>
      <c r="DT478" s="171">
        <f t="shared" ca="1" si="706"/>
        <v>0</v>
      </c>
      <c r="DU478" s="171">
        <f t="shared" ca="1" si="707"/>
        <v>0</v>
      </c>
      <c r="DV478" s="171">
        <f t="shared" ca="1" si="708"/>
        <v>0</v>
      </c>
      <c r="DW478" s="171">
        <f t="shared" ca="1" si="709"/>
        <v>0</v>
      </c>
      <c r="DX478" s="171">
        <f t="shared" ca="1" si="710"/>
        <v>0</v>
      </c>
      <c r="DY478" s="171">
        <f t="shared" ca="1" si="711"/>
        <v>0</v>
      </c>
      <c r="DZ478" s="171">
        <f t="shared" ca="1" si="712"/>
        <v>0</v>
      </c>
      <c r="EA478" s="171">
        <f t="shared" ca="1" si="713"/>
        <v>0</v>
      </c>
      <c r="EB478" s="171">
        <f t="shared" ca="1" si="714"/>
        <v>0</v>
      </c>
      <c r="EC478" s="171">
        <f t="shared" ca="1" si="715"/>
        <v>0</v>
      </c>
      <c r="ED478" s="171">
        <f t="shared" ca="1" si="716"/>
        <v>0</v>
      </c>
      <c r="EE478" s="171">
        <f t="shared" ca="1" si="717"/>
        <v>0</v>
      </c>
      <c r="EF478" s="171">
        <f t="shared" ca="1" si="718"/>
        <v>0</v>
      </c>
      <c r="EG478" s="171">
        <f t="shared" ca="1" si="719"/>
        <v>0</v>
      </c>
      <c r="EH478" s="171">
        <f t="shared" ca="1" si="720"/>
        <v>0</v>
      </c>
      <c r="EI478" s="171">
        <f t="shared" ca="1" si="721"/>
        <v>0</v>
      </c>
      <c r="EJ478" s="171">
        <f t="shared" ca="1" si="722"/>
        <v>0</v>
      </c>
      <c r="EK478" s="171">
        <f t="shared" ca="1" si="723"/>
        <v>0</v>
      </c>
      <c r="EL478" s="171">
        <f t="shared" ca="1" si="724"/>
        <v>0</v>
      </c>
      <c r="EM478" s="171">
        <f t="shared" ca="1" si="725"/>
        <v>0</v>
      </c>
      <c r="EN478" s="171">
        <f t="shared" ca="1" si="726"/>
        <v>0</v>
      </c>
      <c r="EO478" s="171">
        <f t="shared" ca="1" si="727"/>
        <v>0</v>
      </c>
      <c r="EP478" s="171">
        <f t="shared" ca="1" si="728"/>
        <v>0</v>
      </c>
      <c r="EQ478" s="171">
        <f t="shared" ca="1" si="729"/>
        <v>0</v>
      </c>
      <c r="ER478" s="171">
        <f t="shared" ca="1" si="730"/>
        <v>0</v>
      </c>
      <c r="ES478" s="171">
        <f t="shared" ca="1" si="731"/>
        <v>0</v>
      </c>
    </row>
    <row r="479" spans="3:149">
      <c r="C479" s="214"/>
      <c r="L479" s="163"/>
      <c r="M479" s="164" t="str">
        <f t="shared" si="662"/>
        <v/>
      </c>
      <c r="N479" s="164" t="str">
        <f t="shared" si="663"/>
        <v/>
      </c>
      <c r="O479" s="165" t="str">
        <f t="shared" si="664"/>
        <v/>
      </c>
      <c r="R479" s="168" t="str">
        <f t="shared" si="751"/>
        <v/>
      </c>
      <c r="U479" s="171">
        <f t="shared" si="665"/>
        <v>0</v>
      </c>
      <c r="V479" s="171">
        <f t="shared" ca="1" si="666"/>
        <v>0</v>
      </c>
      <c r="W479" s="171">
        <f t="shared" ca="1" si="667"/>
        <v>0</v>
      </c>
      <c r="X479" s="172">
        <f t="shared" si="668"/>
        <v>0</v>
      </c>
      <c r="Y479" s="172" t="str">
        <f t="shared" si="669"/>
        <v/>
      </c>
      <c r="Z479" s="173">
        <f t="shared" si="670"/>
        <v>0</v>
      </c>
      <c r="AA479" s="171">
        <f t="shared" ref="AA479:AJ488" si="758">IFERROR(
    IF($T479="Equity",
        IF(AND(AA$48&gt;=$E479, AA$48&lt;=($E479+$Q479)),
$K479*$P479*(VLOOKUP($C$39,$C$37:$BL$44,MATCH($E479,$C$37:$BL$37,0),FALSE)/VLOOKUP($L479,$C$37:$BL$44,MATCH($E479,$C$37:$BL$37,0),FALSE))*
IF($B$5="Foreign Currency",VLOOKUP($C$38,$C$37:$BL$44,MATCH(AA$48,$C$37:$BL$37,0),FALSE)/VLOOKUP($C$39,$C$37:$BL$44,MATCH(AA$48,$C$37:$BL$37,0),FALSE),1),
0),
    IF($T479="Lump Sum Principal",
        IF(AND(AA$48&gt;=$E479, AA$48&lt;($E479+$Q479)),
$K479*$P479*(VLOOKUP($C$39,$C$37:$BL$44,MATCH($E479,$C$37:$BL$37,0),FALSE)/VLOOKUP($L479,$C$37:$BL$44,MATCH($E479,$C$37:$BL$37,0),FALSE))*
IF($B$5="Foreign Currency",VLOOKUP($C$38,$C$37:$BL$44,MATCH(AA$48,$C$37:$BL$37,0),FALSE)/VLOOKUP($C$39,$C$37:$BL$44,MATCH(AA$48,$C$37:$BL$37,0),FALSE),1),
        IF(AA$48=($E479+$Q479),
$K479*(1+$P479)*(VLOOKUP($C$39,$C$37:$BL$44,MATCH($E479,$C$37:$BL$37,0),FALSE)/VLOOKUP($L479,$C$37:$BL$44,MATCH($E479,$C$37:$BL$37,0),FALSE))*
IF($B$5="Foreign Currency",VLOOKUP($C$38,$C$37:$BL$44,MATCH(AA$48,$C$37:$BL$37,0),FALSE)/VLOOKUP($C$39,$C$37:$BL$44,MATCH(AA$48,$C$37:$BL$37,0),FALSE),1),
0)),
    IF($T479="Lump Sum Principal and Interest",
        IF(AA$48=($E479+$Q479),
$K479*((1+$P479)^$Q479)*(VLOOKUP($C$39,$C$37:$BL$44,MATCH($E479,$C$37:$BL$37,0),FALSE)/VLOOKUP($L479,$C$37:$BL$44,MATCH($E479,$C$37:$BL$37,0),FALSE))*
IF($B$5="Foreign Currency",VLOOKUP($C$38,$C$37:$BL$44,MATCH(AA$48,$C$37:$BL$37,0),FALSE)/VLOOKUP($C$39,$C$37:$BL$44,MATCH(AA$48,$C$37:$BL$37,0),FALSE),1),
0),
    IF($T479="EPP with Grace Years for Principal",
        IF(AND(AA$48&gt;=$E479, AA$48&lt;($E479+$S479)),
$K479*$P479*(VLOOKUP($C$39,$C$37:$BL$44,MATCH($E479,$C$37:$BL$37,0),FALSE)/VLOOKUP($L479,$C$37:$BL$44,MATCH($E479,$C$37:$BL$37,0),FALSE))*
IF($B$5="Foreign Currency",VLOOKUP($C$38,$C$37:$BL$44,MATCH(AA$48,$C$37:$BL$37,0),FALSE)/VLOOKUP($C$39,$C$37:$BL$44,MATCH(AA$48,$C$37:$BL$37,0),FALSE),1),
        IF(AND(AA$48&gt;=($E479+$S479), AA$48&lt;=($E479+$Q479)),
-PMT($P479,($Q479-$S479+1),($K479*(VLOOKUP($C$39,$C$37:$BL$44,MATCH($E479,$C$37:$BL$37,0),FALSE)/VLOOKUP($L479,$C$37:$BL$44,MATCH($E479,$C$37:$BL$37,0),FALSE))*
IF($B$5="Foreign Currency",VLOOKUP($C$38,$C$37:$BL$44,MATCH(AA$48,$C$37:$BL$37,0),FALSE)/VLOOKUP($C$39,$C$37:$BL$44,MATCH(AA$48,$C$37:$BL$37,0),FALSE),1)),0),
0)),
    IF($T479="Equal Principal Payments (EPP)",
        IF(AND(AA$48&gt;=$E479, AA$48&lt;=($E479+$Q479)),
-PMT($P479,($Q479-$S479+1),($K479*(VLOOKUP($C$39,$C$37:$BL$44,MATCH($E479,$C$37:$BL$37,0),FALSE)/VLOOKUP($L479,$C$37:$BL$44,MATCH($E479,$C$37:$BL$37,0),FALSE))*
IF($B$5="Foreign Currency",VLOOKUP($C$38,$C$37:$BL$44,MATCH(AA$48,$C$37:$BL$37,0),FALSE)/VLOOKUP($C$39,$C$37:$BL$44,MATCH(AA$48,$C$37:$BL$37,0),FALSE),1)),0), 0),
    IF($T479="EPP with Grace Years for Principal and on Interest",
        IF(AND(AA$48&gt;=($E479+$S479), AA$48&lt;=($E479+$Q479)),
-PMT($P479,($Q479-$S479+1),($K479*(VLOOKUP($C$39,$C$37:$BL$44,MATCH($E479,$C$37:$BL$37,0),FALSE)/VLOOKUP($L479,$C$37:$BL$44,MATCH($E479,$C$37:$BL$37,0),FALSE))*
IF($B$5="Foreign Currency",VLOOKUP($C$38,$C$37:$BL$44,MATCH(AA$48,$C$37:$BL$37,0),FALSE)/VLOOKUP($C$39,$C$37:$BL$44,MATCH(AA$48,$C$37:$BL$37,0),FALSE),1))*((1+$P479)^$S479),0), 0),
    0)))))),"")</f>
        <v>0</v>
      </c>
      <c r="AB479" s="171">
        <f t="shared" si="758"/>
        <v>0</v>
      </c>
      <c r="AC479" s="171">
        <f t="shared" si="758"/>
        <v>0</v>
      </c>
      <c r="AD479" s="171">
        <f t="shared" si="758"/>
        <v>0</v>
      </c>
      <c r="AE479" s="171">
        <f t="shared" si="758"/>
        <v>0</v>
      </c>
      <c r="AF479" s="171">
        <f t="shared" si="758"/>
        <v>0</v>
      </c>
      <c r="AG479" s="171">
        <f t="shared" si="758"/>
        <v>0</v>
      </c>
      <c r="AH479" s="171">
        <f t="shared" si="758"/>
        <v>0</v>
      </c>
      <c r="AI479" s="171">
        <f t="shared" si="758"/>
        <v>0</v>
      </c>
      <c r="AJ479" s="171">
        <f t="shared" si="758"/>
        <v>0</v>
      </c>
      <c r="AK479" s="171">
        <f t="shared" ref="AK479:AT488" si="759">IFERROR(
    IF($T479="Equity",
        IF(AND(AK$48&gt;=$E479, AK$48&lt;=($E479+$Q479)),
$K479*$P479*(VLOOKUP($C$39,$C$37:$BL$44,MATCH($E479,$C$37:$BL$37,0),FALSE)/VLOOKUP($L479,$C$37:$BL$44,MATCH($E479,$C$37:$BL$37,0),FALSE))*
IF($B$5="Foreign Currency",VLOOKUP($C$38,$C$37:$BL$44,MATCH(AK$48,$C$37:$BL$37,0),FALSE)/VLOOKUP($C$39,$C$37:$BL$44,MATCH(AK$48,$C$37:$BL$37,0),FALSE),1),
0),
    IF($T479="Lump Sum Principal",
        IF(AND(AK$48&gt;=$E479, AK$48&lt;($E479+$Q479)),
$K479*$P479*(VLOOKUP($C$39,$C$37:$BL$44,MATCH($E479,$C$37:$BL$37,0),FALSE)/VLOOKUP($L479,$C$37:$BL$44,MATCH($E479,$C$37:$BL$37,0),FALSE))*
IF($B$5="Foreign Currency",VLOOKUP($C$38,$C$37:$BL$44,MATCH(AK$48,$C$37:$BL$37,0),FALSE)/VLOOKUP($C$39,$C$37:$BL$44,MATCH(AK$48,$C$37:$BL$37,0),FALSE),1),
        IF(AK$48=($E479+$Q479),
$K479*(1+$P479)*(VLOOKUP($C$39,$C$37:$BL$44,MATCH($E479,$C$37:$BL$37,0),FALSE)/VLOOKUP($L479,$C$37:$BL$44,MATCH($E479,$C$37:$BL$37,0),FALSE))*
IF($B$5="Foreign Currency",VLOOKUP($C$38,$C$37:$BL$44,MATCH(AK$48,$C$37:$BL$37,0),FALSE)/VLOOKUP($C$39,$C$37:$BL$44,MATCH(AK$48,$C$37:$BL$37,0),FALSE),1),
0)),
    IF($T479="Lump Sum Principal and Interest",
        IF(AK$48=($E479+$Q479),
$K479*((1+$P479)^$Q479)*(VLOOKUP($C$39,$C$37:$BL$44,MATCH($E479,$C$37:$BL$37,0),FALSE)/VLOOKUP($L479,$C$37:$BL$44,MATCH($E479,$C$37:$BL$37,0),FALSE))*
IF($B$5="Foreign Currency",VLOOKUP($C$38,$C$37:$BL$44,MATCH(AK$48,$C$37:$BL$37,0),FALSE)/VLOOKUP($C$39,$C$37:$BL$44,MATCH(AK$48,$C$37:$BL$37,0),FALSE),1),
0),
    IF($T479="EPP with Grace Years for Principal",
        IF(AND(AK$48&gt;=$E479, AK$48&lt;($E479+$S479)),
$K479*$P479*(VLOOKUP($C$39,$C$37:$BL$44,MATCH($E479,$C$37:$BL$37,0),FALSE)/VLOOKUP($L479,$C$37:$BL$44,MATCH($E479,$C$37:$BL$37,0),FALSE))*
IF($B$5="Foreign Currency",VLOOKUP($C$38,$C$37:$BL$44,MATCH(AK$48,$C$37:$BL$37,0),FALSE)/VLOOKUP($C$39,$C$37:$BL$44,MATCH(AK$48,$C$37:$BL$37,0),FALSE),1),
        IF(AND(AK$48&gt;=($E479+$S479), AK$48&lt;=($E479+$Q479)),
-PMT($P479,($Q479-$S479+1),($K479*(VLOOKUP($C$39,$C$37:$BL$44,MATCH($E479,$C$37:$BL$37,0),FALSE)/VLOOKUP($L479,$C$37:$BL$44,MATCH($E479,$C$37:$BL$37,0),FALSE))*
IF($B$5="Foreign Currency",VLOOKUP($C$38,$C$37:$BL$44,MATCH(AK$48,$C$37:$BL$37,0),FALSE)/VLOOKUP($C$39,$C$37:$BL$44,MATCH(AK$48,$C$37:$BL$37,0),FALSE),1)),0),
0)),
    IF($T479="Equal Principal Payments (EPP)",
        IF(AND(AK$48&gt;=$E479, AK$48&lt;=($E479+$Q479)),
-PMT($P479,($Q479-$S479+1),($K479*(VLOOKUP($C$39,$C$37:$BL$44,MATCH($E479,$C$37:$BL$37,0),FALSE)/VLOOKUP($L479,$C$37:$BL$44,MATCH($E479,$C$37:$BL$37,0),FALSE))*
IF($B$5="Foreign Currency",VLOOKUP($C$38,$C$37:$BL$44,MATCH(AK$48,$C$37:$BL$37,0),FALSE)/VLOOKUP($C$39,$C$37:$BL$44,MATCH(AK$48,$C$37:$BL$37,0),FALSE),1)),0), 0),
    IF($T479="EPP with Grace Years for Principal and on Interest",
        IF(AND(AK$48&gt;=($E479+$S479), AK$48&lt;=($E479+$Q479)),
-PMT($P479,($Q479-$S479+1),($K479*(VLOOKUP($C$39,$C$37:$BL$44,MATCH($E479,$C$37:$BL$37,0),FALSE)/VLOOKUP($L479,$C$37:$BL$44,MATCH($E479,$C$37:$BL$37,0),FALSE))*
IF($B$5="Foreign Currency",VLOOKUP($C$38,$C$37:$BL$44,MATCH(AK$48,$C$37:$BL$37,0),FALSE)/VLOOKUP($C$39,$C$37:$BL$44,MATCH(AK$48,$C$37:$BL$37,0),FALSE),1))*((1+$P479)^$S479),0), 0),
    0)))))),"")</f>
        <v>0</v>
      </c>
      <c r="AL479" s="171">
        <f t="shared" si="759"/>
        <v>0</v>
      </c>
      <c r="AM479" s="171">
        <f t="shared" si="759"/>
        <v>0</v>
      </c>
      <c r="AN479" s="171">
        <f t="shared" si="759"/>
        <v>0</v>
      </c>
      <c r="AO479" s="171">
        <f t="shared" si="759"/>
        <v>0</v>
      </c>
      <c r="AP479" s="171">
        <f t="shared" si="759"/>
        <v>0</v>
      </c>
      <c r="AQ479" s="171">
        <f t="shared" si="759"/>
        <v>0</v>
      </c>
      <c r="AR479" s="171">
        <f t="shared" si="759"/>
        <v>0</v>
      </c>
      <c r="AS479" s="171">
        <f t="shared" si="759"/>
        <v>0</v>
      </c>
      <c r="AT479" s="171">
        <f t="shared" si="759"/>
        <v>0</v>
      </c>
      <c r="AU479" s="171">
        <f t="shared" ref="AU479:BD488" si="760">IFERROR(
    IF($T479="Equity",
        IF(AND(AU$48&gt;=$E479, AU$48&lt;=($E479+$Q479)),
$K479*$P479*(VLOOKUP($C$39,$C$37:$BL$44,MATCH($E479,$C$37:$BL$37,0),FALSE)/VLOOKUP($L479,$C$37:$BL$44,MATCH($E479,$C$37:$BL$37,0),FALSE))*
IF($B$5="Foreign Currency",VLOOKUP($C$38,$C$37:$BL$44,MATCH(AU$48,$C$37:$BL$37,0),FALSE)/VLOOKUP($C$39,$C$37:$BL$44,MATCH(AU$48,$C$37:$BL$37,0),FALSE),1),
0),
    IF($T479="Lump Sum Principal",
        IF(AND(AU$48&gt;=$E479, AU$48&lt;($E479+$Q479)),
$K479*$P479*(VLOOKUP($C$39,$C$37:$BL$44,MATCH($E479,$C$37:$BL$37,0),FALSE)/VLOOKUP($L479,$C$37:$BL$44,MATCH($E479,$C$37:$BL$37,0),FALSE))*
IF($B$5="Foreign Currency",VLOOKUP($C$38,$C$37:$BL$44,MATCH(AU$48,$C$37:$BL$37,0),FALSE)/VLOOKUP($C$39,$C$37:$BL$44,MATCH(AU$48,$C$37:$BL$37,0),FALSE),1),
        IF(AU$48=($E479+$Q479),
$K479*(1+$P479)*(VLOOKUP($C$39,$C$37:$BL$44,MATCH($E479,$C$37:$BL$37,0),FALSE)/VLOOKUP($L479,$C$37:$BL$44,MATCH($E479,$C$37:$BL$37,0),FALSE))*
IF($B$5="Foreign Currency",VLOOKUP($C$38,$C$37:$BL$44,MATCH(AU$48,$C$37:$BL$37,0),FALSE)/VLOOKUP($C$39,$C$37:$BL$44,MATCH(AU$48,$C$37:$BL$37,0),FALSE),1),
0)),
    IF($T479="Lump Sum Principal and Interest",
        IF(AU$48=($E479+$Q479),
$K479*((1+$P479)^$Q479)*(VLOOKUP($C$39,$C$37:$BL$44,MATCH($E479,$C$37:$BL$37,0),FALSE)/VLOOKUP($L479,$C$37:$BL$44,MATCH($E479,$C$37:$BL$37,0),FALSE))*
IF($B$5="Foreign Currency",VLOOKUP($C$38,$C$37:$BL$44,MATCH(AU$48,$C$37:$BL$37,0),FALSE)/VLOOKUP($C$39,$C$37:$BL$44,MATCH(AU$48,$C$37:$BL$37,0),FALSE),1),
0),
    IF($T479="EPP with Grace Years for Principal",
        IF(AND(AU$48&gt;=$E479, AU$48&lt;($E479+$S479)),
$K479*$P479*(VLOOKUP($C$39,$C$37:$BL$44,MATCH($E479,$C$37:$BL$37,0),FALSE)/VLOOKUP($L479,$C$37:$BL$44,MATCH($E479,$C$37:$BL$37,0),FALSE))*
IF($B$5="Foreign Currency",VLOOKUP($C$38,$C$37:$BL$44,MATCH(AU$48,$C$37:$BL$37,0),FALSE)/VLOOKUP($C$39,$C$37:$BL$44,MATCH(AU$48,$C$37:$BL$37,0),FALSE),1),
        IF(AND(AU$48&gt;=($E479+$S479), AU$48&lt;=($E479+$Q479)),
-PMT($P479,($Q479-$S479+1),($K479*(VLOOKUP($C$39,$C$37:$BL$44,MATCH($E479,$C$37:$BL$37,0),FALSE)/VLOOKUP($L479,$C$37:$BL$44,MATCH($E479,$C$37:$BL$37,0),FALSE))*
IF($B$5="Foreign Currency",VLOOKUP($C$38,$C$37:$BL$44,MATCH(AU$48,$C$37:$BL$37,0),FALSE)/VLOOKUP($C$39,$C$37:$BL$44,MATCH(AU$48,$C$37:$BL$37,0),FALSE),1)),0),
0)),
    IF($T479="Equal Principal Payments (EPP)",
        IF(AND(AU$48&gt;=$E479, AU$48&lt;=($E479+$Q479)),
-PMT($P479,($Q479-$S479+1),($K479*(VLOOKUP($C$39,$C$37:$BL$44,MATCH($E479,$C$37:$BL$37,0),FALSE)/VLOOKUP($L479,$C$37:$BL$44,MATCH($E479,$C$37:$BL$37,0),FALSE))*
IF($B$5="Foreign Currency",VLOOKUP($C$38,$C$37:$BL$44,MATCH(AU$48,$C$37:$BL$37,0),FALSE)/VLOOKUP($C$39,$C$37:$BL$44,MATCH(AU$48,$C$37:$BL$37,0),FALSE),1)),0), 0),
    IF($T479="EPP with Grace Years for Principal and on Interest",
        IF(AND(AU$48&gt;=($E479+$S479), AU$48&lt;=($E479+$Q479)),
-PMT($P479,($Q479-$S479+1),($K479*(VLOOKUP($C$39,$C$37:$BL$44,MATCH($E479,$C$37:$BL$37,0),FALSE)/VLOOKUP($L479,$C$37:$BL$44,MATCH($E479,$C$37:$BL$37,0),FALSE))*
IF($B$5="Foreign Currency",VLOOKUP($C$38,$C$37:$BL$44,MATCH(AU$48,$C$37:$BL$37,0),FALSE)/VLOOKUP($C$39,$C$37:$BL$44,MATCH(AU$48,$C$37:$BL$37,0),FALSE),1))*((1+$P479)^$S479),0), 0),
    0)))))),"")</f>
        <v>0</v>
      </c>
      <c r="AV479" s="171">
        <f t="shared" si="760"/>
        <v>0</v>
      </c>
      <c r="AW479" s="171">
        <f t="shared" si="760"/>
        <v>0</v>
      </c>
      <c r="AX479" s="171">
        <f t="shared" si="760"/>
        <v>0</v>
      </c>
      <c r="AY479" s="171">
        <f t="shared" si="760"/>
        <v>0</v>
      </c>
      <c r="AZ479" s="171">
        <f t="shared" si="760"/>
        <v>0</v>
      </c>
      <c r="BA479" s="171">
        <f t="shared" si="760"/>
        <v>0</v>
      </c>
      <c r="BB479" s="171">
        <f t="shared" si="760"/>
        <v>0</v>
      </c>
      <c r="BC479" s="171">
        <f t="shared" si="760"/>
        <v>0</v>
      </c>
      <c r="BD479" s="171">
        <f t="shared" si="760"/>
        <v>0</v>
      </c>
      <c r="BE479" s="171">
        <f t="shared" ref="BE479:BN488" si="761">IFERROR(
    IF($T479="Equity",
        IF(AND(BE$48&gt;=$E479, BE$48&lt;=($E479+$Q479)),
$K479*$P479*(VLOOKUP($C$39,$C$37:$BL$44,MATCH($E479,$C$37:$BL$37,0),FALSE)/VLOOKUP($L479,$C$37:$BL$44,MATCH($E479,$C$37:$BL$37,0),FALSE))*
IF($B$5="Foreign Currency",VLOOKUP($C$38,$C$37:$BL$44,MATCH(BE$48,$C$37:$BL$37,0),FALSE)/VLOOKUP($C$39,$C$37:$BL$44,MATCH(BE$48,$C$37:$BL$37,0),FALSE),1),
0),
    IF($T479="Lump Sum Principal",
        IF(AND(BE$48&gt;=$E479, BE$48&lt;($E479+$Q479)),
$K479*$P479*(VLOOKUP($C$39,$C$37:$BL$44,MATCH($E479,$C$37:$BL$37,0),FALSE)/VLOOKUP($L479,$C$37:$BL$44,MATCH($E479,$C$37:$BL$37,0),FALSE))*
IF($B$5="Foreign Currency",VLOOKUP($C$38,$C$37:$BL$44,MATCH(BE$48,$C$37:$BL$37,0),FALSE)/VLOOKUP($C$39,$C$37:$BL$44,MATCH(BE$48,$C$37:$BL$37,0),FALSE),1),
        IF(BE$48=($E479+$Q479),
$K479*(1+$P479)*(VLOOKUP($C$39,$C$37:$BL$44,MATCH($E479,$C$37:$BL$37,0),FALSE)/VLOOKUP($L479,$C$37:$BL$44,MATCH($E479,$C$37:$BL$37,0),FALSE))*
IF($B$5="Foreign Currency",VLOOKUP($C$38,$C$37:$BL$44,MATCH(BE$48,$C$37:$BL$37,0),FALSE)/VLOOKUP($C$39,$C$37:$BL$44,MATCH(BE$48,$C$37:$BL$37,0),FALSE),1),
0)),
    IF($T479="Lump Sum Principal and Interest",
        IF(BE$48=($E479+$Q479),
$K479*((1+$P479)^$Q479)*(VLOOKUP($C$39,$C$37:$BL$44,MATCH($E479,$C$37:$BL$37,0),FALSE)/VLOOKUP($L479,$C$37:$BL$44,MATCH($E479,$C$37:$BL$37,0),FALSE))*
IF($B$5="Foreign Currency",VLOOKUP($C$38,$C$37:$BL$44,MATCH(BE$48,$C$37:$BL$37,0),FALSE)/VLOOKUP($C$39,$C$37:$BL$44,MATCH(BE$48,$C$37:$BL$37,0),FALSE),1),
0),
    IF($T479="EPP with Grace Years for Principal",
        IF(AND(BE$48&gt;=$E479, BE$48&lt;($E479+$S479)),
$K479*$P479*(VLOOKUP($C$39,$C$37:$BL$44,MATCH($E479,$C$37:$BL$37,0),FALSE)/VLOOKUP($L479,$C$37:$BL$44,MATCH($E479,$C$37:$BL$37,0),FALSE))*
IF($B$5="Foreign Currency",VLOOKUP($C$38,$C$37:$BL$44,MATCH(BE$48,$C$37:$BL$37,0),FALSE)/VLOOKUP($C$39,$C$37:$BL$44,MATCH(BE$48,$C$37:$BL$37,0),FALSE),1),
        IF(AND(BE$48&gt;=($E479+$S479), BE$48&lt;=($E479+$Q479)),
-PMT($P479,($Q479-$S479+1),($K479*(VLOOKUP($C$39,$C$37:$BL$44,MATCH($E479,$C$37:$BL$37,0),FALSE)/VLOOKUP($L479,$C$37:$BL$44,MATCH($E479,$C$37:$BL$37,0),FALSE))*
IF($B$5="Foreign Currency",VLOOKUP($C$38,$C$37:$BL$44,MATCH(BE$48,$C$37:$BL$37,0),FALSE)/VLOOKUP($C$39,$C$37:$BL$44,MATCH(BE$48,$C$37:$BL$37,0),FALSE),1)),0),
0)),
    IF($T479="Equal Principal Payments (EPP)",
        IF(AND(BE$48&gt;=$E479, BE$48&lt;=($E479+$Q479)),
-PMT($P479,($Q479-$S479+1),($K479*(VLOOKUP($C$39,$C$37:$BL$44,MATCH($E479,$C$37:$BL$37,0),FALSE)/VLOOKUP($L479,$C$37:$BL$44,MATCH($E479,$C$37:$BL$37,0),FALSE))*
IF($B$5="Foreign Currency",VLOOKUP($C$38,$C$37:$BL$44,MATCH(BE$48,$C$37:$BL$37,0),FALSE)/VLOOKUP($C$39,$C$37:$BL$44,MATCH(BE$48,$C$37:$BL$37,0),FALSE),1)),0), 0),
    IF($T479="EPP with Grace Years for Principal and on Interest",
        IF(AND(BE$48&gt;=($E479+$S479), BE$48&lt;=($E479+$Q479)),
-PMT($P479,($Q479-$S479+1),($K479*(VLOOKUP($C$39,$C$37:$BL$44,MATCH($E479,$C$37:$BL$37,0),FALSE)/VLOOKUP($L479,$C$37:$BL$44,MATCH($E479,$C$37:$BL$37,0),FALSE))*
IF($B$5="Foreign Currency",VLOOKUP($C$38,$C$37:$BL$44,MATCH(BE$48,$C$37:$BL$37,0),FALSE)/VLOOKUP($C$39,$C$37:$BL$44,MATCH(BE$48,$C$37:$BL$37,0),FALSE),1))*((1+$P479)^$S479),0), 0),
    0)))))),"")</f>
        <v>0</v>
      </c>
      <c r="BF479" s="171">
        <f t="shared" si="761"/>
        <v>0</v>
      </c>
      <c r="BG479" s="171">
        <f t="shared" si="761"/>
        <v>0</v>
      </c>
      <c r="BH479" s="171">
        <f t="shared" si="761"/>
        <v>0</v>
      </c>
      <c r="BI479" s="171">
        <f t="shared" si="761"/>
        <v>0</v>
      </c>
      <c r="BJ479" s="171">
        <f t="shared" si="761"/>
        <v>0</v>
      </c>
      <c r="BK479" s="171">
        <f t="shared" si="761"/>
        <v>0</v>
      </c>
      <c r="BL479" s="171">
        <f t="shared" si="761"/>
        <v>0</v>
      </c>
      <c r="BM479" s="171">
        <f t="shared" si="761"/>
        <v>0</v>
      </c>
      <c r="BN479" s="171">
        <f t="shared" si="761"/>
        <v>0</v>
      </c>
      <c r="BO479" s="171">
        <f t="shared" ref="BO479:BX488" si="762">IFERROR(
    IF($T479="Equity",
        IF(AND(BO$48&gt;=$E479, BO$48&lt;=($E479+$Q479)),
$K479*$P479*(VLOOKUP($C$39,$C$37:$BL$44,MATCH($E479,$C$37:$BL$37,0),FALSE)/VLOOKUP($L479,$C$37:$BL$44,MATCH($E479,$C$37:$BL$37,0),FALSE))*
IF($B$5="Foreign Currency",VLOOKUP($C$38,$C$37:$BL$44,MATCH(BO$48,$C$37:$BL$37,0),FALSE)/VLOOKUP($C$39,$C$37:$BL$44,MATCH(BO$48,$C$37:$BL$37,0),FALSE),1),
0),
    IF($T479="Lump Sum Principal",
        IF(AND(BO$48&gt;=$E479, BO$48&lt;($E479+$Q479)),
$K479*$P479*(VLOOKUP($C$39,$C$37:$BL$44,MATCH($E479,$C$37:$BL$37,0),FALSE)/VLOOKUP($L479,$C$37:$BL$44,MATCH($E479,$C$37:$BL$37,0),FALSE))*
IF($B$5="Foreign Currency",VLOOKUP($C$38,$C$37:$BL$44,MATCH(BO$48,$C$37:$BL$37,0),FALSE)/VLOOKUP($C$39,$C$37:$BL$44,MATCH(BO$48,$C$37:$BL$37,0),FALSE),1),
        IF(BO$48=($E479+$Q479),
$K479*(1+$P479)*(VLOOKUP($C$39,$C$37:$BL$44,MATCH($E479,$C$37:$BL$37,0),FALSE)/VLOOKUP($L479,$C$37:$BL$44,MATCH($E479,$C$37:$BL$37,0),FALSE))*
IF($B$5="Foreign Currency",VLOOKUP($C$38,$C$37:$BL$44,MATCH(BO$48,$C$37:$BL$37,0),FALSE)/VLOOKUP($C$39,$C$37:$BL$44,MATCH(BO$48,$C$37:$BL$37,0),FALSE),1),
0)),
    IF($T479="Lump Sum Principal and Interest",
        IF(BO$48=($E479+$Q479),
$K479*((1+$P479)^$Q479)*(VLOOKUP($C$39,$C$37:$BL$44,MATCH($E479,$C$37:$BL$37,0),FALSE)/VLOOKUP($L479,$C$37:$BL$44,MATCH($E479,$C$37:$BL$37,0),FALSE))*
IF($B$5="Foreign Currency",VLOOKUP($C$38,$C$37:$BL$44,MATCH(BO$48,$C$37:$BL$37,0),FALSE)/VLOOKUP($C$39,$C$37:$BL$44,MATCH(BO$48,$C$37:$BL$37,0),FALSE),1),
0),
    IF($T479="EPP with Grace Years for Principal",
        IF(AND(BO$48&gt;=$E479, BO$48&lt;($E479+$S479)),
$K479*$P479*(VLOOKUP($C$39,$C$37:$BL$44,MATCH($E479,$C$37:$BL$37,0),FALSE)/VLOOKUP($L479,$C$37:$BL$44,MATCH($E479,$C$37:$BL$37,0),FALSE))*
IF($B$5="Foreign Currency",VLOOKUP($C$38,$C$37:$BL$44,MATCH(BO$48,$C$37:$BL$37,0),FALSE)/VLOOKUP($C$39,$C$37:$BL$44,MATCH(BO$48,$C$37:$BL$37,0),FALSE),1),
        IF(AND(BO$48&gt;=($E479+$S479), BO$48&lt;=($E479+$Q479)),
-PMT($P479,($Q479-$S479+1),($K479*(VLOOKUP($C$39,$C$37:$BL$44,MATCH($E479,$C$37:$BL$37,0),FALSE)/VLOOKUP($L479,$C$37:$BL$44,MATCH($E479,$C$37:$BL$37,0),FALSE))*
IF($B$5="Foreign Currency",VLOOKUP($C$38,$C$37:$BL$44,MATCH(BO$48,$C$37:$BL$37,0),FALSE)/VLOOKUP($C$39,$C$37:$BL$44,MATCH(BO$48,$C$37:$BL$37,0),FALSE),1)),0),
0)),
    IF($T479="Equal Principal Payments (EPP)",
        IF(AND(BO$48&gt;=$E479, BO$48&lt;=($E479+$Q479)),
-PMT($P479,($Q479-$S479+1),($K479*(VLOOKUP($C$39,$C$37:$BL$44,MATCH($E479,$C$37:$BL$37,0),FALSE)/VLOOKUP($L479,$C$37:$BL$44,MATCH($E479,$C$37:$BL$37,0),FALSE))*
IF($B$5="Foreign Currency",VLOOKUP($C$38,$C$37:$BL$44,MATCH(BO$48,$C$37:$BL$37,0),FALSE)/VLOOKUP($C$39,$C$37:$BL$44,MATCH(BO$48,$C$37:$BL$37,0),FALSE),1)),0), 0),
    IF($T479="EPP with Grace Years for Principal and on Interest",
        IF(AND(BO$48&gt;=($E479+$S479), BO$48&lt;=($E479+$Q479)),
-PMT($P479,($Q479-$S479+1),($K479*(VLOOKUP($C$39,$C$37:$BL$44,MATCH($E479,$C$37:$BL$37,0),FALSE)/VLOOKUP($L479,$C$37:$BL$44,MATCH($E479,$C$37:$BL$37,0),FALSE))*
IF($B$5="Foreign Currency",VLOOKUP($C$38,$C$37:$BL$44,MATCH(BO$48,$C$37:$BL$37,0),FALSE)/VLOOKUP($C$39,$C$37:$BL$44,MATCH(BO$48,$C$37:$BL$37,0),FALSE),1))*((1+$P479)^$S479),0), 0),
    0)))))),"")</f>
        <v>0</v>
      </c>
      <c r="BP479" s="171">
        <f t="shared" si="762"/>
        <v>0</v>
      </c>
      <c r="BQ479" s="171">
        <f t="shared" si="762"/>
        <v>0</v>
      </c>
      <c r="BR479" s="171">
        <f t="shared" si="762"/>
        <v>0</v>
      </c>
      <c r="BS479" s="171">
        <f t="shared" si="762"/>
        <v>0</v>
      </c>
      <c r="BT479" s="171">
        <f t="shared" si="762"/>
        <v>0</v>
      </c>
      <c r="BU479" s="171">
        <f t="shared" si="762"/>
        <v>0</v>
      </c>
      <c r="BV479" s="171">
        <f t="shared" si="762"/>
        <v>0</v>
      </c>
      <c r="BW479" s="171">
        <f t="shared" si="762"/>
        <v>0</v>
      </c>
      <c r="BX479" s="171">
        <f t="shared" si="762"/>
        <v>0</v>
      </c>
      <c r="BY479" s="171">
        <f t="shared" ref="BY479:CI488" si="763">IFERROR(
    IF($T479="Equity",
        IF(AND(BY$48&gt;=$E479, BY$48&lt;=($E479+$Q479)),
$K479*$P479*(VLOOKUP($C$39,$C$37:$BL$44,MATCH($E479,$C$37:$BL$37,0),FALSE)/VLOOKUP($L479,$C$37:$BL$44,MATCH($E479,$C$37:$BL$37,0),FALSE))*
IF($B$5="Foreign Currency",VLOOKUP($C$38,$C$37:$BL$44,MATCH(BY$48,$C$37:$BL$37,0),FALSE)/VLOOKUP($C$39,$C$37:$BL$44,MATCH(BY$48,$C$37:$BL$37,0),FALSE),1),
0),
    IF($T479="Lump Sum Principal",
        IF(AND(BY$48&gt;=$E479, BY$48&lt;($E479+$Q479)),
$K479*$P479*(VLOOKUP($C$39,$C$37:$BL$44,MATCH($E479,$C$37:$BL$37,0),FALSE)/VLOOKUP($L479,$C$37:$BL$44,MATCH($E479,$C$37:$BL$37,0),FALSE))*
IF($B$5="Foreign Currency",VLOOKUP($C$38,$C$37:$BL$44,MATCH(BY$48,$C$37:$BL$37,0),FALSE)/VLOOKUP($C$39,$C$37:$BL$44,MATCH(BY$48,$C$37:$BL$37,0),FALSE),1),
        IF(BY$48=($E479+$Q479),
$K479*(1+$P479)*(VLOOKUP($C$39,$C$37:$BL$44,MATCH($E479,$C$37:$BL$37,0),FALSE)/VLOOKUP($L479,$C$37:$BL$44,MATCH($E479,$C$37:$BL$37,0),FALSE))*
IF($B$5="Foreign Currency",VLOOKUP($C$38,$C$37:$BL$44,MATCH(BY$48,$C$37:$BL$37,0),FALSE)/VLOOKUP($C$39,$C$37:$BL$44,MATCH(BY$48,$C$37:$BL$37,0),FALSE),1),
0)),
    IF($T479="Lump Sum Principal and Interest",
        IF(BY$48=($E479+$Q479),
$K479*((1+$P479)^$Q479)*(VLOOKUP($C$39,$C$37:$BL$44,MATCH($E479,$C$37:$BL$37,0),FALSE)/VLOOKUP($L479,$C$37:$BL$44,MATCH($E479,$C$37:$BL$37,0),FALSE))*
IF($B$5="Foreign Currency",VLOOKUP($C$38,$C$37:$BL$44,MATCH(BY$48,$C$37:$BL$37,0),FALSE)/VLOOKUP($C$39,$C$37:$BL$44,MATCH(BY$48,$C$37:$BL$37,0),FALSE),1),
0),
    IF($T479="EPP with Grace Years for Principal",
        IF(AND(BY$48&gt;=$E479, BY$48&lt;($E479+$S479)),
$K479*$P479*(VLOOKUP($C$39,$C$37:$BL$44,MATCH($E479,$C$37:$BL$37,0),FALSE)/VLOOKUP($L479,$C$37:$BL$44,MATCH($E479,$C$37:$BL$37,0),FALSE))*
IF($B$5="Foreign Currency",VLOOKUP($C$38,$C$37:$BL$44,MATCH(BY$48,$C$37:$BL$37,0),FALSE)/VLOOKUP($C$39,$C$37:$BL$44,MATCH(BY$48,$C$37:$BL$37,0),FALSE),1),
        IF(AND(BY$48&gt;=($E479+$S479), BY$48&lt;=($E479+$Q479)),
-PMT($P479,($Q479-$S479+1),($K479*(VLOOKUP($C$39,$C$37:$BL$44,MATCH($E479,$C$37:$BL$37,0),FALSE)/VLOOKUP($L479,$C$37:$BL$44,MATCH($E479,$C$37:$BL$37,0),FALSE))*
IF($B$5="Foreign Currency",VLOOKUP($C$38,$C$37:$BL$44,MATCH(BY$48,$C$37:$BL$37,0),FALSE)/VLOOKUP($C$39,$C$37:$BL$44,MATCH(BY$48,$C$37:$BL$37,0),FALSE),1)),0),
0)),
    IF($T479="Equal Principal Payments (EPP)",
        IF(AND(BY$48&gt;=$E479, BY$48&lt;=($E479+$Q479)),
-PMT($P479,($Q479-$S479+1),($K479*(VLOOKUP($C$39,$C$37:$BL$44,MATCH($E479,$C$37:$BL$37,0),FALSE)/VLOOKUP($L479,$C$37:$BL$44,MATCH($E479,$C$37:$BL$37,0),FALSE))*
IF($B$5="Foreign Currency",VLOOKUP($C$38,$C$37:$BL$44,MATCH(BY$48,$C$37:$BL$37,0),FALSE)/VLOOKUP($C$39,$C$37:$BL$44,MATCH(BY$48,$C$37:$BL$37,0),FALSE),1)),0), 0),
    IF($T479="EPP with Grace Years for Principal and on Interest",
        IF(AND(BY$48&gt;=($E479+$S479), BY$48&lt;=($E479+$Q479)),
-PMT($P479,($Q479-$S479+1),($K479*(VLOOKUP($C$39,$C$37:$BL$44,MATCH($E479,$C$37:$BL$37,0),FALSE)/VLOOKUP($L479,$C$37:$BL$44,MATCH($E479,$C$37:$BL$37,0),FALSE))*
IF($B$5="Foreign Currency",VLOOKUP($C$38,$C$37:$BL$44,MATCH(BY$48,$C$37:$BL$37,0),FALSE)/VLOOKUP($C$39,$C$37:$BL$44,MATCH(BY$48,$C$37:$BL$37,0),FALSE),1))*((1+$P479)^$S479),0), 0),
    0)))))),"")</f>
        <v>0</v>
      </c>
      <c r="BZ479" s="171">
        <f t="shared" si="763"/>
        <v>0</v>
      </c>
      <c r="CA479" s="171">
        <f t="shared" si="763"/>
        <v>0</v>
      </c>
      <c r="CB479" s="171">
        <f t="shared" si="763"/>
        <v>0</v>
      </c>
      <c r="CC479" s="171">
        <f t="shared" si="763"/>
        <v>0</v>
      </c>
      <c r="CD479" s="171">
        <f t="shared" si="763"/>
        <v>0</v>
      </c>
      <c r="CE479" s="171">
        <f t="shared" si="763"/>
        <v>0</v>
      </c>
      <c r="CF479" s="171">
        <f t="shared" si="763"/>
        <v>0</v>
      </c>
      <c r="CG479" s="171">
        <f t="shared" si="763"/>
        <v>0</v>
      </c>
      <c r="CH479" s="171">
        <f t="shared" si="763"/>
        <v>0</v>
      </c>
      <c r="CI479" s="171">
        <f t="shared" si="763"/>
        <v>0</v>
      </c>
      <c r="CJ479" s="243"/>
      <c r="CK479" s="171">
        <f t="shared" si="671"/>
        <v>0</v>
      </c>
      <c r="CL479" s="171">
        <f t="shared" si="672"/>
        <v>0</v>
      </c>
      <c r="CM479" s="171">
        <f t="shared" si="673"/>
        <v>0</v>
      </c>
      <c r="CN479" s="171">
        <f t="shared" si="674"/>
        <v>0</v>
      </c>
      <c r="CO479" s="171">
        <f t="shared" si="675"/>
        <v>0</v>
      </c>
      <c r="CP479" s="171">
        <f t="shared" si="676"/>
        <v>0</v>
      </c>
      <c r="CQ479" s="171">
        <f t="shared" si="677"/>
        <v>0</v>
      </c>
      <c r="CR479" s="171">
        <f t="shared" si="678"/>
        <v>0</v>
      </c>
      <c r="CS479" s="171">
        <f t="shared" si="679"/>
        <v>0</v>
      </c>
      <c r="CT479" s="171">
        <f t="shared" si="680"/>
        <v>0</v>
      </c>
      <c r="CU479" s="171">
        <f t="shared" si="681"/>
        <v>0</v>
      </c>
      <c r="CV479" s="171">
        <f t="shared" si="682"/>
        <v>0</v>
      </c>
      <c r="CW479" s="171">
        <f t="shared" si="683"/>
        <v>0</v>
      </c>
      <c r="CX479" s="171">
        <f t="shared" si="684"/>
        <v>0</v>
      </c>
      <c r="CY479" s="171">
        <f t="shared" ca="1" si="685"/>
        <v>0</v>
      </c>
      <c r="CZ479" s="171">
        <f t="shared" ca="1" si="686"/>
        <v>0</v>
      </c>
      <c r="DA479" s="171">
        <f t="shared" ca="1" si="687"/>
        <v>0</v>
      </c>
      <c r="DB479" s="171">
        <f t="shared" ca="1" si="688"/>
        <v>0</v>
      </c>
      <c r="DC479" s="171">
        <f t="shared" ca="1" si="689"/>
        <v>0</v>
      </c>
      <c r="DD479" s="171">
        <f t="shared" ca="1" si="690"/>
        <v>0</v>
      </c>
      <c r="DE479" s="171">
        <f t="shared" ca="1" si="691"/>
        <v>0</v>
      </c>
      <c r="DF479" s="171">
        <f t="shared" ca="1" si="692"/>
        <v>0</v>
      </c>
      <c r="DG479" s="171">
        <f t="shared" ca="1" si="693"/>
        <v>0</v>
      </c>
      <c r="DH479" s="171">
        <f t="shared" ca="1" si="694"/>
        <v>0</v>
      </c>
      <c r="DI479" s="171">
        <f t="shared" ca="1" si="695"/>
        <v>0</v>
      </c>
      <c r="DJ479" s="171">
        <f t="shared" ca="1" si="696"/>
        <v>0</v>
      </c>
      <c r="DK479" s="171">
        <f t="shared" ca="1" si="697"/>
        <v>0</v>
      </c>
      <c r="DL479" s="171">
        <f t="shared" ca="1" si="698"/>
        <v>0</v>
      </c>
      <c r="DM479" s="171">
        <f t="shared" ca="1" si="699"/>
        <v>0</v>
      </c>
      <c r="DN479" s="171">
        <f t="shared" ca="1" si="700"/>
        <v>0</v>
      </c>
      <c r="DO479" s="171">
        <f t="shared" ca="1" si="701"/>
        <v>0</v>
      </c>
      <c r="DP479" s="171">
        <f t="shared" ca="1" si="702"/>
        <v>0</v>
      </c>
      <c r="DQ479" s="171">
        <f t="shared" ca="1" si="703"/>
        <v>0</v>
      </c>
      <c r="DR479" s="171">
        <f t="shared" ca="1" si="704"/>
        <v>0</v>
      </c>
      <c r="DS479" s="171">
        <f t="shared" ca="1" si="705"/>
        <v>0</v>
      </c>
      <c r="DT479" s="171">
        <f t="shared" ca="1" si="706"/>
        <v>0</v>
      </c>
      <c r="DU479" s="171">
        <f t="shared" ca="1" si="707"/>
        <v>0</v>
      </c>
      <c r="DV479" s="171">
        <f t="shared" ca="1" si="708"/>
        <v>0</v>
      </c>
      <c r="DW479" s="171">
        <f t="shared" ca="1" si="709"/>
        <v>0</v>
      </c>
      <c r="DX479" s="171">
        <f t="shared" ca="1" si="710"/>
        <v>0</v>
      </c>
      <c r="DY479" s="171">
        <f t="shared" ca="1" si="711"/>
        <v>0</v>
      </c>
      <c r="DZ479" s="171">
        <f t="shared" ca="1" si="712"/>
        <v>0</v>
      </c>
      <c r="EA479" s="171">
        <f t="shared" ca="1" si="713"/>
        <v>0</v>
      </c>
      <c r="EB479" s="171">
        <f t="shared" ca="1" si="714"/>
        <v>0</v>
      </c>
      <c r="EC479" s="171">
        <f t="shared" ca="1" si="715"/>
        <v>0</v>
      </c>
      <c r="ED479" s="171">
        <f t="shared" ca="1" si="716"/>
        <v>0</v>
      </c>
      <c r="EE479" s="171">
        <f t="shared" ca="1" si="717"/>
        <v>0</v>
      </c>
      <c r="EF479" s="171">
        <f t="shared" ca="1" si="718"/>
        <v>0</v>
      </c>
      <c r="EG479" s="171">
        <f t="shared" ca="1" si="719"/>
        <v>0</v>
      </c>
      <c r="EH479" s="171">
        <f t="shared" ca="1" si="720"/>
        <v>0</v>
      </c>
      <c r="EI479" s="171">
        <f t="shared" ca="1" si="721"/>
        <v>0</v>
      </c>
      <c r="EJ479" s="171">
        <f t="shared" ca="1" si="722"/>
        <v>0</v>
      </c>
      <c r="EK479" s="171">
        <f t="shared" ca="1" si="723"/>
        <v>0</v>
      </c>
      <c r="EL479" s="171">
        <f t="shared" ca="1" si="724"/>
        <v>0</v>
      </c>
      <c r="EM479" s="171">
        <f t="shared" ca="1" si="725"/>
        <v>0</v>
      </c>
      <c r="EN479" s="171">
        <f t="shared" ca="1" si="726"/>
        <v>0</v>
      </c>
      <c r="EO479" s="171">
        <f t="shared" ca="1" si="727"/>
        <v>0</v>
      </c>
      <c r="EP479" s="171">
        <f t="shared" ca="1" si="728"/>
        <v>0</v>
      </c>
      <c r="EQ479" s="171">
        <f t="shared" ca="1" si="729"/>
        <v>0</v>
      </c>
      <c r="ER479" s="171">
        <f t="shared" ca="1" si="730"/>
        <v>0</v>
      </c>
      <c r="ES479" s="171">
        <f t="shared" ca="1" si="731"/>
        <v>0</v>
      </c>
    </row>
    <row r="480" spans="3:149">
      <c r="C480" s="157"/>
      <c r="L480" s="163"/>
      <c r="M480" s="164" t="str">
        <f t="shared" si="662"/>
        <v/>
      </c>
      <c r="N480" s="164" t="str">
        <f t="shared" si="663"/>
        <v/>
      </c>
      <c r="O480" s="165" t="str">
        <f t="shared" si="664"/>
        <v/>
      </c>
      <c r="R480" s="168" t="str">
        <f t="shared" si="751"/>
        <v/>
      </c>
      <c r="U480" s="171">
        <f t="shared" si="665"/>
        <v>0</v>
      </c>
      <c r="V480" s="171">
        <f t="shared" ca="1" si="666"/>
        <v>0</v>
      </c>
      <c r="W480" s="171">
        <f t="shared" ca="1" si="667"/>
        <v>0</v>
      </c>
      <c r="X480" s="172">
        <f t="shared" si="668"/>
        <v>0</v>
      </c>
      <c r="Y480" s="172" t="str">
        <f t="shared" si="669"/>
        <v/>
      </c>
      <c r="Z480" s="173">
        <f t="shared" si="670"/>
        <v>0</v>
      </c>
      <c r="AA480" s="171">
        <f t="shared" si="758"/>
        <v>0</v>
      </c>
      <c r="AB480" s="171">
        <f t="shared" si="758"/>
        <v>0</v>
      </c>
      <c r="AC480" s="171">
        <f t="shared" si="758"/>
        <v>0</v>
      </c>
      <c r="AD480" s="171">
        <f t="shared" si="758"/>
        <v>0</v>
      </c>
      <c r="AE480" s="171">
        <f t="shared" si="758"/>
        <v>0</v>
      </c>
      <c r="AF480" s="171">
        <f t="shared" si="758"/>
        <v>0</v>
      </c>
      <c r="AG480" s="171">
        <f t="shared" si="758"/>
        <v>0</v>
      </c>
      <c r="AH480" s="171">
        <f t="shared" si="758"/>
        <v>0</v>
      </c>
      <c r="AI480" s="171">
        <f t="shared" si="758"/>
        <v>0</v>
      </c>
      <c r="AJ480" s="171">
        <f t="shared" si="758"/>
        <v>0</v>
      </c>
      <c r="AK480" s="171">
        <f t="shared" si="759"/>
        <v>0</v>
      </c>
      <c r="AL480" s="171">
        <f t="shared" si="759"/>
        <v>0</v>
      </c>
      <c r="AM480" s="171">
        <f t="shared" si="759"/>
        <v>0</v>
      </c>
      <c r="AN480" s="171">
        <f t="shared" si="759"/>
        <v>0</v>
      </c>
      <c r="AO480" s="171">
        <f t="shared" si="759"/>
        <v>0</v>
      </c>
      <c r="AP480" s="171">
        <f t="shared" si="759"/>
        <v>0</v>
      </c>
      <c r="AQ480" s="171">
        <f t="shared" si="759"/>
        <v>0</v>
      </c>
      <c r="AR480" s="171">
        <f t="shared" si="759"/>
        <v>0</v>
      </c>
      <c r="AS480" s="171">
        <f t="shared" si="759"/>
        <v>0</v>
      </c>
      <c r="AT480" s="171">
        <f t="shared" si="759"/>
        <v>0</v>
      </c>
      <c r="AU480" s="171">
        <f t="shared" si="760"/>
        <v>0</v>
      </c>
      <c r="AV480" s="171">
        <f t="shared" si="760"/>
        <v>0</v>
      </c>
      <c r="AW480" s="171">
        <f t="shared" si="760"/>
        <v>0</v>
      </c>
      <c r="AX480" s="171">
        <f t="shared" si="760"/>
        <v>0</v>
      </c>
      <c r="AY480" s="171">
        <f t="shared" si="760"/>
        <v>0</v>
      </c>
      <c r="AZ480" s="171">
        <f t="shared" si="760"/>
        <v>0</v>
      </c>
      <c r="BA480" s="171">
        <f t="shared" si="760"/>
        <v>0</v>
      </c>
      <c r="BB480" s="171">
        <f t="shared" si="760"/>
        <v>0</v>
      </c>
      <c r="BC480" s="171">
        <f t="shared" si="760"/>
        <v>0</v>
      </c>
      <c r="BD480" s="171">
        <f t="shared" si="760"/>
        <v>0</v>
      </c>
      <c r="BE480" s="171">
        <f t="shared" si="761"/>
        <v>0</v>
      </c>
      <c r="BF480" s="171">
        <f t="shared" si="761"/>
        <v>0</v>
      </c>
      <c r="BG480" s="171">
        <f t="shared" si="761"/>
        <v>0</v>
      </c>
      <c r="BH480" s="171">
        <f t="shared" si="761"/>
        <v>0</v>
      </c>
      <c r="BI480" s="171">
        <f t="shared" si="761"/>
        <v>0</v>
      </c>
      <c r="BJ480" s="171">
        <f t="shared" si="761"/>
        <v>0</v>
      </c>
      <c r="BK480" s="171">
        <f t="shared" si="761"/>
        <v>0</v>
      </c>
      <c r="BL480" s="171">
        <f t="shared" si="761"/>
        <v>0</v>
      </c>
      <c r="BM480" s="171">
        <f t="shared" si="761"/>
        <v>0</v>
      </c>
      <c r="BN480" s="171">
        <f t="shared" si="761"/>
        <v>0</v>
      </c>
      <c r="BO480" s="171">
        <f t="shared" si="762"/>
        <v>0</v>
      </c>
      <c r="BP480" s="171">
        <f t="shared" si="762"/>
        <v>0</v>
      </c>
      <c r="BQ480" s="171">
        <f t="shared" si="762"/>
        <v>0</v>
      </c>
      <c r="BR480" s="171">
        <f t="shared" si="762"/>
        <v>0</v>
      </c>
      <c r="BS480" s="171">
        <f t="shared" si="762"/>
        <v>0</v>
      </c>
      <c r="BT480" s="171">
        <f t="shared" si="762"/>
        <v>0</v>
      </c>
      <c r="BU480" s="171">
        <f t="shared" si="762"/>
        <v>0</v>
      </c>
      <c r="BV480" s="171">
        <f t="shared" si="762"/>
        <v>0</v>
      </c>
      <c r="BW480" s="171">
        <f t="shared" si="762"/>
        <v>0</v>
      </c>
      <c r="BX480" s="171">
        <f t="shared" si="762"/>
        <v>0</v>
      </c>
      <c r="BY480" s="171">
        <f t="shared" si="763"/>
        <v>0</v>
      </c>
      <c r="BZ480" s="171">
        <f t="shared" si="763"/>
        <v>0</v>
      </c>
      <c r="CA480" s="171">
        <f t="shared" si="763"/>
        <v>0</v>
      </c>
      <c r="CB480" s="171">
        <f t="shared" si="763"/>
        <v>0</v>
      </c>
      <c r="CC480" s="171">
        <f t="shared" si="763"/>
        <v>0</v>
      </c>
      <c r="CD480" s="171">
        <f t="shared" si="763"/>
        <v>0</v>
      </c>
      <c r="CE480" s="171">
        <f t="shared" si="763"/>
        <v>0</v>
      </c>
      <c r="CF480" s="171">
        <f t="shared" si="763"/>
        <v>0</v>
      </c>
      <c r="CG480" s="171">
        <f t="shared" si="763"/>
        <v>0</v>
      </c>
      <c r="CH480" s="171">
        <f t="shared" si="763"/>
        <v>0</v>
      </c>
      <c r="CI480" s="171">
        <f t="shared" si="763"/>
        <v>0</v>
      </c>
      <c r="CJ480" s="243"/>
      <c r="CK480" s="171">
        <f t="shared" si="671"/>
        <v>0</v>
      </c>
      <c r="CL480" s="171">
        <f t="shared" si="672"/>
        <v>0</v>
      </c>
      <c r="CM480" s="171">
        <f t="shared" si="673"/>
        <v>0</v>
      </c>
      <c r="CN480" s="171">
        <f t="shared" si="674"/>
        <v>0</v>
      </c>
      <c r="CO480" s="171">
        <f t="shared" si="675"/>
        <v>0</v>
      </c>
      <c r="CP480" s="171">
        <f t="shared" si="676"/>
        <v>0</v>
      </c>
      <c r="CQ480" s="171">
        <f t="shared" si="677"/>
        <v>0</v>
      </c>
      <c r="CR480" s="171">
        <f t="shared" si="678"/>
        <v>0</v>
      </c>
      <c r="CS480" s="171">
        <f t="shared" si="679"/>
        <v>0</v>
      </c>
      <c r="CT480" s="171">
        <f t="shared" si="680"/>
        <v>0</v>
      </c>
      <c r="CU480" s="171">
        <f t="shared" si="681"/>
        <v>0</v>
      </c>
      <c r="CV480" s="171">
        <f t="shared" si="682"/>
        <v>0</v>
      </c>
      <c r="CW480" s="171">
        <f t="shared" si="683"/>
        <v>0</v>
      </c>
      <c r="CX480" s="171">
        <f t="shared" si="684"/>
        <v>0</v>
      </c>
      <c r="CY480" s="171">
        <f t="shared" ca="1" si="685"/>
        <v>0</v>
      </c>
      <c r="CZ480" s="171">
        <f t="shared" ca="1" si="686"/>
        <v>0</v>
      </c>
      <c r="DA480" s="171">
        <f t="shared" ca="1" si="687"/>
        <v>0</v>
      </c>
      <c r="DB480" s="171">
        <f t="shared" ca="1" si="688"/>
        <v>0</v>
      </c>
      <c r="DC480" s="171">
        <f t="shared" ca="1" si="689"/>
        <v>0</v>
      </c>
      <c r="DD480" s="171">
        <f t="shared" ca="1" si="690"/>
        <v>0</v>
      </c>
      <c r="DE480" s="171">
        <f t="shared" ca="1" si="691"/>
        <v>0</v>
      </c>
      <c r="DF480" s="171">
        <f t="shared" ca="1" si="692"/>
        <v>0</v>
      </c>
      <c r="DG480" s="171">
        <f t="shared" ca="1" si="693"/>
        <v>0</v>
      </c>
      <c r="DH480" s="171">
        <f t="shared" ca="1" si="694"/>
        <v>0</v>
      </c>
      <c r="DI480" s="171">
        <f t="shared" ca="1" si="695"/>
        <v>0</v>
      </c>
      <c r="DJ480" s="171">
        <f t="shared" ca="1" si="696"/>
        <v>0</v>
      </c>
      <c r="DK480" s="171">
        <f t="shared" ca="1" si="697"/>
        <v>0</v>
      </c>
      <c r="DL480" s="171">
        <f t="shared" ca="1" si="698"/>
        <v>0</v>
      </c>
      <c r="DM480" s="171">
        <f t="shared" ca="1" si="699"/>
        <v>0</v>
      </c>
      <c r="DN480" s="171">
        <f t="shared" ca="1" si="700"/>
        <v>0</v>
      </c>
      <c r="DO480" s="171">
        <f t="shared" ca="1" si="701"/>
        <v>0</v>
      </c>
      <c r="DP480" s="171">
        <f t="shared" ca="1" si="702"/>
        <v>0</v>
      </c>
      <c r="DQ480" s="171">
        <f t="shared" ca="1" si="703"/>
        <v>0</v>
      </c>
      <c r="DR480" s="171">
        <f t="shared" ca="1" si="704"/>
        <v>0</v>
      </c>
      <c r="DS480" s="171">
        <f t="shared" ca="1" si="705"/>
        <v>0</v>
      </c>
      <c r="DT480" s="171">
        <f t="shared" ca="1" si="706"/>
        <v>0</v>
      </c>
      <c r="DU480" s="171">
        <f t="shared" ca="1" si="707"/>
        <v>0</v>
      </c>
      <c r="DV480" s="171">
        <f t="shared" ca="1" si="708"/>
        <v>0</v>
      </c>
      <c r="DW480" s="171">
        <f t="shared" ca="1" si="709"/>
        <v>0</v>
      </c>
      <c r="DX480" s="171">
        <f t="shared" ca="1" si="710"/>
        <v>0</v>
      </c>
      <c r="DY480" s="171">
        <f t="shared" ca="1" si="711"/>
        <v>0</v>
      </c>
      <c r="DZ480" s="171">
        <f t="shared" ca="1" si="712"/>
        <v>0</v>
      </c>
      <c r="EA480" s="171">
        <f t="shared" ca="1" si="713"/>
        <v>0</v>
      </c>
      <c r="EB480" s="171">
        <f t="shared" ca="1" si="714"/>
        <v>0</v>
      </c>
      <c r="EC480" s="171">
        <f t="shared" ca="1" si="715"/>
        <v>0</v>
      </c>
      <c r="ED480" s="171">
        <f t="shared" ca="1" si="716"/>
        <v>0</v>
      </c>
      <c r="EE480" s="171">
        <f t="shared" ca="1" si="717"/>
        <v>0</v>
      </c>
      <c r="EF480" s="171">
        <f t="shared" ca="1" si="718"/>
        <v>0</v>
      </c>
      <c r="EG480" s="171">
        <f t="shared" ca="1" si="719"/>
        <v>0</v>
      </c>
      <c r="EH480" s="171">
        <f t="shared" ca="1" si="720"/>
        <v>0</v>
      </c>
      <c r="EI480" s="171">
        <f t="shared" ca="1" si="721"/>
        <v>0</v>
      </c>
      <c r="EJ480" s="171">
        <f t="shared" ca="1" si="722"/>
        <v>0</v>
      </c>
      <c r="EK480" s="171">
        <f t="shared" ca="1" si="723"/>
        <v>0</v>
      </c>
      <c r="EL480" s="171">
        <f t="shared" ca="1" si="724"/>
        <v>0</v>
      </c>
      <c r="EM480" s="171">
        <f t="shared" ca="1" si="725"/>
        <v>0</v>
      </c>
      <c r="EN480" s="171">
        <f t="shared" ca="1" si="726"/>
        <v>0</v>
      </c>
      <c r="EO480" s="171">
        <f t="shared" ca="1" si="727"/>
        <v>0</v>
      </c>
      <c r="EP480" s="171">
        <f t="shared" ca="1" si="728"/>
        <v>0</v>
      </c>
      <c r="EQ480" s="171">
        <f t="shared" ca="1" si="729"/>
        <v>0</v>
      </c>
      <c r="ER480" s="171">
        <f t="shared" ca="1" si="730"/>
        <v>0</v>
      </c>
      <c r="ES480" s="171">
        <f t="shared" ca="1" si="731"/>
        <v>0</v>
      </c>
    </row>
    <row r="481" spans="3:149">
      <c r="C481" s="157"/>
      <c r="L481" s="163"/>
      <c r="M481" s="164" t="str">
        <f t="shared" si="662"/>
        <v/>
      </c>
      <c r="N481" s="164" t="str">
        <f t="shared" si="663"/>
        <v/>
      </c>
      <c r="O481" s="165" t="str">
        <f t="shared" si="664"/>
        <v/>
      </c>
      <c r="R481" s="168" t="str">
        <f t="shared" si="751"/>
        <v/>
      </c>
      <c r="U481" s="171">
        <f t="shared" si="665"/>
        <v>0</v>
      </c>
      <c r="V481" s="171">
        <f t="shared" ca="1" si="666"/>
        <v>0</v>
      </c>
      <c r="W481" s="171">
        <f t="shared" ca="1" si="667"/>
        <v>0</v>
      </c>
      <c r="X481" s="172">
        <f t="shared" si="668"/>
        <v>0</v>
      </c>
      <c r="Y481" s="172" t="str">
        <f t="shared" si="669"/>
        <v/>
      </c>
      <c r="Z481" s="173">
        <f t="shared" si="670"/>
        <v>0</v>
      </c>
      <c r="AA481" s="171">
        <f t="shared" si="758"/>
        <v>0</v>
      </c>
      <c r="AB481" s="171">
        <f t="shared" si="758"/>
        <v>0</v>
      </c>
      <c r="AC481" s="171">
        <f t="shared" si="758"/>
        <v>0</v>
      </c>
      <c r="AD481" s="171">
        <f t="shared" si="758"/>
        <v>0</v>
      </c>
      <c r="AE481" s="171">
        <f t="shared" si="758"/>
        <v>0</v>
      </c>
      <c r="AF481" s="171">
        <f t="shared" si="758"/>
        <v>0</v>
      </c>
      <c r="AG481" s="171">
        <f t="shared" si="758"/>
        <v>0</v>
      </c>
      <c r="AH481" s="171">
        <f t="shared" si="758"/>
        <v>0</v>
      </c>
      <c r="AI481" s="171">
        <f t="shared" si="758"/>
        <v>0</v>
      </c>
      <c r="AJ481" s="171">
        <f t="shared" si="758"/>
        <v>0</v>
      </c>
      <c r="AK481" s="171">
        <f t="shared" si="759"/>
        <v>0</v>
      </c>
      <c r="AL481" s="171">
        <f t="shared" si="759"/>
        <v>0</v>
      </c>
      <c r="AM481" s="171">
        <f t="shared" si="759"/>
        <v>0</v>
      </c>
      <c r="AN481" s="171">
        <f t="shared" si="759"/>
        <v>0</v>
      </c>
      <c r="AO481" s="171">
        <f t="shared" si="759"/>
        <v>0</v>
      </c>
      <c r="AP481" s="171">
        <f t="shared" si="759"/>
        <v>0</v>
      </c>
      <c r="AQ481" s="171">
        <f t="shared" si="759"/>
        <v>0</v>
      </c>
      <c r="AR481" s="171">
        <f t="shared" si="759"/>
        <v>0</v>
      </c>
      <c r="AS481" s="171">
        <f t="shared" si="759"/>
        <v>0</v>
      </c>
      <c r="AT481" s="171">
        <f t="shared" si="759"/>
        <v>0</v>
      </c>
      <c r="AU481" s="171">
        <f t="shared" si="760"/>
        <v>0</v>
      </c>
      <c r="AV481" s="171">
        <f t="shared" si="760"/>
        <v>0</v>
      </c>
      <c r="AW481" s="171">
        <f t="shared" si="760"/>
        <v>0</v>
      </c>
      <c r="AX481" s="171">
        <f t="shared" si="760"/>
        <v>0</v>
      </c>
      <c r="AY481" s="171">
        <f t="shared" si="760"/>
        <v>0</v>
      </c>
      <c r="AZ481" s="171">
        <f t="shared" si="760"/>
        <v>0</v>
      </c>
      <c r="BA481" s="171">
        <f t="shared" si="760"/>
        <v>0</v>
      </c>
      <c r="BB481" s="171">
        <f t="shared" si="760"/>
        <v>0</v>
      </c>
      <c r="BC481" s="171">
        <f t="shared" si="760"/>
        <v>0</v>
      </c>
      <c r="BD481" s="171">
        <f t="shared" si="760"/>
        <v>0</v>
      </c>
      <c r="BE481" s="171">
        <f t="shared" si="761"/>
        <v>0</v>
      </c>
      <c r="BF481" s="171">
        <f t="shared" si="761"/>
        <v>0</v>
      </c>
      <c r="BG481" s="171">
        <f t="shared" si="761"/>
        <v>0</v>
      </c>
      <c r="BH481" s="171">
        <f t="shared" si="761"/>
        <v>0</v>
      </c>
      <c r="BI481" s="171">
        <f t="shared" si="761"/>
        <v>0</v>
      </c>
      <c r="BJ481" s="171">
        <f t="shared" si="761"/>
        <v>0</v>
      </c>
      <c r="BK481" s="171">
        <f t="shared" si="761"/>
        <v>0</v>
      </c>
      <c r="BL481" s="171">
        <f t="shared" si="761"/>
        <v>0</v>
      </c>
      <c r="BM481" s="171">
        <f t="shared" si="761"/>
        <v>0</v>
      </c>
      <c r="BN481" s="171">
        <f t="shared" si="761"/>
        <v>0</v>
      </c>
      <c r="BO481" s="171">
        <f t="shared" si="762"/>
        <v>0</v>
      </c>
      <c r="BP481" s="171">
        <f t="shared" si="762"/>
        <v>0</v>
      </c>
      <c r="BQ481" s="171">
        <f t="shared" si="762"/>
        <v>0</v>
      </c>
      <c r="BR481" s="171">
        <f t="shared" si="762"/>
        <v>0</v>
      </c>
      <c r="BS481" s="171">
        <f t="shared" si="762"/>
        <v>0</v>
      </c>
      <c r="BT481" s="171">
        <f t="shared" si="762"/>
        <v>0</v>
      </c>
      <c r="BU481" s="171">
        <f t="shared" si="762"/>
        <v>0</v>
      </c>
      <c r="BV481" s="171">
        <f t="shared" si="762"/>
        <v>0</v>
      </c>
      <c r="BW481" s="171">
        <f t="shared" si="762"/>
        <v>0</v>
      </c>
      <c r="BX481" s="171">
        <f t="shared" si="762"/>
        <v>0</v>
      </c>
      <c r="BY481" s="171">
        <f t="shared" si="763"/>
        <v>0</v>
      </c>
      <c r="BZ481" s="171">
        <f t="shared" si="763"/>
        <v>0</v>
      </c>
      <c r="CA481" s="171">
        <f t="shared" si="763"/>
        <v>0</v>
      </c>
      <c r="CB481" s="171">
        <f t="shared" si="763"/>
        <v>0</v>
      </c>
      <c r="CC481" s="171">
        <f t="shared" si="763"/>
        <v>0</v>
      </c>
      <c r="CD481" s="171">
        <f t="shared" si="763"/>
        <v>0</v>
      </c>
      <c r="CE481" s="171">
        <f t="shared" si="763"/>
        <v>0</v>
      </c>
      <c r="CF481" s="171">
        <f t="shared" si="763"/>
        <v>0</v>
      </c>
      <c r="CG481" s="171">
        <f t="shared" si="763"/>
        <v>0</v>
      </c>
      <c r="CH481" s="171">
        <f t="shared" si="763"/>
        <v>0</v>
      </c>
      <c r="CI481" s="171">
        <f t="shared" si="763"/>
        <v>0</v>
      </c>
      <c r="CJ481" s="243"/>
      <c r="CK481" s="171">
        <f t="shared" si="671"/>
        <v>0</v>
      </c>
      <c r="CL481" s="171">
        <f t="shared" si="672"/>
        <v>0</v>
      </c>
      <c r="CM481" s="171">
        <f t="shared" si="673"/>
        <v>0</v>
      </c>
      <c r="CN481" s="171">
        <f t="shared" si="674"/>
        <v>0</v>
      </c>
      <c r="CO481" s="171">
        <f t="shared" si="675"/>
        <v>0</v>
      </c>
      <c r="CP481" s="171">
        <f t="shared" si="676"/>
        <v>0</v>
      </c>
      <c r="CQ481" s="171">
        <f t="shared" si="677"/>
        <v>0</v>
      </c>
      <c r="CR481" s="171">
        <f t="shared" si="678"/>
        <v>0</v>
      </c>
      <c r="CS481" s="171">
        <f t="shared" si="679"/>
        <v>0</v>
      </c>
      <c r="CT481" s="171">
        <f t="shared" si="680"/>
        <v>0</v>
      </c>
      <c r="CU481" s="171">
        <f t="shared" si="681"/>
        <v>0</v>
      </c>
      <c r="CV481" s="171">
        <f t="shared" si="682"/>
        <v>0</v>
      </c>
      <c r="CW481" s="171">
        <f t="shared" si="683"/>
        <v>0</v>
      </c>
      <c r="CX481" s="171">
        <f t="shared" si="684"/>
        <v>0</v>
      </c>
      <c r="CY481" s="171">
        <f t="shared" ca="1" si="685"/>
        <v>0</v>
      </c>
      <c r="CZ481" s="171">
        <f t="shared" ca="1" si="686"/>
        <v>0</v>
      </c>
      <c r="DA481" s="171">
        <f t="shared" ca="1" si="687"/>
        <v>0</v>
      </c>
      <c r="DB481" s="171">
        <f t="shared" ca="1" si="688"/>
        <v>0</v>
      </c>
      <c r="DC481" s="171">
        <f t="shared" ca="1" si="689"/>
        <v>0</v>
      </c>
      <c r="DD481" s="171">
        <f t="shared" ca="1" si="690"/>
        <v>0</v>
      </c>
      <c r="DE481" s="171">
        <f t="shared" ca="1" si="691"/>
        <v>0</v>
      </c>
      <c r="DF481" s="171">
        <f t="shared" ca="1" si="692"/>
        <v>0</v>
      </c>
      <c r="DG481" s="171">
        <f t="shared" ca="1" si="693"/>
        <v>0</v>
      </c>
      <c r="DH481" s="171">
        <f t="shared" ca="1" si="694"/>
        <v>0</v>
      </c>
      <c r="DI481" s="171">
        <f t="shared" ca="1" si="695"/>
        <v>0</v>
      </c>
      <c r="DJ481" s="171">
        <f t="shared" ca="1" si="696"/>
        <v>0</v>
      </c>
      <c r="DK481" s="171">
        <f t="shared" ca="1" si="697"/>
        <v>0</v>
      </c>
      <c r="DL481" s="171">
        <f t="shared" ca="1" si="698"/>
        <v>0</v>
      </c>
      <c r="DM481" s="171">
        <f t="shared" ca="1" si="699"/>
        <v>0</v>
      </c>
      <c r="DN481" s="171">
        <f t="shared" ca="1" si="700"/>
        <v>0</v>
      </c>
      <c r="DO481" s="171">
        <f t="shared" ca="1" si="701"/>
        <v>0</v>
      </c>
      <c r="DP481" s="171">
        <f t="shared" ca="1" si="702"/>
        <v>0</v>
      </c>
      <c r="DQ481" s="171">
        <f t="shared" ca="1" si="703"/>
        <v>0</v>
      </c>
      <c r="DR481" s="171">
        <f t="shared" ca="1" si="704"/>
        <v>0</v>
      </c>
      <c r="DS481" s="171">
        <f t="shared" ca="1" si="705"/>
        <v>0</v>
      </c>
      <c r="DT481" s="171">
        <f t="shared" ca="1" si="706"/>
        <v>0</v>
      </c>
      <c r="DU481" s="171">
        <f t="shared" ca="1" si="707"/>
        <v>0</v>
      </c>
      <c r="DV481" s="171">
        <f t="shared" ca="1" si="708"/>
        <v>0</v>
      </c>
      <c r="DW481" s="171">
        <f t="shared" ca="1" si="709"/>
        <v>0</v>
      </c>
      <c r="DX481" s="171">
        <f t="shared" ca="1" si="710"/>
        <v>0</v>
      </c>
      <c r="DY481" s="171">
        <f t="shared" ca="1" si="711"/>
        <v>0</v>
      </c>
      <c r="DZ481" s="171">
        <f t="shared" ca="1" si="712"/>
        <v>0</v>
      </c>
      <c r="EA481" s="171">
        <f t="shared" ca="1" si="713"/>
        <v>0</v>
      </c>
      <c r="EB481" s="171">
        <f t="shared" ca="1" si="714"/>
        <v>0</v>
      </c>
      <c r="EC481" s="171">
        <f t="shared" ca="1" si="715"/>
        <v>0</v>
      </c>
      <c r="ED481" s="171">
        <f t="shared" ca="1" si="716"/>
        <v>0</v>
      </c>
      <c r="EE481" s="171">
        <f t="shared" ca="1" si="717"/>
        <v>0</v>
      </c>
      <c r="EF481" s="171">
        <f t="shared" ca="1" si="718"/>
        <v>0</v>
      </c>
      <c r="EG481" s="171">
        <f t="shared" ca="1" si="719"/>
        <v>0</v>
      </c>
      <c r="EH481" s="171">
        <f t="shared" ca="1" si="720"/>
        <v>0</v>
      </c>
      <c r="EI481" s="171">
        <f t="shared" ca="1" si="721"/>
        <v>0</v>
      </c>
      <c r="EJ481" s="171">
        <f t="shared" ca="1" si="722"/>
        <v>0</v>
      </c>
      <c r="EK481" s="171">
        <f t="shared" ca="1" si="723"/>
        <v>0</v>
      </c>
      <c r="EL481" s="171">
        <f t="shared" ca="1" si="724"/>
        <v>0</v>
      </c>
      <c r="EM481" s="171">
        <f t="shared" ca="1" si="725"/>
        <v>0</v>
      </c>
      <c r="EN481" s="171">
        <f t="shared" ca="1" si="726"/>
        <v>0</v>
      </c>
      <c r="EO481" s="171">
        <f t="shared" ca="1" si="727"/>
        <v>0</v>
      </c>
      <c r="EP481" s="171">
        <f t="shared" ca="1" si="728"/>
        <v>0</v>
      </c>
      <c r="EQ481" s="171">
        <f t="shared" ca="1" si="729"/>
        <v>0</v>
      </c>
      <c r="ER481" s="171">
        <f t="shared" ca="1" si="730"/>
        <v>0</v>
      </c>
      <c r="ES481" s="171">
        <f t="shared" ca="1" si="731"/>
        <v>0</v>
      </c>
    </row>
    <row r="482" spans="3:149">
      <c r="C482" s="157"/>
      <c r="L482" s="163"/>
      <c r="M482" s="164" t="str">
        <f t="shared" si="662"/>
        <v/>
      </c>
      <c r="N482" s="164" t="str">
        <f t="shared" si="663"/>
        <v/>
      </c>
      <c r="O482" s="165" t="str">
        <f t="shared" si="664"/>
        <v/>
      </c>
      <c r="R482" s="168" t="str">
        <f t="shared" si="751"/>
        <v/>
      </c>
      <c r="U482" s="171">
        <f t="shared" si="665"/>
        <v>0</v>
      </c>
      <c r="V482" s="171">
        <f t="shared" ca="1" si="666"/>
        <v>0</v>
      </c>
      <c r="W482" s="171">
        <f t="shared" ca="1" si="667"/>
        <v>0</v>
      </c>
      <c r="X482" s="172">
        <f t="shared" si="668"/>
        <v>0</v>
      </c>
      <c r="Y482" s="172" t="str">
        <f t="shared" si="669"/>
        <v/>
      </c>
      <c r="Z482" s="173">
        <f t="shared" si="670"/>
        <v>0</v>
      </c>
      <c r="AA482" s="171">
        <f t="shared" si="758"/>
        <v>0</v>
      </c>
      <c r="AB482" s="171">
        <f t="shared" si="758"/>
        <v>0</v>
      </c>
      <c r="AC482" s="171">
        <f t="shared" si="758"/>
        <v>0</v>
      </c>
      <c r="AD482" s="171">
        <f t="shared" si="758"/>
        <v>0</v>
      </c>
      <c r="AE482" s="171">
        <f t="shared" si="758"/>
        <v>0</v>
      </c>
      <c r="AF482" s="171">
        <f t="shared" si="758"/>
        <v>0</v>
      </c>
      <c r="AG482" s="171">
        <f t="shared" si="758"/>
        <v>0</v>
      </c>
      <c r="AH482" s="171">
        <f t="shared" si="758"/>
        <v>0</v>
      </c>
      <c r="AI482" s="171">
        <f t="shared" si="758"/>
        <v>0</v>
      </c>
      <c r="AJ482" s="171">
        <f t="shared" si="758"/>
        <v>0</v>
      </c>
      <c r="AK482" s="171">
        <f t="shared" si="759"/>
        <v>0</v>
      </c>
      <c r="AL482" s="171">
        <f t="shared" si="759"/>
        <v>0</v>
      </c>
      <c r="AM482" s="171">
        <f t="shared" si="759"/>
        <v>0</v>
      </c>
      <c r="AN482" s="171">
        <f t="shared" si="759"/>
        <v>0</v>
      </c>
      <c r="AO482" s="171">
        <f t="shared" si="759"/>
        <v>0</v>
      </c>
      <c r="AP482" s="171">
        <f t="shared" si="759"/>
        <v>0</v>
      </c>
      <c r="AQ482" s="171">
        <f t="shared" si="759"/>
        <v>0</v>
      </c>
      <c r="AR482" s="171">
        <f t="shared" si="759"/>
        <v>0</v>
      </c>
      <c r="AS482" s="171">
        <f t="shared" si="759"/>
        <v>0</v>
      </c>
      <c r="AT482" s="171">
        <f t="shared" si="759"/>
        <v>0</v>
      </c>
      <c r="AU482" s="171">
        <f t="shared" si="760"/>
        <v>0</v>
      </c>
      <c r="AV482" s="171">
        <f t="shared" si="760"/>
        <v>0</v>
      </c>
      <c r="AW482" s="171">
        <f t="shared" si="760"/>
        <v>0</v>
      </c>
      <c r="AX482" s="171">
        <f t="shared" si="760"/>
        <v>0</v>
      </c>
      <c r="AY482" s="171">
        <f t="shared" si="760"/>
        <v>0</v>
      </c>
      <c r="AZ482" s="171">
        <f t="shared" si="760"/>
        <v>0</v>
      </c>
      <c r="BA482" s="171">
        <f t="shared" si="760"/>
        <v>0</v>
      </c>
      <c r="BB482" s="171">
        <f t="shared" si="760"/>
        <v>0</v>
      </c>
      <c r="BC482" s="171">
        <f t="shared" si="760"/>
        <v>0</v>
      </c>
      <c r="BD482" s="171">
        <f t="shared" si="760"/>
        <v>0</v>
      </c>
      <c r="BE482" s="171">
        <f t="shared" si="761"/>
        <v>0</v>
      </c>
      <c r="BF482" s="171">
        <f t="shared" si="761"/>
        <v>0</v>
      </c>
      <c r="BG482" s="171">
        <f t="shared" si="761"/>
        <v>0</v>
      </c>
      <c r="BH482" s="171">
        <f t="shared" si="761"/>
        <v>0</v>
      </c>
      <c r="BI482" s="171">
        <f t="shared" si="761"/>
        <v>0</v>
      </c>
      <c r="BJ482" s="171">
        <f t="shared" si="761"/>
        <v>0</v>
      </c>
      <c r="BK482" s="171">
        <f t="shared" si="761"/>
        <v>0</v>
      </c>
      <c r="BL482" s="171">
        <f t="shared" si="761"/>
        <v>0</v>
      </c>
      <c r="BM482" s="171">
        <f t="shared" si="761"/>
        <v>0</v>
      </c>
      <c r="BN482" s="171">
        <f t="shared" si="761"/>
        <v>0</v>
      </c>
      <c r="BO482" s="171">
        <f t="shared" si="762"/>
        <v>0</v>
      </c>
      <c r="BP482" s="171">
        <f t="shared" si="762"/>
        <v>0</v>
      </c>
      <c r="BQ482" s="171">
        <f t="shared" si="762"/>
        <v>0</v>
      </c>
      <c r="BR482" s="171">
        <f t="shared" si="762"/>
        <v>0</v>
      </c>
      <c r="BS482" s="171">
        <f t="shared" si="762"/>
        <v>0</v>
      </c>
      <c r="BT482" s="171">
        <f t="shared" si="762"/>
        <v>0</v>
      </c>
      <c r="BU482" s="171">
        <f t="shared" si="762"/>
        <v>0</v>
      </c>
      <c r="BV482" s="171">
        <f t="shared" si="762"/>
        <v>0</v>
      </c>
      <c r="BW482" s="171">
        <f t="shared" si="762"/>
        <v>0</v>
      </c>
      <c r="BX482" s="171">
        <f t="shared" si="762"/>
        <v>0</v>
      </c>
      <c r="BY482" s="171">
        <f t="shared" si="763"/>
        <v>0</v>
      </c>
      <c r="BZ482" s="171">
        <f t="shared" si="763"/>
        <v>0</v>
      </c>
      <c r="CA482" s="171">
        <f t="shared" si="763"/>
        <v>0</v>
      </c>
      <c r="CB482" s="171">
        <f t="shared" si="763"/>
        <v>0</v>
      </c>
      <c r="CC482" s="171">
        <f t="shared" si="763"/>
        <v>0</v>
      </c>
      <c r="CD482" s="171">
        <f t="shared" si="763"/>
        <v>0</v>
      </c>
      <c r="CE482" s="171">
        <f t="shared" si="763"/>
        <v>0</v>
      </c>
      <c r="CF482" s="171">
        <f t="shared" si="763"/>
        <v>0</v>
      </c>
      <c r="CG482" s="171">
        <f t="shared" si="763"/>
        <v>0</v>
      </c>
      <c r="CH482" s="171">
        <f t="shared" si="763"/>
        <v>0</v>
      </c>
      <c r="CI482" s="171">
        <f t="shared" si="763"/>
        <v>0</v>
      </c>
      <c r="CJ482" s="243"/>
      <c r="CK482" s="171">
        <f t="shared" si="671"/>
        <v>0</v>
      </c>
      <c r="CL482" s="171">
        <f t="shared" si="672"/>
        <v>0</v>
      </c>
      <c r="CM482" s="171">
        <f t="shared" si="673"/>
        <v>0</v>
      </c>
      <c r="CN482" s="171">
        <f t="shared" si="674"/>
        <v>0</v>
      </c>
      <c r="CO482" s="171">
        <f t="shared" si="675"/>
        <v>0</v>
      </c>
      <c r="CP482" s="171">
        <f t="shared" si="676"/>
        <v>0</v>
      </c>
      <c r="CQ482" s="171">
        <f t="shared" si="677"/>
        <v>0</v>
      </c>
      <c r="CR482" s="171">
        <f t="shared" si="678"/>
        <v>0</v>
      </c>
      <c r="CS482" s="171">
        <f t="shared" si="679"/>
        <v>0</v>
      </c>
      <c r="CT482" s="171">
        <f t="shared" si="680"/>
        <v>0</v>
      </c>
      <c r="CU482" s="171">
        <f t="shared" si="681"/>
        <v>0</v>
      </c>
      <c r="CV482" s="171">
        <f t="shared" si="682"/>
        <v>0</v>
      </c>
      <c r="CW482" s="171">
        <f t="shared" si="683"/>
        <v>0</v>
      </c>
      <c r="CX482" s="171">
        <f t="shared" si="684"/>
        <v>0</v>
      </c>
      <c r="CY482" s="171">
        <f t="shared" ca="1" si="685"/>
        <v>0</v>
      </c>
      <c r="CZ482" s="171">
        <f t="shared" ca="1" si="686"/>
        <v>0</v>
      </c>
      <c r="DA482" s="171">
        <f t="shared" ca="1" si="687"/>
        <v>0</v>
      </c>
      <c r="DB482" s="171">
        <f t="shared" ca="1" si="688"/>
        <v>0</v>
      </c>
      <c r="DC482" s="171">
        <f t="shared" ca="1" si="689"/>
        <v>0</v>
      </c>
      <c r="DD482" s="171">
        <f t="shared" ca="1" si="690"/>
        <v>0</v>
      </c>
      <c r="DE482" s="171">
        <f t="shared" ca="1" si="691"/>
        <v>0</v>
      </c>
      <c r="DF482" s="171">
        <f t="shared" ca="1" si="692"/>
        <v>0</v>
      </c>
      <c r="DG482" s="171">
        <f t="shared" ca="1" si="693"/>
        <v>0</v>
      </c>
      <c r="DH482" s="171">
        <f t="shared" ca="1" si="694"/>
        <v>0</v>
      </c>
      <c r="DI482" s="171">
        <f t="shared" ca="1" si="695"/>
        <v>0</v>
      </c>
      <c r="DJ482" s="171">
        <f t="shared" ca="1" si="696"/>
        <v>0</v>
      </c>
      <c r="DK482" s="171">
        <f t="shared" ca="1" si="697"/>
        <v>0</v>
      </c>
      <c r="DL482" s="171">
        <f t="shared" ca="1" si="698"/>
        <v>0</v>
      </c>
      <c r="DM482" s="171">
        <f t="shared" ca="1" si="699"/>
        <v>0</v>
      </c>
      <c r="DN482" s="171">
        <f t="shared" ca="1" si="700"/>
        <v>0</v>
      </c>
      <c r="DO482" s="171">
        <f t="shared" ca="1" si="701"/>
        <v>0</v>
      </c>
      <c r="DP482" s="171">
        <f t="shared" ca="1" si="702"/>
        <v>0</v>
      </c>
      <c r="DQ482" s="171">
        <f t="shared" ca="1" si="703"/>
        <v>0</v>
      </c>
      <c r="DR482" s="171">
        <f t="shared" ca="1" si="704"/>
        <v>0</v>
      </c>
      <c r="DS482" s="171">
        <f t="shared" ca="1" si="705"/>
        <v>0</v>
      </c>
      <c r="DT482" s="171">
        <f t="shared" ca="1" si="706"/>
        <v>0</v>
      </c>
      <c r="DU482" s="171">
        <f t="shared" ca="1" si="707"/>
        <v>0</v>
      </c>
      <c r="DV482" s="171">
        <f t="shared" ca="1" si="708"/>
        <v>0</v>
      </c>
      <c r="DW482" s="171">
        <f t="shared" ca="1" si="709"/>
        <v>0</v>
      </c>
      <c r="DX482" s="171">
        <f t="shared" ca="1" si="710"/>
        <v>0</v>
      </c>
      <c r="DY482" s="171">
        <f t="shared" ca="1" si="711"/>
        <v>0</v>
      </c>
      <c r="DZ482" s="171">
        <f t="shared" ca="1" si="712"/>
        <v>0</v>
      </c>
      <c r="EA482" s="171">
        <f t="shared" ca="1" si="713"/>
        <v>0</v>
      </c>
      <c r="EB482" s="171">
        <f t="shared" ca="1" si="714"/>
        <v>0</v>
      </c>
      <c r="EC482" s="171">
        <f t="shared" ca="1" si="715"/>
        <v>0</v>
      </c>
      <c r="ED482" s="171">
        <f t="shared" ca="1" si="716"/>
        <v>0</v>
      </c>
      <c r="EE482" s="171">
        <f t="shared" ca="1" si="717"/>
        <v>0</v>
      </c>
      <c r="EF482" s="171">
        <f t="shared" ca="1" si="718"/>
        <v>0</v>
      </c>
      <c r="EG482" s="171">
        <f t="shared" ca="1" si="719"/>
        <v>0</v>
      </c>
      <c r="EH482" s="171">
        <f t="shared" ca="1" si="720"/>
        <v>0</v>
      </c>
      <c r="EI482" s="171">
        <f t="shared" ca="1" si="721"/>
        <v>0</v>
      </c>
      <c r="EJ482" s="171">
        <f t="shared" ca="1" si="722"/>
        <v>0</v>
      </c>
      <c r="EK482" s="171">
        <f t="shared" ca="1" si="723"/>
        <v>0</v>
      </c>
      <c r="EL482" s="171">
        <f t="shared" ca="1" si="724"/>
        <v>0</v>
      </c>
      <c r="EM482" s="171">
        <f t="shared" ca="1" si="725"/>
        <v>0</v>
      </c>
      <c r="EN482" s="171">
        <f t="shared" ca="1" si="726"/>
        <v>0</v>
      </c>
      <c r="EO482" s="171">
        <f t="shared" ca="1" si="727"/>
        <v>0</v>
      </c>
      <c r="EP482" s="171">
        <f t="shared" ca="1" si="728"/>
        <v>0</v>
      </c>
      <c r="EQ482" s="171">
        <f t="shared" ca="1" si="729"/>
        <v>0</v>
      </c>
      <c r="ER482" s="171">
        <f t="shared" ca="1" si="730"/>
        <v>0</v>
      </c>
      <c r="ES482" s="171">
        <f t="shared" ca="1" si="731"/>
        <v>0</v>
      </c>
    </row>
    <row r="483" spans="3:149">
      <c r="C483" s="157"/>
      <c r="L483" s="163"/>
      <c r="M483" s="164" t="str">
        <f t="shared" si="662"/>
        <v/>
      </c>
      <c r="N483" s="164" t="str">
        <f t="shared" si="663"/>
        <v/>
      </c>
      <c r="O483" s="165" t="str">
        <f t="shared" si="664"/>
        <v/>
      </c>
      <c r="R483" s="168" t="str">
        <f t="shared" si="751"/>
        <v/>
      </c>
      <c r="U483" s="171">
        <f t="shared" si="665"/>
        <v>0</v>
      </c>
      <c r="V483" s="171">
        <f t="shared" ca="1" si="666"/>
        <v>0</v>
      </c>
      <c r="W483" s="171">
        <f t="shared" ca="1" si="667"/>
        <v>0</v>
      </c>
      <c r="X483" s="172">
        <f t="shared" si="668"/>
        <v>0</v>
      </c>
      <c r="Y483" s="172" t="str">
        <f t="shared" si="669"/>
        <v/>
      </c>
      <c r="Z483" s="173">
        <f t="shared" si="670"/>
        <v>0</v>
      </c>
      <c r="AA483" s="171">
        <f t="shared" si="758"/>
        <v>0</v>
      </c>
      <c r="AB483" s="171">
        <f t="shared" si="758"/>
        <v>0</v>
      </c>
      <c r="AC483" s="171">
        <f t="shared" si="758"/>
        <v>0</v>
      </c>
      <c r="AD483" s="171">
        <f t="shared" si="758"/>
        <v>0</v>
      </c>
      <c r="AE483" s="171">
        <f t="shared" si="758"/>
        <v>0</v>
      </c>
      <c r="AF483" s="171">
        <f t="shared" si="758"/>
        <v>0</v>
      </c>
      <c r="AG483" s="171">
        <f t="shared" si="758"/>
        <v>0</v>
      </c>
      <c r="AH483" s="171">
        <f t="shared" si="758"/>
        <v>0</v>
      </c>
      <c r="AI483" s="171">
        <f t="shared" si="758"/>
        <v>0</v>
      </c>
      <c r="AJ483" s="171">
        <f t="shared" si="758"/>
        <v>0</v>
      </c>
      <c r="AK483" s="171">
        <f t="shared" si="759"/>
        <v>0</v>
      </c>
      <c r="AL483" s="171">
        <f t="shared" si="759"/>
        <v>0</v>
      </c>
      <c r="AM483" s="171">
        <f t="shared" si="759"/>
        <v>0</v>
      </c>
      <c r="AN483" s="171">
        <f t="shared" si="759"/>
        <v>0</v>
      </c>
      <c r="AO483" s="171">
        <f t="shared" si="759"/>
        <v>0</v>
      </c>
      <c r="AP483" s="171">
        <f t="shared" si="759"/>
        <v>0</v>
      </c>
      <c r="AQ483" s="171">
        <f t="shared" si="759"/>
        <v>0</v>
      </c>
      <c r="AR483" s="171">
        <f t="shared" si="759"/>
        <v>0</v>
      </c>
      <c r="AS483" s="171">
        <f t="shared" si="759"/>
        <v>0</v>
      </c>
      <c r="AT483" s="171">
        <f t="shared" si="759"/>
        <v>0</v>
      </c>
      <c r="AU483" s="171">
        <f t="shared" si="760"/>
        <v>0</v>
      </c>
      <c r="AV483" s="171">
        <f t="shared" si="760"/>
        <v>0</v>
      </c>
      <c r="AW483" s="171">
        <f t="shared" si="760"/>
        <v>0</v>
      </c>
      <c r="AX483" s="171">
        <f t="shared" si="760"/>
        <v>0</v>
      </c>
      <c r="AY483" s="171">
        <f t="shared" si="760"/>
        <v>0</v>
      </c>
      <c r="AZ483" s="171">
        <f t="shared" si="760"/>
        <v>0</v>
      </c>
      <c r="BA483" s="171">
        <f t="shared" si="760"/>
        <v>0</v>
      </c>
      <c r="BB483" s="171">
        <f t="shared" si="760"/>
        <v>0</v>
      </c>
      <c r="BC483" s="171">
        <f t="shared" si="760"/>
        <v>0</v>
      </c>
      <c r="BD483" s="171">
        <f t="shared" si="760"/>
        <v>0</v>
      </c>
      <c r="BE483" s="171">
        <f t="shared" si="761"/>
        <v>0</v>
      </c>
      <c r="BF483" s="171">
        <f t="shared" si="761"/>
        <v>0</v>
      </c>
      <c r="BG483" s="171">
        <f t="shared" si="761"/>
        <v>0</v>
      </c>
      <c r="BH483" s="171">
        <f t="shared" si="761"/>
        <v>0</v>
      </c>
      <c r="BI483" s="171">
        <f t="shared" si="761"/>
        <v>0</v>
      </c>
      <c r="BJ483" s="171">
        <f t="shared" si="761"/>
        <v>0</v>
      </c>
      <c r="BK483" s="171">
        <f t="shared" si="761"/>
        <v>0</v>
      </c>
      <c r="BL483" s="171">
        <f t="shared" si="761"/>
        <v>0</v>
      </c>
      <c r="BM483" s="171">
        <f t="shared" si="761"/>
        <v>0</v>
      </c>
      <c r="BN483" s="171">
        <f t="shared" si="761"/>
        <v>0</v>
      </c>
      <c r="BO483" s="171">
        <f t="shared" si="762"/>
        <v>0</v>
      </c>
      <c r="BP483" s="171">
        <f t="shared" si="762"/>
        <v>0</v>
      </c>
      <c r="BQ483" s="171">
        <f t="shared" si="762"/>
        <v>0</v>
      </c>
      <c r="BR483" s="171">
        <f t="shared" si="762"/>
        <v>0</v>
      </c>
      <c r="BS483" s="171">
        <f t="shared" si="762"/>
        <v>0</v>
      </c>
      <c r="BT483" s="171">
        <f t="shared" si="762"/>
        <v>0</v>
      </c>
      <c r="BU483" s="171">
        <f t="shared" si="762"/>
        <v>0</v>
      </c>
      <c r="BV483" s="171">
        <f t="shared" si="762"/>
        <v>0</v>
      </c>
      <c r="BW483" s="171">
        <f t="shared" si="762"/>
        <v>0</v>
      </c>
      <c r="BX483" s="171">
        <f t="shared" si="762"/>
        <v>0</v>
      </c>
      <c r="BY483" s="171">
        <f t="shared" si="763"/>
        <v>0</v>
      </c>
      <c r="BZ483" s="171">
        <f t="shared" si="763"/>
        <v>0</v>
      </c>
      <c r="CA483" s="171">
        <f t="shared" si="763"/>
        <v>0</v>
      </c>
      <c r="CB483" s="171">
        <f t="shared" si="763"/>
        <v>0</v>
      </c>
      <c r="CC483" s="171">
        <f t="shared" si="763"/>
        <v>0</v>
      </c>
      <c r="CD483" s="171">
        <f t="shared" si="763"/>
        <v>0</v>
      </c>
      <c r="CE483" s="171">
        <f t="shared" si="763"/>
        <v>0</v>
      </c>
      <c r="CF483" s="171">
        <f t="shared" si="763"/>
        <v>0</v>
      </c>
      <c r="CG483" s="171">
        <f t="shared" si="763"/>
        <v>0</v>
      </c>
      <c r="CH483" s="171">
        <f t="shared" si="763"/>
        <v>0</v>
      </c>
      <c r="CI483" s="171">
        <f t="shared" si="763"/>
        <v>0</v>
      </c>
      <c r="CJ483" s="243"/>
      <c r="CK483" s="171">
        <f t="shared" si="671"/>
        <v>0</v>
      </c>
      <c r="CL483" s="171">
        <f t="shared" si="672"/>
        <v>0</v>
      </c>
      <c r="CM483" s="171">
        <f t="shared" si="673"/>
        <v>0</v>
      </c>
      <c r="CN483" s="171">
        <f t="shared" si="674"/>
        <v>0</v>
      </c>
      <c r="CO483" s="171">
        <f t="shared" si="675"/>
        <v>0</v>
      </c>
      <c r="CP483" s="171">
        <f t="shared" si="676"/>
        <v>0</v>
      </c>
      <c r="CQ483" s="171">
        <f t="shared" si="677"/>
        <v>0</v>
      </c>
      <c r="CR483" s="171">
        <f t="shared" si="678"/>
        <v>0</v>
      </c>
      <c r="CS483" s="171">
        <f t="shared" si="679"/>
        <v>0</v>
      </c>
      <c r="CT483" s="171">
        <f t="shared" si="680"/>
        <v>0</v>
      </c>
      <c r="CU483" s="171">
        <f t="shared" si="681"/>
        <v>0</v>
      </c>
      <c r="CV483" s="171">
        <f t="shared" si="682"/>
        <v>0</v>
      </c>
      <c r="CW483" s="171">
        <f t="shared" si="683"/>
        <v>0</v>
      </c>
      <c r="CX483" s="171">
        <f t="shared" si="684"/>
        <v>0</v>
      </c>
      <c r="CY483" s="171">
        <f t="shared" ca="1" si="685"/>
        <v>0</v>
      </c>
      <c r="CZ483" s="171">
        <f t="shared" ca="1" si="686"/>
        <v>0</v>
      </c>
      <c r="DA483" s="171">
        <f t="shared" ca="1" si="687"/>
        <v>0</v>
      </c>
      <c r="DB483" s="171">
        <f t="shared" ca="1" si="688"/>
        <v>0</v>
      </c>
      <c r="DC483" s="171">
        <f t="shared" ca="1" si="689"/>
        <v>0</v>
      </c>
      <c r="DD483" s="171">
        <f t="shared" ca="1" si="690"/>
        <v>0</v>
      </c>
      <c r="DE483" s="171">
        <f t="shared" ca="1" si="691"/>
        <v>0</v>
      </c>
      <c r="DF483" s="171">
        <f t="shared" ca="1" si="692"/>
        <v>0</v>
      </c>
      <c r="DG483" s="171">
        <f t="shared" ca="1" si="693"/>
        <v>0</v>
      </c>
      <c r="DH483" s="171">
        <f t="shared" ca="1" si="694"/>
        <v>0</v>
      </c>
      <c r="DI483" s="171">
        <f t="shared" ca="1" si="695"/>
        <v>0</v>
      </c>
      <c r="DJ483" s="171">
        <f t="shared" ca="1" si="696"/>
        <v>0</v>
      </c>
      <c r="DK483" s="171">
        <f t="shared" ca="1" si="697"/>
        <v>0</v>
      </c>
      <c r="DL483" s="171">
        <f t="shared" ca="1" si="698"/>
        <v>0</v>
      </c>
      <c r="DM483" s="171">
        <f t="shared" ca="1" si="699"/>
        <v>0</v>
      </c>
      <c r="DN483" s="171">
        <f t="shared" ca="1" si="700"/>
        <v>0</v>
      </c>
      <c r="DO483" s="171">
        <f t="shared" ca="1" si="701"/>
        <v>0</v>
      </c>
      <c r="DP483" s="171">
        <f t="shared" ca="1" si="702"/>
        <v>0</v>
      </c>
      <c r="DQ483" s="171">
        <f t="shared" ca="1" si="703"/>
        <v>0</v>
      </c>
      <c r="DR483" s="171">
        <f t="shared" ca="1" si="704"/>
        <v>0</v>
      </c>
      <c r="DS483" s="171">
        <f t="shared" ca="1" si="705"/>
        <v>0</v>
      </c>
      <c r="DT483" s="171">
        <f t="shared" ca="1" si="706"/>
        <v>0</v>
      </c>
      <c r="DU483" s="171">
        <f t="shared" ca="1" si="707"/>
        <v>0</v>
      </c>
      <c r="DV483" s="171">
        <f t="shared" ca="1" si="708"/>
        <v>0</v>
      </c>
      <c r="DW483" s="171">
        <f t="shared" ca="1" si="709"/>
        <v>0</v>
      </c>
      <c r="DX483" s="171">
        <f t="shared" ca="1" si="710"/>
        <v>0</v>
      </c>
      <c r="DY483" s="171">
        <f t="shared" ca="1" si="711"/>
        <v>0</v>
      </c>
      <c r="DZ483" s="171">
        <f t="shared" ca="1" si="712"/>
        <v>0</v>
      </c>
      <c r="EA483" s="171">
        <f t="shared" ca="1" si="713"/>
        <v>0</v>
      </c>
      <c r="EB483" s="171">
        <f t="shared" ca="1" si="714"/>
        <v>0</v>
      </c>
      <c r="EC483" s="171">
        <f t="shared" ca="1" si="715"/>
        <v>0</v>
      </c>
      <c r="ED483" s="171">
        <f t="shared" ca="1" si="716"/>
        <v>0</v>
      </c>
      <c r="EE483" s="171">
        <f t="shared" ca="1" si="717"/>
        <v>0</v>
      </c>
      <c r="EF483" s="171">
        <f t="shared" ca="1" si="718"/>
        <v>0</v>
      </c>
      <c r="EG483" s="171">
        <f t="shared" ca="1" si="719"/>
        <v>0</v>
      </c>
      <c r="EH483" s="171">
        <f t="shared" ca="1" si="720"/>
        <v>0</v>
      </c>
      <c r="EI483" s="171">
        <f t="shared" ca="1" si="721"/>
        <v>0</v>
      </c>
      <c r="EJ483" s="171">
        <f t="shared" ca="1" si="722"/>
        <v>0</v>
      </c>
      <c r="EK483" s="171">
        <f t="shared" ca="1" si="723"/>
        <v>0</v>
      </c>
      <c r="EL483" s="171">
        <f t="shared" ca="1" si="724"/>
        <v>0</v>
      </c>
      <c r="EM483" s="171">
        <f t="shared" ca="1" si="725"/>
        <v>0</v>
      </c>
      <c r="EN483" s="171">
        <f t="shared" ca="1" si="726"/>
        <v>0</v>
      </c>
      <c r="EO483" s="171">
        <f t="shared" ca="1" si="727"/>
        <v>0</v>
      </c>
      <c r="EP483" s="171">
        <f t="shared" ca="1" si="728"/>
        <v>0</v>
      </c>
      <c r="EQ483" s="171">
        <f t="shared" ca="1" si="729"/>
        <v>0</v>
      </c>
      <c r="ER483" s="171">
        <f t="shared" ca="1" si="730"/>
        <v>0</v>
      </c>
      <c r="ES483" s="171">
        <f t="shared" ca="1" si="731"/>
        <v>0</v>
      </c>
    </row>
    <row r="484" spans="3:149">
      <c r="C484" s="157"/>
      <c r="L484" s="163"/>
      <c r="M484" s="164" t="str">
        <f t="shared" si="662"/>
        <v/>
      </c>
      <c r="N484" s="164" t="str">
        <f t="shared" si="663"/>
        <v/>
      </c>
      <c r="O484" s="165" t="str">
        <f t="shared" si="664"/>
        <v/>
      </c>
      <c r="R484" s="168" t="str">
        <f t="shared" si="751"/>
        <v/>
      </c>
      <c r="U484" s="171">
        <f t="shared" si="665"/>
        <v>0</v>
      </c>
      <c r="V484" s="171">
        <f t="shared" ca="1" si="666"/>
        <v>0</v>
      </c>
      <c r="W484" s="171">
        <f t="shared" ca="1" si="667"/>
        <v>0</v>
      </c>
      <c r="X484" s="172">
        <f t="shared" si="668"/>
        <v>0</v>
      </c>
      <c r="Y484" s="172" t="str">
        <f t="shared" si="669"/>
        <v/>
      </c>
      <c r="Z484" s="173">
        <f t="shared" si="670"/>
        <v>0</v>
      </c>
      <c r="AA484" s="171">
        <f t="shared" si="758"/>
        <v>0</v>
      </c>
      <c r="AB484" s="171">
        <f t="shared" si="758"/>
        <v>0</v>
      </c>
      <c r="AC484" s="171">
        <f t="shared" si="758"/>
        <v>0</v>
      </c>
      <c r="AD484" s="171">
        <f t="shared" si="758"/>
        <v>0</v>
      </c>
      <c r="AE484" s="171">
        <f t="shared" si="758"/>
        <v>0</v>
      </c>
      <c r="AF484" s="171">
        <f t="shared" si="758"/>
        <v>0</v>
      </c>
      <c r="AG484" s="171">
        <f t="shared" si="758"/>
        <v>0</v>
      </c>
      <c r="AH484" s="171">
        <f t="shared" si="758"/>
        <v>0</v>
      </c>
      <c r="AI484" s="171">
        <f t="shared" si="758"/>
        <v>0</v>
      </c>
      <c r="AJ484" s="171">
        <f t="shared" si="758"/>
        <v>0</v>
      </c>
      <c r="AK484" s="171">
        <f t="shared" si="759"/>
        <v>0</v>
      </c>
      <c r="AL484" s="171">
        <f t="shared" si="759"/>
        <v>0</v>
      </c>
      <c r="AM484" s="171">
        <f t="shared" si="759"/>
        <v>0</v>
      </c>
      <c r="AN484" s="171">
        <f t="shared" si="759"/>
        <v>0</v>
      </c>
      <c r="AO484" s="171">
        <f t="shared" si="759"/>
        <v>0</v>
      </c>
      <c r="AP484" s="171">
        <f t="shared" si="759"/>
        <v>0</v>
      </c>
      <c r="AQ484" s="171">
        <f t="shared" si="759"/>
        <v>0</v>
      </c>
      <c r="AR484" s="171">
        <f t="shared" si="759"/>
        <v>0</v>
      </c>
      <c r="AS484" s="171">
        <f t="shared" si="759"/>
        <v>0</v>
      </c>
      <c r="AT484" s="171">
        <f t="shared" si="759"/>
        <v>0</v>
      </c>
      <c r="AU484" s="171">
        <f t="shared" si="760"/>
        <v>0</v>
      </c>
      <c r="AV484" s="171">
        <f t="shared" si="760"/>
        <v>0</v>
      </c>
      <c r="AW484" s="171">
        <f t="shared" si="760"/>
        <v>0</v>
      </c>
      <c r="AX484" s="171">
        <f t="shared" si="760"/>
        <v>0</v>
      </c>
      <c r="AY484" s="171">
        <f t="shared" si="760"/>
        <v>0</v>
      </c>
      <c r="AZ484" s="171">
        <f t="shared" si="760"/>
        <v>0</v>
      </c>
      <c r="BA484" s="171">
        <f t="shared" si="760"/>
        <v>0</v>
      </c>
      <c r="BB484" s="171">
        <f t="shared" si="760"/>
        <v>0</v>
      </c>
      <c r="BC484" s="171">
        <f t="shared" si="760"/>
        <v>0</v>
      </c>
      <c r="BD484" s="171">
        <f t="shared" si="760"/>
        <v>0</v>
      </c>
      <c r="BE484" s="171">
        <f t="shared" si="761"/>
        <v>0</v>
      </c>
      <c r="BF484" s="171">
        <f t="shared" si="761"/>
        <v>0</v>
      </c>
      <c r="BG484" s="171">
        <f t="shared" si="761"/>
        <v>0</v>
      </c>
      <c r="BH484" s="171">
        <f t="shared" si="761"/>
        <v>0</v>
      </c>
      <c r="BI484" s="171">
        <f t="shared" si="761"/>
        <v>0</v>
      </c>
      <c r="BJ484" s="171">
        <f t="shared" si="761"/>
        <v>0</v>
      </c>
      <c r="BK484" s="171">
        <f t="shared" si="761"/>
        <v>0</v>
      </c>
      <c r="BL484" s="171">
        <f t="shared" si="761"/>
        <v>0</v>
      </c>
      <c r="BM484" s="171">
        <f t="shared" si="761"/>
        <v>0</v>
      </c>
      <c r="BN484" s="171">
        <f t="shared" si="761"/>
        <v>0</v>
      </c>
      <c r="BO484" s="171">
        <f t="shared" si="762"/>
        <v>0</v>
      </c>
      <c r="BP484" s="171">
        <f t="shared" si="762"/>
        <v>0</v>
      </c>
      <c r="BQ484" s="171">
        <f t="shared" si="762"/>
        <v>0</v>
      </c>
      <c r="BR484" s="171">
        <f t="shared" si="762"/>
        <v>0</v>
      </c>
      <c r="BS484" s="171">
        <f t="shared" si="762"/>
        <v>0</v>
      </c>
      <c r="BT484" s="171">
        <f t="shared" si="762"/>
        <v>0</v>
      </c>
      <c r="BU484" s="171">
        <f t="shared" si="762"/>
        <v>0</v>
      </c>
      <c r="BV484" s="171">
        <f t="shared" si="762"/>
        <v>0</v>
      </c>
      <c r="BW484" s="171">
        <f t="shared" si="762"/>
        <v>0</v>
      </c>
      <c r="BX484" s="171">
        <f t="shared" si="762"/>
        <v>0</v>
      </c>
      <c r="BY484" s="171">
        <f t="shared" si="763"/>
        <v>0</v>
      </c>
      <c r="BZ484" s="171">
        <f t="shared" si="763"/>
        <v>0</v>
      </c>
      <c r="CA484" s="171">
        <f t="shared" si="763"/>
        <v>0</v>
      </c>
      <c r="CB484" s="171">
        <f t="shared" si="763"/>
        <v>0</v>
      </c>
      <c r="CC484" s="171">
        <f t="shared" si="763"/>
        <v>0</v>
      </c>
      <c r="CD484" s="171">
        <f t="shared" si="763"/>
        <v>0</v>
      </c>
      <c r="CE484" s="171">
        <f t="shared" si="763"/>
        <v>0</v>
      </c>
      <c r="CF484" s="171">
        <f t="shared" si="763"/>
        <v>0</v>
      </c>
      <c r="CG484" s="171">
        <f t="shared" si="763"/>
        <v>0</v>
      </c>
      <c r="CH484" s="171">
        <f t="shared" si="763"/>
        <v>0</v>
      </c>
      <c r="CI484" s="171">
        <f t="shared" si="763"/>
        <v>0</v>
      </c>
      <c r="CJ484" s="243"/>
      <c r="CK484" s="171">
        <f t="shared" si="671"/>
        <v>0</v>
      </c>
      <c r="CL484" s="171">
        <f t="shared" si="672"/>
        <v>0</v>
      </c>
      <c r="CM484" s="171">
        <f t="shared" si="673"/>
        <v>0</v>
      </c>
      <c r="CN484" s="171">
        <f t="shared" si="674"/>
        <v>0</v>
      </c>
      <c r="CO484" s="171">
        <f t="shared" si="675"/>
        <v>0</v>
      </c>
      <c r="CP484" s="171">
        <f t="shared" si="676"/>
        <v>0</v>
      </c>
      <c r="CQ484" s="171">
        <f t="shared" si="677"/>
        <v>0</v>
      </c>
      <c r="CR484" s="171">
        <f t="shared" si="678"/>
        <v>0</v>
      </c>
      <c r="CS484" s="171">
        <f t="shared" si="679"/>
        <v>0</v>
      </c>
      <c r="CT484" s="171">
        <f t="shared" si="680"/>
        <v>0</v>
      </c>
      <c r="CU484" s="171">
        <f t="shared" si="681"/>
        <v>0</v>
      </c>
      <c r="CV484" s="171">
        <f t="shared" si="682"/>
        <v>0</v>
      </c>
      <c r="CW484" s="171">
        <f t="shared" si="683"/>
        <v>0</v>
      </c>
      <c r="CX484" s="171">
        <f t="shared" si="684"/>
        <v>0</v>
      </c>
      <c r="CY484" s="171">
        <f t="shared" ca="1" si="685"/>
        <v>0</v>
      </c>
      <c r="CZ484" s="171">
        <f t="shared" ca="1" si="686"/>
        <v>0</v>
      </c>
      <c r="DA484" s="171">
        <f t="shared" ca="1" si="687"/>
        <v>0</v>
      </c>
      <c r="DB484" s="171">
        <f t="shared" ca="1" si="688"/>
        <v>0</v>
      </c>
      <c r="DC484" s="171">
        <f t="shared" ca="1" si="689"/>
        <v>0</v>
      </c>
      <c r="DD484" s="171">
        <f t="shared" ca="1" si="690"/>
        <v>0</v>
      </c>
      <c r="DE484" s="171">
        <f t="shared" ca="1" si="691"/>
        <v>0</v>
      </c>
      <c r="DF484" s="171">
        <f t="shared" ca="1" si="692"/>
        <v>0</v>
      </c>
      <c r="DG484" s="171">
        <f t="shared" ca="1" si="693"/>
        <v>0</v>
      </c>
      <c r="DH484" s="171">
        <f t="shared" ca="1" si="694"/>
        <v>0</v>
      </c>
      <c r="DI484" s="171">
        <f t="shared" ca="1" si="695"/>
        <v>0</v>
      </c>
      <c r="DJ484" s="171">
        <f t="shared" ca="1" si="696"/>
        <v>0</v>
      </c>
      <c r="DK484" s="171">
        <f t="shared" ca="1" si="697"/>
        <v>0</v>
      </c>
      <c r="DL484" s="171">
        <f t="shared" ca="1" si="698"/>
        <v>0</v>
      </c>
      <c r="DM484" s="171">
        <f t="shared" ca="1" si="699"/>
        <v>0</v>
      </c>
      <c r="DN484" s="171">
        <f t="shared" ca="1" si="700"/>
        <v>0</v>
      </c>
      <c r="DO484" s="171">
        <f t="shared" ca="1" si="701"/>
        <v>0</v>
      </c>
      <c r="DP484" s="171">
        <f t="shared" ca="1" si="702"/>
        <v>0</v>
      </c>
      <c r="DQ484" s="171">
        <f t="shared" ca="1" si="703"/>
        <v>0</v>
      </c>
      <c r="DR484" s="171">
        <f t="shared" ca="1" si="704"/>
        <v>0</v>
      </c>
      <c r="DS484" s="171">
        <f t="shared" ca="1" si="705"/>
        <v>0</v>
      </c>
      <c r="DT484" s="171">
        <f t="shared" ca="1" si="706"/>
        <v>0</v>
      </c>
      <c r="DU484" s="171">
        <f t="shared" ca="1" si="707"/>
        <v>0</v>
      </c>
      <c r="DV484" s="171">
        <f t="shared" ca="1" si="708"/>
        <v>0</v>
      </c>
      <c r="DW484" s="171">
        <f t="shared" ca="1" si="709"/>
        <v>0</v>
      </c>
      <c r="DX484" s="171">
        <f t="shared" ca="1" si="710"/>
        <v>0</v>
      </c>
      <c r="DY484" s="171">
        <f t="shared" ca="1" si="711"/>
        <v>0</v>
      </c>
      <c r="DZ484" s="171">
        <f t="shared" ca="1" si="712"/>
        <v>0</v>
      </c>
      <c r="EA484" s="171">
        <f t="shared" ca="1" si="713"/>
        <v>0</v>
      </c>
      <c r="EB484" s="171">
        <f t="shared" ca="1" si="714"/>
        <v>0</v>
      </c>
      <c r="EC484" s="171">
        <f t="shared" ca="1" si="715"/>
        <v>0</v>
      </c>
      <c r="ED484" s="171">
        <f t="shared" ca="1" si="716"/>
        <v>0</v>
      </c>
      <c r="EE484" s="171">
        <f t="shared" ca="1" si="717"/>
        <v>0</v>
      </c>
      <c r="EF484" s="171">
        <f t="shared" ca="1" si="718"/>
        <v>0</v>
      </c>
      <c r="EG484" s="171">
        <f t="shared" ca="1" si="719"/>
        <v>0</v>
      </c>
      <c r="EH484" s="171">
        <f t="shared" ca="1" si="720"/>
        <v>0</v>
      </c>
      <c r="EI484" s="171">
        <f t="shared" ca="1" si="721"/>
        <v>0</v>
      </c>
      <c r="EJ484" s="171">
        <f t="shared" ca="1" si="722"/>
        <v>0</v>
      </c>
      <c r="EK484" s="171">
        <f t="shared" ca="1" si="723"/>
        <v>0</v>
      </c>
      <c r="EL484" s="171">
        <f t="shared" ca="1" si="724"/>
        <v>0</v>
      </c>
      <c r="EM484" s="171">
        <f t="shared" ca="1" si="725"/>
        <v>0</v>
      </c>
      <c r="EN484" s="171">
        <f t="shared" ca="1" si="726"/>
        <v>0</v>
      </c>
      <c r="EO484" s="171">
        <f t="shared" ca="1" si="727"/>
        <v>0</v>
      </c>
      <c r="EP484" s="171">
        <f t="shared" ca="1" si="728"/>
        <v>0</v>
      </c>
      <c r="EQ484" s="171">
        <f t="shared" ca="1" si="729"/>
        <v>0</v>
      </c>
      <c r="ER484" s="171">
        <f t="shared" ca="1" si="730"/>
        <v>0</v>
      </c>
      <c r="ES484" s="171">
        <f t="shared" ca="1" si="731"/>
        <v>0</v>
      </c>
    </row>
    <row r="485" spans="3:149">
      <c r="C485" s="157"/>
      <c r="L485" s="163"/>
      <c r="M485" s="164" t="str">
        <f t="shared" si="662"/>
        <v/>
      </c>
      <c r="N485" s="164" t="str">
        <f t="shared" si="663"/>
        <v/>
      </c>
      <c r="O485" s="165" t="str">
        <f t="shared" si="664"/>
        <v/>
      </c>
      <c r="R485" s="168" t="str">
        <f t="shared" si="751"/>
        <v/>
      </c>
      <c r="U485" s="171">
        <f t="shared" si="665"/>
        <v>0</v>
      </c>
      <c r="V485" s="171">
        <f t="shared" ca="1" si="666"/>
        <v>0</v>
      </c>
      <c r="W485" s="171">
        <f t="shared" ca="1" si="667"/>
        <v>0</v>
      </c>
      <c r="X485" s="172">
        <f t="shared" si="668"/>
        <v>0</v>
      </c>
      <c r="Y485" s="172" t="str">
        <f t="shared" si="669"/>
        <v/>
      </c>
      <c r="Z485" s="173">
        <f t="shared" si="670"/>
        <v>0</v>
      </c>
      <c r="AA485" s="171">
        <f t="shared" si="758"/>
        <v>0</v>
      </c>
      <c r="AB485" s="171">
        <f t="shared" si="758"/>
        <v>0</v>
      </c>
      <c r="AC485" s="171">
        <f t="shared" si="758"/>
        <v>0</v>
      </c>
      <c r="AD485" s="171">
        <f t="shared" si="758"/>
        <v>0</v>
      </c>
      <c r="AE485" s="171">
        <f t="shared" si="758"/>
        <v>0</v>
      </c>
      <c r="AF485" s="171">
        <f t="shared" si="758"/>
        <v>0</v>
      </c>
      <c r="AG485" s="171">
        <f t="shared" si="758"/>
        <v>0</v>
      </c>
      <c r="AH485" s="171">
        <f t="shared" si="758"/>
        <v>0</v>
      </c>
      <c r="AI485" s="171">
        <f t="shared" si="758"/>
        <v>0</v>
      </c>
      <c r="AJ485" s="171">
        <f t="shared" si="758"/>
        <v>0</v>
      </c>
      <c r="AK485" s="171">
        <f t="shared" si="759"/>
        <v>0</v>
      </c>
      <c r="AL485" s="171">
        <f t="shared" si="759"/>
        <v>0</v>
      </c>
      <c r="AM485" s="171">
        <f t="shared" si="759"/>
        <v>0</v>
      </c>
      <c r="AN485" s="171">
        <f t="shared" si="759"/>
        <v>0</v>
      </c>
      <c r="AO485" s="171">
        <f t="shared" si="759"/>
        <v>0</v>
      </c>
      <c r="AP485" s="171">
        <f t="shared" si="759"/>
        <v>0</v>
      </c>
      <c r="AQ485" s="171">
        <f t="shared" si="759"/>
        <v>0</v>
      </c>
      <c r="AR485" s="171">
        <f t="shared" si="759"/>
        <v>0</v>
      </c>
      <c r="AS485" s="171">
        <f t="shared" si="759"/>
        <v>0</v>
      </c>
      <c r="AT485" s="171">
        <f t="shared" si="759"/>
        <v>0</v>
      </c>
      <c r="AU485" s="171">
        <f t="shared" si="760"/>
        <v>0</v>
      </c>
      <c r="AV485" s="171">
        <f t="shared" si="760"/>
        <v>0</v>
      </c>
      <c r="AW485" s="171">
        <f t="shared" si="760"/>
        <v>0</v>
      </c>
      <c r="AX485" s="171">
        <f t="shared" si="760"/>
        <v>0</v>
      </c>
      <c r="AY485" s="171">
        <f t="shared" si="760"/>
        <v>0</v>
      </c>
      <c r="AZ485" s="171">
        <f t="shared" si="760"/>
        <v>0</v>
      </c>
      <c r="BA485" s="171">
        <f t="shared" si="760"/>
        <v>0</v>
      </c>
      <c r="BB485" s="171">
        <f t="shared" si="760"/>
        <v>0</v>
      </c>
      <c r="BC485" s="171">
        <f t="shared" si="760"/>
        <v>0</v>
      </c>
      <c r="BD485" s="171">
        <f t="shared" si="760"/>
        <v>0</v>
      </c>
      <c r="BE485" s="171">
        <f t="shared" si="761"/>
        <v>0</v>
      </c>
      <c r="BF485" s="171">
        <f t="shared" si="761"/>
        <v>0</v>
      </c>
      <c r="BG485" s="171">
        <f t="shared" si="761"/>
        <v>0</v>
      </c>
      <c r="BH485" s="171">
        <f t="shared" si="761"/>
        <v>0</v>
      </c>
      <c r="BI485" s="171">
        <f t="shared" si="761"/>
        <v>0</v>
      </c>
      <c r="BJ485" s="171">
        <f t="shared" si="761"/>
        <v>0</v>
      </c>
      <c r="BK485" s="171">
        <f t="shared" si="761"/>
        <v>0</v>
      </c>
      <c r="BL485" s="171">
        <f t="shared" si="761"/>
        <v>0</v>
      </c>
      <c r="BM485" s="171">
        <f t="shared" si="761"/>
        <v>0</v>
      </c>
      <c r="BN485" s="171">
        <f t="shared" si="761"/>
        <v>0</v>
      </c>
      <c r="BO485" s="171">
        <f t="shared" si="762"/>
        <v>0</v>
      </c>
      <c r="BP485" s="171">
        <f t="shared" si="762"/>
        <v>0</v>
      </c>
      <c r="BQ485" s="171">
        <f t="shared" si="762"/>
        <v>0</v>
      </c>
      <c r="BR485" s="171">
        <f t="shared" si="762"/>
        <v>0</v>
      </c>
      <c r="BS485" s="171">
        <f t="shared" si="762"/>
        <v>0</v>
      </c>
      <c r="BT485" s="171">
        <f t="shared" si="762"/>
        <v>0</v>
      </c>
      <c r="BU485" s="171">
        <f t="shared" si="762"/>
        <v>0</v>
      </c>
      <c r="BV485" s="171">
        <f t="shared" si="762"/>
        <v>0</v>
      </c>
      <c r="BW485" s="171">
        <f t="shared" si="762"/>
        <v>0</v>
      </c>
      <c r="BX485" s="171">
        <f t="shared" si="762"/>
        <v>0</v>
      </c>
      <c r="BY485" s="171">
        <f t="shared" si="763"/>
        <v>0</v>
      </c>
      <c r="BZ485" s="171">
        <f t="shared" si="763"/>
        <v>0</v>
      </c>
      <c r="CA485" s="171">
        <f t="shared" si="763"/>
        <v>0</v>
      </c>
      <c r="CB485" s="171">
        <f t="shared" si="763"/>
        <v>0</v>
      </c>
      <c r="CC485" s="171">
        <f t="shared" si="763"/>
        <v>0</v>
      </c>
      <c r="CD485" s="171">
        <f t="shared" si="763"/>
        <v>0</v>
      </c>
      <c r="CE485" s="171">
        <f t="shared" si="763"/>
        <v>0</v>
      </c>
      <c r="CF485" s="171">
        <f t="shared" si="763"/>
        <v>0</v>
      </c>
      <c r="CG485" s="171">
        <f t="shared" si="763"/>
        <v>0</v>
      </c>
      <c r="CH485" s="171">
        <f t="shared" si="763"/>
        <v>0</v>
      </c>
      <c r="CI485" s="171">
        <f t="shared" si="763"/>
        <v>0</v>
      </c>
      <c r="CJ485" s="243"/>
      <c r="CK485" s="171">
        <f t="shared" si="671"/>
        <v>0</v>
      </c>
      <c r="CL485" s="171">
        <f t="shared" si="672"/>
        <v>0</v>
      </c>
      <c r="CM485" s="171">
        <f t="shared" si="673"/>
        <v>0</v>
      </c>
      <c r="CN485" s="171">
        <f t="shared" si="674"/>
        <v>0</v>
      </c>
      <c r="CO485" s="171">
        <f t="shared" si="675"/>
        <v>0</v>
      </c>
      <c r="CP485" s="171">
        <f t="shared" si="676"/>
        <v>0</v>
      </c>
      <c r="CQ485" s="171">
        <f t="shared" si="677"/>
        <v>0</v>
      </c>
      <c r="CR485" s="171">
        <f t="shared" si="678"/>
        <v>0</v>
      </c>
      <c r="CS485" s="171">
        <f t="shared" si="679"/>
        <v>0</v>
      </c>
      <c r="CT485" s="171">
        <f t="shared" si="680"/>
        <v>0</v>
      </c>
      <c r="CU485" s="171">
        <f t="shared" si="681"/>
        <v>0</v>
      </c>
      <c r="CV485" s="171">
        <f t="shared" si="682"/>
        <v>0</v>
      </c>
      <c r="CW485" s="171">
        <f t="shared" si="683"/>
        <v>0</v>
      </c>
      <c r="CX485" s="171">
        <f t="shared" si="684"/>
        <v>0</v>
      </c>
      <c r="CY485" s="171">
        <f t="shared" ca="1" si="685"/>
        <v>0</v>
      </c>
      <c r="CZ485" s="171">
        <f t="shared" ca="1" si="686"/>
        <v>0</v>
      </c>
      <c r="DA485" s="171">
        <f t="shared" ca="1" si="687"/>
        <v>0</v>
      </c>
      <c r="DB485" s="171">
        <f t="shared" ca="1" si="688"/>
        <v>0</v>
      </c>
      <c r="DC485" s="171">
        <f t="shared" ca="1" si="689"/>
        <v>0</v>
      </c>
      <c r="DD485" s="171">
        <f t="shared" ca="1" si="690"/>
        <v>0</v>
      </c>
      <c r="DE485" s="171">
        <f t="shared" ca="1" si="691"/>
        <v>0</v>
      </c>
      <c r="DF485" s="171">
        <f t="shared" ca="1" si="692"/>
        <v>0</v>
      </c>
      <c r="DG485" s="171">
        <f t="shared" ca="1" si="693"/>
        <v>0</v>
      </c>
      <c r="DH485" s="171">
        <f t="shared" ca="1" si="694"/>
        <v>0</v>
      </c>
      <c r="DI485" s="171">
        <f t="shared" ca="1" si="695"/>
        <v>0</v>
      </c>
      <c r="DJ485" s="171">
        <f t="shared" ca="1" si="696"/>
        <v>0</v>
      </c>
      <c r="DK485" s="171">
        <f t="shared" ca="1" si="697"/>
        <v>0</v>
      </c>
      <c r="DL485" s="171">
        <f t="shared" ca="1" si="698"/>
        <v>0</v>
      </c>
      <c r="DM485" s="171">
        <f t="shared" ca="1" si="699"/>
        <v>0</v>
      </c>
      <c r="DN485" s="171">
        <f t="shared" ca="1" si="700"/>
        <v>0</v>
      </c>
      <c r="DO485" s="171">
        <f t="shared" ca="1" si="701"/>
        <v>0</v>
      </c>
      <c r="DP485" s="171">
        <f t="shared" ca="1" si="702"/>
        <v>0</v>
      </c>
      <c r="DQ485" s="171">
        <f t="shared" ca="1" si="703"/>
        <v>0</v>
      </c>
      <c r="DR485" s="171">
        <f t="shared" ca="1" si="704"/>
        <v>0</v>
      </c>
      <c r="DS485" s="171">
        <f t="shared" ca="1" si="705"/>
        <v>0</v>
      </c>
      <c r="DT485" s="171">
        <f t="shared" ca="1" si="706"/>
        <v>0</v>
      </c>
      <c r="DU485" s="171">
        <f t="shared" ca="1" si="707"/>
        <v>0</v>
      </c>
      <c r="DV485" s="171">
        <f t="shared" ca="1" si="708"/>
        <v>0</v>
      </c>
      <c r="DW485" s="171">
        <f t="shared" ca="1" si="709"/>
        <v>0</v>
      </c>
      <c r="DX485" s="171">
        <f t="shared" ca="1" si="710"/>
        <v>0</v>
      </c>
      <c r="DY485" s="171">
        <f t="shared" ca="1" si="711"/>
        <v>0</v>
      </c>
      <c r="DZ485" s="171">
        <f t="shared" ca="1" si="712"/>
        <v>0</v>
      </c>
      <c r="EA485" s="171">
        <f t="shared" ca="1" si="713"/>
        <v>0</v>
      </c>
      <c r="EB485" s="171">
        <f t="shared" ca="1" si="714"/>
        <v>0</v>
      </c>
      <c r="EC485" s="171">
        <f t="shared" ca="1" si="715"/>
        <v>0</v>
      </c>
      <c r="ED485" s="171">
        <f t="shared" ca="1" si="716"/>
        <v>0</v>
      </c>
      <c r="EE485" s="171">
        <f t="shared" ca="1" si="717"/>
        <v>0</v>
      </c>
      <c r="EF485" s="171">
        <f t="shared" ca="1" si="718"/>
        <v>0</v>
      </c>
      <c r="EG485" s="171">
        <f t="shared" ca="1" si="719"/>
        <v>0</v>
      </c>
      <c r="EH485" s="171">
        <f t="shared" ca="1" si="720"/>
        <v>0</v>
      </c>
      <c r="EI485" s="171">
        <f t="shared" ca="1" si="721"/>
        <v>0</v>
      </c>
      <c r="EJ485" s="171">
        <f t="shared" ca="1" si="722"/>
        <v>0</v>
      </c>
      <c r="EK485" s="171">
        <f t="shared" ca="1" si="723"/>
        <v>0</v>
      </c>
      <c r="EL485" s="171">
        <f t="shared" ca="1" si="724"/>
        <v>0</v>
      </c>
      <c r="EM485" s="171">
        <f t="shared" ca="1" si="725"/>
        <v>0</v>
      </c>
      <c r="EN485" s="171">
        <f t="shared" ca="1" si="726"/>
        <v>0</v>
      </c>
      <c r="EO485" s="171">
        <f t="shared" ca="1" si="727"/>
        <v>0</v>
      </c>
      <c r="EP485" s="171">
        <f t="shared" ca="1" si="728"/>
        <v>0</v>
      </c>
      <c r="EQ485" s="171">
        <f t="shared" ca="1" si="729"/>
        <v>0</v>
      </c>
      <c r="ER485" s="171">
        <f t="shared" ca="1" si="730"/>
        <v>0</v>
      </c>
      <c r="ES485" s="171">
        <f t="shared" ca="1" si="731"/>
        <v>0</v>
      </c>
    </row>
    <row r="486" spans="3:149">
      <c r="C486" s="157"/>
      <c r="L486" s="163"/>
      <c r="M486" s="164" t="str">
        <f t="shared" si="662"/>
        <v/>
      </c>
      <c r="N486" s="164" t="str">
        <f t="shared" si="663"/>
        <v/>
      </c>
      <c r="O486" s="165" t="str">
        <f t="shared" si="664"/>
        <v/>
      </c>
      <c r="R486" s="168" t="str">
        <f t="shared" si="751"/>
        <v/>
      </c>
      <c r="U486" s="171">
        <f t="shared" si="665"/>
        <v>0</v>
      </c>
      <c r="V486" s="171">
        <f t="shared" ca="1" si="666"/>
        <v>0</v>
      </c>
      <c r="W486" s="171">
        <f t="shared" ca="1" si="667"/>
        <v>0</v>
      </c>
      <c r="X486" s="172">
        <f t="shared" si="668"/>
        <v>0</v>
      </c>
      <c r="Y486" s="172" t="str">
        <f t="shared" si="669"/>
        <v/>
      </c>
      <c r="Z486" s="173">
        <f t="shared" si="670"/>
        <v>0</v>
      </c>
      <c r="AA486" s="171">
        <f t="shared" si="758"/>
        <v>0</v>
      </c>
      <c r="AB486" s="171">
        <f t="shared" si="758"/>
        <v>0</v>
      </c>
      <c r="AC486" s="171">
        <f t="shared" si="758"/>
        <v>0</v>
      </c>
      <c r="AD486" s="171">
        <f t="shared" si="758"/>
        <v>0</v>
      </c>
      <c r="AE486" s="171">
        <f t="shared" si="758"/>
        <v>0</v>
      </c>
      <c r="AF486" s="171">
        <f t="shared" si="758"/>
        <v>0</v>
      </c>
      <c r="AG486" s="171">
        <f t="shared" si="758"/>
        <v>0</v>
      </c>
      <c r="AH486" s="171">
        <f t="shared" si="758"/>
        <v>0</v>
      </c>
      <c r="AI486" s="171">
        <f t="shared" si="758"/>
        <v>0</v>
      </c>
      <c r="AJ486" s="171">
        <f t="shared" si="758"/>
        <v>0</v>
      </c>
      <c r="AK486" s="171">
        <f t="shared" si="759"/>
        <v>0</v>
      </c>
      <c r="AL486" s="171">
        <f t="shared" si="759"/>
        <v>0</v>
      </c>
      <c r="AM486" s="171">
        <f t="shared" si="759"/>
        <v>0</v>
      </c>
      <c r="AN486" s="171">
        <f t="shared" si="759"/>
        <v>0</v>
      </c>
      <c r="AO486" s="171">
        <f t="shared" si="759"/>
        <v>0</v>
      </c>
      <c r="AP486" s="171">
        <f t="shared" si="759"/>
        <v>0</v>
      </c>
      <c r="AQ486" s="171">
        <f t="shared" si="759"/>
        <v>0</v>
      </c>
      <c r="AR486" s="171">
        <f t="shared" si="759"/>
        <v>0</v>
      </c>
      <c r="AS486" s="171">
        <f t="shared" si="759"/>
        <v>0</v>
      </c>
      <c r="AT486" s="171">
        <f t="shared" si="759"/>
        <v>0</v>
      </c>
      <c r="AU486" s="171">
        <f t="shared" si="760"/>
        <v>0</v>
      </c>
      <c r="AV486" s="171">
        <f t="shared" si="760"/>
        <v>0</v>
      </c>
      <c r="AW486" s="171">
        <f t="shared" si="760"/>
        <v>0</v>
      </c>
      <c r="AX486" s="171">
        <f t="shared" si="760"/>
        <v>0</v>
      </c>
      <c r="AY486" s="171">
        <f t="shared" si="760"/>
        <v>0</v>
      </c>
      <c r="AZ486" s="171">
        <f t="shared" si="760"/>
        <v>0</v>
      </c>
      <c r="BA486" s="171">
        <f t="shared" si="760"/>
        <v>0</v>
      </c>
      <c r="BB486" s="171">
        <f t="shared" si="760"/>
        <v>0</v>
      </c>
      <c r="BC486" s="171">
        <f t="shared" si="760"/>
        <v>0</v>
      </c>
      <c r="BD486" s="171">
        <f t="shared" si="760"/>
        <v>0</v>
      </c>
      <c r="BE486" s="171">
        <f t="shared" si="761"/>
        <v>0</v>
      </c>
      <c r="BF486" s="171">
        <f t="shared" si="761"/>
        <v>0</v>
      </c>
      <c r="BG486" s="171">
        <f t="shared" si="761"/>
        <v>0</v>
      </c>
      <c r="BH486" s="171">
        <f t="shared" si="761"/>
        <v>0</v>
      </c>
      <c r="BI486" s="171">
        <f t="shared" si="761"/>
        <v>0</v>
      </c>
      <c r="BJ486" s="171">
        <f t="shared" si="761"/>
        <v>0</v>
      </c>
      <c r="BK486" s="171">
        <f t="shared" si="761"/>
        <v>0</v>
      </c>
      <c r="BL486" s="171">
        <f t="shared" si="761"/>
        <v>0</v>
      </c>
      <c r="BM486" s="171">
        <f t="shared" si="761"/>
        <v>0</v>
      </c>
      <c r="BN486" s="171">
        <f t="shared" si="761"/>
        <v>0</v>
      </c>
      <c r="BO486" s="171">
        <f t="shared" si="762"/>
        <v>0</v>
      </c>
      <c r="BP486" s="171">
        <f t="shared" si="762"/>
        <v>0</v>
      </c>
      <c r="BQ486" s="171">
        <f t="shared" si="762"/>
        <v>0</v>
      </c>
      <c r="BR486" s="171">
        <f t="shared" si="762"/>
        <v>0</v>
      </c>
      <c r="BS486" s="171">
        <f t="shared" si="762"/>
        <v>0</v>
      </c>
      <c r="BT486" s="171">
        <f t="shared" si="762"/>
        <v>0</v>
      </c>
      <c r="BU486" s="171">
        <f t="shared" si="762"/>
        <v>0</v>
      </c>
      <c r="BV486" s="171">
        <f t="shared" si="762"/>
        <v>0</v>
      </c>
      <c r="BW486" s="171">
        <f t="shared" si="762"/>
        <v>0</v>
      </c>
      <c r="BX486" s="171">
        <f t="shared" si="762"/>
        <v>0</v>
      </c>
      <c r="BY486" s="171">
        <f t="shared" si="763"/>
        <v>0</v>
      </c>
      <c r="BZ486" s="171">
        <f t="shared" si="763"/>
        <v>0</v>
      </c>
      <c r="CA486" s="171">
        <f t="shared" si="763"/>
        <v>0</v>
      </c>
      <c r="CB486" s="171">
        <f t="shared" si="763"/>
        <v>0</v>
      </c>
      <c r="CC486" s="171">
        <f t="shared" si="763"/>
        <v>0</v>
      </c>
      <c r="CD486" s="171">
        <f t="shared" si="763"/>
        <v>0</v>
      </c>
      <c r="CE486" s="171">
        <f t="shared" si="763"/>
        <v>0</v>
      </c>
      <c r="CF486" s="171">
        <f t="shared" si="763"/>
        <v>0</v>
      </c>
      <c r="CG486" s="171">
        <f t="shared" si="763"/>
        <v>0</v>
      </c>
      <c r="CH486" s="171">
        <f t="shared" si="763"/>
        <v>0</v>
      </c>
      <c r="CI486" s="171">
        <f t="shared" si="763"/>
        <v>0</v>
      </c>
      <c r="CJ486" s="243"/>
      <c r="CK486" s="171">
        <f t="shared" si="671"/>
        <v>0</v>
      </c>
      <c r="CL486" s="171">
        <f t="shared" si="672"/>
        <v>0</v>
      </c>
      <c r="CM486" s="171">
        <f t="shared" si="673"/>
        <v>0</v>
      </c>
      <c r="CN486" s="171">
        <f t="shared" si="674"/>
        <v>0</v>
      </c>
      <c r="CO486" s="171">
        <f t="shared" si="675"/>
        <v>0</v>
      </c>
      <c r="CP486" s="171">
        <f t="shared" si="676"/>
        <v>0</v>
      </c>
      <c r="CQ486" s="171">
        <f t="shared" si="677"/>
        <v>0</v>
      </c>
      <c r="CR486" s="171">
        <f t="shared" si="678"/>
        <v>0</v>
      </c>
      <c r="CS486" s="171">
        <f t="shared" si="679"/>
        <v>0</v>
      </c>
      <c r="CT486" s="171">
        <f t="shared" si="680"/>
        <v>0</v>
      </c>
      <c r="CU486" s="171">
        <f t="shared" si="681"/>
        <v>0</v>
      </c>
      <c r="CV486" s="171">
        <f t="shared" si="682"/>
        <v>0</v>
      </c>
      <c r="CW486" s="171">
        <f t="shared" si="683"/>
        <v>0</v>
      </c>
      <c r="CX486" s="171">
        <f t="shared" si="684"/>
        <v>0</v>
      </c>
      <c r="CY486" s="171">
        <f t="shared" ca="1" si="685"/>
        <v>0</v>
      </c>
      <c r="CZ486" s="171">
        <f t="shared" ca="1" si="686"/>
        <v>0</v>
      </c>
      <c r="DA486" s="171">
        <f t="shared" ca="1" si="687"/>
        <v>0</v>
      </c>
      <c r="DB486" s="171">
        <f t="shared" ca="1" si="688"/>
        <v>0</v>
      </c>
      <c r="DC486" s="171">
        <f t="shared" ca="1" si="689"/>
        <v>0</v>
      </c>
      <c r="DD486" s="171">
        <f t="shared" ca="1" si="690"/>
        <v>0</v>
      </c>
      <c r="DE486" s="171">
        <f t="shared" ca="1" si="691"/>
        <v>0</v>
      </c>
      <c r="DF486" s="171">
        <f t="shared" ca="1" si="692"/>
        <v>0</v>
      </c>
      <c r="DG486" s="171">
        <f t="shared" ca="1" si="693"/>
        <v>0</v>
      </c>
      <c r="DH486" s="171">
        <f t="shared" ca="1" si="694"/>
        <v>0</v>
      </c>
      <c r="DI486" s="171">
        <f t="shared" ca="1" si="695"/>
        <v>0</v>
      </c>
      <c r="DJ486" s="171">
        <f t="shared" ca="1" si="696"/>
        <v>0</v>
      </c>
      <c r="DK486" s="171">
        <f t="shared" ca="1" si="697"/>
        <v>0</v>
      </c>
      <c r="DL486" s="171">
        <f t="shared" ca="1" si="698"/>
        <v>0</v>
      </c>
      <c r="DM486" s="171">
        <f t="shared" ca="1" si="699"/>
        <v>0</v>
      </c>
      <c r="DN486" s="171">
        <f t="shared" ca="1" si="700"/>
        <v>0</v>
      </c>
      <c r="DO486" s="171">
        <f t="shared" ca="1" si="701"/>
        <v>0</v>
      </c>
      <c r="DP486" s="171">
        <f t="shared" ca="1" si="702"/>
        <v>0</v>
      </c>
      <c r="DQ486" s="171">
        <f t="shared" ca="1" si="703"/>
        <v>0</v>
      </c>
      <c r="DR486" s="171">
        <f t="shared" ca="1" si="704"/>
        <v>0</v>
      </c>
      <c r="DS486" s="171">
        <f t="shared" ca="1" si="705"/>
        <v>0</v>
      </c>
      <c r="DT486" s="171">
        <f t="shared" ca="1" si="706"/>
        <v>0</v>
      </c>
      <c r="DU486" s="171">
        <f t="shared" ca="1" si="707"/>
        <v>0</v>
      </c>
      <c r="DV486" s="171">
        <f t="shared" ca="1" si="708"/>
        <v>0</v>
      </c>
      <c r="DW486" s="171">
        <f t="shared" ca="1" si="709"/>
        <v>0</v>
      </c>
      <c r="DX486" s="171">
        <f t="shared" ca="1" si="710"/>
        <v>0</v>
      </c>
      <c r="DY486" s="171">
        <f t="shared" ca="1" si="711"/>
        <v>0</v>
      </c>
      <c r="DZ486" s="171">
        <f t="shared" ca="1" si="712"/>
        <v>0</v>
      </c>
      <c r="EA486" s="171">
        <f t="shared" ca="1" si="713"/>
        <v>0</v>
      </c>
      <c r="EB486" s="171">
        <f t="shared" ca="1" si="714"/>
        <v>0</v>
      </c>
      <c r="EC486" s="171">
        <f t="shared" ca="1" si="715"/>
        <v>0</v>
      </c>
      <c r="ED486" s="171">
        <f t="shared" ca="1" si="716"/>
        <v>0</v>
      </c>
      <c r="EE486" s="171">
        <f t="shared" ca="1" si="717"/>
        <v>0</v>
      </c>
      <c r="EF486" s="171">
        <f t="shared" ca="1" si="718"/>
        <v>0</v>
      </c>
      <c r="EG486" s="171">
        <f t="shared" ca="1" si="719"/>
        <v>0</v>
      </c>
      <c r="EH486" s="171">
        <f t="shared" ca="1" si="720"/>
        <v>0</v>
      </c>
      <c r="EI486" s="171">
        <f t="shared" ca="1" si="721"/>
        <v>0</v>
      </c>
      <c r="EJ486" s="171">
        <f t="shared" ca="1" si="722"/>
        <v>0</v>
      </c>
      <c r="EK486" s="171">
        <f t="shared" ca="1" si="723"/>
        <v>0</v>
      </c>
      <c r="EL486" s="171">
        <f t="shared" ca="1" si="724"/>
        <v>0</v>
      </c>
      <c r="EM486" s="171">
        <f t="shared" ca="1" si="725"/>
        <v>0</v>
      </c>
      <c r="EN486" s="171">
        <f t="shared" ca="1" si="726"/>
        <v>0</v>
      </c>
      <c r="EO486" s="171">
        <f t="shared" ca="1" si="727"/>
        <v>0</v>
      </c>
      <c r="EP486" s="171">
        <f t="shared" ca="1" si="728"/>
        <v>0</v>
      </c>
      <c r="EQ486" s="171">
        <f t="shared" ca="1" si="729"/>
        <v>0</v>
      </c>
      <c r="ER486" s="171">
        <f t="shared" ca="1" si="730"/>
        <v>0</v>
      </c>
      <c r="ES486" s="171">
        <f t="shared" ca="1" si="731"/>
        <v>0</v>
      </c>
    </row>
    <row r="487" spans="3:149">
      <c r="C487" s="157"/>
      <c r="L487" s="163"/>
      <c r="M487" s="164" t="str">
        <f t="shared" si="662"/>
        <v/>
      </c>
      <c r="N487" s="164" t="str">
        <f t="shared" si="663"/>
        <v/>
      </c>
      <c r="O487" s="165" t="str">
        <f t="shared" si="664"/>
        <v/>
      </c>
      <c r="R487" s="168" t="str">
        <f t="shared" si="751"/>
        <v/>
      </c>
      <c r="U487" s="171">
        <f t="shared" si="665"/>
        <v>0</v>
      </c>
      <c r="V487" s="171">
        <f t="shared" ca="1" si="666"/>
        <v>0</v>
      </c>
      <c r="W487" s="171">
        <f t="shared" ca="1" si="667"/>
        <v>0</v>
      </c>
      <c r="X487" s="172">
        <f t="shared" si="668"/>
        <v>0</v>
      </c>
      <c r="Y487" s="172" t="str">
        <f t="shared" si="669"/>
        <v/>
      </c>
      <c r="Z487" s="173">
        <f t="shared" si="670"/>
        <v>0</v>
      </c>
      <c r="AA487" s="171">
        <f t="shared" si="758"/>
        <v>0</v>
      </c>
      <c r="AB487" s="171">
        <f t="shared" si="758"/>
        <v>0</v>
      </c>
      <c r="AC487" s="171">
        <f t="shared" si="758"/>
        <v>0</v>
      </c>
      <c r="AD487" s="171">
        <f t="shared" si="758"/>
        <v>0</v>
      </c>
      <c r="AE487" s="171">
        <f t="shared" si="758"/>
        <v>0</v>
      </c>
      <c r="AF487" s="171">
        <f t="shared" si="758"/>
        <v>0</v>
      </c>
      <c r="AG487" s="171">
        <f t="shared" si="758"/>
        <v>0</v>
      </c>
      <c r="AH487" s="171">
        <f t="shared" si="758"/>
        <v>0</v>
      </c>
      <c r="AI487" s="171">
        <f t="shared" si="758"/>
        <v>0</v>
      </c>
      <c r="AJ487" s="171">
        <f t="shared" si="758"/>
        <v>0</v>
      </c>
      <c r="AK487" s="171">
        <f t="shared" si="759"/>
        <v>0</v>
      </c>
      <c r="AL487" s="171">
        <f t="shared" si="759"/>
        <v>0</v>
      </c>
      <c r="AM487" s="171">
        <f t="shared" si="759"/>
        <v>0</v>
      </c>
      <c r="AN487" s="171">
        <f t="shared" si="759"/>
        <v>0</v>
      </c>
      <c r="AO487" s="171">
        <f t="shared" si="759"/>
        <v>0</v>
      </c>
      <c r="AP487" s="171">
        <f t="shared" si="759"/>
        <v>0</v>
      </c>
      <c r="AQ487" s="171">
        <f t="shared" si="759"/>
        <v>0</v>
      </c>
      <c r="AR487" s="171">
        <f t="shared" si="759"/>
        <v>0</v>
      </c>
      <c r="AS487" s="171">
        <f t="shared" si="759"/>
        <v>0</v>
      </c>
      <c r="AT487" s="171">
        <f t="shared" si="759"/>
        <v>0</v>
      </c>
      <c r="AU487" s="171">
        <f t="shared" si="760"/>
        <v>0</v>
      </c>
      <c r="AV487" s="171">
        <f t="shared" si="760"/>
        <v>0</v>
      </c>
      <c r="AW487" s="171">
        <f t="shared" si="760"/>
        <v>0</v>
      </c>
      <c r="AX487" s="171">
        <f t="shared" si="760"/>
        <v>0</v>
      </c>
      <c r="AY487" s="171">
        <f t="shared" si="760"/>
        <v>0</v>
      </c>
      <c r="AZ487" s="171">
        <f t="shared" si="760"/>
        <v>0</v>
      </c>
      <c r="BA487" s="171">
        <f t="shared" si="760"/>
        <v>0</v>
      </c>
      <c r="BB487" s="171">
        <f t="shared" si="760"/>
        <v>0</v>
      </c>
      <c r="BC487" s="171">
        <f t="shared" si="760"/>
        <v>0</v>
      </c>
      <c r="BD487" s="171">
        <f t="shared" si="760"/>
        <v>0</v>
      </c>
      <c r="BE487" s="171">
        <f t="shared" si="761"/>
        <v>0</v>
      </c>
      <c r="BF487" s="171">
        <f t="shared" si="761"/>
        <v>0</v>
      </c>
      <c r="BG487" s="171">
        <f t="shared" si="761"/>
        <v>0</v>
      </c>
      <c r="BH487" s="171">
        <f t="shared" si="761"/>
        <v>0</v>
      </c>
      <c r="BI487" s="171">
        <f t="shared" si="761"/>
        <v>0</v>
      </c>
      <c r="BJ487" s="171">
        <f t="shared" si="761"/>
        <v>0</v>
      </c>
      <c r="BK487" s="171">
        <f t="shared" si="761"/>
        <v>0</v>
      </c>
      <c r="BL487" s="171">
        <f t="shared" si="761"/>
        <v>0</v>
      </c>
      <c r="BM487" s="171">
        <f t="shared" si="761"/>
        <v>0</v>
      </c>
      <c r="BN487" s="171">
        <f t="shared" si="761"/>
        <v>0</v>
      </c>
      <c r="BO487" s="171">
        <f t="shared" si="762"/>
        <v>0</v>
      </c>
      <c r="BP487" s="171">
        <f t="shared" si="762"/>
        <v>0</v>
      </c>
      <c r="BQ487" s="171">
        <f t="shared" si="762"/>
        <v>0</v>
      </c>
      <c r="BR487" s="171">
        <f t="shared" si="762"/>
        <v>0</v>
      </c>
      <c r="BS487" s="171">
        <f t="shared" si="762"/>
        <v>0</v>
      </c>
      <c r="BT487" s="171">
        <f t="shared" si="762"/>
        <v>0</v>
      </c>
      <c r="BU487" s="171">
        <f t="shared" si="762"/>
        <v>0</v>
      </c>
      <c r="BV487" s="171">
        <f t="shared" si="762"/>
        <v>0</v>
      </c>
      <c r="BW487" s="171">
        <f t="shared" si="762"/>
        <v>0</v>
      </c>
      <c r="BX487" s="171">
        <f t="shared" si="762"/>
        <v>0</v>
      </c>
      <c r="BY487" s="171">
        <f t="shared" si="763"/>
        <v>0</v>
      </c>
      <c r="BZ487" s="171">
        <f t="shared" si="763"/>
        <v>0</v>
      </c>
      <c r="CA487" s="171">
        <f t="shared" si="763"/>
        <v>0</v>
      </c>
      <c r="CB487" s="171">
        <f t="shared" si="763"/>
        <v>0</v>
      </c>
      <c r="CC487" s="171">
        <f t="shared" si="763"/>
        <v>0</v>
      </c>
      <c r="CD487" s="171">
        <f t="shared" si="763"/>
        <v>0</v>
      </c>
      <c r="CE487" s="171">
        <f t="shared" si="763"/>
        <v>0</v>
      </c>
      <c r="CF487" s="171">
        <f t="shared" si="763"/>
        <v>0</v>
      </c>
      <c r="CG487" s="171">
        <f t="shared" si="763"/>
        <v>0</v>
      </c>
      <c r="CH487" s="171">
        <f t="shared" si="763"/>
        <v>0</v>
      </c>
      <c r="CI487" s="171">
        <f t="shared" si="763"/>
        <v>0</v>
      </c>
      <c r="CJ487" s="243"/>
      <c r="CK487" s="171">
        <f t="shared" si="671"/>
        <v>0</v>
      </c>
      <c r="CL487" s="171">
        <f t="shared" si="672"/>
        <v>0</v>
      </c>
      <c r="CM487" s="171">
        <f t="shared" si="673"/>
        <v>0</v>
      </c>
      <c r="CN487" s="171">
        <f t="shared" si="674"/>
        <v>0</v>
      </c>
      <c r="CO487" s="171">
        <f t="shared" si="675"/>
        <v>0</v>
      </c>
      <c r="CP487" s="171">
        <f t="shared" si="676"/>
        <v>0</v>
      </c>
      <c r="CQ487" s="171">
        <f t="shared" si="677"/>
        <v>0</v>
      </c>
      <c r="CR487" s="171">
        <f t="shared" si="678"/>
        <v>0</v>
      </c>
      <c r="CS487" s="171">
        <f t="shared" si="679"/>
        <v>0</v>
      </c>
      <c r="CT487" s="171">
        <f t="shared" si="680"/>
        <v>0</v>
      </c>
      <c r="CU487" s="171">
        <f t="shared" si="681"/>
        <v>0</v>
      </c>
      <c r="CV487" s="171">
        <f t="shared" si="682"/>
        <v>0</v>
      </c>
      <c r="CW487" s="171">
        <f t="shared" si="683"/>
        <v>0</v>
      </c>
      <c r="CX487" s="171">
        <f t="shared" si="684"/>
        <v>0</v>
      </c>
      <c r="CY487" s="171">
        <f t="shared" ca="1" si="685"/>
        <v>0</v>
      </c>
      <c r="CZ487" s="171">
        <f t="shared" ca="1" si="686"/>
        <v>0</v>
      </c>
      <c r="DA487" s="171">
        <f t="shared" ca="1" si="687"/>
        <v>0</v>
      </c>
      <c r="DB487" s="171">
        <f t="shared" ca="1" si="688"/>
        <v>0</v>
      </c>
      <c r="DC487" s="171">
        <f t="shared" ca="1" si="689"/>
        <v>0</v>
      </c>
      <c r="DD487" s="171">
        <f t="shared" ca="1" si="690"/>
        <v>0</v>
      </c>
      <c r="DE487" s="171">
        <f t="shared" ca="1" si="691"/>
        <v>0</v>
      </c>
      <c r="DF487" s="171">
        <f t="shared" ca="1" si="692"/>
        <v>0</v>
      </c>
      <c r="DG487" s="171">
        <f t="shared" ca="1" si="693"/>
        <v>0</v>
      </c>
      <c r="DH487" s="171">
        <f t="shared" ca="1" si="694"/>
        <v>0</v>
      </c>
      <c r="DI487" s="171">
        <f t="shared" ca="1" si="695"/>
        <v>0</v>
      </c>
      <c r="DJ487" s="171">
        <f t="shared" ca="1" si="696"/>
        <v>0</v>
      </c>
      <c r="DK487" s="171">
        <f t="shared" ca="1" si="697"/>
        <v>0</v>
      </c>
      <c r="DL487" s="171">
        <f t="shared" ca="1" si="698"/>
        <v>0</v>
      </c>
      <c r="DM487" s="171">
        <f t="shared" ca="1" si="699"/>
        <v>0</v>
      </c>
      <c r="DN487" s="171">
        <f t="shared" ca="1" si="700"/>
        <v>0</v>
      </c>
      <c r="DO487" s="171">
        <f t="shared" ca="1" si="701"/>
        <v>0</v>
      </c>
      <c r="DP487" s="171">
        <f t="shared" ca="1" si="702"/>
        <v>0</v>
      </c>
      <c r="DQ487" s="171">
        <f t="shared" ca="1" si="703"/>
        <v>0</v>
      </c>
      <c r="DR487" s="171">
        <f t="shared" ca="1" si="704"/>
        <v>0</v>
      </c>
      <c r="DS487" s="171">
        <f t="shared" ca="1" si="705"/>
        <v>0</v>
      </c>
      <c r="DT487" s="171">
        <f t="shared" ca="1" si="706"/>
        <v>0</v>
      </c>
      <c r="DU487" s="171">
        <f t="shared" ca="1" si="707"/>
        <v>0</v>
      </c>
      <c r="DV487" s="171">
        <f t="shared" ca="1" si="708"/>
        <v>0</v>
      </c>
      <c r="DW487" s="171">
        <f t="shared" ca="1" si="709"/>
        <v>0</v>
      </c>
      <c r="DX487" s="171">
        <f t="shared" ca="1" si="710"/>
        <v>0</v>
      </c>
      <c r="DY487" s="171">
        <f t="shared" ca="1" si="711"/>
        <v>0</v>
      </c>
      <c r="DZ487" s="171">
        <f t="shared" ca="1" si="712"/>
        <v>0</v>
      </c>
      <c r="EA487" s="171">
        <f t="shared" ca="1" si="713"/>
        <v>0</v>
      </c>
      <c r="EB487" s="171">
        <f t="shared" ca="1" si="714"/>
        <v>0</v>
      </c>
      <c r="EC487" s="171">
        <f t="shared" ca="1" si="715"/>
        <v>0</v>
      </c>
      <c r="ED487" s="171">
        <f t="shared" ca="1" si="716"/>
        <v>0</v>
      </c>
      <c r="EE487" s="171">
        <f t="shared" ca="1" si="717"/>
        <v>0</v>
      </c>
      <c r="EF487" s="171">
        <f t="shared" ca="1" si="718"/>
        <v>0</v>
      </c>
      <c r="EG487" s="171">
        <f t="shared" ca="1" si="719"/>
        <v>0</v>
      </c>
      <c r="EH487" s="171">
        <f t="shared" ca="1" si="720"/>
        <v>0</v>
      </c>
      <c r="EI487" s="171">
        <f t="shared" ca="1" si="721"/>
        <v>0</v>
      </c>
      <c r="EJ487" s="171">
        <f t="shared" ca="1" si="722"/>
        <v>0</v>
      </c>
      <c r="EK487" s="171">
        <f t="shared" ca="1" si="723"/>
        <v>0</v>
      </c>
      <c r="EL487" s="171">
        <f t="shared" ca="1" si="724"/>
        <v>0</v>
      </c>
      <c r="EM487" s="171">
        <f t="shared" ca="1" si="725"/>
        <v>0</v>
      </c>
      <c r="EN487" s="171">
        <f t="shared" ca="1" si="726"/>
        <v>0</v>
      </c>
      <c r="EO487" s="171">
        <f t="shared" ca="1" si="727"/>
        <v>0</v>
      </c>
      <c r="EP487" s="171">
        <f t="shared" ca="1" si="728"/>
        <v>0</v>
      </c>
      <c r="EQ487" s="171">
        <f t="shared" ca="1" si="729"/>
        <v>0</v>
      </c>
      <c r="ER487" s="171">
        <f t="shared" ca="1" si="730"/>
        <v>0</v>
      </c>
      <c r="ES487" s="171">
        <f t="shared" ca="1" si="731"/>
        <v>0</v>
      </c>
    </row>
    <row r="488" spans="3:149">
      <c r="C488" s="157"/>
      <c r="L488" s="163"/>
      <c r="M488" s="164" t="str">
        <f t="shared" si="662"/>
        <v/>
      </c>
      <c r="N488" s="164" t="str">
        <f t="shared" si="663"/>
        <v/>
      </c>
      <c r="O488" s="165" t="str">
        <f t="shared" si="664"/>
        <v/>
      </c>
      <c r="R488" s="168" t="str">
        <f t="shared" si="751"/>
        <v/>
      </c>
      <c r="U488" s="171">
        <f t="shared" si="665"/>
        <v>0</v>
      </c>
      <c r="V488" s="171">
        <f t="shared" ca="1" si="666"/>
        <v>0</v>
      </c>
      <c r="W488" s="171">
        <f t="shared" ca="1" si="667"/>
        <v>0</v>
      </c>
      <c r="X488" s="172">
        <f t="shared" si="668"/>
        <v>0</v>
      </c>
      <c r="Y488" s="172" t="str">
        <f t="shared" si="669"/>
        <v/>
      </c>
      <c r="Z488" s="173">
        <f t="shared" si="670"/>
        <v>0</v>
      </c>
      <c r="AA488" s="171">
        <f t="shared" si="758"/>
        <v>0</v>
      </c>
      <c r="AB488" s="171">
        <f t="shared" si="758"/>
        <v>0</v>
      </c>
      <c r="AC488" s="171">
        <f t="shared" si="758"/>
        <v>0</v>
      </c>
      <c r="AD488" s="171">
        <f t="shared" si="758"/>
        <v>0</v>
      </c>
      <c r="AE488" s="171">
        <f t="shared" si="758"/>
        <v>0</v>
      </c>
      <c r="AF488" s="171">
        <f t="shared" si="758"/>
        <v>0</v>
      </c>
      <c r="AG488" s="171">
        <f t="shared" si="758"/>
        <v>0</v>
      </c>
      <c r="AH488" s="171">
        <f t="shared" si="758"/>
        <v>0</v>
      </c>
      <c r="AI488" s="171">
        <f t="shared" si="758"/>
        <v>0</v>
      </c>
      <c r="AJ488" s="171">
        <f t="shared" si="758"/>
        <v>0</v>
      </c>
      <c r="AK488" s="171">
        <f t="shared" si="759"/>
        <v>0</v>
      </c>
      <c r="AL488" s="171">
        <f t="shared" si="759"/>
        <v>0</v>
      </c>
      <c r="AM488" s="171">
        <f t="shared" si="759"/>
        <v>0</v>
      </c>
      <c r="AN488" s="171">
        <f t="shared" si="759"/>
        <v>0</v>
      </c>
      <c r="AO488" s="171">
        <f t="shared" si="759"/>
        <v>0</v>
      </c>
      <c r="AP488" s="171">
        <f t="shared" si="759"/>
        <v>0</v>
      </c>
      <c r="AQ488" s="171">
        <f t="shared" si="759"/>
        <v>0</v>
      </c>
      <c r="AR488" s="171">
        <f t="shared" si="759"/>
        <v>0</v>
      </c>
      <c r="AS488" s="171">
        <f t="shared" si="759"/>
        <v>0</v>
      </c>
      <c r="AT488" s="171">
        <f t="shared" si="759"/>
        <v>0</v>
      </c>
      <c r="AU488" s="171">
        <f t="shared" si="760"/>
        <v>0</v>
      </c>
      <c r="AV488" s="171">
        <f t="shared" si="760"/>
        <v>0</v>
      </c>
      <c r="AW488" s="171">
        <f t="shared" si="760"/>
        <v>0</v>
      </c>
      <c r="AX488" s="171">
        <f t="shared" si="760"/>
        <v>0</v>
      </c>
      <c r="AY488" s="171">
        <f t="shared" si="760"/>
        <v>0</v>
      </c>
      <c r="AZ488" s="171">
        <f t="shared" si="760"/>
        <v>0</v>
      </c>
      <c r="BA488" s="171">
        <f t="shared" si="760"/>
        <v>0</v>
      </c>
      <c r="BB488" s="171">
        <f t="shared" si="760"/>
        <v>0</v>
      </c>
      <c r="BC488" s="171">
        <f t="shared" si="760"/>
        <v>0</v>
      </c>
      <c r="BD488" s="171">
        <f t="shared" si="760"/>
        <v>0</v>
      </c>
      <c r="BE488" s="171">
        <f t="shared" si="761"/>
        <v>0</v>
      </c>
      <c r="BF488" s="171">
        <f t="shared" si="761"/>
        <v>0</v>
      </c>
      <c r="BG488" s="171">
        <f t="shared" si="761"/>
        <v>0</v>
      </c>
      <c r="BH488" s="171">
        <f t="shared" si="761"/>
        <v>0</v>
      </c>
      <c r="BI488" s="171">
        <f t="shared" si="761"/>
        <v>0</v>
      </c>
      <c r="BJ488" s="171">
        <f t="shared" si="761"/>
        <v>0</v>
      </c>
      <c r="BK488" s="171">
        <f t="shared" si="761"/>
        <v>0</v>
      </c>
      <c r="BL488" s="171">
        <f t="shared" si="761"/>
        <v>0</v>
      </c>
      <c r="BM488" s="171">
        <f t="shared" si="761"/>
        <v>0</v>
      </c>
      <c r="BN488" s="171">
        <f t="shared" si="761"/>
        <v>0</v>
      </c>
      <c r="BO488" s="171">
        <f t="shared" si="762"/>
        <v>0</v>
      </c>
      <c r="BP488" s="171">
        <f t="shared" si="762"/>
        <v>0</v>
      </c>
      <c r="BQ488" s="171">
        <f t="shared" si="762"/>
        <v>0</v>
      </c>
      <c r="BR488" s="171">
        <f t="shared" si="762"/>
        <v>0</v>
      </c>
      <c r="BS488" s="171">
        <f t="shared" si="762"/>
        <v>0</v>
      </c>
      <c r="BT488" s="171">
        <f t="shared" si="762"/>
        <v>0</v>
      </c>
      <c r="BU488" s="171">
        <f t="shared" si="762"/>
        <v>0</v>
      </c>
      <c r="BV488" s="171">
        <f t="shared" si="762"/>
        <v>0</v>
      </c>
      <c r="BW488" s="171">
        <f t="shared" si="762"/>
        <v>0</v>
      </c>
      <c r="BX488" s="171">
        <f t="shared" si="762"/>
        <v>0</v>
      </c>
      <c r="BY488" s="171">
        <f t="shared" si="763"/>
        <v>0</v>
      </c>
      <c r="BZ488" s="171">
        <f t="shared" si="763"/>
        <v>0</v>
      </c>
      <c r="CA488" s="171">
        <f t="shared" si="763"/>
        <v>0</v>
      </c>
      <c r="CB488" s="171">
        <f t="shared" si="763"/>
        <v>0</v>
      </c>
      <c r="CC488" s="171">
        <f t="shared" si="763"/>
        <v>0</v>
      </c>
      <c r="CD488" s="171">
        <f t="shared" si="763"/>
        <v>0</v>
      </c>
      <c r="CE488" s="171">
        <f t="shared" si="763"/>
        <v>0</v>
      </c>
      <c r="CF488" s="171">
        <f t="shared" si="763"/>
        <v>0</v>
      </c>
      <c r="CG488" s="171">
        <f t="shared" si="763"/>
        <v>0</v>
      </c>
      <c r="CH488" s="171">
        <f t="shared" si="763"/>
        <v>0</v>
      </c>
      <c r="CI488" s="171">
        <f t="shared" si="763"/>
        <v>0</v>
      </c>
      <c r="CJ488" s="243"/>
      <c r="CK488" s="171">
        <f t="shared" si="671"/>
        <v>0</v>
      </c>
      <c r="CL488" s="171">
        <f t="shared" si="672"/>
        <v>0</v>
      </c>
      <c r="CM488" s="171">
        <f t="shared" si="673"/>
        <v>0</v>
      </c>
      <c r="CN488" s="171">
        <f t="shared" si="674"/>
        <v>0</v>
      </c>
      <c r="CO488" s="171">
        <f t="shared" si="675"/>
        <v>0</v>
      </c>
      <c r="CP488" s="171">
        <f t="shared" si="676"/>
        <v>0</v>
      </c>
      <c r="CQ488" s="171">
        <f t="shared" si="677"/>
        <v>0</v>
      </c>
      <c r="CR488" s="171">
        <f t="shared" si="678"/>
        <v>0</v>
      </c>
      <c r="CS488" s="171">
        <f t="shared" si="679"/>
        <v>0</v>
      </c>
      <c r="CT488" s="171">
        <f t="shared" si="680"/>
        <v>0</v>
      </c>
      <c r="CU488" s="171">
        <f t="shared" si="681"/>
        <v>0</v>
      </c>
      <c r="CV488" s="171">
        <f t="shared" si="682"/>
        <v>0</v>
      </c>
      <c r="CW488" s="171">
        <f t="shared" si="683"/>
        <v>0</v>
      </c>
      <c r="CX488" s="171">
        <f t="shared" si="684"/>
        <v>0</v>
      </c>
      <c r="CY488" s="171">
        <f t="shared" ca="1" si="685"/>
        <v>0</v>
      </c>
      <c r="CZ488" s="171">
        <f t="shared" ca="1" si="686"/>
        <v>0</v>
      </c>
      <c r="DA488" s="171">
        <f t="shared" ca="1" si="687"/>
        <v>0</v>
      </c>
      <c r="DB488" s="171">
        <f t="shared" ca="1" si="688"/>
        <v>0</v>
      </c>
      <c r="DC488" s="171">
        <f t="shared" ca="1" si="689"/>
        <v>0</v>
      </c>
      <c r="DD488" s="171">
        <f t="shared" ca="1" si="690"/>
        <v>0</v>
      </c>
      <c r="DE488" s="171">
        <f t="shared" ca="1" si="691"/>
        <v>0</v>
      </c>
      <c r="DF488" s="171">
        <f t="shared" ca="1" si="692"/>
        <v>0</v>
      </c>
      <c r="DG488" s="171">
        <f t="shared" ca="1" si="693"/>
        <v>0</v>
      </c>
      <c r="DH488" s="171">
        <f t="shared" ca="1" si="694"/>
        <v>0</v>
      </c>
      <c r="DI488" s="171">
        <f t="shared" ca="1" si="695"/>
        <v>0</v>
      </c>
      <c r="DJ488" s="171">
        <f t="shared" ca="1" si="696"/>
        <v>0</v>
      </c>
      <c r="DK488" s="171">
        <f t="shared" ca="1" si="697"/>
        <v>0</v>
      </c>
      <c r="DL488" s="171">
        <f t="shared" ca="1" si="698"/>
        <v>0</v>
      </c>
      <c r="DM488" s="171">
        <f t="shared" ca="1" si="699"/>
        <v>0</v>
      </c>
      <c r="DN488" s="171">
        <f t="shared" ca="1" si="700"/>
        <v>0</v>
      </c>
      <c r="DO488" s="171">
        <f t="shared" ca="1" si="701"/>
        <v>0</v>
      </c>
      <c r="DP488" s="171">
        <f t="shared" ca="1" si="702"/>
        <v>0</v>
      </c>
      <c r="DQ488" s="171">
        <f t="shared" ca="1" si="703"/>
        <v>0</v>
      </c>
      <c r="DR488" s="171">
        <f t="shared" ca="1" si="704"/>
        <v>0</v>
      </c>
      <c r="DS488" s="171">
        <f t="shared" ca="1" si="705"/>
        <v>0</v>
      </c>
      <c r="DT488" s="171">
        <f t="shared" ca="1" si="706"/>
        <v>0</v>
      </c>
      <c r="DU488" s="171">
        <f t="shared" ca="1" si="707"/>
        <v>0</v>
      </c>
      <c r="DV488" s="171">
        <f t="shared" ca="1" si="708"/>
        <v>0</v>
      </c>
      <c r="DW488" s="171">
        <f t="shared" ca="1" si="709"/>
        <v>0</v>
      </c>
      <c r="DX488" s="171">
        <f t="shared" ca="1" si="710"/>
        <v>0</v>
      </c>
      <c r="DY488" s="171">
        <f t="shared" ca="1" si="711"/>
        <v>0</v>
      </c>
      <c r="DZ488" s="171">
        <f t="shared" ca="1" si="712"/>
        <v>0</v>
      </c>
      <c r="EA488" s="171">
        <f t="shared" ca="1" si="713"/>
        <v>0</v>
      </c>
      <c r="EB488" s="171">
        <f t="shared" ca="1" si="714"/>
        <v>0</v>
      </c>
      <c r="EC488" s="171">
        <f t="shared" ca="1" si="715"/>
        <v>0</v>
      </c>
      <c r="ED488" s="171">
        <f t="shared" ca="1" si="716"/>
        <v>0</v>
      </c>
      <c r="EE488" s="171">
        <f t="shared" ca="1" si="717"/>
        <v>0</v>
      </c>
      <c r="EF488" s="171">
        <f t="shared" ca="1" si="718"/>
        <v>0</v>
      </c>
      <c r="EG488" s="171">
        <f t="shared" ca="1" si="719"/>
        <v>0</v>
      </c>
      <c r="EH488" s="171">
        <f t="shared" ca="1" si="720"/>
        <v>0</v>
      </c>
      <c r="EI488" s="171">
        <f t="shared" ca="1" si="721"/>
        <v>0</v>
      </c>
      <c r="EJ488" s="171">
        <f t="shared" ca="1" si="722"/>
        <v>0</v>
      </c>
      <c r="EK488" s="171">
        <f t="shared" ca="1" si="723"/>
        <v>0</v>
      </c>
      <c r="EL488" s="171">
        <f t="shared" ca="1" si="724"/>
        <v>0</v>
      </c>
      <c r="EM488" s="171">
        <f t="shared" ca="1" si="725"/>
        <v>0</v>
      </c>
      <c r="EN488" s="171">
        <f t="shared" ca="1" si="726"/>
        <v>0</v>
      </c>
      <c r="EO488" s="171">
        <f t="shared" ca="1" si="727"/>
        <v>0</v>
      </c>
      <c r="EP488" s="171">
        <f t="shared" ca="1" si="728"/>
        <v>0</v>
      </c>
      <c r="EQ488" s="171">
        <f t="shared" ca="1" si="729"/>
        <v>0</v>
      </c>
      <c r="ER488" s="171">
        <f t="shared" ca="1" si="730"/>
        <v>0</v>
      </c>
      <c r="ES488" s="171">
        <f t="shared" ca="1" si="731"/>
        <v>0</v>
      </c>
    </row>
    <row r="489" spans="3:149">
      <c r="C489" s="157"/>
      <c r="L489" s="163"/>
      <c r="M489" s="164" t="str">
        <f t="shared" si="662"/>
        <v/>
      </c>
      <c r="N489" s="164" t="str">
        <f t="shared" si="663"/>
        <v/>
      </c>
      <c r="O489" s="165" t="str">
        <f t="shared" si="664"/>
        <v/>
      </c>
      <c r="R489" s="168" t="str">
        <f t="shared" si="751"/>
        <v/>
      </c>
      <c r="U489" s="171">
        <f t="shared" si="665"/>
        <v>0</v>
      </c>
      <c r="V489" s="171">
        <f t="shared" ca="1" si="666"/>
        <v>0</v>
      </c>
      <c r="W489" s="171">
        <f t="shared" ca="1" si="667"/>
        <v>0</v>
      </c>
      <c r="X489" s="172">
        <f t="shared" si="668"/>
        <v>0</v>
      </c>
      <c r="Y489" s="172" t="str">
        <f t="shared" si="669"/>
        <v/>
      </c>
      <c r="Z489" s="173">
        <f t="shared" si="670"/>
        <v>0</v>
      </c>
      <c r="AA489" s="171">
        <f t="shared" ref="AA489:AJ498" si="764">IFERROR(
    IF($T489="Equity",
        IF(AND(AA$48&gt;=$E489, AA$48&lt;=($E489+$Q489)),
$K489*$P489*(VLOOKUP($C$39,$C$37:$BL$44,MATCH($E489,$C$37:$BL$37,0),FALSE)/VLOOKUP($L489,$C$37:$BL$44,MATCH($E489,$C$37:$BL$37,0),FALSE))*
IF($B$5="Foreign Currency",VLOOKUP($C$38,$C$37:$BL$44,MATCH(AA$48,$C$37:$BL$37,0),FALSE)/VLOOKUP($C$39,$C$37:$BL$44,MATCH(AA$48,$C$37:$BL$37,0),FALSE),1),
0),
    IF($T489="Lump Sum Principal",
        IF(AND(AA$48&gt;=$E489, AA$48&lt;($E489+$Q489)),
$K489*$P489*(VLOOKUP($C$39,$C$37:$BL$44,MATCH($E489,$C$37:$BL$37,0),FALSE)/VLOOKUP($L489,$C$37:$BL$44,MATCH($E489,$C$37:$BL$37,0),FALSE))*
IF($B$5="Foreign Currency",VLOOKUP($C$38,$C$37:$BL$44,MATCH(AA$48,$C$37:$BL$37,0),FALSE)/VLOOKUP($C$39,$C$37:$BL$44,MATCH(AA$48,$C$37:$BL$37,0),FALSE),1),
        IF(AA$48=($E489+$Q489),
$K489*(1+$P489)*(VLOOKUP($C$39,$C$37:$BL$44,MATCH($E489,$C$37:$BL$37,0),FALSE)/VLOOKUP($L489,$C$37:$BL$44,MATCH($E489,$C$37:$BL$37,0),FALSE))*
IF($B$5="Foreign Currency",VLOOKUP($C$38,$C$37:$BL$44,MATCH(AA$48,$C$37:$BL$37,0),FALSE)/VLOOKUP($C$39,$C$37:$BL$44,MATCH(AA$48,$C$37:$BL$37,0),FALSE),1),
0)),
    IF($T489="Lump Sum Principal and Interest",
        IF(AA$48=($E489+$Q489),
$K489*((1+$P489)^$Q489)*(VLOOKUP($C$39,$C$37:$BL$44,MATCH($E489,$C$37:$BL$37,0),FALSE)/VLOOKUP($L489,$C$37:$BL$44,MATCH($E489,$C$37:$BL$37,0),FALSE))*
IF($B$5="Foreign Currency",VLOOKUP($C$38,$C$37:$BL$44,MATCH(AA$48,$C$37:$BL$37,0),FALSE)/VLOOKUP($C$39,$C$37:$BL$44,MATCH(AA$48,$C$37:$BL$37,0),FALSE),1),
0),
    IF($T489="EPP with Grace Years for Principal",
        IF(AND(AA$48&gt;=$E489, AA$48&lt;($E489+$S489)),
$K489*$P489*(VLOOKUP($C$39,$C$37:$BL$44,MATCH($E489,$C$37:$BL$37,0),FALSE)/VLOOKUP($L489,$C$37:$BL$44,MATCH($E489,$C$37:$BL$37,0),FALSE))*
IF($B$5="Foreign Currency",VLOOKUP($C$38,$C$37:$BL$44,MATCH(AA$48,$C$37:$BL$37,0),FALSE)/VLOOKUP($C$39,$C$37:$BL$44,MATCH(AA$48,$C$37:$BL$37,0),FALSE),1),
        IF(AND(AA$48&gt;=($E489+$S489), AA$48&lt;=($E489+$Q489)),
-PMT($P489,($Q489-$S489+1),($K489*(VLOOKUP($C$39,$C$37:$BL$44,MATCH($E489,$C$37:$BL$37,0),FALSE)/VLOOKUP($L489,$C$37:$BL$44,MATCH($E489,$C$37:$BL$37,0),FALSE))*
IF($B$5="Foreign Currency",VLOOKUP($C$38,$C$37:$BL$44,MATCH(AA$48,$C$37:$BL$37,0),FALSE)/VLOOKUP($C$39,$C$37:$BL$44,MATCH(AA$48,$C$37:$BL$37,0),FALSE),1)),0),
0)),
    IF($T489="Equal Principal Payments (EPP)",
        IF(AND(AA$48&gt;=$E489, AA$48&lt;=($E489+$Q489)),
-PMT($P489,($Q489-$S489+1),($K489*(VLOOKUP($C$39,$C$37:$BL$44,MATCH($E489,$C$37:$BL$37,0),FALSE)/VLOOKUP($L489,$C$37:$BL$44,MATCH($E489,$C$37:$BL$37,0),FALSE))*
IF($B$5="Foreign Currency",VLOOKUP($C$38,$C$37:$BL$44,MATCH(AA$48,$C$37:$BL$37,0),FALSE)/VLOOKUP($C$39,$C$37:$BL$44,MATCH(AA$48,$C$37:$BL$37,0),FALSE),1)),0), 0),
    IF($T489="EPP with Grace Years for Principal and on Interest",
        IF(AND(AA$48&gt;=($E489+$S489), AA$48&lt;=($E489+$Q489)),
-PMT($P489,($Q489-$S489+1),($K489*(VLOOKUP($C$39,$C$37:$BL$44,MATCH($E489,$C$37:$BL$37,0),FALSE)/VLOOKUP($L489,$C$37:$BL$44,MATCH($E489,$C$37:$BL$37,0),FALSE))*
IF($B$5="Foreign Currency",VLOOKUP($C$38,$C$37:$BL$44,MATCH(AA$48,$C$37:$BL$37,0),FALSE)/VLOOKUP($C$39,$C$37:$BL$44,MATCH(AA$48,$C$37:$BL$37,0),FALSE),1))*((1+$P489)^$S489),0), 0),
    0)))))),"")</f>
        <v>0</v>
      </c>
      <c r="AB489" s="171">
        <f t="shared" si="764"/>
        <v>0</v>
      </c>
      <c r="AC489" s="171">
        <f t="shared" si="764"/>
        <v>0</v>
      </c>
      <c r="AD489" s="171">
        <f t="shared" si="764"/>
        <v>0</v>
      </c>
      <c r="AE489" s="171">
        <f t="shared" si="764"/>
        <v>0</v>
      </c>
      <c r="AF489" s="171">
        <f t="shared" si="764"/>
        <v>0</v>
      </c>
      <c r="AG489" s="171">
        <f t="shared" si="764"/>
        <v>0</v>
      </c>
      <c r="AH489" s="171">
        <f t="shared" si="764"/>
        <v>0</v>
      </c>
      <c r="AI489" s="171">
        <f t="shared" si="764"/>
        <v>0</v>
      </c>
      <c r="AJ489" s="171">
        <f t="shared" si="764"/>
        <v>0</v>
      </c>
      <c r="AK489" s="171">
        <f t="shared" ref="AK489:AT498" si="765">IFERROR(
    IF($T489="Equity",
        IF(AND(AK$48&gt;=$E489, AK$48&lt;=($E489+$Q489)),
$K489*$P489*(VLOOKUP($C$39,$C$37:$BL$44,MATCH($E489,$C$37:$BL$37,0),FALSE)/VLOOKUP($L489,$C$37:$BL$44,MATCH($E489,$C$37:$BL$37,0),FALSE))*
IF($B$5="Foreign Currency",VLOOKUP($C$38,$C$37:$BL$44,MATCH(AK$48,$C$37:$BL$37,0),FALSE)/VLOOKUP($C$39,$C$37:$BL$44,MATCH(AK$48,$C$37:$BL$37,0),FALSE),1),
0),
    IF($T489="Lump Sum Principal",
        IF(AND(AK$48&gt;=$E489, AK$48&lt;($E489+$Q489)),
$K489*$P489*(VLOOKUP($C$39,$C$37:$BL$44,MATCH($E489,$C$37:$BL$37,0),FALSE)/VLOOKUP($L489,$C$37:$BL$44,MATCH($E489,$C$37:$BL$37,0),FALSE))*
IF($B$5="Foreign Currency",VLOOKUP($C$38,$C$37:$BL$44,MATCH(AK$48,$C$37:$BL$37,0),FALSE)/VLOOKUP($C$39,$C$37:$BL$44,MATCH(AK$48,$C$37:$BL$37,0),FALSE),1),
        IF(AK$48=($E489+$Q489),
$K489*(1+$P489)*(VLOOKUP($C$39,$C$37:$BL$44,MATCH($E489,$C$37:$BL$37,0),FALSE)/VLOOKUP($L489,$C$37:$BL$44,MATCH($E489,$C$37:$BL$37,0),FALSE))*
IF($B$5="Foreign Currency",VLOOKUP($C$38,$C$37:$BL$44,MATCH(AK$48,$C$37:$BL$37,0),FALSE)/VLOOKUP($C$39,$C$37:$BL$44,MATCH(AK$48,$C$37:$BL$37,0),FALSE),1),
0)),
    IF($T489="Lump Sum Principal and Interest",
        IF(AK$48=($E489+$Q489),
$K489*((1+$P489)^$Q489)*(VLOOKUP($C$39,$C$37:$BL$44,MATCH($E489,$C$37:$BL$37,0),FALSE)/VLOOKUP($L489,$C$37:$BL$44,MATCH($E489,$C$37:$BL$37,0),FALSE))*
IF($B$5="Foreign Currency",VLOOKUP($C$38,$C$37:$BL$44,MATCH(AK$48,$C$37:$BL$37,0),FALSE)/VLOOKUP($C$39,$C$37:$BL$44,MATCH(AK$48,$C$37:$BL$37,0),FALSE),1),
0),
    IF($T489="EPP with Grace Years for Principal",
        IF(AND(AK$48&gt;=$E489, AK$48&lt;($E489+$S489)),
$K489*$P489*(VLOOKUP($C$39,$C$37:$BL$44,MATCH($E489,$C$37:$BL$37,0),FALSE)/VLOOKUP($L489,$C$37:$BL$44,MATCH($E489,$C$37:$BL$37,0),FALSE))*
IF($B$5="Foreign Currency",VLOOKUP($C$38,$C$37:$BL$44,MATCH(AK$48,$C$37:$BL$37,0),FALSE)/VLOOKUP($C$39,$C$37:$BL$44,MATCH(AK$48,$C$37:$BL$37,0),FALSE),1),
        IF(AND(AK$48&gt;=($E489+$S489), AK$48&lt;=($E489+$Q489)),
-PMT($P489,($Q489-$S489+1),($K489*(VLOOKUP($C$39,$C$37:$BL$44,MATCH($E489,$C$37:$BL$37,0),FALSE)/VLOOKUP($L489,$C$37:$BL$44,MATCH($E489,$C$37:$BL$37,0),FALSE))*
IF($B$5="Foreign Currency",VLOOKUP($C$38,$C$37:$BL$44,MATCH(AK$48,$C$37:$BL$37,0),FALSE)/VLOOKUP($C$39,$C$37:$BL$44,MATCH(AK$48,$C$37:$BL$37,0),FALSE),1)),0),
0)),
    IF($T489="Equal Principal Payments (EPP)",
        IF(AND(AK$48&gt;=$E489, AK$48&lt;=($E489+$Q489)),
-PMT($P489,($Q489-$S489+1),($K489*(VLOOKUP($C$39,$C$37:$BL$44,MATCH($E489,$C$37:$BL$37,0),FALSE)/VLOOKUP($L489,$C$37:$BL$44,MATCH($E489,$C$37:$BL$37,0),FALSE))*
IF($B$5="Foreign Currency",VLOOKUP($C$38,$C$37:$BL$44,MATCH(AK$48,$C$37:$BL$37,0),FALSE)/VLOOKUP($C$39,$C$37:$BL$44,MATCH(AK$48,$C$37:$BL$37,0),FALSE),1)),0), 0),
    IF($T489="EPP with Grace Years for Principal and on Interest",
        IF(AND(AK$48&gt;=($E489+$S489), AK$48&lt;=($E489+$Q489)),
-PMT($P489,($Q489-$S489+1),($K489*(VLOOKUP($C$39,$C$37:$BL$44,MATCH($E489,$C$37:$BL$37,0),FALSE)/VLOOKUP($L489,$C$37:$BL$44,MATCH($E489,$C$37:$BL$37,0),FALSE))*
IF($B$5="Foreign Currency",VLOOKUP($C$38,$C$37:$BL$44,MATCH(AK$48,$C$37:$BL$37,0),FALSE)/VLOOKUP($C$39,$C$37:$BL$44,MATCH(AK$48,$C$37:$BL$37,0),FALSE),1))*((1+$P489)^$S489),0), 0),
    0)))))),"")</f>
        <v>0</v>
      </c>
      <c r="AL489" s="171">
        <f t="shared" si="765"/>
        <v>0</v>
      </c>
      <c r="AM489" s="171">
        <f t="shared" si="765"/>
        <v>0</v>
      </c>
      <c r="AN489" s="171">
        <f t="shared" si="765"/>
        <v>0</v>
      </c>
      <c r="AO489" s="171">
        <f t="shared" si="765"/>
        <v>0</v>
      </c>
      <c r="AP489" s="171">
        <f t="shared" si="765"/>
        <v>0</v>
      </c>
      <c r="AQ489" s="171">
        <f t="shared" si="765"/>
        <v>0</v>
      </c>
      <c r="AR489" s="171">
        <f t="shared" si="765"/>
        <v>0</v>
      </c>
      <c r="AS489" s="171">
        <f t="shared" si="765"/>
        <v>0</v>
      </c>
      <c r="AT489" s="171">
        <f t="shared" si="765"/>
        <v>0</v>
      </c>
      <c r="AU489" s="171">
        <f t="shared" ref="AU489:BD498" si="766">IFERROR(
    IF($T489="Equity",
        IF(AND(AU$48&gt;=$E489, AU$48&lt;=($E489+$Q489)),
$K489*$P489*(VLOOKUP($C$39,$C$37:$BL$44,MATCH($E489,$C$37:$BL$37,0),FALSE)/VLOOKUP($L489,$C$37:$BL$44,MATCH($E489,$C$37:$BL$37,0),FALSE))*
IF($B$5="Foreign Currency",VLOOKUP($C$38,$C$37:$BL$44,MATCH(AU$48,$C$37:$BL$37,0),FALSE)/VLOOKUP($C$39,$C$37:$BL$44,MATCH(AU$48,$C$37:$BL$37,0),FALSE),1),
0),
    IF($T489="Lump Sum Principal",
        IF(AND(AU$48&gt;=$E489, AU$48&lt;($E489+$Q489)),
$K489*$P489*(VLOOKUP($C$39,$C$37:$BL$44,MATCH($E489,$C$37:$BL$37,0),FALSE)/VLOOKUP($L489,$C$37:$BL$44,MATCH($E489,$C$37:$BL$37,0),FALSE))*
IF($B$5="Foreign Currency",VLOOKUP($C$38,$C$37:$BL$44,MATCH(AU$48,$C$37:$BL$37,0),FALSE)/VLOOKUP($C$39,$C$37:$BL$44,MATCH(AU$48,$C$37:$BL$37,0),FALSE),1),
        IF(AU$48=($E489+$Q489),
$K489*(1+$P489)*(VLOOKUP($C$39,$C$37:$BL$44,MATCH($E489,$C$37:$BL$37,0),FALSE)/VLOOKUP($L489,$C$37:$BL$44,MATCH($E489,$C$37:$BL$37,0),FALSE))*
IF($B$5="Foreign Currency",VLOOKUP($C$38,$C$37:$BL$44,MATCH(AU$48,$C$37:$BL$37,0),FALSE)/VLOOKUP($C$39,$C$37:$BL$44,MATCH(AU$48,$C$37:$BL$37,0),FALSE),1),
0)),
    IF($T489="Lump Sum Principal and Interest",
        IF(AU$48=($E489+$Q489),
$K489*((1+$P489)^$Q489)*(VLOOKUP($C$39,$C$37:$BL$44,MATCH($E489,$C$37:$BL$37,0),FALSE)/VLOOKUP($L489,$C$37:$BL$44,MATCH($E489,$C$37:$BL$37,0),FALSE))*
IF($B$5="Foreign Currency",VLOOKUP($C$38,$C$37:$BL$44,MATCH(AU$48,$C$37:$BL$37,0),FALSE)/VLOOKUP($C$39,$C$37:$BL$44,MATCH(AU$48,$C$37:$BL$37,0),FALSE),1),
0),
    IF($T489="EPP with Grace Years for Principal",
        IF(AND(AU$48&gt;=$E489, AU$48&lt;($E489+$S489)),
$K489*$P489*(VLOOKUP($C$39,$C$37:$BL$44,MATCH($E489,$C$37:$BL$37,0),FALSE)/VLOOKUP($L489,$C$37:$BL$44,MATCH($E489,$C$37:$BL$37,0),FALSE))*
IF($B$5="Foreign Currency",VLOOKUP($C$38,$C$37:$BL$44,MATCH(AU$48,$C$37:$BL$37,0),FALSE)/VLOOKUP($C$39,$C$37:$BL$44,MATCH(AU$48,$C$37:$BL$37,0),FALSE),1),
        IF(AND(AU$48&gt;=($E489+$S489), AU$48&lt;=($E489+$Q489)),
-PMT($P489,($Q489-$S489+1),($K489*(VLOOKUP($C$39,$C$37:$BL$44,MATCH($E489,$C$37:$BL$37,0),FALSE)/VLOOKUP($L489,$C$37:$BL$44,MATCH($E489,$C$37:$BL$37,0),FALSE))*
IF($B$5="Foreign Currency",VLOOKUP($C$38,$C$37:$BL$44,MATCH(AU$48,$C$37:$BL$37,0),FALSE)/VLOOKUP($C$39,$C$37:$BL$44,MATCH(AU$48,$C$37:$BL$37,0),FALSE),1)),0),
0)),
    IF($T489="Equal Principal Payments (EPP)",
        IF(AND(AU$48&gt;=$E489, AU$48&lt;=($E489+$Q489)),
-PMT($P489,($Q489-$S489+1),($K489*(VLOOKUP($C$39,$C$37:$BL$44,MATCH($E489,$C$37:$BL$37,0),FALSE)/VLOOKUP($L489,$C$37:$BL$44,MATCH($E489,$C$37:$BL$37,0),FALSE))*
IF($B$5="Foreign Currency",VLOOKUP($C$38,$C$37:$BL$44,MATCH(AU$48,$C$37:$BL$37,0),FALSE)/VLOOKUP($C$39,$C$37:$BL$44,MATCH(AU$48,$C$37:$BL$37,0),FALSE),1)),0), 0),
    IF($T489="EPP with Grace Years for Principal and on Interest",
        IF(AND(AU$48&gt;=($E489+$S489), AU$48&lt;=($E489+$Q489)),
-PMT($P489,($Q489-$S489+1),($K489*(VLOOKUP($C$39,$C$37:$BL$44,MATCH($E489,$C$37:$BL$37,0),FALSE)/VLOOKUP($L489,$C$37:$BL$44,MATCH($E489,$C$37:$BL$37,0),FALSE))*
IF($B$5="Foreign Currency",VLOOKUP($C$38,$C$37:$BL$44,MATCH(AU$48,$C$37:$BL$37,0),FALSE)/VLOOKUP($C$39,$C$37:$BL$44,MATCH(AU$48,$C$37:$BL$37,0),FALSE),1))*((1+$P489)^$S489),0), 0),
    0)))))),"")</f>
        <v>0</v>
      </c>
      <c r="AV489" s="171">
        <f t="shared" si="766"/>
        <v>0</v>
      </c>
      <c r="AW489" s="171">
        <f t="shared" si="766"/>
        <v>0</v>
      </c>
      <c r="AX489" s="171">
        <f t="shared" si="766"/>
        <v>0</v>
      </c>
      <c r="AY489" s="171">
        <f t="shared" si="766"/>
        <v>0</v>
      </c>
      <c r="AZ489" s="171">
        <f t="shared" si="766"/>
        <v>0</v>
      </c>
      <c r="BA489" s="171">
        <f t="shared" si="766"/>
        <v>0</v>
      </c>
      <c r="BB489" s="171">
        <f t="shared" si="766"/>
        <v>0</v>
      </c>
      <c r="BC489" s="171">
        <f t="shared" si="766"/>
        <v>0</v>
      </c>
      <c r="BD489" s="171">
        <f t="shared" si="766"/>
        <v>0</v>
      </c>
      <c r="BE489" s="171">
        <f t="shared" ref="BE489:BN498" si="767">IFERROR(
    IF($T489="Equity",
        IF(AND(BE$48&gt;=$E489, BE$48&lt;=($E489+$Q489)),
$K489*$P489*(VLOOKUP($C$39,$C$37:$BL$44,MATCH($E489,$C$37:$BL$37,0),FALSE)/VLOOKUP($L489,$C$37:$BL$44,MATCH($E489,$C$37:$BL$37,0),FALSE))*
IF($B$5="Foreign Currency",VLOOKUP($C$38,$C$37:$BL$44,MATCH(BE$48,$C$37:$BL$37,0),FALSE)/VLOOKUP($C$39,$C$37:$BL$44,MATCH(BE$48,$C$37:$BL$37,0),FALSE),1),
0),
    IF($T489="Lump Sum Principal",
        IF(AND(BE$48&gt;=$E489, BE$48&lt;($E489+$Q489)),
$K489*$P489*(VLOOKUP($C$39,$C$37:$BL$44,MATCH($E489,$C$37:$BL$37,0),FALSE)/VLOOKUP($L489,$C$37:$BL$44,MATCH($E489,$C$37:$BL$37,0),FALSE))*
IF($B$5="Foreign Currency",VLOOKUP($C$38,$C$37:$BL$44,MATCH(BE$48,$C$37:$BL$37,0),FALSE)/VLOOKUP($C$39,$C$37:$BL$44,MATCH(BE$48,$C$37:$BL$37,0),FALSE),1),
        IF(BE$48=($E489+$Q489),
$K489*(1+$P489)*(VLOOKUP($C$39,$C$37:$BL$44,MATCH($E489,$C$37:$BL$37,0),FALSE)/VLOOKUP($L489,$C$37:$BL$44,MATCH($E489,$C$37:$BL$37,0),FALSE))*
IF($B$5="Foreign Currency",VLOOKUP($C$38,$C$37:$BL$44,MATCH(BE$48,$C$37:$BL$37,0),FALSE)/VLOOKUP($C$39,$C$37:$BL$44,MATCH(BE$48,$C$37:$BL$37,0),FALSE),1),
0)),
    IF($T489="Lump Sum Principal and Interest",
        IF(BE$48=($E489+$Q489),
$K489*((1+$P489)^$Q489)*(VLOOKUP($C$39,$C$37:$BL$44,MATCH($E489,$C$37:$BL$37,0),FALSE)/VLOOKUP($L489,$C$37:$BL$44,MATCH($E489,$C$37:$BL$37,0),FALSE))*
IF($B$5="Foreign Currency",VLOOKUP($C$38,$C$37:$BL$44,MATCH(BE$48,$C$37:$BL$37,0),FALSE)/VLOOKUP($C$39,$C$37:$BL$44,MATCH(BE$48,$C$37:$BL$37,0),FALSE),1),
0),
    IF($T489="EPP with Grace Years for Principal",
        IF(AND(BE$48&gt;=$E489, BE$48&lt;($E489+$S489)),
$K489*$P489*(VLOOKUP($C$39,$C$37:$BL$44,MATCH($E489,$C$37:$BL$37,0),FALSE)/VLOOKUP($L489,$C$37:$BL$44,MATCH($E489,$C$37:$BL$37,0),FALSE))*
IF($B$5="Foreign Currency",VLOOKUP($C$38,$C$37:$BL$44,MATCH(BE$48,$C$37:$BL$37,0),FALSE)/VLOOKUP($C$39,$C$37:$BL$44,MATCH(BE$48,$C$37:$BL$37,0),FALSE),1),
        IF(AND(BE$48&gt;=($E489+$S489), BE$48&lt;=($E489+$Q489)),
-PMT($P489,($Q489-$S489+1),($K489*(VLOOKUP($C$39,$C$37:$BL$44,MATCH($E489,$C$37:$BL$37,0),FALSE)/VLOOKUP($L489,$C$37:$BL$44,MATCH($E489,$C$37:$BL$37,0),FALSE))*
IF($B$5="Foreign Currency",VLOOKUP($C$38,$C$37:$BL$44,MATCH(BE$48,$C$37:$BL$37,0),FALSE)/VLOOKUP($C$39,$C$37:$BL$44,MATCH(BE$48,$C$37:$BL$37,0),FALSE),1)),0),
0)),
    IF($T489="Equal Principal Payments (EPP)",
        IF(AND(BE$48&gt;=$E489, BE$48&lt;=($E489+$Q489)),
-PMT($P489,($Q489-$S489+1),($K489*(VLOOKUP($C$39,$C$37:$BL$44,MATCH($E489,$C$37:$BL$37,0),FALSE)/VLOOKUP($L489,$C$37:$BL$44,MATCH($E489,$C$37:$BL$37,0),FALSE))*
IF($B$5="Foreign Currency",VLOOKUP($C$38,$C$37:$BL$44,MATCH(BE$48,$C$37:$BL$37,0),FALSE)/VLOOKUP($C$39,$C$37:$BL$44,MATCH(BE$48,$C$37:$BL$37,0),FALSE),1)),0), 0),
    IF($T489="EPP with Grace Years for Principal and on Interest",
        IF(AND(BE$48&gt;=($E489+$S489), BE$48&lt;=($E489+$Q489)),
-PMT($P489,($Q489-$S489+1),($K489*(VLOOKUP($C$39,$C$37:$BL$44,MATCH($E489,$C$37:$BL$37,0),FALSE)/VLOOKUP($L489,$C$37:$BL$44,MATCH($E489,$C$37:$BL$37,0),FALSE))*
IF($B$5="Foreign Currency",VLOOKUP($C$38,$C$37:$BL$44,MATCH(BE$48,$C$37:$BL$37,0),FALSE)/VLOOKUP($C$39,$C$37:$BL$44,MATCH(BE$48,$C$37:$BL$37,0),FALSE),1))*((1+$P489)^$S489),0), 0),
    0)))))),"")</f>
        <v>0</v>
      </c>
      <c r="BF489" s="171">
        <f t="shared" si="767"/>
        <v>0</v>
      </c>
      <c r="BG489" s="171">
        <f t="shared" si="767"/>
        <v>0</v>
      </c>
      <c r="BH489" s="171">
        <f t="shared" si="767"/>
        <v>0</v>
      </c>
      <c r="BI489" s="171">
        <f t="shared" si="767"/>
        <v>0</v>
      </c>
      <c r="BJ489" s="171">
        <f t="shared" si="767"/>
        <v>0</v>
      </c>
      <c r="BK489" s="171">
        <f t="shared" si="767"/>
        <v>0</v>
      </c>
      <c r="BL489" s="171">
        <f t="shared" si="767"/>
        <v>0</v>
      </c>
      <c r="BM489" s="171">
        <f t="shared" si="767"/>
        <v>0</v>
      </c>
      <c r="BN489" s="171">
        <f t="shared" si="767"/>
        <v>0</v>
      </c>
      <c r="BO489" s="171">
        <f t="shared" ref="BO489:BX498" si="768">IFERROR(
    IF($T489="Equity",
        IF(AND(BO$48&gt;=$E489, BO$48&lt;=($E489+$Q489)),
$K489*$P489*(VLOOKUP($C$39,$C$37:$BL$44,MATCH($E489,$C$37:$BL$37,0),FALSE)/VLOOKUP($L489,$C$37:$BL$44,MATCH($E489,$C$37:$BL$37,0),FALSE))*
IF($B$5="Foreign Currency",VLOOKUP($C$38,$C$37:$BL$44,MATCH(BO$48,$C$37:$BL$37,0),FALSE)/VLOOKUP($C$39,$C$37:$BL$44,MATCH(BO$48,$C$37:$BL$37,0),FALSE),1),
0),
    IF($T489="Lump Sum Principal",
        IF(AND(BO$48&gt;=$E489, BO$48&lt;($E489+$Q489)),
$K489*$P489*(VLOOKUP($C$39,$C$37:$BL$44,MATCH($E489,$C$37:$BL$37,0),FALSE)/VLOOKUP($L489,$C$37:$BL$44,MATCH($E489,$C$37:$BL$37,0),FALSE))*
IF($B$5="Foreign Currency",VLOOKUP($C$38,$C$37:$BL$44,MATCH(BO$48,$C$37:$BL$37,0),FALSE)/VLOOKUP($C$39,$C$37:$BL$44,MATCH(BO$48,$C$37:$BL$37,0),FALSE),1),
        IF(BO$48=($E489+$Q489),
$K489*(1+$P489)*(VLOOKUP($C$39,$C$37:$BL$44,MATCH($E489,$C$37:$BL$37,0),FALSE)/VLOOKUP($L489,$C$37:$BL$44,MATCH($E489,$C$37:$BL$37,0),FALSE))*
IF($B$5="Foreign Currency",VLOOKUP($C$38,$C$37:$BL$44,MATCH(BO$48,$C$37:$BL$37,0),FALSE)/VLOOKUP($C$39,$C$37:$BL$44,MATCH(BO$48,$C$37:$BL$37,0),FALSE),1),
0)),
    IF($T489="Lump Sum Principal and Interest",
        IF(BO$48=($E489+$Q489),
$K489*((1+$P489)^$Q489)*(VLOOKUP($C$39,$C$37:$BL$44,MATCH($E489,$C$37:$BL$37,0),FALSE)/VLOOKUP($L489,$C$37:$BL$44,MATCH($E489,$C$37:$BL$37,0),FALSE))*
IF($B$5="Foreign Currency",VLOOKUP($C$38,$C$37:$BL$44,MATCH(BO$48,$C$37:$BL$37,0),FALSE)/VLOOKUP($C$39,$C$37:$BL$44,MATCH(BO$48,$C$37:$BL$37,0),FALSE),1),
0),
    IF($T489="EPP with Grace Years for Principal",
        IF(AND(BO$48&gt;=$E489, BO$48&lt;($E489+$S489)),
$K489*$P489*(VLOOKUP($C$39,$C$37:$BL$44,MATCH($E489,$C$37:$BL$37,0),FALSE)/VLOOKUP($L489,$C$37:$BL$44,MATCH($E489,$C$37:$BL$37,0),FALSE))*
IF($B$5="Foreign Currency",VLOOKUP($C$38,$C$37:$BL$44,MATCH(BO$48,$C$37:$BL$37,0),FALSE)/VLOOKUP($C$39,$C$37:$BL$44,MATCH(BO$48,$C$37:$BL$37,0),FALSE),1),
        IF(AND(BO$48&gt;=($E489+$S489), BO$48&lt;=($E489+$Q489)),
-PMT($P489,($Q489-$S489+1),($K489*(VLOOKUP($C$39,$C$37:$BL$44,MATCH($E489,$C$37:$BL$37,0),FALSE)/VLOOKUP($L489,$C$37:$BL$44,MATCH($E489,$C$37:$BL$37,0),FALSE))*
IF($B$5="Foreign Currency",VLOOKUP($C$38,$C$37:$BL$44,MATCH(BO$48,$C$37:$BL$37,0),FALSE)/VLOOKUP($C$39,$C$37:$BL$44,MATCH(BO$48,$C$37:$BL$37,0),FALSE),1)),0),
0)),
    IF($T489="Equal Principal Payments (EPP)",
        IF(AND(BO$48&gt;=$E489, BO$48&lt;=($E489+$Q489)),
-PMT($P489,($Q489-$S489+1),($K489*(VLOOKUP($C$39,$C$37:$BL$44,MATCH($E489,$C$37:$BL$37,0),FALSE)/VLOOKUP($L489,$C$37:$BL$44,MATCH($E489,$C$37:$BL$37,0),FALSE))*
IF($B$5="Foreign Currency",VLOOKUP($C$38,$C$37:$BL$44,MATCH(BO$48,$C$37:$BL$37,0),FALSE)/VLOOKUP($C$39,$C$37:$BL$44,MATCH(BO$48,$C$37:$BL$37,0),FALSE),1)),0), 0),
    IF($T489="EPP with Grace Years for Principal and on Interest",
        IF(AND(BO$48&gt;=($E489+$S489), BO$48&lt;=($E489+$Q489)),
-PMT($P489,($Q489-$S489+1),($K489*(VLOOKUP($C$39,$C$37:$BL$44,MATCH($E489,$C$37:$BL$37,0),FALSE)/VLOOKUP($L489,$C$37:$BL$44,MATCH($E489,$C$37:$BL$37,0),FALSE))*
IF($B$5="Foreign Currency",VLOOKUP($C$38,$C$37:$BL$44,MATCH(BO$48,$C$37:$BL$37,0),FALSE)/VLOOKUP($C$39,$C$37:$BL$44,MATCH(BO$48,$C$37:$BL$37,0),FALSE),1))*((1+$P489)^$S489),0), 0),
    0)))))),"")</f>
        <v>0</v>
      </c>
      <c r="BP489" s="171">
        <f t="shared" si="768"/>
        <v>0</v>
      </c>
      <c r="BQ489" s="171">
        <f t="shared" si="768"/>
        <v>0</v>
      </c>
      <c r="BR489" s="171">
        <f t="shared" si="768"/>
        <v>0</v>
      </c>
      <c r="BS489" s="171">
        <f t="shared" si="768"/>
        <v>0</v>
      </c>
      <c r="BT489" s="171">
        <f t="shared" si="768"/>
        <v>0</v>
      </c>
      <c r="BU489" s="171">
        <f t="shared" si="768"/>
        <v>0</v>
      </c>
      <c r="BV489" s="171">
        <f t="shared" si="768"/>
        <v>0</v>
      </c>
      <c r="BW489" s="171">
        <f t="shared" si="768"/>
        <v>0</v>
      </c>
      <c r="BX489" s="171">
        <f t="shared" si="768"/>
        <v>0</v>
      </c>
      <c r="BY489" s="171">
        <f t="shared" ref="BY489:CI498" si="769">IFERROR(
    IF($T489="Equity",
        IF(AND(BY$48&gt;=$E489, BY$48&lt;=($E489+$Q489)),
$K489*$P489*(VLOOKUP($C$39,$C$37:$BL$44,MATCH($E489,$C$37:$BL$37,0),FALSE)/VLOOKUP($L489,$C$37:$BL$44,MATCH($E489,$C$37:$BL$37,0),FALSE))*
IF($B$5="Foreign Currency",VLOOKUP($C$38,$C$37:$BL$44,MATCH(BY$48,$C$37:$BL$37,0),FALSE)/VLOOKUP($C$39,$C$37:$BL$44,MATCH(BY$48,$C$37:$BL$37,0),FALSE),1),
0),
    IF($T489="Lump Sum Principal",
        IF(AND(BY$48&gt;=$E489, BY$48&lt;($E489+$Q489)),
$K489*$P489*(VLOOKUP($C$39,$C$37:$BL$44,MATCH($E489,$C$37:$BL$37,0),FALSE)/VLOOKUP($L489,$C$37:$BL$44,MATCH($E489,$C$37:$BL$37,0),FALSE))*
IF($B$5="Foreign Currency",VLOOKUP($C$38,$C$37:$BL$44,MATCH(BY$48,$C$37:$BL$37,0),FALSE)/VLOOKUP($C$39,$C$37:$BL$44,MATCH(BY$48,$C$37:$BL$37,0),FALSE),1),
        IF(BY$48=($E489+$Q489),
$K489*(1+$P489)*(VLOOKUP($C$39,$C$37:$BL$44,MATCH($E489,$C$37:$BL$37,0),FALSE)/VLOOKUP($L489,$C$37:$BL$44,MATCH($E489,$C$37:$BL$37,0),FALSE))*
IF($B$5="Foreign Currency",VLOOKUP($C$38,$C$37:$BL$44,MATCH(BY$48,$C$37:$BL$37,0),FALSE)/VLOOKUP($C$39,$C$37:$BL$44,MATCH(BY$48,$C$37:$BL$37,0),FALSE),1),
0)),
    IF($T489="Lump Sum Principal and Interest",
        IF(BY$48=($E489+$Q489),
$K489*((1+$P489)^$Q489)*(VLOOKUP($C$39,$C$37:$BL$44,MATCH($E489,$C$37:$BL$37,0),FALSE)/VLOOKUP($L489,$C$37:$BL$44,MATCH($E489,$C$37:$BL$37,0),FALSE))*
IF($B$5="Foreign Currency",VLOOKUP($C$38,$C$37:$BL$44,MATCH(BY$48,$C$37:$BL$37,0),FALSE)/VLOOKUP($C$39,$C$37:$BL$44,MATCH(BY$48,$C$37:$BL$37,0),FALSE),1),
0),
    IF($T489="EPP with Grace Years for Principal",
        IF(AND(BY$48&gt;=$E489, BY$48&lt;($E489+$S489)),
$K489*$P489*(VLOOKUP($C$39,$C$37:$BL$44,MATCH($E489,$C$37:$BL$37,0),FALSE)/VLOOKUP($L489,$C$37:$BL$44,MATCH($E489,$C$37:$BL$37,0),FALSE))*
IF($B$5="Foreign Currency",VLOOKUP($C$38,$C$37:$BL$44,MATCH(BY$48,$C$37:$BL$37,0),FALSE)/VLOOKUP($C$39,$C$37:$BL$44,MATCH(BY$48,$C$37:$BL$37,0),FALSE),1),
        IF(AND(BY$48&gt;=($E489+$S489), BY$48&lt;=($E489+$Q489)),
-PMT($P489,($Q489-$S489+1),($K489*(VLOOKUP($C$39,$C$37:$BL$44,MATCH($E489,$C$37:$BL$37,0),FALSE)/VLOOKUP($L489,$C$37:$BL$44,MATCH($E489,$C$37:$BL$37,0),FALSE))*
IF($B$5="Foreign Currency",VLOOKUP($C$38,$C$37:$BL$44,MATCH(BY$48,$C$37:$BL$37,0),FALSE)/VLOOKUP($C$39,$C$37:$BL$44,MATCH(BY$48,$C$37:$BL$37,0),FALSE),1)),0),
0)),
    IF($T489="Equal Principal Payments (EPP)",
        IF(AND(BY$48&gt;=$E489, BY$48&lt;=($E489+$Q489)),
-PMT($P489,($Q489-$S489+1),($K489*(VLOOKUP($C$39,$C$37:$BL$44,MATCH($E489,$C$37:$BL$37,0),FALSE)/VLOOKUP($L489,$C$37:$BL$44,MATCH($E489,$C$37:$BL$37,0),FALSE))*
IF($B$5="Foreign Currency",VLOOKUP($C$38,$C$37:$BL$44,MATCH(BY$48,$C$37:$BL$37,0),FALSE)/VLOOKUP($C$39,$C$37:$BL$44,MATCH(BY$48,$C$37:$BL$37,0),FALSE),1)),0), 0),
    IF($T489="EPP with Grace Years for Principal and on Interest",
        IF(AND(BY$48&gt;=($E489+$S489), BY$48&lt;=($E489+$Q489)),
-PMT($P489,($Q489-$S489+1),($K489*(VLOOKUP($C$39,$C$37:$BL$44,MATCH($E489,$C$37:$BL$37,0),FALSE)/VLOOKUP($L489,$C$37:$BL$44,MATCH($E489,$C$37:$BL$37,0),FALSE))*
IF($B$5="Foreign Currency",VLOOKUP($C$38,$C$37:$BL$44,MATCH(BY$48,$C$37:$BL$37,0),FALSE)/VLOOKUP($C$39,$C$37:$BL$44,MATCH(BY$48,$C$37:$BL$37,0),FALSE),1))*((1+$P489)^$S489),0), 0),
    0)))))),"")</f>
        <v>0</v>
      </c>
      <c r="BZ489" s="171">
        <f t="shared" si="769"/>
        <v>0</v>
      </c>
      <c r="CA489" s="171">
        <f t="shared" si="769"/>
        <v>0</v>
      </c>
      <c r="CB489" s="171">
        <f t="shared" si="769"/>
        <v>0</v>
      </c>
      <c r="CC489" s="171">
        <f t="shared" si="769"/>
        <v>0</v>
      </c>
      <c r="CD489" s="171">
        <f t="shared" si="769"/>
        <v>0</v>
      </c>
      <c r="CE489" s="171">
        <f t="shared" si="769"/>
        <v>0</v>
      </c>
      <c r="CF489" s="171">
        <f t="shared" si="769"/>
        <v>0</v>
      </c>
      <c r="CG489" s="171">
        <f t="shared" si="769"/>
        <v>0</v>
      </c>
      <c r="CH489" s="171">
        <f t="shared" si="769"/>
        <v>0</v>
      </c>
      <c r="CI489" s="171">
        <f t="shared" si="769"/>
        <v>0</v>
      </c>
      <c r="CJ489" s="243"/>
      <c r="CK489" s="171">
        <f t="shared" si="671"/>
        <v>0</v>
      </c>
      <c r="CL489" s="171">
        <f t="shared" si="672"/>
        <v>0</v>
      </c>
      <c r="CM489" s="171">
        <f t="shared" si="673"/>
        <v>0</v>
      </c>
      <c r="CN489" s="171">
        <f t="shared" si="674"/>
        <v>0</v>
      </c>
      <c r="CO489" s="171">
        <f t="shared" si="675"/>
        <v>0</v>
      </c>
      <c r="CP489" s="171">
        <f t="shared" si="676"/>
        <v>0</v>
      </c>
      <c r="CQ489" s="171">
        <f t="shared" si="677"/>
        <v>0</v>
      </c>
      <c r="CR489" s="171">
        <f t="shared" si="678"/>
        <v>0</v>
      </c>
      <c r="CS489" s="171">
        <f t="shared" si="679"/>
        <v>0</v>
      </c>
      <c r="CT489" s="171">
        <f t="shared" si="680"/>
        <v>0</v>
      </c>
      <c r="CU489" s="171">
        <f t="shared" si="681"/>
        <v>0</v>
      </c>
      <c r="CV489" s="171">
        <f t="shared" si="682"/>
        <v>0</v>
      </c>
      <c r="CW489" s="171">
        <f t="shared" si="683"/>
        <v>0</v>
      </c>
      <c r="CX489" s="171">
        <f t="shared" si="684"/>
        <v>0</v>
      </c>
      <c r="CY489" s="171">
        <f t="shared" ca="1" si="685"/>
        <v>0</v>
      </c>
      <c r="CZ489" s="171">
        <f t="shared" ca="1" si="686"/>
        <v>0</v>
      </c>
      <c r="DA489" s="171">
        <f t="shared" ca="1" si="687"/>
        <v>0</v>
      </c>
      <c r="DB489" s="171">
        <f t="shared" ca="1" si="688"/>
        <v>0</v>
      </c>
      <c r="DC489" s="171">
        <f t="shared" ca="1" si="689"/>
        <v>0</v>
      </c>
      <c r="DD489" s="171">
        <f t="shared" ca="1" si="690"/>
        <v>0</v>
      </c>
      <c r="DE489" s="171">
        <f t="shared" ca="1" si="691"/>
        <v>0</v>
      </c>
      <c r="DF489" s="171">
        <f t="shared" ca="1" si="692"/>
        <v>0</v>
      </c>
      <c r="DG489" s="171">
        <f t="shared" ca="1" si="693"/>
        <v>0</v>
      </c>
      <c r="DH489" s="171">
        <f t="shared" ca="1" si="694"/>
        <v>0</v>
      </c>
      <c r="DI489" s="171">
        <f t="shared" ca="1" si="695"/>
        <v>0</v>
      </c>
      <c r="DJ489" s="171">
        <f t="shared" ca="1" si="696"/>
        <v>0</v>
      </c>
      <c r="DK489" s="171">
        <f t="shared" ca="1" si="697"/>
        <v>0</v>
      </c>
      <c r="DL489" s="171">
        <f t="shared" ca="1" si="698"/>
        <v>0</v>
      </c>
      <c r="DM489" s="171">
        <f t="shared" ca="1" si="699"/>
        <v>0</v>
      </c>
      <c r="DN489" s="171">
        <f t="shared" ca="1" si="700"/>
        <v>0</v>
      </c>
      <c r="DO489" s="171">
        <f t="shared" ca="1" si="701"/>
        <v>0</v>
      </c>
      <c r="DP489" s="171">
        <f t="shared" ca="1" si="702"/>
        <v>0</v>
      </c>
      <c r="DQ489" s="171">
        <f t="shared" ca="1" si="703"/>
        <v>0</v>
      </c>
      <c r="DR489" s="171">
        <f t="shared" ca="1" si="704"/>
        <v>0</v>
      </c>
      <c r="DS489" s="171">
        <f t="shared" ca="1" si="705"/>
        <v>0</v>
      </c>
      <c r="DT489" s="171">
        <f t="shared" ca="1" si="706"/>
        <v>0</v>
      </c>
      <c r="DU489" s="171">
        <f t="shared" ca="1" si="707"/>
        <v>0</v>
      </c>
      <c r="DV489" s="171">
        <f t="shared" ca="1" si="708"/>
        <v>0</v>
      </c>
      <c r="DW489" s="171">
        <f t="shared" ca="1" si="709"/>
        <v>0</v>
      </c>
      <c r="DX489" s="171">
        <f t="shared" ca="1" si="710"/>
        <v>0</v>
      </c>
      <c r="DY489" s="171">
        <f t="shared" ca="1" si="711"/>
        <v>0</v>
      </c>
      <c r="DZ489" s="171">
        <f t="shared" ca="1" si="712"/>
        <v>0</v>
      </c>
      <c r="EA489" s="171">
        <f t="shared" ca="1" si="713"/>
        <v>0</v>
      </c>
      <c r="EB489" s="171">
        <f t="shared" ca="1" si="714"/>
        <v>0</v>
      </c>
      <c r="EC489" s="171">
        <f t="shared" ca="1" si="715"/>
        <v>0</v>
      </c>
      <c r="ED489" s="171">
        <f t="shared" ca="1" si="716"/>
        <v>0</v>
      </c>
      <c r="EE489" s="171">
        <f t="shared" ca="1" si="717"/>
        <v>0</v>
      </c>
      <c r="EF489" s="171">
        <f t="shared" ca="1" si="718"/>
        <v>0</v>
      </c>
      <c r="EG489" s="171">
        <f t="shared" ca="1" si="719"/>
        <v>0</v>
      </c>
      <c r="EH489" s="171">
        <f t="shared" ca="1" si="720"/>
        <v>0</v>
      </c>
      <c r="EI489" s="171">
        <f t="shared" ca="1" si="721"/>
        <v>0</v>
      </c>
      <c r="EJ489" s="171">
        <f t="shared" ca="1" si="722"/>
        <v>0</v>
      </c>
      <c r="EK489" s="171">
        <f t="shared" ca="1" si="723"/>
        <v>0</v>
      </c>
      <c r="EL489" s="171">
        <f t="shared" ca="1" si="724"/>
        <v>0</v>
      </c>
      <c r="EM489" s="171">
        <f t="shared" ca="1" si="725"/>
        <v>0</v>
      </c>
      <c r="EN489" s="171">
        <f t="shared" ca="1" si="726"/>
        <v>0</v>
      </c>
      <c r="EO489" s="171">
        <f t="shared" ca="1" si="727"/>
        <v>0</v>
      </c>
      <c r="EP489" s="171">
        <f t="shared" ca="1" si="728"/>
        <v>0</v>
      </c>
      <c r="EQ489" s="171">
        <f t="shared" ca="1" si="729"/>
        <v>0</v>
      </c>
      <c r="ER489" s="171">
        <f t="shared" ca="1" si="730"/>
        <v>0</v>
      </c>
      <c r="ES489" s="171">
        <f t="shared" ca="1" si="731"/>
        <v>0</v>
      </c>
    </row>
    <row r="490" spans="3:149">
      <c r="C490" s="157"/>
      <c r="L490" s="163"/>
      <c r="M490" s="164" t="str">
        <f t="shared" si="662"/>
        <v/>
      </c>
      <c r="N490" s="164" t="str">
        <f t="shared" si="663"/>
        <v/>
      </c>
      <c r="O490" s="165" t="str">
        <f t="shared" si="664"/>
        <v/>
      </c>
      <c r="R490" s="168" t="str">
        <f t="shared" si="751"/>
        <v/>
      </c>
      <c r="U490" s="171">
        <f t="shared" si="665"/>
        <v>0</v>
      </c>
      <c r="V490" s="171">
        <f t="shared" ca="1" si="666"/>
        <v>0</v>
      </c>
      <c r="W490" s="171">
        <f t="shared" ca="1" si="667"/>
        <v>0</v>
      </c>
      <c r="X490" s="172">
        <f t="shared" si="668"/>
        <v>0</v>
      </c>
      <c r="Y490" s="172" t="str">
        <f t="shared" si="669"/>
        <v/>
      </c>
      <c r="Z490" s="173">
        <f t="shared" si="670"/>
        <v>0</v>
      </c>
      <c r="AA490" s="171">
        <f t="shared" si="764"/>
        <v>0</v>
      </c>
      <c r="AB490" s="171">
        <f t="shared" si="764"/>
        <v>0</v>
      </c>
      <c r="AC490" s="171">
        <f t="shared" si="764"/>
        <v>0</v>
      </c>
      <c r="AD490" s="171">
        <f t="shared" si="764"/>
        <v>0</v>
      </c>
      <c r="AE490" s="171">
        <f t="shared" si="764"/>
        <v>0</v>
      </c>
      <c r="AF490" s="171">
        <f t="shared" si="764"/>
        <v>0</v>
      </c>
      <c r="AG490" s="171">
        <f t="shared" si="764"/>
        <v>0</v>
      </c>
      <c r="AH490" s="171">
        <f t="shared" si="764"/>
        <v>0</v>
      </c>
      <c r="AI490" s="171">
        <f t="shared" si="764"/>
        <v>0</v>
      </c>
      <c r="AJ490" s="171">
        <f t="shared" si="764"/>
        <v>0</v>
      </c>
      <c r="AK490" s="171">
        <f t="shared" si="765"/>
        <v>0</v>
      </c>
      <c r="AL490" s="171">
        <f t="shared" si="765"/>
        <v>0</v>
      </c>
      <c r="AM490" s="171">
        <f t="shared" si="765"/>
        <v>0</v>
      </c>
      <c r="AN490" s="171">
        <f t="shared" si="765"/>
        <v>0</v>
      </c>
      <c r="AO490" s="171">
        <f t="shared" si="765"/>
        <v>0</v>
      </c>
      <c r="AP490" s="171">
        <f t="shared" si="765"/>
        <v>0</v>
      </c>
      <c r="AQ490" s="171">
        <f t="shared" si="765"/>
        <v>0</v>
      </c>
      <c r="AR490" s="171">
        <f t="shared" si="765"/>
        <v>0</v>
      </c>
      <c r="AS490" s="171">
        <f t="shared" si="765"/>
        <v>0</v>
      </c>
      <c r="AT490" s="171">
        <f t="shared" si="765"/>
        <v>0</v>
      </c>
      <c r="AU490" s="171">
        <f t="shared" si="766"/>
        <v>0</v>
      </c>
      <c r="AV490" s="171">
        <f t="shared" si="766"/>
        <v>0</v>
      </c>
      <c r="AW490" s="171">
        <f t="shared" si="766"/>
        <v>0</v>
      </c>
      <c r="AX490" s="171">
        <f t="shared" si="766"/>
        <v>0</v>
      </c>
      <c r="AY490" s="171">
        <f t="shared" si="766"/>
        <v>0</v>
      </c>
      <c r="AZ490" s="171">
        <f t="shared" si="766"/>
        <v>0</v>
      </c>
      <c r="BA490" s="171">
        <f t="shared" si="766"/>
        <v>0</v>
      </c>
      <c r="BB490" s="171">
        <f t="shared" si="766"/>
        <v>0</v>
      </c>
      <c r="BC490" s="171">
        <f t="shared" si="766"/>
        <v>0</v>
      </c>
      <c r="BD490" s="171">
        <f t="shared" si="766"/>
        <v>0</v>
      </c>
      <c r="BE490" s="171">
        <f t="shared" si="767"/>
        <v>0</v>
      </c>
      <c r="BF490" s="171">
        <f t="shared" si="767"/>
        <v>0</v>
      </c>
      <c r="BG490" s="171">
        <f t="shared" si="767"/>
        <v>0</v>
      </c>
      <c r="BH490" s="171">
        <f t="shared" si="767"/>
        <v>0</v>
      </c>
      <c r="BI490" s="171">
        <f t="shared" si="767"/>
        <v>0</v>
      </c>
      <c r="BJ490" s="171">
        <f t="shared" si="767"/>
        <v>0</v>
      </c>
      <c r="BK490" s="171">
        <f t="shared" si="767"/>
        <v>0</v>
      </c>
      <c r="BL490" s="171">
        <f t="shared" si="767"/>
        <v>0</v>
      </c>
      <c r="BM490" s="171">
        <f t="shared" si="767"/>
        <v>0</v>
      </c>
      <c r="BN490" s="171">
        <f t="shared" si="767"/>
        <v>0</v>
      </c>
      <c r="BO490" s="171">
        <f t="shared" si="768"/>
        <v>0</v>
      </c>
      <c r="BP490" s="171">
        <f t="shared" si="768"/>
        <v>0</v>
      </c>
      <c r="BQ490" s="171">
        <f t="shared" si="768"/>
        <v>0</v>
      </c>
      <c r="BR490" s="171">
        <f t="shared" si="768"/>
        <v>0</v>
      </c>
      <c r="BS490" s="171">
        <f t="shared" si="768"/>
        <v>0</v>
      </c>
      <c r="BT490" s="171">
        <f t="shared" si="768"/>
        <v>0</v>
      </c>
      <c r="BU490" s="171">
        <f t="shared" si="768"/>
        <v>0</v>
      </c>
      <c r="BV490" s="171">
        <f t="shared" si="768"/>
        <v>0</v>
      </c>
      <c r="BW490" s="171">
        <f t="shared" si="768"/>
        <v>0</v>
      </c>
      <c r="BX490" s="171">
        <f t="shared" si="768"/>
        <v>0</v>
      </c>
      <c r="BY490" s="171">
        <f t="shared" si="769"/>
        <v>0</v>
      </c>
      <c r="BZ490" s="171">
        <f t="shared" si="769"/>
        <v>0</v>
      </c>
      <c r="CA490" s="171">
        <f t="shared" si="769"/>
        <v>0</v>
      </c>
      <c r="CB490" s="171">
        <f t="shared" si="769"/>
        <v>0</v>
      </c>
      <c r="CC490" s="171">
        <f t="shared" si="769"/>
        <v>0</v>
      </c>
      <c r="CD490" s="171">
        <f t="shared" si="769"/>
        <v>0</v>
      </c>
      <c r="CE490" s="171">
        <f t="shared" si="769"/>
        <v>0</v>
      </c>
      <c r="CF490" s="171">
        <f t="shared" si="769"/>
        <v>0</v>
      </c>
      <c r="CG490" s="171">
        <f t="shared" si="769"/>
        <v>0</v>
      </c>
      <c r="CH490" s="171">
        <f t="shared" si="769"/>
        <v>0</v>
      </c>
      <c r="CI490" s="171">
        <f t="shared" si="769"/>
        <v>0</v>
      </c>
      <c r="CJ490" s="243"/>
      <c r="CK490" s="171">
        <f t="shared" si="671"/>
        <v>0</v>
      </c>
      <c r="CL490" s="171">
        <f t="shared" si="672"/>
        <v>0</v>
      </c>
      <c r="CM490" s="171">
        <f t="shared" si="673"/>
        <v>0</v>
      </c>
      <c r="CN490" s="171">
        <f t="shared" si="674"/>
        <v>0</v>
      </c>
      <c r="CO490" s="171">
        <f t="shared" si="675"/>
        <v>0</v>
      </c>
      <c r="CP490" s="171">
        <f t="shared" si="676"/>
        <v>0</v>
      </c>
      <c r="CQ490" s="171">
        <f t="shared" si="677"/>
        <v>0</v>
      </c>
      <c r="CR490" s="171">
        <f t="shared" si="678"/>
        <v>0</v>
      </c>
      <c r="CS490" s="171">
        <f t="shared" si="679"/>
        <v>0</v>
      </c>
      <c r="CT490" s="171">
        <f t="shared" si="680"/>
        <v>0</v>
      </c>
      <c r="CU490" s="171">
        <f t="shared" si="681"/>
        <v>0</v>
      </c>
      <c r="CV490" s="171">
        <f t="shared" si="682"/>
        <v>0</v>
      </c>
      <c r="CW490" s="171">
        <f t="shared" si="683"/>
        <v>0</v>
      </c>
      <c r="CX490" s="171">
        <f t="shared" si="684"/>
        <v>0</v>
      </c>
      <c r="CY490" s="171">
        <f t="shared" ca="1" si="685"/>
        <v>0</v>
      </c>
      <c r="CZ490" s="171">
        <f t="shared" ca="1" si="686"/>
        <v>0</v>
      </c>
      <c r="DA490" s="171">
        <f t="shared" ca="1" si="687"/>
        <v>0</v>
      </c>
      <c r="DB490" s="171">
        <f t="shared" ca="1" si="688"/>
        <v>0</v>
      </c>
      <c r="DC490" s="171">
        <f t="shared" ca="1" si="689"/>
        <v>0</v>
      </c>
      <c r="DD490" s="171">
        <f t="shared" ca="1" si="690"/>
        <v>0</v>
      </c>
      <c r="DE490" s="171">
        <f t="shared" ca="1" si="691"/>
        <v>0</v>
      </c>
      <c r="DF490" s="171">
        <f t="shared" ca="1" si="692"/>
        <v>0</v>
      </c>
      <c r="DG490" s="171">
        <f t="shared" ca="1" si="693"/>
        <v>0</v>
      </c>
      <c r="DH490" s="171">
        <f t="shared" ca="1" si="694"/>
        <v>0</v>
      </c>
      <c r="DI490" s="171">
        <f t="shared" ca="1" si="695"/>
        <v>0</v>
      </c>
      <c r="DJ490" s="171">
        <f t="shared" ca="1" si="696"/>
        <v>0</v>
      </c>
      <c r="DK490" s="171">
        <f t="shared" ca="1" si="697"/>
        <v>0</v>
      </c>
      <c r="DL490" s="171">
        <f t="shared" ca="1" si="698"/>
        <v>0</v>
      </c>
      <c r="DM490" s="171">
        <f t="shared" ca="1" si="699"/>
        <v>0</v>
      </c>
      <c r="DN490" s="171">
        <f t="shared" ca="1" si="700"/>
        <v>0</v>
      </c>
      <c r="DO490" s="171">
        <f t="shared" ca="1" si="701"/>
        <v>0</v>
      </c>
      <c r="DP490" s="171">
        <f t="shared" ca="1" si="702"/>
        <v>0</v>
      </c>
      <c r="DQ490" s="171">
        <f t="shared" ca="1" si="703"/>
        <v>0</v>
      </c>
      <c r="DR490" s="171">
        <f t="shared" ca="1" si="704"/>
        <v>0</v>
      </c>
      <c r="DS490" s="171">
        <f t="shared" ca="1" si="705"/>
        <v>0</v>
      </c>
      <c r="DT490" s="171">
        <f t="shared" ca="1" si="706"/>
        <v>0</v>
      </c>
      <c r="DU490" s="171">
        <f t="shared" ca="1" si="707"/>
        <v>0</v>
      </c>
      <c r="DV490" s="171">
        <f t="shared" ca="1" si="708"/>
        <v>0</v>
      </c>
      <c r="DW490" s="171">
        <f t="shared" ca="1" si="709"/>
        <v>0</v>
      </c>
      <c r="DX490" s="171">
        <f t="shared" ca="1" si="710"/>
        <v>0</v>
      </c>
      <c r="DY490" s="171">
        <f t="shared" ca="1" si="711"/>
        <v>0</v>
      </c>
      <c r="DZ490" s="171">
        <f t="shared" ca="1" si="712"/>
        <v>0</v>
      </c>
      <c r="EA490" s="171">
        <f t="shared" ca="1" si="713"/>
        <v>0</v>
      </c>
      <c r="EB490" s="171">
        <f t="shared" ca="1" si="714"/>
        <v>0</v>
      </c>
      <c r="EC490" s="171">
        <f t="shared" ca="1" si="715"/>
        <v>0</v>
      </c>
      <c r="ED490" s="171">
        <f t="shared" ca="1" si="716"/>
        <v>0</v>
      </c>
      <c r="EE490" s="171">
        <f t="shared" ca="1" si="717"/>
        <v>0</v>
      </c>
      <c r="EF490" s="171">
        <f t="shared" ca="1" si="718"/>
        <v>0</v>
      </c>
      <c r="EG490" s="171">
        <f t="shared" ca="1" si="719"/>
        <v>0</v>
      </c>
      <c r="EH490" s="171">
        <f t="shared" ca="1" si="720"/>
        <v>0</v>
      </c>
      <c r="EI490" s="171">
        <f t="shared" ca="1" si="721"/>
        <v>0</v>
      </c>
      <c r="EJ490" s="171">
        <f t="shared" ca="1" si="722"/>
        <v>0</v>
      </c>
      <c r="EK490" s="171">
        <f t="shared" ca="1" si="723"/>
        <v>0</v>
      </c>
      <c r="EL490" s="171">
        <f t="shared" ca="1" si="724"/>
        <v>0</v>
      </c>
      <c r="EM490" s="171">
        <f t="shared" ca="1" si="725"/>
        <v>0</v>
      </c>
      <c r="EN490" s="171">
        <f t="shared" ca="1" si="726"/>
        <v>0</v>
      </c>
      <c r="EO490" s="171">
        <f t="shared" ca="1" si="727"/>
        <v>0</v>
      </c>
      <c r="EP490" s="171">
        <f t="shared" ca="1" si="728"/>
        <v>0</v>
      </c>
      <c r="EQ490" s="171">
        <f t="shared" ca="1" si="729"/>
        <v>0</v>
      </c>
      <c r="ER490" s="171">
        <f t="shared" ca="1" si="730"/>
        <v>0</v>
      </c>
      <c r="ES490" s="171">
        <f t="shared" ca="1" si="731"/>
        <v>0</v>
      </c>
    </row>
    <row r="491" spans="3:149">
      <c r="C491" s="157"/>
      <c r="L491" s="163"/>
      <c r="M491" s="164" t="str">
        <f t="shared" si="662"/>
        <v/>
      </c>
      <c r="N491" s="164" t="str">
        <f t="shared" si="663"/>
        <v/>
      </c>
      <c r="O491" s="165" t="str">
        <f t="shared" si="664"/>
        <v/>
      </c>
      <c r="R491" s="168" t="str">
        <f t="shared" si="751"/>
        <v/>
      </c>
      <c r="U491" s="171">
        <f t="shared" si="665"/>
        <v>0</v>
      </c>
      <c r="V491" s="171">
        <f t="shared" ca="1" si="666"/>
        <v>0</v>
      </c>
      <c r="W491" s="171">
        <f t="shared" ca="1" si="667"/>
        <v>0</v>
      </c>
      <c r="X491" s="172">
        <f t="shared" si="668"/>
        <v>0</v>
      </c>
      <c r="Y491" s="172" t="str">
        <f t="shared" si="669"/>
        <v/>
      </c>
      <c r="Z491" s="173">
        <f t="shared" si="670"/>
        <v>0</v>
      </c>
      <c r="AA491" s="171">
        <f t="shared" si="764"/>
        <v>0</v>
      </c>
      <c r="AB491" s="171">
        <f t="shared" si="764"/>
        <v>0</v>
      </c>
      <c r="AC491" s="171">
        <f t="shared" si="764"/>
        <v>0</v>
      </c>
      <c r="AD491" s="171">
        <f t="shared" si="764"/>
        <v>0</v>
      </c>
      <c r="AE491" s="171">
        <f t="shared" si="764"/>
        <v>0</v>
      </c>
      <c r="AF491" s="171">
        <f t="shared" si="764"/>
        <v>0</v>
      </c>
      <c r="AG491" s="171">
        <f t="shared" si="764"/>
        <v>0</v>
      </c>
      <c r="AH491" s="171">
        <f t="shared" si="764"/>
        <v>0</v>
      </c>
      <c r="AI491" s="171">
        <f t="shared" si="764"/>
        <v>0</v>
      </c>
      <c r="AJ491" s="171">
        <f t="shared" si="764"/>
        <v>0</v>
      </c>
      <c r="AK491" s="171">
        <f t="shared" si="765"/>
        <v>0</v>
      </c>
      <c r="AL491" s="171">
        <f t="shared" si="765"/>
        <v>0</v>
      </c>
      <c r="AM491" s="171">
        <f t="shared" si="765"/>
        <v>0</v>
      </c>
      <c r="AN491" s="171">
        <f t="shared" si="765"/>
        <v>0</v>
      </c>
      <c r="AO491" s="171">
        <f t="shared" si="765"/>
        <v>0</v>
      </c>
      <c r="AP491" s="171">
        <f t="shared" si="765"/>
        <v>0</v>
      </c>
      <c r="AQ491" s="171">
        <f t="shared" si="765"/>
        <v>0</v>
      </c>
      <c r="AR491" s="171">
        <f t="shared" si="765"/>
        <v>0</v>
      </c>
      <c r="AS491" s="171">
        <f t="shared" si="765"/>
        <v>0</v>
      </c>
      <c r="AT491" s="171">
        <f t="shared" si="765"/>
        <v>0</v>
      </c>
      <c r="AU491" s="171">
        <f t="shared" si="766"/>
        <v>0</v>
      </c>
      <c r="AV491" s="171">
        <f t="shared" si="766"/>
        <v>0</v>
      </c>
      <c r="AW491" s="171">
        <f t="shared" si="766"/>
        <v>0</v>
      </c>
      <c r="AX491" s="171">
        <f t="shared" si="766"/>
        <v>0</v>
      </c>
      <c r="AY491" s="171">
        <f t="shared" si="766"/>
        <v>0</v>
      </c>
      <c r="AZ491" s="171">
        <f t="shared" si="766"/>
        <v>0</v>
      </c>
      <c r="BA491" s="171">
        <f t="shared" si="766"/>
        <v>0</v>
      </c>
      <c r="BB491" s="171">
        <f t="shared" si="766"/>
        <v>0</v>
      </c>
      <c r="BC491" s="171">
        <f t="shared" si="766"/>
        <v>0</v>
      </c>
      <c r="BD491" s="171">
        <f t="shared" si="766"/>
        <v>0</v>
      </c>
      <c r="BE491" s="171">
        <f t="shared" si="767"/>
        <v>0</v>
      </c>
      <c r="BF491" s="171">
        <f t="shared" si="767"/>
        <v>0</v>
      </c>
      <c r="BG491" s="171">
        <f t="shared" si="767"/>
        <v>0</v>
      </c>
      <c r="BH491" s="171">
        <f t="shared" si="767"/>
        <v>0</v>
      </c>
      <c r="BI491" s="171">
        <f t="shared" si="767"/>
        <v>0</v>
      </c>
      <c r="BJ491" s="171">
        <f t="shared" si="767"/>
        <v>0</v>
      </c>
      <c r="BK491" s="171">
        <f t="shared" si="767"/>
        <v>0</v>
      </c>
      <c r="BL491" s="171">
        <f t="shared" si="767"/>
        <v>0</v>
      </c>
      <c r="BM491" s="171">
        <f t="shared" si="767"/>
        <v>0</v>
      </c>
      <c r="BN491" s="171">
        <f t="shared" si="767"/>
        <v>0</v>
      </c>
      <c r="BO491" s="171">
        <f t="shared" si="768"/>
        <v>0</v>
      </c>
      <c r="BP491" s="171">
        <f t="shared" si="768"/>
        <v>0</v>
      </c>
      <c r="BQ491" s="171">
        <f t="shared" si="768"/>
        <v>0</v>
      </c>
      <c r="BR491" s="171">
        <f t="shared" si="768"/>
        <v>0</v>
      </c>
      <c r="BS491" s="171">
        <f t="shared" si="768"/>
        <v>0</v>
      </c>
      <c r="BT491" s="171">
        <f t="shared" si="768"/>
        <v>0</v>
      </c>
      <c r="BU491" s="171">
        <f t="shared" si="768"/>
        <v>0</v>
      </c>
      <c r="BV491" s="171">
        <f t="shared" si="768"/>
        <v>0</v>
      </c>
      <c r="BW491" s="171">
        <f t="shared" si="768"/>
        <v>0</v>
      </c>
      <c r="BX491" s="171">
        <f t="shared" si="768"/>
        <v>0</v>
      </c>
      <c r="BY491" s="171">
        <f t="shared" si="769"/>
        <v>0</v>
      </c>
      <c r="BZ491" s="171">
        <f t="shared" si="769"/>
        <v>0</v>
      </c>
      <c r="CA491" s="171">
        <f t="shared" si="769"/>
        <v>0</v>
      </c>
      <c r="CB491" s="171">
        <f t="shared" si="769"/>
        <v>0</v>
      </c>
      <c r="CC491" s="171">
        <f t="shared" si="769"/>
        <v>0</v>
      </c>
      <c r="CD491" s="171">
        <f t="shared" si="769"/>
        <v>0</v>
      </c>
      <c r="CE491" s="171">
        <f t="shared" si="769"/>
        <v>0</v>
      </c>
      <c r="CF491" s="171">
        <f t="shared" si="769"/>
        <v>0</v>
      </c>
      <c r="CG491" s="171">
        <f t="shared" si="769"/>
        <v>0</v>
      </c>
      <c r="CH491" s="171">
        <f t="shared" si="769"/>
        <v>0</v>
      </c>
      <c r="CI491" s="171">
        <f t="shared" si="769"/>
        <v>0</v>
      </c>
      <c r="CJ491" s="243"/>
      <c r="CK491" s="171">
        <f t="shared" si="671"/>
        <v>0</v>
      </c>
      <c r="CL491" s="171">
        <f t="shared" si="672"/>
        <v>0</v>
      </c>
      <c r="CM491" s="171">
        <f t="shared" si="673"/>
        <v>0</v>
      </c>
      <c r="CN491" s="171">
        <f t="shared" si="674"/>
        <v>0</v>
      </c>
      <c r="CO491" s="171">
        <f t="shared" si="675"/>
        <v>0</v>
      </c>
      <c r="CP491" s="171">
        <f t="shared" si="676"/>
        <v>0</v>
      </c>
      <c r="CQ491" s="171">
        <f t="shared" si="677"/>
        <v>0</v>
      </c>
      <c r="CR491" s="171">
        <f t="shared" si="678"/>
        <v>0</v>
      </c>
      <c r="CS491" s="171">
        <f t="shared" si="679"/>
        <v>0</v>
      </c>
      <c r="CT491" s="171">
        <f t="shared" si="680"/>
        <v>0</v>
      </c>
      <c r="CU491" s="171">
        <f t="shared" si="681"/>
        <v>0</v>
      </c>
      <c r="CV491" s="171">
        <f t="shared" si="682"/>
        <v>0</v>
      </c>
      <c r="CW491" s="171">
        <f t="shared" si="683"/>
        <v>0</v>
      </c>
      <c r="CX491" s="171">
        <f t="shared" si="684"/>
        <v>0</v>
      </c>
      <c r="CY491" s="171">
        <f t="shared" ca="1" si="685"/>
        <v>0</v>
      </c>
      <c r="CZ491" s="171">
        <f t="shared" ca="1" si="686"/>
        <v>0</v>
      </c>
      <c r="DA491" s="171">
        <f t="shared" ca="1" si="687"/>
        <v>0</v>
      </c>
      <c r="DB491" s="171">
        <f t="shared" ca="1" si="688"/>
        <v>0</v>
      </c>
      <c r="DC491" s="171">
        <f t="shared" ca="1" si="689"/>
        <v>0</v>
      </c>
      <c r="DD491" s="171">
        <f t="shared" ca="1" si="690"/>
        <v>0</v>
      </c>
      <c r="DE491" s="171">
        <f t="shared" ca="1" si="691"/>
        <v>0</v>
      </c>
      <c r="DF491" s="171">
        <f t="shared" ca="1" si="692"/>
        <v>0</v>
      </c>
      <c r="DG491" s="171">
        <f t="shared" ca="1" si="693"/>
        <v>0</v>
      </c>
      <c r="DH491" s="171">
        <f t="shared" ca="1" si="694"/>
        <v>0</v>
      </c>
      <c r="DI491" s="171">
        <f t="shared" ca="1" si="695"/>
        <v>0</v>
      </c>
      <c r="DJ491" s="171">
        <f t="shared" ca="1" si="696"/>
        <v>0</v>
      </c>
      <c r="DK491" s="171">
        <f t="shared" ca="1" si="697"/>
        <v>0</v>
      </c>
      <c r="DL491" s="171">
        <f t="shared" ca="1" si="698"/>
        <v>0</v>
      </c>
      <c r="DM491" s="171">
        <f t="shared" ca="1" si="699"/>
        <v>0</v>
      </c>
      <c r="DN491" s="171">
        <f t="shared" ca="1" si="700"/>
        <v>0</v>
      </c>
      <c r="DO491" s="171">
        <f t="shared" ca="1" si="701"/>
        <v>0</v>
      </c>
      <c r="DP491" s="171">
        <f t="shared" ca="1" si="702"/>
        <v>0</v>
      </c>
      <c r="DQ491" s="171">
        <f t="shared" ca="1" si="703"/>
        <v>0</v>
      </c>
      <c r="DR491" s="171">
        <f t="shared" ca="1" si="704"/>
        <v>0</v>
      </c>
      <c r="DS491" s="171">
        <f t="shared" ca="1" si="705"/>
        <v>0</v>
      </c>
      <c r="DT491" s="171">
        <f t="shared" ca="1" si="706"/>
        <v>0</v>
      </c>
      <c r="DU491" s="171">
        <f t="shared" ca="1" si="707"/>
        <v>0</v>
      </c>
      <c r="DV491" s="171">
        <f t="shared" ca="1" si="708"/>
        <v>0</v>
      </c>
      <c r="DW491" s="171">
        <f t="shared" ca="1" si="709"/>
        <v>0</v>
      </c>
      <c r="DX491" s="171">
        <f t="shared" ca="1" si="710"/>
        <v>0</v>
      </c>
      <c r="DY491" s="171">
        <f t="shared" ca="1" si="711"/>
        <v>0</v>
      </c>
      <c r="DZ491" s="171">
        <f t="shared" ca="1" si="712"/>
        <v>0</v>
      </c>
      <c r="EA491" s="171">
        <f t="shared" ca="1" si="713"/>
        <v>0</v>
      </c>
      <c r="EB491" s="171">
        <f t="shared" ca="1" si="714"/>
        <v>0</v>
      </c>
      <c r="EC491" s="171">
        <f t="shared" ca="1" si="715"/>
        <v>0</v>
      </c>
      <c r="ED491" s="171">
        <f t="shared" ca="1" si="716"/>
        <v>0</v>
      </c>
      <c r="EE491" s="171">
        <f t="shared" ca="1" si="717"/>
        <v>0</v>
      </c>
      <c r="EF491" s="171">
        <f t="shared" ca="1" si="718"/>
        <v>0</v>
      </c>
      <c r="EG491" s="171">
        <f t="shared" ca="1" si="719"/>
        <v>0</v>
      </c>
      <c r="EH491" s="171">
        <f t="shared" ca="1" si="720"/>
        <v>0</v>
      </c>
      <c r="EI491" s="171">
        <f t="shared" ca="1" si="721"/>
        <v>0</v>
      </c>
      <c r="EJ491" s="171">
        <f t="shared" ca="1" si="722"/>
        <v>0</v>
      </c>
      <c r="EK491" s="171">
        <f t="shared" ca="1" si="723"/>
        <v>0</v>
      </c>
      <c r="EL491" s="171">
        <f t="shared" ca="1" si="724"/>
        <v>0</v>
      </c>
      <c r="EM491" s="171">
        <f t="shared" ca="1" si="725"/>
        <v>0</v>
      </c>
      <c r="EN491" s="171">
        <f t="shared" ca="1" si="726"/>
        <v>0</v>
      </c>
      <c r="EO491" s="171">
        <f t="shared" ca="1" si="727"/>
        <v>0</v>
      </c>
      <c r="EP491" s="171">
        <f t="shared" ca="1" si="728"/>
        <v>0</v>
      </c>
      <c r="EQ491" s="171">
        <f t="shared" ca="1" si="729"/>
        <v>0</v>
      </c>
      <c r="ER491" s="171">
        <f t="shared" ca="1" si="730"/>
        <v>0</v>
      </c>
      <c r="ES491" s="171">
        <f t="shared" ca="1" si="731"/>
        <v>0</v>
      </c>
    </row>
    <row r="492" spans="3:149">
      <c r="C492" s="157"/>
      <c r="L492" s="163"/>
      <c r="M492" s="164" t="str">
        <f t="shared" si="662"/>
        <v/>
      </c>
      <c r="N492" s="164" t="str">
        <f t="shared" si="663"/>
        <v/>
      </c>
      <c r="O492" s="165" t="str">
        <f t="shared" si="664"/>
        <v/>
      </c>
      <c r="R492" s="168" t="str">
        <f t="shared" si="751"/>
        <v/>
      </c>
      <c r="U492" s="171">
        <f t="shared" si="665"/>
        <v>0</v>
      </c>
      <c r="V492" s="171">
        <f t="shared" ca="1" si="666"/>
        <v>0</v>
      </c>
      <c r="W492" s="171">
        <f t="shared" ca="1" si="667"/>
        <v>0</v>
      </c>
      <c r="X492" s="172">
        <f t="shared" si="668"/>
        <v>0</v>
      </c>
      <c r="Y492" s="172" t="str">
        <f t="shared" si="669"/>
        <v/>
      </c>
      <c r="Z492" s="173">
        <f t="shared" si="670"/>
        <v>0</v>
      </c>
      <c r="AA492" s="171">
        <f t="shared" si="764"/>
        <v>0</v>
      </c>
      <c r="AB492" s="171">
        <f t="shared" si="764"/>
        <v>0</v>
      </c>
      <c r="AC492" s="171">
        <f t="shared" si="764"/>
        <v>0</v>
      </c>
      <c r="AD492" s="171">
        <f t="shared" si="764"/>
        <v>0</v>
      </c>
      <c r="AE492" s="171">
        <f t="shared" si="764"/>
        <v>0</v>
      </c>
      <c r="AF492" s="171">
        <f t="shared" si="764"/>
        <v>0</v>
      </c>
      <c r="AG492" s="171">
        <f t="shared" si="764"/>
        <v>0</v>
      </c>
      <c r="AH492" s="171">
        <f t="shared" si="764"/>
        <v>0</v>
      </c>
      <c r="AI492" s="171">
        <f t="shared" si="764"/>
        <v>0</v>
      </c>
      <c r="AJ492" s="171">
        <f t="shared" si="764"/>
        <v>0</v>
      </c>
      <c r="AK492" s="171">
        <f t="shared" si="765"/>
        <v>0</v>
      </c>
      <c r="AL492" s="171">
        <f t="shared" si="765"/>
        <v>0</v>
      </c>
      <c r="AM492" s="171">
        <f t="shared" si="765"/>
        <v>0</v>
      </c>
      <c r="AN492" s="171">
        <f t="shared" si="765"/>
        <v>0</v>
      </c>
      <c r="AO492" s="171">
        <f t="shared" si="765"/>
        <v>0</v>
      </c>
      <c r="AP492" s="171">
        <f t="shared" si="765"/>
        <v>0</v>
      </c>
      <c r="AQ492" s="171">
        <f t="shared" si="765"/>
        <v>0</v>
      </c>
      <c r="AR492" s="171">
        <f t="shared" si="765"/>
        <v>0</v>
      </c>
      <c r="AS492" s="171">
        <f t="shared" si="765"/>
        <v>0</v>
      </c>
      <c r="AT492" s="171">
        <f t="shared" si="765"/>
        <v>0</v>
      </c>
      <c r="AU492" s="171">
        <f t="shared" si="766"/>
        <v>0</v>
      </c>
      <c r="AV492" s="171">
        <f t="shared" si="766"/>
        <v>0</v>
      </c>
      <c r="AW492" s="171">
        <f t="shared" si="766"/>
        <v>0</v>
      </c>
      <c r="AX492" s="171">
        <f t="shared" si="766"/>
        <v>0</v>
      </c>
      <c r="AY492" s="171">
        <f t="shared" si="766"/>
        <v>0</v>
      </c>
      <c r="AZ492" s="171">
        <f t="shared" si="766"/>
        <v>0</v>
      </c>
      <c r="BA492" s="171">
        <f t="shared" si="766"/>
        <v>0</v>
      </c>
      <c r="BB492" s="171">
        <f t="shared" si="766"/>
        <v>0</v>
      </c>
      <c r="BC492" s="171">
        <f t="shared" si="766"/>
        <v>0</v>
      </c>
      <c r="BD492" s="171">
        <f t="shared" si="766"/>
        <v>0</v>
      </c>
      <c r="BE492" s="171">
        <f t="shared" si="767"/>
        <v>0</v>
      </c>
      <c r="BF492" s="171">
        <f t="shared" si="767"/>
        <v>0</v>
      </c>
      <c r="BG492" s="171">
        <f t="shared" si="767"/>
        <v>0</v>
      </c>
      <c r="BH492" s="171">
        <f t="shared" si="767"/>
        <v>0</v>
      </c>
      <c r="BI492" s="171">
        <f t="shared" si="767"/>
        <v>0</v>
      </c>
      <c r="BJ492" s="171">
        <f t="shared" si="767"/>
        <v>0</v>
      </c>
      <c r="BK492" s="171">
        <f t="shared" si="767"/>
        <v>0</v>
      </c>
      <c r="BL492" s="171">
        <f t="shared" si="767"/>
        <v>0</v>
      </c>
      <c r="BM492" s="171">
        <f t="shared" si="767"/>
        <v>0</v>
      </c>
      <c r="BN492" s="171">
        <f t="shared" si="767"/>
        <v>0</v>
      </c>
      <c r="BO492" s="171">
        <f t="shared" si="768"/>
        <v>0</v>
      </c>
      <c r="BP492" s="171">
        <f t="shared" si="768"/>
        <v>0</v>
      </c>
      <c r="BQ492" s="171">
        <f t="shared" si="768"/>
        <v>0</v>
      </c>
      <c r="BR492" s="171">
        <f t="shared" si="768"/>
        <v>0</v>
      </c>
      <c r="BS492" s="171">
        <f t="shared" si="768"/>
        <v>0</v>
      </c>
      <c r="BT492" s="171">
        <f t="shared" si="768"/>
        <v>0</v>
      </c>
      <c r="BU492" s="171">
        <f t="shared" si="768"/>
        <v>0</v>
      </c>
      <c r="BV492" s="171">
        <f t="shared" si="768"/>
        <v>0</v>
      </c>
      <c r="BW492" s="171">
        <f t="shared" si="768"/>
        <v>0</v>
      </c>
      <c r="BX492" s="171">
        <f t="shared" si="768"/>
        <v>0</v>
      </c>
      <c r="BY492" s="171">
        <f t="shared" si="769"/>
        <v>0</v>
      </c>
      <c r="BZ492" s="171">
        <f t="shared" si="769"/>
        <v>0</v>
      </c>
      <c r="CA492" s="171">
        <f t="shared" si="769"/>
        <v>0</v>
      </c>
      <c r="CB492" s="171">
        <f t="shared" si="769"/>
        <v>0</v>
      </c>
      <c r="CC492" s="171">
        <f t="shared" si="769"/>
        <v>0</v>
      </c>
      <c r="CD492" s="171">
        <f t="shared" si="769"/>
        <v>0</v>
      </c>
      <c r="CE492" s="171">
        <f t="shared" si="769"/>
        <v>0</v>
      </c>
      <c r="CF492" s="171">
        <f t="shared" si="769"/>
        <v>0</v>
      </c>
      <c r="CG492" s="171">
        <f t="shared" si="769"/>
        <v>0</v>
      </c>
      <c r="CH492" s="171">
        <f t="shared" si="769"/>
        <v>0</v>
      </c>
      <c r="CI492" s="171">
        <f t="shared" si="769"/>
        <v>0</v>
      </c>
      <c r="CJ492" s="243"/>
      <c r="CK492" s="171">
        <f t="shared" si="671"/>
        <v>0</v>
      </c>
      <c r="CL492" s="171">
        <f t="shared" si="672"/>
        <v>0</v>
      </c>
      <c r="CM492" s="171">
        <f t="shared" si="673"/>
        <v>0</v>
      </c>
      <c r="CN492" s="171">
        <f t="shared" si="674"/>
        <v>0</v>
      </c>
      <c r="CO492" s="171">
        <f t="shared" si="675"/>
        <v>0</v>
      </c>
      <c r="CP492" s="171">
        <f t="shared" si="676"/>
        <v>0</v>
      </c>
      <c r="CQ492" s="171">
        <f t="shared" si="677"/>
        <v>0</v>
      </c>
      <c r="CR492" s="171">
        <f t="shared" si="678"/>
        <v>0</v>
      </c>
      <c r="CS492" s="171">
        <f t="shared" si="679"/>
        <v>0</v>
      </c>
      <c r="CT492" s="171">
        <f t="shared" si="680"/>
        <v>0</v>
      </c>
      <c r="CU492" s="171">
        <f t="shared" si="681"/>
        <v>0</v>
      </c>
      <c r="CV492" s="171">
        <f t="shared" si="682"/>
        <v>0</v>
      </c>
      <c r="CW492" s="171">
        <f t="shared" si="683"/>
        <v>0</v>
      </c>
      <c r="CX492" s="171">
        <f t="shared" si="684"/>
        <v>0</v>
      </c>
      <c r="CY492" s="171">
        <f t="shared" ca="1" si="685"/>
        <v>0</v>
      </c>
      <c r="CZ492" s="171">
        <f t="shared" ca="1" si="686"/>
        <v>0</v>
      </c>
      <c r="DA492" s="171">
        <f t="shared" ca="1" si="687"/>
        <v>0</v>
      </c>
      <c r="DB492" s="171">
        <f t="shared" ca="1" si="688"/>
        <v>0</v>
      </c>
      <c r="DC492" s="171">
        <f t="shared" ca="1" si="689"/>
        <v>0</v>
      </c>
      <c r="DD492" s="171">
        <f t="shared" ca="1" si="690"/>
        <v>0</v>
      </c>
      <c r="DE492" s="171">
        <f t="shared" ca="1" si="691"/>
        <v>0</v>
      </c>
      <c r="DF492" s="171">
        <f t="shared" ca="1" si="692"/>
        <v>0</v>
      </c>
      <c r="DG492" s="171">
        <f t="shared" ca="1" si="693"/>
        <v>0</v>
      </c>
      <c r="DH492" s="171">
        <f t="shared" ca="1" si="694"/>
        <v>0</v>
      </c>
      <c r="DI492" s="171">
        <f t="shared" ca="1" si="695"/>
        <v>0</v>
      </c>
      <c r="DJ492" s="171">
        <f t="shared" ca="1" si="696"/>
        <v>0</v>
      </c>
      <c r="DK492" s="171">
        <f t="shared" ca="1" si="697"/>
        <v>0</v>
      </c>
      <c r="DL492" s="171">
        <f t="shared" ca="1" si="698"/>
        <v>0</v>
      </c>
      <c r="DM492" s="171">
        <f t="shared" ca="1" si="699"/>
        <v>0</v>
      </c>
      <c r="DN492" s="171">
        <f t="shared" ca="1" si="700"/>
        <v>0</v>
      </c>
      <c r="DO492" s="171">
        <f t="shared" ca="1" si="701"/>
        <v>0</v>
      </c>
      <c r="DP492" s="171">
        <f t="shared" ca="1" si="702"/>
        <v>0</v>
      </c>
      <c r="DQ492" s="171">
        <f t="shared" ca="1" si="703"/>
        <v>0</v>
      </c>
      <c r="DR492" s="171">
        <f t="shared" ca="1" si="704"/>
        <v>0</v>
      </c>
      <c r="DS492" s="171">
        <f t="shared" ca="1" si="705"/>
        <v>0</v>
      </c>
      <c r="DT492" s="171">
        <f t="shared" ca="1" si="706"/>
        <v>0</v>
      </c>
      <c r="DU492" s="171">
        <f t="shared" ca="1" si="707"/>
        <v>0</v>
      </c>
      <c r="DV492" s="171">
        <f t="shared" ca="1" si="708"/>
        <v>0</v>
      </c>
      <c r="DW492" s="171">
        <f t="shared" ca="1" si="709"/>
        <v>0</v>
      </c>
      <c r="DX492" s="171">
        <f t="shared" ca="1" si="710"/>
        <v>0</v>
      </c>
      <c r="DY492" s="171">
        <f t="shared" ca="1" si="711"/>
        <v>0</v>
      </c>
      <c r="DZ492" s="171">
        <f t="shared" ca="1" si="712"/>
        <v>0</v>
      </c>
      <c r="EA492" s="171">
        <f t="shared" ca="1" si="713"/>
        <v>0</v>
      </c>
      <c r="EB492" s="171">
        <f t="shared" ca="1" si="714"/>
        <v>0</v>
      </c>
      <c r="EC492" s="171">
        <f t="shared" ca="1" si="715"/>
        <v>0</v>
      </c>
      <c r="ED492" s="171">
        <f t="shared" ca="1" si="716"/>
        <v>0</v>
      </c>
      <c r="EE492" s="171">
        <f t="shared" ca="1" si="717"/>
        <v>0</v>
      </c>
      <c r="EF492" s="171">
        <f t="shared" ca="1" si="718"/>
        <v>0</v>
      </c>
      <c r="EG492" s="171">
        <f t="shared" ca="1" si="719"/>
        <v>0</v>
      </c>
      <c r="EH492" s="171">
        <f t="shared" ca="1" si="720"/>
        <v>0</v>
      </c>
      <c r="EI492" s="171">
        <f t="shared" ca="1" si="721"/>
        <v>0</v>
      </c>
      <c r="EJ492" s="171">
        <f t="shared" ca="1" si="722"/>
        <v>0</v>
      </c>
      <c r="EK492" s="171">
        <f t="shared" ca="1" si="723"/>
        <v>0</v>
      </c>
      <c r="EL492" s="171">
        <f t="shared" ca="1" si="724"/>
        <v>0</v>
      </c>
      <c r="EM492" s="171">
        <f t="shared" ca="1" si="725"/>
        <v>0</v>
      </c>
      <c r="EN492" s="171">
        <f t="shared" ca="1" si="726"/>
        <v>0</v>
      </c>
      <c r="EO492" s="171">
        <f t="shared" ca="1" si="727"/>
        <v>0</v>
      </c>
      <c r="EP492" s="171">
        <f t="shared" ca="1" si="728"/>
        <v>0</v>
      </c>
      <c r="EQ492" s="171">
        <f t="shared" ca="1" si="729"/>
        <v>0</v>
      </c>
      <c r="ER492" s="171">
        <f t="shared" ca="1" si="730"/>
        <v>0</v>
      </c>
      <c r="ES492" s="171">
        <f t="shared" ca="1" si="731"/>
        <v>0</v>
      </c>
    </row>
    <row r="493" spans="3:149">
      <c r="C493" s="157"/>
      <c r="L493" s="163"/>
      <c r="M493" s="164" t="str">
        <f t="shared" si="662"/>
        <v/>
      </c>
      <c r="N493" s="164" t="str">
        <f t="shared" si="663"/>
        <v/>
      </c>
      <c r="O493" s="165" t="str">
        <f t="shared" si="664"/>
        <v/>
      </c>
      <c r="R493" s="168" t="str">
        <f t="shared" si="751"/>
        <v/>
      </c>
      <c r="U493" s="171">
        <f t="shared" si="665"/>
        <v>0</v>
      </c>
      <c r="V493" s="171">
        <f t="shared" ca="1" si="666"/>
        <v>0</v>
      </c>
      <c r="W493" s="171">
        <f t="shared" ca="1" si="667"/>
        <v>0</v>
      </c>
      <c r="X493" s="172">
        <f t="shared" si="668"/>
        <v>0</v>
      </c>
      <c r="Y493" s="172" t="str">
        <f t="shared" si="669"/>
        <v/>
      </c>
      <c r="Z493" s="173">
        <f t="shared" si="670"/>
        <v>0</v>
      </c>
      <c r="AA493" s="171">
        <f t="shared" si="764"/>
        <v>0</v>
      </c>
      <c r="AB493" s="171">
        <f t="shared" si="764"/>
        <v>0</v>
      </c>
      <c r="AC493" s="171">
        <f t="shared" si="764"/>
        <v>0</v>
      </c>
      <c r="AD493" s="171">
        <f t="shared" si="764"/>
        <v>0</v>
      </c>
      <c r="AE493" s="171">
        <f t="shared" si="764"/>
        <v>0</v>
      </c>
      <c r="AF493" s="171">
        <f t="shared" si="764"/>
        <v>0</v>
      </c>
      <c r="AG493" s="171">
        <f t="shared" si="764"/>
        <v>0</v>
      </c>
      <c r="AH493" s="171">
        <f t="shared" si="764"/>
        <v>0</v>
      </c>
      <c r="AI493" s="171">
        <f t="shared" si="764"/>
        <v>0</v>
      </c>
      <c r="AJ493" s="171">
        <f t="shared" si="764"/>
        <v>0</v>
      </c>
      <c r="AK493" s="171">
        <f t="shared" si="765"/>
        <v>0</v>
      </c>
      <c r="AL493" s="171">
        <f t="shared" si="765"/>
        <v>0</v>
      </c>
      <c r="AM493" s="171">
        <f t="shared" si="765"/>
        <v>0</v>
      </c>
      <c r="AN493" s="171">
        <f t="shared" si="765"/>
        <v>0</v>
      </c>
      <c r="AO493" s="171">
        <f t="shared" si="765"/>
        <v>0</v>
      </c>
      <c r="AP493" s="171">
        <f t="shared" si="765"/>
        <v>0</v>
      </c>
      <c r="AQ493" s="171">
        <f t="shared" si="765"/>
        <v>0</v>
      </c>
      <c r="AR493" s="171">
        <f t="shared" si="765"/>
        <v>0</v>
      </c>
      <c r="AS493" s="171">
        <f t="shared" si="765"/>
        <v>0</v>
      </c>
      <c r="AT493" s="171">
        <f t="shared" si="765"/>
        <v>0</v>
      </c>
      <c r="AU493" s="171">
        <f t="shared" si="766"/>
        <v>0</v>
      </c>
      <c r="AV493" s="171">
        <f t="shared" si="766"/>
        <v>0</v>
      </c>
      <c r="AW493" s="171">
        <f t="shared" si="766"/>
        <v>0</v>
      </c>
      <c r="AX493" s="171">
        <f t="shared" si="766"/>
        <v>0</v>
      </c>
      <c r="AY493" s="171">
        <f t="shared" si="766"/>
        <v>0</v>
      </c>
      <c r="AZ493" s="171">
        <f t="shared" si="766"/>
        <v>0</v>
      </c>
      <c r="BA493" s="171">
        <f t="shared" si="766"/>
        <v>0</v>
      </c>
      <c r="BB493" s="171">
        <f t="shared" si="766"/>
        <v>0</v>
      </c>
      <c r="BC493" s="171">
        <f t="shared" si="766"/>
        <v>0</v>
      </c>
      <c r="BD493" s="171">
        <f t="shared" si="766"/>
        <v>0</v>
      </c>
      <c r="BE493" s="171">
        <f t="shared" si="767"/>
        <v>0</v>
      </c>
      <c r="BF493" s="171">
        <f t="shared" si="767"/>
        <v>0</v>
      </c>
      <c r="BG493" s="171">
        <f t="shared" si="767"/>
        <v>0</v>
      </c>
      <c r="BH493" s="171">
        <f t="shared" si="767"/>
        <v>0</v>
      </c>
      <c r="BI493" s="171">
        <f t="shared" si="767"/>
        <v>0</v>
      </c>
      <c r="BJ493" s="171">
        <f t="shared" si="767"/>
        <v>0</v>
      </c>
      <c r="BK493" s="171">
        <f t="shared" si="767"/>
        <v>0</v>
      </c>
      <c r="BL493" s="171">
        <f t="shared" si="767"/>
        <v>0</v>
      </c>
      <c r="BM493" s="171">
        <f t="shared" si="767"/>
        <v>0</v>
      </c>
      <c r="BN493" s="171">
        <f t="shared" si="767"/>
        <v>0</v>
      </c>
      <c r="BO493" s="171">
        <f t="shared" si="768"/>
        <v>0</v>
      </c>
      <c r="BP493" s="171">
        <f t="shared" si="768"/>
        <v>0</v>
      </c>
      <c r="BQ493" s="171">
        <f t="shared" si="768"/>
        <v>0</v>
      </c>
      <c r="BR493" s="171">
        <f t="shared" si="768"/>
        <v>0</v>
      </c>
      <c r="BS493" s="171">
        <f t="shared" si="768"/>
        <v>0</v>
      </c>
      <c r="BT493" s="171">
        <f t="shared" si="768"/>
        <v>0</v>
      </c>
      <c r="BU493" s="171">
        <f t="shared" si="768"/>
        <v>0</v>
      </c>
      <c r="BV493" s="171">
        <f t="shared" si="768"/>
        <v>0</v>
      </c>
      <c r="BW493" s="171">
        <f t="shared" si="768"/>
        <v>0</v>
      </c>
      <c r="BX493" s="171">
        <f t="shared" si="768"/>
        <v>0</v>
      </c>
      <c r="BY493" s="171">
        <f t="shared" si="769"/>
        <v>0</v>
      </c>
      <c r="BZ493" s="171">
        <f t="shared" si="769"/>
        <v>0</v>
      </c>
      <c r="CA493" s="171">
        <f t="shared" si="769"/>
        <v>0</v>
      </c>
      <c r="CB493" s="171">
        <f t="shared" si="769"/>
        <v>0</v>
      </c>
      <c r="CC493" s="171">
        <f t="shared" si="769"/>
        <v>0</v>
      </c>
      <c r="CD493" s="171">
        <f t="shared" si="769"/>
        <v>0</v>
      </c>
      <c r="CE493" s="171">
        <f t="shared" si="769"/>
        <v>0</v>
      </c>
      <c r="CF493" s="171">
        <f t="shared" si="769"/>
        <v>0</v>
      </c>
      <c r="CG493" s="171">
        <f t="shared" si="769"/>
        <v>0</v>
      </c>
      <c r="CH493" s="171">
        <f t="shared" si="769"/>
        <v>0</v>
      </c>
      <c r="CI493" s="171">
        <f t="shared" si="769"/>
        <v>0</v>
      </c>
      <c r="CJ493" s="243"/>
      <c r="CK493" s="171">
        <f t="shared" si="671"/>
        <v>0</v>
      </c>
      <c r="CL493" s="171">
        <f t="shared" si="672"/>
        <v>0</v>
      </c>
      <c r="CM493" s="171">
        <f t="shared" si="673"/>
        <v>0</v>
      </c>
      <c r="CN493" s="171">
        <f t="shared" si="674"/>
        <v>0</v>
      </c>
      <c r="CO493" s="171">
        <f t="shared" si="675"/>
        <v>0</v>
      </c>
      <c r="CP493" s="171">
        <f t="shared" si="676"/>
        <v>0</v>
      </c>
      <c r="CQ493" s="171">
        <f t="shared" si="677"/>
        <v>0</v>
      </c>
      <c r="CR493" s="171">
        <f t="shared" si="678"/>
        <v>0</v>
      </c>
      <c r="CS493" s="171">
        <f t="shared" si="679"/>
        <v>0</v>
      </c>
      <c r="CT493" s="171">
        <f t="shared" si="680"/>
        <v>0</v>
      </c>
      <c r="CU493" s="171">
        <f t="shared" si="681"/>
        <v>0</v>
      </c>
      <c r="CV493" s="171">
        <f t="shared" si="682"/>
        <v>0</v>
      </c>
      <c r="CW493" s="171">
        <f t="shared" si="683"/>
        <v>0</v>
      </c>
      <c r="CX493" s="171">
        <f t="shared" si="684"/>
        <v>0</v>
      </c>
      <c r="CY493" s="171">
        <f t="shared" ca="1" si="685"/>
        <v>0</v>
      </c>
      <c r="CZ493" s="171">
        <f t="shared" ca="1" si="686"/>
        <v>0</v>
      </c>
      <c r="DA493" s="171">
        <f t="shared" ca="1" si="687"/>
        <v>0</v>
      </c>
      <c r="DB493" s="171">
        <f t="shared" ca="1" si="688"/>
        <v>0</v>
      </c>
      <c r="DC493" s="171">
        <f t="shared" ca="1" si="689"/>
        <v>0</v>
      </c>
      <c r="DD493" s="171">
        <f t="shared" ca="1" si="690"/>
        <v>0</v>
      </c>
      <c r="DE493" s="171">
        <f t="shared" ca="1" si="691"/>
        <v>0</v>
      </c>
      <c r="DF493" s="171">
        <f t="shared" ca="1" si="692"/>
        <v>0</v>
      </c>
      <c r="DG493" s="171">
        <f t="shared" ca="1" si="693"/>
        <v>0</v>
      </c>
      <c r="DH493" s="171">
        <f t="shared" ca="1" si="694"/>
        <v>0</v>
      </c>
      <c r="DI493" s="171">
        <f t="shared" ca="1" si="695"/>
        <v>0</v>
      </c>
      <c r="DJ493" s="171">
        <f t="shared" ca="1" si="696"/>
        <v>0</v>
      </c>
      <c r="DK493" s="171">
        <f t="shared" ca="1" si="697"/>
        <v>0</v>
      </c>
      <c r="DL493" s="171">
        <f t="shared" ca="1" si="698"/>
        <v>0</v>
      </c>
      <c r="DM493" s="171">
        <f t="shared" ca="1" si="699"/>
        <v>0</v>
      </c>
      <c r="DN493" s="171">
        <f t="shared" ca="1" si="700"/>
        <v>0</v>
      </c>
      <c r="DO493" s="171">
        <f t="shared" ca="1" si="701"/>
        <v>0</v>
      </c>
      <c r="DP493" s="171">
        <f t="shared" ca="1" si="702"/>
        <v>0</v>
      </c>
      <c r="DQ493" s="171">
        <f t="shared" ca="1" si="703"/>
        <v>0</v>
      </c>
      <c r="DR493" s="171">
        <f t="shared" ca="1" si="704"/>
        <v>0</v>
      </c>
      <c r="DS493" s="171">
        <f t="shared" ca="1" si="705"/>
        <v>0</v>
      </c>
      <c r="DT493" s="171">
        <f t="shared" ca="1" si="706"/>
        <v>0</v>
      </c>
      <c r="DU493" s="171">
        <f t="shared" ca="1" si="707"/>
        <v>0</v>
      </c>
      <c r="DV493" s="171">
        <f t="shared" ca="1" si="708"/>
        <v>0</v>
      </c>
      <c r="DW493" s="171">
        <f t="shared" ca="1" si="709"/>
        <v>0</v>
      </c>
      <c r="DX493" s="171">
        <f t="shared" ca="1" si="710"/>
        <v>0</v>
      </c>
      <c r="DY493" s="171">
        <f t="shared" ca="1" si="711"/>
        <v>0</v>
      </c>
      <c r="DZ493" s="171">
        <f t="shared" ca="1" si="712"/>
        <v>0</v>
      </c>
      <c r="EA493" s="171">
        <f t="shared" ca="1" si="713"/>
        <v>0</v>
      </c>
      <c r="EB493" s="171">
        <f t="shared" ca="1" si="714"/>
        <v>0</v>
      </c>
      <c r="EC493" s="171">
        <f t="shared" ca="1" si="715"/>
        <v>0</v>
      </c>
      <c r="ED493" s="171">
        <f t="shared" ca="1" si="716"/>
        <v>0</v>
      </c>
      <c r="EE493" s="171">
        <f t="shared" ca="1" si="717"/>
        <v>0</v>
      </c>
      <c r="EF493" s="171">
        <f t="shared" ca="1" si="718"/>
        <v>0</v>
      </c>
      <c r="EG493" s="171">
        <f t="shared" ca="1" si="719"/>
        <v>0</v>
      </c>
      <c r="EH493" s="171">
        <f t="shared" ca="1" si="720"/>
        <v>0</v>
      </c>
      <c r="EI493" s="171">
        <f t="shared" ca="1" si="721"/>
        <v>0</v>
      </c>
      <c r="EJ493" s="171">
        <f t="shared" ca="1" si="722"/>
        <v>0</v>
      </c>
      <c r="EK493" s="171">
        <f t="shared" ca="1" si="723"/>
        <v>0</v>
      </c>
      <c r="EL493" s="171">
        <f t="shared" ca="1" si="724"/>
        <v>0</v>
      </c>
      <c r="EM493" s="171">
        <f t="shared" ca="1" si="725"/>
        <v>0</v>
      </c>
      <c r="EN493" s="171">
        <f t="shared" ca="1" si="726"/>
        <v>0</v>
      </c>
      <c r="EO493" s="171">
        <f t="shared" ca="1" si="727"/>
        <v>0</v>
      </c>
      <c r="EP493" s="171">
        <f t="shared" ca="1" si="728"/>
        <v>0</v>
      </c>
      <c r="EQ493" s="171">
        <f t="shared" ca="1" si="729"/>
        <v>0</v>
      </c>
      <c r="ER493" s="171">
        <f t="shared" ca="1" si="730"/>
        <v>0</v>
      </c>
      <c r="ES493" s="171">
        <f t="shared" ca="1" si="731"/>
        <v>0</v>
      </c>
    </row>
    <row r="494" spans="3:149">
      <c r="C494" s="157"/>
      <c r="L494" s="163"/>
      <c r="M494" s="164" t="str">
        <f t="shared" si="662"/>
        <v/>
      </c>
      <c r="N494" s="164" t="str">
        <f t="shared" si="663"/>
        <v/>
      </c>
      <c r="O494" s="165" t="str">
        <f t="shared" si="664"/>
        <v/>
      </c>
      <c r="R494" s="168" t="str">
        <f t="shared" si="751"/>
        <v/>
      </c>
      <c r="U494" s="171">
        <f t="shared" si="665"/>
        <v>0</v>
      </c>
      <c r="V494" s="171">
        <f t="shared" ca="1" si="666"/>
        <v>0</v>
      </c>
      <c r="W494" s="171">
        <f t="shared" ca="1" si="667"/>
        <v>0</v>
      </c>
      <c r="X494" s="172">
        <f t="shared" si="668"/>
        <v>0</v>
      </c>
      <c r="Y494" s="172" t="str">
        <f t="shared" si="669"/>
        <v/>
      </c>
      <c r="Z494" s="173">
        <f t="shared" si="670"/>
        <v>0</v>
      </c>
      <c r="AA494" s="171">
        <f t="shared" si="764"/>
        <v>0</v>
      </c>
      <c r="AB494" s="171">
        <f t="shared" si="764"/>
        <v>0</v>
      </c>
      <c r="AC494" s="171">
        <f t="shared" si="764"/>
        <v>0</v>
      </c>
      <c r="AD494" s="171">
        <f t="shared" si="764"/>
        <v>0</v>
      </c>
      <c r="AE494" s="171">
        <f t="shared" si="764"/>
        <v>0</v>
      </c>
      <c r="AF494" s="171">
        <f t="shared" si="764"/>
        <v>0</v>
      </c>
      <c r="AG494" s="171">
        <f t="shared" si="764"/>
        <v>0</v>
      </c>
      <c r="AH494" s="171">
        <f t="shared" si="764"/>
        <v>0</v>
      </c>
      <c r="AI494" s="171">
        <f t="shared" si="764"/>
        <v>0</v>
      </c>
      <c r="AJ494" s="171">
        <f t="shared" si="764"/>
        <v>0</v>
      </c>
      <c r="AK494" s="171">
        <f t="shared" si="765"/>
        <v>0</v>
      </c>
      <c r="AL494" s="171">
        <f t="shared" si="765"/>
        <v>0</v>
      </c>
      <c r="AM494" s="171">
        <f t="shared" si="765"/>
        <v>0</v>
      </c>
      <c r="AN494" s="171">
        <f t="shared" si="765"/>
        <v>0</v>
      </c>
      <c r="AO494" s="171">
        <f t="shared" si="765"/>
        <v>0</v>
      </c>
      <c r="AP494" s="171">
        <f t="shared" si="765"/>
        <v>0</v>
      </c>
      <c r="AQ494" s="171">
        <f t="shared" si="765"/>
        <v>0</v>
      </c>
      <c r="AR494" s="171">
        <f t="shared" si="765"/>
        <v>0</v>
      </c>
      <c r="AS494" s="171">
        <f t="shared" si="765"/>
        <v>0</v>
      </c>
      <c r="AT494" s="171">
        <f t="shared" si="765"/>
        <v>0</v>
      </c>
      <c r="AU494" s="171">
        <f t="shared" si="766"/>
        <v>0</v>
      </c>
      <c r="AV494" s="171">
        <f t="shared" si="766"/>
        <v>0</v>
      </c>
      <c r="AW494" s="171">
        <f t="shared" si="766"/>
        <v>0</v>
      </c>
      <c r="AX494" s="171">
        <f t="shared" si="766"/>
        <v>0</v>
      </c>
      <c r="AY494" s="171">
        <f t="shared" si="766"/>
        <v>0</v>
      </c>
      <c r="AZ494" s="171">
        <f t="shared" si="766"/>
        <v>0</v>
      </c>
      <c r="BA494" s="171">
        <f t="shared" si="766"/>
        <v>0</v>
      </c>
      <c r="BB494" s="171">
        <f t="shared" si="766"/>
        <v>0</v>
      </c>
      <c r="BC494" s="171">
        <f t="shared" si="766"/>
        <v>0</v>
      </c>
      <c r="BD494" s="171">
        <f t="shared" si="766"/>
        <v>0</v>
      </c>
      <c r="BE494" s="171">
        <f t="shared" si="767"/>
        <v>0</v>
      </c>
      <c r="BF494" s="171">
        <f t="shared" si="767"/>
        <v>0</v>
      </c>
      <c r="BG494" s="171">
        <f t="shared" si="767"/>
        <v>0</v>
      </c>
      <c r="BH494" s="171">
        <f t="shared" si="767"/>
        <v>0</v>
      </c>
      <c r="BI494" s="171">
        <f t="shared" si="767"/>
        <v>0</v>
      </c>
      <c r="BJ494" s="171">
        <f t="shared" si="767"/>
        <v>0</v>
      </c>
      <c r="BK494" s="171">
        <f t="shared" si="767"/>
        <v>0</v>
      </c>
      <c r="BL494" s="171">
        <f t="shared" si="767"/>
        <v>0</v>
      </c>
      <c r="BM494" s="171">
        <f t="shared" si="767"/>
        <v>0</v>
      </c>
      <c r="BN494" s="171">
        <f t="shared" si="767"/>
        <v>0</v>
      </c>
      <c r="BO494" s="171">
        <f t="shared" si="768"/>
        <v>0</v>
      </c>
      <c r="BP494" s="171">
        <f t="shared" si="768"/>
        <v>0</v>
      </c>
      <c r="BQ494" s="171">
        <f t="shared" si="768"/>
        <v>0</v>
      </c>
      <c r="BR494" s="171">
        <f t="shared" si="768"/>
        <v>0</v>
      </c>
      <c r="BS494" s="171">
        <f t="shared" si="768"/>
        <v>0</v>
      </c>
      <c r="BT494" s="171">
        <f t="shared" si="768"/>
        <v>0</v>
      </c>
      <c r="BU494" s="171">
        <f t="shared" si="768"/>
        <v>0</v>
      </c>
      <c r="BV494" s="171">
        <f t="shared" si="768"/>
        <v>0</v>
      </c>
      <c r="BW494" s="171">
        <f t="shared" si="768"/>
        <v>0</v>
      </c>
      <c r="BX494" s="171">
        <f t="shared" si="768"/>
        <v>0</v>
      </c>
      <c r="BY494" s="171">
        <f t="shared" si="769"/>
        <v>0</v>
      </c>
      <c r="BZ494" s="171">
        <f t="shared" si="769"/>
        <v>0</v>
      </c>
      <c r="CA494" s="171">
        <f t="shared" si="769"/>
        <v>0</v>
      </c>
      <c r="CB494" s="171">
        <f t="shared" si="769"/>
        <v>0</v>
      </c>
      <c r="CC494" s="171">
        <f t="shared" si="769"/>
        <v>0</v>
      </c>
      <c r="CD494" s="171">
        <f t="shared" si="769"/>
        <v>0</v>
      </c>
      <c r="CE494" s="171">
        <f t="shared" si="769"/>
        <v>0</v>
      </c>
      <c r="CF494" s="171">
        <f t="shared" si="769"/>
        <v>0</v>
      </c>
      <c r="CG494" s="171">
        <f t="shared" si="769"/>
        <v>0</v>
      </c>
      <c r="CH494" s="171">
        <f t="shared" si="769"/>
        <v>0</v>
      </c>
      <c r="CI494" s="171">
        <f t="shared" si="769"/>
        <v>0</v>
      </c>
      <c r="CJ494" s="243"/>
      <c r="CK494" s="171">
        <f t="shared" si="671"/>
        <v>0</v>
      </c>
      <c r="CL494" s="171">
        <f t="shared" si="672"/>
        <v>0</v>
      </c>
      <c r="CM494" s="171">
        <f t="shared" si="673"/>
        <v>0</v>
      </c>
      <c r="CN494" s="171">
        <f t="shared" si="674"/>
        <v>0</v>
      </c>
      <c r="CO494" s="171">
        <f t="shared" si="675"/>
        <v>0</v>
      </c>
      <c r="CP494" s="171">
        <f t="shared" si="676"/>
        <v>0</v>
      </c>
      <c r="CQ494" s="171">
        <f t="shared" si="677"/>
        <v>0</v>
      </c>
      <c r="CR494" s="171">
        <f t="shared" si="678"/>
        <v>0</v>
      </c>
      <c r="CS494" s="171">
        <f t="shared" si="679"/>
        <v>0</v>
      </c>
      <c r="CT494" s="171">
        <f t="shared" si="680"/>
        <v>0</v>
      </c>
      <c r="CU494" s="171">
        <f t="shared" si="681"/>
        <v>0</v>
      </c>
      <c r="CV494" s="171">
        <f t="shared" si="682"/>
        <v>0</v>
      </c>
      <c r="CW494" s="171">
        <f t="shared" si="683"/>
        <v>0</v>
      </c>
      <c r="CX494" s="171">
        <f t="shared" si="684"/>
        <v>0</v>
      </c>
      <c r="CY494" s="171">
        <f t="shared" ca="1" si="685"/>
        <v>0</v>
      </c>
      <c r="CZ494" s="171">
        <f t="shared" ca="1" si="686"/>
        <v>0</v>
      </c>
      <c r="DA494" s="171">
        <f t="shared" ca="1" si="687"/>
        <v>0</v>
      </c>
      <c r="DB494" s="171">
        <f t="shared" ca="1" si="688"/>
        <v>0</v>
      </c>
      <c r="DC494" s="171">
        <f t="shared" ca="1" si="689"/>
        <v>0</v>
      </c>
      <c r="DD494" s="171">
        <f t="shared" ca="1" si="690"/>
        <v>0</v>
      </c>
      <c r="DE494" s="171">
        <f t="shared" ca="1" si="691"/>
        <v>0</v>
      </c>
      <c r="DF494" s="171">
        <f t="shared" ca="1" si="692"/>
        <v>0</v>
      </c>
      <c r="DG494" s="171">
        <f t="shared" ca="1" si="693"/>
        <v>0</v>
      </c>
      <c r="DH494" s="171">
        <f t="shared" ca="1" si="694"/>
        <v>0</v>
      </c>
      <c r="DI494" s="171">
        <f t="shared" ca="1" si="695"/>
        <v>0</v>
      </c>
      <c r="DJ494" s="171">
        <f t="shared" ca="1" si="696"/>
        <v>0</v>
      </c>
      <c r="DK494" s="171">
        <f t="shared" ca="1" si="697"/>
        <v>0</v>
      </c>
      <c r="DL494" s="171">
        <f t="shared" ca="1" si="698"/>
        <v>0</v>
      </c>
      <c r="DM494" s="171">
        <f t="shared" ca="1" si="699"/>
        <v>0</v>
      </c>
      <c r="DN494" s="171">
        <f t="shared" ca="1" si="700"/>
        <v>0</v>
      </c>
      <c r="DO494" s="171">
        <f t="shared" ca="1" si="701"/>
        <v>0</v>
      </c>
      <c r="DP494" s="171">
        <f t="shared" ca="1" si="702"/>
        <v>0</v>
      </c>
      <c r="DQ494" s="171">
        <f t="shared" ca="1" si="703"/>
        <v>0</v>
      </c>
      <c r="DR494" s="171">
        <f t="shared" ca="1" si="704"/>
        <v>0</v>
      </c>
      <c r="DS494" s="171">
        <f t="shared" ca="1" si="705"/>
        <v>0</v>
      </c>
      <c r="DT494" s="171">
        <f t="shared" ca="1" si="706"/>
        <v>0</v>
      </c>
      <c r="DU494" s="171">
        <f t="shared" ca="1" si="707"/>
        <v>0</v>
      </c>
      <c r="DV494" s="171">
        <f t="shared" ca="1" si="708"/>
        <v>0</v>
      </c>
      <c r="DW494" s="171">
        <f t="shared" ca="1" si="709"/>
        <v>0</v>
      </c>
      <c r="DX494" s="171">
        <f t="shared" ca="1" si="710"/>
        <v>0</v>
      </c>
      <c r="DY494" s="171">
        <f t="shared" ca="1" si="711"/>
        <v>0</v>
      </c>
      <c r="DZ494" s="171">
        <f t="shared" ca="1" si="712"/>
        <v>0</v>
      </c>
      <c r="EA494" s="171">
        <f t="shared" ca="1" si="713"/>
        <v>0</v>
      </c>
      <c r="EB494" s="171">
        <f t="shared" ca="1" si="714"/>
        <v>0</v>
      </c>
      <c r="EC494" s="171">
        <f t="shared" ca="1" si="715"/>
        <v>0</v>
      </c>
      <c r="ED494" s="171">
        <f t="shared" ca="1" si="716"/>
        <v>0</v>
      </c>
      <c r="EE494" s="171">
        <f t="shared" ca="1" si="717"/>
        <v>0</v>
      </c>
      <c r="EF494" s="171">
        <f t="shared" ca="1" si="718"/>
        <v>0</v>
      </c>
      <c r="EG494" s="171">
        <f t="shared" ca="1" si="719"/>
        <v>0</v>
      </c>
      <c r="EH494" s="171">
        <f t="shared" ca="1" si="720"/>
        <v>0</v>
      </c>
      <c r="EI494" s="171">
        <f t="shared" ca="1" si="721"/>
        <v>0</v>
      </c>
      <c r="EJ494" s="171">
        <f t="shared" ca="1" si="722"/>
        <v>0</v>
      </c>
      <c r="EK494" s="171">
        <f t="shared" ca="1" si="723"/>
        <v>0</v>
      </c>
      <c r="EL494" s="171">
        <f t="shared" ca="1" si="724"/>
        <v>0</v>
      </c>
      <c r="EM494" s="171">
        <f t="shared" ca="1" si="725"/>
        <v>0</v>
      </c>
      <c r="EN494" s="171">
        <f t="shared" ca="1" si="726"/>
        <v>0</v>
      </c>
      <c r="EO494" s="171">
        <f t="shared" ca="1" si="727"/>
        <v>0</v>
      </c>
      <c r="EP494" s="171">
        <f t="shared" ca="1" si="728"/>
        <v>0</v>
      </c>
      <c r="EQ494" s="171">
        <f t="shared" ca="1" si="729"/>
        <v>0</v>
      </c>
      <c r="ER494" s="171">
        <f t="shared" ca="1" si="730"/>
        <v>0</v>
      </c>
      <c r="ES494" s="171">
        <f t="shared" ca="1" si="731"/>
        <v>0</v>
      </c>
    </row>
    <row r="495" spans="3:149">
      <c r="C495" s="157"/>
      <c r="L495" s="163"/>
      <c r="M495" s="164" t="str">
        <f t="shared" si="662"/>
        <v/>
      </c>
      <c r="N495" s="164" t="str">
        <f t="shared" si="663"/>
        <v/>
      </c>
      <c r="O495" s="165" t="str">
        <f t="shared" si="664"/>
        <v/>
      </c>
      <c r="R495" s="168" t="str">
        <f t="shared" si="751"/>
        <v/>
      </c>
      <c r="U495" s="171">
        <f t="shared" si="665"/>
        <v>0</v>
      </c>
      <c r="V495" s="171">
        <f t="shared" ca="1" si="666"/>
        <v>0</v>
      </c>
      <c r="W495" s="171">
        <f t="shared" ca="1" si="667"/>
        <v>0</v>
      </c>
      <c r="X495" s="172">
        <f t="shared" si="668"/>
        <v>0</v>
      </c>
      <c r="Y495" s="172" t="str">
        <f t="shared" si="669"/>
        <v/>
      </c>
      <c r="Z495" s="173">
        <f t="shared" si="670"/>
        <v>0</v>
      </c>
      <c r="AA495" s="171">
        <f t="shared" si="764"/>
        <v>0</v>
      </c>
      <c r="AB495" s="171">
        <f t="shared" si="764"/>
        <v>0</v>
      </c>
      <c r="AC495" s="171">
        <f t="shared" si="764"/>
        <v>0</v>
      </c>
      <c r="AD495" s="171">
        <f t="shared" si="764"/>
        <v>0</v>
      </c>
      <c r="AE495" s="171">
        <f t="shared" si="764"/>
        <v>0</v>
      </c>
      <c r="AF495" s="171">
        <f t="shared" si="764"/>
        <v>0</v>
      </c>
      <c r="AG495" s="171">
        <f t="shared" si="764"/>
        <v>0</v>
      </c>
      <c r="AH495" s="171">
        <f t="shared" si="764"/>
        <v>0</v>
      </c>
      <c r="AI495" s="171">
        <f t="shared" si="764"/>
        <v>0</v>
      </c>
      <c r="AJ495" s="171">
        <f t="shared" si="764"/>
        <v>0</v>
      </c>
      <c r="AK495" s="171">
        <f t="shared" si="765"/>
        <v>0</v>
      </c>
      <c r="AL495" s="171">
        <f t="shared" si="765"/>
        <v>0</v>
      </c>
      <c r="AM495" s="171">
        <f t="shared" si="765"/>
        <v>0</v>
      </c>
      <c r="AN495" s="171">
        <f t="shared" si="765"/>
        <v>0</v>
      </c>
      <c r="AO495" s="171">
        <f t="shared" si="765"/>
        <v>0</v>
      </c>
      <c r="AP495" s="171">
        <f t="shared" si="765"/>
        <v>0</v>
      </c>
      <c r="AQ495" s="171">
        <f t="shared" si="765"/>
        <v>0</v>
      </c>
      <c r="AR495" s="171">
        <f t="shared" si="765"/>
        <v>0</v>
      </c>
      <c r="AS495" s="171">
        <f t="shared" si="765"/>
        <v>0</v>
      </c>
      <c r="AT495" s="171">
        <f t="shared" si="765"/>
        <v>0</v>
      </c>
      <c r="AU495" s="171">
        <f t="shared" si="766"/>
        <v>0</v>
      </c>
      <c r="AV495" s="171">
        <f t="shared" si="766"/>
        <v>0</v>
      </c>
      <c r="AW495" s="171">
        <f t="shared" si="766"/>
        <v>0</v>
      </c>
      <c r="AX495" s="171">
        <f t="shared" si="766"/>
        <v>0</v>
      </c>
      <c r="AY495" s="171">
        <f t="shared" si="766"/>
        <v>0</v>
      </c>
      <c r="AZ495" s="171">
        <f t="shared" si="766"/>
        <v>0</v>
      </c>
      <c r="BA495" s="171">
        <f t="shared" si="766"/>
        <v>0</v>
      </c>
      <c r="BB495" s="171">
        <f t="shared" si="766"/>
        <v>0</v>
      </c>
      <c r="BC495" s="171">
        <f t="shared" si="766"/>
        <v>0</v>
      </c>
      <c r="BD495" s="171">
        <f t="shared" si="766"/>
        <v>0</v>
      </c>
      <c r="BE495" s="171">
        <f t="shared" si="767"/>
        <v>0</v>
      </c>
      <c r="BF495" s="171">
        <f t="shared" si="767"/>
        <v>0</v>
      </c>
      <c r="BG495" s="171">
        <f t="shared" si="767"/>
        <v>0</v>
      </c>
      <c r="BH495" s="171">
        <f t="shared" si="767"/>
        <v>0</v>
      </c>
      <c r="BI495" s="171">
        <f t="shared" si="767"/>
        <v>0</v>
      </c>
      <c r="BJ495" s="171">
        <f t="shared" si="767"/>
        <v>0</v>
      </c>
      <c r="BK495" s="171">
        <f t="shared" si="767"/>
        <v>0</v>
      </c>
      <c r="BL495" s="171">
        <f t="shared" si="767"/>
        <v>0</v>
      </c>
      <c r="BM495" s="171">
        <f t="shared" si="767"/>
        <v>0</v>
      </c>
      <c r="BN495" s="171">
        <f t="shared" si="767"/>
        <v>0</v>
      </c>
      <c r="BO495" s="171">
        <f t="shared" si="768"/>
        <v>0</v>
      </c>
      <c r="BP495" s="171">
        <f t="shared" si="768"/>
        <v>0</v>
      </c>
      <c r="BQ495" s="171">
        <f t="shared" si="768"/>
        <v>0</v>
      </c>
      <c r="BR495" s="171">
        <f t="shared" si="768"/>
        <v>0</v>
      </c>
      <c r="BS495" s="171">
        <f t="shared" si="768"/>
        <v>0</v>
      </c>
      <c r="BT495" s="171">
        <f t="shared" si="768"/>
        <v>0</v>
      </c>
      <c r="BU495" s="171">
        <f t="shared" si="768"/>
        <v>0</v>
      </c>
      <c r="BV495" s="171">
        <f t="shared" si="768"/>
        <v>0</v>
      </c>
      <c r="BW495" s="171">
        <f t="shared" si="768"/>
        <v>0</v>
      </c>
      <c r="BX495" s="171">
        <f t="shared" si="768"/>
        <v>0</v>
      </c>
      <c r="BY495" s="171">
        <f t="shared" si="769"/>
        <v>0</v>
      </c>
      <c r="BZ495" s="171">
        <f t="shared" si="769"/>
        <v>0</v>
      </c>
      <c r="CA495" s="171">
        <f t="shared" si="769"/>
        <v>0</v>
      </c>
      <c r="CB495" s="171">
        <f t="shared" si="769"/>
        <v>0</v>
      </c>
      <c r="CC495" s="171">
        <f t="shared" si="769"/>
        <v>0</v>
      </c>
      <c r="CD495" s="171">
        <f t="shared" si="769"/>
        <v>0</v>
      </c>
      <c r="CE495" s="171">
        <f t="shared" si="769"/>
        <v>0</v>
      </c>
      <c r="CF495" s="171">
        <f t="shared" si="769"/>
        <v>0</v>
      </c>
      <c r="CG495" s="171">
        <f t="shared" si="769"/>
        <v>0</v>
      </c>
      <c r="CH495" s="171">
        <f t="shared" si="769"/>
        <v>0</v>
      </c>
      <c r="CI495" s="171">
        <f t="shared" si="769"/>
        <v>0</v>
      </c>
      <c r="CJ495" s="243"/>
      <c r="CK495" s="171">
        <f t="shared" si="671"/>
        <v>0</v>
      </c>
      <c r="CL495" s="171">
        <f t="shared" si="672"/>
        <v>0</v>
      </c>
      <c r="CM495" s="171">
        <f t="shared" si="673"/>
        <v>0</v>
      </c>
      <c r="CN495" s="171">
        <f t="shared" si="674"/>
        <v>0</v>
      </c>
      <c r="CO495" s="171">
        <f t="shared" si="675"/>
        <v>0</v>
      </c>
      <c r="CP495" s="171">
        <f t="shared" si="676"/>
        <v>0</v>
      </c>
      <c r="CQ495" s="171">
        <f t="shared" si="677"/>
        <v>0</v>
      </c>
      <c r="CR495" s="171">
        <f t="shared" si="678"/>
        <v>0</v>
      </c>
      <c r="CS495" s="171">
        <f t="shared" si="679"/>
        <v>0</v>
      </c>
      <c r="CT495" s="171">
        <f t="shared" si="680"/>
        <v>0</v>
      </c>
      <c r="CU495" s="171">
        <f t="shared" si="681"/>
        <v>0</v>
      </c>
      <c r="CV495" s="171">
        <f t="shared" si="682"/>
        <v>0</v>
      </c>
      <c r="CW495" s="171">
        <f t="shared" si="683"/>
        <v>0</v>
      </c>
      <c r="CX495" s="171">
        <f t="shared" si="684"/>
        <v>0</v>
      </c>
      <c r="CY495" s="171">
        <f t="shared" ca="1" si="685"/>
        <v>0</v>
      </c>
      <c r="CZ495" s="171">
        <f t="shared" ca="1" si="686"/>
        <v>0</v>
      </c>
      <c r="DA495" s="171">
        <f t="shared" ca="1" si="687"/>
        <v>0</v>
      </c>
      <c r="DB495" s="171">
        <f t="shared" ca="1" si="688"/>
        <v>0</v>
      </c>
      <c r="DC495" s="171">
        <f t="shared" ca="1" si="689"/>
        <v>0</v>
      </c>
      <c r="DD495" s="171">
        <f t="shared" ca="1" si="690"/>
        <v>0</v>
      </c>
      <c r="DE495" s="171">
        <f t="shared" ca="1" si="691"/>
        <v>0</v>
      </c>
      <c r="DF495" s="171">
        <f t="shared" ca="1" si="692"/>
        <v>0</v>
      </c>
      <c r="DG495" s="171">
        <f t="shared" ca="1" si="693"/>
        <v>0</v>
      </c>
      <c r="DH495" s="171">
        <f t="shared" ca="1" si="694"/>
        <v>0</v>
      </c>
      <c r="DI495" s="171">
        <f t="shared" ca="1" si="695"/>
        <v>0</v>
      </c>
      <c r="DJ495" s="171">
        <f t="shared" ca="1" si="696"/>
        <v>0</v>
      </c>
      <c r="DK495" s="171">
        <f t="shared" ca="1" si="697"/>
        <v>0</v>
      </c>
      <c r="DL495" s="171">
        <f t="shared" ca="1" si="698"/>
        <v>0</v>
      </c>
      <c r="DM495" s="171">
        <f t="shared" ca="1" si="699"/>
        <v>0</v>
      </c>
      <c r="DN495" s="171">
        <f t="shared" ca="1" si="700"/>
        <v>0</v>
      </c>
      <c r="DO495" s="171">
        <f t="shared" ca="1" si="701"/>
        <v>0</v>
      </c>
      <c r="DP495" s="171">
        <f t="shared" ca="1" si="702"/>
        <v>0</v>
      </c>
      <c r="DQ495" s="171">
        <f t="shared" ca="1" si="703"/>
        <v>0</v>
      </c>
      <c r="DR495" s="171">
        <f t="shared" ca="1" si="704"/>
        <v>0</v>
      </c>
      <c r="DS495" s="171">
        <f t="shared" ca="1" si="705"/>
        <v>0</v>
      </c>
      <c r="DT495" s="171">
        <f t="shared" ca="1" si="706"/>
        <v>0</v>
      </c>
      <c r="DU495" s="171">
        <f t="shared" ca="1" si="707"/>
        <v>0</v>
      </c>
      <c r="DV495" s="171">
        <f t="shared" ca="1" si="708"/>
        <v>0</v>
      </c>
      <c r="DW495" s="171">
        <f t="shared" ca="1" si="709"/>
        <v>0</v>
      </c>
      <c r="DX495" s="171">
        <f t="shared" ca="1" si="710"/>
        <v>0</v>
      </c>
      <c r="DY495" s="171">
        <f t="shared" ca="1" si="711"/>
        <v>0</v>
      </c>
      <c r="DZ495" s="171">
        <f t="shared" ca="1" si="712"/>
        <v>0</v>
      </c>
      <c r="EA495" s="171">
        <f t="shared" ca="1" si="713"/>
        <v>0</v>
      </c>
      <c r="EB495" s="171">
        <f t="shared" ca="1" si="714"/>
        <v>0</v>
      </c>
      <c r="EC495" s="171">
        <f t="shared" ca="1" si="715"/>
        <v>0</v>
      </c>
      <c r="ED495" s="171">
        <f t="shared" ca="1" si="716"/>
        <v>0</v>
      </c>
      <c r="EE495" s="171">
        <f t="shared" ca="1" si="717"/>
        <v>0</v>
      </c>
      <c r="EF495" s="171">
        <f t="shared" ca="1" si="718"/>
        <v>0</v>
      </c>
      <c r="EG495" s="171">
        <f t="shared" ca="1" si="719"/>
        <v>0</v>
      </c>
      <c r="EH495" s="171">
        <f t="shared" ca="1" si="720"/>
        <v>0</v>
      </c>
      <c r="EI495" s="171">
        <f t="shared" ca="1" si="721"/>
        <v>0</v>
      </c>
      <c r="EJ495" s="171">
        <f t="shared" ca="1" si="722"/>
        <v>0</v>
      </c>
      <c r="EK495" s="171">
        <f t="shared" ca="1" si="723"/>
        <v>0</v>
      </c>
      <c r="EL495" s="171">
        <f t="shared" ca="1" si="724"/>
        <v>0</v>
      </c>
      <c r="EM495" s="171">
        <f t="shared" ca="1" si="725"/>
        <v>0</v>
      </c>
      <c r="EN495" s="171">
        <f t="shared" ca="1" si="726"/>
        <v>0</v>
      </c>
      <c r="EO495" s="171">
        <f t="shared" ca="1" si="727"/>
        <v>0</v>
      </c>
      <c r="EP495" s="171">
        <f t="shared" ca="1" si="728"/>
        <v>0</v>
      </c>
      <c r="EQ495" s="171">
        <f t="shared" ca="1" si="729"/>
        <v>0</v>
      </c>
      <c r="ER495" s="171">
        <f t="shared" ca="1" si="730"/>
        <v>0</v>
      </c>
      <c r="ES495" s="171">
        <f t="shared" ca="1" si="731"/>
        <v>0</v>
      </c>
    </row>
    <row r="496" spans="3:149">
      <c r="C496" s="157"/>
      <c r="L496" s="163"/>
      <c r="M496" s="164" t="str">
        <f t="shared" si="662"/>
        <v/>
      </c>
      <c r="N496" s="164" t="str">
        <f t="shared" si="663"/>
        <v/>
      </c>
      <c r="O496" s="165" t="str">
        <f t="shared" si="664"/>
        <v/>
      </c>
      <c r="R496" s="168" t="str">
        <f t="shared" si="751"/>
        <v/>
      </c>
      <c r="U496" s="171">
        <f t="shared" si="665"/>
        <v>0</v>
      </c>
      <c r="V496" s="171">
        <f t="shared" ca="1" si="666"/>
        <v>0</v>
      </c>
      <c r="W496" s="171">
        <f t="shared" ca="1" si="667"/>
        <v>0</v>
      </c>
      <c r="X496" s="172">
        <f t="shared" si="668"/>
        <v>0</v>
      </c>
      <c r="Y496" s="172" t="str">
        <f t="shared" si="669"/>
        <v/>
      </c>
      <c r="Z496" s="173">
        <f t="shared" si="670"/>
        <v>0</v>
      </c>
      <c r="AA496" s="171">
        <f t="shared" si="764"/>
        <v>0</v>
      </c>
      <c r="AB496" s="171">
        <f t="shared" si="764"/>
        <v>0</v>
      </c>
      <c r="AC496" s="171">
        <f t="shared" si="764"/>
        <v>0</v>
      </c>
      <c r="AD496" s="171">
        <f t="shared" si="764"/>
        <v>0</v>
      </c>
      <c r="AE496" s="171">
        <f t="shared" si="764"/>
        <v>0</v>
      </c>
      <c r="AF496" s="171">
        <f t="shared" si="764"/>
        <v>0</v>
      </c>
      <c r="AG496" s="171">
        <f t="shared" si="764"/>
        <v>0</v>
      </c>
      <c r="AH496" s="171">
        <f t="shared" si="764"/>
        <v>0</v>
      </c>
      <c r="AI496" s="171">
        <f t="shared" si="764"/>
        <v>0</v>
      </c>
      <c r="AJ496" s="171">
        <f t="shared" si="764"/>
        <v>0</v>
      </c>
      <c r="AK496" s="171">
        <f t="shared" si="765"/>
        <v>0</v>
      </c>
      <c r="AL496" s="171">
        <f t="shared" si="765"/>
        <v>0</v>
      </c>
      <c r="AM496" s="171">
        <f t="shared" si="765"/>
        <v>0</v>
      </c>
      <c r="AN496" s="171">
        <f t="shared" si="765"/>
        <v>0</v>
      </c>
      <c r="AO496" s="171">
        <f t="shared" si="765"/>
        <v>0</v>
      </c>
      <c r="AP496" s="171">
        <f t="shared" si="765"/>
        <v>0</v>
      </c>
      <c r="AQ496" s="171">
        <f t="shared" si="765"/>
        <v>0</v>
      </c>
      <c r="AR496" s="171">
        <f t="shared" si="765"/>
        <v>0</v>
      </c>
      <c r="AS496" s="171">
        <f t="shared" si="765"/>
        <v>0</v>
      </c>
      <c r="AT496" s="171">
        <f t="shared" si="765"/>
        <v>0</v>
      </c>
      <c r="AU496" s="171">
        <f t="shared" si="766"/>
        <v>0</v>
      </c>
      <c r="AV496" s="171">
        <f t="shared" si="766"/>
        <v>0</v>
      </c>
      <c r="AW496" s="171">
        <f t="shared" si="766"/>
        <v>0</v>
      </c>
      <c r="AX496" s="171">
        <f t="shared" si="766"/>
        <v>0</v>
      </c>
      <c r="AY496" s="171">
        <f t="shared" si="766"/>
        <v>0</v>
      </c>
      <c r="AZ496" s="171">
        <f t="shared" si="766"/>
        <v>0</v>
      </c>
      <c r="BA496" s="171">
        <f t="shared" si="766"/>
        <v>0</v>
      </c>
      <c r="BB496" s="171">
        <f t="shared" si="766"/>
        <v>0</v>
      </c>
      <c r="BC496" s="171">
        <f t="shared" si="766"/>
        <v>0</v>
      </c>
      <c r="BD496" s="171">
        <f t="shared" si="766"/>
        <v>0</v>
      </c>
      <c r="BE496" s="171">
        <f t="shared" si="767"/>
        <v>0</v>
      </c>
      <c r="BF496" s="171">
        <f t="shared" si="767"/>
        <v>0</v>
      </c>
      <c r="BG496" s="171">
        <f t="shared" si="767"/>
        <v>0</v>
      </c>
      <c r="BH496" s="171">
        <f t="shared" si="767"/>
        <v>0</v>
      </c>
      <c r="BI496" s="171">
        <f t="shared" si="767"/>
        <v>0</v>
      </c>
      <c r="BJ496" s="171">
        <f t="shared" si="767"/>
        <v>0</v>
      </c>
      <c r="BK496" s="171">
        <f t="shared" si="767"/>
        <v>0</v>
      </c>
      <c r="BL496" s="171">
        <f t="shared" si="767"/>
        <v>0</v>
      </c>
      <c r="BM496" s="171">
        <f t="shared" si="767"/>
        <v>0</v>
      </c>
      <c r="BN496" s="171">
        <f t="shared" si="767"/>
        <v>0</v>
      </c>
      <c r="BO496" s="171">
        <f t="shared" si="768"/>
        <v>0</v>
      </c>
      <c r="BP496" s="171">
        <f t="shared" si="768"/>
        <v>0</v>
      </c>
      <c r="BQ496" s="171">
        <f t="shared" si="768"/>
        <v>0</v>
      </c>
      <c r="BR496" s="171">
        <f t="shared" si="768"/>
        <v>0</v>
      </c>
      <c r="BS496" s="171">
        <f t="shared" si="768"/>
        <v>0</v>
      </c>
      <c r="BT496" s="171">
        <f t="shared" si="768"/>
        <v>0</v>
      </c>
      <c r="BU496" s="171">
        <f t="shared" si="768"/>
        <v>0</v>
      </c>
      <c r="BV496" s="171">
        <f t="shared" si="768"/>
        <v>0</v>
      </c>
      <c r="BW496" s="171">
        <f t="shared" si="768"/>
        <v>0</v>
      </c>
      <c r="BX496" s="171">
        <f t="shared" si="768"/>
        <v>0</v>
      </c>
      <c r="BY496" s="171">
        <f t="shared" si="769"/>
        <v>0</v>
      </c>
      <c r="BZ496" s="171">
        <f t="shared" si="769"/>
        <v>0</v>
      </c>
      <c r="CA496" s="171">
        <f t="shared" si="769"/>
        <v>0</v>
      </c>
      <c r="CB496" s="171">
        <f t="shared" si="769"/>
        <v>0</v>
      </c>
      <c r="CC496" s="171">
        <f t="shared" si="769"/>
        <v>0</v>
      </c>
      <c r="CD496" s="171">
        <f t="shared" si="769"/>
        <v>0</v>
      </c>
      <c r="CE496" s="171">
        <f t="shared" si="769"/>
        <v>0</v>
      </c>
      <c r="CF496" s="171">
        <f t="shared" si="769"/>
        <v>0</v>
      </c>
      <c r="CG496" s="171">
        <f t="shared" si="769"/>
        <v>0</v>
      </c>
      <c r="CH496" s="171">
        <f t="shared" si="769"/>
        <v>0</v>
      </c>
      <c r="CI496" s="171">
        <f t="shared" si="769"/>
        <v>0</v>
      </c>
      <c r="CJ496" s="243"/>
      <c r="CK496" s="171">
        <f t="shared" si="671"/>
        <v>0</v>
      </c>
      <c r="CL496" s="171">
        <f t="shared" si="672"/>
        <v>0</v>
      </c>
      <c r="CM496" s="171">
        <f t="shared" si="673"/>
        <v>0</v>
      </c>
      <c r="CN496" s="171">
        <f t="shared" si="674"/>
        <v>0</v>
      </c>
      <c r="CO496" s="171">
        <f t="shared" si="675"/>
        <v>0</v>
      </c>
      <c r="CP496" s="171">
        <f t="shared" si="676"/>
        <v>0</v>
      </c>
      <c r="CQ496" s="171">
        <f t="shared" si="677"/>
        <v>0</v>
      </c>
      <c r="CR496" s="171">
        <f t="shared" si="678"/>
        <v>0</v>
      </c>
      <c r="CS496" s="171">
        <f t="shared" si="679"/>
        <v>0</v>
      </c>
      <c r="CT496" s="171">
        <f t="shared" si="680"/>
        <v>0</v>
      </c>
      <c r="CU496" s="171">
        <f t="shared" si="681"/>
        <v>0</v>
      </c>
      <c r="CV496" s="171">
        <f t="shared" si="682"/>
        <v>0</v>
      </c>
      <c r="CW496" s="171">
        <f t="shared" si="683"/>
        <v>0</v>
      </c>
      <c r="CX496" s="171">
        <f t="shared" si="684"/>
        <v>0</v>
      </c>
      <c r="CY496" s="171">
        <f t="shared" ca="1" si="685"/>
        <v>0</v>
      </c>
      <c r="CZ496" s="171">
        <f t="shared" ca="1" si="686"/>
        <v>0</v>
      </c>
      <c r="DA496" s="171">
        <f t="shared" ca="1" si="687"/>
        <v>0</v>
      </c>
      <c r="DB496" s="171">
        <f t="shared" ca="1" si="688"/>
        <v>0</v>
      </c>
      <c r="DC496" s="171">
        <f t="shared" ca="1" si="689"/>
        <v>0</v>
      </c>
      <c r="DD496" s="171">
        <f t="shared" ca="1" si="690"/>
        <v>0</v>
      </c>
      <c r="DE496" s="171">
        <f t="shared" ca="1" si="691"/>
        <v>0</v>
      </c>
      <c r="DF496" s="171">
        <f t="shared" ca="1" si="692"/>
        <v>0</v>
      </c>
      <c r="DG496" s="171">
        <f t="shared" ca="1" si="693"/>
        <v>0</v>
      </c>
      <c r="DH496" s="171">
        <f t="shared" ca="1" si="694"/>
        <v>0</v>
      </c>
      <c r="DI496" s="171">
        <f t="shared" ca="1" si="695"/>
        <v>0</v>
      </c>
      <c r="DJ496" s="171">
        <f t="shared" ca="1" si="696"/>
        <v>0</v>
      </c>
      <c r="DK496" s="171">
        <f t="shared" ca="1" si="697"/>
        <v>0</v>
      </c>
      <c r="DL496" s="171">
        <f t="shared" ca="1" si="698"/>
        <v>0</v>
      </c>
      <c r="DM496" s="171">
        <f t="shared" ca="1" si="699"/>
        <v>0</v>
      </c>
      <c r="DN496" s="171">
        <f t="shared" ca="1" si="700"/>
        <v>0</v>
      </c>
      <c r="DO496" s="171">
        <f t="shared" ca="1" si="701"/>
        <v>0</v>
      </c>
      <c r="DP496" s="171">
        <f t="shared" ca="1" si="702"/>
        <v>0</v>
      </c>
      <c r="DQ496" s="171">
        <f t="shared" ca="1" si="703"/>
        <v>0</v>
      </c>
      <c r="DR496" s="171">
        <f t="shared" ca="1" si="704"/>
        <v>0</v>
      </c>
      <c r="DS496" s="171">
        <f t="shared" ca="1" si="705"/>
        <v>0</v>
      </c>
      <c r="DT496" s="171">
        <f t="shared" ca="1" si="706"/>
        <v>0</v>
      </c>
      <c r="DU496" s="171">
        <f t="shared" ca="1" si="707"/>
        <v>0</v>
      </c>
      <c r="DV496" s="171">
        <f t="shared" ca="1" si="708"/>
        <v>0</v>
      </c>
      <c r="DW496" s="171">
        <f t="shared" ca="1" si="709"/>
        <v>0</v>
      </c>
      <c r="DX496" s="171">
        <f t="shared" ca="1" si="710"/>
        <v>0</v>
      </c>
      <c r="DY496" s="171">
        <f t="shared" ca="1" si="711"/>
        <v>0</v>
      </c>
      <c r="DZ496" s="171">
        <f t="shared" ca="1" si="712"/>
        <v>0</v>
      </c>
      <c r="EA496" s="171">
        <f t="shared" ca="1" si="713"/>
        <v>0</v>
      </c>
      <c r="EB496" s="171">
        <f t="shared" ca="1" si="714"/>
        <v>0</v>
      </c>
      <c r="EC496" s="171">
        <f t="shared" ca="1" si="715"/>
        <v>0</v>
      </c>
      <c r="ED496" s="171">
        <f t="shared" ca="1" si="716"/>
        <v>0</v>
      </c>
      <c r="EE496" s="171">
        <f t="shared" ca="1" si="717"/>
        <v>0</v>
      </c>
      <c r="EF496" s="171">
        <f t="shared" ca="1" si="718"/>
        <v>0</v>
      </c>
      <c r="EG496" s="171">
        <f t="shared" ca="1" si="719"/>
        <v>0</v>
      </c>
      <c r="EH496" s="171">
        <f t="shared" ca="1" si="720"/>
        <v>0</v>
      </c>
      <c r="EI496" s="171">
        <f t="shared" ca="1" si="721"/>
        <v>0</v>
      </c>
      <c r="EJ496" s="171">
        <f t="shared" ca="1" si="722"/>
        <v>0</v>
      </c>
      <c r="EK496" s="171">
        <f t="shared" ca="1" si="723"/>
        <v>0</v>
      </c>
      <c r="EL496" s="171">
        <f t="shared" ca="1" si="724"/>
        <v>0</v>
      </c>
      <c r="EM496" s="171">
        <f t="shared" ca="1" si="725"/>
        <v>0</v>
      </c>
      <c r="EN496" s="171">
        <f t="shared" ca="1" si="726"/>
        <v>0</v>
      </c>
      <c r="EO496" s="171">
        <f t="shared" ca="1" si="727"/>
        <v>0</v>
      </c>
      <c r="EP496" s="171">
        <f t="shared" ca="1" si="728"/>
        <v>0</v>
      </c>
      <c r="EQ496" s="171">
        <f t="shared" ca="1" si="729"/>
        <v>0</v>
      </c>
      <c r="ER496" s="171">
        <f t="shared" ca="1" si="730"/>
        <v>0</v>
      </c>
      <c r="ES496" s="171">
        <f t="shared" ca="1" si="731"/>
        <v>0</v>
      </c>
    </row>
    <row r="497" spans="3:149">
      <c r="C497" s="157"/>
      <c r="L497" s="163"/>
      <c r="M497" s="164" t="str">
        <f t="shared" ref="M497:M516" si="770">IFERROR(K497*HLOOKUP(E497,$C$37:$BL$39,3,FALSE)/VLOOKUP(L497,$C$37:$BJ$44,MATCH(E497,$C$37:$BL$37,0),FALSE),"")</f>
        <v/>
      </c>
      <c r="N497" s="164" t="str">
        <f t="shared" ref="N497:N516" si="771">IFERROR(K497*HLOOKUP(E497,$C$37:$BL$39,2,FALSE)/VLOOKUP(L497,$C$37:$BJ$44,MATCH(E497,$C$37:$BL$37,0),FALSE),"")</f>
        <v/>
      </c>
      <c r="O497" s="165" t="str">
        <f t="shared" ref="O497:O516" si="772">IFERROR(IF($B$5="Foreign Currency",HLOOKUP(E497,$D$37:$BL$39,2,FALSE)/VLOOKUP(L497,$C$38:$BJ$44,MATCH(E497,$C$37:$BL$37,0),FALSE),HLOOKUP(E497,$D$37:$BL$39,3,FALSE)/VLOOKUP(L497,$C$38:$BJ$44,MATCH(E497,$C$37:$BL$37,0),FALSE)),"")</f>
        <v/>
      </c>
      <c r="R497" s="168" t="str">
        <f t="shared" si="751"/>
        <v/>
      </c>
      <c r="U497" s="171">
        <f t="shared" ref="U497:U516" si="773">IFERROR(SUM(AA497:CI497)/(Q497), 0)</f>
        <v>0</v>
      </c>
      <c r="V497" s="171">
        <f t="shared" ref="V497:V516" ca="1" si="774">IFERROR(SUM(CK497:ES497)/(Q497),0)</f>
        <v>0</v>
      </c>
      <c r="W497" s="171">
        <f t="shared" ref="W497:W516" ca="1" si="775">SUM(CK497:ES497)</f>
        <v>0</v>
      </c>
      <c r="X497" s="172">
        <f t="shared" ref="X497:X516" si="776">IFERROR(IF(T497="Equity", "Equity", 1-Y497), 0)</f>
        <v>0</v>
      </c>
      <c r="Y497" s="172" t="str">
        <f t="shared" ref="Y497:Y513" si="777">IFERROR(IF(ISNUMBER(SEARCH("EPP",T497)),(1-((P497/$B$12)/(((1+$B$11)^(1/$B$12))-1)))  *  (1-  (((1/((1+((((1+$B$11)^(1/$B$12))-1)))^($B$12*S497)))-(1/((1+((((1+$B$11)^(1/$B$12))-1)))^($B$12*(Q497+S497)))))/(((((1+$B$11)^(1/$B$12))-1))*(($B$12*(Q497+S497))-($B$12*S497))))),IF(ISNUMBER(SEARCH("Lump",T497)),(1-((1+P497*(Q497+S497))/((1+$B$11)^(Q497+S497)))),IF((T497="Equity"),"Equity",""))),"ERROR")</f>
        <v/>
      </c>
      <c r="Z497" s="173">
        <f t="shared" ref="Z497:Z516" si="778">SUM(AA497:CI497)</f>
        <v>0</v>
      </c>
      <c r="AA497" s="171">
        <f t="shared" si="764"/>
        <v>0</v>
      </c>
      <c r="AB497" s="171">
        <f t="shared" si="764"/>
        <v>0</v>
      </c>
      <c r="AC497" s="171">
        <f t="shared" si="764"/>
        <v>0</v>
      </c>
      <c r="AD497" s="171">
        <f t="shared" si="764"/>
        <v>0</v>
      </c>
      <c r="AE497" s="171">
        <f t="shared" si="764"/>
        <v>0</v>
      </c>
      <c r="AF497" s="171">
        <f t="shared" si="764"/>
        <v>0</v>
      </c>
      <c r="AG497" s="171">
        <f t="shared" si="764"/>
        <v>0</v>
      </c>
      <c r="AH497" s="171">
        <f t="shared" si="764"/>
        <v>0</v>
      </c>
      <c r="AI497" s="171">
        <f t="shared" si="764"/>
        <v>0</v>
      </c>
      <c r="AJ497" s="171">
        <f t="shared" si="764"/>
        <v>0</v>
      </c>
      <c r="AK497" s="171">
        <f t="shared" si="765"/>
        <v>0</v>
      </c>
      <c r="AL497" s="171">
        <f t="shared" si="765"/>
        <v>0</v>
      </c>
      <c r="AM497" s="171">
        <f t="shared" si="765"/>
        <v>0</v>
      </c>
      <c r="AN497" s="171">
        <f t="shared" si="765"/>
        <v>0</v>
      </c>
      <c r="AO497" s="171">
        <f t="shared" si="765"/>
        <v>0</v>
      </c>
      <c r="AP497" s="171">
        <f t="shared" si="765"/>
        <v>0</v>
      </c>
      <c r="AQ497" s="171">
        <f t="shared" si="765"/>
        <v>0</v>
      </c>
      <c r="AR497" s="171">
        <f t="shared" si="765"/>
        <v>0</v>
      </c>
      <c r="AS497" s="171">
        <f t="shared" si="765"/>
        <v>0</v>
      </c>
      <c r="AT497" s="171">
        <f t="shared" si="765"/>
        <v>0</v>
      </c>
      <c r="AU497" s="171">
        <f t="shared" si="766"/>
        <v>0</v>
      </c>
      <c r="AV497" s="171">
        <f t="shared" si="766"/>
        <v>0</v>
      </c>
      <c r="AW497" s="171">
        <f t="shared" si="766"/>
        <v>0</v>
      </c>
      <c r="AX497" s="171">
        <f t="shared" si="766"/>
        <v>0</v>
      </c>
      <c r="AY497" s="171">
        <f t="shared" si="766"/>
        <v>0</v>
      </c>
      <c r="AZ497" s="171">
        <f t="shared" si="766"/>
        <v>0</v>
      </c>
      <c r="BA497" s="171">
        <f t="shared" si="766"/>
        <v>0</v>
      </c>
      <c r="BB497" s="171">
        <f t="shared" si="766"/>
        <v>0</v>
      </c>
      <c r="BC497" s="171">
        <f t="shared" si="766"/>
        <v>0</v>
      </c>
      <c r="BD497" s="171">
        <f t="shared" si="766"/>
        <v>0</v>
      </c>
      <c r="BE497" s="171">
        <f t="shared" si="767"/>
        <v>0</v>
      </c>
      <c r="BF497" s="171">
        <f t="shared" si="767"/>
        <v>0</v>
      </c>
      <c r="BG497" s="171">
        <f t="shared" si="767"/>
        <v>0</v>
      </c>
      <c r="BH497" s="171">
        <f t="shared" si="767"/>
        <v>0</v>
      </c>
      <c r="BI497" s="171">
        <f t="shared" si="767"/>
        <v>0</v>
      </c>
      <c r="BJ497" s="171">
        <f t="shared" si="767"/>
        <v>0</v>
      </c>
      <c r="BK497" s="171">
        <f t="shared" si="767"/>
        <v>0</v>
      </c>
      <c r="BL497" s="171">
        <f t="shared" si="767"/>
        <v>0</v>
      </c>
      <c r="BM497" s="171">
        <f t="shared" si="767"/>
        <v>0</v>
      </c>
      <c r="BN497" s="171">
        <f t="shared" si="767"/>
        <v>0</v>
      </c>
      <c r="BO497" s="171">
        <f t="shared" si="768"/>
        <v>0</v>
      </c>
      <c r="BP497" s="171">
        <f t="shared" si="768"/>
        <v>0</v>
      </c>
      <c r="BQ497" s="171">
        <f t="shared" si="768"/>
        <v>0</v>
      </c>
      <c r="BR497" s="171">
        <f t="shared" si="768"/>
        <v>0</v>
      </c>
      <c r="BS497" s="171">
        <f t="shared" si="768"/>
        <v>0</v>
      </c>
      <c r="BT497" s="171">
        <f t="shared" si="768"/>
        <v>0</v>
      </c>
      <c r="BU497" s="171">
        <f t="shared" si="768"/>
        <v>0</v>
      </c>
      <c r="BV497" s="171">
        <f t="shared" si="768"/>
        <v>0</v>
      </c>
      <c r="BW497" s="171">
        <f t="shared" si="768"/>
        <v>0</v>
      </c>
      <c r="BX497" s="171">
        <f t="shared" si="768"/>
        <v>0</v>
      </c>
      <c r="BY497" s="171">
        <f t="shared" si="769"/>
        <v>0</v>
      </c>
      <c r="BZ497" s="171">
        <f t="shared" si="769"/>
        <v>0</v>
      </c>
      <c r="CA497" s="171">
        <f t="shared" si="769"/>
        <v>0</v>
      </c>
      <c r="CB497" s="171">
        <f t="shared" si="769"/>
        <v>0</v>
      </c>
      <c r="CC497" s="171">
        <f t="shared" si="769"/>
        <v>0</v>
      </c>
      <c r="CD497" s="171">
        <f t="shared" si="769"/>
        <v>0</v>
      </c>
      <c r="CE497" s="171">
        <f t="shared" si="769"/>
        <v>0</v>
      </c>
      <c r="CF497" s="171">
        <f t="shared" si="769"/>
        <v>0</v>
      </c>
      <c r="CG497" s="171">
        <f t="shared" si="769"/>
        <v>0</v>
      </c>
      <c r="CH497" s="171">
        <f t="shared" si="769"/>
        <v>0</v>
      </c>
      <c r="CI497" s="171">
        <f t="shared" si="769"/>
        <v>0</v>
      </c>
      <c r="CJ497" s="243"/>
      <c r="CK497" s="171">
        <f t="shared" ref="CK497:CK516" si="779">IF(CK$48&lt;$B$9,AA497,AA497*((1/(1+$B$10))^(CK$48-$B$9+1)))</f>
        <v>0</v>
      </c>
      <c r="CL497" s="171">
        <f t="shared" ref="CL497:CL516" si="780">IF(CL$48&lt;$B$9,AB497,AB497*((1/(1+$B$10))^(CL$48-$B$9+1)))</f>
        <v>0</v>
      </c>
      <c r="CM497" s="171">
        <f t="shared" ref="CM497:CM516" si="781">IF(CM$48&lt;$B$9,AC497,AC497*((1/(1+$B$10))^(CM$48-$B$9+1)))</f>
        <v>0</v>
      </c>
      <c r="CN497" s="171">
        <f t="shared" ref="CN497:CN516" si="782">IF(CN$48&lt;$B$9,AD497,AD497*((1/(1+$B$10))^(CN$48-$B$9+1)))</f>
        <v>0</v>
      </c>
      <c r="CO497" s="171">
        <f t="shared" ref="CO497:CO516" si="783">IF(CO$48&lt;$B$9,AE497,AE497*((1/(1+$B$10))^(CO$48-$B$9+1)))</f>
        <v>0</v>
      </c>
      <c r="CP497" s="171">
        <f t="shared" ref="CP497:CP516" si="784">IF(CP$48&lt;$B$9,AF497,AF497*((1/(1+$B$10))^(CP$48-$B$9+1)))</f>
        <v>0</v>
      </c>
      <c r="CQ497" s="171">
        <f t="shared" ref="CQ497:CQ516" si="785">IF(CQ$48&lt;$B$9,AG497,AG497*((1/(1+$B$10))^(CQ$48-$B$9+1)))</f>
        <v>0</v>
      </c>
      <c r="CR497" s="171">
        <f t="shared" ref="CR497:CR516" si="786">IF(CR$48&lt;$B$9,AH497,AH497*((1/(1+$B$10))^(CR$48-$B$9+1)))</f>
        <v>0</v>
      </c>
      <c r="CS497" s="171">
        <f t="shared" ref="CS497:CS516" si="787">IF(CS$48&lt;$B$9,AI497,AI497*((1/(1+$B$10))^(CS$48-$B$9+1)))</f>
        <v>0</v>
      </c>
      <c r="CT497" s="171">
        <f t="shared" ref="CT497:CT516" si="788">IF(CT$48&lt;$B$9,AJ497,AJ497*((1/(1+$B$10))^(CT$48-$B$9+1)))</f>
        <v>0</v>
      </c>
      <c r="CU497" s="171">
        <f t="shared" ref="CU497:CU516" si="789">IF(CU$48&lt;$B$9,AK497,AK497*((1/(1+$B$10))^(CU$48-$B$9+1)))</f>
        <v>0</v>
      </c>
      <c r="CV497" s="171">
        <f t="shared" ref="CV497:CV516" si="790">IF(CV$48&lt;$B$9,AL497,AL497*((1/(1+$B$10))^(CV$48-$B$9+1)))</f>
        <v>0</v>
      </c>
      <c r="CW497" s="171">
        <f t="shared" ref="CW497:CW516" si="791">IF(CW$48&lt;$B$9,AM497,AM497*((1/(1+$B$10))^(CW$48-$B$9+1)))</f>
        <v>0</v>
      </c>
      <c r="CX497" s="171">
        <f t="shared" ref="CX497:CX516" si="792">IF(CX$48&lt;$B$9,AN497,AN497*((1/(1+$B$10))^(CX$48-$B$9+1)))</f>
        <v>0</v>
      </c>
      <c r="CY497" s="171">
        <f t="shared" ref="CY497:CY516" ca="1" si="793">IF(CY$48&lt;$B$9,AO497,AO497*((1/(1+$B$10))^(CY$48-$B$9+1)))</f>
        <v>0</v>
      </c>
      <c r="CZ497" s="171">
        <f t="shared" ref="CZ497:CZ516" ca="1" si="794">IF(CZ$48&lt;$B$9,AP497,AP497*((1/(1+$B$10))^(CZ$48-$B$9+1)))</f>
        <v>0</v>
      </c>
      <c r="DA497" s="171">
        <f t="shared" ref="DA497:DA516" ca="1" si="795">IF(DA$48&lt;$B$9,AQ497,AQ497*((1/(1+$B$10))^(DA$48-$B$9+1)))</f>
        <v>0</v>
      </c>
      <c r="DB497" s="171">
        <f t="shared" ref="DB497:DB516" ca="1" si="796">IF(DB$48&lt;$B$9,AR497,AR497*((1/(1+$B$10))^(DB$48-$B$9+1)))</f>
        <v>0</v>
      </c>
      <c r="DC497" s="171">
        <f t="shared" ref="DC497:DC516" ca="1" si="797">IF(DC$48&lt;$B$9,AS497,AS497*((1/(1+$B$10))^(DC$48-$B$9+1)))</f>
        <v>0</v>
      </c>
      <c r="DD497" s="171">
        <f t="shared" ref="DD497:DD516" ca="1" si="798">IF(DD$48&lt;$B$9,AT497,AT497*((1/(1+$B$10))^(DD$48-$B$9+1)))</f>
        <v>0</v>
      </c>
      <c r="DE497" s="171">
        <f t="shared" ref="DE497:DE516" ca="1" si="799">IF(DE$48&lt;$B$9,AU497,AU497*((1/(1+$B$10))^(DE$48-$B$9+1)))</f>
        <v>0</v>
      </c>
      <c r="DF497" s="171">
        <f t="shared" ref="DF497:DF516" ca="1" si="800">IF(DF$48&lt;$B$9,AV497,AV497*((1/(1+$B$10))^(DF$48-$B$9+1)))</f>
        <v>0</v>
      </c>
      <c r="DG497" s="171">
        <f t="shared" ref="DG497:DG516" ca="1" si="801">IF(DG$48&lt;$B$9,AW497,AW497*((1/(1+$B$10))^(DG$48-$B$9+1)))</f>
        <v>0</v>
      </c>
      <c r="DH497" s="171">
        <f t="shared" ref="DH497:DH516" ca="1" si="802">IF(DH$48&lt;$B$9,AX497,AX497*((1/(1+$B$10))^(DH$48-$B$9+1)))</f>
        <v>0</v>
      </c>
      <c r="DI497" s="171">
        <f t="shared" ref="DI497:DI516" ca="1" si="803">IF(DI$48&lt;$B$9,AY497,AY497*((1/(1+$B$10))^(DI$48-$B$9+1)))</f>
        <v>0</v>
      </c>
      <c r="DJ497" s="171">
        <f t="shared" ref="DJ497:DJ516" ca="1" si="804">IF(DJ$48&lt;$B$9,AZ497,AZ497*((1/(1+$B$10))^(DJ$48-$B$9+1)))</f>
        <v>0</v>
      </c>
      <c r="DK497" s="171">
        <f t="shared" ref="DK497:DK516" ca="1" si="805">IF(DK$48&lt;$B$9,BA497,BA497*((1/(1+$B$10))^(DK$48-$B$9+1)))</f>
        <v>0</v>
      </c>
      <c r="DL497" s="171">
        <f t="shared" ref="DL497:DL516" ca="1" si="806">IF(DL$48&lt;$B$9,BB497,BB497*((1/(1+$B$10))^(DL$48-$B$9+1)))</f>
        <v>0</v>
      </c>
      <c r="DM497" s="171">
        <f t="shared" ref="DM497:DM516" ca="1" si="807">IF(DM$48&lt;$B$9,BC497,BC497*((1/(1+$B$10))^(DM$48-$B$9+1)))</f>
        <v>0</v>
      </c>
      <c r="DN497" s="171">
        <f t="shared" ref="DN497:DN516" ca="1" si="808">IF(DN$48&lt;$B$9,BD497,BD497*((1/(1+$B$10))^(DN$48-$B$9+1)))</f>
        <v>0</v>
      </c>
      <c r="DO497" s="171">
        <f t="shared" ref="DO497:DO516" ca="1" si="809">IF(DO$48&lt;$B$9,BE497,BE497*((1/(1+$B$10))^(DO$48-$B$9+1)))</f>
        <v>0</v>
      </c>
      <c r="DP497" s="171">
        <f t="shared" ref="DP497:DP516" ca="1" si="810">IF(DP$48&lt;$B$9,BF497,BF497*((1/(1+$B$10))^(DP$48-$B$9+1)))</f>
        <v>0</v>
      </c>
      <c r="DQ497" s="171">
        <f t="shared" ref="DQ497:DQ516" ca="1" si="811">IF(DQ$48&lt;$B$9,BG497,BG497*((1/(1+$B$10))^(DQ$48-$B$9+1)))</f>
        <v>0</v>
      </c>
      <c r="DR497" s="171">
        <f t="shared" ref="DR497:DR516" ca="1" si="812">IF(DR$48&lt;$B$9,BH497,BH497*((1/(1+$B$10))^(DR$48-$B$9+1)))</f>
        <v>0</v>
      </c>
      <c r="DS497" s="171">
        <f t="shared" ref="DS497:DS516" ca="1" si="813">IF(DS$48&lt;$B$9,BI497,BI497*((1/(1+$B$10))^(DS$48-$B$9+1)))</f>
        <v>0</v>
      </c>
      <c r="DT497" s="171">
        <f t="shared" ref="DT497:DT516" ca="1" si="814">IF(DT$48&lt;$B$9,BJ497,BJ497*((1/(1+$B$10))^(DT$48-$B$9+1)))</f>
        <v>0</v>
      </c>
      <c r="DU497" s="171">
        <f t="shared" ref="DU497:DU516" ca="1" si="815">IF(DU$48&lt;$B$9,BK497,BK497*((1/(1+$B$10))^(DU$48-$B$9+1)))</f>
        <v>0</v>
      </c>
      <c r="DV497" s="171">
        <f t="shared" ref="DV497:DV516" ca="1" si="816">IF(DV$48&lt;$B$9,BL497,BL497*((1/(1+$B$10))^(DV$48-$B$9+1)))</f>
        <v>0</v>
      </c>
      <c r="DW497" s="171">
        <f t="shared" ref="DW497:DW516" ca="1" si="817">IF(DW$48&lt;$B$9,BM497,BM497*((1/(1+$B$10))^(DW$48-$B$9+1)))</f>
        <v>0</v>
      </c>
      <c r="DX497" s="171">
        <f t="shared" ref="DX497:DX516" ca="1" si="818">IF(DX$48&lt;$B$9,BN497,BN497*((1/(1+$B$10))^(DX$48-$B$9+1)))</f>
        <v>0</v>
      </c>
      <c r="DY497" s="171">
        <f t="shared" ref="DY497:DY516" ca="1" si="819">IF(DY$48&lt;$B$9,BO497,BO497*((1/(1+$B$10))^(DY$48-$B$9+1)))</f>
        <v>0</v>
      </c>
      <c r="DZ497" s="171">
        <f t="shared" ref="DZ497:DZ516" ca="1" si="820">IF(DZ$48&lt;$B$9,BP497,BP497*((1/(1+$B$10))^(DZ$48-$B$9+1)))</f>
        <v>0</v>
      </c>
      <c r="EA497" s="171">
        <f t="shared" ref="EA497:EA516" ca="1" si="821">IF(EA$48&lt;$B$9,BQ497,BQ497*((1/(1+$B$10))^(EA$48-$B$9+1)))</f>
        <v>0</v>
      </c>
      <c r="EB497" s="171">
        <f t="shared" ref="EB497:EB516" ca="1" si="822">IF(EB$48&lt;$B$9,BR497,BR497*((1/(1+$B$10))^(EB$48-$B$9+1)))</f>
        <v>0</v>
      </c>
      <c r="EC497" s="171">
        <f t="shared" ref="EC497:EC516" ca="1" si="823">IF(EC$48&lt;$B$9,BS497,BS497*((1/(1+$B$10))^(EC$48-$B$9+1)))</f>
        <v>0</v>
      </c>
      <c r="ED497" s="171">
        <f t="shared" ref="ED497:ED516" ca="1" si="824">IF(ED$48&lt;$B$9,BT497,BT497*((1/(1+$B$10))^(ED$48-$B$9+1)))</f>
        <v>0</v>
      </c>
      <c r="EE497" s="171">
        <f t="shared" ref="EE497:EE516" ca="1" si="825">IF(EE$48&lt;$B$9,BU497,BU497*((1/(1+$B$10))^(EE$48-$B$9+1)))</f>
        <v>0</v>
      </c>
      <c r="EF497" s="171">
        <f t="shared" ref="EF497:EF516" ca="1" si="826">IF(EF$48&lt;$B$9,BV497,BV497*((1/(1+$B$10))^(EF$48-$B$9+1)))</f>
        <v>0</v>
      </c>
      <c r="EG497" s="171">
        <f t="shared" ref="EG497:EG516" ca="1" si="827">IF(EG$48&lt;$B$9,BW497,BW497*((1/(1+$B$10))^(EG$48-$B$9+1)))</f>
        <v>0</v>
      </c>
      <c r="EH497" s="171">
        <f t="shared" ref="EH497:EH516" ca="1" si="828">IF(EH$48&lt;$B$9,BX497,BX497*((1/(1+$B$10))^(EH$48-$B$9+1)))</f>
        <v>0</v>
      </c>
      <c r="EI497" s="171">
        <f t="shared" ref="EI497:EI516" ca="1" si="829">IF(EI$48&lt;$B$9,BY497,BY497*((1/(1+$B$10))^(EI$48-$B$9+1)))</f>
        <v>0</v>
      </c>
      <c r="EJ497" s="171">
        <f t="shared" ref="EJ497:EJ516" ca="1" si="830">IF(EJ$48&lt;$B$9,BZ497,BZ497*((1/(1+$B$10))^(EJ$48-$B$9+1)))</f>
        <v>0</v>
      </c>
      <c r="EK497" s="171">
        <f t="shared" ref="EK497:EK516" ca="1" si="831">IF(EK$48&lt;$B$9,CA497,CA497*((1/(1+$B$10))^(EK$48-$B$9+1)))</f>
        <v>0</v>
      </c>
      <c r="EL497" s="171">
        <f t="shared" ref="EL497:EL516" ca="1" si="832">IF(EL$48&lt;$B$9,CB497,CB497*((1/(1+$B$10))^(EL$48-$B$9+1)))</f>
        <v>0</v>
      </c>
      <c r="EM497" s="171">
        <f t="shared" ref="EM497:EM516" ca="1" si="833">IF(EM$48&lt;$B$9,CC497,CC497*((1/(1+$B$10))^(EM$48-$B$9+1)))</f>
        <v>0</v>
      </c>
      <c r="EN497" s="171">
        <f t="shared" ref="EN497:EN516" ca="1" si="834">IF(EN$48&lt;$B$9,CD497,CD497*((1/(1+$B$10))^(EN$48-$B$9+1)))</f>
        <v>0</v>
      </c>
      <c r="EO497" s="171">
        <f t="shared" ref="EO497:EO516" ca="1" si="835">IF(EO$48&lt;$B$9,CE497,CE497*((1/(1+$B$10))^(EO$48-$B$9+1)))</f>
        <v>0</v>
      </c>
      <c r="EP497" s="171">
        <f t="shared" ref="EP497:EP516" ca="1" si="836">IF(EP$48&lt;$B$9,CF497,CF497*((1/(1+$B$10))^(EP$48-$B$9+1)))</f>
        <v>0</v>
      </c>
      <c r="EQ497" s="171">
        <f t="shared" ref="EQ497:EQ516" ca="1" si="837">IF(EQ$48&lt;$B$9,CG497,CG497*((1/(1+$B$10))^(EQ$48-$B$9+1)))</f>
        <v>0</v>
      </c>
      <c r="ER497" s="171">
        <f t="shared" ref="ER497:ER516" ca="1" si="838">IF(ER$48&lt;$B$9,CH497,CH497*((1/(1+$B$10))^(ER$48-$B$9+1)))</f>
        <v>0</v>
      </c>
      <c r="ES497" s="171">
        <f t="shared" ref="ES497:ES516" ca="1" si="839">IF(ES$48&lt;$B$9,CI497,CI497*((1/(1+$B$10))^(ES$48-$B$9+1)))</f>
        <v>0</v>
      </c>
    </row>
    <row r="498" spans="3:149">
      <c r="C498" s="157"/>
      <c r="L498" s="163"/>
      <c r="M498" s="164" t="str">
        <f t="shared" si="770"/>
        <v/>
      </c>
      <c r="N498" s="164" t="str">
        <f t="shared" si="771"/>
        <v/>
      </c>
      <c r="O498" s="165" t="str">
        <f t="shared" si="772"/>
        <v/>
      </c>
      <c r="R498" s="168" t="str">
        <f t="shared" si="751"/>
        <v/>
      </c>
      <c r="U498" s="171">
        <f t="shared" si="773"/>
        <v>0</v>
      </c>
      <c r="V498" s="171">
        <f t="shared" ca="1" si="774"/>
        <v>0</v>
      </c>
      <c r="W498" s="171">
        <f t="shared" ca="1" si="775"/>
        <v>0</v>
      </c>
      <c r="X498" s="172">
        <f t="shared" si="776"/>
        <v>0</v>
      </c>
      <c r="Y498" s="172" t="str">
        <f t="shared" si="777"/>
        <v/>
      </c>
      <c r="Z498" s="173">
        <f t="shared" si="778"/>
        <v>0</v>
      </c>
      <c r="AA498" s="171">
        <f t="shared" si="764"/>
        <v>0</v>
      </c>
      <c r="AB498" s="171">
        <f t="shared" si="764"/>
        <v>0</v>
      </c>
      <c r="AC498" s="171">
        <f t="shared" si="764"/>
        <v>0</v>
      </c>
      <c r="AD498" s="171">
        <f t="shared" si="764"/>
        <v>0</v>
      </c>
      <c r="AE498" s="171">
        <f t="shared" si="764"/>
        <v>0</v>
      </c>
      <c r="AF498" s="171">
        <f t="shared" si="764"/>
        <v>0</v>
      </c>
      <c r="AG498" s="171">
        <f t="shared" si="764"/>
        <v>0</v>
      </c>
      <c r="AH498" s="171">
        <f t="shared" si="764"/>
        <v>0</v>
      </c>
      <c r="AI498" s="171">
        <f t="shared" si="764"/>
        <v>0</v>
      </c>
      <c r="AJ498" s="171">
        <f t="shared" si="764"/>
        <v>0</v>
      </c>
      <c r="AK498" s="171">
        <f t="shared" si="765"/>
        <v>0</v>
      </c>
      <c r="AL498" s="171">
        <f t="shared" si="765"/>
        <v>0</v>
      </c>
      <c r="AM498" s="171">
        <f t="shared" si="765"/>
        <v>0</v>
      </c>
      <c r="AN498" s="171">
        <f t="shared" si="765"/>
        <v>0</v>
      </c>
      <c r="AO498" s="171">
        <f t="shared" si="765"/>
        <v>0</v>
      </c>
      <c r="AP498" s="171">
        <f t="shared" si="765"/>
        <v>0</v>
      </c>
      <c r="AQ498" s="171">
        <f t="shared" si="765"/>
        <v>0</v>
      </c>
      <c r="AR498" s="171">
        <f t="shared" si="765"/>
        <v>0</v>
      </c>
      <c r="AS498" s="171">
        <f t="shared" si="765"/>
        <v>0</v>
      </c>
      <c r="AT498" s="171">
        <f t="shared" si="765"/>
        <v>0</v>
      </c>
      <c r="AU498" s="171">
        <f t="shared" si="766"/>
        <v>0</v>
      </c>
      <c r="AV498" s="171">
        <f t="shared" si="766"/>
        <v>0</v>
      </c>
      <c r="AW498" s="171">
        <f t="shared" si="766"/>
        <v>0</v>
      </c>
      <c r="AX498" s="171">
        <f t="shared" si="766"/>
        <v>0</v>
      </c>
      <c r="AY498" s="171">
        <f t="shared" si="766"/>
        <v>0</v>
      </c>
      <c r="AZ498" s="171">
        <f t="shared" si="766"/>
        <v>0</v>
      </c>
      <c r="BA498" s="171">
        <f t="shared" si="766"/>
        <v>0</v>
      </c>
      <c r="BB498" s="171">
        <f t="shared" si="766"/>
        <v>0</v>
      </c>
      <c r="BC498" s="171">
        <f t="shared" si="766"/>
        <v>0</v>
      </c>
      <c r="BD498" s="171">
        <f t="shared" si="766"/>
        <v>0</v>
      </c>
      <c r="BE498" s="171">
        <f t="shared" si="767"/>
        <v>0</v>
      </c>
      <c r="BF498" s="171">
        <f t="shared" si="767"/>
        <v>0</v>
      </c>
      <c r="BG498" s="171">
        <f t="shared" si="767"/>
        <v>0</v>
      </c>
      <c r="BH498" s="171">
        <f t="shared" si="767"/>
        <v>0</v>
      </c>
      <c r="BI498" s="171">
        <f t="shared" si="767"/>
        <v>0</v>
      </c>
      <c r="BJ498" s="171">
        <f t="shared" si="767"/>
        <v>0</v>
      </c>
      <c r="BK498" s="171">
        <f t="shared" si="767"/>
        <v>0</v>
      </c>
      <c r="BL498" s="171">
        <f t="shared" si="767"/>
        <v>0</v>
      </c>
      <c r="BM498" s="171">
        <f t="shared" si="767"/>
        <v>0</v>
      </c>
      <c r="BN498" s="171">
        <f t="shared" si="767"/>
        <v>0</v>
      </c>
      <c r="BO498" s="171">
        <f t="shared" si="768"/>
        <v>0</v>
      </c>
      <c r="BP498" s="171">
        <f t="shared" si="768"/>
        <v>0</v>
      </c>
      <c r="BQ498" s="171">
        <f t="shared" si="768"/>
        <v>0</v>
      </c>
      <c r="BR498" s="171">
        <f t="shared" si="768"/>
        <v>0</v>
      </c>
      <c r="BS498" s="171">
        <f t="shared" si="768"/>
        <v>0</v>
      </c>
      <c r="BT498" s="171">
        <f t="shared" si="768"/>
        <v>0</v>
      </c>
      <c r="BU498" s="171">
        <f t="shared" si="768"/>
        <v>0</v>
      </c>
      <c r="BV498" s="171">
        <f t="shared" si="768"/>
        <v>0</v>
      </c>
      <c r="BW498" s="171">
        <f t="shared" si="768"/>
        <v>0</v>
      </c>
      <c r="BX498" s="171">
        <f t="shared" si="768"/>
        <v>0</v>
      </c>
      <c r="BY498" s="171">
        <f t="shared" si="769"/>
        <v>0</v>
      </c>
      <c r="BZ498" s="171">
        <f t="shared" si="769"/>
        <v>0</v>
      </c>
      <c r="CA498" s="171">
        <f t="shared" si="769"/>
        <v>0</v>
      </c>
      <c r="CB498" s="171">
        <f t="shared" si="769"/>
        <v>0</v>
      </c>
      <c r="CC498" s="171">
        <f t="shared" si="769"/>
        <v>0</v>
      </c>
      <c r="CD498" s="171">
        <f t="shared" si="769"/>
        <v>0</v>
      </c>
      <c r="CE498" s="171">
        <f t="shared" si="769"/>
        <v>0</v>
      </c>
      <c r="CF498" s="171">
        <f t="shared" si="769"/>
        <v>0</v>
      </c>
      <c r="CG498" s="171">
        <f t="shared" si="769"/>
        <v>0</v>
      </c>
      <c r="CH498" s="171">
        <f t="shared" si="769"/>
        <v>0</v>
      </c>
      <c r="CI498" s="171">
        <f t="shared" si="769"/>
        <v>0</v>
      </c>
      <c r="CJ498" s="243"/>
      <c r="CK498" s="171">
        <f t="shared" si="779"/>
        <v>0</v>
      </c>
      <c r="CL498" s="171">
        <f t="shared" si="780"/>
        <v>0</v>
      </c>
      <c r="CM498" s="171">
        <f t="shared" si="781"/>
        <v>0</v>
      </c>
      <c r="CN498" s="171">
        <f t="shared" si="782"/>
        <v>0</v>
      </c>
      <c r="CO498" s="171">
        <f t="shared" si="783"/>
        <v>0</v>
      </c>
      <c r="CP498" s="171">
        <f t="shared" si="784"/>
        <v>0</v>
      </c>
      <c r="CQ498" s="171">
        <f t="shared" si="785"/>
        <v>0</v>
      </c>
      <c r="CR498" s="171">
        <f t="shared" si="786"/>
        <v>0</v>
      </c>
      <c r="CS498" s="171">
        <f t="shared" si="787"/>
        <v>0</v>
      </c>
      <c r="CT498" s="171">
        <f t="shared" si="788"/>
        <v>0</v>
      </c>
      <c r="CU498" s="171">
        <f t="shared" si="789"/>
        <v>0</v>
      </c>
      <c r="CV498" s="171">
        <f t="shared" si="790"/>
        <v>0</v>
      </c>
      <c r="CW498" s="171">
        <f t="shared" si="791"/>
        <v>0</v>
      </c>
      <c r="CX498" s="171">
        <f t="shared" si="792"/>
        <v>0</v>
      </c>
      <c r="CY498" s="171">
        <f t="shared" ca="1" si="793"/>
        <v>0</v>
      </c>
      <c r="CZ498" s="171">
        <f t="shared" ca="1" si="794"/>
        <v>0</v>
      </c>
      <c r="DA498" s="171">
        <f t="shared" ca="1" si="795"/>
        <v>0</v>
      </c>
      <c r="DB498" s="171">
        <f t="shared" ca="1" si="796"/>
        <v>0</v>
      </c>
      <c r="DC498" s="171">
        <f t="shared" ca="1" si="797"/>
        <v>0</v>
      </c>
      <c r="DD498" s="171">
        <f t="shared" ca="1" si="798"/>
        <v>0</v>
      </c>
      <c r="DE498" s="171">
        <f t="shared" ca="1" si="799"/>
        <v>0</v>
      </c>
      <c r="DF498" s="171">
        <f t="shared" ca="1" si="800"/>
        <v>0</v>
      </c>
      <c r="DG498" s="171">
        <f t="shared" ca="1" si="801"/>
        <v>0</v>
      </c>
      <c r="DH498" s="171">
        <f t="shared" ca="1" si="802"/>
        <v>0</v>
      </c>
      <c r="DI498" s="171">
        <f t="shared" ca="1" si="803"/>
        <v>0</v>
      </c>
      <c r="DJ498" s="171">
        <f t="shared" ca="1" si="804"/>
        <v>0</v>
      </c>
      <c r="DK498" s="171">
        <f t="shared" ca="1" si="805"/>
        <v>0</v>
      </c>
      <c r="DL498" s="171">
        <f t="shared" ca="1" si="806"/>
        <v>0</v>
      </c>
      <c r="DM498" s="171">
        <f t="shared" ca="1" si="807"/>
        <v>0</v>
      </c>
      <c r="DN498" s="171">
        <f t="shared" ca="1" si="808"/>
        <v>0</v>
      </c>
      <c r="DO498" s="171">
        <f t="shared" ca="1" si="809"/>
        <v>0</v>
      </c>
      <c r="DP498" s="171">
        <f t="shared" ca="1" si="810"/>
        <v>0</v>
      </c>
      <c r="DQ498" s="171">
        <f t="shared" ca="1" si="811"/>
        <v>0</v>
      </c>
      <c r="DR498" s="171">
        <f t="shared" ca="1" si="812"/>
        <v>0</v>
      </c>
      <c r="DS498" s="171">
        <f t="shared" ca="1" si="813"/>
        <v>0</v>
      </c>
      <c r="DT498" s="171">
        <f t="shared" ca="1" si="814"/>
        <v>0</v>
      </c>
      <c r="DU498" s="171">
        <f t="shared" ca="1" si="815"/>
        <v>0</v>
      </c>
      <c r="DV498" s="171">
        <f t="shared" ca="1" si="816"/>
        <v>0</v>
      </c>
      <c r="DW498" s="171">
        <f t="shared" ca="1" si="817"/>
        <v>0</v>
      </c>
      <c r="DX498" s="171">
        <f t="shared" ca="1" si="818"/>
        <v>0</v>
      </c>
      <c r="DY498" s="171">
        <f t="shared" ca="1" si="819"/>
        <v>0</v>
      </c>
      <c r="DZ498" s="171">
        <f t="shared" ca="1" si="820"/>
        <v>0</v>
      </c>
      <c r="EA498" s="171">
        <f t="shared" ca="1" si="821"/>
        <v>0</v>
      </c>
      <c r="EB498" s="171">
        <f t="shared" ca="1" si="822"/>
        <v>0</v>
      </c>
      <c r="EC498" s="171">
        <f t="shared" ca="1" si="823"/>
        <v>0</v>
      </c>
      <c r="ED498" s="171">
        <f t="shared" ca="1" si="824"/>
        <v>0</v>
      </c>
      <c r="EE498" s="171">
        <f t="shared" ca="1" si="825"/>
        <v>0</v>
      </c>
      <c r="EF498" s="171">
        <f t="shared" ca="1" si="826"/>
        <v>0</v>
      </c>
      <c r="EG498" s="171">
        <f t="shared" ca="1" si="827"/>
        <v>0</v>
      </c>
      <c r="EH498" s="171">
        <f t="shared" ca="1" si="828"/>
        <v>0</v>
      </c>
      <c r="EI498" s="171">
        <f t="shared" ca="1" si="829"/>
        <v>0</v>
      </c>
      <c r="EJ498" s="171">
        <f t="shared" ca="1" si="830"/>
        <v>0</v>
      </c>
      <c r="EK498" s="171">
        <f t="shared" ca="1" si="831"/>
        <v>0</v>
      </c>
      <c r="EL498" s="171">
        <f t="shared" ca="1" si="832"/>
        <v>0</v>
      </c>
      <c r="EM498" s="171">
        <f t="shared" ca="1" si="833"/>
        <v>0</v>
      </c>
      <c r="EN498" s="171">
        <f t="shared" ca="1" si="834"/>
        <v>0</v>
      </c>
      <c r="EO498" s="171">
        <f t="shared" ca="1" si="835"/>
        <v>0</v>
      </c>
      <c r="EP498" s="171">
        <f t="shared" ca="1" si="836"/>
        <v>0</v>
      </c>
      <c r="EQ498" s="171">
        <f t="shared" ca="1" si="837"/>
        <v>0</v>
      </c>
      <c r="ER498" s="171">
        <f t="shared" ca="1" si="838"/>
        <v>0</v>
      </c>
      <c r="ES498" s="171">
        <f t="shared" ca="1" si="839"/>
        <v>0</v>
      </c>
    </row>
    <row r="499" spans="3:149">
      <c r="C499" s="157"/>
      <c r="L499" s="163"/>
      <c r="M499" s="164" t="str">
        <f t="shared" si="770"/>
        <v/>
      </c>
      <c r="N499" s="164" t="str">
        <f t="shared" si="771"/>
        <v/>
      </c>
      <c r="O499" s="165" t="str">
        <f t="shared" si="772"/>
        <v/>
      </c>
      <c r="R499" s="168" t="str">
        <f t="shared" ref="R499:R516" si="840">IFERROR(IF($Q499="","",IF(($Q499-($B$9-$E499))&lt;=0,0,(Q499-($B$9-$E499)))),"NA")</f>
        <v/>
      </c>
      <c r="U499" s="171">
        <f t="shared" si="773"/>
        <v>0</v>
      </c>
      <c r="V499" s="171">
        <f t="shared" ca="1" si="774"/>
        <v>0</v>
      </c>
      <c r="W499" s="171">
        <f t="shared" ca="1" si="775"/>
        <v>0</v>
      </c>
      <c r="X499" s="172">
        <f t="shared" si="776"/>
        <v>0</v>
      </c>
      <c r="Y499" s="172" t="str">
        <f t="shared" si="777"/>
        <v/>
      </c>
      <c r="Z499" s="173">
        <f t="shared" si="778"/>
        <v>0</v>
      </c>
      <c r="AA499" s="171">
        <f t="shared" ref="AA499:AJ508" si="841">IFERROR(
    IF($T499="Equity",
        IF(AND(AA$48&gt;=$E499, AA$48&lt;=($E499+$Q499)),
$K499*$P499*(VLOOKUP($C$39,$C$37:$BL$44,MATCH($E499,$C$37:$BL$37,0),FALSE)/VLOOKUP($L499,$C$37:$BL$44,MATCH($E499,$C$37:$BL$37,0),FALSE))*
IF($B$5="Foreign Currency",VLOOKUP($C$38,$C$37:$BL$44,MATCH(AA$48,$C$37:$BL$37,0),FALSE)/VLOOKUP($C$39,$C$37:$BL$44,MATCH(AA$48,$C$37:$BL$37,0),FALSE),1),
0),
    IF($T499="Lump Sum Principal",
        IF(AND(AA$48&gt;=$E499, AA$48&lt;($E499+$Q499)),
$K499*$P499*(VLOOKUP($C$39,$C$37:$BL$44,MATCH($E499,$C$37:$BL$37,0),FALSE)/VLOOKUP($L499,$C$37:$BL$44,MATCH($E499,$C$37:$BL$37,0),FALSE))*
IF($B$5="Foreign Currency",VLOOKUP($C$38,$C$37:$BL$44,MATCH(AA$48,$C$37:$BL$37,0),FALSE)/VLOOKUP($C$39,$C$37:$BL$44,MATCH(AA$48,$C$37:$BL$37,0),FALSE),1),
        IF(AA$48=($E499+$Q499),
$K499*(1+$P499)*(VLOOKUP($C$39,$C$37:$BL$44,MATCH($E499,$C$37:$BL$37,0),FALSE)/VLOOKUP($L499,$C$37:$BL$44,MATCH($E499,$C$37:$BL$37,0),FALSE))*
IF($B$5="Foreign Currency",VLOOKUP($C$38,$C$37:$BL$44,MATCH(AA$48,$C$37:$BL$37,0),FALSE)/VLOOKUP($C$39,$C$37:$BL$44,MATCH(AA$48,$C$37:$BL$37,0),FALSE),1),
0)),
    IF($T499="Lump Sum Principal and Interest",
        IF(AA$48=($E499+$Q499),
$K499*((1+$P499)^$Q499)*(VLOOKUP($C$39,$C$37:$BL$44,MATCH($E499,$C$37:$BL$37,0),FALSE)/VLOOKUP($L499,$C$37:$BL$44,MATCH($E499,$C$37:$BL$37,0),FALSE))*
IF($B$5="Foreign Currency",VLOOKUP($C$38,$C$37:$BL$44,MATCH(AA$48,$C$37:$BL$37,0),FALSE)/VLOOKUP($C$39,$C$37:$BL$44,MATCH(AA$48,$C$37:$BL$37,0),FALSE),1),
0),
    IF($T499="EPP with Grace Years for Principal",
        IF(AND(AA$48&gt;=$E499, AA$48&lt;($E499+$S499)),
$K499*$P499*(VLOOKUP($C$39,$C$37:$BL$44,MATCH($E499,$C$37:$BL$37,0),FALSE)/VLOOKUP($L499,$C$37:$BL$44,MATCH($E499,$C$37:$BL$37,0),FALSE))*
IF($B$5="Foreign Currency",VLOOKUP($C$38,$C$37:$BL$44,MATCH(AA$48,$C$37:$BL$37,0),FALSE)/VLOOKUP($C$39,$C$37:$BL$44,MATCH(AA$48,$C$37:$BL$37,0),FALSE),1),
        IF(AND(AA$48&gt;=($E499+$S499), AA$48&lt;=($E499+$Q499)),
-PMT($P499,($Q499-$S499+1),($K499*(VLOOKUP($C$39,$C$37:$BL$44,MATCH($E499,$C$37:$BL$37,0),FALSE)/VLOOKUP($L499,$C$37:$BL$44,MATCH($E499,$C$37:$BL$37,0),FALSE))*
IF($B$5="Foreign Currency",VLOOKUP($C$38,$C$37:$BL$44,MATCH(AA$48,$C$37:$BL$37,0),FALSE)/VLOOKUP($C$39,$C$37:$BL$44,MATCH(AA$48,$C$37:$BL$37,0),FALSE),1)),0),
0)),
    IF($T499="Equal Principal Payments (EPP)",
        IF(AND(AA$48&gt;=$E499, AA$48&lt;=($E499+$Q499)),
-PMT($P499,($Q499-$S499+1),($K499*(VLOOKUP($C$39,$C$37:$BL$44,MATCH($E499,$C$37:$BL$37,0),FALSE)/VLOOKUP($L499,$C$37:$BL$44,MATCH($E499,$C$37:$BL$37,0),FALSE))*
IF($B$5="Foreign Currency",VLOOKUP($C$38,$C$37:$BL$44,MATCH(AA$48,$C$37:$BL$37,0),FALSE)/VLOOKUP($C$39,$C$37:$BL$44,MATCH(AA$48,$C$37:$BL$37,0),FALSE),1)),0), 0),
    IF($T499="EPP with Grace Years for Principal and on Interest",
        IF(AND(AA$48&gt;=($E499+$S499), AA$48&lt;=($E499+$Q499)),
-PMT($P499,($Q499-$S499+1),($K499*(VLOOKUP($C$39,$C$37:$BL$44,MATCH($E499,$C$37:$BL$37,0),FALSE)/VLOOKUP($L499,$C$37:$BL$44,MATCH($E499,$C$37:$BL$37,0),FALSE))*
IF($B$5="Foreign Currency",VLOOKUP($C$38,$C$37:$BL$44,MATCH(AA$48,$C$37:$BL$37,0),FALSE)/VLOOKUP($C$39,$C$37:$BL$44,MATCH(AA$48,$C$37:$BL$37,0),FALSE),1))*((1+$P499)^$S499),0), 0),
    0)))))),"")</f>
        <v>0</v>
      </c>
      <c r="AB499" s="171">
        <f t="shared" si="841"/>
        <v>0</v>
      </c>
      <c r="AC499" s="171">
        <f t="shared" si="841"/>
        <v>0</v>
      </c>
      <c r="AD499" s="171">
        <f t="shared" si="841"/>
        <v>0</v>
      </c>
      <c r="AE499" s="171">
        <f t="shared" si="841"/>
        <v>0</v>
      </c>
      <c r="AF499" s="171">
        <f t="shared" si="841"/>
        <v>0</v>
      </c>
      <c r="AG499" s="171">
        <f t="shared" si="841"/>
        <v>0</v>
      </c>
      <c r="AH499" s="171">
        <f t="shared" si="841"/>
        <v>0</v>
      </c>
      <c r="AI499" s="171">
        <f t="shared" si="841"/>
        <v>0</v>
      </c>
      <c r="AJ499" s="171">
        <f t="shared" si="841"/>
        <v>0</v>
      </c>
      <c r="AK499" s="171">
        <f t="shared" ref="AK499:AT508" si="842">IFERROR(
    IF($T499="Equity",
        IF(AND(AK$48&gt;=$E499, AK$48&lt;=($E499+$Q499)),
$K499*$P499*(VLOOKUP($C$39,$C$37:$BL$44,MATCH($E499,$C$37:$BL$37,0),FALSE)/VLOOKUP($L499,$C$37:$BL$44,MATCH($E499,$C$37:$BL$37,0),FALSE))*
IF($B$5="Foreign Currency",VLOOKUP($C$38,$C$37:$BL$44,MATCH(AK$48,$C$37:$BL$37,0),FALSE)/VLOOKUP($C$39,$C$37:$BL$44,MATCH(AK$48,$C$37:$BL$37,0),FALSE),1),
0),
    IF($T499="Lump Sum Principal",
        IF(AND(AK$48&gt;=$E499, AK$48&lt;($E499+$Q499)),
$K499*$P499*(VLOOKUP($C$39,$C$37:$BL$44,MATCH($E499,$C$37:$BL$37,0),FALSE)/VLOOKUP($L499,$C$37:$BL$44,MATCH($E499,$C$37:$BL$37,0),FALSE))*
IF($B$5="Foreign Currency",VLOOKUP($C$38,$C$37:$BL$44,MATCH(AK$48,$C$37:$BL$37,0),FALSE)/VLOOKUP($C$39,$C$37:$BL$44,MATCH(AK$48,$C$37:$BL$37,0),FALSE),1),
        IF(AK$48=($E499+$Q499),
$K499*(1+$P499)*(VLOOKUP($C$39,$C$37:$BL$44,MATCH($E499,$C$37:$BL$37,0),FALSE)/VLOOKUP($L499,$C$37:$BL$44,MATCH($E499,$C$37:$BL$37,0),FALSE))*
IF($B$5="Foreign Currency",VLOOKUP($C$38,$C$37:$BL$44,MATCH(AK$48,$C$37:$BL$37,0),FALSE)/VLOOKUP($C$39,$C$37:$BL$44,MATCH(AK$48,$C$37:$BL$37,0),FALSE),1),
0)),
    IF($T499="Lump Sum Principal and Interest",
        IF(AK$48=($E499+$Q499),
$K499*((1+$P499)^$Q499)*(VLOOKUP($C$39,$C$37:$BL$44,MATCH($E499,$C$37:$BL$37,0),FALSE)/VLOOKUP($L499,$C$37:$BL$44,MATCH($E499,$C$37:$BL$37,0),FALSE))*
IF($B$5="Foreign Currency",VLOOKUP($C$38,$C$37:$BL$44,MATCH(AK$48,$C$37:$BL$37,0),FALSE)/VLOOKUP($C$39,$C$37:$BL$44,MATCH(AK$48,$C$37:$BL$37,0),FALSE),1),
0),
    IF($T499="EPP with Grace Years for Principal",
        IF(AND(AK$48&gt;=$E499, AK$48&lt;($E499+$S499)),
$K499*$P499*(VLOOKUP($C$39,$C$37:$BL$44,MATCH($E499,$C$37:$BL$37,0),FALSE)/VLOOKUP($L499,$C$37:$BL$44,MATCH($E499,$C$37:$BL$37,0),FALSE))*
IF($B$5="Foreign Currency",VLOOKUP($C$38,$C$37:$BL$44,MATCH(AK$48,$C$37:$BL$37,0),FALSE)/VLOOKUP($C$39,$C$37:$BL$44,MATCH(AK$48,$C$37:$BL$37,0),FALSE),1),
        IF(AND(AK$48&gt;=($E499+$S499), AK$48&lt;=($E499+$Q499)),
-PMT($P499,($Q499-$S499+1),($K499*(VLOOKUP($C$39,$C$37:$BL$44,MATCH($E499,$C$37:$BL$37,0),FALSE)/VLOOKUP($L499,$C$37:$BL$44,MATCH($E499,$C$37:$BL$37,0),FALSE))*
IF($B$5="Foreign Currency",VLOOKUP($C$38,$C$37:$BL$44,MATCH(AK$48,$C$37:$BL$37,0),FALSE)/VLOOKUP($C$39,$C$37:$BL$44,MATCH(AK$48,$C$37:$BL$37,0),FALSE),1)),0),
0)),
    IF($T499="Equal Principal Payments (EPP)",
        IF(AND(AK$48&gt;=$E499, AK$48&lt;=($E499+$Q499)),
-PMT($P499,($Q499-$S499+1),($K499*(VLOOKUP($C$39,$C$37:$BL$44,MATCH($E499,$C$37:$BL$37,0),FALSE)/VLOOKUP($L499,$C$37:$BL$44,MATCH($E499,$C$37:$BL$37,0),FALSE))*
IF($B$5="Foreign Currency",VLOOKUP($C$38,$C$37:$BL$44,MATCH(AK$48,$C$37:$BL$37,0),FALSE)/VLOOKUP($C$39,$C$37:$BL$44,MATCH(AK$48,$C$37:$BL$37,0),FALSE),1)),0), 0),
    IF($T499="EPP with Grace Years for Principal and on Interest",
        IF(AND(AK$48&gt;=($E499+$S499), AK$48&lt;=($E499+$Q499)),
-PMT($P499,($Q499-$S499+1),($K499*(VLOOKUP($C$39,$C$37:$BL$44,MATCH($E499,$C$37:$BL$37,0),FALSE)/VLOOKUP($L499,$C$37:$BL$44,MATCH($E499,$C$37:$BL$37,0),FALSE))*
IF($B$5="Foreign Currency",VLOOKUP($C$38,$C$37:$BL$44,MATCH(AK$48,$C$37:$BL$37,0),FALSE)/VLOOKUP($C$39,$C$37:$BL$44,MATCH(AK$48,$C$37:$BL$37,0),FALSE),1))*((1+$P499)^$S499),0), 0),
    0)))))),"")</f>
        <v>0</v>
      </c>
      <c r="AL499" s="171">
        <f t="shared" si="842"/>
        <v>0</v>
      </c>
      <c r="AM499" s="171">
        <f t="shared" si="842"/>
        <v>0</v>
      </c>
      <c r="AN499" s="171">
        <f t="shared" si="842"/>
        <v>0</v>
      </c>
      <c r="AO499" s="171">
        <f t="shared" si="842"/>
        <v>0</v>
      </c>
      <c r="AP499" s="171">
        <f t="shared" si="842"/>
        <v>0</v>
      </c>
      <c r="AQ499" s="171">
        <f t="shared" si="842"/>
        <v>0</v>
      </c>
      <c r="AR499" s="171">
        <f t="shared" si="842"/>
        <v>0</v>
      </c>
      <c r="AS499" s="171">
        <f t="shared" si="842"/>
        <v>0</v>
      </c>
      <c r="AT499" s="171">
        <f t="shared" si="842"/>
        <v>0</v>
      </c>
      <c r="AU499" s="171">
        <f t="shared" ref="AU499:BD508" si="843">IFERROR(
    IF($T499="Equity",
        IF(AND(AU$48&gt;=$E499, AU$48&lt;=($E499+$Q499)),
$K499*$P499*(VLOOKUP($C$39,$C$37:$BL$44,MATCH($E499,$C$37:$BL$37,0),FALSE)/VLOOKUP($L499,$C$37:$BL$44,MATCH($E499,$C$37:$BL$37,0),FALSE))*
IF($B$5="Foreign Currency",VLOOKUP($C$38,$C$37:$BL$44,MATCH(AU$48,$C$37:$BL$37,0),FALSE)/VLOOKUP($C$39,$C$37:$BL$44,MATCH(AU$48,$C$37:$BL$37,0),FALSE),1),
0),
    IF($T499="Lump Sum Principal",
        IF(AND(AU$48&gt;=$E499, AU$48&lt;($E499+$Q499)),
$K499*$P499*(VLOOKUP($C$39,$C$37:$BL$44,MATCH($E499,$C$37:$BL$37,0),FALSE)/VLOOKUP($L499,$C$37:$BL$44,MATCH($E499,$C$37:$BL$37,0),FALSE))*
IF($B$5="Foreign Currency",VLOOKUP($C$38,$C$37:$BL$44,MATCH(AU$48,$C$37:$BL$37,0),FALSE)/VLOOKUP($C$39,$C$37:$BL$44,MATCH(AU$48,$C$37:$BL$37,0),FALSE),1),
        IF(AU$48=($E499+$Q499),
$K499*(1+$P499)*(VLOOKUP($C$39,$C$37:$BL$44,MATCH($E499,$C$37:$BL$37,0),FALSE)/VLOOKUP($L499,$C$37:$BL$44,MATCH($E499,$C$37:$BL$37,0),FALSE))*
IF($B$5="Foreign Currency",VLOOKUP($C$38,$C$37:$BL$44,MATCH(AU$48,$C$37:$BL$37,0),FALSE)/VLOOKUP($C$39,$C$37:$BL$44,MATCH(AU$48,$C$37:$BL$37,0),FALSE),1),
0)),
    IF($T499="Lump Sum Principal and Interest",
        IF(AU$48=($E499+$Q499),
$K499*((1+$P499)^$Q499)*(VLOOKUP($C$39,$C$37:$BL$44,MATCH($E499,$C$37:$BL$37,0),FALSE)/VLOOKUP($L499,$C$37:$BL$44,MATCH($E499,$C$37:$BL$37,0),FALSE))*
IF($B$5="Foreign Currency",VLOOKUP($C$38,$C$37:$BL$44,MATCH(AU$48,$C$37:$BL$37,0),FALSE)/VLOOKUP($C$39,$C$37:$BL$44,MATCH(AU$48,$C$37:$BL$37,0),FALSE),1),
0),
    IF($T499="EPP with Grace Years for Principal",
        IF(AND(AU$48&gt;=$E499, AU$48&lt;($E499+$S499)),
$K499*$P499*(VLOOKUP($C$39,$C$37:$BL$44,MATCH($E499,$C$37:$BL$37,0),FALSE)/VLOOKUP($L499,$C$37:$BL$44,MATCH($E499,$C$37:$BL$37,0),FALSE))*
IF($B$5="Foreign Currency",VLOOKUP($C$38,$C$37:$BL$44,MATCH(AU$48,$C$37:$BL$37,0),FALSE)/VLOOKUP($C$39,$C$37:$BL$44,MATCH(AU$48,$C$37:$BL$37,0),FALSE),1),
        IF(AND(AU$48&gt;=($E499+$S499), AU$48&lt;=($E499+$Q499)),
-PMT($P499,($Q499-$S499+1),($K499*(VLOOKUP($C$39,$C$37:$BL$44,MATCH($E499,$C$37:$BL$37,0),FALSE)/VLOOKUP($L499,$C$37:$BL$44,MATCH($E499,$C$37:$BL$37,0),FALSE))*
IF($B$5="Foreign Currency",VLOOKUP($C$38,$C$37:$BL$44,MATCH(AU$48,$C$37:$BL$37,0),FALSE)/VLOOKUP($C$39,$C$37:$BL$44,MATCH(AU$48,$C$37:$BL$37,0),FALSE),1)),0),
0)),
    IF($T499="Equal Principal Payments (EPP)",
        IF(AND(AU$48&gt;=$E499, AU$48&lt;=($E499+$Q499)),
-PMT($P499,($Q499-$S499+1),($K499*(VLOOKUP($C$39,$C$37:$BL$44,MATCH($E499,$C$37:$BL$37,0),FALSE)/VLOOKUP($L499,$C$37:$BL$44,MATCH($E499,$C$37:$BL$37,0),FALSE))*
IF($B$5="Foreign Currency",VLOOKUP($C$38,$C$37:$BL$44,MATCH(AU$48,$C$37:$BL$37,0),FALSE)/VLOOKUP($C$39,$C$37:$BL$44,MATCH(AU$48,$C$37:$BL$37,0),FALSE),1)),0), 0),
    IF($T499="EPP with Grace Years for Principal and on Interest",
        IF(AND(AU$48&gt;=($E499+$S499), AU$48&lt;=($E499+$Q499)),
-PMT($P499,($Q499-$S499+1),($K499*(VLOOKUP($C$39,$C$37:$BL$44,MATCH($E499,$C$37:$BL$37,0),FALSE)/VLOOKUP($L499,$C$37:$BL$44,MATCH($E499,$C$37:$BL$37,0),FALSE))*
IF($B$5="Foreign Currency",VLOOKUP($C$38,$C$37:$BL$44,MATCH(AU$48,$C$37:$BL$37,0),FALSE)/VLOOKUP($C$39,$C$37:$BL$44,MATCH(AU$48,$C$37:$BL$37,0),FALSE),1))*((1+$P499)^$S499),0), 0),
    0)))))),"")</f>
        <v>0</v>
      </c>
      <c r="AV499" s="171">
        <f t="shared" si="843"/>
        <v>0</v>
      </c>
      <c r="AW499" s="171">
        <f t="shared" si="843"/>
        <v>0</v>
      </c>
      <c r="AX499" s="171">
        <f t="shared" si="843"/>
        <v>0</v>
      </c>
      <c r="AY499" s="171">
        <f t="shared" si="843"/>
        <v>0</v>
      </c>
      <c r="AZ499" s="171">
        <f t="shared" si="843"/>
        <v>0</v>
      </c>
      <c r="BA499" s="171">
        <f t="shared" si="843"/>
        <v>0</v>
      </c>
      <c r="BB499" s="171">
        <f t="shared" si="843"/>
        <v>0</v>
      </c>
      <c r="BC499" s="171">
        <f t="shared" si="843"/>
        <v>0</v>
      </c>
      <c r="BD499" s="171">
        <f t="shared" si="843"/>
        <v>0</v>
      </c>
      <c r="BE499" s="171">
        <f t="shared" ref="BE499:BN508" si="844">IFERROR(
    IF($T499="Equity",
        IF(AND(BE$48&gt;=$E499, BE$48&lt;=($E499+$Q499)),
$K499*$P499*(VLOOKUP($C$39,$C$37:$BL$44,MATCH($E499,$C$37:$BL$37,0),FALSE)/VLOOKUP($L499,$C$37:$BL$44,MATCH($E499,$C$37:$BL$37,0),FALSE))*
IF($B$5="Foreign Currency",VLOOKUP($C$38,$C$37:$BL$44,MATCH(BE$48,$C$37:$BL$37,0),FALSE)/VLOOKUP($C$39,$C$37:$BL$44,MATCH(BE$48,$C$37:$BL$37,0),FALSE),1),
0),
    IF($T499="Lump Sum Principal",
        IF(AND(BE$48&gt;=$E499, BE$48&lt;($E499+$Q499)),
$K499*$P499*(VLOOKUP($C$39,$C$37:$BL$44,MATCH($E499,$C$37:$BL$37,0),FALSE)/VLOOKUP($L499,$C$37:$BL$44,MATCH($E499,$C$37:$BL$37,0),FALSE))*
IF($B$5="Foreign Currency",VLOOKUP($C$38,$C$37:$BL$44,MATCH(BE$48,$C$37:$BL$37,0),FALSE)/VLOOKUP($C$39,$C$37:$BL$44,MATCH(BE$48,$C$37:$BL$37,0),FALSE),1),
        IF(BE$48=($E499+$Q499),
$K499*(1+$P499)*(VLOOKUP($C$39,$C$37:$BL$44,MATCH($E499,$C$37:$BL$37,0),FALSE)/VLOOKUP($L499,$C$37:$BL$44,MATCH($E499,$C$37:$BL$37,0),FALSE))*
IF($B$5="Foreign Currency",VLOOKUP($C$38,$C$37:$BL$44,MATCH(BE$48,$C$37:$BL$37,0),FALSE)/VLOOKUP($C$39,$C$37:$BL$44,MATCH(BE$48,$C$37:$BL$37,0),FALSE),1),
0)),
    IF($T499="Lump Sum Principal and Interest",
        IF(BE$48=($E499+$Q499),
$K499*((1+$P499)^$Q499)*(VLOOKUP($C$39,$C$37:$BL$44,MATCH($E499,$C$37:$BL$37,0),FALSE)/VLOOKUP($L499,$C$37:$BL$44,MATCH($E499,$C$37:$BL$37,0),FALSE))*
IF($B$5="Foreign Currency",VLOOKUP($C$38,$C$37:$BL$44,MATCH(BE$48,$C$37:$BL$37,0),FALSE)/VLOOKUP($C$39,$C$37:$BL$44,MATCH(BE$48,$C$37:$BL$37,0),FALSE),1),
0),
    IF($T499="EPP with Grace Years for Principal",
        IF(AND(BE$48&gt;=$E499, BE$48&lt;($E499+$S499)),
$K499*$P499*(VLOOKUP($C$39,$C$37:$BL$44,MATCH($E499,$C$37:$BL$37,0),FALSE)/VLOOKUP($L499,$C$37:$BL$44,MATCH($E499,$C$37:$BL$37,0),FALSE))*
IF($B$5="Foreign Currency",VLOOKUP($C$38,$C$37:$BL$44,MATCH(BE$48,$C$37:$BL$37,0),FALSE)/VLOOKUP($C$39,$C$37:$BL$44,MATCH(BE$48,$C$37:$BL$37,0),FALSE),1),
        IF(AND(BE$48&gt;=($E499+$S499), BE$48&lt;=($E499+$Q499)),
-PMT($P499,($Q499-$S499+1),($K499*(VLOOKUP($C$39,$C$37:$BL$44,MATCH($E499,$C$37:$BL$37,0),FALSE)/VLOOKUP($L499,$C$37:$BL$44,MATCH($E499,$C$37:$BL$37,0),FALSE))*
IF($B$5="Foreign Currency",VLOOKUP($C$38,$C$37:$BL$44,MATCH(BE$48,$C$37:$BL$37,0),FALSE)/VLOOKUP($C$39,$C$37:$BL$44,MATCH(BE$48,$C$37:$BL$37,0),FALSE),1)),0),
0)),
    IF($T499="Equal Principal Payments (EPP)",
        IF(AND(BE$48&gt;=$E499, BE$48&lt;=($E499+$Q499)),
-PMT($P499,($Q499-$S499+1),($K499*(VLOOKUP($C$39,$C$37:$BL$44,MATCH($E499,$C$37:$BL$37,0),FALSE)/VLOOKUP($L499,$C$37:$BL$44,MATCH($E499,$C$37:$BL$37,0),FALSE))*
IF($B$5="Foreign Currency",VLOOKUP($C$38,$C$37:$BL$44,MATCH(BE$48,$C$37:$BL$37,0),FALSE)/VLOOKUP($C$39,$C$37:$BL$44,MATCH(BE$48,$C$37:$BL$37,0),FALSE),1)),0), 0),
    IF($T499="EPP with Grace Years for Principal and on Interest",
        IF(AND(BE$48&gt;=($E499+$S499), BE$48&lt;=($E499+$Q499)),
-PMT($P499,($Q499-$S499+1),($K499*(VLOOKUP($C$39,$C$37:$BL$44,MATCH($E499,$C$37:$BL$37,0),FALSE)/VLOOKUP($L499,$C$37:$BL$44,MATCH($E499,$C$37:$BL$37,0),FALSE))*
IF($B$5="Foreign Currency",VLOOKUP($C$38,$C$37:$BL$44,MATCH(BE$48,$C$37:$BL$37,0),FALSE)/VLOOKUP($C$39,$C$37:$BL$44,MATCH(BE$48,$C$37:$BL$37,0),FALSE),1))*((1+$P499)^$S499),0), 0),
    0)))))),"")</f>
        <v>0</v>
      </c>
      <c r="BF499" s="171">
        <f t="shared" si="844"/>
        <v>0</v>
      </c>
      <c r="BG499" s="171">
        <f t="shared" si="844"/>
        <v>0</v>
      </c>
      <c r="BH499" s="171">
        <f t="shared" si="844"/>
        <v>0</v>
      </c>
      <c r="BI499" s="171">
        <f t="shared" si="844"/>
        <v>0</v>
      </c>
      <c r="BJ499" s="171">
        <f t="shared" si="844"/>
        <v>0</v>
      </c>
      <c r="BK499" s="171">
        <f t="shared" si="844"/>
        <v>0</v>
      </c>
      <c r="BL499" s="171">
        <f t="shared" si="844"/>
        <v>0</v>
      </c>
      <c r="BM499" s="171">
        <f t="shared" si="844"/>
        <v>0</v>
      </c>
      <c r="BN499" s="171">
        <f t="shared" si="844"/>
        <v>0</v>
      </c>
      <c r="BO499" s="171">
        <f t="shared" ref="BO499:BX508" si="845">IFERROR(
    IF($T499="Equity",
        IF(AND(BO$48&gt;=$E499, BO$48&lt;=($E499+$Q499)),
$K499*$P499*(VLOOKUP($C$39,$C$37:$BL$44,MATCH($E499,$C$37:$BL$37,0),FALSE)/VLOOKUP($L499,$C$37:$BL$44,MATCH($E499,$C$37:$BL$37,0),FALSE))*
IF($B$5="Foreign Currency",VLOOKUP($C$38,$C$37:$BL$44,MATCH(BO$48,$C$37:$BL$37,0),FALSE)/VLOOKUP($C$39,$C$37:$BL$44,MATCH(BO$48,$C$37:$BL$37,0),FALSE),1),
0),
    IF($T499="Lump Sum Principal",
        IF(AND(BO$48&gt;=$E499, BO$48&lt;($E499+$Q499)),
$K499*$P499*(VLOOKUP($C$39,$C$37:$BL$44,MATCH($E499,$C$37:$BL$37,0),FALSE)/VLOOKUP($L499,$C$37:$BL$44,MATCH($E499,$C$37:$BL$37,0),FALSE))*
IF($B$5="Foreign Currency",VLOOKUP($C$38,$C$37:$BL$44,MATCH(BO$48,$C$37:$BL$37,0),FALSE)/VLOOKUP($C$39,$C$37:$BL$44,MATCH(BO$48,$C$37:$BL$37,0),FALSE),1),
        IF(BO$48=($E499+$Q499),
$K499*(1+$P499)*(VLOOKUP($C$39,$C$37:$BL$44,MATCH($E499,$C$37:$BL$37,0),FALSE)/VLOOKUP($L499,$C$37:$BL$44,MATCH($E499,$C$37:$BL$37,0),FALSE))*
IF($B$5="Foreign Currency",VLOOKUP($C$38,$C$37:$BL$44,MATCH(BO$48,$C$37:$BL$37,0),FALSE)/VLOOKUP($C$39,$C$37:$BL$44,MATCH(BO$48,$C$37:$BL$37,0),FALSE),1),
0)),
    IF($T499="Lump Sum Principal and Interest",
        IF(BO$48=($E499+$Q499),
$K499*((1+$P499)^$Q499)*(VLOOKUP($C$39,$C$37:$BL$44,MATCH($E499,$C$37:$BL$37,0),FALSE)/VLOOKUP($L499,$C$37:$BL$44,MATCH($E499,$C$37:$BL$37,0),FALSE))*
IF($B$5="Foreign Currency",VLOOKUP($C$38,$C$37:$BL$44,MATCH(BO$48,$C$37:$BL$37,0),FALSE)/VLOOKUP($C$39,$C$37:$BL$44,MATCH(BO$48,$C$37:$BL$37,0),FALSE),1),
0),
    IF($T499="EPP with Grace Years for Principal",
        IF(AND(BO$48&gt;=$E499, BO$48&lt;($E499+$S499)),
$K499*$P499*(VLOOKUP($C$39,$C$37:$BL$44,MATCH($E499,$C$37:$BL$37,0),FALSE)/VLOOKUP($L499,$C$37:$BL$44,MATCH($E499,$C$37:$BL$37,0),FALSE))*
IF($B$5="Foreign Currency",VLOOKUP($C$38,$C$37:$BL$44,MATCH(BO$48,$C$37:$BL$37,0),FALSE)/VLOOKUP($C$39,$C$37:$BL$44,MATCH(BO$48,$C$37:$BL$37,0),FALSE),1),
        IF(AND(BO$48&gt;=($E499+$S499), BO$48&lt;=($E499+$Q499)),
-PMT($P499,($Q499-$S499+1),($K499*(VLOOKUP($C$39,$C$37:$BL$44,MATCH($E499,$C$37:$BL$37,0),FALSE)/VLOOKUP($L499,$C$37:$BL$44,MATCH($E499,$C$37:$BL$37,0),FALSE))*
IF($B$5="Foreign Currency",VLOOKUP($C$38,$C$37:$BL$44,MATCH(BO$48,$C$37:$BL$37,0),FALSE)/VLOOKUP($C$39,$C$37:$BL$44,MATCH(BO$48,$C$37:$BL$37,0),FALSE),1)),0),
0)),
    IF($T499="Equal Principal Payments (EPP)",
        IF(AND(BO$48&gt;=$E499, BO$48&lt;=($E499+$Q499)),
-PMT($P499,($Q499-$S499+1),($K499*(VLOOKUP($C$39,$C$37:$BL$44,MATCH($E499,$C$37:$BL$37,0),FALSE)/VLOOKUP($L499,$C$37:$BL$44,MATCH($E499,$C$37:$BL$37,0),FALSE))*
IF($B$5="Foreign Currency",VLOOKUP($C$38,$C$37:$BL$44,MATCH(BO$48,$C$37:$BL$37,0),FALSE)/VLOOKUP($C$39,$C$37:$BL$44,MATCH(BO$48,$C$37:$BL$37,0),FALSE),1)),0), 0),
    IF($T499="EPP with Grace Years for Principal and on Interest",
        IF(AND(BO$48&gt;=($E499+$S499), BO$48&lt;=($E499+$Q499)),
-PMT($P499,($Q499-$S499+1),($K499*(VLOOKUP($C$39,$C$37:$BL$44,MATCH($E499,$C$37:$BL$37,0),FALSE)/VLOOKUP($L499,$C$37:$BL$44,MATCH($E499,$C$37:$BL$37,0),FALSE))*
IF($B$5="Foreign Currency",VLOOKUP($C$38,$C$37:$BL$44,MATCH(BO$48,$C$37:$BL$37,0),FALSE)/VLOOKUP($C$39,$C$37:$BL$44,MATCH(BO$48,$C$37:$BL$37,0),FALSE),1))*((1+$P499)^$S499),0), 0),
    0)))))),"")</f>
        <v>0</v>
      </c>
      <c r="BP499" s="171">
        <f t="shared" si="845"/>
        <v>0</v>
      </c>
      <c r="BQ499" s="171">
        <f t="shared" si="845"/>
        <v>0</v>
      </c>
      <c r="BR499" s="171">
        <f t="shared" si="845"/>
        <v>0</v>
      </c>
      <c r="BS499" s="171">
        <f t="shared" si="845"/>
        <v>0</v>
      </c>
      <c r="BT499" s="171">
        <f t="shared" si="845"/>
        <v>0</v>
      </c>
      <c r="BU499" s="171">
        <f t="shared" si="845"/>
        <v>0</v>
      </c>
      <c r="BV499" s="171">
        <f t="shared" si="845"/>
        <v>0</v>
      </c>
      <c r="BW499" s="171">
        <f t="shared" si="845"/>
        <v>0</v>
      </c>
      <c r="BX499" s="171">
        <f t="shared" si="845"/>
        <v>0</v>
      </c>
      <c r="BY499" s="171">
        <f t="shared" ref="BY499:CI508" si="846">IFERROR(
    IF($T499="Equity",
        IF(AND(BY$48&gt;=$E499, BY$48&lt;=($E499+$Q499)),
$K499*$P499*(VLOOKUP($C$39,$C$37:$BL$44,MATCH($E499,$C$37:$BL$37,0),FALSE)/VLOOKUP($L499,$C$37:$BL$44,MATCH($E499,$C$37:$BL$37,0),FALSE))*
IF($B$5="Foreign Currency",VLOOKUP($C$38,$C$37:$BL$44,MATCH(BY$48,$C$37:$BL$37,0),FALSE)/VLOOKUP($C$39,$C$37:$BL$44,MATCH(BY$48,$C$37:$BL$37,0),FALSE),1),
0),
    IF($T499="Lump Sum Principal",
        IF(AND(BY$48&gt;=$E499, BY$48&lt;($E499+$Q499)),
$K499*$P499*(VLOOKUP($C$39,$C$37:$BL$44,MATCH($E499,$C$37:$BL$37,0),FALSE)/VLOOKUP($L499,$C$37:$BL$44,MATCH($E499,$C$37:$BL$37,0),FALSE))*
IF($B$5="Foreign Currency",VLOOKUP($C$38,$C$37:$BL$44,MATCH(BY$48,$C$37:$BL$37,0),FALSE)/VLOOKUP($C$39,$C$37:$BL$44,MATCH(BY$48,$C$37:$BL$37,0),FALSE),1),
        IF(BY$48=($E499+$Q499),
$K499*(1+$P499)*(VLOOKUP($C$39,$C$37:$BL$44,MATCH($E499,$C$37:$BL$37,0),FALSE)/VLOOKUP($L499,$C$37:$BL$44,MATCH($E499,$C$37:$BL$37,0),FALSE))*
IF($B$5="Foreign Currency",VLOOKUP($C$38,$C$37:$BL$44,MATCH(BY$48,$C$37:$BL$37,0),FALSE)/VLOOKUP($C$39,$C$37:$BL$44,MATCH(BY$48,$C$37:$BL$37,0),FALSE),1),
0)),
    IF($T499="Lump Sum Principal and Interest",
        IF(BY$48=($E499+$Q499),
$K499*((1+$P499)^$Q499)*(VLOOKUP($C$39,$C$37:$BL$44,MATCH($E499,$C$37:$BL$37,0),FALSE)/VLOOKUP($L499,$C$37:$BL$44,MATCH($E499,$C$37:$BL$37,0),FALSE))*
IF($B$5="Foreign Currency",VLOOKUP($C$38,$C$37:$BL$44,MATCH(BY$48,$C$37:$BL$37,0),FALSE)/VLOOKUP($C$39,$C$37:$BL$44,MATCH(BY$48,$C$37:$BL$37,0),FALSE),1),
0),
    IF($T499="EPP with Grace Years for Principal",
        IF(AND(BY$48&gt;=$E499, BY$48&lt;($E499+$S499)),
$K499*$P499*(VLOOKUP($C$39,$C$37:$BL$44,MATCH($E499,$C$37:$BL$37,0),FALSE)/VLOOKUP($L499,$C$37:$BL$44,MATCH($E499,$C$37:$BL$37,0),FALSE))*
IF($B$5="Foreign Currency",VLOOKUP($C$38,$C$37:$BL$44,MATCH(BY$48,$C$37:$BL$37,0),FALSE)/VLOOKUP($C$39,$C$37:$BL$44,MATCH(BY$48,$C$37:$BL$37,0),FALSE),1),
        IF(AND(BY$48&gt;=($E499+$S499), BY$48&lt;=($E499+$Q499)),
-PMT($P499,($Q499-$S499+1),($K499*(VLOOKUP($C$39,$C$37:$BL$44,MATCH($E499,$C$37:$BL$37,0),FALSE)/VLOOKUP($L499,$C$37:$BL$44,MATCH($E499,$C$37:$BL$37,0),FALSE))*
IF($B$5="Foreign Currency",VLOOKUP($C$38,$C$37:$BL$44,MATCH(BY$48,$C$37:$BL$37,0),FALSE)/VLOOKUP($C$39,$C$37:$BL$44,MATCH(BY$48,$C$37:$BL$37,0),FALSE),1)),0),
0)),
    IF($T499="Equal Principal Payments (EPP)",
        IF(AND(BY$48&gt;=$E499, BY$48&lt;=($E499+$Q499)),
-PMT($P499,($Q499-$S499+1),($K499*(VLOOKUP($C$39,$C$37:$BL$44,MATCH($E499,$C$37:$BL$37,0),FALSE)/VLOOKUP($L499,$C$37:$BL$44,MATCH($E499,$C$37:$BL$37,0),FALSE))*
IF($B$5="Foreign Currency",VLOOKUP($C$38,$C$37:$BL$44,MATCH(BY$48,$C$37:$BL$37,0),FALSE)/VLOOKUP($C$39,$C$37:$BL$44,MATCH(BY$48,$C$37:$BL$37,0),FALSE),1)),0), 0),
    IF($T499="EPP with Grace Years for Principal and on Interest",
        IF(AND(BY$48&gt;=($E499+$S499), BY$48&lt;=($E499+$Q499)),
-PMT($P499,($Q499-$S499+1),($K499*(VLOOKUP($C$39,$C$37:$BL$44,MATCH($E499,$C$37:$BL$37,0),FALSE)/VLOOKUP($L499,$C$37:$BL$44,MATCH($E499,$C$37:$BL$37,0),FALSE))*
IF($B$5="Foreign Currency",VLOOKUP($C$38,$C$37:$BL$44,MATCH(BY$48,$C$37:$BL$37,0),FALSE)/VLOOKUP($C$39,$C$37:$BL$44,MATCH(BY$48,$C$37:$BL$37,0),FALSE),1))*((1+$P499)^$S499),0), 0),
    0)))))),"")</f>
        <v>0</v>
      </c>
      <c r="BZ499" s="171">
        <f t="shared" si="846"/>
        <v>0</v>
      </c>
      <c r="CA499" s="171">
        <f t="shared" si="846"/>
        <v>0</v>
      </c>
      <c r="CB499" s="171">
        <f t="shared" si="846"/>
        <v>0</v>
      </c>
      <c r="CC499" s="171">
        <f t="shared" si="846"/>
        <v>0</v>
      </c>
      <c r="CD499" s="171">
        <f t="shared" si="846"/>
        <v>0</v>
      </c>
      <c r="CE499" s="171">
        <f t="shared" si="846"/>
        <v>0</v>
      </c>
      <c r="CF499" s="171">
        <f t="shared" si="846"/>
        <v>0</v>
      </c>
      <c r="CG499" s="171">
        <f t="shared" si="846"/>
        <v>0</v>
      </c>
      <c r="CH499" s="171">
        <f t="shared" si="846"/>
        <v>0</v>
      </c>
      <c r="CI499" s="171">
        <f t="shared" si="846"/>
        <v>0</v>
      </c>
      <c r="CJ499" s="243"/>
      <c r="CK499" s="171">
        <f t="shared" si="779"/>
        <v>0</v>
      </c>
      <c r="CL499" s="171">
        <f t="shared" si="780"/>
        <v>0</v>
      </c>
      <c r="CM499" s="171">
        <f t="shared" si="781"/>
        <v>0</v>
      </c>
      <c r="CN499" s="171">
        <f t="shared" si="782"/>
        <v>0</v>
      </c>
      <c r="CO499" s="171">
        <f t="shared" si="783"/>
        <v>0</v>
      </c>
      <c r="CP499" s="171">
        <f t="shared" si="784"/>
        <v>0</v>
      </c>
      <c r="CQ499" s="171">
        <f t="shared" si="785"/>
        <v>0</v>
      </c>
      <c r="CR499" s="171">
        <f t="shared" si="786"/>
        <v>0</v>
      </c>
      <c r="CS499" s="171">
        <f t="shared" si="787"/>
        <v>0</v>
      </c>
      <c r="CT499" s="171">
        <f t="shared" si="788"/>
        <v>0</v>
      </c>
      <c r="CU499" s="171">
        <f t="shared" si="789"/>
        <v>0</v>
      </c>
      <c r="CV499" s="171">
        <f t="shared" si="790"/>
        <v>0</v>
      </c>
      <c r="CW499" s="171">
        <f t="shared" si="791"/>
        <v>0</v>
      </c>
      <c r="CX499" s="171">
        <f t="shared" si="792"/>
        <v>0</v>
      </c>
      <c r="CY499" s="171">
        <f t="shared" ca="1" si="793"/>
        <v>0</v>
      </c>
      <c r="CZ499" s="171">
        <f t="shared" ca="1" si="794"/>
        <v>0</v>
      </c>
      <c r="DA499" s="171">
        <f t="shared" ca="1" si="795"/>
        <v>0</v>
      </c>
      <c r="DB499" s="171">
        <f t="shared" ca="1" si="796"/>
        <v>0</v>
      </c>
      <c r="DC499" s="171">
        <f t="shared" ca="1" si="797"/>
        <v>0</v>
      </c>
      <c r="DD499" s="171">
        <f t="shared" ca="1" si="798"/>
        <v>0</v>
      </c>
      <c r="DE499" s="171">
        <f t="shared" ca="1" si="799"/>
        <v>0</v>
      </c>
      <c r="DF499" s="171">
        <f t="shared" ca="1" si="800"/>
        <v>0</v>
      </c>
      <c r="DG499" s="171">
        <f t="shared" ca="1" si="801"/>
        <v>0</v>
      </c>
      <c r="DH499" s="171">
        <f t="shared" ca="1" si="802"/>
        <v>0</v>
      </c>
      <c r="DI499" s="171">
        <f t="shared" ca="1" si="803"/>
        <v>0</v>
      </c>
      <c r="DJ499" s="171">
        <f t="shared" ca="1" si="804"/>
        <v>0</v>
      </c>
      <c r="DK499" s="171">
        <f t="shared" ca="1" si="805"/>
        <v>0</v>
      </c>
      <c r="DL499" s="171">
        <f t="shared" ca="1" si="806"/>
        <v>0</v>
      </c>
      <c r="DM499" s="171">
        <f t="shared" ca="1" si="807"/>
        <v>0</v>
      </c>
      <c r="DN499" s="171">
        <f t="shared" ca="1" si="808"/>
        <v>0</v>
      </c>
      <c r="DO499" s="171">
        <f t="shared" ca="1" si="809"/>
        <v>0</v>
      </c>
      <c r="DP499" s="171">
        <f t="shared" ca="1" si="810"/>
        <v>0</v>
      </c>
      <c r="DQ499" s="171">
        <f t="shared" ca="1" si="811"/>
        <v>0</v>
      </c>
      <c r="DR499" s="171">
        <f t="shared" ca="1" si="812"/>
        <v>0</v>
      </c>
      <c r="DS499" s="171">
        <f t="shared" ca="1" si="813"/>
        <v>0</v>
      </c>
      <c r="DT499" s="171">
        <f t="shared" ca="1" si="814"/>
        <v>0</v>
      </c>
      <c r="DU499" s="171">
        <f t="shared" ca="1" si="815"/>
        <v>0</v>
      </c>
      <c r="DV499" s="171">
        <f t="shared" ca="1" si="816"/>
        <v>0</v>
      </c>
      <c r="DW499" s="171">
        <f t="shared" ca="1" si="817"/>
        <v>0</v>
      </c>
      <c r="DX499" s="171">
        <f t="shared" ca="1" si="818"/>
        <v>0</v>
      </c>
      <c r="DY499" s="171">
        <f t="shared" ca="1" si="819"/>
        <v>0</v>
      </c>
      <c r="DZ499" s="171">
        <f t="shared" ca="1" si="820"/>
        <v>0</v>
      </c>
      <c r="EA499" s="171">
        <f t="shared" ca="1" si="821"/>
        <v>0</v>
      </c>
      <c r="EB499" s="171">
        <f t="shared" ca="1" si="822"/>
        <v>0</v>
      </c>
      <c r="EC499" s="171">
        <f t="shared" ca="1" si="823"/>
        <v>0</v>
      </c>
      <c r="ED499" s="171">
        <f t="shared" ca="1" si="824"/>
        <v>0</v>
      </c>
      <c r="EE499" s="171">
        <f t="shared" ca="1" si="825"/>
        <v>0</v>
      </c>
      <c r="EF499" s="171">
        <f t="shared" ca="1" si="826"/>
        <v>0</v>
      </c>
      <c r="EG499" s="171">
        <f t="shared" ca="1" si="827"/>
        <v>0</v>
      </c>
      <c r="EH499" s="171">
        <f t="shared" ca="1" si="828"/>
        <v>0</v>
      </c>
      <c r="EI499" s="171">
        <f t="shared" ca="1" si="829"/>
        <v>0</v>
      </c>
      <c r="EJ499" s="171">
        <f t="shared" ca="1" si="830"/>
        <v>0</v>
      </c>
      <c r="EK499" s="171">
        <f t="shared" ca="1" si="831"/>
        <v>0</v>
      </c>
      <c r="EL499" s="171">
        <f t="shared" ca="1" si="832"/>
        <v>0</v>
      </c>
      <c r="EM499" s="171">
        <f t="shared" ca="1" si="833"/>
        <v>0</v>
      </c>
      <c r="EN499" s="171">
        <f t="shared" ca="1" si="834"/>
        <v>0</v>
      </c>
      <c r="EO499" s="171">
        <f t="shared" ca="1" si="835"/>
        <v>0</v>
      </c>
      <c r="EP499" s="171">
        <f t="shared" ca="1" si="836"/>
        <v>0</v>
      </c>
      <c r="EQ499" s="171">
        <f t="shared" ca="1" si="837"/>
        <v>0</v>
      </c>
      <c r="ER499" s="171">
        <f t="shared" ca="1" si="838"/>
        <v>0</v>
      </c>
      <c r="ES499" s="171">
        <f t="shared" ca="1" si="839"/>
        <v>0</v>
      </c>
    </row>
    <row r="500" spans="3:149">
      <c r="C500" s="157"/>
      <c r="L500" s="163"/>
      <c r="M500" s="164" t="str">
        <f t="shared" si="770"/>
        <v/>
      </c>
      <c r="N500" s="164" t="str">
        <f t="shared" si="771"/>
        <v/>
      </c>
      <c r="O500" s="165" t="str">
        <f t="shared" si="772"/>
        <v/>
      </c>
      <c r="R500" s="168" t="str">
        <f t="shared" si="840"/>
        <v/>
      </c>
      <c r="U500" s="171">
        <f t="shared" si="773"/>
        <v>0</v>
      </c>
      <c r="V500" s="171">
        <f t="shared" ca="1" si="774"/>
        <v>0</v>
      </c>
      <c r="W500" s="171">
        <f t="shared" ca="1" si="775"/>
        <v>0</v>
      </c>
      <c r="X500" s="172">
        <f t="shared" si="776"/>
        <v>0</v>
      </c>
      <c r="Y500" s="172" t="str">
        <f t="shared" si="777"/>
        <v/>
      </c>
      <c r="Z500" s="173">
        <f t="shared" si="778"/>
        <v>0</v>
      </c>
      <c r="AA500" s="171">
        <f t="shared" si="841"/>
        <v>0</v>
      </c>
      <c r="AB500" s="171">
        <f t="shared" si="841"/>
        <v>0</v>
      </c>
      <c r="AC500" s="171">
        <f t="shared" si="841"/>
        <v>0</v>
      </c>
      <c r="AD500" s="171">
        <f t="shared" si="841"/>
        <v>0</v>
      </c>
      <c r="AE500" s="171">
        <f t="shared" si="841"/>
        <v>0</v>
      </c>
      <c r="AF500" s="171">
        <f t="shared" si="841"/>
        <v>0</v>
      </c>
      <c r="AG500" s="171">
        <f t="shared" si="841"/>
        <v>0</v>
      </c>
      <c r="AH500" s="171">
        <f t="shared" si="841"/>
        <v>0</v>
      </c>
      <c r="AI500" s="171">
        <f t="shared" si="841"/>
        <v>0</v>
      </c>
      <c r="AJ500" s="171">
        <f t="shared" si="841"/>
        <v>0</v>
      </c>
      <c r="AK500" s="171">
        <f t="shared" si="842"/>
        <v>0</v>
      </c>
      <c r="AL500" s="171">
        <f t="shared" si="842"/>
        <v>0</v>
      </c>
      <c r="AM500" s="171">
        <f t="shared" si="842"/>
        <v>0</v>
      </c>
      <c r="AN500" s="171">
        <f t="shared" si="842"/>
        <v>0</v>
      </c>
      <c r="AO500" s="171">
        <f t="shared" si="842"/>
        <v>0</v>
      </c>
      <c r="AP500" s="171">
        <f t="shared" si="842"/>
        <v>0</v>
      </c>
      <c r="AQ500" s="171">
        <f t="shared" si="842"/>
        <v>0</v>
      </c>
      <c r="AR500" s="171">
        <f t="shared" si="842"/>
        <v>0</v>
      </c>
      <c r="AS500" s="171">
        <f t="shared" si="842"/>
        <v>0</v>
      </c>
      <c r="AT500" s="171">
        <f t="shared" si="842"/>
        <v>0</v>
      </c>
      <c r="AU500" s="171">
        <f t="shared" si="843"/>
        <v>0</v>
      </c>
      <c r="AV500" s="171">
        <f t="shared" si="843"/>
        <v>0</v>
      </c>
      <c r="AW500" s="171">
        <f t="shared" si="843"/>
        <v>0</v>
      </c>
      <c r="AX500" s="171">
        <f t="shared" si="843"/>
        <v>0</v>
      </c>
      <c r="AY500" s="171">
        <f t="shared" si="843"/>
        <v>0</v>
      </c>
      <c r="AZ500" s="171">
        <f t="shared" si="843"/>
        <v>0</v>
      </c>
      <c r="BA500" s="171">
        <f t="shared" si="843"/>
        <v>0</v>
      </c>
      <c r="BB500" s="171">
        <f t="shared" si="843"/>
        <v>0</v>
      </c>
      <c r="BC500" s="171">
        <f t="shared" si="843"/>
        <v>0</v>
      </c>
      <c r="BD500" s="171">
        <f t="shared" si="843"/>
        <v>0</v>
      </c>
      <c r="BE500" s="171">
        <f t="shared" si="844"/>
        <v>0</v>
      </c>
      <c r="BF500" s="171">
        <f t="shared" si="844"/>
        <v>0</v>
      </c>
      <c r="BG500" s="171">
        <f t="shared" si="844"/>
        <v>0</v>
      </c>
      <c r="BH500" s="171">
        <f t="shared" si="844"/>
        <v>0</v>
      </c>
      <c r="BI500" s="171">
        <f t="shared" si="844"/>
        <v>0</v>
      </c>
      <c r="BJ500" s="171">
        <f t="shared" si="844"/>
        <v>0</v>
      </c>
      <c r="BK500" s="171">
        <f t="shared" si="844"/>
        <v>0</v>
      </c>
      <c r="BL500" s="171">
        <f t="shared" si="844"/>
        <v>0</v>
      </c>
      <c r="BM500" s="171">
        <f t="shared" si="844"/>
        <v>0</v>
      </c>
      <c r="BN500" s="171">
        <f t="shared" si="844"/>
        <v>0</v>
      </c>
      <c r="BO500" s="171">
        <f t="shared" si="845"/>
        <v>0</v>
      </c>
      <c r="BP500" s="171">
        <f t="shared" si="845"/>
        <v>0</v>
      </c>
      <c r="BQ500" s="171">
        <f t="shared" si="845"/>
        <v>0</v>
      </c>
      <c r="BR500" s="171">
        <f t="shared" si="845"/>
        <v>0</v>
      </c>
      <c r="BS500" s="171">
        <f t="shared" si="845"/>
        <v>0</v>
      </c>
      <c r="BT500" s="171">
        <f t="shared" si="845"/>
        <v>0</v>
      </c>
      <c r="BU500" s="171">
        <f t="shared" si="845"/>
        <v>0</v>
      </c>
      <c r="BV500" s="171">
        <f t="shared" si="845"/>
        <v>0</v>
      </c>
      <c r="BW500" s="171">
        <f t="shared" si="845"/>
        <v>0</v>
      </c>
      <c r="BX500" s="171">
        <f t="shared" si="845"/>
        <v>0</v>
      </c>
      <c r="BY500" s="171">
        <f t="shared" si="846"/>
        <v>0</v>
      </c>
      <c r="BZ500" s="171">
        <f t="shared" si="846"/>
        <v>0</v>
      </c>
      <c r="CA500" s="171">
        <f t="shared" si="846"/>
        <v>0</v>
      </c>
      <c r="CB500" s="171">
        <f t="shared" si="846"/>
        <v>0</v>
      </c>
      <c r="CC500" s="171">
        <f t="shared" si="846"/>
        <v>0</v>
      </c>
      <c r="CD500" s="171">
        <f t="shared" si="846"/>
        <v>0</v>
      </c>
      <c r="CE500" s="171">
        <f t="shared" si="846"/>
        <v>0</v>
      </c>
      <c r="CF500" s="171">
        <f t="shared" si="846"/>
        <v>0</v>
      </c>
      <c r="CG500" s="171">
        <f t="shared" si="846"/>
        <v>0</v>
      </c>
      <c r="CH500" s="171">
        <f t="shared" si="846"/>
        <v>0</v>
      </c>
      <c r="CI500" s="171">
        <f t="shared" si="846"/>
        <v>0</v>
      </c>
      <c r="CJ500" s="243"/>
      <c r="CK500" s="171">
        <f t="shared" si="779"/>
        <v>0</v>
      </c>
      <c r="CL500" s="171">
        <f t="shared" si="780"/>
        <v>0</v>
      </c>
      <c r="CM500" s="171">
        <f t="shared" si="781"/>
        <v>0</v>
      </c>
      <c r="CN500" s="171">
        <f t="shared" si="782"/>
        <v>0</v>
      </c>
      <c r="CO500" s="171">
        <f t="shared" si="783"/>
        <v>0</v>
      </c>
      <c r="CP500" s="171">
        <f t="shared" si="784"/>
        <v>0</v>
      </c>
      <c r="CQ500" s="171">
        <f t="shared" si="785"/>
        <v>0</v>
      </c>
      <c r="CR500" s="171">
        <f t="shared" si="786"/>
        <v>0</v>
      </c>
      <c r="CS500" s="171">
        <f t="shared" si="787"/>
        <v>0</v>
      </c>
      <c r="CT500" s="171">
        <f t="shared" si="788"/>
        <v>0</v>
      </c>
      <c r="CU500" s="171">
        <f t="shared" si="789"/>
        <v>0</v>
      </c>
      <c r="CV500" s="171">
        <f t="shared" si="790"/>
        <v>0</v>
      </c>
      <c r="CW500" s="171">
        <f t="shared" si="791"/>
        <v>0</v>
      </c>
      <c r="CX500" s="171">
        <f t="shared" si="792"/>
        <v>0</v>
      </c>
      <c r="CY500" s="171">
        <f t="shared" ca="1" si="793"/>
        <v>0</v>
      </c>
      <c r="CZ500" s="171">
        <f t="shared" ca="1" si="794"/>
        <v>0</v>
      </c>
      <c r="DA500" s="171">
        <f t="shared" ca="1" si="795"/>
        <v>0</v>
      </c>
      <c r="DB500" s="171">
        <f t="shared" ca="1" si="796"/>
        <v>0</v>
      </c>
      <c r="DC500" s="171">
        <f t="shared" ca="1" si="797"/>
        <v>0</v>
      </c>
      <c r="DD500" s="171">
        <f t="shared" ca="1" si="798"/>
        <v>0</v>
      </c>
      <c r="DE500" s="171">
        <f t="shared" ca="1" si="799"/>
        <v>0</v>
      </c>
      <c r="DF500" s="171">
        <f t="shared" ca="1" si="800"/>
        <v>0</v>
      </c>
      <c r="DG500" s="171">
        <f t="shared" ca="1" si="801"/>
        <v>0</v>
      </c>
      <c r="DH500" s="171">
        <f t="shared" ca="1" si="802"/>
        <v>0</v>
      </c>
      <c r="DI500" s="171">
        <f t="shared" ca="1" si="803"/>
        <v>0</v>
      </c>
      <c r="DJ500" s="171">
        <f t="shared" ca="1" si="804"/>
        <v>0</v>
      </c>
      <c r="DK500" s="171">
        <f t="shared" ca="1" si="805"/>
        <v>0</v>
      </c>
      <c r="DL500" s="171">
        <f t="shared" ca="1" si="806"/>
        <v>0</v>
      </c>
      <c r="DM500" s="171">
        <f t="shared" ca="1" si="807"/>
        <v>0</v>
      </c>
      <c r="DN500" s="171">
        <f t="shared" ca="1" si="808"/>
        <v>0</v>
      </c>
      <c r="DO500" s="171">
        <f t="shared" ca="1" si="809"/>
        <v>0</v>
      </c>
      <c r="DP500" s="171">
        <f t="shared" ca="1" si="810"/>
        <v>0</v>
      </c>
      <c r="DQ500" s="171">
        <f t="shared" ca="1" si="811"/>
        <v>0</v>
      </c>
      <c r="DR500" s="171">
        <f t="shared" ca="1" si="812"/>
        <v>0</v>
      </c>
      <c r="DS500" s="171">
        <f t="shared" ca="1" si="813"/>
        <v>0</v>
      </c>
      <c r="DT500" s="171">
        <f t="shared" ca="1" si="814"/>
        <v>0</v>
      </c>
      <c r="DU500" s="171">
        <f t="shared" ca="1" si="815"/>
        <v>0</v>
      </c>
      <c r="DV500" s="171">
        <f t="shared" ca="1" si="816"/>
        <v>0</v>
      </c>
      <c r="DW500" s="171">
        <f t="shared" ca="1" si="817"/>
        <v>0</v>
      </c>
      <c r="DX500" s="171">
        <f t="shared" ca="1" si="818"/>
        <v>0</v>
      </c>
      <c r="DY500" s="171">
        <f t="shared" ca="1" si="819"/>
        <v>0</v>
      </c>
      <c r="DZ500" s="171">
        <f t="shared" ca="1" si="820"/>
        <v>0</v>
      </c>
      <c r="EA500" s="171">
        <f t="shared" ca="1" si="821"/>
        <v>0</v>
      </c>
      <c r="EB500" s="171">
        <f t="shared" ca="1" si="822"/>
        <v>0</v>
      </c>
      <c r="EC500" s="171">
        <f t="shared" ca="1" si="823"/>
        <v>0</v>
      </c>
      <c r="ED500" s="171">
        <f t="shared" ca="1" si="824"/>
        <v>0</v>
      </c>
      <c r="EE500" s="171">
        <f t="shared" ca="1" si="825"/>
        <v>0</v>
      </c>
      <c r="EF500" s="171">
        <f t="shared" ca="1" si="826"/>
        <v>0</v>
      </c>
      <c r="EG500" s="171">
        <f t="shared" ca="1" si="827"/>
        <v>0</v>
      </c>
      <c r="EH500" s="171">
        <f t="shared" ca="1" si="828"/>
        <v>0</v>
      </c>
      <c r="EI500" s="171">
        <f t="shared" ca="1" si="829"/>
        <v>0</v>
      </c>
      <c r="EJ500" s="171">
        <f t="shared" ca="1" si="830"/>
        <v>0</v>
      </c>
      <c r="EK500" s="171">
        <f t="shared" ca="1" si="831"/>
        <v>0</v>
      </c>
      <c r="EL500" s="171">
        <f t="shared" ca="1" si="832"/>
        <v>0</v>
      </c>
      <c r="EM500" s="171">
        <f t="shared" ca="1" si="833"/>
        <v>0</v>
      </c>
      <c r="EN500" s="171">
        <f t="shared" ca="1" si="834"/>
        <v>0</v>
      </c>
      <c r="EO500" s="171">
        <f t="shared" ca="1" si="835"/>
        <v>0</v>
      </c>
      <c r="EP500" s="171">
        <f t="shared" ca="1" si="836"/>
        <v>0</v>
      </c>
      <c r="EQ500" s="171">
        <f t="shared" ca="1" si="837"/>
        <v>0</v>
      </c>
      <c r="ER500" s="171">
        <f t="shared" ca="1" si="838"/>
        <v>0</v>
      </c>
      <c r="ES500" s="171">
        <f t="shared" ca="1" si="839"/>
        <v>0</v>
      </c>
    </row>
    <row r="501" spans="3:149">
      <c r="C501" s="157"/>
      <c r="L501" s="163"/>
      <c r="M501" s="164" t="str">
        <f t="shared" si="770"/>
        <v/>
      </c>
      <c r="N501" s="164" t="str">
        <f t="shared" si="771"/>
        <v/>
      </c>
      <c r="O501" s="165" t="str">
        <f t="shared" si="772"/>
        <v/>
      </c>
      <c r="R501" s="168" t="str">
        <f t="shared" si="840"/>
        <v/>
      </c>
      <c r="U501" s="171">
        <f t="shared" si="773"/>
        <v>0</v>
      </c>
      <c r="V501" s="171">
        <f t="shared" ca="1" si="774"/>
        <v>0</v>
      </c>
      <c r="W501" s="171">
        <f t="shared" ca="1" si="775"/>
        <v>0</v>
      </c>
      <c r="X501" s="172">
        <f t="shared" si="776"/>
        <v>0</v>
      </c>
      <c r="Y501" s="172" t="str">
        <f t="shared" si="777"/>
        <v/>
      </c>
      <c r="Z501" s="173">
        <f t="shared" si="778"/>
        <v>0</v>
      </c>
      <c r="AA501" s="171">
        <f t="shared" si="841"/>
        <v>0</v>
      </c>
      <c r="AB501" s="171">
        <f t="shared" si="841"/>
        <v>0</v>
      </c>
      <c r="AC501" s="171">
        <f t="shared" si="841"/>
        <v>0</v>
      </c>
      <c r="AD501" s="171">
        <f t="shared" si="841"/>
        <v>0</v>
      </c>
      <c r="AE501" s="171">
        <f t="shared" si="841"/>
        <v>0</v>
      </c>
      <c r="AF501" s="171">
        <f t="shared" si="841"/>
        <v>0</v>
      </c>
      <c r="AG501" s="171">
        <f t="shared" si="841"/>
        <v>0</v>
      </c>
      <c r="AH501" s="171">
        <f t="shared" si="841"/>
        <v>0</v>
      </c>
      <c r="AI501" s="171">
        <f t="shared" si="841"/>
        <v>0</v>
      </c>
      <c r="AJ501" s="171">
        <f t="shared" si="841"/>
        <v>0</v>
      </c>
      <c r="AK501" s="171">
        <f t="shared" si="842"/>
        <v>0</v>
      </c>
      <c r="AL501" s="171">
        <f t="shared" si="842"/>
        <v>0</v>
      </c>
      <c r="AM501" s="171">
        <f t="shared" si="842"/>
        <v>0</v>
      </c>
      <c r="AN501" s="171">
        <f t="shared" si="842"/>
        <v>0</v>
      </c>
      <c r="AO501" s="171">
        <f t="shared" si="842"/>
        <v>0</v>
      </c>
      <c r="AP501" s="171">
        <f t="shared" si="842"/>
        <v>0</v>
      </c>
      <c r="AQ501" s="171">
        <f t="shared" si="842"/>
        <v>0</v>
      </c>
      <c r="AR501" s="171">
        <f t="shared" si="842"/>
        <v>0</v>
      </c>
      <c r="AS501" s="171">
        <f t="shared" si="842"/>
        <v>0</v>
      </c>
      <c r="AT501" s="171">
        <f t="shared" si="842"/>
        <v>0</v>
      </c>
      <c r="AU501" s="171">
        <f t="shared" si="843"/>
        <v>0</v>
      </c>
      <c r="AV501" s="171">
        <f t="shared" si="843"/>
        <v>0</v>
      </c>
      <c r="AW501" s="171">
        <f t="shared" si="843"/>
        <v>0</v>
      </c>
      <c r="AX501" s="171">
        <f t="shared" si="843"/>
        <v>0</v>
      </c>
      <c r="AY501" s="171">
        <f t="shared" si="843"/>
        <v>0</v>
      </c>
      <c r="AZ501" s="171">
        <f t="shared" si="843"/>
        <v>0</v>
      </c>
      <c r="BA501" s="171">
        <f t="shared" si="843"/>
        <v>0</v>
      </c>
      <c r="BB501" s="171">
        <f t="shared" si="843"/>
        <v>0</v>
      </c>
      <c r="BC501" s="171">
        <f t="shared" si="843"/>
        <v>0</v>
      </c>
      <c r="BD501" s="171">
        <f t="shared" si="843"/>
        <v>0</v>
      </c>
      <c r="BE501" s="171">
        <f t="shared" si="844"/>
        <v>0</v>
      </c>
      <c r="BF501" s="171">
        <f t="shared" si="844"/>
        <v>0</v>
      </c>
      <c r="BG501" s="171">
        <f t="shared" si="844"/>
        <v>0</v>
      </c>
      <c r="BH501" s="171">
        <f t="shared" si="844"/>
        <v>0</v>
      </c>
      <c r="BI501" s="171">
        <f t="shared" si="844"/>
        <v>0</v>
      </c>
      <c r="BJ501" s="171">
        <f t="shared" si="844"/>
        <v>0</v>
      </c>
      <c r="BK501" s="171">
        <f t="shared" si="844"/>
        <v>0</v>
      </c>
      <c r="BL501" s="171">
        <f t="shared" si="844"/>
        <v>0</v>
      </c>
      <c r="BM501" s="171">
        <f t="shared" si="844"/>
        <v>0</v>
      </c>
      <c r="BN501" s="171">
        <f t="shared" si="844"/>
        <v>0</v>
      </c>
      <c r="BO501" s="171">
        <f t="shared" si="845"/>
        <v>0</v>
      </c>
      <c r="BP501" s="171">
        <f t="shared" si="845"/>
        <v>0</v>
      </c>
      <c r="BQ501" s="171">
        <f t="shared" si="845"/>
        <v>0</v>
      </c>
      <c r="BR501" s="171">
        <f t="shared" si="845"/>
        <v>0</v>
      </c>
      <c r="BS501" s="171">
        <f t="shared" si="845"/>
        <v>0</v>
      </c>
      <c r="BT501" s="171">
        <f t="shared" si="845"/>
        <v>0</v>
      </c>
      <c r="BU501" s="171">
        <f t="shared" si="845"/>
        <v>0</v>
      </c>
      <c r="BV501" s="171">
        <f t="shared" si="845"/>
        <v>0</v>
      </c>
      <c r="BW501" s="171">
        <f t="shared" si="845"/>
        <v>0</v>
      </c>
      <c r="BX501" s="171">
        <f t="shared" si="845"/>
        <v>0</v>
      </c>
      <c r="BY501" s="171">
        <f t="shared" si="846"/>
        <v>0</v>
      </c>
      <c r="BZ501" s="171">
        <f t="shared" si="846"/>
        <v>0</v>
      </c>
      <c r="CA501" s="171">
        <f t="shared" si="846"/>
        <v>0</v>
      </c>
      <c r="CB501" s="171">
        <f t="shared" si="846"/>
        <v>0</v>
      </c>
      <c r="CC501" s="171">
        <f t="shared" si="846"/>
        <v>0</v>
      </c>
      <c r="CD501" s="171">
        <f t="shared" si="846"/>
        <v>0</v>
      </c>
      <c r="CE501" s="171">
        <f t="shared" si="846"/>
        <v>0</v>
      </c>
      <c r="CF501" s="171">
        <f t="shared" si="846"/>
        <v>0</v>
      </c>
      <c r="CG501" s="171">
        <f t="shared" si="846"/>
        <v>0</v>
      </c>
      <c r="CH501" s="171">
        <f t="shared" si="846"/>
        <v>0</v>
      </c>
      <c r="CI501" s="171">
        <f t="shared" si="846"/>
        <v>0</v>
      </c>
      <c r="CJ501" s="243"/>
      <c r="CK501" s="171">
        <f t="shared" si="779"/>
        <v>0</v>
      </c>
      <c r="CL501" s="171">
        <f t="shared" si="780"/>
        <v>0</v>
      </c>
      <c r="CM501" s="171">
        <f t="shared" si="781"/>
        <v>0</v>
      </c>
      <c r="CN501" s="171">
        <f t="shared" si="782"/>
        <v>0</v>
      </c>
      <c r="CO501" s="171">
        <f t="shared" si="783"/>
        <v>0</v>
      </c>
      <c r="CP501" s="171">
        <f t="shared" si="784"/>
        <v>0</v>
      </c>
      <c r="CQ501" s="171">
        <f t="shared" si="785"/>
        <v>0</v>
      </c>
      <c r="CR501" s="171">
        <f t="shared" si="786"/>
        <v>0</v>
      </c>
      <c r="CS501" s="171">
        <f t="shared" si="787"/>
        <v>0</v>
      </c>
      <c r="CT501" s="171">
        <f t="shared" si="788"/>
        <v>0</v>
      </c>
      <c r="CU501" s="171">
        <f t="shared" si="789"/>
        <v>0</v>
      </c>
      <c r="CV501" s="171">
        <f t="shared" si="790"/>
        <v>0</v>
      </c>
      <c r="CW501" s="171">
        <f t="shared" si="791"/>
        <v>0</v>
      </c>
      <c r="CX501" s="171">
        <f t="shared" si="792"/>
        <v>0</v>
      </c>
      <c r="CY501" s="171">
        <f t="shared" ca="1" si="793"/>
        <v>0</v>
      </c>
      <c r="CZ501" s="171">
        <f t="shared" ca="1" si="794"/>
        <v>0</v>
      </c>
      <c r="DA501" s="171">
        <f t="shared" ca="1" si="795"/>
        <v>0</v>
      </c>
      <c r="DB501" s="171">
        <f t="shared" ca="1" si="796"/>
        <v>0</v>
      </c>
      <c r="DC501" s="171">
        <f t="shared" ca="1" si="797"/>
        <v>0</v>
      </c>
      <c r="DD501" s="171">
        <f t="shared" ca="1" si="798"/>
        <v>0</v>
      </c>
      <c r="DE501" s="171">
        <f t="shared" ca="1" si="799"/>
        <v>0</v>
      </c>
      <c r="DF501" s="171">
        <f t="shared" ca="1" si="800"/>
        <v>0</v>
      </c>
      <c r="DG501" s="171">
        <f t="shared" ca="1" si="801"/>
        <v>0</v>
      </c>
      <c r="DH501" s="171">
        <f t="shared" ca="1" si="802"/>
        <v>0</v>
      </c>
      <c r="DI501" s="171">
        <f t="shared" ca="1" si="803"/>
        <v>0</v>
      </c>
      <c r="DJ501" s="171">
        <f t="shared" ca="1" si="804"/>
        <v>0</v>
      </c>
      <c r="DK501" s="171">
        <f t="shared" ca="1" si="805"/>
        <v>0</v>
      </c>
      <c r="DL501" s="171">
        <f t="shared" ca="1" si="806"/>
        <v>0</v>
      </c>
      <c r="DM501" s="171">
        <f t="shared" ca="1" si="807"/>
        <v>0</v>
      </c>
      <c r="DN501" s="171">
        <f t="shared" ca="1" si="808"/>
        <v>0</v>
      </c>
      <c r="DO501" s="171">
        <f t="shared" ca="1" si="809"/>
        <v>0</v>
      </c>
      <c r="DP501" s="171">
        <f t="shared" ca="1" si="810"/>
        <v>0</v>
      </c>
      <c r="DQ501" s="171">
        <f t="shared" ca="1" si="811"/>
        <v>0</v>
      </c>
      <c r="DR501" s="171">
        <f t="shared" ca="1" si="812"/>
        <v>0</v>
      </c>
      <c r="DS501" s="171">
        <f t="shared" ca="1" si="813"/>
        <v>0</v>
      </c>
      <c r="DT501" s="171">
        <f t="shared" ca="1" si="814"/>
        <v>0</v>
      </c>
      <c r="DU501" s="171">
        <f t="shared" ca="1" si="815"/>
        <v>0</v>
      </c>
      <c r="DV501" s="171">
        <f t="shared" ca="1" si="816"/>
        <v>0</v>
      </c>
      <c r="DW501" s="171">
        <f t="shared" ca="1" si="817"/>
        <v>0</v>
      </c>
      <c r="DX501" s="171">
        <f t="shared" ca="1" si="818"/>
        <v>0</v>
      </c>
      <c r="DY501" s="171">
        <f t="shared" ca="1" si="819"/>
        <v>0</v>
      </c>
      <c r="DZ501" s="171">
        <f t="shared" ca="1" si="820"/>
        <v>0</v>
      </c>
      <c r="EA501" s="171">
        <f t="shared" ca="1" si="821"/>
        <v>0</v>
      </c>
      <c r="EB501" s="171">
        <f t="shared" ca="1" si="822"/>
        <v>0</v>
      </c>
      <c r="EC501" s="171">
        <f t="shared" ca="1" si="823"/>
        <v>0</v>
      </c>
      <c r="ED501" s="171">
        <f t="shared" ca="1" si="824"/>
        <v>0</v>
      </c>
      <c r="EE501" s="171">
        <f t="shared" ca="1" si="825"/>
        <v>0</v>
      </c>
      <c r="EF501" s="171">
        <f t="shared" ca="1" si="826"/>
        <v>0</v>
      </c>
      <c r="EG501" s="171">
        <f t="shared" ca="1" si="827"/>
        <v>0</v>
      </c>
      <c r="EH501" s="171">
        <f t="shared" ca="1" si="828"/>
        <v>0</v>
      </c>
      <c r="EI501" s="171">
        <f t="shared" ca="1" si="829"/>
        <v>0</v>
      </c>
      <c r="EJ501" s="171">
        <f t="shared" ca="1" si="830"/>
        <v>0</v>
      </c>
      <c r="EK501" s="171">
        <f t="shared" ca="1" si="831"/>
        <v>0</v>
      </c>
      <c r="EL501" s="171">
        <f t="shared" ca="1" si="832"/>
        <v>0</v>
      </c>
      <c r="EM501" s="171">
        <f t="shared" ca="1" si="833"/>
        <v>0</v>
      </c>
      <c r="EN501" s="171">
        <f t="shared" ca="1" si="834"/>
        <v>0</v>
      </c>
      <c r="EO501" s="171">
        <f t="shared" ca="1" si="835"/>
        <v>0</v>
      </c>
      <c r="EP501" s="171">
        <f t="shared" ca="1" si="836"/>
        <v>0</v>
      </c>
      <c r="EQ501" s="171">
        <f t="shared" ca="1" si="837"/>
        <v>0</v>
      </c>
      <c r="ER501" s="171">
        <f t="shared" ca="1" si="838"/>
        <v>0</v>
      </c>
      <c r="ES501" s="171">
        <f t="shared" ca="1" si="839"/>
        <v>0</v>
      </c>
    </row>
    <row r="502" spans="3:149">
      <c r="C502" s="157"/>
      <c r="L502" s="163"/>
      <c r="M502" s="164" t="str">
        <f t="shared" si="770"/>
        <v/>
      </c>
      <c r="N502" s="164" t="str">
        <f t="shared" si="771"/>
        <v/>
      </c>
      <c r="O502" s="165" t="str">
        <f t="shared" si="772"/>
        <v/>
      </c>
      <c r="R502" s="168" t="str">
        <f t="shared" si="840"/>
        <v/>
      </c>
      <c r="U502" s="171">
        <f t="shared" si="773"/>
        <v>0</v>
      </c>
      <c r="V502" s="171">
        <f t="shared" ca="1" si="774"/>
        <v>0</v>
      </c>
      <c r="W502" s="171">
        <f t="shared" ca="1" si="775"/>
        <v>0</v>
      </c>
      <c r="X502" s="172">
        <f t="shared" si="776"/>
        <v>0</v>
      </c>
      <c r="Y502" s="172" t="str">
        <f t="shared" si="777"/>
        <v/>
      </c>
      <c r="Z502" s="173">
        <f t="shared" si="778"/>
        <v>0</v>
      </c>
      <c r="AA502" s="171">
        <f t="shared" si="841"/>
        <v>0</v>
      </c>
      <c r="AB502" s="171">
        <f t="shared" si="841"/>
        <v>0</v>
      </c>
      <c r="AC502" s="171">
        <f t="shared" si="841"/>
        <v>0</v>
      </c>
      <c r="AD502" s="171">
        <f t="shared" si="841"/>
        <v>0</v>
      </c>
      <c r="AE502" s="171">
        <f t="shared" si="841"/>
        <v>0</v>
      </c>
      <c r="AF502" s="171">
        <f t="shared" si="841"/>
        <v>0</v>
      </c>
      <c r="AG502" s="171">
        <f t="shared" si="841"/>
        <v>0</v>
      </c>
      <c r="AH502" s="171">
        <f t="shared" si="841"/>
        <v>0</v>
      </c>
      <c r="AI502" s="171">
        <f t="shared" si="841"/>
        <v>0</v>
      </c>
      <c r="AJ502" s="171">
        <f t="shared" si="841"/>
        <v>0</v>
      </c>
      <c r="AK502" s="171">
        <f t="shared" si="842"/>
        <v>0</v>
      </c>
      <c r="AL502" s="171">
        <f t="shared" si="842"/>
        <v>0</v>
      </c>
      <c r="AM502" s="171">
        <f t="shared" si="842"/>
        <v>0</v>
      </c>
      <c r="AN502" s="171">
        <f t="shared" si="842"/>
        <v>0</v>
      </c>
      <c r="AO502" s="171">
        <f t="shared" si="842"/>
        <v>0</v>
      </c>
      <c r="AP502" s="171">
        <f t="shared" si="842"/>
        <v>0</v>
      </c>
      <c r="AQ502" s="171">
        <f t="shared" si="842"/>
        <v>0</v>
      </c>
      <c r="AR502" s="171">
        <f t="shared" si="842"/>
        <v>0</v>
      </c>
      <c r="AS502" s="171">
        <f t="shared" si="842"/>
        <v>0</v>
      </c>
      <c r="AT502" s="171">
        <f t="shared" si="842"/>
        <v>0</v>
      </c>
      <c r="AU502" s="171">
        <f t="shared" si="843"/>
        <v>0</v>
      </c>
      <c r="AV502" s="171">
        <f t="shared" si="843"/>
        <v>0</v>
      </c>
      <c r="AW502" s="171">
        <f t="shared" si="843"/>
        <v>0</v>
      </c>
      <c r="AX502" s="171">
        <f t="shared" si="843"/>
        <v>0</v>
      </c>
      <c r="AY502" s="171">
        <f t="shared" si="843"/>
        <v>0</v>
      </c>
      <c r="AZ502" s="171">
        <f t="shared" si="843"/>
        <v>0</v>
      </c>
      <c r="BA502" s="171">
        <f t="shared" si="843"/>
        <v>0</v>
      </c>
      <c r="BB502" s="171">
        <f t="shared" si="843"/>
        <v>0</v>
      </c>
      <c r="BC502" s="171">
        <f t="shared" si="843"/>
        <v>0</v>
      </c>
      <c r="BD502" s="171">
        <f t="shared" si="843"/>
        <v>0</v>
      </c>
      <c r="BE502" s="171">
        <f t="shared" si="844"/>
        <v>0</v>
      </c>
      <c r="BF502" s="171">
        <f t="shared" si="844"/>
        <v>0</v>
      </c>
      <c r="BG502" s="171">
        <f t="shared" si="844"/>
        <v>0</v>
      </c>
      <c r="BH502" s="171">
        <f t="shared" si="844"/>
        <v>0</v>
      </c>
      <c r="BI502" s="171">
        <f t="shared" si="844"/>
        <v>0</v>
      </c>
      <c r="BJ502" s="171">
        <f t="shared" si="844"/>
        <v>0</v>
      </c>
      <c r="BK502" s="171">
        <f t="shared" si="844"/>
        <v>0</v>
      </c>
      <c r="BL502" s="171">
        <f t="shared" si="844"/>
        <v>0</v>
      </c>
      <c r="BM502" s="171">
        <f t="shared" si="844"/>
        <v>0</v>
      </c>
      <c r="BN502" s="171">
        <f t="shared" si="844"/>
        <v>0</v>
      </c>
      <c r="BO502" s="171">
        <f t="shared" si="845"/>
        <v>0</v>
      </c>
      <c r="BP502" s="171">
        <f t="shared" si="845"/>
        <v>0</v>
      </c>
      <c r="BQ502" s="171">
        <f t="shared" si="845"/>
        <v>0</v>
      </c>
      <c r="BR502" s="171">
        <f t="shared" si="845"/>
        <v>0</v>
      </c>
      <c r="BS502" s="171">
        <f t="shared" si="845"/>
        <v>0</v>
      </c>
      <c r="BT502" s="171">
        <f t="shared" si="845"/>
        <v>0</v>
      </c>
      <c r="BU502" s="171">
        <f t="shared" si="845"/>
        <v>0</v>
      </c>
      <c r="BV502" s="171">
        <f t="shared" si="845"/>
        <v>0</v>
      </c>
      <c r="BW502" s="171">
        <f t="shared" si="845"/>
        <v>0</v>
      </c>
      <c r="BX502" s="171">
        <f t="shared" si="845"/>
        <v>0</v>
      </c>
      <c r="BY502" s="171">
        <f t="shared" si="846"/>
        <v>0</v>
      </c>
      <c r="BZ502" s="171">
        <f t="shared" si="846"/>
        <v>0</v>
      </c>
      <c r="CA502" s="171">
        <f t="shared" si="846"/>
        <v>0</v>
      </c>
      <c r="CB502" s="171">
        <f t="shared" si="846"/>
        <v>0</v>
      </c>
      <c r="CC502" s="171">
        <f t="shared" si="846"/>
        <v>0</v>
      </c>
      <c r="CD502" s="171">
        <f t="shared" si="846"/>
        <v>0</v>
      </c>
      <c r="CE502" s="171">
        <f t="shared" si="846"/>
        <v>0</v>
      </c>
      <c r="CF502" s="171">
        <f t="shared" si="846"/>
        <v>0</v>
      </c>
      <c r="CG502" s="171">
        <f t="shared" si="846"/>
        <v>0</v>
      </c>
      <c r="CH502" s="171">
        <f t="shared" si="846"/>
        <v>0</v>
      </c>
      <c r="CI502" s="171">
        <f t="shared" si="846"/>
        <v>0</v>
      </c>
      <c r="CJ502" s="243"/>
      <c r="CK502" s="171">
        <f t="shared" si="779"/>
        <v>0</v>
      </c>
      <c r="CL502" s="171">
        <f t="shared" si="780"/>
        <v>0</v>
      </c>
      <c r="CM502" s="171">
        <f t="shared" si="781"/>
        <v>0</v>
      </c>
      <c r="CN502" s="171">
        <f t="shared" si="782"/>
        <v>0</v>
      </c>
      <c r="CO502" s="171">
        <f t="shared" si="783"/>
        <v>0</v>
      </c>
      <c r="CP502" s="171">
        <f t="shared" si="784"/>
        <v>0</v>
      </c>
      <c r="CQ502" s="171">
        <f t="shared" si="785"/>
        <v>0</v>
      </c>
      <c r="CR502" s="171">
        <f t="shared" si="786"/>
        <v>0</v>
      </c>
      <c r="CS502" s="171">
        <f t="shared" si="787"/>
        <v>0</v>
      </c>
      <c r="CT502" s="171">
        <f t="shared" si="788"/>
        <v>0</v>
      </c>
      <c r="CU502" s="171">
        <f t="shared" si="789"/>
        <v>0</v>
      </c>
      <c r="CV502" s="171">
        <f t="shared" si="790"/>
        <v>0</v>
      </c>
      <c r="CW502" s="171">
        <f t="shared" si="791"/>
        <v>0</v>
      </c>
      <c r="CX502" s="171">
        <f t="shared" si="792"/>
        <v>0</v>
      </c>
      <c r="CY502" s="171">
        <f t="shared" ca="1" si="793"/>
        <v>0</v>
      </c>
      <c r="CZ502" s="171">
        <f t="shared" ca="1" si="794"/>
        <v>0</v>
      </c>
      <c r="DA502" s="171">
        <f t="shared" ca="1" si="795"/>
        <v>0</v>
      </c>
      <c r="DB502" s="171">
        <f t="shared" ca="1" si="796"/>
        <v>0</v>
      </c>
      <c r="DC502" s="171">
        <f t="shared" ca="1" si="797"/>
        <v>0</v>
      </c>
      <c r="DD502" s="171">
        <f t="shared" ca="1" si="798"/>
        <v>0</v>
      </c>
      <c r="DE502" s="171">
        <f t="shared" ca="1" si="799"/>
        <v>0</v>
      </c>
      <c r="DF502" s="171">
        <f t="shared" ca="1" si="800"/>
        <v>0</v>
      </c>
      <c r="DG502" s="171">
        <f t="shared" ca="1" si="801"/>
        <v>0</v>
      </c>
      <c r="DH502" s="171">
        <f t="shared" ca="1" si="802"/>
        <v>0</v>
      </c>
      <c r="DI502" s="171">
        <f t="shared" ca="1" si="803"/>
        <v>0</v>
      </c>
      <c r="DJ502" s="171">
        <f t="shared" ca="1" si="804"/>
        <v>0</v>
      </c>
      <c r="DK502" s="171">
        <f t="shared" ca="1" si="805"/>
        <v>0</v>
      </c>
      <c r="DL502" s="171">
        <f t="shared" ca="1" si="806"/>
        <v>0</v>
      </c>
      <c r="DM502" s="171">
        <f t="shared" ca="1" si="807"/>
        <v>0</v>
      </c>
      <c r="DN502" s="171">
        <f t="shared" ca="1" si="808"/>
        <v>0</v>
      </c>
      <c r="DO502" s="171">
        <f t="shared" ca="1" si="809"/>
        <v>0</v>
      </c>
      <c r="DP502" s="171">
        <f t="shared" ca="1" si="810"/>
        <v>0</v>
      </c>
      <c r="DQ502" s="171">
        <f t="shared" ca="1" si="811"/>
        <v>0</v>
      </c>
      <c r="DR502" s="171">
        <f t="shared" ca="1" si="812"/>
        <v>0</v>
      </c>
      <c r="DS502" s="171">
        <f t="shared" ca="1" si="813"/>
        <v>0</v>
      </c>
      <c r="DT502" s="171">
        <f t="shared" ca="1" si="814"/>
        <v>0</v>
      </c>
      <c r="DU502" s="171">
        <f t="shared" ca="1" si="815"/>
        <v>0</v>
      </c>
      <c r="DV502" s="171">
        <f t="shared" ca="1" si="816"/>
        <v>0</v>
      </c>
      <c r="DW502" s="171">
        <f t="shared" ca="1" si="817"/>
        <v>0</v>
      </c>
      <c r="DX502" s="171">
        <f t="shared" ca="1" si="818"/>
        <v>0</v>
      </c>
      <c r="DY502" s="171">
        <f t="shared" ca="1" si="819"/>
        <v>0</v>
      </c>
      <c r="DZ502" s="171">
        <f t="shared" ca="1" si="820"/>
        <v>0</v>
      </c>
      <c r="EA502" s="171">
        <f t="shared" ca="1" si="821"/>
        <v>0</v>
      </c>
      <c r="EB502" s="171">
        <f t="shared" ca="1" si="822"/>
        <v>0</v>
      </c>
      <c r="EC502" s="171">
        <f t="shared" ca="1" si="823"/>
        <v>0</v>
      </c>
      <c r="ED502" s="171">
        <f t="shared" ca="1" si="824"/>
        <v>0</v>
      </c>
      <c r="EE502" s="171">
        <f t="shared" ca="1" si="825"/>
        <v>0</v>
      </c>
      <c r="EF502" s="171">
        <f t="shared" ca="1" si="826"/>
        <v>0</v>
      </c>
      <c r="EG502" s="171">
        <f t="shared" ca="1" si="827"/>
        <v>0</v>
      </c>
      <c r="EH502" s="171">
        <f t="shared" ca="1" si="828"/>
        <v>0</v>
      </c>
      <c r="EI502" s="171">
        <f t="shared" ca="1" si="829"/>
        <v>0</v>
      </c>
      <c r="EJ502" s="171">
        <f t="shared" ca="1" si="830"/>
        <v>0</v>
      </c>
      <c r="EK502" s="171">
        <f t="shared" ca="1" si="831"/>
        <v>0</v>
      </c>
      <c r="EL502" s="171">
        <f t="shared" ca="1" si="832"/>
        <v>0</v>
      </c>
      <c r="EM502" s="171">
        <f t="shared" ca="1" si="833"/>
        <v>0</v>
      </c>
      <c r="EN502" s="171">
        <f t="shared" ca="1" si="834"/>
        <v>0</v>
      </c>
      <c r="EO502" s="171">
        <f t="shared" ca="1" si="835"/>
        <v>0</v>
      </c>
      <c r="EP502" s="171">
        <f t="shared" ca="1" si="836"/>
        <v>0</v>
      </c>
      <c r="EQ502" s="171">
        <f t="shared" ca="1" si="837"/>
        <v>0</v>
      </c>
      <c r="ER502" s="171">
        <f t="shared" ca="1" si="838"/>
        <v>0</v>
      </c>
      <c r="ES502" s="171">
        <f t="shared" ca="1" si="839"/>
        <v>0</v>
      </c>
    </row>
    <row r="503" spans="3:149">
      <c r="C503" s="157"/>
      <c r="L503" s="163"/>
      <c r="M503" s="164" t="str">
        <f t="shared" si="770"/>
        <v/>
      </c>
      <c r="N503" s="164" t="str">
        <f t="shared" si="771"/>
        <v/>
      </c>
      <c r="O503" s="165" t="str">
        <f t="shared" si="772"/>
        <v/>
      </c>
      <c r="R503" s="168" t="str">
        <f t="shared" si="840"/>
        <v/>
      </c>
      <c r="U503" s="171">
        <f t="shared" si="773"/>
        <v>0</v>
      </c>
      <c r="V503" s="171">
        <f t="shared" ca="1" si="774"/>
        <v>0</v>
      </c>
      <c r="W503" s="171">
        <f t="shared" ca="1" si="775"/>
        <v>0</v>
      </c>
      <c r="X503" s="172">
        <f t="shared" si="776"/>
        <v>0</v>
      </c>
      <c r="Y503" s="172" t="str">
        <f t="shared" si="777"/>
        <v/>
      </c>
      <c r="Z503" s="173">
        <f t="shared" si="778"/>
        <v>0</v>
      </c>
      <c r="AA503" s="171">
        <f t="shared" si="841"/>
        <v>0</v>
      </c>
      <c r="AB503" s="171">
        <f t="shared" si="841"/>
        <v>0</v>
      </c>
      <c r="AC503" s="171">
        <f t="shared" si="841"/>
        <v>0</v>
      </c>
      <c r="AD503" s="171">
        <f t="shared" si="841"/>
        <v>0</v>
      </c>
      <c r="AE503" s="171">
        <f t="shared" si="841"/>
        <v>0</v>
      </c>
      <c r="AF503" s="171">
        <f t="shared" si="841"/>
        <v>0</v>
      </c>
      <c r="AG503" s="171">
        <f t="shared" si="841"/>
        <v>0</v>
      </c>
      <c r="AH503" s="171">
        <f t="shared" si="841"/>
        <v>0</v>
      </c>
      <c r="AI503" s="171">
        <f t="shared" si="841"/>
        <v>0</v>
      </c>
      <c r="AJ503" s="171">
        <f t="shared" si="841"/>
        <v>0</v>
      </c>
      <c r="AK503" s="171">
        <f t="shared" si="842"/>
        <v>0</v>
      </c>
      <c r="AL503" s="171">
        <f t="shared" si="842"/>
        <v>0</v>
      </c>
      <c r="AM503" s="171">
        <f t="shared" si="842"/>
        <v>0</v>
      </c>
      <c r="AN503" s="171">
        <f t="shared" si="842"/>
        <v>0</v>
      </c>
      <c r="AO503" s="171">
        <f t="shared" si="842"/>
        <v>0</v>
      </c>
      <c r="AP503" s="171">
        <f t="shared" si="842"/>
        <v>0</v>
      </c>
      <c r="AQ503" s="171">
        <f t="shared" si="842"/>
        <v>0</v>
      </c>
      <c r="AR503" s="171">
        <f t="shared" si="842"/>
        <v>0</v>
      </c>
      <c r="AS503" s="171">
        <f t="shared" si="842"/>
        <v>0</v>
      </c>
      <c r="AT503" s="171">
        <f t="shared" si="842"/>
        <v>0</v>
      </c>
      <c r="AU503" s="171">
        <f t="shared" si="843"/>
        <v>0</v>
      </c>
      <c r="AV503" s="171">
        <f t="shared" si="843"/>
        <v>0</v>
      </c>
      <c r="AW503" s="171">
        <f t="shared" si="843"/>
        <v>0</v>
      </c>
      <c r="AX503" s="171">
        <f t="shared" si="843"/>
        <v>0</v>
      </c>
      <c r="AY503" s="171">
        <f t="shared" si="843"/>
        <v>0</v>
      </c>
      <c r="AZ503" s="171">
        <f t="shared" si="843"/>
        <v>0</v>
      </c>
      <c r="BA503" s="171">
        <f t="shared" si="843"/>
        <v>0</v>
      </c>
      <c r="BB503" s="171">
        <f t="shared" si="843"/>
        <v>0</v>
      </c>
      <c r="BC503" s="171">
        <f t="shared" si="843"/>
        <v>0</v>
      </c>
      <c r="BD503" s="171">
        <f t="shared" si="843"/>
        <v>0</v>
      </c>
      <c r="BE503" s="171">
        <f t="shared" si="844"/>
        <v>0</v>
      </c>
      <c r="BF503" s="171">
        <f t="shared" si="844"/>
        <v>0</v>
      </c>
      <c r="BG503" s="171">
        <f t="shared" si="844"/>
        <v>0</v>
      </c>
      <c r="BH503" s="171">
        <f t="shared" si="844"/>
        <v>0</v>
      </c>
      <c r="BI503" s="171">
        <f t="shared" si="844"/>
        <v>0</v>
      </c>
      <c r="BJ503" s="171">
        <f t="shared" si="844"/>
        <v>0</v>
      </c>
      <c r="BK503" s="171">
        <f t="shared" si="844"/>
        <v>0</v>
      </c>
      <c r="BL503" s="171">
        <f t="shared" si="844"/>
        <v>0</v>
      </c>
      <c r="BM503" s="171">
        <f t="shared" si="844"/>
        <v>0</v>
      </c>
      <c r="BN503" s="171">
        <f t="shared" si="844"/>
        <v>0</v>
      </c>
      <c r="BO503" s="171">
        <f t="shared" si="845"/>
        <v>0</v>
      </c>
      <c r="BP503" s="171">
        <f t="shared" si="845"/>
        <v>0</v>
      </c>
      <c r="BQ503" s="171">
        <f t="shared" si="845"/>
        <v>0</v>
      </c>
      <c r="BR503" s="171">
        <f t="shared" si="845"/>
        <v>0</v>
      </c>
      <c r="BS503" s="171">
        <f t="shared" si="845"/>
        <v>0</v>
      </c>
      <c r="BT503" s="171">
        <f t="shared" si="845"/>
        <v>0</v>
      </c>
      <c r="BU503" s="171">
        <f t="shared" si="845"/>
        <v>0</v>
      </c>
      <c r="BV503" s="171">
        <f t="shared" si="845"/>
        <v>0</v>
      </c>
      <c r="BW503" s="171">
        <f t="shared" si="845"/>
        <v>0</v>
      </c>
      <c r="BX503" s="171">
        <f t="shared" si="845"/>
        <v>0</v>
      </c>
      <c r="BY503" s="171">
        <f t="shared" si="846"/>
        <v>0</v>
      </c>
      <c r="BZ503" s="171">
        <f t="shared" si="846"/>
        <v>0</v>
      </c>
      <c r="CA503" s="171">
        <f t="shared" si="846"/>
        <v>0</v>
      </c>
      <c r="CB503" s="171">
        <f t="shared" si="846"/>
        <v>0</v>
      </c>
      <c r="CC503" s="171">
        <f t="shared" si="846"/>
        <v>0</v>
      </c>
      <c r="CD503" s="171">
        <f t="shared" si="846"/>
        <v>0</v>
      </c>
      <c r="CE503" s="171">
        <f t="shared" si="846"/>
        <v>0</v>
      </c>
      <c r="CF503" s="171">
        <f t="shared" si="846"/>
        <v>0</v>
      </c>
      <c r="CG503" s="171">
        <f t="shared" si="846"/>
        <v>0</v>
      </c>
      <c r="CH503" s="171">
        <f t="shared" si="846"/>
        <v>0</v>
      </c>
      <c r="CI503" s="171">
        <f t="shared" si="846"/>
        <v>0</v>
      </c>
      <c r="CJ503" s="243"/>
      <c r="CK503" s="171">
        <f t="shared" si="779"/>
        <v>0</v>
      </c>
      <c r="CL503" s="171">
        <f t="shared" si="780"/>
        <v>0</v>
      </c>
      <c r="CM503" s="171">
        <f t="shared" si="781"/>
        <v>0</v>
      </c>
      <c r="CN503" s="171">
        <f t="shared" si="782"/>
        <v>0</v>
      </c>
      <c r="CO503" s="171">
        <f t="shared" si="783"/>
        <v>0</v>
      </c>
      <c r="CP503" s="171">
        <f t="shared" si="784"/>
        <v>0</v>
      </c>
      <c r="CQ503" s="171">
        <f t="shared" si="785"/>
        <v>0</v>
      </c>
      <c r="CR503" s="171">
        <f t="shared" si="786"/>
        <v>0</v>
      </c>
      <c r="CS503" s="171">
        <f t="shared" si="787"/>
        <v>0</v>
      </c>
      <c r="CT503" s="171">
        <f t="shared" si="788"/>
        <v>0</v>
      </c>
      <c r="CU503" s="171">
        <f t="shared" si="789"/>
        <v>0</v>
      </c>
      <c r="CV503" s="171">
        <f t="shared" si="790"/>
        <v>0</v>
      </c>
      <c r="CW503" s="171">
        <f t="shared" si="791"/>
        <v>0</v>
      </c>
      <c r="CX503" s="171">
        <f t="shared" si="792"/>
        <v>0</v>
      </c>
      <c r="CY503" s="171">
        <f t="shared" ca="1" si="793"/>
        <v>0</v>
      </c>
      <c r="CZ503" s="171">
        <f t="shared" ca="1" si="794"/>
        <v>0</v>
      </c>
      <c r="DA503" s="171">
        <f t="shared" ca="1" si="795"/>
        <v>0</v>
      </c>
      <c r="DB503" s="171">
        <f t="shared" ca="1" si="796"/>
        <v>0</v>
      </c>
      <c r="DC503" s="171">
        <f t="shared" ca="1" si="797"/>
        <v>0</v>
      </c>
      <c r="DD503" s="171">
        <f t="shared" ca="1" si="798"/>
        <v>0</v>
      </c>
      <c r="DE503" s="171">
        <f t="shared" ca="1" si="799"/>
        <v>0</v>
      </c>
      <c r="DF503" s="171">
        <f t="shared" ca="1" si="800"/>
        <v>0</v>
      </c>
      <c r="DG503" s="171">
        <f t="shared" ca="1" si="801"/>
        <v>0</v>
      </c>
      <c r="DH503" s="171">
        <f t="shared" ca="1" si="802"/>
        <v>0</v>
      </c>
      <c r="DI503" s="171">
        <f t="shared" ca="1" si="803"/>
        <v>0</v>
      </c>
      <c r="DJ503" s="171">
        <f t="shared" ca="1" si="804"/>
        <v>0</v>
      </c>
      <c r="DK503" s="171">
        <f t="shared" ca="1" si="805"/>
        <v>0</v>
      </c>
      <c r="DL503" s="171">
        <f t="shared" ca="1" si="806"/>
        <v>0</v>
      </c>
      <c r="DM503" s="171">
        <f t="shared" ca="1" si="807"/>
        <v>0</v>
      </c>
      <c r="DN503" s="171">
        <f t="shared" ca="1" si="808"/>
        <v>0</v>
      </c>
      <c r="DO503" s="171">
        <f t="shared" ca="1" si="809"/>
        <v>0</v>
      </c>
      <c r="DP503" s="171">
        <f t="shared" ca="1" si="810"/>
        <v>0</v>
      </c>
      <c r="DQ503" s="171">
        <f t="shared" ca="1" si="811"/>
        <v>0</v>
      </c>
      <c r="DR503" s="171">
        <f t="shared" ca="1" si="812"/>
        <v>0</v>
      </c>
      <c r="DS503" s="171">
        <f t="shared" ca="1" si="813"/>
        <v>0</v>
      </c>
      <c r="DT503" s="171">
        <f t="shared" ca="1" si="814"/>
        <v>0</v>
      </c>
      <c r="DU503" s="171">
        <f t="shared" ca="1" si="815"/>
        <v>0</v>
      </c>
      <c r="DV503" s="171">
        <f t="shared" ca="1" si="816"/>
        <v>0</v>
      </c>
      <c r="DW503" s="171">
        <f t="shared" ca="1" si="817"/>
        <v>0</v>
      </c>
      <c r="DX503" s="171">
        <f t="shared" ca="1" si="818"/>
        <v>0</v>
      </c>
      <c r="DY503" s="171">
        <f t="shared" ca="1" si="819"/>
        <v>0</v>
      </c>
      <c r="DZ503" s="171">
        <f t="shared" ca="1" si="820"/>
        <v>0</v>
      </c>
      <c r="EA503" s="171">
        <f t="shared" ca="1" si="821"/>
        <v>0</v>
      </c>
      <c r="EB503" s="171">
        <f t="shared" ca="1" si="822"/>
        <v>0</v>
      </c>
      <c r="EC503" s="171">
        <f t="shared" ca="1" si="823"/>
        <v>0</v>
      </c>
      <c r="ED503" s="171">
        <f t="shared" ca="1" si="824"/>
        <v>0</v>
      </c>
      <c r="EE503" s="171">
        <f t="shared" ca="1" si="825"/>
        <v>0</v>
      </c>
      <c r="EF503" s="171">
        <f t="shared" ca="1" si="826"/>
        <v>0</v>
      </c>
      <c r="EG503" s="171">
        <f t="shared" ca="1" si="827"/>
        <v>0</v>
      </c>
      <c r="EH503" s="171">
        <f t="shared" ca="1" si="828"/>
        <v>0</v>
      </c>
      <c r="EI503" s="171">
        <f t="shared" ca="1" si="829"/>
        <v>0</v>
      </c>
      <c r="EJ503" s="171">
        <f t="shared" ca="1" si="830"/>
        <v>0</v>
      </c>
      <c r="EK503" s="171">
        <f t="shared" ca="1" si="831"/>
        <v>0</v>
      </c>
      <c r="EL503" s="171">
        <f t="shared" ca="1" si="832"/>
        <v>0</v>
      </c>
      <c r="EM503" s="171">
        <f t="shared" ca="1" si="833"/>
        <v>0</v>
      </c>
      <c r="EN503" s="171">
        <f t="shared" ca="1" si="834"/>
        <v>0</v>
      </c>
      <c r="EO503" s="171">
        <f t="shared" ca="1" si="835"/>
        <v>0</v>
      </c>
      <c r="EP503" s="171">
        <f t="shared" ca="1" si="836"/>
        <v>0</v>
      </c>
      <c r="EQ503" s="171">
        <f t="shared" ca="1" si="837"/>
        <v>0</v>
      </c>
      <c r="ER503" s="171">
        <f t="shared" ca="1" si="838"/>
        <v>0</v>
      </c>
      <c r="ES503" s="171">
        <f t="shared" ca="1" si="839"/>
        <v>0</v>
      </c>
    </row>
    <row r="504" spans="3:149">
      <c r="C504" s="157"/>
      <c r="L504" s="163"/>
      <c r="M504" s="164" t="str">
        <f t="shared" si="770"/>
        <v/>
      </c>
      <c r="N504" s="164" t="str">
        <f t="shared" si="771"/>
        <v/>
      </c>
      <c r="O504" s="165" t="str">
        <f t="shared" si="772"/>
        <v/>
      </c>
      <c r="R504" s="168" t="str">
        <f t="shared" si="840"/>
        <v/>
      </c>
      <c r="U504" s="171">
        <f t="shared" si="773"/>
        <v>0</v>
      </c>
      <c r="V504" s="171">
        <f t="shared" ca="1" si="774"/>
        <v>0</v>
      </c>
      <c r="W504" s="171">
        <f t="shared" ca="1" si="775"/>
        <v>0</v>
      </c>
      <c r="X504" s="172">
        <f t="shared" si="776"/>
        <v>0</v>
      </c>
      <c r="Y504" s="172" t="str">
        <f t="shared" si="777"/>
        <v/>
      </c>
      <c r="Z504" s="173">
        <f t="shared" si="778"/>
        <v>0</v>
      </c>
      <c r="AA504" s="171">
        <f t="shared" si="841"/>
        <v>0</v>
      </c>
      <c r="AB504" s="171">
        <f t="shared" si="841"/>
        <v>0</v>
      </c>
      <c r="AC504" s="171">
        <f t="shared" si="841"/>
        <v>0</v>
      </c>
      <c r="AD504" s="171">
        <f t="shared" si="841"/>
        <v>0</v>
      </c>
      <c r="AE504" s="171">
        <f t="shared" si="841"/>
        <v>0</v>
      </c>
      <c r="AF504" s="171">
        <f t="shared" si="841"/>
        <v>0</v>
      </c>
      <c r="AG504" s="171">
        <f t="shared" si="841"/>
        <v>0</v>
      </c>
      <c r="AH504" s="171">
        <f t="shared" si="841"/>
        <v>0</v>
      </c>
      <c r="AI504" s="171">
        <f t="shared" si="841"/>
        <v>0</v>
      </c>
      <c r="AJ504" s="171">
        <f t="shared" si="841"/>
        <v>0</v>
      </c>
      <c r="AK504" s="171">
        <f t="shared" si="842"/>
        <v>0</v>
      </c>
      <c r="AL504" s="171">
        <f t="shared" si="842"/>
        <v>0</v>
      </c>
      <c r="AM504" s="171">
        <f t="shared" si="842"/>
        <v>0</v>
      </c>
      <c r="AN504" s="171">
        <f t="shared" si="842"/>
        <v>0</v>
      </c>
      <c r="AO504" s="171">
        <f t="shared" si="842"/>
        <v>0</v>
      </c>
      <c r="AP504" s="171">
        <f t="shared" si="842"/>
        <v>0</v>
      </c>
      <c r="AQ504" s="171">
        <f t="shared" si="842"/>
        <v>0</v>
      </c>
      <c r="AR504" s="171">
        <f t="shared" si="842"/>
        <v>0</v>
      </c>
      <c r="AS504" s="171">
        <f t="shared" si="842"/>
        <v>0</v>
      </c>
      <c r="AT504" s="171">
        <f t="shared" si="842"/>
        <v>0</v>
      </c>
      <c r="AU504" s="171">
        <f t="shared" si="843"/>
        <v>0</v>
      </c>
      <c r="AV504" s="171">
        <f t="shared" si="843"/>
        <v>0</v>
      </c>
      <c r="AW504" s="171">
        <f t="shared" si="843"/>
        <v>0</v>
      </c>
      <c r="AX504" s="171">
        <f t="shared" si="843"/>
        <v>0</v>
      </c>
      <c r="AY504" s="171">
        <f t="shared" si="843"/>
        <v>0</v>
      </c>
      <c r="AZ504" s="171">
        <f t="shared" si="843"/>
        <v>0</v>
      </c>
      <c r="BA504" s="171">
        <f t="shared" si="843"/>
        <v>0</v>
      </c>
      <c r="BB504" s="171">
        <f t="shared" si="843"/>
        <v>0</v>
      </c>
      <c r="BC504" s="171">
        <f t="shared" si="843"/>
        <v>0</v>
      </c>
      <c r="BD504" s="171">
        <f t="shared" si="843"/>
        <v>0</v>
      </c>
      <c r="BE504" s="171">
        <f t="shared" si="844"/>
        <v>0</v>
      </c>
      <c r="BF504" s="171">
        <f t="shared" si="844"/>
        <v>0</v>
      </c>
      <c r="BG504" s="171">
        <f t="shared" si="844"/>
        <v>0</v>
      </c>
      <c r="BH504" s="171">
        <f t="shared" si="844"/>
        <v>0</v>
      </c>
      <c r="BI504" s="171">
        <f t="shared" si="844"/>
        <v>0</v>
      </c>
      <c r="BJ504" s="171">
        <f t="shared" si="844"/>
        <v>0</v>
      </c>
      <c r="BK504" s="171">
        <f t="shared" si="844"/>
        <v>0</v>
      </c>
      <c r="BL504" s="171">
        <f t="shared" si="844"/>
        <v>0</v>
      </c>
      <c r="BM504" s="171">
        <f t="shared" si="844"/>
        <v>0</v>
      </c>
      <c r="BN504" s="171">
        <f t="shared" si="844"/>
        <v>0</v>
      </c>
      <c r="BO504" s="171">
        <f t="shared" si="845"/>
        <v>0</v>
      </c>
      <c r="BP504" s="171">
        <f t="shared" si="845"/>
        <v>0</v>
      </c>
      <c r="BQ504" s="171">
        <f t="shared" si="845"/>
        <v>0</v>
      </c>
      <c r="BR504" s="171">
        <f t="shared" si="845"/>
        <v>0</v>
      </c>
      <c r="BS504" s="171">
        <f t="shared" si="845"/>
        <v>0</v>
      </c>
      <c r="BT504" s="171">
        <f t="shared" si="845"/>
        <v>0</v>
      </c>
      <c r="BU504" s="171">
        <f t="shared" si="845"/>
        <v>0</v>
      </c>
      <c r="BV504" s="171">
        <f t="shared" si="845"/>
        <v>0</v>
      </c>
      <c r="BW504" s="171">
        <f t="shared" si="845"/>
        <v>0</v>
      </c>
      <c r="BX504" s="171">
        <f t="shared" si="845"/>
        <v>0</v>
      </c>
      <c r="BY504" s="171">
        <f t="shared" si="846"/>
        <v>0</v>
      </c>
      <c r="BZ504" s="171">
        <f t="shared" si="846"/>
        <v>0</v>
      </c>
      <c r="CA504" s="171">
        <f t="shared" si="846"/>
        <v>0</v>
      </c>
      <c r="CB504" s="171">
        <f t="shared" si="846"/>
        <v>0</v>
      </c>
      <c r="CC504" s="171">
        <f t="shared" si="846"/>
        <v>0</v>
      </c>
      <c r="CD504" s="171">
        <f t="shared" si="846"/>
        <v>0</v>
      </c>
      <c r="CE504" s="171">
        <f t="shared" si="846"/>
        <v>0</v>
      </c>
      <c r="CF504" s="171">
        <f t="shared" si="846"/>
        <v>0</v>
      </c>
      <c r="CG504" s="171">
        <f t="shared" si="846"/>
        <v>0</v>
      </c>
      <c r="CH504" s="171">
        <f t="shared" si="846"/>
        <v>0</v>
      </c>
      <c r="CI504" s="171">
        <f t="shared" si="846"/>
        <v>0</v>
      </c>
      <c r="CJ504" s="243"/>
      <c r="CK504" s="171">
        <f t="shared" si="779"/>
        <v>0</v>
      </c>
      <c r="CL504" s="171">
        <f t="shared" si="780"/>
        <v>0</v>
      </c>
      <c r="CM504" s="171">
        <f t="shared" si="781"/>
        <v>0</v>
      </c>
      <c r="CN504" s="171">
        <f t="shared" si="782"/>
        <v>0</v>
      </c>
      <c r="CO504" s="171">
        <f t="shared" si="783"/>
        <v>0</v>
      </c>
      <c r="CP504" s="171">
        <f t="shared" si="784"/>
        <v>0</v>
      </c>
      <c r="CQ504" s="171">
        <f t="shared" si="785"/>
        <v>0</v>
      </c>
      <c r="CR504" s="171">
        <f t="shared" si="786"/>
        <v>0</v>
      </c>
      <c r="CS504" s="171">
        <f t="shared" si="787"/>
        <v>0</v>
      </c>
      <c r="CT504" s="171">
        <f t="shared" si="788"/>
        <v>0</v>
      </c>
      <c r="CU504" s="171">
        <f t="shared" si="789"/>
        <v>0</v>
      </c>
      <c r="CV504" s="171">
        <f t="shared" si="790"/>
        <v>0</v>
      </c>
      <c r="CW504" s="171">
        <f t="shared" si="791"/>
        <v>0</v>
      </c>
      <c r="CX504" s="171">
        <f t="shared" si="792"/>
        <v>0</v>
      </c>
      <c r="CY504" s="171">
        <f t="shared" ca="1" si="793"/>
        <v>0</v>
      </c>
      <c r="CZ504" s="171">
        <f t="shared" ca="1" si="794"/>
        <v>0</v>
      </c>
      <c r="DA504" s="171">
        <f t="shared" ca="1" si="795"/>
        <v>0</v>
      </c>
      <c r="DB504" s="171">
        <f t="shared" ca="1" si="796"/>
        <v>0</v>
      </c>
      <c r="DC504" s="171">
        <f t="shared" ca="1" si="797"/>
        <v>0</v>
      </c>
      <c r="DD504" s="171">
        <f t="shared" ca="1" si="798"/>
        <v>0</v>
      </c>
      <c r="DE504" s="171">
        <f t="shared" ca="1" si="799"/>
        <v>0</v>
      </c>
      <c r="DF504" s="171">
        <f t="shared" ca="1" si="800"/>
        <v>0</v>
      </c>
      <c r="DG504" s="171">
        <f t="shared" ca="1" si="801"/>
        <v>0</v>
      </c>
      <c r="DH504" s="171">
        <f t="shared" ca="1" si="802"/>
        <v>0</v>
      </c>
      <c r="DI504" s="171">
        <f t="shared" ca="1" si="803"/>
        <v>0</v>
      </c>
      <c r="DJ504" s="171">
        <f t="shared" ca="1" si="804"/>
        <v>0</v>
      </c>
      <c r="DK504" s="171">
        <f t="shared" ca="1" si="805"/>
        <v>0</v>
      </c>
      <c r="DL504" s="171">
        <f t="shared" ca="1" si="806"/>
        <v>0</v>
      </c>
      <c r="DM504" s="171">
        <f t="shared" ca="1" si="807"/>
        <v>0</v>
      </c>
      <c r="DN504" s="171">
        <f t="shared" ca="1" si="808"/>
        <v>0</v>
      </c>
      <c r="DO504" s="171">
        <f t="shared" ca="1" si="809"/>
        <v>0</v>
      </c>
      <c r="DP504" s="171">
        <f t="shared" ca="1" si="810"/>
        <v>0</v>
      </c>
      <c r="DQ504" s="171">
        <f t="shared" ca="1" si="811"/>
        <v>0</v>
      </c>
      <c r="DR504" s="171">
        <f t="shared" ca="1" si="812"/>
        <v>0</v>
      </c>
      <c r="DS504" s="171">
        <f t="shared" ca="1" si="813"/>
        <v>0</v>
      </c>
      <c r="DT504" s="171">
        <f t="shared" ca="1" si="814"/>
        <v>0</v>
      </c>
      <c r="DU504" s="171">
        <f t="shared" ca="1" si="815"/>
        <v>0</v>
      </c>
      <c r="DV504" s="171">
        <f t="shared" ca="1" si="816"/>
        <v>0</v>
      </c>
      <c r="DW504" s="171">
        <f t="shared" ca="1" si="817"/>
        <v>0</v>
      </c>
      <c r="DX504" s="171">
        <f t="shared" ca="1" si="818"/>
        <v>0</v>
      </c>
      <c r="DY504" s="171">
        <f t="shared" ca="1" si="819"/>
        <v>0</v>
      </c>
      <c r="DZ504" s="171">
        <f t="shared" ca="1" si="820"/>
        <v>0</v>
      </c>
      <c r="EA504" s="171">
        <f t="shared" ca="1" si="821"/>
        <v>0</v>
      </c>
      <c r="EB504" s="171">
        <f t="shared" ca="1" si="822"/>
        <v>0</v>
      </c>
      <c r="EC504" s="171">
        <f t="shared" ca="1" si="823"/>
        <v>0</v>
      </c>
      <c r="ED504" s="171">
        <f t="shared" ca="1" si="824"/>
        <v>0</v>
      </c>
      <c r="EE504" s="171">
        <f t="shared" ca="1" si="825"/>
        <v>0</v>
      </c>
      <c r="EF504" s="171">
        <f t="shared" ca="1" si="826"/>
        <v>0</v>
      </c>
      <c r="EG504" s="171">
        <f t="shared" ca="1" si="827"/>
        <v>0</v>
      </c>
      <c r="EH504" s="171">
        <f t="shared" ca="1" si="828"/>
        <v>0</v>
      </c>
      <c r="EI504" s="171">
        <f t="shared" ca="1" si="829"/>
        <v>0</v>
      </c>
      <c r="EJ504" s="171">
        <f t="shared" ca="1" si="830"/>
        <v>0</v>
      </c>
      <c r="EK504" s="171">
        <f t="shared" ca="1" si="831"/>
        <v>0</v>
      </c>
      <c r="EL504" s="171">
        <f t="shared" ca="1" si="832"/>
        <v>0</v>
      </c>
      <c r="EM504" s="171">
        <f t="shared" ca="1" si="833"/>
        <v>0</v>
      </c>
      <c r="EN504" s="171">
        <f t="shared" ca="1" si="834"/>
        <v>0</v>
      </c>
      <c r="EO504" s="171">
        <f t="shared" ca="1" si="835"/>
        <v>0</v>
      </c>
      <c r="EP504" s="171">
        <f t="shared" ca="1" si="836"/>
        <v>0</v>
      </c>
      <c r="EQ504" s="171">
        <f t="shared" ca="1" si="837"/>
        <v>0</v>
      </c>
      <c r="ER504" s="171">
        <f t="shared" ca="1" si="838"/>
        <v>0</v>
      </c>
      <c r="ES504" s="171">
        <f t="shared" ca="1" si="839"/>
        <v>0</v>
      </c>
    </row>
    <row r="505" spans="3:149">
      <c r="C505" s="157"/>
      <c r="L505" s="163"/>
      <c r="M505" s="164" t="str">
        <f t="shared" si="770"/>
        <v/>
      </c>
      <c r="N505" s="164" t="str">
        <f t="shared" si="771"/>
        <v/>
      </c>
      <c r="O505" s="165" t="str">
        <f t="shared" si="772"/>
        <v/>
      </c>
      <c r="R505" s="168" t="str">
        <f t="shared" si="840"/>
        <v/>
      </c>
      <c r="U505" s="171">
        <f t="shared" si="773"/>
        <v>0</v>
      </c>
      <c r="V505" s="171">
        <f t="shared" ca="1" si="774"/>
        <v>0</v>
      </c>
      <c r="W505" s="171">
        <f t="shared" ca="1" si="775"/>
        <v>0</v>
      </c>
      <c r="X505" s="172">
        <f t="shared" si="776"/>
        <v>0</v>
      </c>
      <c r="Y505" s="172" t="str">
        <f t="shared" si="777"/>
        <v/>
      </c>
      <c r="Z505" s="173">
        <f t="shared" si="778"/>
        <v>0</v>
      </c>
      <c r="AA505" s="171">
        <f t="shared" si="841"/>
        <v>0</v>
      </c>
      <c r="AB505" s="171">
        <f t="shared" si="841"/>
        <v>0</v>
      </c>
      <c r="AC505" s="171">
        <f t="shared" si="841"/>
        <v>0</v>
      </c>
      <c r="AD505" s="171">
        <f t="shared" si="841"/>
        <v>0</v>
      </c>
      <c r="AE505" s="171">
        <f t="shared" si="841"/>
        <v>0</v>
      </c>
      <c r="AF505" s="171">
        <f t="shared" si="841"/>
        <v>0</v>
      </c>
      <c r="AG505" s="171">
        <f t="shared" si="841"/>
        <v>0</v>
      </c>
      <c r="AH505" s="171">
        <f t="shared" si="841"/>
        <v>0</v>
      </c>
      <c r="AI505" s="171">
        <f t="shared" si="841"/>
        <v>0</v>
      </c>
      <c r="AJ505" s="171">
        <f t="shared" si="841"/>
        <v>0</v>
      </c>
      <c r="AK505" s="171">
        <f t="shared" si="842"/>
        <v>0</v>
      </c>
      <c r="AL505" s="171">
        <f t="shared" si="842"/>
        <v>0</v>
      </c>
      <c r="AM505" s="171">
        <f t="shared" si="842"/>
        <v>0</v>
      </c>
      <c r="AN505" s="171">
        <f t="shared" si="842"/>
        <v>0</v>
      </c>
      <c r="AO505" s="171">
        <f t="shared" si="842"/>
        <v>0</v>
      </c>
      <c r="AP505" s="171">
        <f t="shared" si="842"/>
        <v>0</v>
      </c>
      <c r="AQ505" s="171">
        <f t="shared" si="842"/>
        <v>0</v>
      </c>
      <c r="AR505" s="171">
        <f t="shared" si="842"/>
        <v>0</v>
      </c>
      <c r="AS505" s="171">
        <f t="shared" si="842"/>
        <v>0</v>
      </c>
      <c r="AT505" s="171">
        <f t="shared" si="842"/>
        <v>0</v>
      </c>
      <c r="AU505" s="171">
        <f t="shared" si="843"/>
        <v>0</v>
      </c>
      <c r="AV505" s="171">
        <f t="shared" si="843"/>
        <v>0</v>
      </c>
      <c r="AW505" s="171">
        <f t="shared" si="843"/>
        <v>0</v>
      </c>
      <c r="AX505" s="171">
        <f t="shared" si="843"/>
        <v>0</v>
      </c>
      <c r="AY505" s="171">
        <f t="shared" si="843"/>
        <v>0</v>
      </c>
      <c r="AZ505" s="171">
        <f t="shared" si="843"/>
        <v>0</v>
      </c>
      <c r="BA505" s="171">
        <f t="shared" si="843"/>
        <v>0</v>
      </c>
      <c r="BB505" s="171">
        <f t="shared" si="843"/>
        <v>0</v>
      </c>
      <c r="BC505" s="171">
        <f t="shared" si="843"/>
        <v>0</v>
      </c>
      <c r="BD505" s="171">
        <f t="shared" si="843"/>
        <v>0</v>
      </c>
      <c r="BE505" s="171">
        <f t="shared" si="844"/>
        <v>0</v>
      </c>
      <c r="BF505" s="171">
        <f t="shared" si="844"/>
        <v>0</v>
      </c>
      <c r="BG505" s="171">
        <f t="shared" si="844"/>
        <v>0</v>
      </c>
      <c r="BH505" s="171">
        <f t="shared" si="844"/>
        <v>0</v>
      </c>
      <c r="BI505" s="171">
        <f t="shared" si="844"/>
        <v>0</v>
      </c>
      <c r="BJ505" s="171">
        <f t="shared" si="844"/>
        <v>0</v>
      </c>
      <c r="BK505" s="171">
        <f t="shared" si="844"/>
        <v>0</v>
      </c>
      <c r="BL505" s="171">
        <f t="shared" si="844"/>
        <v>0</v>
      </c>
      <c r="BM505" s="171">
        <f t="shared" si="844"/>
        <v>0</v>
      </c>
      <c r="BN505" s="171">
        <f t="shared" si="844"/>
        <v>0</v>
      </c>
      <c r="BO505" s="171">
        <f t="shared" si="845"/>
        <v>0</v>
      </c>
      <c r="BP505" s="171">
        <f t="shared" si="845"/>
        <v>0</v>
      </c>
      <c r="BQ505" s="171">
        <f t="shared" si="845"/>
        <v>0</v>
      </c>
      <c r="BR505" s="171">
        <f t="shared" si="845"/>
        <v>0</v>
      </c>
      <c r="BS505" s="171">
        <f t="shared" si="845"/>
        <v>0</v>
      </c>
      <c r="BT505" s="171">
        <f t="shared" si="845"/>
        <v>0</v>
      </c>
      <c r="BU505" s="171">
        <f t="shared" si="845"/>
        <v>0</v>
      </c>
      <c r="BV505" s="171">
        <f t="shared" si="845"/>
        <v>0</v>
      </c>
      <c r="BW505" s="171">
        <f t="shared" si="845"/>
        <v>0</v>
      </c>
      <c r="BX505" s="171">
        <f t="shared" si="845"/>
        <v>0</v>
      </c>
      <c r="BY505" s="171">
        <f t="shared" si="846"/>
        <v>0</v>
      </c>
      <c r="BZ505" s="171">
        <f t="shared" si="846"/>
        <v>0</v>
      </c>
      <c r="CA505" s="171">
        <f t="shared" si="846"/>
        <v>0</v>
      </c>
      <c r="CB505" s="171">
        <f t="shared" si="846"/>
        <v>0</v>
      </c>
      <c r="CC505" s="171">
        <f t="shared" si="846"/>
        <v>0</v>
      </c>
      <c r="CD505" s="171">
        <f t="shared" si="846"/>
        <v>0</v>
      </c>
      <c r="CE505" s="171">
        <f t="shared" si="846"/>
        <v>0</v>
      </c>
      <c r="CF505" s="171">
        <f t="shared" si="846"/>
        <v>0</v>
      </c>
      <c r="CG505" s="171">
        <f t="shared" si="846"/>
        <v>0</v>
      </c>
      <c r="CH505" s="171">
        <f t="shared" si="846"/>
        <v>0</v>
      </c>
      <c r="CI505" s="171">
        <f t="shared" si="846"/>
        <v>0</v>
      </c>
      <c r="CJ505" s="243"/>
      <c r="CK505" s="171">
        <f t="shared" si="779"/>
        <v>0</v>
      </c>
      <c r="CL505" s="171">
        <f t="shared" si="780"/>
        <v>0</v>
      </c>
      <c r="CM505" s="171">
        <f t="shared" si="781"/>
        <v>0</v>
      </c>
      <c r="CN505" s="171">
        <f t="shared" si="782"/>
        <v>0</v>
      </c>
      <c r="CO505" s="171">
        <f t="shared" si="783"/>
        <v>0</v>
      </c>
      <c r="CP505" s="171">
        <f t="shared" si="784"/>
        <v>0</v>
      </c>
      <c r="CQ505" s="171">
        <f t="shared" si="785"/>
        <v>0</v>
      </c>
      <c r="CR505" s="171">
        <f t="shared" si="786"/>
        <v>0</v>
      </c>
      <c r="CS505" s="171">
        <f t="shared" si="787"/>
        <v>0</v>
      </c>
      <c r="CT505" s="171">
        <f t="shared" si="788"/>
        <v>0</v>
      </c>
      <c r="CU505" s="171">
        <f t="shared" si="789"/>
        <v>0</v>
      </c>
      <c r="CV505" s="171">
        <f t="shared" si="790"/>
        <v>0</v>
      </c>
      <c r="CW505" s="171">
        <f t="shared" si="791"/>
        <v>0</v>
      </c>
      <c r="CX505" s="171">
        <f t="shared" si="792"/>
        <v>0</v>
      </c>
      <c r="CY505" s="171">
        <f t="shared" ca="1" si="793"/>
        <v>0</v>
      </c>
      <c r="CZ505" s="171">
        <f t="shared" ca="1" si="794"/>
        <v>0</v>
      </c>
      <c r="DA505" s="171">
        <f t="shared" ca="1" si="795"/>
        <v>0</v>
      </c>
      <c r="DB505" s="171">
        <f t="shared" ca="1" si="796"/>
        <v>0</v>
      </c>
      <c r="DC505" s="171">
        <f t="shared" ca="1" si="797"/>
        <v>0</v>
      </c>
      <c r="DD505" s="171">
        <f t="shared" ca="1" si="798"/>
        <v>0</v>
      </c>
      <c r="DE505" s="171">
        <f t="shared" ca="1" si="799"/>
        <v>0</v>
      </c>
      <c r="DF505" s="171">
        <f t="shared" ca="1" si="800"/>
        <v>0</v>
      </c>
      <c r="DG505" s="171">
        <f t="shared" ca="1" si="801"/>
        <v>0</v>
      </c>
      <c r="DH505" s="171">
        <f t="shared" ca="1" si="802"/>
        <v>0</v>
      </c>
      <c r="DI505" s="171">
        <f t="shared" ca="1" si="803"/>
        <v>0</v>
      </c>
      <c r="DJ505" s="171">
        <f t="shared" ca="1" si="804"/>
        <v>0</v>
      </c>
      <c r="DK505" s="171">
        <f t="shared" ca="1" si="805"/>
        <v>0</v>
      </c>
      <c r="DL505" s="171">
        <f t="shared" ca="1" si="806"/>
        <v>0</v>
      </c>
      <c r="DM505" s="171">
        <f t="shared" ca="1" si="807"/>
        <v>0</v>
      </c>
      <c r="DN505" s="171">
        <f t="shared" ca="1" si="808"/>
        <v>0</v>
      </c>
      <c r="DO505" s="171">
        <f t="shared" ca="1" si="809"/>
        <v>0</v>
      </c>
      <c r="DP505" s="171">
        <f t="shared" ca="1" si="810"/>
        <v>0</v>
      </c>
      <c r="DQ505" s="171">
        <f t="shared" ca="1" si="811"/>
        <v>0</v>
      </c>
      <c r="DR505" s="171">
        <f t="shared" ca="1" si="812"/>
        <v>0</v>
      </c>
      <c r="DS505" s="171">
        <f t="shared" ca="1" si="813"/>
        <v>0</v>
      </c>
      <c r="DT505" s="171">
        <f t="shared" ca="1" si="814"/>
        <v>0</v>
      </c>
      <c r="DU505" s="171">
        <f t="shared" ca="1" si="815"/>
        <v>0</v>
      </c>
      <c r="DV505" s="171">
        <f t="shared" ca="1" si="816"/>
        <v>0</v>
      </c>
      <c r="DW505" s="171">
        <f t="shared" ca="1" si="817"/>
        <v>0</v>
      </c>
      <c r="DX505" s="171">
        <f t="shared" ca="1" si="818"/>
        <v>0</v>
      </c>
      <c r="DY505" s="171">
        <f t="shared" ca="1" si="819"/>
        <v>0</v>
      </c>
      <c r="DZ505" s="171">
        <f t="shared" ca="1" si="820"/>
        <v>0</v>
      </c>
      <c r="EA505" s="171">
        <f t="shared" ca="1" si="821"/>
        <v>0</v>
      </c>
      <c r="EB505" s="171">
        <f t="shared" ca="1" si="822"/>
        <v>0</v>
      </c>
      <c r="EC505" s="171">
        <f t="shared" ca="1" si="823"/>
        <v>0</v>
      </c>
      <c r="ED505" s="171">
        <f t="shared" ca="1" si="824"/>
        <v>0</v>
      </c>
      <c r="EE505" s="171">
        <f t="shared" ca="1" si="825"/>
        <v>0</v>
      </c>
      <c r="EF505" s="171">
        <f t="shared" ca="1" si="826"/>
        <v>0</v>
      </c>
      <c r="EG505" s="171">
        <f t="shared" ca="1" si="827"/>
        <v>0</v>
      </c>
      <c r="EH505" s="171">
        <f t="shared" ca="1" si="828"/>
        <v>0</v>
      </c>
      <c r="EI505" s="171">
        <f t="shared" ca="1" si="829"/>
        <v>0</v>
      </c>
      <c r="EJ505" s="171">
        <f t="shared" ca="1" si="830"/>
        <v>0</v>
      </c>
      <c r="EK505" s="171">
        <f t="shared" ca="1" si="831"/>
        <v>0</v>
      </c>
      <c r="EL505" s="171">
        <f t="shared" ca="1" si="832"/>
        <v>0</v>
      </c>
      <c r="EM505" s="171">
        <f t="shared" ca="1" si="833"/>
        <v>0</v>
      </c>
      <c r="EN505" s="171">
        <f t="shared" ca="1" si="834"/>
        <v>0</v>
      </c>
      <c r="EO505" s="171">
        <f t="shared" ca="1" si="835"/>
        <v>0</v>
      </c>
      <c r="EP505" s="171">
        <f t="shared" ca="1" si="836"/>
        <v>0</v>
      </c>
      <c r="EQ505" s="171">
        <f t="shared" ca="1" si="837"/>
        <v>0</v>
      </c>
      <c r="ER505" s="171">
        <f t="shared" ca="1" si="838"/>
        <v>0</v>
      </c>
      <c r="ES505" s="171">
        <f t="shared" ca="1" si="839"/>
        <v>0</v>
      </c>
    </row>
    <row r="506" spans="3:149">
      <c r="C506" s="157"/>
      <c r="L506" s="163"/>
      <c r="M506" s="164" t="str">
        <f t="shared" si="770"/>
        <v/>
      </c>
      <c r="N506" s="164" t="str">
        <f t="shared" si="771"/>
        <v/>
      </c>
      <c r="O506" s="165" t="str">
        <f t="shared" si="772"/>
        <v/>
      </c>
      <c r="R506" s="168" t="str">
        <f t="shared" si="840"/>
        <v/>
      </c>
      <c r="U506" s="171">
        <f t="shared" si="773"/>
        <v>0</v>
      </c>
      <c r="V506" s="171">
        <f t="shared" ca="1" si="774"/>
        <v>0</v>
      </c>
      <c r="W506" s="171">
        <f t="shared" ca="1" si="775"/>
        <v>0</v>
      </c>
      <c r="X506" s="172">
        <f t="shared" si="776"/>
        <v>0</v>
      </c>
      <c r="Y506" s="172" t="str">
        <f t="shared" si="777"/>
        <v/>
      </c>
      <c r="Z506" s="173">
        <f t="shared" si="778"/>
        <v>0</v>
      </c>
      <c r="AA506" s="171">
        <f t="shared" si="841"/>
        <v>0</v>
      </c>
      <c r="AB506" s="171">
        <f t="shared" si="841"/>
        <v>0</v>
      </c>
      <c r="AC506" s="171">
        <f t="shared" si="841"/>
        <v>0</v>
      </c>
      <c r="AD506" s="171">
        <f t="shared" si="841"/>
        <v>0</v>
      </c>
      <c r="AE506" s="171">
        <f t="shared" si="841"/>
        <v>0</v>
      </c>
      <c r="AF506" s="171">
        <f t="shared" si="841"/>
        <v>0</v>
      </c>
      <c r="AG506" s="171">
        <f t="shared" si="841"/>
        <v>0</v>
      </c>
      <c r="AH506" s="171">
        <f t="shared" si="841"/>
        <v>0</v>
      </c>
      <c r="AI506" s="171">
        <f t="shared" si="841"/>
        <v>0</v>
      </c>
      <c r="AJ506" s="171">
        <f t="shared" si="841"/>
        <v>0</v>
      </c>
      <c r="AK506" s="171">
        <f t="shared" si="842"/>
        <v>0</v>
      </c>
      <c r="AL506" s="171">
        <f t="shared" si="842"/>
        <v>0</v>
      </c>
      <c r="AM506" s="171">
        <f t="shared" si="842"/>
        <v>0</v>
      </c>
      <c r="AN506" s="171">
        <f t="shared" si="842"/>
        <v>0</v>
      </c>
      <c r="AO506" s="171">
        <f t="shared" si="842"/>
        <v>0</v>
      </c>
      <c r="AP506" s="171">
        <f t="shared" si="842"/>
        <v>0</v>
      </c>
      <c r="AQ506" s="171">
        <f t="shared" si="842"/>
        <v>0</v>
      </c>
      <c r="AR506" s="171">
        <f t="shared" si="842"/>
        <v>0</v>
      </c>
      <c r="AS506" s="171">
        <f t="shared" si="842"/>
        <v>0</v>
      </c>
      <c r="AT506" s="171">
        <f t="shared" si="842"/>
        <v>0</v>
      </c>
      <c r="AU506" s="171">
        <f t="shared" si="843"/>
        <v>0</v>
      </c>
      <c r="AV506" s="171">
        <f t="shared" si="843"/>
        <v>0</v>
      </c>
      <c r="AW506" s="171">
        <f t="shared" si="843"/>
        <v>0</v>
      </c>
      <c r="AX506" s="171">
        <f t="shared" si="843"/>
        <v>0</v>
      </c>
      <c r="AY506" s="171">
        <f t="shared" si="843"/>
        <v>0</v>
      </c>
      <c r="AZ506" s="171">
        <f t="shared" si="843"/>
        <v>0</v>
      </c>
      <c r="BA506" s="171">
        <f t="shared" si="843"/>
        <v>0</v>
      </c>
      <c r="BB506" s="171">
        <f t="shared" si="843"/>
        <v>0</v>
      </c>
      <c r="BC506" s="171">
        <f t="shared" si="843"/>
        <v>0</v>
      </c>
      <c r="BD506" s="171">
        <f t="shared" si="843"/>
        <v>0</v>
      </c>
      <c r="BE506" s="171">
        <f t="shared" si="844"/>
        <v>0</v>
      </c>
      <c r="BF506" s="171">
        <f t="shared" si="844"/>
        <v>0</v>
      </c>
      <c r="BG506" s="171">
        <f t="shared" si="844"/>
        <v>0</v>
      </c>
      <c r="BH506" s="171">
        <f t="shared" si="844"/>
        <v>0</v>
      </c>
      <c r="BI506" s="171">
        <f t="shared" si="844"/>
        <v>0</v>
      </c>
      <c r="BJ506" s="171">
        <f t="shared" si="844"/>
        <v>0</v>
      </c>
      <c r="BK506" s="171">
        <f t="shared" si="844"/>
        <v>0</v>
      </c>
      <c r="BL506" s="171">
        <f t="shared" si="844"/>
        <v>0</v>
      </c>
      <c r="BM506" s="171">
        <f t="shared" si="844"/>
        <v>0</v>
      </c>
      <c r="BN506" s="171">
        <f t="shared" si="844"/>
        <v>0</v>
      </c>
      <c r="BO506" s="171">
        <f t="shared" si="845"/>
        <v>0</v>
      </c>
      <c r="BP506" s="171">
        <f t="shared" si="845"/>
        <v>0</v>
      </c>
      <c r="BQ506" s="171">
        <f t="shared" si="845"/>
        <v>0</v>
      </c>
      <c r="BR506" s="171">
        <f t="shared" si="845"/>
        <v>0</v>
      </c>
      <c r="BS506" s="171">
        <f t="shared" si="845"/>
        <v>0</v>
      </c>
      <c r="BT506" s="171">
        <f t="shared" si="845"/>
        <v>0</v>
      </c>
      <c r="BU506" s="171">
        <f t="shared" si="845"/>
        <v>0</v>
      </c>
      <c r="BV506" s="171">
        <f t="shared" si="845"/>
        <v>0</v>
      </c>
      <c r="BW506" s="171">
        <f t="shared" si="845"/>
        <v>0</v>
      </c>
      <c r="BX506" s="171">
        <f t="shared" si="845"/>
        <v>0</v>
      </c>
      <c r="BY506" s="171">
        <f t="shared" si="846"/>
        <v>0</v>
      </c>
      <c r="BZ506" s="171">
        <f t="shared" si="846"/>
        <v>0</v>
      </c>
      <c r="CA506" s="171">
        <f t="shared" si="846"/>
        <v>0</v>
      </c>
      <c r="CB506" s="171">
        <f t="shared" si="846"/>
        <v>0</v>
      </c>
      <c r="CC506" s="171">
        <f t="shared" si="846"/>
        <v>0</v>
      </c>
      <c r="CD506" s="171">
        <f t="shared" si="846"/>
        <v>0</v>
      </c>
      <c r="CE506" s="171">
        <f t="shared" si="846"/>
        <v>0</v>
      </c>
      <c r="CF506" s="171">
        <f t="shared" si="846"/>
        <v>0</v>
      </c>
      <c r="CG506" s="171">
        <f t="shared" si="846"/>
        <v>0</v>
      </c>
      <c r="CH506" s="171">
        <f t="shared" si="846"/>
        <v>0</v>
      </c>
      <c r="CI506" s="171">
        <f t="shared" si="846"/>
        <v>0</v>
      </c>
      <c r="CJ506" s="243"/>
      <c r="CK506" s="171">
        <f t="shared" si="779"/>
        <v>0</v>
      </c>
      <c r="CL506" s="171">
        <f t="shared" si="780"/>
        <v>0</v>
      </c>
      <c r="CM506" s="171">
        <f t="shared" si="781"/>
        <v>0</v>
      </c>
      <c r="CN506" s="171">
        <f t="shared" si="782"/>
        <v>0</v>
      </c>
      <c r="CO506" s="171">
        <f t="shared" si="783"/>
        <v>0</v>
      </c>
      <c r="CP506" s="171">
        <f t="shared" si="784"/>
        <v>0</v>
      </c>
      <c r="CQ506" s="171">
        <f t="shared" si="785"/>
        <v>0</v>
      </c>
      <c r="CR506" s="171">
        <f t="shared" si="786"/>
        <v>0</v>
      </c>
      <c r="CS506" s="171">
        <f t="shared" si="787"/>
        <v>0</v>
      </c>
      <c r="CT506" s="171">
        <f t="shared" si="788"/>
        <v>0</v>
      </c>
      <c r="CU506" s="171">
        <f t="shared" si="789"/>
        <v>0</v>
      </c>
      <c r="CV506" s="171">
        <f t="shared" si="790"/>
        <v>0</v>
      </c>
      <c r="CW506" s="171">
        <f t="shared" si="791"/>
        <v>0</v>
      </c>
      <c r="CX506" s="171">
        <f t="shared" si="792"/>
        <v>0</v>
      </c>
      <c r="CY506" s="171">
        <f t="shared" ca="1" si="793"/>
        <v>0</v>
      </c>
      <c r="CZ506" s="171">
        <f t="shared" ca="1" si="794"/>
        <v>0</v>
      </c>
      <c r="DA506" s="171">
        <f t="shared" ca="1" si="795"/>
        <v>0</v>
      </c>
      <c r="DB506" s="171">
        <f t="shared" ca="1" si="796"/>
        <v>0</v>
      </c>
      <c r="DC506" s="171">
        <f t="shared" ca="1" si="797"/>
        <v>0</v>
      </c>
      <c r="DD506" s="171">
        <f t="shared" ca="1" si="798"/>
        <v>0</v>
      </c>
      <c r="DE506" s="171">
        <f t="shared" ca="1" si="799"/>
        <v>0</v>
      </c>
      <c r="DF506" s="171">
        <f t="shared" ca="1" si="800"/>
        <v>0</v>
      </c>
      <c r="DG506" s="171">
        <f t="shared" ca="1" si="801"/>
        <v>0</v>
      </c>
      <c r="DH506" s="171">
        <f t="shared" ca="1" si="802"/>
        <v>0</v>
      </c>
      <c r="DI506" s="171">
        <f t="shared" ca="1" si="803"/>
        <v>0</v>
      </c>
      <c r="DJ506" s="171">
        <f t="shared" ca="1" si="804"/>
        <v>0</v>
      </c>
      <c r="DK506" s="171">
        <f t="shared" ca="1" si="805"/>
        <v>0</v>
      </c>
      <c r="DL506" s="171">
        <f t="shared" ca="1" si="806"/>
        <v>0</v>
      </c>
      <c r="DM506" s="171">
        <f t="shared" ca="1" si="807"/>
        <v>0</v>
      </c>
      <c r="DN506" s="171">
        <f t="shared" ca="1" si="808"/>
        <v>0</v>
      </c>
      <c r="DO506" s="171">
        <f t="shared" ca="1" si="809"/>
        <v>0</v>
      </c>
      <c r="DP506" s="171">
        <f t="shared" ca="1" si="810"/>
        <v>0</v>
      </c>
      <c r="DQ506" s="171">
        <f t="shared" ca="1" si="811"/>
        <v>0</v>
      </c>
      <c r="DR506" s="171">
        <f t="shared" ca="1" si="812"/>
        <v>0</v>
      </c>
      <c r="DS506" s="171">
        <f t="shared" ca="1" si="813"/>
        <v>0</v>
      </c>
      <c r="DT506" s="171">
        <f t="shared" ca="1" si="814"/>
        <v>0</v>
      </c>
      <c r="DU506" s="171">
        <f t="shared" ca="1" si="815"/>
        <v>0</v>
      </c>
      <c r="DV506" s="171">
        <f t="shared" ca="1" si="816"/>
        <v>0</v>
      </c>
      <c r="DW506" s="171">
        <f t="shared" ca="1" si="817"/>
        <v>0</v>
      </c>
      <c r="DX506" s="171">
        <f t="shared" ca="1" si="818"/>
        <v>0</v>
      </c>
      <c r="DY506" s="171">
        <f t="shared" ca="1" si="819"/>
        <v>0</v>
      </c>
      <c r="DZ506" s="171">
        <f t="shared" ca="1" si="820"/>
        <v>0</v>
      </c>
      <c r="EA506" s="171">
        <f t="shared" ca="1" si="821"/>
        <v>0</v>
      </c>
      <c r="EB506" s="171">
        <f t="shared" ca="1" si="822"/>
        <v>0</v>
      </c>
      <c r="EC506" s="171">
        <f t="shared" ca="1" si="823"/>
        <v>0</v>
      </c>
      <c r="ED506" s="171">
        <f t="shared" ca="1" si="824"/>
        <v>0</v>
      </c>
      <c r="EE506" s="171">
        <f t="shared" ca="1" si="825"/>
        <v>0</v>
      </c>
      <c r="EF506" s="171">
        <f t="shared" ca="1" si="826"/>
        <v>0</v>
      </c>
      <c r="EG506" s="171">
        <f t="shared" ca="1" si="827"/>
        <v>0</v>
      </c>
      <c r="EH506" s="171">
        <f t="shared" ca="1" si="828"/>
        <v>0</v>
      </c>
      <c r="EI506" s="171">
        <f t="shared" ca="1" si="829"/>
        <v>0</v>
      </c>
      <c r="EJ506" s="171">
        <f t="shared" ca="1" si="830"/>
        <v>0</v>
      </c>
      <c r="EK506" s="171">
        <f t="shared" ca="1" si="831"/>
        <v>0</v>
      </c>
      <c r="EL506" s="171">
        <f t="shared" ca="1" si="832"/>
        <v>0</v>
      </c>
      <c r="EM506" s="171">
        <f t="shared" ca="1" si="833"/>
        <v>0</v>
      </c>
      <c r="EN506" s="171">
        <f t="shared" ca="1" si="834"/>
        <v>0</v>
      </c>
      <c r="EO506" s="171">
        <f t="shared" ca="1" si="835"/>
        <v>0</v>
      </c>
      <c r="EP506" s="171">
        <f t="shared" ca="1" si="836"/>
        <v>0</v>
      </c>
      <c r="EQ506" s="171">
        <f t="shared" ca="1" si="837"/>
        <v>0</v>
      </c>
      <c r="ER506" s="171">
        <f t="shared" ca="1" si="838"/>
        <v>0</v>
      </c>
      <c r="ES506" s="171">
        <f t="shared" ca="1" si="839"/>
        <v>0</v>
      </c>
    </row>
    <row r="507" spans="3:149">
      <c r="C507" s="157"/>
      <c r="L507" s="163"/>
      <c r="M507" s="164" t="str">
        <f t="shared" si="770"/>
        <v/>
      </c>
      <c r="N507" s="164" t="str">
        <f t="shared" si="771"/>
        <v/>
      </c>
      <c r="O507" s="165" t="str">
        <f t="shared" si="772"/>
        <v/>
      </c>
      <c r="R507" s="168" t="str">
        <f t="shared" si="840"/>
        <v/>
      </c>
      <c r="U507" s="171">
        <f t="shared" si="773"/>
        <v>0</v>
      </c>
      <c r="V507" s="171">
        <f t="shared" ca="1" si="774"/>
        <v>0</v>
      </c>
      <c r="W507" s="171">
        <f t="shared" ca="1" si="775"/>
        <v>0</v>
      </c>
      <c r="X507" s="172">
        <f t="shared" si="776"/>
        <v>0</v>
      </c>
      <c r="Y507" s="172" t="str">
        <f t="shared" si="777"/>
        <v/>
      </c>
      <c r="Z507" s="173">
        <f t="shared" si="778"/>
        <v>0</v>
      </c>
      <c r="AA507" s="171">
        <f t="shared" si="841"/>
        <v>0</v>
      </c>
      <c r="AB507" s="171">
        <f t="shared" si="841"/>
        <v>0</v>
      </c>
      <c r="AC507" s="171">
        <f t="shared" si="841"/>
        <v>0</v>
      </c>
      <c r="AD507" s="171">
        <f t="shared" si="841"/>
        <v>0</v>
      </c>
      <c r="AE507" s="171">
        <f t="shared" si="841"/>
        <v>0</v>
      </c>
      <c r="AF507" s="171">
        <f t="shared" si="841"/>
        <v>0</v>
      </c>
      <c r="AG507" s="171">
        <f t="shared" si="841"/>
        <v>0</v>
      </c>
      <c r="AH507" s="171">
        <f t="shared" si="841"/>
        <v>0</v>
      </c>
      <c r="AI507" s="171">
        <f t="shared" si="841"/>
        <v>0</v>
      </c>
      <c r="AJ507" s="171">
        <f t="shared" si="841"/>
        <v>0</v>
      </c>
      <c r="AK507" s="171">
        <f t="shared" si="842"/>
        <v>0</v>
      </c>
      <c r="AL507" s="171">
        <f t="shared" si="842"/>
        <v>0</v>
      </c>
      <c r="AM507" s="171">
        <f t="shared" si="842"/>
        <v>0</v>
      </c>
      <c r="AN507" s="171">
        <f t="shared" si="842"/>
        <v>0</v>
      </c>
      <c r="AO507" s="171">
        <f t="shared" si="842"/>
        <v>0</v>
      </c>
      <c r="AP507" s="171">
        <f t="shared" si="842"/>
        <v>0</v>
      </c>
      <c r="AQ507" s="171">
        <f t="shared" si="842"/>
        <v>0</v>
      </c>
      <c r="AR507" s="171">
        <f t="shared" si="842"/>
        <v>0</v>
      </c>
      <c r="AS507" s="171">
        <f t="shared" si="842"/>
        <v>0</v>
      </c>
      <c r="AT507" s="171">
        <f t="shared" si="842"/>
        <v>0</v>
      </c>
      <c r="AU507" s="171">
        <f t="shared" si="843"/>
        <v>0</v>
      </c>
      <c r="AV507" s="171">
        <f t="shared" si="843"/>
        <v>0</v>
      </c>
      <c r="AW507" s="171">
        <f t="shared" si="843"/>
        <v>0</v>
      </c>
      <c r="AX507" s="171">
        <f t="shared" si="843"/>
        <v>0</v>
      </c>
      <c r="AY507" s="171">
        <f t="shared" si="843"/>
        <v>0</v>
      </c>
      <c r="AZ507" s="171">
        <f t="shared" si="843"/>
        <v>0</v>
      </c>
      <c r="BA507" s="171">
        <f t="shared" si="843"/>
        <v>0</v>
      </c>
      <c r="BB507" s="171">
        <f t="shared" si="843"/>
        <v>0</v>
      </c>
      <c r="BC507" s="171">
        <f t="shared" si="843"/>
        <v>0</v>
      </c>
      <c r="BD507" s="171">
        <f t="shared" si="843"/>
        <v>0</v>
      </c>
      <c r="BE507" s="171">
        <f t="shared" si="844"/>
        <v>0</v>
      </c>
      <c r="BF507" s="171">
        <f t="shared" si="844"/>
        <v>0</v>
      </c>
      <c r="BG507" s="171">
        <f t="shared" si="844"/>
        <v>0</v>
      </c>
      <c r="BH507" s="171">
        <f t="shared" si="844"/>
        <v>0</v>
      </c>
      <c r="BI507" s="171">
        <f t="shared" si="844"/>
        <v>0</v>
      </c>
      <c r="BJ507" s="171">
        <f t="shared" si="844"/>
        <v>0</v>
      </c>
      <c r="BK507" s="171">
        <f t="shared" si="844"/>
        <v>0</v>
      </c>
      <c r="BL507" s="171">
        <f t="shared" si="844"/>
        <v>0</v>
      </c>
      <c r="BM507" s="171">
        <f t="shared" si="844"/>
        <v>0</v>
      </c>
      <c r="BN507" s="171">
        <f t="shared" si="844"/>
        <v>0</v>
      </c>
      <c r="BO507" s="171">
        <f t="shared" si="845"/>
        <v>0</v>
      </c>
      <c r="BP507" s="171">
        <f t="shared" si="845"/>
        <v>0</v>
      </c>
      <c r="BQ507" s="171">
        <f t="shared" si="845"/>
        <v>0</v>
      </c>
      <c r="BR507" s="171">
        <f t="shared" si="845"/>
        <v>0</v>
      </c>
      <c r="BS507" s="171">
        <f t="shared" si="845"/>
        <v>0</v>
      </c>
      <c r="BT507" s="171">
        <f t="shared" si="845"/>
        <v>0</v>
      </c>
      <c r="BU507" s="171">
        <f t="shared" si="845"/>
        <v>0</v>
      </c>
      <c r="BV507" s="171">
        <f t="shared" si="845"/>
        <v>0</v>
      </c>
      <c r="BW507" s="171">
        <f t="shared" si="845"/>
        <v>0</v>
      </c>
      <c r="BX507" s="171">
        <f t="shared" si="845"/>
        <v>0</v>
      </c>
      <c r="BY507" s="171">
        <f t="shared" si="846"/>
        <v>0</v>
      </c>
      <c r="BZ507" s="171">
        <f t="shared" si="846"/>
        <v>0</v>
      </c>
      <c r="CA507" s="171">
        <f t="shared" si="846"/>
        <v>0</v>
      </c>
      <c r="CB507" s="171">
        <f t="shared" si="846"/>
        <v>0</v>
      </c>
      <c r="CC507" s="171">
        <f t="shared" si="846"/>
        <v>0</v>
      </c>
      <c r="CD507" s="171">
        <f t="shared" si="846"/>
        <v>0</v>
      </c>
      <c r="CE507" s="171">
        <f t="shared" si="846"/>
        <v>0</v>
      </c>
      <c r="CF507" s="171">
        <f t="shared" si="846"/>
        <v>0</v>
      </c>
      <c r="CG507" s="171">
        <f t="shared" si="846"/>
        <v>0</v>
      </c>
      <c r="CH507" s="171">
        <f t="shared" si="846"/>
        <v>0</v>
      </c>
      <c r="CI507" s="171">
        <f t="shared" si="846"/>
        <v>0</v>
      </c>
      <c r="CJ507" s="243"/>
      <c r="CK507" s="171">
        <f t="shared" si="779"/>
        <v>0</v>
      </c>
      <c r="CL507" s="171">
        <f t="shared" si="780"/>
        <v>0</v>
      </c>
      <c r="CM507" s="171">
        <f t="shared" si="781"/>
        <v>0</v>
      </c>
      <c r="CN507" s="171">
        <f t="shared" si="782"/>
        <v>0</v>
      </c>
      <c r="CO507" s="171">
        <f t="shared" si="783"/>
        <v>0</v>
      </c>
      <c r="CP507" s="171">
        <f t="shared" si="784"/>
        <v>0</v>
      </c>
      <c r="CQ507" s="171">
        <f t="shared" si="785"/>
        <v>0</v>
      </c>
      <c r="CR507" s="171">
        <f t="shared" si="786"/>
        <v>0</v>
      </c>
      <c r="CS507" s="171">
        <f t="shared" si="787"/>
        <v>0</v>
      </c>
      <c r="CT507" s="171">
        <f t="shared" si="788"/>
        <v>0</v>
      </c>
      <c r="CU507" s="171">
        <f t="shared" si="789"/>
        <v>0</v>
      </c>
      <c r="CV507" s="171">
        <f t="shared" si="790"/>
        <v>0</v>
      </c>
      <c r="CW507" s="171">
        <f t="shared" si="791"/>
        <v>0</v>
      </c>
      <c r="CX507" s="171">
        <f t="shared" si="792"/>
        <v>0</v>
      </c>
      <c r="CY507" s="171">
        <f t="shared" ca="1" si="793"/>
        <v>0</v>
      </c>
      <c r="CZ507" s="171">
        <f t="shared" ca="1" si="794"/>
        <v>0</v>
      </c>
      <c r="DA507" s="171">
        <f t="shared" ca="1" si="795"/>
        <v>0</v>
      </c>
      <c r="DB507" s="171">
        <f t="shared" ca="1" si="796"/>
        <v>0</v>
      </c>
      <c r="DC507" s="171">
        <f t="shared" ca="1" si="797"/>
        <v>0</v>
      </c>
      <c r="DD507" s="171">
        <f t="shared" ca="1" si="798"/>
        <v>0</v>
      </c>
      <c r="DE507" s="171">
        <f t="shared" ca="1" si="799"/>
        <v>0</v>
      </c>
      <c r="DF507" s="171">
        <f t="shared" ca="1" si="800"/>
        <v>0</v>
      </c>
      <c r="DG507" s="171">
        <f t="shared" ca="1" si="801"/>
        <v>0</v>
      </c>
      <c r="DH507" s="171">
        <f t="shared" ca="1" si="802"/>
        <v>0</v>
      </c>
      <c r="DI507" s="171">
        <f t="shared" ca="1" si="803"/>
        <v>0</v>
      </c>
      <c r="DJ507" s="171">
        <f t="shared" ca="1" si="804"/>
        <v>0</v>
      </c>
      <c r="DK507" s="171">
        <f t="shared" ca="1" si="805"/>
        <v>0</v>
      </c>
      <c r="DL507" s="171">
        <f t="shared" ca="1" si="806"/>
        <v>0</v>
      </c>
      <c r="DM507" s="171">
        <f t="shared" ca="1" si="807"/>
        <v>0</v>
      </c>
      <c r="DN507" s="171">
        <f t="shared" ca="1" si="808"/>
        <v>0</v>
      </c>
      <c r="DO507" s="171">
        <f t="shared" ca="1" si="809"/>
        <v>0</v>
      </c>
      <c r="DP507" s="171">
        <f t="shared" ca="1" si="810"/>
        <v>0</v>
      </c>
      <c r="DQ507" s="171">
        <f t="shared" ca="1" si="811"/>
        <v>0</v>
      </c>
      <c r="DR507" s="171">
        <f t="shared" ca="1" si="812"/>
        <v>0</v>
      </c>
      <c r="DS507" s="171">
        <f t="shared" ca="1" si="813"/>
        <v>0</v>
      </c>
      <c r="DT507" s="171">
        <f t="shared" ca="1" si="814"/>
        <v>0</v>
      </c>
      <c r="DU507" s="171">
        <f t="shared" ca="1" si="815"/>
        <v>0</v>
      </c>
      <c r="DV507" s="171">
        <f t="shared" ca="1" si="816"/>
        <v>0</v>
      </c>
      <c r="DW507" s="171">
        <f t="shared" ca="1" si="817"/>
        <v>0</v>
      </c>
      <c r="DX507" s="171">
        <f t="shared" ca="1" si="818"/>
        <v>0</v>
      </c>
      <c r="DY507" s="171">
        <f t="shared" ca="1" si="819"/>
        <v>0</v>
      </c>
      <c r="DZ507" s="171">
        <f t="shared" ca="1" si="820"/>
        <v>0</v>
      </c>
      <c r="EA507" s="171">
        <f t="shared" ca="1" si="821"/>
        <v>0</v>
      </c>
      <c r="EB507" s="171">
        <f t="shared" ca="1" si="822"/>
        <v>0</v>
      </c>
      <c r="EC507" s="171">
        <f t="shared" ca="1" si="823"/>
        <v>0</v>
      </c>
      <c r="ED507" s="171">
        <f t="shared" ca="1" si="824"/>
        <v>0</v>
      </c>
      <c r="EE507" s="171">
        <f t="shared" ca="1" si="825"/>
        <v>0</v>
      </c>
      <c r="EF507" s="171">
        <f t="shared" ca="1" si="826"/>
        <v>0</v>
      </c>
      <c r="EG507" s="171">
        <f t="shared" ca="1" si="827"/>
        <v>0</v>
      </c>
      <c r="EH507" s="171">
        <f t="shared" ca="1" si="828"/>
        <v>0</v>
      </c>
      <c r="EI507" s="171">
        <f t="shared" ca="1" si="829"/>
        <v>0</v>
      </c>
      <c r="EJ507" s="171">
        <f t="shared" ca="1" si="830"/>
        <v>0</v>
      </c>
      <c r="EK507" s="171">
        <f t="shared" ca="1" si="831"/>
        <v>0</v>
      </c>
      <c r="EL507" s="171">
        <f t="shared" ca="1" si="832"/>
        <v>0</v>
      </c>
      <c r="EM507" s="171">
        <f t="shared" ca="1" si="833"/>
        <v>0</v>
      </c>
      <c r="EN507" s="171">
        <f t="shared" ca="1" si="834"/>
        <v>0</v>
      </c>
      <c r="EO507" s="171">
        <f t="shared" ca="1" si="835"/>
        <v>0</v>
      </c>
      <c r="EP507" s="171">
        <f t="shared" ca="1" si="836"/>
        <v>0</v>
      </c>
      <c r="EQ507" s="171">
        <f t="shared" ca="1" si="837"/>
        <v>0</v>
      </c>
      <c r="ER507" s="171">
        <f t="shared" ca="1" si="838"/>
        <v>0</v>
      </c>
      <c r="ES507" s="171">
        <f t="shared" ca="1" si="839"/>
        <v>0</v>
      </c>
    </row>
    <row r="508" spans="3:149">
      <c r="C508" s="157"/>
      <c r="L508" s="163"/>
      <c r="M508" s="164" t="str">
        <f t="shared" si="770"/>
        <v/>
      </c>
      <c r="N508" s="164" t="str">
        <f t="shared" si="771"/>
        <v/>
      </c>
      <c r="O508" s="165" t="str">
        <f t="shared" si="772"/>
        <v/>
      </c>
      <c r="R508" s="168" t="str">
        <f t="shared" si="840"/>
        <v/>
      </c>
      <c r="U508" s="171">
        <f t="shared" si="773"/>
        <v>0</v>
      </c>
      <c r="V508" s="171">
        <f t="shared" ca="1" si="774"/>
        <v>0</v>
      </c>
      <c r="W508" s="171">
        <f t="shared" ca="1" si="775"/>
        <v>0</v>
      </c>
      <c r="X508" s="172">
        <f t="shared" si="776"/>
        <v>0</v>
      </c>
      <c r="Y508" s="172" t="str">
        <f t="shared" si="777"/>
        <v/>
      </c>
      <c r="Z508" s="173">
        <f t="shared" si="778"/>
        <v>0</v>
      </c>
      <c r="AA508" s="171">
        <f t="shared" si="841"/>
        <v>0</v>
      </c>
      <c r="AB508" s="171">
        <f t="shared" si="841"/>
        <v>0</v>
      </c>
      <c r="AC508" s="171">
        <f t="shared" si="841"/>
        <v>0</v>
      </c>
      <c r="AD508" s="171">
        <f t="shared" si="841"/>
        <v>0</v>
      </c>
      <c r="AE508" s="171">
        <f t="shared" si="841"/>
        <v>0</v>
      </c>
      <c r="AF508" s="171">
        <f t="shared" si="841"/>
        <v>0</v>
      </c>
      <c r="AG508" s="171">
        <f t="shared" si="841"/>
        <v>0</v>
      </c>
      <c r="AH508" s="171">
        <f t="shared" si="841"/>
        <v>0</v>
      </c>
      <c r="AI508" s="171">
        <f t="shared" si="841"/>
        <v>0</v>
      </c>
      <c r="AJ508" s="171">
        <f t="shared" si="841"/>
        <v>0</v>
      </c>
      <c r="AK508" s="171">
        <f t="shared" si="842"/>
        <v>0</v>
      </c>
      <c r="AL508" s="171">
        <f t="shared" si="842"/>
        <v>0</v>
      </c>
      <c r="AM508" s="171">
        <f t="shared" si="842"/>
        <v>0</v>
      </c>
      <c r="AN508" s="171">
        <f t="shared" si="842"/>
        <v>0</v>
      </c>
      <c r="AO508" s="171">
        <f t="shared" si="842"/>
        <v>0</v>
      </c>
      <c r="AP508" s="171">
        <f t="shared" si="842"/>
        <v>0</v>
      </c>
      <c r="AQ508" s="171">
        <f t="shared" si="842"/>
        <v>0</v>
      </c>
      <c r="AR508" s="171">
        <f t="shared" si="842"/>
        <v>0</v>
      </c>
      <c r="AS508" s="171">
        <f t="shared" si="842"/>
        <v>0</v>
      </c>
      <c r="AT508" s="171">
        <f t="shared" si="842"/>
        <v>0</v>
      </c>
      <c r="AU508" s="171">
        <f t="shared" si="843"/>
        <v>0</v>
      </c>
      <c r="AV508" s="171">
        <f t="shared" si="843"/>
        <v>0</v>
      </c>
      <c r="AW508" s="171">
        <f t="shared" si="843"/>
        <v>0</v>
      </c>
      <c r="AX508" s="171">
        <f t="shared" si="843"/>
        <v>0</v>
      </c>
      <c r="AY508" s="171">
        <f t="shared" si="843"/>
        <v>0</v>
      </c>
      <c r="AZ508" s="171">
        <f t="shared" si="843"/>
        <v>0</v>
      </c>
      <c r="BA508" s="171">
        <f t="shared" si="843"/>
        <v>0</v>
      </c>
      <c r="BB508" s="171">
        <f t="shared" si="843"/>
        <v>0</v>
      </c>
      <c r="BC508" s="171">
        <f t="shared" si="843"/>
        <v>0</v>
      </c>
      <c r="BD508" s="171">
        <f t="shared" si="843"/>
        <v>0</v>
      </c>
      <c r="BE508" s="171">
        <f t="shared" si="844"/>
        <v>0</v>
      </c>
      <c r="BF508" s="171">
        <f t="shared" si="844"/>
        <v>0</v>
      </c>
      <c r="BG508" s="171">
        <f t="shared" si="844"/>
        <v>0</v>
      </c>
      <c r="BH508" s="171">
        <f t="shared" si="844"/>
        <v>0</v>
      </c>
      <c r="BI508" s="171">
        <f t="shared" si="844"/>
        <v>0</v>
      </c>
      <c r="BJ508" s="171">
        <f t="shared" si="844"/>
        <v>0</v>
      </c>
      <c r="BK508" s="171">
        <f t="shared" si="844"/>
        <v>0</v>
      </c>
      <c r="BL508" s="171">
        <f t="shared" si="844"/>
        <v>0</v>
      </c>
      <c r="BM508" s="171">
        <f t="shared" si="844"/>
        <v>0</v>
      </c>
      <c r="BN508" s="171">
        <f t="shared" si="844"/>
        <v>0</v>
      </c>
      <c r="BO508" s="171">
        <f t="shared" si="845"/>
        <v>0</v>
      </c>
      <c r="BP508" s="171">
        <f t="shared" si="845"/>
        <v>0</v>
      </c>
      <c r="BQ508" s="171">
        <f t="shared" si="845"/>
        <v>0</v>
      </c>
      <c r="BR508" s="171">
        <f t="shared" si="845"/>
        <v>0</v>
      </c>
      <c r="BS508" s="171">
        <f t="shared" si="845"/>
        <v>0</v>
      </c>
      <c r="BT508" s="171">
        <f t="shared" si="845"/>
        <v>0</v>
      </c>
      <c r="BU508" s="171">
        <f t="shared" si="845"/>
        <v>0</v>
      </c>
      <c r="BV508" s="171">
        <f t="shared" si="845"/>
        <v>0</v>
      </c>
      <c r="BW508" s="171">
        <f t="shared" si="845"/>
        <v>0</v>
      </c>
      <c r="BX508" s="171">
        <f t="shared" si="845"/>
        <v>0</v>
      </c>
      <c r="BY508" s="171">
        <f t="shared" si="846"/>
        <v>0</v>
      </c>
      <c r="BZ508" s="171">
        <f t="shared" si="846"/>
        <v>0</v>
      </c>
      <c r="CA508" s="171">
        <f t="shared" si="846"/>
        <v>0</v>
      </c>
      <c r="CB508" s="171">
        <f t="shared" si="846"/>
        <v>0</v>
      </c>
      <c r="CC508" s="171">
        <f t="shared" si="846"/>
        <v>0</v>
      </c>
      <c r="CD508" s="171">
        <f t="shared" si="846"/>
        <v>0</v>
      </c>
      <c r="CE508" s="171">
        <f t="shared" si="846"/>
        <v>0</v>
      </c>
      <c r="CF508" s="171">
        <f t="shared" si="846"/>
        <v>0</v>
      </c>
      <c r="CG508" s="171">
        <f t="shared" si="846"/>
        <v>0</v>
      </c>
      <c r="CH508" s="171">
        <f t="shared" si="846"/>
        <v>0</v>
      </c>
      <c r="CI508" s="171">
        <f t="shared" si="846"/>
        <v>0</v>
      </c>
      <c r="CJ508" s="243"/>
      <c r="CK508" s="171">
        <f t="shared" si="779"/>
        <v>0</v>
      </c>
      <c r="CL508" s="171">
        <f t="shared" si="780"/>
        <v>0</v>
      </c>
      <c r="CM508" s="171">
        <f t="shared" si="781"/>
        <v>0</v>
      </c>
      <c r="CN508" s="171">
        <f t="shared" si="782"/>
        <v>0</v>
      </c>
      <c r="CO508" s="171">
        <f t="shared" si="783"/>
        <v>0</v>
      </c>
      <c r="CP508" s="171">
        <f t="shared" si="784"/>
        <v>0</v>
      </c>
      <c r="CQ508" s="171">
        <f t="shared" si="785"/>
        <v>0</v>
      </c>
      <c r="CR508" s="171">
        <f t="shared" si="786"/>
        <v>0</v>
      </c>
      <c r="CS508" s="171">
        <f t="shared" si="787"/>
        <v>0</v>
      </c>
      <c r="CT508" s="171">
        <f t="shared" si="788"/>
        <v>0</v>
      </c>
      <c r="CU508" s="171">
        <f t="shared" si="789"/>
        <v>0</v>
      </c>
      <c r="CV508" s="171">
        <f t="shared" si="790"/>
        <v>0</v>
      </c>
      <c r="CW508" s="171">
        <f t="shared" si="791"/>
        <v>0</v>
      </c>
      <c r="CX508" s="171">
        <f t="shared" si="792"/>
        <v>0</v>
      </c>
      <c r="CY508" s="171">
        <f t="shared" ca="1" si="793"/>
        <v>0</v>
      </c>
      <c r="CZ508" s="171">
        <f t="shared" ca="1" si="794"/>
        <v>0</v>
      </c>
      <c r="DA508" s="171">
        <f t="shared" ca="1" si="795"/>
        <v>0</v>
      </c>
      <c r="DB508" s="171">
        <f t="shared" ca="1" si="796"/>
        <v>0</v>
      </c>
      <c r="DC508" s="171">
        <f t="shared" ca="1" si="797"/>
        <v>0</v>
      </c>
      <c r="DD508" s="171">
        <f t="shared" ca="1" si="798"/>
        <v>0</v>
      </c>
      <c r="DE508" s="171">
        <f t="shared" ca="1" si="799"/>
        <v>0</v>
      </c>
      <c r="DF508" s="171">
        <f t="shared" ca="1" si="800"/>
        <v>0</v>
      </c>
      <c r="DG508" s="171">
        <f t="shared" ca="1" si="801"/>
        <v>0</v>
      </c>
      <c r="DH508" s="171">
        <f t="shared" ca="1" si="802"/>
        <v>0</v>
      </c>
      <c r="DI508" s="171">
        <f t="shared" ca="1" si="803"/>
        <v>0</v>
      </c>
      <c r="DJ508" s="171">
        <f t="shared" ca="1" si="804"/>
        <v>0</v>
      </c>
      <c r="DK508" s="171">
        <f t="shared" ca="1" si="805"/>
        <v>0</v>
      </c>
      <c r="DL508" s="171">
        <f t="shared" ca="1" si="806"/>
        <v>0</v>
      </c>
      <c r="DM508" s="171">
        <f t="shared" ca="1" si="807"/>
        <v>0</v>
      </c>
      <c r="DN508" s="171">
        <f t="shared" ca="1" si="808"/>
        <v>0</v>
      </c>
      <c r="DO508" s="171">
        <f t="shared" ca="1" si="809"/>
        <v>0</v>
      </c>
      <c r="DP508" s="171">
        <f t="shared" ca="1" si="810"/>
        <v>0</v>
      </c>
      <c r="DQ508" s="171">
        <f t="shared" ca="1" si="811"/>
        <v>0</v>
      </c>
      <c r="DR508" s="171">
        <f t="shared" ca="1" si="812"/>
        <v>0</v>
      </c>
      <c r="DS508" s="171">
        <f t="shared" ca="1" si="813"/>
        <v>0</v>
      </c>
      <c r="DT508" s="171">
        <f t="shared" ca="1" si="814"/>
        <v>0</v>
      </c>
      <c r="DU508" s="171">
        <f t="shared" ca="1" si="815"/>
        <v>0</v>
      </c>
      <c r="DV508" s="171">
        <f t="shared" ca="1" si="816"/>
        <v>0</v>
      </c>
      <c r="DW508" s="171">
        <f t="shared" ca="1" si="817"/>
        <v>0</v>
      </c>
      <c r="DX508" s="171">
        <f t="shared" ca="1" si="818"/>
        <v>0</v>
      </c>
      <c r="DY508" s="171">
        <f t="shared" ca="1" si="819"/>
        <v>0</v>
      </c>
      <c r="DZ508" s="171">
        <f t="shared" ca="1" si="820"/>
        <v>0</v>
      </c>
      <c r="EA508" s="171">
        <f t="shared" ca="1" si="821"/>
        <v>0</v>
      </c>
      <c r="EB508" s="171">
        <f t="shared" ca="1" si="822"/>
        <v>0</v>
      </c>
      <c r="EC508" s="171">
        <f t="shared" ca="1" si="823"/>
        <v>0</v>
      </c>
      <c r="ED508" s="171">
        <f t="shared" ca="1" si="824"/>
        <v>0</v>
      </c>
      <c r="EE508" s="171">
        <f t="shared" ca="1" si="825"/>
        <v>0</v>
      </c>
      <c r="EF508" s="171">
        <f t="shared" ca="1" si="826"/>
        <v>0</v>
      </c>
      <c r="EG508" s="171">
        <f t="shared" ca="1" si="827"/>
        <v>0</v>
      </c>
      <c r="EH508" s="171">
        <f t="shared" ca="1" si="828"/>
        <v>0</v>
      </c>
      <c r="EI508" s="171">
        <f t="shared" ca="1" si="829"/>
        <v>0</v>
      </c>
      <c r="EJ508" s="171">
        <f t="shared" ca="1" si="830"/>
        <v>0</v>
      </c>
      <c r="EK508" s="171">
        <f t="shared" ca="1" si="831"/>
        <v>0</v>
      </c>
      <c r="EL508" s="171">
        <f t="shared" ca="1" si="832"/>
        <v>0</v>
      </c>
      <c r="EM508" s="171">
        <f t="shared" ca="1" si="833"/>
        <v>0</v>
      </c>
      <c r="EN508" s="171">
        <f t="shared" ca="1" si="834"/>
        <v>0</v>
      </c>
      <c r="EO508" s="171">
        <f t="shared" ca="1" si="835"/>
        <v>0</v>
      </c>
      <c r="EP508" s="171">
        <f t="shared" ca="1" si="836"/>
        <v>0</v>
      </c>
      <c r="EQ508" s="171">
        <f t="shared" ca="1" si="837"/>
        <v>0</v>
      </c>
      <c r="ER508" s="171">
        <f t="shared" ca="1" si="838"/>
        <v>0</v>
      </c>
      <c r="ES508" s="171">
        <f t="shared" ca="1" si="839"/>
        <v>0</v>
      </c>
    </row>
    <row r="509" spans="3:149">
      <c r="C509" s="157"/>
      <c r="L509" s="163"/>
      <c r="M509" s="164" t="str">
        <f t="shared" si="770"/>
        <v/>
      </c>
      <c r="N509" s="164" t="str">
        <f t="shared" si="771"/>
        <v/>
      </c>
      <c r="O509" s="165" t="str">
        <f t="shared" si="772"/>
        <v/>
      </c>
      <c r="R509" s="168" t="str">
        <f t="shared" si="840"/>
        <v/>
      </c>
      <c r="U509" s="171">
        <f t="shared" si="773"/>
        <v>0</v>
      </c>
      <c r="V509" s="171">
        <f t="shared" ca="1" si="774"/>
        <v>0</v>
      </c>
      <c r="W509" s="171">
        <f t="shared" ca="1" si="775"/>
        <v>0</v>
      </c>
      <c r="X509" s="172">
        <f t="shared" si="776"/>
        <v>0</v>
      </c>
      <c r="Y509" s="172" t="str">
        <f t="shared" si="777"/>
        <v/>
      </c>
      <c r="Z509" s="173">
        <f t="shared" si="778"/>
        <v>0</v>
      </c>
      <c r="AA509" s="171">
        <f t="shared" ref="AA509:AJ516" si="847">IFERROR(
    IF($T509="Equity",
        IF(AND(AA$48&gt;=$E509, AA$48&lt;=($E509+$Q509)),
$K509*$P509*(VLOOKUP($C$39,$C$37:$BL$44,MATCH($E509,$C$37:$BL$37,0),FALSE)/VLOOKUP($L509,$C$37:$BL$44,MATCH($E509,$C$37:$BL$37,0),FALSE))*
IF($B$5="Foreign Currency",VLOOKUP($C$38,$C$37:$BL$44,MATCH(AA$48,$C$37:$BL$37,0),FALSE)/VLOOKUP($C$39,$C$37:$BL$44,MATCH(AA$48,$C$37:$BL$37,0),FALSE),1),
0),
    IF($T509="Lump Sum Principal",
        IF(AND(AA$48&gt;=$E509, AA$48&lt;($E509+$Q509)),
$K509*$P509*(VLOOKUP($C$39,$C$37:$BL$44,MATCH($E509,$C$37:$BL$37,0),FALSE)/VLOOKUP($L509,$C$37:$BL$44,MATCH($E509,$C$37:$BL$37,0),FALSE))*
IF($B$5="Foreign Currency",VLOOKUP($C$38,$C$37:$BL$44,MATCH(AA$48,$C$37:$BL$37,0),FALSE)/VLOOKUP($C$39,$C$37:$BL$44,MATCH(AA$48,$C$37:$BL$37,0),FALSE),1),
        IF(AA$48=($E509+$Q509),
$K509*(1+$P509)*(VLOOKUP($C$39,$C$37:$BL$44,MATCH($E509,$C$37:$BL$37,0),FALSE)/VLOOKUP($L509,$C$37:$BL$44,MATCH($E509,$C$37:$BL$37,0),FALSE))*
IF($B$5="Foreign Currency",VLOOKUP($C$38,$C$37:$BL$44,MATCH(AA$48,$C$37:$BL$37,0),FALSE)/VLOOKUP($C$39,$C$37:$BL$44,MATCH(AA$48,$C$37:$BL$37,0),FALSE),1),
0)),
    IF($T509="Lump Sum Principal and Interest",
        IF(AA$48=($E509+$Q509),
$K509*((1+$P509)^$Q509)*(VLOOKUP($C$39,$C$37:$BL$44,MATCH($E509,$C$37:$BL$37,0),FALSE)/VLOOKUP($L509,$C$37:$BL$44,MATCH($E509,$C$37:$BL$37,0),FALSE))*
IF($B$5="Foreign Currency",VLOOKUP($C$38,$C$37:$BL$44,MATCH(AA$48,$C$37:$BL$37,0),FALSE)/VLOOKUP($C$39,$C$37:$BL$44,MATCH(AA$48,$C$37:$BL$37,0),FALSE),1),
0),
    IF($T509="EPP with Grace Years for Principal",
        IF(AND(AA$48&gt;=$E509, AA$48&lt;($E509+$S509)),
$K509*$P509*(VLOOKUP($C$39,$C$37:$BL$44,MATCH($E509,$C$37:$BL$37,0),FALSE)/VLOOKUP($L509,$C$37:$BL$44,MATCH($E509,$C$37:$BL$37,0),FALSE))*
IF($B$5="Foreign Currency",VLOOKUP($C$38,$C$37:$BL$44,MATCH(AA$48,$C$37:$BL$37,0),FALSE)/VLOOKUP($C$39,$C$37:$BL$44,MATCH(AA$48,$C$37:$BL$37,0),FALSE),1),
        IF(AND(AA$48&gt;=($E509+$S509), AA$48&lt;=($E509+$Q509)),
-PMT($P509,($Q509-$S509+1),($K509*(VLOOKUP($C$39,$C$37:$BL$44,MATCH($E509,$C$37:$BL$37,0),FALSE)/VLOOKUP($L509,$C$37:$BL$44,MATCH($E509,$C$37:$BL$37,0),FALSE))*
IF($B$5="Foreign Currency",VLOOKUP($C$38,$C$37:$BL$44,MATCH(AA$48,$C$37:$BL$37,0),FALSE)/VLOOKUP($C$39,$C$37:$BL$44,MATCH(AA$48,$C$37:$BL$37,0),FALSE),1)),0),
0)),
    IF($T509="Equal Principal Payments (EPP)",
        IF(AND(AA$48&gt;=$E509, AA$48&lt;=($E509+$Q509)),
-PMT($P509,($Q509-$S509+1),($K509*(VLOOKUP($C$39,$C$37:$BL$44,MATCH($E509,$C$37:$BL$37,0),FALSE)/VLOOKUP($L509,$C$37:$BL$44,MATCH($E509,$C$37:$BL$37,0),FALSE))*
IF($B$5="Foreign Currency",VLOOKUP($C$38,$C$37:$BL$44,MATCH(AA$48,$C$37:$BL$37,0),FALSE)/VLOOKUP($C$39,$C$37:$BL$44,MATCH(AA$48,$C$37:$BL$37,0),FALSE),1)),0), 0),
    IF($T509="EPP with Grace Years for Principal and on Interest",
        IF(AND(AA$48&gt;=($E509+$S509), AA$48&lt;=($E509+$Q509)),
-PMT($P509,($Q509-$S509+1),($K509*(VLOOKUP($C$39,$C$37:$BL$44,MATCH($E509,$C$37:$BL$37,0),FALSE)/VLOOKUP($L509,$C$37:$BL$44,MATCH($E509,$C$37:$BL$37,0),FALSE))*
IF($B$5="Foreign Currency",VLOOKUP($C$38,$C$37:$BL$44,MATCH(AA$48,$C$37:$BL$37,0),FALSE)/VLOOKUP($C$39,$C$37:$BL$44,MATCH(AA$48,$C$37:$BL$37,0),FALSE),1))*((1+$P509)^$S509),0), 0),
    0)))))),"")</f>
        <v>0</v>
      </c>
      <c r="AB509" s="171">
        <f t="shared" si="847"/>
        <v>0</v>
      </c>
      <c r="AC509" s="171">
        <f t="shared" si="847"/>
        <v>0</v>
      </c>
      <c r="AD509" s="171">
        <f t="shared" si="847"/>
        <v>0</v>
      </c>
      <c r="AE509" s="171">
        <f t="shared" si="847"/>
        <v>0</v>
      </c>
      <c r="AF509" s="171">
        <f t="shared" si="847"/>
        <v>0</v>
      </c>
      <c r="AG509" s="171">
        <f t="shared" si="847"/>
        <v>0</v>
      </c>
      <c r="AH509" s="171">
        <f t="shared" si="847"/>
        <v>0</v>
      </c>
      <c r="AI509" s="171">
        <f t="shared" si="847"/>
        <v>0</v>
      </c>
      <c r="AJ509" s="171">
        <f t="shared" si="847"/>
        <v>0</v>
      </c>
      <c r="AK509" s="171">
        <f t="shared" ref="AK509:AT516" si="848">IFERROR(
    IF($T509="Equity",
        IF(AND(AK$48&gt;=$E509, AK$48&lt;=($E509+$Q509)),
$K509*$P509*(VLOOKUP($C$39,$C$37:$BL$44,MATCH($E509,$C$37:$BL$37,0),FALSE)/VLOOKUP($L509,$C$37:$BL$44,MATCH($E509,$C$37:$BL$37,0),FALSE))*
IF($B$5="Foreign Currency",VLOOKUP($C$38,$C$37:$BL$44,MATCH(AK$48,$C$37:$BL$37,0),FALSE)/VLOOKUP($C$39,$C$37:$BL$44,MATCH(AK$48,$C$37:$BL$37,0),FALSE),1),
0),
    IF($T509="Lump Sum Principal",
        IF(AND(AK$48&gt;=$E509, AK$48&lt;($E509+$Q509)),
$K509*$P509*(VLOOKUP($C$39,$C$37:$BL$44,MATCH($E509,$C$37:$BL$37,0),FALSE)/VLOOKUP($L509,$C$37:$BL$44,MATCH($E509,$C$37:$BL$37,0),FALSE))*
IF($B$5="Foreign Currency",VLOOKUP($C$38,$C$37:$BL$44,MATCH(AK$48,$C$37:$BL$37,0),FALSE)/VLOOKUP($C$39,$C$37:$BL$44,MATCH(AK$48,$C$37:$BL$37,0),FALSE),1),
        IF(AK$48=($E509+$Q509),
$K509*(1+$P509)*(VLOOKUP($C$39,$C$37:$BL$44,MATCH($E509,$C$37:$BL$37,0),FALSE)/VLOOKUP($L509,$C$37:$BL$44,MATCH($E509,$C$37:$BL$37,0),FALSE))*
IF($B$5="Foreign Currency",VLOOKUP($C$38,$C$37:$BL$44,MATCH(AK$48,$C$37:$BL$37,0),FALSE)/VLOOKUP($C$39,$C$37:$BL$44,MATCH(AK$48,$C$37:$BL$37,0),FALSE),1),
0)),
    IF($T509="Lump Sum Principal and Interest",
        IF(AK$48=($E509+$Q509),
$K509*((1+$P509)^$Q509)*(VLOOKUP($C$39,$C$37:$BL$44,MATCH($E509,$C$37:$BL$37,0),FALSE)/VLOOKUP($L509,$C$37:$BL$44,MATCH($E509,$C$37:$BL$37,0),FALSE))*
IF($B$5="Foreign Currency",VLOOKUP($C$38,$C$37:$BL$44,MATCH(AK$48,$C$37:$BL$37,0),FALSE)/VLOOKUP($C$39,$C$37:$BL$44,MATCH(AK$48,$C$37:$BL$37,0),FALSE),1),
0),
    IF($T509="EPP with Grace Years for Principal",
        IF(AND(AK$48&gt;=$E509, AK$48&lt;($E509+$S509)),
$K509*$P509*(VLOOKUP($C$39,$C$37:$BL$44,MATCH($E509,$C$37:$BL$37,0),FALSE)/VLOOKUP($L509,$C$37:$BL$44,MATCH($E509,$C$37:$BL$37,0),FALSE))*
IF($B$5="Foreign Currency",VLOOKUP($C$38,$C$37:$BL$44,MATCH(AK$48,$C$37:$BL$37,0),FALSE)/VLOOKUP($C$39,$C$37:$BL$44,MATCH(AK$48,$C$37:$BL$37,0),FALSE),1),
        IF(AND(AK$48&gt;=($E509+$S509), AK$48&lt;=($E509+$Q509)),
-PMT($P509,($Q509-$S509+1),($K509*(VLOOKUP($C$39,$C$37:$BL$44,MATCH($E509,$C$37:$BL$37,0),FALSE)/VLOOKUP($L509,$C$37:$BL$44,MATCH($E509,$C$37:$BL$37,0),FALSE))*
IF($B$5="Foreign Currency",VLOOKUP($C$38,$C$37:$BL$44,MATCH(AK$48,$C$37:$BL$37,0),FALSE)/VLOOKUP($C$39,$C$37:$BL$44,MATCH(AK$48,$C$37:$BL$37,0),FALSE),1)),0),
0)),
    IF($T509="Equal Principal Payments (EPP)",
        IF(AND(AK$48&gt;=$E509, AK$48&lt;=($E509+$Q509)),
-PMT($P509,($Q509-$S509+1),($K509*(VLOOKUP($C$39,$C$37:$BL$44,MATCH($E509,$C$37:$BL$37,0),FALSE)/VLOOKUP($L509,$C$37:$BL$44,MATCH($E509,$C$37:$BL$37,0),FALSE))*
IF($B$5="Foreign Currency",VLOOKUP($C$38,$C$37:$BL$44,MATCH(AK$48,$C$37:$BL$37,0),FALSE)/VLOOKUP($C$39,$C$37:$BL$44,MATCH(AK$48,$C$37:$BL$37,0),FALSE),1)),0), 0),
    IF($T509="EPP with Grace Years for Principal and on Interest",
        IF(AND(AK$48&gt;=($E509+$S509), AK$48&lt;=($E509+$Q509)),
-PMT($P509,($Q509-$S509+1),($K509*(VLOOKUP($C$39,$C$37:$BL$44,MATCH($E509,$C$37:$BL$37,0),FALSE)/VLOOKUP($L509,$C$37:$BL$44,MATCH($E509,$C$37:$BL$37,0),FALSE))*
IF($B$5="Foreign Currency",VLOOKUP($C$38,$C$37:$BL$44,MATCH(AK$48,$C$37:$BL$37,0),FALSE)/VLOOKUP($C$39,$C$37:$BL$44,MATCH(AK$48,$C$37:$BL$37,0),FALSE),1))*((1+$P509)^$S509),0), 0),
    0)))))),"")</f>
        <v>0</v>
      </c>
      <c r="AL509" s="171">
        <f t="shared" si="848"/>
        <v>0</v>
      </c>
      <c r="AM509" s="171">
        <f t="shared" si="848"/>
        <v>0</v>
      </c>
      <c r="AN509" s="171">
        <f t="shared" si="848"/>
        <v>0</v>
      </c>
      <c r="AO509" s="171">
        <f t="shared" si="848"/>
        <v>0</v>
      </c>
      <c r="AP509" s="171">
        <f t="shared" si="848"/>
        <v>0</v>
      </c>
      <c r="AQ509" s="171">
        <f t="shared" si="848"/>
        <v>0</v>
      </c>
      <c r="AR509" s="171">
        <f t="shared" si="848"/>
        <v>0</v>
      </c>
      <c r="AS509" s="171">
        <f t="shared" si="848"/>
        <v>0</v>
      </c>
      <c r="AT509" s="171">
        <f t="shared" si="848"/>
        <v>0</v>
      </c>
      <c r="AU509" s="171">
        <f t="shared" ref="AU509:BD516" si="849">IFERROR(
    IF($T509="Equity",
        IF(AND(AU$48&gt;=$E509, AU$48&lt;=($E509+$Q509)),
$K509*$P509*(VLOOKUP($C$39,$C$37:$BL$44,MATCH($E509,$C$37:$BL$37,0),FALSE)/VLOOKUP($L509,$C$37:$BL$44,MATCH($E509,$C$37:$BL$37,0),FALSE))*
IF($B$5="Foreign Currency",VLOOKUP($C$38,$C$37:$BL$44,MATCH(AU$48,$C$37:$BL$37,0),FALSE)/VLOOKUP($C$39,$C$37:$BL$44,MATCH(AU$48,$C$37:$BL$37,0),FALSE),1),
0),
    IF($T509="Lump Sum Principal",
        IF(AND(AU$48&gt;=$E509, AU$48&lt;($E509+$Q509)),
$K509*$P509*(VLOOKUP($C$39,$C$37:$BL$44,MATCH($E509,$C$37:$BL$37,0),FALSE)/VLOOKUP($L509,$C$37:$BL$44,MATCH($E509,$C$37:$BL$37,0),FALSE))*
IF($B$5="Foreign Currency",VLOOKUP($C$38,$C$37:$BL$44,MATCH(AU$48,$C$37:$BL$37,0),FALSE)/VLOOKUP($C$39,$C$37:$BL$44,MATCH(AU$48,$C$37:$BL$37,0),FALSE),1),
        IF(AU$48=($E509+$Q509),
$K509*(1+$P509)*(VLOOKUP($C$39,$C$37:$BL$44,MATCH($E509,$C$37:$BL$37,0),FALSE)/VLOOKUP($L509,$C$37:$BL$44,MATCH($E509,$C$37:$BL$37,0),FALSE))*
IF($B$5="Foreign Currency",VLOOKUP($C$38,$C$37:$BL$44,MATCH(AU$48,$C$37:$BL$37,0),FALSE)/VLOOKUP($C$39,$C$37:$BL$44,MATCH(AU$48,$C$37:$BL$37,0),FALSE),1),
0)),
    IF($T509="Lump Sum Principal and Interest",
        IF(AU$48=($E509+$Q509),
$K509*((1+$P509)^$Q509)*(VLOOKUP($C$39,$C$37:$BL$44,MATCH($E509,$C$37:$BL$37,0),FALSE)/VLOOKUP($L509,$C$37:$BL$44,MATCH($E509,$C$37:$BL$37,0),FALSE))*
IF($B$5="Foreign Currency",VLOOKUP($C$38,$C$37:$BL$44,MATCH(AU$48,$C$37:$BL$37,0),FALSE)/VLOOKUP($C$39,$C$37:$BL$44,MATCH(AU$48,$C$37:$BL$37,0),FALSE),1),
0),
    IF($T509="EPP with Grace Years for Principal",
        IF(AND(AU$48&gt;=$E509, AU$48&lt;($E509+$S509)),
$K509*$P509*(VLOOKUP($C$39,$C$37:$BL$44,MATCH($E509,$C$37:$BL$37,0),FALSE)/VLOOKUP($L509,$C$37:$BL$44,MATCH($E509,$C$37:$BL$37,0),FALSE))*
IF($B$5="Foreign Currency",VLOOKUP($C$38,$C$37:$BL$44,MATCH(AU$48,$C$37:$BL$37,0),FALSE)/VLOOKUP($C$39,$C$37:$BL$44,MATCH(AU$48,$C$37:$BL$37,0),FALSE),1),
        IF(AND(AU$48&gt;=($E509+$S509), AU$48&lt;=($E509+$Q509)),
-PMT($P509,($Q509-$S509+1),($K509*(VLOOKUP($C$39,$C$37:$BL$44,MATCH($E509,$C$37:$BL$37,0),FALSE)/VLOOKUP($L509,$C$37:$BL$44,MATCH($E509,$C$37:$BL$37,0),FALSE))*
IF($B$5="Foreign Currency",VLOOKUP($C$38,$C$37:$BL$44,MATCH(AU$48,$C$37:$BL$37,0),FALSE)/VLOOKUP($C$39,$C$37:$BL$44,MATCH(AU$48,$C$37:$BL$37,0),FALSE),1)),0),
0)),
    IF($T509="Equal Principal Payments (EPP)",
        IF(AND(AU$48&gt;=$E509, AU$48&lt;=($E509+$Q509)),
-PMT($P509,($Q509-$S509+1),($K509*(VLOOKUP($C$39,$C$37:$BL$44,MATCH($E509,$C$37:$BL$37,0),FALSE)/VLOOKUP($L509,$C$37:$BL$44,MATCH($E509,$C$37:$BL$37,0),FALSE))*
IF($B$5="Foreign Currency",VLOOKUP($C$38,$C$37:$BL$44,MATCH(AU$48,$C$37:$BL$37,0),FALSE)/VLOOKUP($C$39,$C$37:$BL$44,MATCH(AU$48,$C$37:$BL$37,0),FALSE),1)),0), 0),
    IF($T509="EPP with Grace Years for Principal and on Interest",
        IF(AND(AU$48&gt;=($E509+$S509), AU$48&lt;=($E509+$Q509)),
-PMT($P509,($Q509-$S509+1),($K509*(VLOOKUP($C$39,$C$37:$BL$44,MATCH($E509,$C$37:$BL$37,0),FALSE)/VLOOKUP($L509,$C$37:$BL$44,MATCH($E509,$C$37:$BL$37,0),FALSE))*
IF($B$5="Foreign Currency",VLOOKUP($C$38,$C$37:$BL$44,MATCH(AU$48,$C$37:$BL$37,0),FALSE)/VLOOKUP($C$39,$C$37:$BL$44,MATCH(AU$48,$C$37:$BL$37,0),FALSE),1))*((1+$P509)^$S509),0), 0),
    0)))))),"")</f>
        <v>0</v>
      </c>
      <c r="AV509" s="171">
        <f t="shared" si="849"/>
        <v>0</v>
      </c>
      <c r="AW509" s="171">
        <f t="shared" si="849"/>
        <v>0</v>
      </c>
      <c r="AX509" s="171">
        <f t="shared" si="849"/>
        <v>0</v>
      </c>
      <c r="AY509" s="171">
        <f t="shared" si="849"/>
        <v>0</v>
      </c>
      <c r="AZ509" s="171">
        <f t="shared" si="849"/>
        <v>0</v>
      </c>
      <c r="BA509" s="171">
        <f t="shared" si="849"/>
        <v>0</v>
      </c>
      <c r="BB509" s="171">
        <f t="shared" si="849"/>
        <v>0</v>
      </c>
      <c r="BC509" s="171">
        <f t="shared" si="849"/>
        <v>0</v>
      </c>
      <c r="BD509" s="171">
        <f t="shared" si="849"/>
        <v>0</v>
      </c>
      <c r="BE509" s="171">
        <f t="shared" ref="BE509:BN516" si="850">IFERROR(
    IF($T509="Equity",
        IF(AND(BE$48&gt;=$E509, BE$48&lt;=($E509+$Q509)),
$K509*$P509*(VLOOKUP($C$39,$C$37:$BL$44,MATCH($E509,$C$37:$BL$37,0),FALSE)/VLOOKUP($L509,$C$37:$BL$44,MATCH($E509,$C$37:$BL$37,0),FALSE))*
IF($B$5="Foreign Currency",VLOOKUP($C$38,$C$37:$BL$44,MATCH(BE$48,$C$37:$BL$37,0),FALSE)/VLOOKUP($C$39,$C$37:$BL$44,MATCH(BE$48,$C$37:$BL$37,0),FALSE),1),
0),
    IF($T509="Lump Sum Principal",
        IF(AND(BE$48&gt;=$E509, BE$48&lt;($E509+$Q509)),
$K509*$P509*(VLOOKUP($C$39,$C$37:$BL$44,MATCH($E509,$C$37:$BL$37,0),FALSE)/VLOOKUP($L509,$C$37:$BL$44,MATCH($E509,$C$37:$BL$37,0),FALSE))*
IF($B$5="Foreign Currency",VLOOKUP($C$38,$C$37:$BL$44,MATCH(BE$48,$C$37:$BL$37,0),FALSE)/VLOOKUP($C$39,$C$37:$BL$44,MATCH(BE$48,$C$37:$BL$37,0),FALSE),1),
        IF(BE$48=($E509+$Q509),
$K509*(1+$P509)*(VLOOKUP($C$39,$C$37:$BL$44,MATCH($E509,$C$37:$BL$37,0),FALSE)/VLOOKUP($L509,$C$37:$BL$44,MATCH($E509,$C$37:$BL$37,0),FALSE))*
IF($B$5="Foreign Currency",VLOOKUP($C$38,$C$37:$BL$44,MATCH(BE$48,$C$37:$BL$37,0),FALSE)/VLOOKUP($C$39,$C$37:$BL$44,MATCH(BE$48,$C$37:$BL$37,0),FALSE),1),
0)),
    IF($T509="Lump Sum Principal and Interest",
        IF(BE$48=($E509+$Q509),
$K509*((1+$P509)^$Q509)*(VLOOKUP($C$39,$C$37:$BL$44,MATCH($E509,$C$37:$BL$37,0),FALSE)/VLOOKUP($L509,$C$37:$BL$44,MATCH($E509,$C$37:$BL$37,0),FALSE))*
IF($B$5="Foreign Currency",VLOOKUP($C$38,$C$37:$BL$44,MATCH(BE$48,$C$37:$BL$37,0),FALSE)/VLOOKUP($C$39,$C$37:$BL$44,MATCH(BE$48,$C$37:$BL$37,0),FALSE),1),
0),
    IF($T509="EPP with Grace Years for Principal",
        IF(AND(BE$48&gt;=$E509, BE$48&lt;($E509+$S509)),
$K509*$P509*(VLOOKUP($C$39,$C$37:$BL$44,MATCH($E509,$C$37:$BL$37,0),FALSE)/VLOOKUP($L509,$C$37:$BL$44,MATCH($E509,$C$37:$BL$37,0),FALSE))*
IF($B$5="Foreign Currency",VLOOKUP($C$38,$C$37:$BL$44,MATCH(BE$48,$C$37:$BL$37,0),FALSE)/VLOOKUP($C$39,$C$37:$BL$44,MATCH(BE$48,$C$37:$BL$37,0),FALSE),1),
        IF(AND(BE$48&gt;=($E509+$S509), BE$48&lt;=($E509+$Q509)),
-PMT($P509,($Q509-$S509+1),($K509*(VLOOKUP($C$39,$C$37:$BL$44,MATCH($E509,$C$37:$BL$37,0),FALSE)/VLOOKUP($L509,$C$37:$BL$44,MATCH($E509,$C$37:$BL$37,0),FALSE))*
IF($B$5="Foreign Currency",VLOOKUP($C$38,$C$37:$BL$44,MATCH(BE$48,$C$37:$BL$37,0),FALSE)/VLOOKUP($C$39,$C$37:$BL$44,MATCH(BE$48,$C$37:$BL$37,0),FALSE),1)),0),
0)),
    IF($T509="Equal Principal Payments (EPP)",
        IF(AND(BE$48&gt;=$E509, BE$48&lt;=($E509+$Q509)),
-PMT($P509,($Q509-$S509+1),($K509*(VLOOKUP($C$39,$C$37:$BL$44,MATCH($E509,$C$37:$BL$37,0),FALSE)/VLOOKUP($L509,$C$37:$BL$44,MATCH($E509,$C$37:$BL$37,0),FALSE))*
IF($B$5="Foreign Currency",VLOOKUP($C$38,$C$37:$BL$44,MATCH(BE$48,$C$37:$BL$37,0),FALSE)/VLOOKUP($C$39,$C$37:$BL$44,MATCH(BE$48,$C$37:$BL$37,0),FALSE),1)),0), 0),
    IF($T509="EPP with Grace Years for Principal and on Interest",
        IF(AND(BE$48&gt;=($E509+$S509), BE$48&lt;=($E509+$Q509)),
-PMT($P509,($Q509-$S509+1),($K509*(VLOOKUP($C$39,$C$37:$BL$44,MATCH($E509,$C$37:$BL$37,0),FALSE)/VLOOKUP($L509,$C$37:$BL$44,MATCH($E509,$C$37:$BL$37,0),FALSE))*
IF($B$5="Foreign Currency",VLOOKUP($C$38,$C$37:$BL$44,MATCH(BE$48,$C$37:$BL$37,0),FALSE)/VLOOKUP($C$39,$C$37:$BL$44,MATCH(BE$48,$C$37:$BL$37,0),FALSE),1))*((1+$P509)^$S509),0), 0),
    0)))))),"")</f>
        <v>0</v>
      </c>
      <c r="BF509" s="171">
        <f t="shared" si="850"/>
        <v>0</v>
      </c>
      <c r="BG509" s="171">
        <f t="shared" si="850"/>
        <v>0</v>
      </c>
      <c r="BH509" s="171">
        <f t="shared" si="850"/>
        <v>0</v>
      </c>
      <c r="BI509" s="171">
        <f t="shared" si="850"/>
        <v>0</v>
      </c>
      <c r="BJ509" s="171">
        <f t="shared" si="850"/>
        <v>0</v>
      </c>
      <c r="BK509" s="171">
        <f t="shared" si="850"/>
        <v>0</v>
      </c>
      <c r="BL509" s="171">
        <f t="shared" si="850"/>
        <v>0</v>
      </c>
      <c r="BM509" s="171">
        <f t="shared" si="850"/>
        <v>0</v>
      </c>
      <c r="BN509" s="171">
        <f t="shared" si="850"/>
        <v>0</v>
      </c>
      <c r="BO509" s="171">
        <f t="shared" ref="BO509:BX516" si="851">IFERROR(
    IF($T509="Equity",
        IF(AND(BO$48&gt;=$E509, BO$48&lt;=($E509+$Q509)),
$K509*$P509*(VLOOKUP($C$39,$C$37:$BL$44,MATCH($E509,$C$37:$BL$37,0),FALSE)/VLOOKUP($L509,$C$37:$BL$44,MATCH($E509,$C$37:$BL$37,0),FALSE))*
IF($B$5="Foreign Currency",VLOOKUP($C$38,$C$37:$BL$44,MATCH(BO$48,$C$37:$BL$37,0),FALSE)/VLOOKUP($C$39,$C$37:$BL$44,MATCH(BO$48,$C$37:$BL$37,0),FALSE),1),
0),
    IF($T509="Lump Sum Principal",
        IF(AND(BO$48&gt;=$E509, BO$48&lt;($E509+$Q509)),
$K509*$P509*(VLOOKUP($C$39,$C$37:$BL$44,MATCH($E509,$C$37:$BL$37,0),FALSE)/VLOOKUP($L509,$C$37:$BL$44,MATCH($E509,$C$37:$BL$37,0),FALSE))*
IF($B$5="Foreign Currency",VLOOKUP($C$38,$C$37:$BL$44,MATCH(BO$48,$C$37:$BL$37,0),FALSE)/VLOOKUP($C$39,$C$37:$BL$44,MATCH(BO$48,$C$37:$BL$37,0),FALSE),1),
        IF(BO$48=($E509+$Q509),
$K509*(1+$P509)*(VLOOKUP($C$39,$C$37:$BL$44,MATCH($E509,$C$37:$BL$37,0),FALSE)/VLOOKUP($L509,$C$37:$BL$44,MATCH($E509,$C$37:$BL$37,0),FALSE))*
IF($B$5="Foreign Currency",VLOOKUP($C$38,$C$37:$BL$44,MATCH(BO$48,$C$37:$BL$37,0),FALSE)/VLOOKUP($C$39,$C$37:$BL$44,MATCH(BO$48,$C$37:$BL$37,0),FALSE),1),
0)),
    IF($T509="Lump Sum Principal and Interest",
        IF(BO$48=($E509+$Q509),
$K509*((1+$P509)^$Q509)*(VLOOKUP($C$39,$C$37:$BL$44,MATCH($E509,$C$37:$BL$37,0),FALSE)/VLOOKUP($L509,$C$37:$BL$44,MATCH($E509,$C$37:$BL$37,0),FALSE))*
IF($B$5="Foreign Currency",VLOOKUP($C$38,$C$37:$BL$44,MATCH(BO$48,$C$37:$BL$37,0),FALSE)/VLOOKUP($C$39,$C$37:$BL$44,MATCH(BO$48,$C$37:$BL$37,0),FALSE),1),
0),
    IF($T509="EPP with Grace Years for Principal",
        IF(AND(BO$48&gt;=$E509, BO$48&lt;($E509+$S509)),
$K509*$P509*(VLOOKUP($C$39,$C$37:$BL$44,MATCH($E509,$C$37:$BL$37,0),FALSE)/VLOOKUP($L509,$C$37:$BL$44,MATCH($E509,$C$37:$BL$37,0),FALSE))*
IF($B$5="Foreign Currency",VLOOKUP($C$38,$C$37:$BL$44,MATCH(BO$48,$C$37:$BL$37,0),FALSE)/VLOOKUP($C$39,$C$37:$BL$44,MATCH(BO$48,$C$37:$BL$37,0),FALSE),1),
        IF(AND(BO$48&gt;=($E509+$S509), BO$48&lt;=($E509+$Q509)),
-PMT($P509,($Q509-$S509+1),($K509*(VLOOKUP($C$39,$C$37:$BL$44,MATCH($E509,$C$37:$BL$37,0),FALSE)/VLOOKUP($L509,$C$37:$BL$44,MATCH($E509,$C$37:$BL$37,0),FALSE))*
IF($B$5="Foreign Currency",VLOOKUP($C$38,$C$37:$BL$44,MATCH(BO$48,$C$37:$BL$37,0),FALSE)/VLOOKUP($C$39,$C$37:$BL$44,MATCH(BO$48,$C$37:$BL$37,0),FALSE),1)),0),
0)),
    IF($T509="Equal Principal Payments (EPP)",
        IF(AND(BO$48&gt;=$E509, BO$48&lt;=($E509+$Q509)),
-PMT($P509,($Q509-$S509+1),($K509*(VLOOKUP($C$39,$C$37:$BL$44,MATCH($E509,$C$37:$BL$37,0),FALSE)/VLOOKUP($L509,$C$37:$BL$44,MATCH($E509,$C$37:$BL$37,0),FALSE))*
IF($B$5="Foreign Currency",VLOOKUP($C$38,$C$37:$BL$44,MATCH(BO$48,$C$37:$BL$37,0),FALSE)/VLOOKUP($C$39,$C$37:$BL$44,MATCH(BO$48,$C$37:$BL$37,0),FALSE),1)),0), 0),
    IF($T509="EPP with Grace Years for Principal and on Interest",
        IF(AND(BO$48&gt;=($E509+$S509), BO$48&lt;=($E509+$Q509)),
-PMT($P509,($Q509-$S509+1),($K509*(VLOOKUP($C$39,$C$37:$BL$44,MATCH($E509,$C$37:$BL$37,0),FALSE)/VLOOKUP($L509,$C$37:$BL$44,MATCH($E509,$C$37:$BL$37,0),FALSE))*
IF($B$5="Foreign Currency",VLOOKUP($C$38,$C$37:$BL$44,MATCH(BO$48,$C$37:$BL$37,0),FALSE)/VLOOKUP($C$39,$C$37:$BL$44,MATCH(BO$48,$C$37:$BL$37,0),FALSE),1))*((1+$P509)^$S509),0), 0),
    0)))))),"")</f>
        <v>0</v>
      </c>
      <c r="BP509" s="171">
        <f t="shared" si="851"/>
        <v>0</v>
      </c>
      <c r="BQ509" s="171">
        <f t="shared" si="851"/>
        <v>0</v>
      </c>
      <c r="BR509" s="171">
        <f t="shared" si="851"/>
        <v>0</v>
      </c>
      <c r="BS509" s="171">
        <f t="shared" si="851"/>
        <v>0</v>
      </c>
      <c r="BT509" s="171">
        <f t="shared" si="851"/>
        <v>0</v>
      </c>
      <c r="BU509" s="171">
        <f t="shared" si="851"/>
        <v>0</v>
      </c>
      <c r="BV509" s="171">
        <f t="shared" si="851"/>
        <v>0</v>
      </c>
      <c r="BW509" s="171">
        <f t="shared" si="851"/>
        <v>0</v>
      </c>
      <c r="BX509" s="171">
        <f t="shared" si="851"/>
        <v>0</v>
      </c>
      <c r="BY509" s="171">
        <f t="shared" ref="BY509:CI516" si="852">IFERROR(
    IF($T509="Equity",
        IF(AND(BY$48&gt;=$E509, BY$48&lt;=($E509+$Q509)),
$K509*$P509*(VLOOKUP($C$39,$C$37:$BL$44,MATCH($E509,$C$37:$BL$37,0),FALSE)/VLOOKUP($L509,$C$37:$BL$44,MATCH($E509,$C$37:$BL$37,0),FALSE))*
IF($B$5="Foreign Currency",VLOOKUP($C$38,$C$37:$BL$44,MATCH(BY$48,$C$37:$BL$37,0),FALSE)/VLOOKUP($C$39,$C$37:$BL$44,MATCH(BY$48,$C$37:$BL$37,0),FALSE),1),
0),
    IF($T509="Lump Sum Principal",
        IF(AND(BY$48&gt;=$E509, BY$48&lt;($E509+$Q509)),
$K509*$P509*(VLOOKUP($C$39,$C$37:$BL$44,MATCH($E509,$C$37:$BL$37,0),FALSE)/VLOOKUP($L509,$C$37:$BL$44,MATCH($E509,$C$37:$BL$37,0),FALSE))*
IF($B$5="Foreign Currency",VLOOKUP($C$38,$C$37:$BL$44,MATCH(BY$48,$C$37:$BL$37,0),FALSE)/VLOOKUP($C$39,$C$37:$BL$44,MATCH(BY$48,$C$37:$BL$37,0),FALSE),1),
        IF(BY$48=($E509+$Q509),
$K509*(1+$P509)*(VLOOKUP($C$39,$C$37:$BL$44,MATCH($E509,$C$37:$BL$37,0),FALSE)/VLOOKUP($L509,$C$37:$BL$44,MATCH($E509,$C$37:$BL$37,0),FALSE))*
IF($B$5="Foreign Currency",VLOOKUP($C$38,$C$37:$BL$44,MATCH(BY$48,$C$37:$BL$37,0),FALSE)/VLOOKUP($C$39,$C$37:$BL$44,MATCH(BY$48,$C$37:$BL$37,0),FALSE),1),
0)),
    IF($T509="Lump Sum Principal and Interest",
        IF(BY$48=($E509+$Q509),
$K509*((1+$P509)^$Q509)*(VLOOKUP($C$39,$C$37:$BL$44,MATCH($E509,$C$37:$BL$37,0),FALSE)/VLOOKUP($L509,$C$37:$BL$44,MATCH($E509,$C$37:$BL$37,0),FALSE))*
IF($B$5="Foreign Currency",VLOOKUP($C$38,$C$37:$BL$44,MATCH(BY$48,$C$37:$BL$37,0),FALSE)/VLOOKUP($C$39,$C$37:$BL$44,MATCH(BY$48,$C$37:$BL$37,0),FALSE),1),
0),
    IF($T509="EPP with Grace Years for Principal",
        IF(AND(BY$48&gt;=$E509, BY$48&lt;($E509+$S509)),
$K509*$P509*(VLOOKUP($C$39,$C$37:$BL$44,MATCH($E509,$C$37:$BL$37,0),FALSE)/VLOOKUP($L509,$C$37:$BL$44,MATCH($E509,$C$37:$BL$37,0),FALSE))*
IF($B$5="Foreign Currency",VLOOKUP($C$38,$C$37:$BL$44,MATCH(BY$48,$C$37:$BL$37,0),FALSE)/VLOOKUP($C$39,$C$37:$BL$44,MATCH(BY$48,$C$37:$BL$37,0),FALSE),1),
        IF(AND(BY$48&gt;=($E509+$S509), BY$48&lt;=($E509+$Q509)),
-PMT($P509,($Q509-$S509+1),($K509*(VLOOKUP($C$39,$C$37:$BL$44,MATCH($E509,$C$37:$BL$37,0),FALSE)/VLOOKUP($L509,$C$37:$BL$44,MATCH($E509,$C$37:$BL$37,0),FALSE))*
IF($B$5="Foreign Currency",VLOOKUP($C$38,$C$37:$BL$44,MATCH(BY$48,$C$37:$BL$37,0),FALSE)/VLOOKUP($C$39,$C$37:$BL$44,MATCH(BY$48,$C$37:$BL$37,0),FALSE),1)),0),
0)),
    IF($T509="Equal Principal Payments (EPP)",
        IF(AND(BY$48&gt;=$E509, BY$48&lt;=($E509+$Q509)),
-PMT($P509,($Q509-$S509+1),($K509*(VLOOKUP($C$39,$C$37:$BL$44,MATCH($E509,$C$37:$BL$37,0),FALSE)/VLOOKUP($L509,$C$37:$BL$44,MATCH($E509,$C$37:$BL$37,0),FALSE))*
IF($B$5="Foreign Currency",VLOOKUP($C$38,$C$37:$BL$44,MATCH(BY$48,$C$37:$BL$37,0),FALSE)/VLOOKUP($C$39,$C$37:$BL$44,MATCH(BY$48,$C$37:$BL$37,0),FALSE),1)),0), 0),
    IF($T509="EPP with Grace Years for Principal and on Interest",
        IF(AND(BY$48&gt;=($E509+$S509), BY$48&lt;=($E509+$Q509)),
-PMT($P509,($Q509-$S509+1),($K509*(VLOOKUP($C$39,$C$37:$BL$44,MATCH($E509,$C$37:$BL$37,0),FALSE)/VLOOKUP($L509,$C$37:$BL$44,MATCH($E509,$C$37:$BL$37,0),FALSE))*
IF($B$5="Foreign Currency",VLOOKUP($C$38,$C$37:$BL$44,MATCH(BY$48,$C$37:$BL$37,0),FALSE)/VLOOKUP($C$39,$C$37:$BL$44,MATCH(BY$48,$C$37:$BL$37,0),FALSE),1))*((1+$P509)^$S509),0), 0),
    0)))))),"")</f>
        <v>0</v>
      </c>
      <c r="BZ509" s="171">
        <f t="shared" si="852"/>
        <v>0</v>
      </c>
      <c r="CA509" s="171">
        <f t="shared" si="852"/>
        <v>0</v>
      </c>
      <c r="CB509" s="171">
        <f t="shared" si="852"/>
        <v>0</v>
      </c>
      <c r="CC509" s="171">
        <f t="shared" si="852"/>
        <v>0</v>
      </c>
      <c r="CD509" s="171">
        <f t="shared" si="852"/>
        <v>0</v>
      </c>
      <c r="CE509" s="171">
        <f t="shared" si="852"/>
        <v>0</v>
      </c>
      <c r="CF509" s="171">
        <f t="shared" si="852"/>
        <v>0</v>
      </c>
      <c r="CG509" s="171">
        <f t="shared" si="852"/>
        <v>0</v>
      </c>
      <c r="CH509" s="171">
        <f t="shared" si="852"/>
        <v>0</v>
      </c>
      <c r="CI509" s="171">
        <f t="shared" si="852"/>
        <v>0</v>
      </c>
      <c r="CJ509" s="243"/>
      <c r="CK509" s="171">
        <f t="shared" si="779"/>
        <v>0</v>
      </c>
      <c r="CL509" s="171">
        <f t="shared" si="780"/>
        <v>0</v>
      </c>
      <c r="CM509" s="171">
        <f t="shared" si="781"/>
        <v>0</v>
      </c>
      <c r="CN509" s="171">
        <f t="shared" si="782"/>
        <v>0</v>
      </c>
      <c r="CO509" s="171">
        <f t="shared" si="783"/>
        <v>0</v>
      </c>
      <c r="CP509" s="171">
        <f t="shared" si="784"/>
        <v>0</v>
      </c>
      <c r="CQ509" s="171">
        <f t="shared" si="785"/>
        <v>0</v>
      </c>
      <c r="CR509" s="171">
        <f t="shared" si="786"/>
        <v>0</v>
      </c>
      <c r="CS509" s="171">
        <f t="shared" si="787"/>
        <v>0</v>
      </c>
      <c r="CT509" s="171">
        <f t="shared" si="788"/>
        <v>0</v>
      </c>
      <c r="CU509" s="171">
        <f t="shared" si="789"/>
        <v>0</v>
      </c>
      <c r="CV509" s="171">
        <f t="shared" si="790"/>
        <v>0</v>
      </c>
      <c r="CW509" s="171">
        <f t="shared" si="791"/>
        <v>0</v>
      </c>
      <c r="CX509" s="171">
        <f t="shared" si="792"/>
        <v>0</v>
      </c>
      <c r="CY509" s="171">
        <f t="shared" ca="1" si="793"/>
        <v>0</v>
      </c>
      <c r="CZ509" s="171">
        <f t="shared" ca="1" si="794"/>
        <v>0</v>
      </c>
      <c r="DA509" s="171">
        <f t="shared" ca="1" si="795"/>
        <v>0</v>
      </c>
      <c r="DB509" s="171">
        <f t="shared" ca="1" si="796"/>
        <v>0</v>
      </c>
      <c r="DC509" s="171">
        <f t="shared" ca="1" si="797"/>
        <v>0</v>
      </c>
      <c r="DD509" s="171">
        <f t="shared" ca="1" si="798"/>
        <v>0</v>
      </c>
      <c r="DE509" s="171">
        <f t="shared" ca="1" si="799"/>
        <v>0</v>
      </c>
      <c r="DF509" s="171">
        <f t="shared" ca="1" si="800"/>
        <v>0</v>
      </c>
      <c r="DG509" s="171">
        <f t="shared" ca="1" si="801"/>
        <v>0</v>
      </c>
      <c r="DH509" s="171">
        <f t="shared" ca="1" si="802"/>
        <v>0</v>
      </c>
      <c r="DI509" s="171">
        <f t="shared" ca="1" si="803"/>
        <v>0</v>
      </c>
      <c r="DJ509" s="171">
        <f t="shared" ca="1" si="804"/>
        <v>0</v>
      </c>
      <c r="DK509" s="171">
        <f t="shared" ca="1" si="805"/>
        <v>0</v>
      </c>
      <c r="DL509" s="171">
        <f t="shared" ca="1" si="806"/>
        <v>0</v>
      </c>
      <c r="DM509" s="171">
        <f t="shared" ca="1" si="807"/>
        <v>0</v>
      </c>
      <c r="DN509" s="171">
        <f t="shared" ca="1" si="808"/>
        <v>0</v>
      </c>
      <c r="DO509" s="171">
        <f t="shared" ca="1" si="809"/>
        <v>0</v>
      </c>
      <c r="DP509" s="171">
        <f t="shared" ca="1" si="810"/>
        <v>0</v>
      </c>
      <c r="DQ509" s="171">
        <f t="shared" ca="1" si="811"/>
        <v>0</v>
      </c>
      <c r="DR509" s="171">
        <f t="shared" ca="1" si="812"/>
        <v>0</v>
      </c>
      <c r="DS509" s="171">
        <f t="shared" ca="1" si="813"/>
        <v>0</v>
      </c>
      <c r="DT509" s="171">
        <f t="shared" ca="1" si="814"/>
        <v>0</v>
      </c>
      <c r="DU509" s="171">
        <f t="shared" ca="1" si="815"/>
        <v>0</v>
      </c>
      <c r="DV509" s="171">
        <f t="shared" ca="1" si="816"/>
        <v>0</v>
      </c>
      <c r="DW509" s="171">
        <f t="shared" ca="1" si="817"/>
        <v>0</v>
      </c>
      <c r="DX509" s="171">
        <f t="shared" ca="1" si="818"/>
        <v>0</v>
      </c>
      <c r="DY509" s="171">
        <f t="shared" ca="1" si="819"/>
        <v>0</v>
      </c>
      <c r="DZ509" s="171">
        <f t="shared" ca="1" si="820"/>
        <v>0</v>
      </c>
      <c r="EA509" s="171">
        <f t="shared" ca="1" si="821"/>
        <v>0</v>
      </c>
      <c r="EB509" s="171">
        <f t="shared" ca="1" si="822"/>
        <v>0</v>
      </c>
      <c r="EC509" s="171">
        <f t="shared" ca="1" si="823"/>
        <v>0</v>
      </c>
      <c r="ED509" s="171">
        <f t="shared" ca="1" si="824"/>
        <v>0</v>
      </c>
      <c r="EE509" s="171">
        <f t="shared" ca="1" si="825"/>
        <v>0</v>
      </c>
      <c r="EF509" s="171">
        <f t="shared" ca="1" si="826"/>
        <v>0</v>
      </c>
      <c r="EG509" s="171">
        <f t="shared" ca="1" si="827"/>
        <v>0</v>
      </c>
      <c r="EH509" s="171">
        <f t="shared" ca="1" si="828"/>
        <v>0</v>
      </c>
      <c r="EI509" s="171">
        <f t="shared" ca="1" si="829"/>
        <v>0</v>
      </c>
      <c r="EJ509" s="171">
        <f t="shared" ca="1" si="830"/>
        <v>0</v>
      </c>
      <c r="EK509" s="171">
        <f t="shared" ca="1" si="831"/>
        <v>0</v>
      </c>
      <c r="EL509" s="171">
        <f t="shared" ca="1" si="832"/>
        <v>0</v>
      </c>
      <c r="EM509" s="171">
        <f t="shared" ca="1" si="833"/>
        <v>0</v>
      </c>
      <c r="EN509" s="171">
        <f t="shared" ca="1" si="834"/>
        <v>0</v>
      </c>
      <c r="EO509" s="171">
        <f t="shared" ca="1" si="835"/>
        <v>0</v>
      </c>
      <c r="EP509" s="171">
        <f t="shared" ca="1" si="836"/>
        <v>0</v>
      </c>
      <c r="EQ509" s="171">
        <f t="shared" ca="1" si="837"/>
        <v>0</v>
      </c>
      <c r="ER509" s="171">
        <f t="shared" ca="1" si="838"/>
        <v>0</v>
      </c>
      <c r="ES509" s="171">
        <f t="shared" ca="1" si="839"/>
        <v>0</v>
      </c>
    </row>
    <row r="510" spans="3:149">
      <c r="C510" s="157"/>
      <c r="L510" s="163"/>
      <c r="M510" s="164" t="str">
        <f t="shared" si="770"/>
        <v/>
      </c>
      <c r="N510" s="164" t="str">
        <f t="shared" si="771"/>
        <v/>
      </c>
      <c r="O510" s="165" t="str">
        <f t="shared" si="772"/>
        <v/>
      </c>
      <c r="R510" s="168" t="str">
        <f t="shared" si="840"/>
        <v/>
      </c>
      <c r="U510" s="171">
        <f t="shared" si="773"/>
        <v>0</v>
      </c>
      <c r="V510" s="171">
        <f t="shared" ca="1" si="774"/>
        <v>0</v>
      </c>
      <c r="W510" s="171">
        <f t="shared" ca="1" si="775"/>
        <v>0</v>
      </c>
      <c r="X510" s="172">
        <f t="shared" si="776"/>
        <v>0</v>
      </c>
      <c r="Y510" s="172" t="str">
        <f t="shared" si="777"/>
        <v/>
      </c>
      <c r="Z510" s="173">
        <f t="shared" si="778"/>
        <v>0</v>
      </c>
      <c r="AA510" s="171">
        <f t="shared" si="847"/>
        <v>0</v>
      </c>
      <c r="AB510" s="171">
        <f t="shared" si="847"/>
        <v>0</v>
      </c>
      <c r="AC510" s="171">
        <f t="shared" si="847"/>
        <v>0</v>
      </c>
      <c r="AD510" s="171">
        <f t="shared" si="847"/>
        <v>0</v>
      </c>
      <c r="AE510" s="171">
        <f t="shared" si="847"/>
        <v>0</v>
      </c>
      <c r="AF510" s="171">
        <f t="shared" si="847"/>
        <v>0</v>
      </c>
      <c r="AG510" s="171">
        <f t="shared" si="847"/>
        <v>0</v>
      </c>
      <c r="AH510" s="171">
        <f t="shared" si="847"/>
        <v>0</v>
      </c>
      <c r="AI510" s="171">
        <f t="shared" si="847"/>
        <v>0</v>
      </c>
      <c r="AJ510" s="171">
        <f t="shared" si="847"/>
        <v>0</v>
      </c>
      <c r="AK510" s="171">
        <f t="shared" si="848"/>
        <v>0</v>
      </c>
      <c r="AL510" s="171">
        <f t="shared" si="848"/>
        <v>0</v>
      </c>
      <c r="AM510" s="171">
        <f t="shared" si="848"/>
        <v>0</v>
      </c>
      <c r="AN510" s="171">
        <f t="shared" si="848"/>
        <v>0</v>
      </c>
      <c r="AO510" s="171">
        <f t="shared" si="848"/>
        <v>0</v>
      </c>
      <c r="AP510" s="171">
        <f t="shared" si="848"/>
        <v>0</v>
      </c>
      <c r="AQ510" s="171">
        <f t="shared" si="848"/>
        <v>0</v>
      </c>
      <c r="AR510" s="171">
        <f t="shared" si="848"/>
        <v>0</v>
      </c>
      <c r="AS510" s="171">
        <f t="shared" si="848"/>
        <v>0</v>
      </c>
      <c r="AT510" s="171">
        <f t="shared" si="848"/>
        <v>0</v>
      </c>
      <c r="AU510" s="171">
        <f t="shared" si="849"/>
        <v>0</v>
      </c>
      <c r="AV510" s="171">
        <f t="shared" si="849"/>
        <v>0</v>
      </c>
      <c r="AW510" s="171">
        <f t="shared" si="849"/>
        <v>0</v>
      </c>
      <c r="AX510" s="171">
        <f t="shared" si="849"/>
        <v>0</v>
      </c>
      <c r="AY510" s="171">
        <f t="shared" si="849"/>
        <v>0</v>
      </c>
      <c r="AZ510" s="171">
        <f t="shared" si="849"/>
        <v>0</v>
      </c>
      <c r="BA510" s="171">
        <f t="shared" si="849"/>
        <v>0</v>
      </c>
      <c r="BB510" s="171">
        <f t="shared" si="849"/>
        <v>0</v>
      </c>
      <c r="BC510" s="171">
        <f t="shared" si="849"/>
        <v>0</v>
      </c>
      <c r="BD510" s="171">
        <f t="shared" si="849"/>
        <v>0</v>
      </c>
      <c r="BE510" s="171">
        <f t="shared" si="850"/>
        <v>0</v>
      </c>
      <c r="BF510" s="171">
        <f t="shared" si="850"/>
        <v>0</v>
      </c>
      <c r="BG510" s="171">
        <f t="shared" si="850"/>
        <v>0</v>
      </c>
      <c r="BH510" s="171">
        <f t="shared" si="850"/>
        <v>0</v>
      </c>
      <c r="BI510" s="171">
        <f t="shared" si="850"/>
        <v>0</v>
      </c>
      <c r="BJ510" s="171">
        <f t="shared" si="850"/>
        <v>0</v>
      </c>
      <c r="BK510" s="171">
        <f t="shared" si="850"/>
        <v>0</v>
      </c>
      <c r="BL510" s="171">
        <f t="shared" si="850"/>
        <v>0</v>
      </c>
      <c r="BM510" s="171">
        <f t="shared" si="850"/>
        <v>0</v>
      </c>
      <c r="BN510" s="171">
        <f t="shared" si="850"/>
        <v>0</v>
      </c>
      <c r="BO510" s="171">
        <f t="shared" si="851"/>
        <v>0</v>
      </c>
      <c r="BP510" s="171">
        <f t="shared" si="851"/>
        <v>0</v>
      </c>
      <c r="BQ510" s="171">
        <f t="shared" si="851"/>
        <v>0</v>
      </c>
      <c r="BR510" s="171">
        <f t="shared" si="851"/>
        <v>0</v>
      </c>
      <c r="BS510" s="171">
        <f t="shared" si="851"/>
        <v>0</v>
      </c>
      <c r="BT510" s="171">
        <f t="shared" si="851"/>
        <v>0</v>
      </c>
      <c r="BU510" s="171">
        <f t="shared" si="851"/>
        <v>0</v>
      </c>
      <c r="BV510" s="171">
        <f t="shared" si="851"/>
        <v>0</v>
      </c>
      <c r="BW510" s="171">
        <f t="shared" si="851"/>
        <v>0</v>
      </c>
      <c r="BX510" s="171">
        <f t="shared" si="851"/>
        <v>0</v>
      </c>
      <c r="BY510" s="171">
        <f t="shared" si="852"/>
        <v>0</v>
      </c>
      <c r="BZ510" s="171">
        <f t="shared" si="852"/>
        <v>0</v>
      </c>
      <c r="CA510" s="171">
        <f t="shared" si="852"/>
        <v>0</v>
      </c>
      <c r="CB510" s="171">
        <f t="shared" si="852"/>
        <v>0</v>
      </c>
      <c r="CC510" s="171">
        <f t="shared" si="852"/>
        <v>0</v>
      </c>
      <c r="CD510" s="171">
        <f t="shared" si="852"/>
        <v>0</v>
      </c>
      <c r="CE510" s="171">
        <f t="shared" si="852"/>
        <v>0</v>
      </c>
      <c r="CF510" s="171">
        <f t="shared" si="852"/>
        <v>0</v>
      </c>
      <c r="CG510" s="171">
        <f t="shared" si="852"/>
        <v>0</v>
      </c>
      <c r="CH510" s="171">
        <f t="shared" si="852"/>
        <v>0</v>
      </c>
      <c r="CI510" s="171">
        <f t="shared" si="852"/>
        <v>0</v>
      </c>
      <c r="CJ510" s="243"/>
      <c r="CK510" s="171">
        <f t="shared" si="779"/>
        <v>0</v>
      </c>
      <c r="CL510" s="171">
        <f t="shared" si="780"/>
        <v>0</v>
      </c>
      <c r="CM510" s="171">
        <f t="shared" si="781"/>
        <v>0</v>
      </c>
      <c r="CN510" s="171">
        <f t="shared" si="782"/>
        <v>0</v>
      </c>
      <c r="CO510" s="171">
        <f t="shared" si="783"/>
        <v>0</v>
      </c>
      <c r="CP510" s="171">
        <f t="shared" si="784"/>
        <v>0</v>
      </c>
      <c r="CQ510" s="171">
        <f t="shared" si="785"/>
        <v>0</v>
      </c>
      <c r="CR510" s="171">
        <f t="shared" si="786"/>
        <v>0</v>
      </c>
      <c r="CS510" s="171">
        <f t="shared" si="787"/>
        <v>0</v>
      </c>
      <c r="CT510" s="171">
        <f t="shared" si="788"/>
        <v>0</v>
      </c>
      <c r="CU510" s="171">
        <f t="shared" si="789"/>
        <v>0</v>
      </c>
      <c r="CV510" s="171">
        <f t="shared" si="790"/>
        <v>0</v>
      </c>
      <c r="CW510" s="171">
        <f t="shared" si="791"/>
        <v>0</v>
      </c>
      <c r="CX510" s="171">
        <f t="shared" si="792"/>
        <v>0</v>
      </c>
      <c r="CY510" s="171">
        <f t="shared" ca="1" si="793"/>
        <v>0</v>
      </c>
      <c r="CZ510" s="171">
        <f t="shared" ca="1" si="794"/>
        <v>0</v>
      </c>
      <c r="DA510" s="171">
        <f t="shared" ca="1" si="795"/>
        <v>0</v>
      </c>
      <c r="DB510" s="171">
        <f t="shared" ca="1" si="796"/>
        <v>0</v>
      </c>
      <c r="DC510" s="171">
        <f t="shared" ca="1" si="797"/>
        <v>0</v>
      </c>
      <c r="DD510" s="171">
        <f t="shared" ca="1" si="798"/>
        <v>0</v>
      </c>
      <c r="DE510" s="171">
        <f t="shared" ca="1" si="799"/>
        <v>0</v>
      </c>
      <c r="DF510" s="171">
        <f t="shared" ca="1" si="800"/>
        <v>0</v>
      </c>
      <c r="DG510" s="171">
        <f t="shared" ca="1" si="801"/>
        <v>0</v>
      </c>
      <c r="DH510" s="171">
        <f t="shared" ca="1" si="802"/>
        <v>0</v>
      </c>
      <c r="DI510" s="171">
        <f t="shared" ca="1" si="803"/>
        <v>0</v>
      </c>
      <c r="DJ510" s="171">
        <f t="shared" ca="1" si="804"/>
        <v>0</v>
      </c>
      <c r="DK510" s="171">
        <f t="shared" ca="1" si="805"/>
        <v>0</v>
      </c>
      <c r="DL510" s="171">
        <f t="shared" ca="1" si="806"/>
        <v>0</v>
      </c>
      <c r="DM510" s="171">
        <f t="shared" ca="1" si="807"/>
        <v>0</v>
      </c>
      <c r="DN510" s="171">
        <f t="shared" ca="1" si="808"/>
        <v>0</v>
      </c>
      <c r="DO510" s="171">
        <f t="shared" ca="1" si="809"/>
        <v>0</v>
      </c>
      <c r="DP510" s="171">
        <f t="shared" ca="1" si="810"/>
        <v>0</v>
      </c>
      <c r="DQ510" s="171">
        <f t="shared" ca="1" si="811"/>
        <v>0</v>
      </c>
      <c r="DR510" s="171">
        <f t="shared" ca="1" si="812"/>
        <v>0</v>
      </c>
      <c r="DS510" s="171">
        <f t="shared" ca="1" si="813"/>
        <v>0</v>
      </c>
      <c r="DT510" s="171">
        <f t="shared" ca="1" si="814"/>
        <v>0</v>
      </c>
      <c r="DU510" s="171">
        <f t="shared" ca="1" si="815"/>
        <v>0</v>
      </c>
      <c r="DV510" s="171">
        <f t="shared" ca="1" si="816"/>
        <v>0</v>
      </c>
      <c r="DW510" s="171">
        <f t="shared" ca="1" si="817"/>
        <v>0</v>
      </c>
      <c r="DX510" s="171">
        <f t="shared" ca="1" si="818"/>
        <v>0</v>
      </c>
      <c r="DY510" s="171">
        <f t="shared" ca="1" si="819"/>
        <v>0</v>
      </c>
      <c r="DZ510" s="171">
        <f t="shared" ca="1" si="820"/>
        <v>0</v>
      </c>
      <c r="EA510" s="171">
        <f t="shared" ca="1" si="821"/>
        <v>0</v>
      </c>
      <c r="EB510" s="171">
        <f t="shared" ca="1" si="822"/>
        <v>0</v>
      </c>
      <c r="EC510" s="171">
        <f t="shared" ca="1" si="823"/>
        <v>0</v>
      </c>
      <c r="ED510" s="171">
        <f t="shared" ca="1" si="824"/>
        <v>0</v>
      </c>
      <c r="EE510" s="171">
        <f t="shared" ca="1" si="825"/>
        <v>0</v>
      </c>
      <c r="EF510" s="171">
        <f t="shared" ca="1" si="826"/>
        <v>0</v>
      </c>
      <c r="EG510" s="171">
        <f t="shared" ca="1" si="827"/>
        <v>0</v>
      </c>
      <c r="EH510" s="171">
        <f t="shared" ca="1" si="828"/>
        <v>0</v>
      </c>
      <c r="EI510" s="171">
        <f t="shared" ca="1" si="829"/>
        <v>0</v>
      </c>
      <c r="EJ510" s="171">
        <f t="shared" ca="1" si="830"/>
        <v>0</v>
      </c>
      <c r="EK510" s="171">
        <f t="shared" ca="1" si="831"/>
        <v>0</v>
      </c>
      <c r="EL510" s="171">
        <f t="shared" ca="1" si="832"/>
        <v>0</v>
      </c>
      <c r="EM510" s="171">
        <f t="shared" ca="1" si="833"/>
        <v>0</v>
      </c>
      <c r="EN510" s="171">
        <f t="shared" ca="1" si="834"/>
        <v>0</v>
      </c>
      <c r="EO510" s="171">
        <f t="shared" ca="1" si="835"/>
        <v>0</v>
      </c>
      <c r="EP510" s="171">
        <f t="shared" ca="1" si="836"/>
        <v>0</v>
      </c>
      <c r="EQ510" s="171">
        <f t="shared" ca="1" si="837"/>
        <v>0</v>
      </c>
      <c r="ER510" s="171">
        <f t="shared" ca="1" si="838"/>
        <v>0</v>
      </c>
      <c r="ES510" s="171">
        <f t="shared" ca="1" si="839"/>
        <v>0</v>
      </c>
    </row>
    <row r="511" spans="3:149">
      <c r="C511" s="157"/>
      <c r="L511" s="163"/>
      <c r="M511" s="164" t="str">
        <f t="shared" si="770"/>
        <v/>
      </c>
      <c r="N511" s="164" t="str">
        <f t="shared" si="771"/>
        <v/>
      </c>
      <c r="O511" s="165" t="str">
        <f t="shared" si="772"/>
        <v/>
      </c>
      <c r="R511" s="168" t="str">
        <f t="shared" si="840"/>
        <v/>
      </c>
      <c r="U511" s="171">
        <f t="shared" si="773"/>
        <v>0</v>
      </c>
      <c r="V511" s="171">
        <f t="shared" ca="1" si="774"/>
        <v>0</v>
      </c>
      <c r="W511" s="171">
        <f t="shared" ca="1" si="775"/>
        <v>0</v>
      </c>
      <c r="X511" s="172">
        <f t="shared" si="776"/>
        <v>0</v>
      </c>
      <c r="Y511" s="172" t="str">
        <f t="shared" si="777"/>
        <v/>
      </c>
      <c r="Z511" s="173">
        <f t="shared" si="778"/>
        <v>0</v>
      </c>
      <c r="AA511" s="171">
        <f t="shared" si="847"/>
        <v>0</v>
      </c>
      <c r="AB511" s="171">
        <f t="shared" si="847"/>
        <v>0</v>
      </c>
      <c r="AC511" s="171">
        <f t="shared" si="847"/>
        <v>0</v>
      </c>
      <c r="AD511" s="171">
        <f t="shared" si="847"/>
        <v>0</v>
      </c>
      <c r="AE511" s="171">
        <f t="shared" si="847"/>
        <v>0</v>
      </c>
      <c r="AF511" s="171">
        <f t="shared" si="847"/>
        <v>0</v>
      </c>
      <c r="AG511" s="171">
        <f t="shared" si="847"/>
        <v>0</v>
      </c>
      <c r="AH511" s="171">
        <f t="shared" si="847"/>
        <v>0</v>
      </c>
      <c r="AI511" s="171">
        <f t="shared" si="847"/>
        <v>0</v>
      </c>
      <c r="AJ511" s="171">
        <f t="shared" si="847"/>
        <v>0</v>
      </c>
      <c r="AK511" s="171">
        <f t="shared" si="848"/>
        <v>0</v>
      </c>
      <c r="AL511" s="171">
        <f t="shared" si="848"/>
        <v>0</v>
      </c>
      <c r="AM511" s="171">
        <f t="shared" si="848"/>
        <v>0</v>
      </c>
      <c r="AN511" s="171">
        <f t="shared" si="848"/>
        <v>0</v>
      </c>
      <c r="AO511" s="171">
        <f t="shared" si="848"/>
        <v>0</v>
      </c>
      <c r="AP511" s="171">
        <f t="shared" si="848"/>
        <v>0</v>
      </c>
      <c r="AQ511" s="171">
        <f t="shared" si="848"/>
        <v>0</v>
      </c>
      <c r="AR511" s="171">
        <f t="shared" si="848"/>
        <v>0</v>
      </c>
      <c r="AS511" s="171">
        <f t="shared" si="848"/>
        <v>0</v>
      </c>
      <c r="AT511" s="171">
        <f t="shared" si="848"/>
        <v>0</v>
      </c>
      <c r="AU511" s="171">
        <f t="shared" si="849"/>
        <v>0</v>
      </c>
      <c r="AV511" s="171">
        <f t="shared" si="849"/>
        <v>0</v>
      </c>
      <c r="AW511" s="171">
        <f t="shared" si="849"/>
        <v>0</v>
      </c>
      <c r="AX511" s="171">
        <f t="shared" si="849"/>
        <v>0</v>
      </c>
      <c r="AY511" s="171">
        <f t="shared" si="849"/>
        <v>0</v>
      </c>
      <c r="AZ511" s="171">
        <f t="shared" si="849"/>
        <v>0</v>
      </c>
      <c r="BA511" s="171">
        <f t="shared" si="849"/>
        <v>0</v>
      </c>
      <c r="BB511" s="171">
        <f t="shared" si="849"/>
        <v>0</v>
      </c>
      <c r="BC511" s="171">
        <f t="shared" si="849"/>
        <v>0</v>
      </c>
      <c r="BD511" s="171">
        <f t="shared" si="849"/>
        <v>0</v>
      </c>
      <c r="BE511" s="171">
        <f t="shared" si="850"/>
        <v>0</v>
      </c>
      <c r="BF511" s="171">
        <f t="shared" si="850"/>
        <v>0</v>
      </c>
      <c r="BG511" s="171">
        <f t="shared" si="850"/>
        <v>0</v>
      </c>
      <c r="BH511" s="171">
        <f t="shared" si="850"/>
        <v>0</v>
      </c>
      <c r="BI511" s="171">
        <f t="shared" si="850"/>
        <v>0</v>
      </c>
      <c r="BJ511" s="171">
        <f t="shared" si="850"/>
        <v>0</v>
      </c>
      <c r="BK511" s="171">
        <f t="shared" si="850"/>
        <v>0</v>
      </c>
      <c r="BL511" s="171">
        <f t="shared" si="850"/>
        <v>0</v>
      </c>
      <c r="BM511" s="171">
        <f t="shared" si="850"/>
        <v>0</v>
      </c>
      <c r="BN511" s="171">
        <f t="shared" si="850"/>
        <v>0</v>
      </c>
      <c r="BO511" s="171">
        <f t="shared" si="851"/>
        <v>0</v>
      </c>
      <c r="BP511" s="171">
        <f t="shared" si="851"/>
        <v>0</v>
      </c>
      <c r="BQ511" s="171">
        <f t="shared" si="851"/>
        <v>0</v>
      </c>
      <c r="BR511" s="171">
        <f t="shared" si="851"/>
        <v>0</v>
      </c>
      <c r="BS511" s="171">
        <f t="shared" si="851"/>
        <v>0</v>
      </c>
      <c r="BT511" s="171">
        <f t="shared" si="851"/>
        <v>0</v>
      </c>
      <c r="BU511" s="171">
        <f t="shared" si="851"/>
        <v>0</v>
      </c>
      <c r="BV511" s="171">
        <f t="shared" si="851"/>
        <v>0</v>
      </c>
      <c r="BW511" s="171">
        <f t="shared" si="851"/>
        <v>0</v>
      </c>
      <c r="BX511" s="171">
        <f t="shared" si="851"/>
        <v>0</v>
      </c>
      <c r="BY511" s="171">
        <f t="shared" si="852"/>
        <v>0</v>
      </c>
      <c r="BZ511" s="171">
        <f t="shared" si="852"/>
        <v>0</v>
      </c>
      <c r="CA511" s="171">
        <f t="shared" si="852"/>
        <v>0</v>
      </c>
      <c r="CB511" s="171">
        <f t="shared" si="852"/>
        <v>0</v>
      </c>
      <c r="CC511" s="171">
        <f t="shared" si="852"/>
        <v>0</v>
      </c>
      <c r="CD511" s="171">
        <f t="shared" si="852"/>
        <v>0</v>
      </c>
      <c r="CE511" s="171">
        <f t="shared" si="852"/>
        <v>0</v>
      </c>
      <c r="CF511" s="171">
        <f t="shared" si="852"/>
        <v>0</v>
      </c>
      <c r="CG511" s="171">
        <f t="shared" si="852"/>
        <v>0</v>
      </c>
      <c r="CH511" s="171">
        <f t="shared" si="852"/>
        <v>0</v>
      </c>
      <c r="CI511" s="171">
        <f t="shared" si="852"/>
        <v>0</v>
      </c>
      <c r="CJ511" s="243"/>
      <c r="CK511" s="171">
        <f t="shared" si="779"/>
        <v>0</v>
      </c>
      <c r="CL511" s="171">
        <f t="shared" si="780"/>
        <v>0</v>
      </c>
      <c r="CM511" s="171">
        <f t="shared" si="781"/>
        <v>0</v>
      </c>
      <c r="CN511" s="171">
        <f t="shared" si="782"/>
        <v>0</v>
      </c>
      <c r="CO511" s="171">
        <f t="shared" si="783"/>
        <v>0</v>
      </c>
      <c r="CP511" s="171">
        <f t="shared" si="784"/>
        <v>0</v>
      </c>
      <c r="CQ511" s="171">
        <f t="shared" si="785"/>
        <v>0</v>
      </c>
      <c r="CR511" s="171">
        <f t="shared" si="786"/>
        <v>0</v>
      </c>
      <c r="CS511" s="171">
        <f t="shared" si="787"/>
        <v>0</v>
      </c>
      <c r="CT511" s="171">
        <f t="shared" si="788"/>
        <v>0</v>
      </c>
      <c r="CU511" s="171">
        <f t="shared" si="789"/>
        <v>0</v>
      </c>
      <c r="CV511" s="171">
        <f t="shared" si="790"/>
        <v>0</v>
      </c>
      <c r="CW511" s="171">
        <f t="shared" si="791"/>
        <v>0</v>
      </c>
      <c r="CX511" s="171">
        <f t="shared" si="792"/>
        <v>0</v>
      </c>
      <c r="CY511" s="171">
        <f t="shared" ca="1" si="793"/>
        <v>0</v>
      </c>
      <c r="CZ511" s="171">
        <f t="shared" ca="1" si="794"/>
        <v>0</v>
      </c>
      <c r="DA511" s="171">
        <f t="shared" ca="1" si="795"/>
        <v>0</v>
      </c>
      <c r="DB511" s="171">
        <f t="shared" ca="1" si="796"/>
        <v>0</v>
      </c>
      <c r="DC511" s="171">
        <f t="shared" ca="1" si="797"/>
        <v>0</v>
      </c>
      <c r="DD511" s="171">
        <f t="shared" ca="1" si="798"/>
        <v>0</v>
      </c>
      <c r="DE511" s="171">
        <f t="shared" ca="1" si="799"/>
        <v>0</v>
      </c>
      <c r="DF511" s="171">
        <f t="shared" ca="1" si="800"/>
        <v>0</v>
      </c>
      <c r="DG511" s="171">
        <f t="shared" ca="1" si="801"/>
        <v>0</v>
      </c>
      <c r="DH511" s="171">
        <f t="shared" ca="1" si="802"/>
        <v>0</v>
      </c>
      <c r="DI511" s="171">
        <f t="shared" ca="1" si="803"/>
        <v>0</v>
      </c>
      <c r="DJ511" s="171">
        <f t="shared" ca="1" si="804"/>
        <v>0</v>
      </c>
      <c r="DK511" s="171">
        <f t="shared" ca="1" si="805"/>
        <v>0</v>
      </c>
      <c r="DL511" s="171">
        <f t="shared" ca="1" si="806"/>
        <v>0</v>
      </c>
      <c r="DM511" s="171">
        <f t="shared" ca="1" si="807"/>
        <v>0</v>
      </c>
      <c r="DN511" s="171">
        <f t="shared" ca="1" si="808"/>
        <v>0</v>
      </c>
      <c r="DO511" s="171">
        <f t="shared" ca="1" si="809"/>
        <v>0</v>
      </c>
      <c r="DP511" s="171">
        <f t="shared" ca="1" si="810"/>
        <v>0</v>
      </c>
      <c r="DQ511" s="171">
        <f t="shared" ca="1" si="811"/>
        <v>0</v>
      </c>
      <c r="DR511" s="171">
        <f t="shared" ca="1" si="812"/>
        <v>0</v>
      </c>
      <c r="DS511" s="171">
        <f t="shared" ca="1" si="813"/>
        <v>0</v>
      </c>
      <c r="DT511" s="171">
        <f t="shared" ca="1" si="814"/>
        <v>0</v>
      </c>
      <c r="DU511" s="171">
        <f t="shared" ca="1" si="815"/>
        <v>0</v>
      </c>
      <c r="DV511" s="171">
        <f t="shared" ca="1" si="816"/>
        <v>0</v>
      </c>
      <c r="DW511" s="171">
        <f t="shared" ca="1" si="817"/>
        <v>0</v>
      </c>
      <c r="DX511" s="171">
        <f t="shared" ca="1" si="818"/>
        <v>0</v>
      </c>
      <c r="DY511" s="171">
        <f t="shared" ca="1" si="819"/>
        <v>0</v>
      </c>
      <c r="DZ511" s="171">
        <f t="shared" ca="1" si="820"/>
        <v>0</v>
      </c>
      <c r="EA511" s="171">
        <f t="shared" ca="1" si="821"/>
        <v>0</v>
      </c>
      <c r="EB511" s="171">
        <f t="shared" ca="1" si="822"/>
        <v>0</v>
      </c>
      <c r="EC511" s="171">
        <f t="shared" ca="1" si="823"/>
        <v>0</v>
      </c>
      <c r="ED511" s="171">
        <f t="shared" ca="1" si="824"/>
        <v>0</v>
      </c>
      <c r="EE511" s="171">
        <f t="shared" ca="1" si="825"/>
        <v>0</v>
      </c>
      <c r="EF511" s="171">
        <f t="shared" ca="1" si="826"/>
        <v>0</v>
      </c>
      <c r="EG511" s="171">
        <f t="shared" ca="1" si="827"/>
        <v>0</v>
      </c>
      <c r="EH511" s="171">
        <f t="shared" ca="1" si="828"/>
        <v>0</v>
      </c>
      <c r="EI511" s="171">
        <f t="shared" ca="1" si="829"/>
        <v>0</v>
      </c>
      <c r="EJ511" s="171">
        <f t="shared" ca="1" si="830"/>
        <v>0</v>
      </c>
      <c r="EK511" s="171">
        <f t="shared" ca="1" si="831"/>
        <v>0</v>
      </c>
      <c r="EL511" s="171">
        <f t="shared" ca="1" si="832"/>
        <v>0</v>
      </c>
      <c r="EM511" s="171">
        <f t="shared" ca="1" si="833"/>
        <v>0</v>
      </c>
      <c r="EN511" s="171">
        <f t="shared" ca="1" si="834"/>
        <v>0</v>
      </c>
      <c r="EO511" s="171">
        <f t="shared" ca="1" si="835"/>
        <v>0</v>
      </c>
      <c r="EP511" s="171">
        <f t="shared" ca="1" si="836"/>
        <v>0</v>
      </c>
      <c r="EQ511" s="171">
        <f t="shared" ca="1" si="837"/>
        <v>0</v>
      </c>
      <c r="ER511" s="171">
        <f t="shared" ca="1" si="838"/>
        <v>0</v>
      </c>
      <c r="ES511" s="171">
        <f t="shared" ca="1" si="839"/>
        <v>0</v>
      </c>
    </row>
    <row r="512" spans="3:149">
      <c r="C512" s="157"/>
      <c r="L512" s="163"/>
      <c r="M512" s="164" t="str">
        <f t="shared" si="770"/>
        <v/>
      </c>
      <c r="N512" s="164" t="str">
        <f t="shared" si="771"/>
        <v/>
      </c>
      <c r="O512" s="165" t="str">
        <f t="shared" si="772"/>
        <v/>
      </c>
      <c r="R512" s="168" t="str">
        <f t="shared" si="840"/>
        <v/>
      </c>
      <c r="U512" s="171">
        <f t="shared" si="773"/>
        <v>0</v>
      </c>
      <c r="V512" s="171">
        <f t="shared" ca="1" si="774"/>
        <v>0</v>
      </c>
      <c r="W512" s="171">
        <f t="shared" ca="1" si="775"/>
        <v>0</v>
      </c>
      <c r="X512" s="172">
        <f t="shared" si="776"/>
        <v>0</v>
      </c>
      <c r="Y512" s="172" t="str">
        <f t="shared" si="777"/>
        <v/>
      </c>
      <c r="Z512" s="173">
        <f t="shared" si="778"/>
        <v>0</v>
      </c>
      <c r="AA512" s="171">
        <f t="shared" si="847"/>
        <v>0</v>
      </c>
      <c r="AB512" s="171">
        <f t="shared" si="847"/>
        <v>0</v>
      </c>
      <c r="AC512" s="171">
        <f t="shared" si="847"/>
        <v>0</v>
      </c>
      <c r="AD512" s="171">
        <f t="shared" si="847"/>
        <v>0</v>
      </c>
      <c r="AE512" s="171">
        <f t="shared" si="847"/>
        <v>0</v>
      </c>
      <c r="AF512" s="171">
        <f t="shared" si="847"/>
        <v>0</v>
      </c>
      <c r="AG512" s="171">
        <f t="shared" si="847"/>
        <v>0</v>
      </c>
      <c r="AH512" s="171">
        <f t="shared" si="847"/>
        <v>0</v>
      </c>
      <c r="AI512" s="171">
        <f t="shared" si="847"/>
        <v>0</v>
      </c>
      <c r="AJ512" s="171">
        <f t="shared" si="847"/>
        <v>0</v>
      </c>
      <c r="AK512" s="171">
        <f t="shared" si="848"/>
        <v>0</v>
      </c>
      <c r="AL512" s="171">
        <f t="shared" si="848"/>
        <v>0</v>
      </c>
      <c r="AM512" s="171">
        <f t="shared" si="848"/>
        <v>0</v>
      </c>
      <c r="AN512" s="171">
        <f t="shared" si="848"/>
        <v>0</v>
      </c>
      <c r="AO512" s="171">
        <f t="shared" si="848"/>
        <v>0</v>
      </c>
      <c r="AP512" s="171">
        <f t="shared" si="848"/>
        <v>0</v>
      </c>
      <c r="AQ512" s="171">
        <f t="shared" si="848"/>
        <v>0</v>
      </c>
      <c r="AR512" s="171">
        <f t="shared" si="848"/>
        <v>0</v>
      </c>
      <c r="AS512" s="171">
        <f t="shared" si="848"/>
        <v>0</v>
      </c>
      <c r="AT512" s="171">
        <f t="shared" si="848"/>
        <v>0</v>
      </c>
      <c r="AU512" s="171">
        <f t="shared" si="849"/>
        <v>0</v>
      </c>
      <c r="AV512" s="171">
        <f t="shared" si="849"/>
        <v>0</v>
      </c>
      <c r="AW512" s="171">
        <f t="shared" si="849"/>
        <v>0</v>
      </c>
      <c r="AX512" s="171">
        <f t="shared" si="849"/>
        <v>0</v>
      </c>
      <c r="AY512" s="171">
        <f t="shared" si="849"/>
        <v>0</v>
      </c>
      <c r="AZ512" s="171">
        <f t="shared" si="849"/>
        <v>0</v>
      </c>
      <c r="BA512" s="171">
        <f t="shared" si="849"/>
        <v>0</v>
      </c>
      <c r="BB512" s="171">
        <f t="shared" si="849"/>
        <v>0</v>
      </c>
      <c r="BC512" s="171">
        <f t="shared" si="849"/>
        <v>0</v>
      </c>
      <c r="BD512" s="171">
        <f t="shared" si="849"/>
        <v>0</v>
      </c>
      <c r="BE512" s="171">
        <f t="shared" si="850"/>
        <v>0</v>
      </c>
      <c r="BF512" s="171">
        <f t="shared" si="850"/>
        <v>0</v>
      </c>
      <c r="BG512" s="171">
        <f t="shared" si="850"/>
        <v>0</v>
      </c>
      <c r="BH512" s="171">
        <f t="shared" si="850"/>
        <v>0</v>
      </c>
      <c r="BI512" s="171">
        <f t="shared" si="850"/>
        <v>0</v>
      </c>
      <c r="BJ512" s="171">
        <f t="shared" si="850"/>
        <v>0</v>
      </c>
      <c r="BK512" s="171">
        <f t="shared" si="850"/>
        <v>0</v>
      </c>
      <c r="BL512" s="171">
        <f t="shared" si="850"/>
        <v>0</v>
      </c>
      <c r="BM512" s="171">
        <f t="shared" si="850"/>
        <v>0</v>
      </c>
      <c r="BN512" s="171">
        <f t="shared" si="850"/>
        <v>0</v>
      </c>
      <c r="BO512" s="171">
        <f t="shared" si="851"/>
        <v>0</v>
      </c>
      <c r="BP512" s="171">
        <f t="shared" si="851"/>
        <v>0</v>
      </c>
      <c r="BQ512" s="171">
        <f t="shared" si="851"/>
        <v>0</v>
      </c>
      <c r="BR512" s="171">
        <f t="shared" si="851"/>
        <v>0</v>
      </c>
      <c r="BS512" s="171">
        <f t="shared" si="851"/>
        <v>0</v>
      </c>
      <c r="BT512" s="171">
        <f t="shared" si="851"/>
        <v>0</v>
      </c>
      <c r="BU512" s="171">
        <f t="shared" si="851"/>
        <v>0</v>
      </c>
      <c r="BV512" s="171">
        <f t="shared" si="851"/>
        <v>0</v>
      </c>
      <c r="BW512" s="171">
        <f t="shared" si="851"/>
        <v>0</v>
      </c>
      <c r="BX512" s="171">
        <f t="shared" si="851"/>
        <v>0</v>
      </c>
      <c r="BY512" s="171">
        <f t="shared" si="852"/>
        <v>0</v>
      </c>
      <c r="BZ512" s="171">
        <f t="shared" si="852"/>
        <v>0</v>
      </c>
      <c r="CA512" s="171">
        <f t="shared" si="852"/>
        <v>0</v>
      </c>
      <c r="CB512" s="171">
        <f t="shared" si="852"/>
        <v>0</v>
      </c>
      <c r="CC512" s="171">
        <f t="shared" si="852"/>
        <v>0</v>
      </c>
      <c r="CD512" s="171">
        <f t="shared" si="852"/>
        <v>0</v>
      </c>
      <c r="CE512" s="171">
        <f t="shared" si="852"/>
        <v>0</v>
      </c>
      <c r="CF512" s="171">
        <f t="shared" si="852"/>
        <v>0</v>
      </c>
      <c r="CG512" s="171">
        <f t="shared" si="852"/>
        <v>0</v>
      </c>
      <c r="CH512" s="171">
        <f t="shared" si="852"/>
        <v>0</v>
      </c>
      <c r="CI512" s="171">
        <f t="shared" si="852"/>
        <v>0</v>
      </c>
      <c r="CJ512" s="243"/>
      <c r="CK512" s="171">
        <f t="shared" si="779"/>
        <v>0</v>
      </c>
      <c r="CL512" s="171">
        <f t="shared" si="780"/>
        <v>0</v>
      </c>
      <c r="CM512" s="171">
        <f t="shared" si="781"/>
        <v>0</v>
      </c>
      <c r="CN512" s="171">
        <f t="shared" si="782"/>
        <v>0</v>
      </c>
      <c r="CO512" s="171">
        <f t="shared" si="783"/>
        <v>0</v>
      </c>
      <c r="CP512" s="171">
        <f t="shared" si="784"/>
        <v>0</v>
      </c>
      <c r="CQ512" s="171">
        <f t="shared" si="785"/>
        <v>0</v>
      </c>
      <c r="CR512" s="171">
        <f t="shared" si="786"/>
        <v>0</v>
      </c>
      <c r="CS512" s="171">
        <f t="shared" si="787"/>
        <v>0</v>
      </c>
      <c r="CT512" s="171">
        <f t="shared" si="788"/>
        <v>0</v>
      </c>
      <c r="CU512" s="171">
        <f t="shared" si="789"/>
        <v>0</v>
      </c>
      <c r="CV512" s="171">
        <f t="shared" si="790"/>
        <v>0</v>
      </c>
      <c r="CW512" s="171">
        <f t="shared" si="791"/>
        <v>0</v>
      </c>
      <c r="CX512" s="171">
        <f t="shared" si="792"/>
        <v>0</v>
      </c>
      <c r="CY512" s="171">
        <f t="shared" ca="1" si="793"/>
        <v>0</v>
      </c>
      <c r="CZ512" s="171">
        <f t="shared" ca="1" si="794"/>
        <v>0</v>
      </c>
      <c r="DA512" s="171">
        <f t="shared" ca="1" si="795"/>
        <v>0</v>
      </c>
      <c r="DB512" s="171">
        <f t="shared" ca="1" si="796"/>
        <v>0</v>
      </c>
      <c r="DC512" s="171">
        <f t="shared" ca="1" si="797"/>
        <v>0</v>
      </c>
      <c r="DD512" s="171">
        <f t="shared" ca="1" si="798"/>
        <v>0</v>
      </c>
      <c r="DE512" s="171">
        <f t="shared" ca="1" si="799"/>
        <v>0</v>
      </c>
      <c r="DF512" s="171">
        <f t="shared" ca="1" si="800"/>
        <v>0</v>
      </c>
      <c r="DG512" s="171">
        <f t="shared" ca="1" si="801"/>
        <v>0</v>
      </c>
      <c r="DH512" s="171">
        <f t="shared" ca="1" si="802"/>
        <v>0</v>
      </c>
      <c r="DI512" s="171">
        <f t="shared" ca="1" si="803"/>
        <v>0</v>
      </c>
      <c r="DJ512" s="171">
        <f t="shared" ca="1" si="804"/>
        <v>0</v>
      </c>
      <c r="DK512" s="171">
        <f t="shared" ca="1" si="805"/>
        <v>0</v>
      </c>
      <c r="DL512" s="171">
        <f t="shared" ca="1" si="806"/>
        <v>0</v>
      </c>
      <c r="DM512" s="171">
        <f t="shared" ca="1" si="807"/>
        <v>0</v>
      </c>
      <c r="DN512" s="171">
        <f t="shared" ca="1" si="808"/>
        <v>0</v>
      </c>
      <c r="DO512" s="171">
        <f t="shared" ca="1" si="809"/>
        <v>0</v>
      </c>
      <c r="DP512" s="171">
        <f t="shared" ca="1" si="810"/>
        <v>0</v>
      </c>
      <c r="DQ512" s="171">
        <f t="shared" ca="1" si="811"/>
        <v>0</v>
      </c>
      <c r="DR512" s="171">
        <f t="shared" ca="1" si="812"/>
        <v>0</v>
      </c>
      <c r="DS512" s="171">
        <f t="shared" ca="1" si="813"/>
        <v>0</v>
      </c>
      <c r="DT512" s="171">
        <f t="shared" ca="1" si="814"/>
        <v>0</v>
      </c>
      <c r="DU512" s="171">
        <f t="shared" ca="1" si="815"/>
        <v>0</v>
      </c>
      <c r="DV512" s="171">
        <f t="shared" ca="1" si="816"/>
        <v>0</v>
      </c>
      <c r="DW512" s="171">
        <f t="shared" ca="1" si="817"/>
        <v>0</v>
      </c>
      <c r="DX512" s="171">
        <f t="shared" ca="1" si="818"/>
        <v>0</v>
      </c>
      <c r="DY512" s="171">
        <f t="shared" ca="1" si="819"/>
        <v>0</v>
      </c>
      <c r="DZ512" s="171">
        <f t="shared" ca="1" si="820"/>
        <v>0</v>
      </c>
      <c r="EA512" s="171">
        <f t="shared" ca="1" si="821"/>
        <v>0</v>
      </c>
      <c r="EB512" s="171">
        <f t="shared" ca="1" si="822"/>
        <v>0</v>
      </c>
      <c r="EC512" s="171">
        <f t="shared" ca="1" si="823"/>
        <v>0</v>
      </c>
      <c r="ED512" s="171">
        <f t="shared" ca="1" si="824"/>
        <v>0</v>
      </c>
      <c r="EE512" s="171">
        <f t="shared" ca="1" si="825"/>
        <v>0</v>
      </c>
      <c r="EF512" s="171">
        <f t="shared" ca="1" si="826"/>
        <v>0</v>
      </c>
      <c r="EG512" s="171">
        <f t="shared" ca="1" si="827"/>
        <v>0</v>
      </c>
      <c r="EH512" s="171">
        <f t="shared" ca="1" si="828"/>
        <v>0</v>
      </c>
      <c r="EI512" s="171">
        <f t="shared" ca="1" si="829"/>
        <v>0</v>
      </c>
      <c r="EJ512" s="171">
        <f t="shared" ca="1" si="830"/>
        <v>0</v>
      </c>
      <c r="EK512" s="171">
        <f t="shared" ca="1" si="831"/>
        <v>0</v>
      </c>
      <c r="EL512" s="171">
        <f t="shared" ca="1" si="832"/>
        <v>0</v>
      </c>
      <c r="EM512" s="171">
        <f t="shared" ca="1" si="833"/>
        <v>0</v>
      </c>
      <c r="EN512" s="171">
        <f t="shared" ca="1" si="834"/>
        <v>0</v>
      </c>
      <c r="EO512" s="171">
        <f t="shared" ca="1" si="835"/>
        <v>0</v>
      </c>
      <c r="EP512" s="171">
        <f t="shared" ca="1" si="836"/>
        <v>0</v>
      </c>
      <c r="EQ512" s="171">
        <f t="shared" ca="1" si="837"/>
        <v>0</v>
      </c>
      <c r="ER512" s="171">
        <f t="shared" ca="1" si="838"/>
        <v>0</v>
      </c>
      <c r="ES512" s="171">
        <f t="shared" ca="1" si="839"/>
        <v>0</v>
      </c>
    </row>
    <row r="513" spans="1:149">
      <c r="C513" s="157"/>
      <c r="L513" s="163"/>
      <c r="M513" s="164" t="str">
        <f t="shared" si="770"/>
        <v/>
      </c>
      <c r="N513" s="164" t="str">
        <f t="shared" si="771"/>
        <v/>
      </c>
      <c r="O513" s="165" t="str">
        <f t="shared" si="772"/>
        <v/>
      </c>
      <c r="R513" s="168" t="str">
        <f t="shared" si="840"/>
        <v/>
      </c>
      <c r="U513" s="171">
        <f t="shared" si="773"/>
        <v>0</v>
      </c>
      <c r="V513" s="171">
        <f t="shared" ca="1" si="774"/>
        <v>0</v>
      </c>
      <c r="W513" s="171">
        <f t="shared" ca="1" si="775"/>
        <v>0</v>
      </c>
      <c r="X513" s="172">
        <f t="shared" si="776"/>
        <v>0</v>
      </c>
      <c r="Y513" s="172" t="str">
        <f t="shared" si="777"/>
        <v/>
      </c>
      <c r="Z513" s="173">
        <f t="shared" si="778"/>
        <v>0</v>
      </c>
      <c r="AA513" s="171">
        <f t="shared" si="847"/>
        <v>0</v>
      </c>
      <c r="AB513" s="171">
        <f t="shared" si="847"/>
        <v>0</v>
      </c>
      <c r="AC513" s="171">
        <f t="shared" si="847"/>
        <v>0</v>
      </c>
      <c r="AD513" s="171">
        <f t="shared" si="847"/>
        <v>0</v>
      </c>
      <c r="AE513" s="171">
        <f t="shared" si="847"/>
        <v>0</v>
      </c>
      <c r="AF513" s="171">
        <f t="shared" si="847"/>
        <v>0</v>
      </c>
      <c r="AG513" s="171">
        <f t="shared" si="847"/>
        <v>0</v>
      </c>
      <c r="AH513" s="171">
        <f t="shared" si="847"/>
        <v>0</v>
      </c>
      <c r="AI513" s="171">
        <f t="shared" si="847"/>
        <v>0</v>
      </c>
      <c r="AJ513" s="171">
        <f t="shared" si="847"/>
        <v>0</v>
      </c>
      <c r="AK513" s="171">
        <f t="shared" si="848"/>
        <v>0</v>
      </c>
      <c r="AL513" s="171">
        <f t="shared" si="848"/>
        <v>0</v>
      </c>
      <c r="AM513" s="171">
        <f t="shared" si="848"/>
        <v>0</v>
      </c>
      <c r="AN513" s="171">
        <f t="shared" si="848"/>
        <v>0</v>
      </c>
      <c r="AO513" s="171">
        <f t="shared" si="848"/>
        <v>0</v>
      </c>
      <c r="AP513" s="171">
        <f t="shared" si="848"/>
        <v>0</v>
      </c>
      <c r="AQ513" s="171">
        <f t="shared" si="848"/>
        <v>0</v>
      </c>
      <c r="AR513" s="171">
        <f t="shared" si="848"/>
        <v>0</v>
      </c>
      <c r="AS513" s="171">
        <f t="shared" si="848"/>
        <v>0</v>
      </c>
      <c r="AT513" s="171">
        <f t="shared" si="848"/>
        <v>0</v>
      </c>
      <c r="AU513" s="171">
        <f t="shared" si="849"/>
        <v>0</v>
      </c>
      <c r="AV513" s="171">
        <f t="shared" si="849"/>
        <v>0</v>
      </c>
      <c r="AW513" s="171">
        <f t="shared" si="849"/>
        <v>0</v>
      </c>
      <c r="AX513" s="171">
        <f t="shared" si="849"/>
        <v>0</v>
      </c>
      <c r="AY513" s="171">
        <f t="shared" si="849"/>
        <v>0</v>
      </c>
      <c r="AZ513" s="171">
        <f t="shared" si="849"/>
        <v>0</v>
      </c>
      <c r="BA513" s="171">
        <f t="shared" si="849"/>
        <v>0</v>
      </c>
      <c r="BB513" s="171">
        <f t="shared" si="849"/>
        <v>0</v>
      </c>
      <c r="BC513" s="171">
        <f t="shared" si="849"/>
        <v>0</v>
      </c>
      <c r="BD513" s="171">
        <f t="shared" si="849"/>
        <v>0</v>
      </c>
      <c r="BE513" s="171">
        <f t="shared" si="850"/>
        <v>0</v>
      </c>
      <c r="BF513" s="171">
        <f t="shared" si="850"/>
        <v>0</v>
      </c>
      <c r="BG513" s="171">
        <f t="shared" si="850"/>
        <v>0</v>
      </c>
      <c r="BH513" s="171">
        <f t="shared" si="850"/>
        <v>0</v>
      </c>
      <c r="BI513" s="171">
        <f t="shared" si="850"/>
        <v>0</v>
      </c>
      <c r="BJ513" s="171">
        <f t="shared" si="850"/>
        <v>0</v>
      </c>
      <c r="BK513" s="171">
        <f t="shared" si="850"/>
        <v>0</v>
      </c>
      <c r="BL513" s="171">
        <f t="shared" si="850"/>
        <v>0</v>
      </c>
      <c r="BM513" s="171">
        <f t="shared" si="850"/>
        <v>0</v>
      </c>
      <c r="BN513" s="171">
        <f t="shared" si="850"/>
        <v>0</v>
      </c>
      <c r="BO513" s="171">
        <f t="shared" si="851"/>
        <v>0</v>
      </c>
      <c r="BP513" s="171">
        <f t="shared" si="851"/>
        <v>0</v>
      </c>
      <c r="BQ513" s="171">
        <f t="shared" si="851"/>
        <v>0</v>
      </c>
      <c r="BR513" s="171">
        <f t="shared" si="851"/>
        <v>0</v>
      </c>
      <c r="BS513" s="171">
        <f t="shared" si="851"/>
        <v>0</v>
      </c>
      <c r="BT513" s="171">
        <f t="shared" si="851"/>
        <v>0</v>
      </c>
      <c r="BU513" s="171">
        <f t="shared" si="851"/>
        <v>0</v>
      </c>
      <c r="BV513" s="171">
        <f t="shared" si="851"/>
        <v>0</v>
      </c>
      <c r="BW513" s="171">
        <f t="shared" si="851"/>
        <v>0</v>
      </c>
      <c r="BX513" s="171">
        <f t="shared" si="851"/>
        <v>0</v>
      </c>
      <c r="BY513" s="171">
        <f t="shared" si="852"/>
        <v>0</v>
      </c>
      <c r="BZ513" s="171">
        <f t="shared" si="852"/>
        <v>0</v>
      </c>
      <c r="CA513" s="171">
        <f t="shared" si="852"/>
        <v>0</v>
      </c>
      <c r="CB513" s="171">
        <f t="shared" si="852"/>
        <v>0</v>
      </c>
      <c r="CC513" s="171">
        <f t="shared" si="852"/>
        <v>0</v>
      </c>
      <c r="CD513" s="171">
        <f t="shared" si="852"/>
        <v>0</v>
      </c>
      <c r="CE513" s="171">
        <f t="shared" si="852"/>
        <v>0</v>
      </c>
      <c r="CF513" s="171">
        <f t="shared" si="852"/>
        <v>0</v>
      </c>
      <c r="CG513" s="171">
        <f t="shared" si="852"/>
        <v>0</v>
      </c>
      <c r="CH513" s="171">
        <f t="shared" si="852"/>
        <v>0</v>
      </c>
      <c r="CI513" s="171">
        <f t="shared" si="852"/>
        <v>0</v>
      </c>
      <c r="CJ513" s="243"/>
      <c r="CK513" s="171">
        <f t="shared" si="779"/>
        <v>0</v>
      </c>
      <c r="CL513" s="171">
        <f t="shared" si="780"/>
        <v>0</v>
      </c>
      <c r="CM513" s="171">
        <f t="shared" si="781"/>
        <v>0</v>
      </c>
      <c r="CN513" s="171">
        <f t="shared" si="782"/>
        <v>0</v>
      </c>
      <c r="CO513" s="171">
        <f t="shared" si="783"/>
        <v>0</v>
      </c>
      <c r="CP513" s="171">
        <f t="shared" si="784"/>
        <v>0</v>
      </c>
      <c r="CQ513" s="171">
        <f t="shared" si="785"/>
        <v>0</v>
      </c>
      <c r="CR513" s="171">
        <f t="shared" si="786"/>
        <v>0</v>
      </c>
      <c r="CS513" s="171">
        <f t="shared" si="787"/>
        <v>0</v>
      </c>
      <c r="CT513" s="171">
        <f t="shared" si="788"/>
        <v>0</v>
      </c>
      <c r="CU513" s="171">
        <f t="shared" si="789"/>
        <v>0</v>
      </c>
      <c r="CV513" s="171">
        <f t="shared" si="790"/>
        <v>0</v>
      </c>
      <c r="CW513" s="171">
        <f t="shared" si="791"/>
        <v>0</v>
      </c>
      <c r="CX513" s="171">
        <f t="shared" si="792"/>
        <v>0</v>
      </c>
      <c r="CY513" s="171">
        <f t="shared" ca="1" si="793"/>
        <v>0</v>
      </c>
      <c r="CZ513" s="171">
        <f t="shared" ca="1" si="794"/>
        <v>0</v>
      </c>
      <c r="DA513" s="171">
        <f t="shared" ca="1" si="795"/>
        <v>0</v>
      </c>
      <c r="DB513" s="171">
        <f t="shared" ca="1" si="796"/>
        <v>0</v>
      </c>
      <c r="DC513" s="171">
        <f t="shared" ca="1" si="797"/>
        <v>0</v>
      </c>
      <c r="DD513" s="171">
        <f t="shared" ca="1" si="798"/>
        <v>0</v>
      </c>
      <c r="DE513" s="171">
        <f t="shared" ca="1" si="799"/>
        <v>0</v>
      </c>
      <c r="DF513" s="171">
        <f t="shared" ca="1" si="800"/>
        <v>0</v>
      </c>
      <c r="DG513" s="171">
        <f t="shared" ca="1" si="801"/>
        <v>0</v>
      </c>
      <c r="DH513" s="171">
        <f t="shared" ca="1" si="802"/>
        <v>0</v>
      </c>
      <c r="DI513" s="171">
        <f t="shared" ca="1" si="803"/>
        <v>0</v>
      </c>
      <c r="DJ513" s="171">
        <f t="shared" ca="1" si="804"/>
        <v>0</v>
      </c>
      <c r="DK513" s="171">
        <f t="shared" ca="1" si="805"/>
        <v>0</v>
      </c>
      <c r="DL513" s="171">
        <f t="shared" ca="1" si="806"/>
        <v>0</v>
      </c>
      <c r="DM513" s="171">
        <f t="shared" ca="1" si="807"/>
        <v>0</v>
      </c>
      <c r="DN513" s="171">
        <f t="shared" ca="1" si="808"/>
        <v>0</v>
      </c>
      <c r="DO513" s="171">
        <f t="shared" ca="1" si="809"/>
        <v>0</v>
      </c>
      <c r="DP513" s="171">
        <f t="shared" ca="1" si="810"/>
        <v>0</v>
      </c>
      <c r="DQ513" s="171">
        <f t="shared" ca="1" si="811"/>
        <v>0</v>
      </c>
      <c r="DR513" s="171">
        <f t="shared" ca="1" si="812"/>
        <v>0</v>
      </c>
      <c r="DS513" s="171">
        <f t="shared" ca="1" si="813"/>
        <v>0</v>
      </c>
      <c r="DT513" s="171">
        <f t="shared" ca="1" si="814"/>
        <v>0</v>
      </c>
      <c r="DU513" s="171">
        <f t="shared" ca="1" si="815"/>
        <v>0</v>
      </c>
      <c r="DV513" s="171">
        <f t="shared" ca="1" si="816"/>
        <v>0</v>
      </c>
      <c r="DW513" s="171">
        <f t="shared" ca="1" si="817"/>
        <v>0</v>
      </c>
      <c r="DX513" s="171">
        <f t="shared" ca="1" si="818"/>
        <v>0</v>
      </c>
      <c r="DY513" s="171">
        <f t="shared" ca="1" si="819"/>
        <v>0</v>
      </c>
      <c r="DZ513" s="171">
        <f t="shared" ca="1" si="820"/>
        <v>0</v>
      </c>
      <c r="EA513" s="171">
        <f t="shared" ca="1" si="821"/>
        <v>0</v>
      </c>
      <c r="EB513" s="171">
        <f t="shared" ca="1" si="822"/>
        <v>0</v>
      </c>
      <c r="EC513" s="171">
        <f t="shared" ca="1" si="823"/>
        <v>0</v>
      </c>
      <c r="ED513" s="171">
        <f t="shared" ca="1" si="824"/>
        <v>0</v>
      </c>
      <c r="EE513" s="171">
        <f t="shared" ca="1" si="825"/>
        <v>0</v>
      </c>
      <c r="EF513" s="171">
        <f t="shared" ca="1" si="826"/>
        <v>0</v>
      </c>
      <c r="EG513" s="171">
        <f t="shared" ca="1" si="827"/>
        <v>0</v>
      </c>
      <c r="EH513" s="171">
        <f t="shared" ca="1" si="828"/>
        <v>0</v>
      </c>
      <c r="EI513" s="171">
        <f t="shared" ca="1" si="829"/>
        <v>0</v>
      </c>
      <c r="EJ513" s="171">
        <f t="shared" ca="1" si="830"/>
        <v>0</v>
      </c>
      <c r="EK513" s="171">
        <f t="shared" ca="1" si="831"/>
        <v>0</v>
      </c>
      <c r="EL513" s="171">
        <f t="shared" ca="1" si="832"/>
        <v>0</v>
      </c>
      <c r="EM513" s="171">
        <f t="shared" ca="1" si="833"/>
        <v>0</v>
      </c>
      <c r="EN513" s="171">
        <f t="shared" ca="1" si="834"/>
        <v>0</v>
      </c>
      <c r="EO513" s="171">
        <f t="shared" ca="1" si="835"/>
        <v>0</v>
      </c>
      <c r="EP513" s="171">
        <f t="shared" ca="1" si="836"/>
        <v>0</v>
      </c>
      <c r="EQ513" s="171">
        <f t="shared" ca="1" si="837"/>
        <v>0</v>
      </c>
      <c r="ER513" s="171">
        <f t="shared" ca="1" si="838"/>
        <v>0</v>
      </c>
      <c r="ES513" s="171">
        <f t="shared" ca="1" si="839"/>
        <v>0</v>
      </c>
    </row>
    <row r="514" spans="1:149">
      <c r="C514" s="157"/>
      <c r="L514" s="163"/>
      <c r="M514" s="164" t="str">
        <f t="shared" si="770"/>
        <v/>
      </c>
      <c r="N514" s="164" t="str">
        <f t="shared" si="771"/>
        <v/>
      </c>
      <c r="O514" s="165" t="str">
        <f t="shared" si="772"/>
        <v/>
      </c>
      <c r="R514" s="168" t="str">
        <f t="shared" si="840"/>
        <v/>
      </c>
      <c r="U514" s="171">
        <f t="shared" si="773"/>
        <v>0</v>
      </c>
      <c r="V514" s="171">
        <f t="shared" ca="1" si="774"/>
        <v>0</v>
      </c>
      <c r="W514" s="171">
        <f t="shared" ca="1" si="775"/>
        <v>0</v>
      </c>
      <c r="X514" s="172">
        <f t="shared" si="776"/>
        <v>0</v>
      </c>
      <c r="Y514" s="172" t="str">
        <f t="shared" ref="Y514:Y516" si="853">IFERROR(IF(ISNUMBER(SEARCH("EPP",T514)),(1-((P514/$B$12)/(((1+$B$11)^(1/$B$12))-1)))  *  (1-  (((1/((1+((((1+$B$11)^(1/$B$12))-1)))^($B$12*S514)))-(1/((1+((((1+$B$11)^(1/$B$12))-1)))^($B$12*(Q514+S514)))))/(((((1+$B$11)^(1/$B$12))-1))*(($B$12*(Q514+S514))-($B$12*S514))))),IF(ISNUMBER(SEARCH("Lump",T514)),(1-((1+P514*(Q514+S514))/((1+$B$11)^(Q514+S514)))),IF((T514="Equity"),"Equity",""))),"ERROR")</f>
        <v/>
      </c>
      <c r="Z514" s="173">
        <f t="shared" si="778"/>
        <v>0</v>
      </c>
      <c r="AA514" s="171">
        <f t="shared" si="847"/>
        <v>0</v>
      </c>
      <c r="AB514" s="171">
        <f t="shared" si="847"/>
        <v>0</v>
      </c>
      <c r="AC514" s="171">
        <f t="shared" si="847"/>
        <v>0</v>
      </c>
      <c r="AD514" s="171">
        <f t="shared" si="847"/>
        <v>0</v>
      </c>
      <c r="AE514" s="171">
        <f t="shared" si="847"/>
        <v>0</v>
      </c>
      <c r="AF514" s="171">
        <f t="shared" si="847"/>
        <v>0</v>
      </c>
      <c r="AG514" s="171">
        <f t="shared" si="847"/>
        <v>0</v>
      </c>
      <c r="AH514" s="171">
        <f t="shared" si="847"/>
        <v>0</v>
      </c>
      <c r="AI514" s="171">
        <f t="shared" si="847"/>
        <v>0</v>
      </c>
      <c r="AJ514" s="171">
        <f t="shared" si="847"/>
        <v>0</v>
      </c>
      <c r="AK514" s="171">
        <f t="shared" si="848"/>
        <v>0</v>
      </c>
      <c r="AL514" s="171">
        <f t="shared" si="848"/>
        <v>0</v>
      </c>
      <c r="AM514" s="171">
        <f t="shared" si="848"/>
        <v>0</v>
      </c>
      <c r="AN514" s="171">
        <f t="shared" si="848"/>
        <v>0</v>
      </c>
      <c r="AO514" s="171">
        <f t="shared" si="848"/>
        <v>0</v>
      </c>
      <c r="AP514" s="171">
        <f t="shared" si="848"/>
        <v>0</v>
      </c>
      <c r="AQ514" s="171">
        <f t="shared" si="848"/>
        <v>0</v>
      </c>
      <c r="AR514" s="171">
        <f t="shared" si="848"/>
        <v>0</v>
      </c>
      <c r="AS514" s="171">
        <f t="shared" si="848"/>
        <v>0</v>
      </c>
      <c r="AT514" s="171">
        <f t="shared" si="848"/>
        <v>0</v>
      </c>
      <c r="AU514" s="171">
        <f t="shared" si="849"/>
        <v>0</v>
      </c>
      <c r="AV514" s="171">
        <f t="shared" si="849"/>
        <v>0</v>
      </c>
      <c r="AW514" s="171">
        <f t="shared" si="849"/>
        <v>0</v>
      </c>
      <c r="AX514" s="171">
        <f t="shared" si="849"/>
        <v>0</v>
      </c>
      <c r="AY514" s="171">
        <f t="shared" si="849"/>
        <v>0</v>
      </c>
      <c r="AZ514" s="171">
        <f t="shared" si="849"/>
        <v>0</v>
      </c>
      <c r="BA514" s="171">
        <f t="shared" si="849"/>
        <v>0</v>
      </c>
      <c r="BB514" s="171">
        <f t="shared" si="849"/>
        <v>0</v>
      </c>
      <c r="BC514" s="171">
        <f t="shared" si="849"/>
        <v>0</v>
      </c>
      <c r="BD514" s="171">
        <f t="shared" si="849"/>
        <v>0</v>
      </c>
      <c r="BE514" s="171">
        <f t="shared" si="850"/>
        <v>0</v>
      </c>
      <c r="BF514" s="171">
        <f t="shared" si="850"/>
        <v>0</v>
      </c>
      <c r="BG514" s="171">
        <f t="shared" si="850"/>
        <v>0</v>
      </c>
      <c r="BH514" s="171">
        <f t="shared" si="850"/>
        <v>0</v>
      </c>
      <c r="BI514" s="171">
        <f t="shared" si="850"/>
        <v>0</v>
      </c>
      <c r="BJ514" s="171">
        <f t="shared" si="850"/>
        <v>0</v>
      </c>
      <c r="BK514" s="171">
        <f t="shared" si="850"/>
        <v>0</v>
      </c>
      <c r="BL514" s="171">
        <f t="shared" si="850"/>
        <v>0</v>
      </c>
      <c r="BM514" s="171">
        <f t="shared" si="850"/>
        <v>0</v>
      </c>
      <c r="BN514" s="171">
        <f t="shared" si="850"/>
        <v>0</v>
      </c>
      <c r="BO514" s="171">
        <f t="shared" si="851"/>
        <v>0</v>
      </c>
      <c r="BP514" s="171">
        <f t="shared" si="851"/>
        <v>0</v>
      </c>
      <c r="BQ514" s="171">
        <f t="shared" si="851"/>
        <v>0</v>
      </c>
      <c r="BR514" s="171">
        <f t="shared" si="851"/>
        <v>0</v>
      </c>
      <c r="BS514" s="171">
        <f t="shared" si="851"/>
        <v>0</v>
      </c>
      <c r="BT514" s="171">
        <f t="shared" si="851"/>
        <v>0</v>
      </c>
      <c r="BU514" s="171">
        <f t="shared" si="851"/>
        <v>0</v>
      </c>
      <c r="BV514" s="171">
        <f t="shared" si="851"/>
        <v>0</v>
      </c>
      <c r="BW514" s="171">
        <f t="shared" si="851"/>
        <v>0</v>
      </c>
      <c r="BX514" s="171">
        <f t="shared" si="851"/>
        <v>0</v>
      </c>
      <c r="BY514" s="171">
        <f t="shared" si="852"/>
        <v>0</v>
      </c>
      <c r="BZ514" s="171">
        <f t="shared" si="852"/>
        <v>0</v>
      </c>
      <c r="CA514" s="171">
        <f t="shared" si="852"/>
        <v>0</v>
      </c>
      <c r="CB514" s="171">
        <f t="shared" si="852"/>
        <v>0</v>
      </c>
      <c r="CC514" s="171">
        <f t="shared" si="852"/>
        <v>0</v>
      </c>
      <c r="CD514" s="171">
        <f t="shared" si="852"/>
        <v>0</v>
      </c>
      <c r="CE514" s="171">
        <f t="shared" si="852"/>
        <v>0</v>
      </c>
      <c r="CF514" s="171">
        <f t="shared" si="852"/>
        <v>0</v>
      </c>
      <c r="CG514" s="171">
        <f t="shared" si="852"/>
        <v>0</v>
      </c>
      <c r="CH514" s="171">
        <f t="shared" si="852"/>
        <v>0</v>
      </c>
      <c r="CI514" s="171">
        <f t="shared" si="852"/>
        <v>0</v>
      </c>
      <c r="CJ514" s="243"/>
      <c r="CK514" s="171">
        <f t="shared" si="779"/>
        <v>0</v>
      </c>
      <c r="CL514" s="171">
        <f t="shared" si="780"/>
        <v>0</v>
      </c>
      <c r="CM514" s="171">
        <f t="shared" si="781"/>
        <v>0</v>
      </c>
      <c r="CN514" s="171">
        <f t="shared" si="782"/>
        <v>0</v>
      </c>
      <c r="CO514" s="171">
        <f t="shared" si="783"/>
        <v>0</v>
      </c>
      <c r="CP514" s="171">
        <f t="shared" si="784"/>
        <v>0</v>
      </c>
      <c r="CQ514" s="171">
        <f t="shared" si="785"/>
        <v>0</v>
      </c>
      <c r="CR514" s="171">
        <f t="shared" si="786"/>
        <v>0</v>
      </c>
      <c r="CS514" s="171">
        <f t="shared" si="787"/>
        <v>0</v>
      </c>
      <c r="CT514" s="171">
        <f t="shared" si="788"/>
        <v>0</v>
      </c>
      <c r="CU514" s="171">
        <f t="shared" si="789"/>
        <v>0</v>
      </c>
      <c r="CV514" s="171">
        <f t="shared" si="790"/>
        <v>0</v>
      </c>
      <c r="CW514" s="171">
        <f t="shared" si="791"/>
        <v>0</v>
      </c>
      <c r="CX514" s="171">
        <f t="shared" si="792"/>
        <v>0</v>
      </c>
      <c r="CY514" s="171">
        <f t="shared" ca="1" si="793"/>
        <v>0</v>
      </c>
      <c r="CZ514" s="171">
        <f t="shared" ca="1" si="794"/>
        <v>0</v>
      </c>
      <c r="DA514" s="171">
        <f t="shared" ca="1" si="795"/>
        <v>0</v>
      </c>
      <c r="DB514" s="171">
        <f t="shared" ca="1" si="796"/>
        <v>0</v>
      </c>
      <c r="DC514" s="171">
        <f t="shared" ca="1" si="797"/>
        <v>0</v>
      </c>
      <c r="DD514" s="171">
        <f t="shared" ca="1" si="798"/>
        <v>0</v>
      </c>
      <c r="DE514" s="171">
        <f t="shared" ca="1" si="799"/>
        <v>0</v>
      </c>
      <c r="DF514" s="171">
        <f t="shared" ca="1" si="800"/>
        <v>0</v>
      </c>
      <c r="DG514" s="171">
        <f t="shared" ca="1" si="801"/>
        <v>0</v>
      </c>
      <c r="DH514" s="171">
        <f t="shared" ca="1" si="802"/>
        <v>0</v>
      </c>
      <c r="DI514" s="171">
        <f t="shared" ca="1" si="803"/>
        <v>0</v>
      </c>
      <c r="DJ514" s="171">
        <f t="shared" ca="1" si="804"/>
        <v>0</v>
      </c>
      <c r="DK514" s="171">
        <f t="shared" ca="1" si="805"/>
        <v>0</v>
      </c>
      <c r="DL514" s="171">
        <f t="shared" ca="1" si="806"/>
        <v>0</v>
      </c>
      <c r="DM514" s="171">
        <f t="shared" ca="1" si="807"/>
        <v>0</v>
      </c>
      <c r="DN514" s="171">
        <f t="shared" ca="1" si="808"/>
        <v>0</v>
      </c>
      <c r="DO514" s="171">
        <f t="shared" ca="1" si="809"/>
        <v>0</v>
      </c>
      <c r="DP514" s="171">
        <f t="shared" ca="1" si="810"/>
        <v>0</v>
      </c>
      <c r="DQ514" s="171">
        <f t="shared" ca="1" si="811"/>
        <v>0</v>
      </c>
      <c r="DR514" s="171">
        <f t="shared" ca="1" si="812"/>
        <v>0</v>
      </c>
      <c r="DS514" s="171">
        <f t="shared" ca="1" si="813"/>
        <v>0</v>
      </c>
      <c r="DT514" s="171">
        <f t="shared" ca="1" si="814"/>
        <v>0</v>
      </c>
      <c r="DU514" s="171">
        <f t="shared" ca="1" si="815"/>
        <v>0</v>
      </c>
      <c r="DV514" s="171">
        <f t="shared" ca="1" si="816"/>
        <v>0</v>
      </c>
      <c r="DW514" s="171">
        <f t="shared" ca="1" si="817"/>
        <v>0</v>
      </c>
      <c r="DX514" s="171">
        <f t="shared" ca="1" si="818"/>
        <v>0</v>
      </c>
      <c r="DY514" s="171">
        <f t="shared" ca="1" si="819"/>
        <v>0</v>
      </c>
      <c r="DZ514" s="171">
        <f t="shared" ca="1" si="820"/>
        <v>0</v>
      </c>
      <c r="EA514" s="171">
        <f t="shared" ca="1" si="821"/>
        <v>0</v>
      </c>
      <c r="EB514" s="171">
        <f t="shared" ca="1" si="822"/>
        <v>0</v>
      </c>
      <c r="EC514" s="171">
        <f t="shared" ca="1" si="823"/>
        <v>0</v>
      </c>
      <c r="ED514" s="171">
        <f t="shared" ca="1" si="824"/>
        <v>0</v>
      </c>
      <c r="EE514" s="171">
        <f t="shared" ca="1" si="825"/>
        <v>0</v>
      </c>
      <c r="EF514" s="171">
        <f t="shared" ca="1" si="826"/>
        <v>0</v>
      </c>
      <c r="EG514" s="171">
        <f t="shared" ca="1" si="827"/>
        <v>0</v>
      </c>
      <c r="EH514" s="171">
        <f t="shared" ca="1" si="828"/>
        <v>0</v>
      </c>
      <c r="EI514" s="171">
        <f t="shared" ca="1" si="829"/>
        <v>0</v>
      </c>
      <c r="EJ514" s="171">
        <f t="shared" ca="1" si="830"/>
        <v>0</v>
      </c>
      <c r="EK514" s="171">
        <f t="shared" ca="1" si="831"/>
        <v>0</v>
      </c>
      <c r="EL514" s="171">
        <f t="shared" ca="1" si="832"/>
        <v>0</v>
      </c>
      <c r="EM514" s="171">
        <f t="shared" ca="1" si="833"/>
        <v>0</v>
      </c>
      <c r="EN514" s="171">
        <f t="shared" ca="1" si="834"/>
        <v>0</v>
      </c>
      <c r="EO514" s="171">
        <f t="shared" ca="1" si="835"/>
        <v>0</v>
      </c>
      <c r="EP514" s="171">
        <f t="shared" ca="1" si="836"/>
        <v>0</v>
      </c>
      <c r="EQ514" s="171">
        <f t="shared" ca="1" si="837"/>
        <v>0</v>
      </c>
      <c r="ER514" s="171">
        <f t="shared" ca="1" si="838"/>
        <v>0</v>
      </c>
      <c r="ES514" s="171">
        <f t="shared" ca="1" si="839"/>
        <v>0</v>
      </c>
    </row>
    <row r="515" spans="1:149">
      <c r="C515" s="157"/>
      <c r="L515" s="163"/>
      <c r="M515" s="164" t="str">
        <f t="shared" si="770"/>
        <v/>
      </c>
      <c r="N515" s="164" t="str">
        <f t="shared" si="771"/>
        <v/>
      </c>
      <c r="O515" s="165" t="str">
        <f t="shared" si="772"/>
        <v/>
      </c>
      <c r="R515" s="168" t="str">
        <f t="shared" si="840"/>
        <v/>
      </c>
      <c r="U515" s="171">
        <f t="shared" si="773"/>
        <v>0</v>
      </c>
      <c r="V515" s="171">
        <f t="shared" ca="1" si="774"/>
        <v>0</v>
      </c>
      <c r="W515" s="171">
        <f t="shared" ca="1" si="775"/>
        <v>0</v>
      </c>
      <c r="X515" s="172">
        <f t="shared" si="776"/>
        <v>0</v>
      </c>
      <c r="Y515" s="172" t="str">
        <f t="shared" si="853"/>
        <v/>
      </c>
      <c r="Z515" s="173">
        <f t="shared" si="778"/>
        <v>0</v>
      </c>
      <c r="AA515" s="171">
        <f t="shared" si="847"/>
        <v>0</v>
      </c>
      <c r="AB515" s="171">
        <f t="shared" si="847"/>
        <v>0</v>
      </c>
      <c r="AC515" s="171">
        <f t="shared" si="847"/>
        <v>0</v>
      </c>
      <c r="AD515" s="171">
        <f t="shared" si="847"/>
        <v>0</v>
      </c>
      <c r="AE515" s="171">
        <f t="shared" si="847"/>
        <v>0</v>
      </c>
      <c r="AF515" s="171">
        <f t="shared" si="847"/>
        <v>0</v>
      </c>
      <c r="AG515" s="171">
        <f t="shared" si="847"/>
        <v>0</v>
      </c>
      <c r="AH515" s="171">
        <f t="shared" si="847"/>
        <v>0</v>
      </c>
      <c r="AI515" s="171">
        <f t="shared" si="847"/>
        <v>0</v>
      </c>
      <c r="AJ515" s="171">
        <f t="shared" si="847"/>
        <v>0</v>
      </c>
      <c r="AK515" s="171">
        <f t="shared" si="848"/>
        <v>0</v>
      </c>
      <c r="AL515" s="171">
        <f t="shared" si="848"/>
        <v>0</v>
      </c>
      <c r="AM515" s="171">
        <f t="shared" si="848"/>
        <v>0</v>
      </c>
      <c r="AN515" s="171">
        <f t="shared" si="848"/>
        <v>0</v>
      </c>
      <c r="AO515" s="171">
        <f t="shared" si="848"/>
        <v>0</v>
      </c>
      <c r="AP515" s="171">
        <f t="shared" si="848"/>
        <v>0</v>
      </c>
      <c r="AQ515" s="171">
        <f t="shared" si="848"/>
        <v>0</v>
      </c>
      <c r="AR515" s="171">
        <f t="shared" si="848"/>
        <v>0</v>
      </c>
      <c r="AS515" s="171">
        <f t="shared" si="848"/>
        <v>0</v>
      </c>
      <c r="AT515" s="171">
        <f t="shared" si="848"/>
        <v>0</v>
      </c>
      <c r="AU515" s="171">
        <f t="shared" si="849"/>
        <v>0</v>
      </c>
      <c r="AV515" s="171">
        <f t="shared" si="849"/>
        <v>0</v>
      </c>
      <c r="AW515" s="171">
        <f t="shared" si="849"/>
        <v>0</v>
      </c>
      <c r="AX515" s="171">
        <f t="shared" si="849"/>
        <v>0</v>
      </c>
      <c r="AY515" s="171">
        <f t="shared" si="849"/>
        <v>0</v>
      </c>
      <c r="AZ515" s="171">
        <f t="shared" si="849"/>
        <v>0</v>
      </c>
      <c r="BA515" s="171">
        <f t="shared" si="849"/>
        <v>0</v>
      </c>
      <c r="BB515" s="171">
        <f t="shared" si="849"/>
        <v>0</v>
      </c>
      <c r="BC515" s="171">
        <f t="shared" si="849"/>
        <v>0</v>
      </c>
      <c r="BD515" s="171">
        <f t="shared" si="849"/>
        <v>0</v>
      </c>
      <c r="BE515" s="171">
        <f t="shared" si="850"/>
        <v>0</v>
      </c>
      <c r="BF515" s="171">
        <f t="shared" si="850"/>
        <v>0</v>
      </c>
      <c r="BG515" s="171">
        <f t="shared" si="850"/>
        <v>0</v>
      </c>
      <c r="BH515" s="171">
        <f t="shared" si="850"/>
        <v>0</v>
      </c>
      <c r="BI515" s="171">
        <f t="shared" si="850"/>
        <v>0</v>
      </c>
      <c r="BJ515" s="171">
        <f t="shared" si="850"/>
        <v>0</v>
      </c>
      <c r="BK515" s="171">
        <f t="shared" si="850"/>
        <v>0</v>
      </c>
      <c r="BL515" s="171">
        <f t="shared" si="850"/>
        <v>0</v>
      </c>
      <c r="BM515" s="171">
        <f t="shared" si="850"/>
        <v>0</v>
      </c>
      <c r="BN515" s="171">
        <f t="shared" si="850"/>
        <v>0</v>
      </c>
      <c r="BO515" s="171">
        <f t="shared" si="851"/>
        <v>0</v>
      </c>
      <c r="BP515" s="171">
        <f t="shared" si="851"/>
        <v>0</v>
      </c>
      <c r="BQ515" s="171">
        <f t="shared" si="851"/>
        <v>0</v>
      </c>
      <c r="BR515" s="171">
        <f t="shared" si="851"/>
        <v>0</v>
      </c>
      <c r="BS515" s="171">
        <f t="shared" si="851"/>
        <v>0</v>
      </c>
      <c r="BT515" s="171">
        <f t="shared" si="851"/>
        <v>0</v>
      </c>
      <c r="BU515" s="171">
        <f t="shared" si="851"/>
        <v>0</v>
      </c>
      <c r="BV515" s="171">
        <f t="shared" si="851"/>
        <v>0</v>
      </c>
      <c r="BW515" s="171">
        <f t="shared" si="851"/>
        <v>0</v>
      </c>
      <c r="BX515" s="171">
        <f t="shared" si="851"/>
        <v>0</v>
      </c>
      <c r="BY515" s="171">
        <f t="shared" si="852"/>
        <v>0</v>
      </c>
      <c r="BZ515" s="171">
        <f t="shared" si="852"/>
        <v>0</v>
      </c>
      <c r="CA515" s="171">
        <f t="shared" si="852"/>
        <v>0</v>
      </c>
      <c r="CB515" s="171">
        <f t="shared" si="852"/>
        <v>0</v>
      </c>
      <c r="CC515" s="171">
        <f t="shared" si="852"/>
        <v>0</v>
      </c>
      <c r="CD515" s="171">
        <f t="shared" si="852"/>
        <v>0</v>
      </c>
      <c r="CE515" s="171">
        <f t="shared" si="852"/>
        <v>0</v>
      </c>
      <c r="CF515" s="171">
        <f t="shared" si="852"/>
        <v>0</v>
      </c>
      <c r="CG515" s="171">
        <f t="shared" si="852"/>
        <v>0</v>
      </c>
      <c r="CH515" s="171">
        <f t="shared" si="852"/>
        <v>0</v>
      </c>
      <c r="CI515" s="171">
        <f t="shared" si="852"/>
        <v>0</v>
      </c>
      <c r="CJ515" s="243"/>
      <c r="CK515" s="171">
        <f t="shared" si="779"/>
        <v>0</v>
      </c>
      <c r="CL515" s="171">
        <f t="shared" si="780"/>
        <v>0</v>
      </c>
      <c r="CM515" s="171">
        <f t="shared" si="781"/>
        <v>0</v>
      </c>
      <c r="CN515" s="171">
        <f t="shared" si="782"/>
        <v>0</v>
      </c>
      <c r="CO515" s="171">
        <f t="shared" si="783"/>
        <v>0</v>
      </c>
      <c r="CP515" s="171">
        <f t="shared" si="784"/>
        <v>0</v>
      </c>
      <c r="CQ515" s="171">
        <f t="shared" si="785"/>
        <v>0</v>
      </c>
      <c r="CR515" s="171">
        <f t="shared" si="786"/>
        <v>0</v>
      </c>
      <c r="CS515" s="171">
        <f t="shared" si="787"/>
        <v>0</v>
      </c>
      <c r="CT515" s="171">
        <f t="shared" si="788"/>
        <v>0</v>
      </c>
      <c r="CU515" s="171">
        <f t="shared" si="789"/>
        <v>0</v>
      </c>
      <c r="CV515" s="171">
        <f t="shared" si="790"/>
        <v>0</v>
      </c>
      <c r="CW515" s="171">
        <f t="shared" si="791"/>
        <v>0</v>
      </c>
      <c r="CX515" s="171">
        <f t="shared" si="792"/>
        <v>0</v>
      </c>
      <c r="CY515" s="171">
        <f t="shared" ca="1" si="793"/>
        <v>0</v>
      </c>
      <c r="CZ515" s="171">
        <f t="shared" ca="1" si="794"/>
        <v>0</v>
      </c>
      <c r="DA515" s="171">
        <f t="shared" ca="1" si="795"/>
        <v>0</v>
      </c>
      <c r="DB515" s="171">
        <f t="shared" ca="1" si="796"/>
        <v>0</v>
      </c>
      <c r="DC515" s="171">
        <f t="shared" ca="1" si="797"/>
        <v>0</v>
      </c>
      <c r="DD515" s="171">
        <f t="shared" ca="1" si="798"/>
        <v>0</v>
      </c>
      <c r="DE515" s="171">
        <f t="shared" ca="1" si="799"/>
        <v>0</v>
      </c>
      <c r="DF515" s="171">
        <f t="shared" ca="1" si="800"/>
        <v>0</v>
      </c>
      <c r="DG515" s="171">
        <f t="shared" ca="1" si="801"/>
        <v>0</v>
      </c>
      <c r="DH515" s="171">
        <f t="shared" ca="1" si="802"/>
        <v>0</v>
      </c>
      <c r="DI515" s="171">
        <f t="shared" ca="1" si="803"/>
        <v>0</v>
      </c>
      <c r="DJ515" s="171">
        <f t="shared" ca="1" si="804"/>
        <v>0</v>
      </c>
      <c r="DK515" s="171">
        <f t="shared" ca="1" si="805"/>
        <v>0</v>
      </c>
      <c r="DL515" s="171">
        <f t="shared" ca="1" si="806"/>
        <v>0</v>
      </c>
      <c r="DM515" s="171">
        <f t="shared" ca="1" si="807"/>
        <v>0</v>
      </c>
      <c r="DN515" s="171">
        <f t="shared" ca="1" si="808"/>
        <v>0</v>
      </c>
      <c r="DO515" s="171">
        <f t="shared" ca="1" si="809"/>
        <v>0</v>
      </c>
      <c r="DP515" s="171">
        <f t="shared" ca="1" si="810"/>
        <v>0</v>
      </c>
      <c r="DQ515" s="171">
        <f t="shared" ca="1" si="811"/>
        <v>0</v>
      </c>
      <c r="DR515" s="171">
        <f t="shared" ca="1" si="812"/>
        <v>0</v>
      </c>
      <c r="DS515" s="171">
        <f t="shared" ca="1" si="813"/>
        <v>0</v>
      </c>
      <c r="DT515" s="171">
        <f t="shared" ca="1" si="814"/>
        <v>0</v>
      </c>
      <c r="DU515" s="171">
        <f t="shared" ca="1" si="815"/>
        <v>0</v>
      </c>
      <c r="DV515" s="171">
        <f t="shared" ca="1" si="816"/>
        <v>0</v>
      </c>
      <c r="DW515" s="171">
        <f t="shared" ca="1" si="817"/>
        <v>0</v>
      </c>
      <c r="DX515" s="171">
        <f t="shared" ca="1" si="818"/>
        <v>0</v>
      </c>
      <c r="DY515" s="171">
        <f t="shared" ca="1" si="819"/>
        <v>0</v>
      </c>
      <c r="DZ515" s="171">
        <f t="shared" ca="1" si="820"/>
        <v>0</v>
      </c>
      <c r="EA515" s="171">
        <f t="shared" ca="1" si="821"/>
        <v>0</v>
      </c>
      <c r="EB515" s="171">
        <f t="shared" ca="1" si="822"/>
        <v>0</v>
      </c>
      <c r="EC515" s="171">
        <f t="shared" ca="1" si="823"/>
        <v>0</v>
      </c>
      <c r="ED515" s="171">
        <f t="shared" ca="1" si="824"/>
        <v>0</v>
      </c>
      <c r="EE515" s="171">
        <f t="shared" ca="1" si="825"/>
        <v>0</v>
      </c>
      <c r="EF515" s="171">
        <f t="shared" ca="1" si="826"/>
        <v>0</v>
      </c>
      <c r="EG515" s="171">
        <f t="shared" ca="1" si="827"/>
        <v>0</v>
      </c>
      <c r="EH515" s="171">
        <f t="shared" ca="1" si="828"/>
        <v>0</v>
      </c>
      <c r="EI515" s="171">
        <f t="shared" ca="1" si="829"/>
        <v>0</v>
      </c>
      <c r="EJ515" s="171">
        <f t="shared" ca="1" si="830"/>
        <v>0</v>
      </c>
      <c r="EK515" s="171">
        <f t="shared" ca="1" si="831"/>
        <v>0</v>
      </c>
      <c r="EL515" s="171">
        <f t="shared" ca="1" si="832"/>
        <v>0</v>
      </c>
      <c r="EM515" s="171">
        <f t="shared" ca="1" si="833"/>
        <v>0</v>
      </c>
      <c r="EN515" s="171">
        <f t="shared" ca="1" si="834"/>
        <v>0</v>
      </c>
      <c r="EO515" s="171">
        <f t="shared" ca="1" si="835"/>
        <v>0</v>
      </c>
      <c r="EP515" s="171">
        <f t="shared" ca="1" si="836"/>
        <v>0</v>
      </c>
      <c r="EQ515" s="171">
        <f t="shared" ca="1" si="837"/>
        <v>0</v>
      </c>
      <c r="ER515" s="171">
        <f t="shared" ca="1" si="838"/>
        <v>0</v>
      </c>
      <c r="ES515" s="171">
        <f t="shared" ca="1" si="839"/>
        <v>0</v>
      </c>
    </row>
    <row r="516" spans="1:149" ht="14.65" thickBot="1">
      <c r="C516" s="157"/>
      <c r="L516" s="163"/>
      <c r="M516" s="164" t="str">
        <f t="shared" si="770"/>
        <v/>
      </c>
      <c r="N516" s="164" t="str">
        <f t="shared" si="771"/>
        <v/>
      </c>
      <c r="O516" s="165" t="str">
        <f t="shared" si="772"/>
        <v/>
      </c>
      <c r="R516" s="168" t="str">
        <f t="shared" si="840"/>
        <v/>
      </c>
      <c r="U516" s="171">
        <f t="shared" si="773"/>
        <v>0</v>
      </c>
      <c r="V516" s="171">
        <f t="shared" ca="1" si="774"/>
        <v>0</v>
      </c>
      <c r="W516" s="171">
        <f t="shared" ca="1" si="775"/>
        <v>0</v>
      </c>
      <c r="X516" s="172">
        <f t="shared" si="776"/>
        <v>0</v>
      </c>
      <c r="Y516" s="172" t="str">
        <f t="shared" si="853"/>
        <v/>
      </c>
      <c r="Z516" s="173">
        <f t="shared" si="778"/>
        <v>0</v>
      </c>
      <c r="AA516" s="171">
        <f t="shared" si="847"/>
        <v>0</v>
      </c>
      <c r="AB516" s="171">
        <f t="shared" si="847"/>
        <v>0</v>
      </c>
      <c r="AC516" s="171">
        <f t="shared" si="847"/>
        <v>0</v>
      </c>
      <c r="AD516" s="171">
        <f t="shared" si="847"/>
        <v>0</v>
      </c>
      <c r="AE516" s="171">
        <f t="shared" si="847"/>
        <v>0</v>
      </c>
      <c r="AF516" s="171">
        <f t="shared" si="847"/>
        <v>0</v>
      </c>
      <c r="AG516" s="171">
        <f t="shared" si="847"/>
        <v>0</v>
      </c>
      <c r="AH516" s="171">
        <f t="shared" si="847"/>
        <v>0</v>
      </c>
      <c r="AI516" s="171">
        <f t="shared" si="847"/>
        <v>0</v>
      </c>
      <c r="AJ516" s="171">
        <f t="shared" si="847"/>
        <v>0</v>
      </c>
      <c r="AK516" s="171">
        <f t="shared" si="848"/>
        <v>0</v>
      </c>
      <c r="AL516" s="171">
        <f t="shared" si="848"/>
        <v>0</v>
      </c>
      <c r="AM516" s="171">
        <f t="shared" si="848"/>
        <v>0</v>
      </c>
      <c r="AN516" s="171">
        <f t="shared" si="848"/>
        <v>0</v>
      </c>
      <c r="AO516" s="171">
        <f t="shared" si="848"/>
        <v>0</v>
      </c>
      <c r="AP516" s="171">
        <f t="shared" si="848"/>
        <v>0</v>
      </c>
      <c r="AQ516" s="171">
        <f t="shared" si="848"/>
        <v>0</v>
      </c>
      <c r="AR516" s="171">
        <f t="shared" si="848"/>
        <v>0</v>
      </c>
      <c r="AS516" s="171">
        <f t="shared" si="848"/>
        <v>0</v>
      </c>
      <c r="AT516" s="171">
        <f t="shared" si="848"/>
        <v>0</v>
      </c>
      <c r="AU516" s="171">
        <f t="shared" si="849"/>
        <v>0</v>
      </c>
      <c r="AV516" s="171">
        <f t="shared" si="849"/>
        <v>0</v>
      </c>
      <c r="AW516" s="171">
        <f t="shared" si="849"/>
        <v>0</v>
      </c>
      <c r="AX516" s="171">
        <f t="shared" si="849"/>
        <v>0</v>
      </c>
      <c r="AY516" s="171">
        <f t="shared" si="849"/>
        <v>0</v>
      </c>
      <c r="AZ516" s="171">
        <f t="shared" si="849"/>
        <v>0</v>
      </c>
      <c r="BA516" s="171">
        <f t="shared" si="849"/>
        <v>0</v>
      </c>
      <c r="BB516" s="171">
        <f t="shared" si="849"/>
        <v>0</v>
      </c>
      <c r="BC516" s="171">
        <f t="shared" si="849"/>
        <v>0</v>
      </c>
      <c r="BD516" s="171">
        <f t="shared" si="849"/>
        <v>0</v>
      </c>
      <c r="BE516" s="171">
        <f t="shared" si="850"/>
        <v>0</v>
      </c>
      <c r="BF516" s="171">
        <f t="shared" si="850"/>
        <v>0</v>
      </c>
      <c r="BG516" s="171">
        <f t="shared" si="850"/>
        <v>0</v>
      </c>
      <c r="BH516" s="171">
        <f t="shared" si="850"/>
        <v>0</v>
      </c>
      <c r="BI516" s="171">
        <f t="shared" si="850"/>
        <v>0</v>
      </c>
      <c r="BJ516" s="171">
        <f t="shared" si="850"/>
        <v>0</v>
      </c>
      <c r="BK516" s="171">
        <f t="shared" si="850"/>
        <v>0</v>
      </c>
      <c r="BL516" s="171">
        <f t="shared" si="850"/>
        <v>0</v>
      </c>
      <c r="BM516" s="171">
        <f t="shared" si="850"/>
        <v>0</v>
      </c>
      <c r="BN516" s="171">
        <f t="shared" si="850"/>
        <v>0</v>
      </c>
      <c r="BO516" s="171">
        <f t="shared" si="851"/>
        <v>0</v>
      </c>
      <c r="BP516" s="171">
        <f t="shared" si="851"/>
        <v>0</v>
      </c>
      <c r="BQ516" s="171">
        <f t="shared" si="851"/>
        <v>0</v>
      </c>
      <c r="BR516" s="171">
        <f t="shared" si="851"/>
        <v>0</v>
      </c>
      <c r="BS516" s="171">
        <f t="shared" si="851"/>
        <v>0</v>
      </c>
      <c r="BT516" s="171">
        <f t="shared" si="851"/>
        <v>0</v>
      </c>
      <c r="BU516" s="171">
        <f t="shared" si="851"/>
        <v>0</v>
      </c>
      <c r="BV516" s="171">
        <f t="shared" si="851"/>
        <v>0</v>
      </c>
      <c r="BW516" s="171">
        <f t="shared" si="851"/>
        <v>0</v>
      </c>
      <c r="BX516" s="171">
        <f t="shared" si="851"/>
        <v>0</v>
      </c>
      <c r="BY516" s="171">
        <f t="shared" si="852"/>
        <v>0</v>
      </c>
      <c r="BZ516" s="171">
        <f t="shared" si="852"/>
        <v>0</v>
      </c>
      <c r="CA516" s="171">
        <f t="shared" si="852"/>
        <v>0</v>
      </c>
      <c r="CB516" s="171">
        <f t="shared" si="852"/>
        <v>0</v>
      </c>
      <c r="CC516" s="171">
        <f t="shared" si="852"/>
        <v>0</v>
      </c>
      <c r="CD516" s="171">
        <f t="shared" si="852"/>
        <v>0</v>
      </c>
      <c r="CE516" s="171">
        <f t="shared" si="852"/>
        <v>0</v>
      </c>
      <c r="CF516" s="171">
        <f t="shared" si="852"/>
        <v>0</v>
      </c>
      <c r="CG516" s="171">
        <f t="shared" si="852"/>
        <v>0</v>
      </c>
      <c r="CH516" s="171">
        <f t="shared" si="852"/>
        <v>0</v>
      </c>
      <c r="CI516" s="171">
        <f t="shared" si="852"/>
        <v>0</v>
      </c>
      <c r="CJ516" s="243"/>
      <c r="CK516" s="171">
        <f t="shared" si="779"/>
        <v>0</v>
      </c>
      <c r="CL516" s="171">
        <f t="shared" si="780"/>
        <v>0</v>
      </c>
      <c r="CM516" s="171">
        <f t="shared" si="781"/>
        <v>0</v>
      </c>
      <c r="CN516" s="171">
        <f t="shared" si="782"/>
        <v>0</v>
      </c>
      <c r="CO516" s="171">
        <f t="shared" si="783"/>
        <v>0</v>
      </c>
      <c r="CP516" s="171">
        <f t="shared" si="784"/>
        <v>0</v>
      </c>
      <c r="CQ516" s="171">
        <f t="shared" si="785"/>
        <v>0</v>
      </c>
      <c r="CR516" s="171">
        <f t="shared" si="786"/>
        <v>0</v>
      </c>
      <c r="CS516" s="171">
        <f t="shared" si="787"/>
        <v>0</v>
      </c>
      <c r="CT516" s="171">
        <f t="shared" si="788"/>
        <v>0</v>
      </c>
      <c r="CU516" s="171">
        <f t="shared" si="789"/>
        <v>0</v>
      </c>
      <c r="CV516" s="171">
        <f t="shared" si="790"/>
        <v>0</v>
      </c>
      <c r="CW516" s="171">
        <f t="shared" si="791"/>
        <v>0</v>
      </c>
      <c r="CX516" s="171">
        <f t="shared" si="792"/>
        <v>0</v>
      </c>
      <c r="CY516" s="171">
        <f t="shared" ca="1" si="793"/>
        <v>0</v>
      </c>
      <c r="CZ516" s="171">
        <f t="shared" ca="1" si="794"/>
        <v>0</v>
      </c>
      <c r="DA516" s="171">
        <f t="shared" ca="1" si="795"/>
        <v>0</v>
      </c>
      <c r="DB516" s="171">
        <f t="shared" ca="1" si="796"/>
        <v>0</v>
      </c>
      <c r="DC516" s="171">
        <f t="shared" ca="1" si="797"/>
        <v>0</v>
      </c>
      <c r="DD516" s="171">
        <f t="shared" ca="1" si="798"/>
        <v>0</v>
      </c>
      <c r="DE516" s="171">
        <f t="shared" ca="1" si="799"/>
        <v>0</v>
      </c>
      <c r="DF516" s="171">
        <f t="shared" ca="1" si="800"/>
        <v>0</v>
      </c>
      <c r="DG516" s="171">
        <f t="shared" ca="1" si="801"/>
        <v>0</v>
      </c>
      <c r="DH516" s="171">
        <f t="shared" ca="1" si="802"/>
        <v>0</v>
      </c>
      <c r="DI516" s="171">
        <f t="shared" ca="1" si="803"/>
        <v>0</v>
      </c>
      <c r="DJ516" s="171">
        <f t="shared" ca="1" si="804"/>
        <v>0</v>
      </c>
      <c r="DK516" s="171">
        <f t="shared" ca="1" si="805"/>
        <v>0</v>
      </c>
      <c r="DL516" s="171">
        <f t="shared" ca="1" si="806"/>
        <v>0</v>
      </c>
      <c r="DM516" s="171">
        <f t="shared" ca="1" si="807"/>
        <v>0</v>
      </c>
      <c r="DN516" s="171">
        <f t="shared" ca="1" si="808"/>
        <v>0</v>
      </c>
      <c r="DO516" s="171">
        <f t="shared" ca="1" si="809"/>
        <v>0</v>
      </c>
      <c r="DP516" s="171">
        <f t="shared" ca="1" si="810"/>
        <v>0</v>
      </c>
      <c r="DQ516" s="171">
        <f t="shared" ca="1" si="811"/>
        <v>0</v>
      </c>
      <c r="DR516" s="171">
        <f t="shared" ca="1" si="812"/>
        <v>0</v>
      </c>
      <c r="DS516" s="171">
        <f t="shared" ca="1" si="813"/>
        <v>0</v>
      </c>
      <c r="DT516" s="171">
        <f t="shared" ca="1" si="814"/>
        <v>0</v>
      </c>
      <c r="DU516" s="171">
        <f t="shared" ca="1" si="815"/>
        <v>0</v>
      </c>
      <c r="DV516" s="171">
        <f t="shared" ca="1" si="816"/>
        <v>0</v>
      </c>
      <c r="DW516" s="171">
        <f t="shared" ca="1" si="817"/>
        <v>0</v>
      </c>
      <c r="DX516" s="171">
        <f t="shared" ca="1" si="818"/>
        <v>0</v>
      </c>
      <c r="DY516" s="171">
        <f t="shared" ca="1" si="819"/>
        <v>0</v>
      </c>
      <c r="DZ516" s="171">
        <f t="shared" ca="1" si="820"/>
        <v>0</v>
      </c>
      <c r="EA516" s="171">
        <f t="shared" ca="1" si="821"/>
        <v>0</v>
      </c>
      <c r="EB516" s="171">
        <f t="shared" ca="1" si="822"/>
        <v>0</v>
      </c>
      <c r="EC516" s="171">
        <f t="shared" ca="1" si="823"/>
        <v>0</v>
      </c>
      <c r="ED516" s="171">
        <f t="shared" ca="1" si="824"/>
        <v>0</v>
      </c>
      <c r="EE516" s="171">
        <f t="shared" ca="1" si="825"/>
        <v>0</v>
      </c>
      <c r="EF516" s="171">
        <f t="shared" ca="1" si="826"/>
        <v>0</v>
      </c>
      <c r="EG516" s="171">
        <f t="shared" ca="1" si="827"/>
        <v>0</v>
      </c>
      <c r="EH516" s="171">
        <f t="shared" ca="1" si="828"/>
        <v>0</v>
      </c>
      <c r="EI516" s="171">
        <f t="shared" ca="1" si="829"/>
        <v>0</v>
      </c>
      <c r="EJ516" s="171">
        <f t="shared" ca="1" si="830"/>
        <v>0</v>
      </c>
      <c r="EK516" s="171">
        <f t="shared" ca="1" si="831"/>
        <v>0</v>
      </c>
      <c r="EL516" s="171">
        <f t="shared" ca="1" si="832"/>
        <v>0</v>
      </c>
      <c r="EM516" s="171">
        <f t="shared" ca="1" si="833"/>
        <v>0</v>
      </c>
      <c r="EN516" s="171">
        <f t="shared" ca="1" si="834"/>
        <v>0</v>
      </c>
      <c r="EO516" s="171">
        <f t="shared" ca="1" si="835"/>
        <v>0</v>
      </c>
      <c r="EP516" s="171">
        <f t="shared" ca="1" si="836"/>
        <v>0</v>
      </c>
      <c r="EQ516" s="171">
        <f t="shared" ca="1" si="837"/>
        <v>0</v>
      </c>
      <c r="ER516" s="171">
        <f t="shared" ca="1" si="838"/>
        <v>0</v>
      </c>
      <c r="ES516" s="171">
        <f t="shared" ca="1" si="839"/>
        <v>0</v>
      </c>
    </row>
    <row r="517" spans="1:149">
      <c r="A517" s="220"/>
      <c r="B517" s="221"/>
      <c r="C517" s="221"/>
      <c r="D517" s="221"/>
      <c r="E517" s="221"/>
      <c r="F517" s="222"/>
      <c r="G517" s="222"/>
      <c r="H517" s="222"/>
      <c r="I517" s="222"/>
      <c r="J517" s="222"/>
      <c r="K517" s="223"/>
      <c r="L517" s="224"/>
      <c r="M517" s="225"/>
      <c r="N517" s="225"/>
      <c r="O517" s="225"/>
      <c r="P517" s="226"/>
      <c r="Q517" s="221"/>
      <c r="R517" s="221"/>
      <c r="S517" s="221"/>
      <c r="T517" s="221"/>
      <c r="U517" s="225"/>
      <c r="V517" s="221"/>
      <c r="W517" s="221"/>
      <c r="X517" s="221"/>
      <c r="Y517" s="221"/>
      <c r="Z517" s="221"/>
      <c r="AA517" s="221"/>
      <c r="AB517" s="221"/>
      <c r="AC517" s="221"/>
      <c r="AD517" s="221"/>
      <c r="AE517" s="221"/>
      <c r="AF517" s="221"/>
      <c r="AG517" s="221"/>
      <c r="AH517" s="221"/>
      <c r="AI517" s="221"/>
      <c r="AJ517" s="221"/>
      <c r="AK517" s="221"/>
      <c r="AL517" s="221"/>
      <c r="AM517" s="221"/>
      <c r="AN517" s="221"/>
      <c r="AO517" s="221"/>
      <c r="AP517" s="221"/>
      <c r="AQ517" s="221"/>
      <c r="AR517" s="221"/>
      <c r="AS517" s="221"/>
      <c r="AT517" s="221"/>
      <c r="AU517" s="221"/>
      <c r="AV517" s="221"/>
      <c r="AW517" s="221"/>
      <c r="AX517" s="221"/>
      <c r="AY517" s="221"/>
      <c r="AZ517" s="221"/>
      <c r="BA517" s="221"/>
      <c r="BB517" s="221"/>
      <c r="BC517" s="221"/>
      <c r="BD517" s="221"/>
      <c r="BE517" s="221"/>
      <c r="BF517" s="221"/>
      <c r="BG517" s="221"/>
      <c r="BH517" s="221"/>
      <c r="BI517" s="221"/>
      <c r="BJ517" s="221"/>
      <c r="BK517" s="221"/>
      <c r="BL517" s="221"/>
      <c r="BM517" s="221"/>
      <c r="BN517" s="221"/>
      <c r="BO517" s="221"/>
      <c r="BP517" s="221"/>
      <c r="BQ517" s="221"/>
      <c r="BR517" s="221"/>
      <c r="BS517" s="221"/>
      <c r="BT517" s="221"/>
      <c r="BU517" s="221"/>
      <c r="BV517" s="221"/>
      <c r="BW517" s="221"/>
      <c r="BX517" s="221"/>
      <c r="BY517" s="221"/>
      <c r="BZ517" s="221"/>
      <c r="CA517" s="221"/>
      <c r="CB517" s="221"/>
      <c r="CC517" s="221"/>
      <c r="CD517" s="221"/>
      <c r="CE517" s="221"/>
      <c r="CF517" s="221"/>
      <c r="CG517" s="221"/>
      <c r="CH517" s="221"/>
      <c r="CI517" s="221"/>
      <c r="CK517" s="221"/>
      <c r="CL517" s="221"/>
      <c r="CM517" s="221"/>
      <c r="CN517" s="221"/>
      <c r="CO517" s="221"/>
      <c r="CP517" s="221"/>
      <c r="CQ517" s="221"/>
      <c r="CR517" s="221"/>
      <c r="CS517" s="221"/>
      <c r="CT517" s="221"/>
      <c r="CU517" s="221"/>
      <c r="CV517" s="221"/>
      <c r="CW517" s="221"/>
      <c r="CX517" s="221"/>
      <c r="CY517" s="221"/>
      <c r="CZ517" s="221"/>
      <c r="DA517" s="221"/>
      <c r="DB517" s="221"/>
      <c r="DC517" s="221"/>
      <c r="DD517" s="221"/>
      <c r="DE517" s="221"/>
      <c r="DF517" s="221"/>
      <c r="DG517" s="221"/>
      <c r="DH517" s="221"/>
      <c r="DI517" s="221"/>
      <c r="DJ517" s="221"/>
      <c r="DK517" s="221"/>
      <c r="DL517" s="221"/>
      <c r="DM517" s="221"/>
      <c r="DN517" s="221"/>
      <c r="DO517" s="221"/>
      <c r="DP517" s="221"/>
      <c r="DQ517" s="221"/>
      <c r="DR517" s="221"/>
      <c r="DS517" s="221"/>
      <c r="DT517" s="221"/>
      <c r="DU517" s="221"/>
      <c r="DV517" s="221"/>
      <c r="DW517" s="221"/>
      <c r="DX517" s="221"/>
      <c r="DY517" s="221"/>
      <c r="DZ517" s="221"/>
      <c r="EA517" s="221"/>
      <c r="EB517" s="221"/>
      <c r="EC517" s="221"/>
      <c r="ED517" s="221"/>
    </row>
  </sheetData>
  <sheetProtection selectLockedCells="1"/>
  <protectedRanges>
    <protectedRange algorithmName="SHA-512" hashValue="Rf4Ti/Yc+ALklj5NU+JETVjCe8/wnzak3s4whNHb3+U6Qy1Yk9VKqE8yg2VjMA+R41ZrGN823MwfldXQYAl0nQ==" saltValue="0/eKjTu3ZonEQw+Y2dWE5w==" spinCount="100000" sqref="EF44:XFD44 EE44:EE45 EE47 V44:ED44 A41:U44 V41:XFD43 A39:XFD40" name="Currency"/>
    <protectedRange algorithmName="SHA-512" hashValue="/mufDMTvvgKnzSOsqwSAMHNbFixrU6vwCbybquByiy5M6JmvLHLT8LuZWz4gV4170G5/RSN4h2GlMAeir0mjUQ==" saltValue="R9vlTG5V4uNnB5rOPamllg==" spinCount="100000" sqref="S49:T516" name="Financing Baseline"/>
  </protectedRanges>
  <autoFilter ref="A48:CI516" xr:uid="{1816B5B6-3792-4427-854D-702373538D17}"/>
  <sortState xmlns:xlrd2="http://schemas.microsoft.com/office/spreadsheetml/2017/richdata2" ref="EH52:EI231">
    <sortCondition ref="EH52:EH231"/>
  </sortState>
  <mergeCells count="8">
    <mergeCell ref="B28:J29"/>
    <mergeCell ref="B21:J21"/>
    <mergeCell ref="B14:J14"/>
    <mergeCell ref="K30:L30"/>
    <mergeCell ref="CK47:CN47"/>
    <mergeCell ref="AA47:AE47"/>
    <mergeCell ref="K14:L14"/>
    <mergeCell ref="K21:L21"/>
  </mergeCells>
  <phoneticPr fontId="16" type="noConversion"/>
  <conditionalFormatting sqref="AA49:CJ516">
    <cfRule type="cellIs" dxfId="17" priority="3" operator="greaterThan">
      <formula>0</formula>
    </cfRule>
  </conditionalFormatting>
  <conditionalFormatting sqref="CK49:ES516">
    <cfRule type="cellIs" dxfId="16" priority="2" operator="greaterThan">
      <formula>0</formula>
    </cfRule>
  </conditionalFormatting>
  <conditionalFormatting sqref="CK48:FR48 CK49:ES516">
    <cfRule type="expression" dxfId="15" priority="1" stopIfTrue="1">
      <formula>CK$48=$B$9</formula>
    </cfRule>
  </conditionalFormatting>
  <dataValidations count="9">
    <dataValidation type="list" allowBlank="1" showInputMessage="1" showErrorMessage="1" sqref="J49:J230" xr:uid="{D55C47C1-D31F-47A8-A887-88559B094891}">
      <formula1>"International OECD, International China, International Other, Domestic"</formula1>
    </dataValidation>
    <dataValidation type="list" allowBlank="1" showInputMessage="1" showErrorMessage="1" sqref="I49:I230" xr:uid="{5A099B83-0380-415A-8BB9-3337530D8034}">
      <formula1>"Bilateral Agency, Multilateral Agency, Foreign Government, National Government, National Development Bank, Climate Funds, Commercial Bank, Private Equity Fund"</formula1>
    </dataValidation>
    <dataValidation type="list" allowBlank="1" showInputMessage="1" showErrorMessage="1" sqref="H49:H157 H159:H213 H215:H219" xr:uid="{FB4D5FA4-DF50-4AE6-96C0-045143AF610D}">
      <formula1>"Public, Private"</formula1>
    </dataValidation>
    <dataValidation type="list" allowBlank="1" showInputMessage="1" showErrorMessage="1" sqref="G49:G516" xr:uid="{543FE61D-9EAB-9A4E-9D53-D327D46BEE7F}">
      <formula1>"Loan, Equity"</formula1>
    </dataValidation>
    <dataValidation type="list" allowBlank="1" showInputMessage="1" showErrorMessage="1" sqref="D49:D516" xr:uid="{D6979D72-A67F-7A49-8645-03A6837BB7AF}">
      <formula1>"Fossil Fuel, Renewable, Grid"</formula1>
    </dataValidation>
    <dataValidation type="list" allowBlank="1" showInputMessage="1" showErrorMessage="1" sqref="C49:C516" xr:uid="{03926CDD-8B14-3E4B-8033-D1B8F77CC3E8}">
      <formula1>"Oil, Gas, Coal, Grid, Onshore Wind, Offshore Wind, Solar PV, CSP, Hydropower, Biomass, Geothermal"</formula1>
    </dataValidation>
    <dataValidation type="list" allowBlank="1" showInputMessage="1" showErrorMessage="1" sqref="F49:F230" xr:uid="{F3B6301D-45C4-40CD-9C3A-C728D03794CF}">
      <formula1>"Conc_IFI, Conc_DPS, Comm_Intl, Comm_Dom"</formula1>
    </dataValidation>
    <dataValidation type="list" allowBlank="1" showInputMessage="1" showErrorMessage="1" sqref="L49:L516" xr:uid="{E745D9B6-2809-46D4-B295-D38EF7FF4026}">
      <formula1>$C$38:$C$44</formula1>
    </dataValidation>
    <dataValidation type="list" allowBlank="1" showInputMessage="1" showErrorMessage="1" sqref="T49:T516" xr:uid="{71CDA240-3753-46DA-9DB5-D274451C1122}">
      <formula1>"Equity, Equal Principal Payments (EPP), EPP with Grace Years for Principal, EPP with Grace Years for Principal and on Interest, Lump Sum Principal, Lump Sum Principal and Interest"</formula1>
    </dataValidation>
  </dataValidations>
  <pageMargins left="0.7" right="0.7" top="0.75" bottom="0.75" header="0.3" footer="0.3"/>
  <pageSetup paperSize="9" orientation="portrait" r:id="rId1"/>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86F3FD-65A3-41EB-9E89-9D88E24B7D60}">
  <sheetPr codeName="Sheet5">
    <tabColor theme="9"/>
  </sheetPr>
  <dimension ref="A1:AV305"/>
  <sheetViews>
    <sheetView showGridLines="0" topLeftCell="A271" zoomScaleNormal="130" workbookViewId="0">
      <selection activeCell="K16" sqref="K16"/>
    </sheetView>
  </sheetViews>
  <sheetFormatPr defaultColWidth="8.796875" defaultRowHeight="14.25"/>
  <cols>
    <col min="1" max="1" width="35" bestFit="1" customWidth="1"/>
    <col min="2" max="2" width="48.46484375" bestFit="1" customWidth="1"/>
    <col min="3" max="4" width="10.46484375" style="67" customWidth="1"/>
    <col min="5" max="5" width="15.796875" style="67" customWidth="1"/>
    <col min="6" max="6" width="10.19921875" style="67" customWidth="1"/>
    <col min="7" max="7" width="13.796875" style="67" customWidth="1"/>
    <col min="8" max="8" width="12.19921875" style="67" customWidth="1"/>
    <col min="9" max="9" width="21.46484375" style="67" customWidth="1"/>
    <col min="10" max="10" width="10.46484375" customWidth="1"/>
    <col min="11" max="11" width="11.46484375" customWidth="1"/>
    <col min="12" max="12" width="11" customWidth="1"/>
    <col min="13" max="13" width="10.46484375" customWidth="1"/>
    <col min="14" max="17" width="12.46484375" customWidth="1"/>
    <col min="18" max="19" width="12.19921875" bestFit="1" customWidth="1"/>
    <col min="20" max="20" width="14.46484375" bestFit="1" customWidth="1"/>
  </cols>
  <sheetData>
    <row r="1" spans="1:48" ht="46.9">
      <c r="A1" s="498" t="s">
        <v>0</v>
      </c>
      <c r="B1" s="497"/>
      <c r="C1" s="497"/>
      <c r="D1" s="497"/>
      <c r="E1" s="497"/>
      <c r="F1" s="481"/>
      <c r="G1" s="481"/>
      <c r="H1" s="481"/>
      <c r="I1" s="481"/>
      <c r="J1" s="481"/>
      <c r="K1" s="481"/>
      <c r="L1" s="481"/>
      <c r="M1" s="481"/>
      <c r="N1" s="481"/>
      <c r="O1" s="481"/>
      <c r="P1" s="481"/>
      <c r="Q1" s="481"/>
      <c r="R1" s="481"/>
      <c r="S1" s="481"/>
      <c r="T1" s="481"/>
      <c r="U1" s="481"/>
      <c r="V1" s="481"/>
      <c r="W1" s="481"/>
      <c r="X1" s="481"/>
      <c r="Y1" s="481"/>
      <c r="Z1" s="481"/>
      <c r="AA1" s="481"/>
      <c r="AB1" s="481"/>
      <c r="AC1" s="481"/>
      <c r="AD1" s="481"/>
      <c r="AE1" s="481"/>
      <c r="AF1" s="481"/>
      <c r="AG1" s="481"/>
      <c r="AH1" s="481"/>
      <c r="AI1" s="481"/>
      <c r="AJ1" s="481"/>
      <c r="AK1" s="481"/>
      <c r="AL1" s="481"/>
      <c r="AM1" s="481"/>
      <c r="AN1" s="481"/>
      <c r="AO1" s="481"/>
      <c r="AP1" s="481"/>
      <c r="AQ1" s="481"/>
      <c r="AR1" s="481"/>
      <c r="AS1" s="481"/>
      <c r="AT1" s="481"/>
      <c r="AU1" s="481"/>
      <c r="AV1" s="481"/>
    </row>
    <row r="2" spans="1:48" ht="25.5">
      <c r="A2" s="499" t="s">
        <v>7</v>
      </c>
      <c r="B2" s="497"/>
      <c r="C2" s="497"/>
      <c r="D2" s="497"/>
      <c r="E2" s="497"/>
      <c r="F2" s="481"/>
      <c r="G2" s="481"/>
      <c r="H2" s="481"/>
      <c r="I2" s="481"/>
      <c r="J2" s="481"/>
      <c r="K2" s="481"/>
      <c r="L2" s="481"/>
      <c r="M2" s="481"/>
      <c r="N2" s="481"/>
      <c r="O2" s="481"/>
      <c r="P2" s="481"/>
      <c r="Q2" s="481"/>
      <c r="R2" s="481"/>
      <c r="S2" s="481"/>
      <c r="T2" s="481"/>
      <c r="U2" s="481"/>
      <c r="V2" s="481"/>
      <c r="W2" s="481"/>
      <c r="X2" s="481"/>
      <c r="Y2" s="481"/>
      <c r="Z2" s="481"/>
      <c r="AA2" s="481"/>
      <c r="AB2" s="481"/>
      <c r="AC2" s="481"/>
      <c r="AD2" s="481"/>
      <c r="AE2" s="481"/>
      <c r="AF2" s="481"/>
      <c r="AG2" s="481"/>
      <c r="AH2" s="481"/>
      <c r="AI2" s="481"/>
      <c r="AJ2" s="481"/>
      <c r="AK2" s="481"/>
      <c r="AL2" s="481"/>
      <c r="AM2" s="481"/>
      <c r="AN2" s="481"/>
      <c r="AO2" s="481"/>
      <c r="AP2" s="481"/>
      <c r="AQ2" s="481"/>
      <c r="AR2" s="481"/>
      <c r="AS2" s="481"/>
      <c r="AT2" s="481"/>
      <c r="AU2" s="481"/>
      <c r="AV2" s="481"/>
    </row>
    <row r="4" spans="1:48">
      <c r="B4" s="25" t="s">
        <v>575</v>
      </c>
      <c r="C4" s="562">
        <v>2010</v>
      </c>
      <c r="D4" s="562">
        <v>2011</v>
      </c>
      <c r="E4" s="562">
        <v>2012</v>
      </c>
      <c r="F4" s="562">
        <v>2013</v>
      </c>
      <c r="G4" s="562">
        <v>2014</v>
      </c>
      <c r="H4" s="562">
        <v>2015</v>
      </c>
      <c r="I4" s="562">
        <v>2016</v>
      </c>
      <c r="J4" s="562">
        <v>2017</v>
      </c>
      <c r="K4" s="562">
        <v>2018</v>
      </c>
      <c r="L4" s="562">
        <v>2019</v>
      </c>
      <c r="M4" s="562">
        <v>2020</v>
      </c>
      <c r="N4" s="562">
        <v>2021</v>
      </c>
      <c r="O4" s="562">
        <v>2022</v>
      </c>
      <c r="P4" s="562">
        <v>2023</v>
      </c>
      <c r="Q4" s="562">
        <v>2024</v>
      </c>
      <c r="R4" s="55" t="s">
        <v>189</v>
      </c>
    </row>
    <row r="5" spans="1:48">
      <c r="A5" s="232" t="s">
        <v>576</v>
      </c>
      <c r="B5" s="8"/>
      <c r="C5" s="228"/>
      <c r="D5" s="228"/>
      <c r="E5" s="228"/>
      <c r="F5" s="228"/>
      <c r="G5" s="228"/>
      <c r="H5" s="228"/>
      <c r="I5" s="228"/>
      <c r="J5" s="228"/>
      <c r="K5" s="228"/>
      <c r="L5" s="228"/>
      <c r="M5" s="228"/>
      <c r="N5" s="228"/>
      <c r="O5" s="228"/>
      <c r="P5" s="228"/>
      <c r="Q5" s="228"/>
      <c r="R5" s="228"/>
    </row>
    <row r="6" spans="1:48">
      <c r="A6" s="317" t="s">
        <v>577</v>
      </c>
      <c r="B6" s="24">
        <f>IFERROR(((Q6/C6)^(1/(Q$4-C$4)))-1,0)</f>
        <v>-1.7285257500712747E-2</v>
      </c>
      <c r="C6" s="229">
        <f>SUMIFS($I$11:$I$302, $C$11:$C$302, "Budget", $D$11:$D$302, C4)</f>
        <v>212.58532153576101</v>
      </c>
      <c r="D6" s="229">
        <f t="shared" ref="D6:Q6" si="0">SUMIFS($I$11:$I$302, $C$11:$C$302, "Budget", $D$11:$D$302, D4)</f>
        <v>212.58532153576147</v>
      </c>
      <c r="E6" s="229">
        <f t="shared" si="0"/>
        <v>212.58532153576147</v>
      </c>
      <c r="F6" s="229">
        <f t="shared" si="0"/>
        <v>185.199015453735</v>
      </c>
      <c r="G6" s="229">
        <f t="shared" si="0"/>
        <v>229.64720997846328</v>
      </c>
      <c r="H6" s="229">
        <f t="shared" si="0"/>
        <v>288.24101509199267</v>
      </c>
      <c r="I6" s="229">
        <f t="shared" si="0"/>
        <v>270.60436275485137</v>
      </c>
      <c r="J6" s="229">
        <f t="shared" si="0"/>
        <v>342.57746289418481</v>
      </c>
      <c r="K6" s="229">
        <f t="shared" si="0"/>
        <v>231.607570592088</v>
      </c>
      <c r="L6" s="229">
        <f t="shared" si="0"/>
        <v>241.06958523206123</v>
      </c>
      <c r="M6" s="229">
        <f t="shared" si="0"/>
        <v>180.71407570103051</v>
      </c>
      <c r="N6" s="229">
        <f t="shared" si="0"/>
        <v>192.86858750043089</v>
      </c>
      <c r="O6" s="229">
        <f t="shared" si="0"/>
        <v>129.43513309759894</v>
      </c>
      <c r="P6" s="229">
        <f t="shared" si="0"/>
        <v>92.520103865865337</v>
      </c>
      <c r="Q6" s="229">
        <f t="shared" si="0"/>
        <v>166.53973626683589</v>
      </c>
      <c r="R6" s="229">
        <f>IFERROR(AVERAGE(C6:Q6),0)</f>
        <v>212.58532153576144</v>
      </c>
    </row>
    <row r="7" spans="1:48">
      <c r="A7" s="317" t="s">
        <v>578</v>
      </c>
      <c r="B7" s="24">
        <f>IFERROR(((Q7/C7)^(1/(Q$4-C$4)))-1,0)</f>
        <v>5.525764572795655E-2</v>
      </c>
      <c r="C7" s="229">
        <f t="shared" ref="C7:Q7" si="1">SUMIFS($I$11:$I$302, $C$11:$C$302, "SOE Gen.", $D$11:$D$302, C4)</f>
        <v>136.58931862877446</v>
      </c>
      <c r="D7" s="229">
        <f t="shared" si="1"/>
        <v>137.0466876254772</v>
      </c>
      <c r="E7" s="229">
        <f t="shared" si="1"/>
        <v>136.39326491913957</v>
      </c>
      <c r="F7" s="229">
        <f t="shared" si="1"/>
        <v>283.43636808559648</v>
      </c>
      <c r="G7" s="229">
        <f t="shared" si="1"/>
        <v>212.10732336522437</v>
      </c>
      <c r="H7" s="229">
        <f t="shared" si="1"/>
        <v>300.46436134912653</v>
      </c>
      <c r="I7" s="229">
        <f t="shared" si="1"/>
        <v>435.70610172217857</v>
      </c>
      <c r="J7" s="229">
        <f t="shared" si="1"/>
        <v>268.49133281775369</v>
      </c>
      <c r="K7" s="229">
        <f t="shared" si="1"/>
        <v>346.12047916485352</v>
      </c>
      <c r="L7" s="229">
        <f t="shared" si="1"/>
        <v>428.13028092168685</v>
      </c>
      <c r="M7" s="229">
        <f t="shared" si="1"/>
        <v>307.20255660961669</v>
      </c>
      <c r="N7" s="229">
        <f t="shared" si="1"/>
        <v>355.47405699460865</v>
      </c>
      <c r="O7" s="229">
        <f t="shared" si="1"/>
        <v>301.0071975765585</v>
      </c>
      <c r="P7" s="229">
        <f t="shared" si="1"/>
        <v>290.02527216498964</v>
      </c>
      <c r="Q7" s="229">
        <f t="shared" si="1"/>
        <v>290.02527216498964</v>
      </c>
      <c r="R7" s="229">
        <f>IFERROR(AVERAGE(C7:Q7),0)</f>
        <v>281.88132494070493</v>
      </c>
    </row>
    <row r="8" spans="1:48">
      <c r="A8" s="317" t="s">
        <v>579</v>
      </c>
      <c r="B8" s="24">
        <f>IFERROR(((Q8/C8)^(1/(Q$4-C$4)))-1,0)</f>
        <v>-1</v>
      </c>
      <c r="C8" s="229">
        <f t="shared" ref="C8:Q8" si="2">SUMIFS($I$11:$I$302, $C$11:$C$302, "Grant", $D$11:$D$302, C4)</f>
        <v>8.15</v>
      </c>
      <c r="D8" s="229">
        <f t="shared" si="2"/>
        <v>17.5</v>
      </c>
      <c r="E8" s="229">
        <f t="shared" si="2"/>
        <v>0</v>
      </c>
      <c r="F8" s="229">
        <f t="shared" si="2"/>
        <v>8.4</v>
      </c>
      <c r="G8" s="229">
        <f t="shared" si="2"/>
        <v>0.95</v>
      </c>
      <c r="H8" s="229">
        <f t="shared" si="2"/>
        <v>41.8</v>
      </c>
      <c r="I8" s="229">
        <f t="shared" si="2"/>
        <v>2.4773769999999997</v>
      </c>
      <c r="J8" s="229">
        <f t="shared" si="2"/>
        <v>0</v>
      </c>
      <c r="K8" s="229">
        <f t="shared" si="2"/>
        <v>0</v>
      </c>
      <c r="L8" s="229">
        <f t="shared" si="2"/>
        <v>17.3</v>
      </c>
      <c r="M8" s="229">
        <f t="shared" si="2"/>
        <v>22.517179311916156</v>
      </c>
      <c r="N8" s="229">
        <f t="shared" si="2"/>
        <v>0</v>
      </c>
      <c r="O8" s="229">
        <f t="shared" si="2"/>
        <v>0</v>
      </c>
      <c r="P8" s="229">
        <f t="shared" si="2"/>
        <v>0</v>
      </c>
      <c r="Q8" s="229">
        <f t="shared" si="2"/>
        <v>0</v>
      </c>
      <c r="R8" s="229">
        <f>IFERROR(AVERAGE(C8:Q8),0)</f>
        <v>7.9396370874610769</v>
      </c>
    </row>
    <row r="9" spans="1:48">
      <c r="C9"/>
      <c r="D9"/>
      <c r="E9"/>
      <c r="F9"/>
      <c r="G9"/>
      <c r="H9"/>
      <c r="I9"/>
    </row>
    <row r="10" spans="1:48" s="44" customFormat="1" ht="32.549999999999997" customHeight="1" thickBot="1">
      <c r="A10" s="318" t="s">
        <v>31</v>
      </c>
      <c r="B10" s="319" t="s">
        <v>9</v>
      </c>
      <c r="C10" s="319" t="s">
        <v>580</v>
      </c>
      <c r="D10" s="319" t="s">
        <v>50</v>
      </c>
      <c r="E10" s="319" t="s">
        <v>581</v>
      </c>
      <c r="F10" s="319" t="s">
        <v>56</v>
      </c>
      <c r="G10" s="319" t="s">
        <v>389</v>
      </c>
      <c r="H10" s="320" t="s">
        <v>582</v>
      </c>
      <c r="I10" s="321" t="str">
        <f>"Volume ("&amp;'High Level Dashboard'!$B$5&amp;" "&amp;'High Level Dashboard'!$B$6&amp;")"</f>
        <v>Volume (Foreign Currency USD)</v>
      </c>
    </row>
    <row r="11" spans="1:48">
      <c r="A11" s="233" t="s">
        <v>583</v>
      </c>
      <c r="B11" s="47" t="s">
        <v>584</v>
      </c>
      <c r="C11" s="234" t="s">
        <v>585</v>
      </c>
      <c r="D11" s="234">
        <v>2010</v>
      </c>
      <c r="E11" s="235">
        <v>212.58532153576101</v>
      </c>
      <c r="F11" s="234" t="s">
        <v>110</v>
      </c>
      <c r="G11" s="236">
        <f>IFERROR(HLOOKUP(D11,'Financing Baseline'!$C$37:$BL$39,IF('High Level Dashboard'!$B$5="Foreign Currency",2,3),FALSE)/VLOOKUP(F11,'Financing Baseline'!$C$37:$BJ$44,MATCH(D11,'Financing Baseline'!$C$37:$BL$37,0),FALSE),"")</f>
        <v>1</v>
      </c>
      <c r="H11" s="237">
        <v>1</v>
      </c>
      <c r="I11" s="241">
        <f t="shared" ref="I11:I74" si="3">IFERROR((E11/G11)*H11,"NA")</f>
        <v>212.58532153576101</v>
      </c>
    </row>
    <row r="12" spans="1:48">
      <c r="A12" s="233" t="s">
        <v>583</v>
      </c>
      <c r="B12" s="47" t="s">
        <v>584</v>
      </c>
      <c r="C12" s="234" t="s">
        <v>585</v>
      </c>
      <c r="D12" s="234">
        <v>2011</v>
      </c>
      <c r="E12" s="235">
        <v>212.58532153576147</v>
      </c>
      <c r="F12" s="234" t="s">
        <v>110</v>
      </c>
      <c r="G12" s="236">
        <f>IFERROR(HLOOKUP(D12,'Financing Baseline'!$C$37:$BL$39,IF('High Level Dashboard'!$B$5="Foreign Currency",2,3),FALSE)/VLOOKUP(F12,'Financing Baseline'!$C$37:$BJ$44,MATCH(D12,'Financing Baseline'!$C$37:$BL$37,0),FALSE),"")</f>
        <v>1</v>
      </c>
      <c r="H12" s="237">
        <v>1</v>
      </c>
      <c r="I12" s="241">
        <f t="shared" si="3"/>
        <v>212.58532153576147</v>
      </c>
    </row>
    <row r="13" spans="1:48">
      <c r="A13" s="233" t="s">
        <v>583</v>
      </c>
      <c r="B13" s="47" t="s">
        <v>584</v>
      </c>
      <c r="C13" s="234" t="s">
        <v>585</v>
      </c>
      <c r="D13" s="234">
        <v>2012</v>
      </c>
      <c r="E13" s="235">
        <v>212.58532153576147</v>
      </c>
      <c r="F13" s="234" t="s">
        <v>110</v>
      </c>
      <c r="G13" s="236">
        <f>IFERROR(HLOOKUP(D13,'Financing Baseline'!$C$37:$BL$39,IF('High Level Dashboard'!$B$5="Foreign Currency",2,3),FALSE)/VLOOKUP(F13,'Financing Baseline'!$C$37:$BJ$44,MATCH(D13,'Financing Baseline'!$C$37:$BL$37,0),FALSE),"")</f>
        <v>1</v>
      </c>
      <c r="H13" s="237">
        <v>1</v>
      </c>
      <c r="I13" s="241">
        <f t="shared" si="3"/>
        <v>212.58532153576147</v>
      </c>
    </row>
    <row r="14" spans="1:48">
      <c r="A14" s="233" t="s">
        <v>583</v>
      </c>
      <c r="B14" s="47" t="s">
        <v>584</v>
      </c>
      <c r="C14" s="234" t="s">
        <v>585</v>
      </c>
      <c r="D14" s="234">
        <v>2013</v>
      </c>
      <c r="E14" s="235">
        <v>185.199015453735</v>
      </c>
      <c r="F14" s="234" t="s">
        <v>110</v>
      </c>
      <c r="G14" s="236">
        <f>IFERROR(HLOOKUP(D14,'Financing Baseline'!$C$37:$BL$39,IF('High Level Dashboard'!$B$5="Foreign Currency",2,3),FALSE)/VLOOKUP(F14,'Financing Baseline'!$C$37:$BJ$44,MATCH(D14,'Financing Baseline'!$C$37:$BL$37,0),FALSE),"")</f>
        <v>1</v>
      </c>
      <c r="H14" s="237">
        <v>1</v>
      </c>
      <c r="I14" s="241">
        <f t="shared" si="3"/>
        <v>185.199015453735</v>
      </c>
    </row>
    <row r="15" spans="1:48">
      <c r="A15" s="233" t="s">
        <v>583</v>
      </c>
      <c r="B15" s="47" t="s">
        <v>584</v>
      </c>
      <c r="C15" s="234" t="s">
        <v>585</v>
      </c>
      <c r="D15" s="234">
        <v>2014</v>
      </c>
      <c r="E15" s="235">
        <v>229.64720997846328</v>
      </c>
      <c r="F15" s="234" t="s">
        <v>110</v>
      </c>
      <c r="G15" s="236">
        <f>IFERROR(HLOOKUP(D15,'Financing Baseline'!$C$37:$BL$39,IF('High Level Dashboard'!$B$5="Foreign Currency",2,3),FALSE)/VLOOKUP(F15,'Financing Baseline'!$C$37:$BJ$44,MATCH(D15,'Financing Baseline'!$C$37:$BL$37,0),FALSE),"")</f>
        <v>1</v>
      </c>
      <c r="H15" s="237">
        <v>1</v>
      </c>
      <c r="I15" s="241">
        <f t="shared" si="3"/>
        <v>229.64720997846328</v>
      </c>
    </row>
    <row r="16" spans="1:48">
      <c r="A16" s="233" t="s">
        <v>583</v>
      </c>
      <c r="B16" s="47" t="s">
        <v>584</v>
      </c>
      <c r="C16" s="234" t="s">
        <v>585</v>
      </c>
      <c r="D16" s="234">
        <v>2015</v>
      </c>
      <c r="E16" s="235">
        <v>288.24101509199267</v>
      </c>
      <c r="F16" s="234" t="s">
        <v>110</v>
      </c>
      <c r="G16" s="236">
        <f>IFERROR(HLOOKUP(D16,'Financing Baseline'!$C$37:$BL$39,IF('High Level Dashboard'!$B$5="Foreign Currency",2,3),FALSE)/VLOOKUP(F16,'Financing Baseline'!$C$37:$BJ$44,MATCH(D16,'Financing Baseline'!$C$37:$BL$37,0),FALSE),"")</f>
        <v>1</v>
      </c>
      <c r="H16" s="237">
        <v>1</v>
      </c>
      <c r="I16" s="241">
        <f t="shared" si="3"/>
        <v>288.24101509199267</v>
      </c>
    </row>
    <row r="17" spans="1:9">
      <c r="A17" s="233" t="s">
        <v>583</v>
      </c>
      <c r="B17" s="47" t="s">
        <v>584</v>
      </c>
      <c r="C17" s="234" t="s">
        <v>585</v>
      </c>
      <c r="D17" s="234">
        <v>2016</v>
      </c>
      <c r="E17" s="235">
        <v>270.60436275485137</v>
      </c>
      <c r="F17" s="234" t="s">
        <v>110</v>
      </c>
      <c r="G17" s="236">
        <f>IFERROR(HLOOKUP(D17,'Financing Baseline'!$C$37:$BL$39,IF('High Level Dashboard'!$B$5="Foreign Currency",2,3),FALSE)/VLOOKUP(F17,'Financing Baseline'!$C$37:$BJ$44,MATCH(D17,'Financing Baseline'!$C$37:$BL$37,0),FALSE),"")</f>
        <v>1</v>
      </c>
      <c r="H17" s="237">
        <v>1</v>
      </c>
      <c r="I17" s="241">
        <f t="shared" si="3"/>
        <v>270.60436275485137</v>
      </c>
    </row>
    <row r="18" spans="1:9">
      <c r="A18" s="233" t="s">
        <v>583</v>
      </c>
      <c r="B18" s="47" t="s">
        <v>584</v>
      </c>
      <c r="C18" s="234" t="s">
        <v>585</v>
      </c>
      <c r="D18" s="234">
        <v>2017</v>
      </c>
      <c r="E18" s="235">
        <v>342.57746289418481</v>
      </c>
      <c r="F18" s="234" t="s">
        <v>110</v>
      </c>
      <c r="G18" s="236">
        <f>IFERROR(HLOOKUP(D18,'Financing Baseline'!$C$37:$BL$39,IF('High Level Dashboard'!$B$5="Foreign Currency",2,3),FALSE)/VLOOKUP(F18,'Financing Baseline'!$C$37:$BJ$44,MATCH(D18,'Financing Baseline'!$C$37:$BL$37,0),FALSE),"")</f>
        <v>1</v>
      </c>
      <c r="H18" s="237">
        <v>1</v>
      </c>
      <c r="I18" s="241">
        <f t="shared" si="3"/>
        <v>342.57746289418481</v>
      </c>
    </row>
    <row r="19" spans="1:9">
      <c r="A19" s="233" t="s">
        <v>583</v>
      </c>
      <c r="B19" s="47" t="s">
        <v>584</v>
      </c>
      <c r="C19" s="234" t="s">
        <v>585</v>
      </c>
      <c r="D19" s="234">
        <v>2018</v>
      </c>
      <c r="E19" s="235">
        <v>231.607570592088</v>
      </c>
      <c r="F19" s="234" t="s">
        <v>110</v>
      </c>
      <c r="G19" s="236">
        <f>IFERROR(HLOOKUP(D19,'Financing Baseline'!$C$37:$BL$39,IF('High Level Dashboard'!$B$5="Foreign Currency",2,3),FALSE)/VLOOKUP(F19,'Financing Baseline'!$C$37:$BJ$44,MATCH(D19,'Financing Baseline'!$C$37:$BL$37,0),FALSE),"")</f>
        <v>1</v>
      </c>
      <c r="H19" s="237">
        <v>1</v>
      </c>
      <c r="I19" s="241">
        <f t="shared" si="3"/>
        <v>231.607570592088</v>
      </c>
    </row>
    <row r="20" spans="1:9">
      <c r="A20" s="233" t="s">
        <v>583</v>
      </c>
      <c r="B20" s="47" t="s">
        <v>584</v>
      </c>
      <c r="C20" s="234" t="s">
        <v>585</v>
      </c>
      <c r="D20" s="234">
        <v>2019</v>
      </c>
      <c r="E20" s="235">
        <v>241.06958523206123</v>
      </c>
      <c r="F20" s="234" t="s">
        <v>110</v>
      </c>
      <c r="G20" s="236">
        <f>IFERROR(HLOOKUP(D20,'Financing Baseline'!$C$37:$BL$39,IF('High Level Dashboard'!$B$5="Foreign Currency",2,3),FALSE)/VLOOKUP(F20,'Financing Baseline'!$C$37:$BJ$44,MATCH(D20,'Financing Baseline'!$C$37:$BL$37,0),FALSE),"")</f>
        <v>1</v>
      </c>
      <c r="H20" s="237">
        <v>1</v>
      </c>
      <c r="I20" s="241">
        <f t="shared" si="3"/>
        <v>241.06958523206123</v>
      </c>
    </row>
    <row r="21" spans="1:9">
      <c r="A21" s="233" t="s">
        <v>583</v>
      </c>
      <c r="B21" s="47" t="s">
        <v>584</v>
      </c>
      <c r="C21" s="234" t="s">
        <v>585</v>
      </c>
      <c r="D21" s="234">
        <v>2020</v>
      </c>
      <c r="E21" s="235">
        <v>180.71407570103051</v>
      </c>
      <c r="F21" s="234" t="s">
        <v>110</v>
      </c>
      <c r="G21" s="236">
        <f>IFERROR(HLOOKUP(D21,'Financing Baseline'!$C$37:$BL$39,IF('High Level Dashboard'!$B$5="Foreign Currency",2,3),FALSE)/VLOOKUP(F21,'Financing Baseline'!$C$37:$BJ$44,MATCH(D21,'Financing Baseline'!$C$37:$BL$37,0),FALSE),"")</f>
        <v>1</v>
      </c>
      <c r="H21" s="237">
        <v>1</v>
      </c>
      <c r="I21" s="241">
        <f t="shared" si="3"/>
        <v>180.71407570103051</v>
      </c>
    </row>
    <row r="22" spans="1:9">
      <c r="A22" s="233" t="s">
        <v>583</v>
      </c>
      <c r="B22" s="47" t="s">
        <v>584</v>
      </c>
      <c r="C22" s="234" t="s">
        <v>585</v>
      </c>
      <c r="D22" s="234">
        <v>2021</v>
      </c>
      <c r="E22" s="235">
        <v>192.86858750043089</v>
      </c>
      <c r="F22" s="234" t="s">
        <v>110</v>
      </c>
      <c r="G22" s="236">
        <f>IFERROR(HLOOKUP(D22,'Financing Baseline'!$C$37:$BL$39,IF('High Level Dashboard'!$B$5="Foreign Currency",2,3),FALSE)/VLOOKUP(F22,'Financing Baseline'!$C$37:$BJ$44,MATCH(D22,'Financing Baseline'!$C$37:$BL$37,0),FALSE),"")</f>
        <v>1</v>
      </c>
      <c r="H22" s="237">
        <v>1</v>
      </c>
      <c r="I22" s="241">
        <f t="shared" si="3"/>
        <v>192.86858750043089</v>
      </c>
    </row>
    <row r="23" spans="1:9">
      <c r="A23" s="233" t="s">
        <v>583</v>
      </c>
      <c r="B23" s="47" t="s">
        <v>584</v>
      </c>
      <c r="C23" s="234" t="s">
        <v>585</v>
      </c>
      <c r="D23" s="234">
        <v>2022</v>
      </c>
      <c r="E23" s="235">
        <v>129.43513309759894</v>
      </c>
      <c r="F23" s="234" t="s">
        <v>110</v>
      </c>
      <c r="G23" s="236">
        <f>IFERROR(HLOOKUP(D23,'Financing Baseline'!$C$37:$BL$39,IF('High Level Dashboard'!$B$5="Foreign Currency",2,3),FALSE)/VLOOKUP(F23,'Financing Baseline'!$C$37:$BJ$44,MATCH(D23,'Financing Baseline'!$C$37:$BL$37,0),FALSE),"")</f>
        <v>1</v>
      </c>
      <c r="H23" s="237">
        <v>1</v>
      </c>
      <c r="I23" s="241">
        <f t="shared" si="3"/>
        <v>129.43513309759894</v>
      </c>
    </row>
    <row r="24" spans="1:9">
      <c r="A24" s="233" t="s">
        <v>583</v>
      </c>
      <c r="B24" s="47" t="s">
        <v>584</v>
      </c>
      <c r="C24" s="234" t="s">
        <v>585</v>
      </c>
      <c r="D24" s="234">
        <v>2023</v>
      </c>
      <c r="E24" s="235">
        <v>92.520103865865337</v>
      </c>
      <c r="F24" s="234" t="s">
        <v>110</v>
      </c>
      <c r="G24" s="236">
        <f>IFERROR(HLOOKUP(D24,'Financing Baseline'!$C$37:$BL$39,IF('High Level Dashboard'!$B$5="Foreign Currency",2,3),FALSE)/VLOOKUP(F24,'Financing Baseline'!$C$37:$BJ$44,MATCH(D24,'Financing Baseline'!$C$37:$BL$37,0),FALSE),"")</f>
        <v>1</v>
      </c>
      <c r="H24" s="237">
        <v>1</v>
      </c>
      <c r="I24" s="241">
        <f t="shared" si="3"/>
        <v>92.520103865865337</v>
      </c>
    </row>
    <row r="25" spans="1:9">
      <c r="A25" s="233" t="s">
        <v>583</v>
      </c>
      <c r="B25" s="47" t="s">
        <v>584</v>
      </c>
      <c r="C25" s="234" t="s">
        <v>585</v>
      </c>
      <c r="D25" s="234">
        <v>2024</v>
      </c>
      <c r="E25" s="235">
        <v>166.53973626683589</v>
      </c>
      <c r="F25" s="234" t="s">
        <v>110</v>
      </c>
      <c r="G25" s="236">
        <f>IFERROR(HLOOKUP(D25,'Financing Baseline'!$C$37:$BL$39,IF('High Level Dashboard'!$B$5="Foreign Currency",2,3),FALSE)/VLOOKUP(F25,'Financing Baseline'!$C$37:$BJ$44,MATCH(D25,'Financing Baseline'!$C$37:$BL$37,0),FALSE),"")</f>
        <v>1</v>
      </c>
      <c r="H25" s="237">
        <v>1</v>
      </c>
      <c r="I25" s="241">
        <f t="shared" si="3"/>
        <v>166.53973626683589</v>
      </c>
    </row>
    <row r="26" spans="1:9">
      <c r="A26" s="233" t="s">
        <v>586</v>
      </c>
      <c r="B26" s="47" t="s">
        <v>392</v>
      </c>
      <c r="C26" s="234" t="s">
        <v>315</v>
      </c>
      <c r="D26" s="234">
        <v>2016</v>
      </c>
      <c r="E26" s="235">
        <v>1.373877</v>
      </c>
      <c r="F26" s="234" t="s">
        <v>110</v>
      </c>
      <c r="G26" s="236">
        <f>IFERROR(HLOOKUP(D26,'Financing Baseline'!$C$37:$BL$39,IF('High Level Dashboard'!$B$5="Foreign Currency",2,3),FALSE)/VLOOKUP(F26,'Financing Baseline'!$C$37:$BJ$44,MATCH(D26,'Financing Baseline'!$C$37:$BL$37,0),FALSE),"")</f>
        <v>1</v>
      </c>
      <c r="H26" s="237">
        <v>1</v>
      </c>
      <c r="I26" s="241">
        <f t="shared" si="3"/>
        <v>1.373877</v>
      </c>
    </row>
    <row r="27" spans="1:9">
      <c r="A27" s="233" t="s">
        <v>587</v>
      </c>
      <c r="B27" s="47" t="s">
        <v>392</v>
      </c>
      <c r="C27" s="234" t="s">
        <v>315</v>
      </c>
      <c r="D27" s="234">
        <v>2014</v>
      </c>
      <c r="E27" s="235">
        <v>0.95</v>
      </c>
      <c r="F27" s="234" t="s">
        <v>110</v>
      </c>
      <c r="G27" s="236">
        <f>IFERROR(HLOOKUP(D27,'Financing Baseline'!$C$37:$BL$39,IF('High Level Dashboard'!$B$5="Foreign Currency",2,3),FALSE)/VLOOKUP(F27,'Financing Baseline'!$C$37:$BJ$44,MATCH(D27,'Financing Baseline'!$C$37:$BL$37,0),FALSE),"")</f>
        <v>1</v>
      </c>
      <c r="H27" s="237">
        <v>1</v>
      </c>
      <c r="I27" s="241">
        <f t="shared" si="3"/>
        <v>0.95</v>
      </c>
    </row>
    <row r="28" spans="1:9">
      <c r="A28" s="233" t="s">
        <v>588</v>
      </c>
      <c r="B28" s="47" t="s">
        <v>415</v>
      </c>
      <c r="C28" s="234" t="s">
        <v>315</v>
      </c>
      <c r="D28" s="234">
        <v>2015</v>
      </c>
      <c r="E28" s="235">
        <v>1</v>
      </c>
      <c r="F28" s="234" t="s">
        <v>110</v>
      </c>
      <c r="G28" s="236">
        <f>IFERROR(HLOOKUP(D28,'Financing Baseline'!$C$37:$BL$39,IF('High Level Dashboard'!$B$5="Foreign Currency",2,3),FALSE)/VLOOKUP(F28,'Financing Baseline'!$C$37:$BJ$44,MATCH(D28,'Financing Baseline'!$C$37:$BL$37,0),FALSE),"")</f>
        <v>1</v>
      </c>
      <c r="H28" s="237">
        <v>1</v>
      </c>
      <c r="I28" s="241">
        <f t="shared" si="3"/>
        <v>1</v>
      </c>
    </row>
    <row r="29" spans="1:9">
      <c r="A29" s="233" t="s">
        <v>589</v>
      </c>
      <c r="B29" s="47" t="s">
        <v>419</v>
      </c>
      <c r="C29" s="234" t="s">
        <v>315</v>
      </c>
      <c r="D29" s="234">
        <v>2019</v>
      </c>
      <c r="E29" s="235">
        <v>17.3</v>
      </c>
      <c r="F29" s="234" t="s">
        <v>110</v>
      </c>
      <c r="G29" s="236">
        <f>IFERROR(HLOOKUP(D29,'Financing Baseline'!$C$37:$BL$39,IF('High Level Dashboard'!$B$5="Foreign Currency",2,3),FALSE)/VLOOKUP(F29,'Financing Baseline'!$C$37:$BJ$44,MATCH(D29,'Financing Baseline'!$C$37:$BL$37,0),FALSE),"")</f>
        <v>1</v>
      </c>
      <c r="H29" s="237">
        <v>1</v>
      </c>
      <c r="I29" s="241">
        <f t="shared" si="3"/>
        <v>17.3</v>
      </c>
    </row>
    <row r="30" spans="1:9">
      <c r="A30" s="233" t="s">
        <v>590</v>
      </c>
      <c r="B30" s="47" t="s">
        <v>591</v>
      </c>
      <c r="C30" s="234" t="s">
        <v>315</v>
      </c>
      <c r="D30" s="234">
        <v>2010</v>
      </c>
      <c r="E30" s="235">
        <v>5.15</v>
      </c>
      <c r="F30" s="234" t="s">
        <v>110</v>
      </c>
      <c r="G30" s="236">
        <f>IFERROR(HLOOKUP(D30,'Financing Baseline'!$C$37:$BL$39,IF('High Level Dashboard'!$B$5="Foreign Currency",2,3),FALSE)/VLOOKUP(F30,'Financing Baseline'!$C$37:$BJ$44,MATCH(D30,'Financing Baseline'!$C$37:$BL$37,0),FALSE),"")</f>
        <v>1</v>
      </c>
      <c r="H30" s="237">
        <v>1</v>
      </c>
      <c r="I30" s="241">
        <f t="shared" si="3"/>
        <v>5.15</v>
      </c>
    </row>
    <row r="31" spans="1:9">
      <c r="A31" s="233" t="s">
        <v>592</v>
      </c>
      <c r="B31" s="47" t="s">
        <v>593</v>
      </c>
      <c r="C31" s="234" t="s">
        <v>315</v>
      </c>
      <c r="D31" s="234">
        <v>2010</v>
      </c>
      <c r="E31" s="235">
        <v>3</v>
      </c>
      <c r="F31" s="234" t="s">
        <v>110</v>
      </c>
      <c r="G31" s="236">
        <f>IFERROR(HLOOKUP(D31,'Financing Baseline'!$C$37:$BL$39,IF('High Level Dashboard'!$B$5="Foreign Currency",2,3),FALSE)/VLOOKUP(F31,'Financing Baseline'!$C$37:$BJ$44,MATCH(D31,'Financing Baseline'!$C$37:$BL$37,0),FALSE),"")</f>
        <v>1</v>
      </c>
      <c r="H31" s="237">
        <v>1</v>
      </c>
      <c r="I31" s="241">
        <f t="shared" si="3"/>
        <v>3</v>
      </c>
    </row>
    <row r="32" spans="1:9">
      <c r="A32" s="233" t="s">
        <v>594</v>
      </c>
      <c r="B32" s="47" t="s">
        <v>446</v>
      </c>
      <c r="C32" s="234" t="s">
        <v>315</v>
      </c>
      <c r="D32" s="234">
        <v>2015</v>
      </c>
      <c r="E32" s="235">
        <v>7.5</v>
      </c>
      <c r="F32" s="234" t="s">
        <v>110</v>
      </c>
      <c r="G32" s="236">
        <f>IFERROR(HLOOKUP(D32,'Financing Baseline'!$C$37:$BL$39,IF('High Level Dashboard'!$B$5="Foreign Currency",2,3),FALSE)/VLOOKUP(F32,'Financing Baseline'!$C$37:$BJ$44,MATCH(D32,'Financing Baseline'!$C$37:$BL$37,0),FALSE),"")</f>
        <v>1</v>
      </c>
      <c r="H32" s="237">
        <v>1</v>
      </c>
      <c r="I32" s="241">
        <f t="shared" si="3"/>
        <v>7.5</v>
      </c>
    </row>
    <row r="33" spans="1:9">
      <c r="A33" s="233" t="s">
        <v>595</v>
      </c>
      <c r="B33" s="47" t="s">
        <v>497</v>
      </c>
      <c r="C33" s="234" t="s">
        <v>315</v>
      </c>
      <c r="D33" s="234">
        <v>2015</v>
      </c>
      <c r="E33" s="235">
        <v>33.299999999999997</v>
      </c>
      <c r="F33" s="234" t="s">
        <v>110</v>
      </c>
      <c r="G33" s="236">
        <f>IFERROR(HLOOKUP(D33,'Financing Baseline'!$C$37:$BL$39,IF('High Level Dashboard'!$B$5="Foreign Currency",2,3),FALSE)/VLOOKUP(F33,'Financing Baseline'!$C$37:$BJ$44,MATCH(D33,'Financing Baseline'!$C$37:$BL$37,0),FALSE),"")</f>
        <v>1</v>
      </c>
      <c r="H33" s="237">
        <v>1</v>
      </c>
      <c r="I33" s="241">
        <f t="shared" si="3"/>
        <v>33.299999999999997</v>
      </c>
    </row>
    <row r="34" spans="1:9">
      <c r="A34" s="233" t="s">
        <v>586</v>
      </c>
      <c r="B34" s="47" t="s">
        <v>498</v>
      </c>
      <c r="C34" s="234" t="s">
        <v>315</v>
      </c>
      <c r="D34" s="234">
        <v>2013</v>
      </c>
      <c r="E34" s="235">
        <v>6</v>
      </c>
      <c r="F34" s="234" t="s">
        <v>110</v>
      </c>
      <c r="G34" s="236">
        <f>IFERROR(HLOOKUP(D34,'Financing Baseline'!$C$37:$BL$39,IF('High Level Dashboard'!$B$5="Foreign Currency",2,3),FALSE)/VLOOKUP(F34,'Financing Baseline'!$C$37:$BJ$44,MATCH(D34,'Financing Baseline'!$C$37:$BL$37,0),FALSE),"")</f>
        <v>1</v>
      </c>
      <c r="H34" s="237">
        <v>1</v>
      </c>
      <c r="I34" s="241">
        <f t="shared" si="3"/>
        <v>6</v>
      </c>
    </row>
    <row r="35" spans="1:9">
      <c r="A35" s="233" t="s">
        <v>596</v>
      </c>
      <c r="B35" s="47" t="s">
        <v>498</v>
      </c>
      <c r="C35" s="234" t="s">
        <v>315</v>
      </c>
      <c r="D35" s="234">
        <v>2013</v>
      </c>
      <c r="E35" s="235">
        <v>2.4</v>
      </c>
      <c r="F35" s="234" t="s">
        <v>110</v>
      </c>
      <c r="G35" s="236">
        <f>IFERROR(HLOOKUP(D35,'Financing Baseline'!$C$37:$BL$39,IF('High Level Dashboard'!$B$5="Foreign Currency",2,3),FALSE)/VLOOKUP(F35,'Financing Baseline'!$C$37:$BJ$44,MATCH(D35,'Financing Baseline'!$C$37:$BL$37,0),FALSE),"")</f>
        <v>1</v>
      </c>
      <c r="H35" s="237">
        <v>1</v>
      </c>
      <c r="I35" s="241">
        <f t="shared" si="3"/>
        <v>2.4</v>
      </c>
    </row>
    <row r="36" spans="1:9">
      <c r="A36" s="233" t="s">
        <v>597</v>
      </c>
      <c r="B36" s="47" t="s">
        <v>503</v>
      </c>
      <c r="C36" s="234" t="s">
        <v>315</v>
      </c>
      <c r="D36" s="234">
        <v>2011</v>
      </c>
      <c r="E36" s="235">
        <v>17.5</v>
      </c>
      <c r="F36" s="234" t="s">
        <v>110</v>
      </c>
      <c r="G36" s="236">
        <f>IFERROR(HLOOKUP(D36,'Financing Baseline'!$C$37:$BL$39,IF('High Level Dashboard'!$B$5="Foreign Currency",2,3),FALSE)/VLOOKUP(F36,'Financing Baseline'!$C$37:$BJ$44,MATCH(D36,'Financing Baseline'!$C$37:$BL$37,0),FALSE),"")</f>
        <v>1</v>
      </c>
      <c r="H36" s="237">
        <v>1</v>
      </c>
      <c r="I36" s="241">
        <f t="shared" si="3"/>
        <v>17.5</v>
      </c>
    </row>
    <row r="37" spans="1:9">
      <c r="A37" s="233" t="s">
        <v>598</v>
      </c>
      <c r="B37" s="47" t="s">
        <v>599</v>
      </c>
      <c r="C37" s="234" t="s">
        <v>315</v>
      </c>
      <c r="D37" s="234">
        <v>2020</v>
      </c>
      <c r="E37" s="235">
        <v>21.417179311916154</v>
      </c>
      <c r="F37" s="234" t="s">
        <v>110</v>
      </c>
      <c r="G37" s="236">
        <f>IFERROR(HLOOKUP(D37,'Financing Baseline'!$C$37:$BL$39,IF('High Level Dashboard'!$B$5="Foreign Currency",2,3),FALSE)/VLOOKUP(F37,'Financing Baseline'!$C$37:$BJ$44,MATCH(D37,'Financing Baseline'!$C$37:$BL$37,0),FALSE),"")</f>
        <v>1</v>
      </c>
      <c r="H37" s="237">
        <v>1</v>
      </c>
      <c r="I37" s="241">
        <f t="shared" si="3"/>
        <v>21.417179311916154</v>
      </c>
    </row>
    <row r="38" spans="1:9">
      <c r="A38" s="233" t="s">
        <v>600</v>
      </c>
      <c r="B38" s="47" t="s">
        <v>601</v>
      </c>
      <c r="C38" s="234" t="s">
        <v>315</v>
      </c>
      <c r="D38" s="234">
        <v>2016</v>
      </c>
      <c r="E38" s="235">
        <v>0.51349999999999996</v>
      </c>
      <c r="F38" s="234" t="s">
        <v>110</v>
      </c>
      <c r="G38" s="236">
        <f>IFERROR(HLOOKUP(D38,'Financing Baseline'!$C$37:$BL$39,IF('High Level Dashboard'!$B$5="Foreign Currency",2,3),FALSE)/VLOOKUP(F38,'Financing Baseline'!$C$37:$BJ$44,MATCH(D38,'Financing Baseline'!$C$37:$BL$37,0),FALSE),"")</f>
        <v>1</v>
      </c>
      <c r="H38" s="237">
        <v>1</v>
      </c>
      <c r="I38" s="241">
        <f t="shared" si="3"/>
        <v>0.51349999999999996</v>
      </c>
    </row>
    <row r="39" spans="1:9">
      <c r="A39" s="233" t="s">
        <v>602</v>
      </c>
      <c r="B39" s="47" t="s">
        <v>601</v>
      </c>
      <c r="C39" s="234" t="s">
        <v>315</v>
      </c>
      <c r="D39" s="234">
        <v>2016</v>
      </c>
      <c r="E39" s="235">
        <v>0.29499999999999998</v>
      </c>
      <c r="F39" s="234" t="s">
        <v>110</v>
      </c>
      <c r="G39" s="236">
        <f>IFERROR(HLOOKUP(D39,'Financing Baseline'!$C$37:$BL$39,IF('High Level Dashboard'!$B$5="Foreign Currency",2,3),FALSE)/VLOOKUP(F39,'Financing Baseline'!$C$37:$BJ$44,MATCH(D39,'Financing Baseline'!$C$37:$BL$37,0),FALSE),"")</f>
        <v>1</v>
      </c>
      <c r="H39" s="237">
        <v>1</v>
      </c>
      <c r="I39" s="241">
        <f t="shared" si="3"/>
        <v>0.29499999999999998</v>
      </c>
    </row>
    <row r="40" spans="1:9">
      <c r="A40" s="233" t="s">
        <v>603</v>
      </c>
      <c r="B40" s="47" t="s">
        <v>601</v>
      </c>
      <c r="C40" s="234" t="s">
        <v>315</v>
      </c>
      <c r="D40" s="234">
        <v>2016</v>
      </c>
      <c r="E40" s="235">
        <v>0.29499999999999998</v>
      </c>
      <c r="F40" s="234" t="s">
        <v>110</v>
      </c>
      <c r="G40" s="236">
        <f>IFERROR(HLOOKUP(D40,'Financing Baseline'!$C$37:$BL$39,IF('High Level Dashboard'!$B$5="Foreign Currency",2,3),FALSE)/VLOOKUP(F40,'Financing Baseline'!$C$37:$BJ$44,MATCH(D40,'Financing Baseline'!$C$37:$BL$37,0),FALSE),"")</f>
        <v>1</v>
      </c>
      <c r="H40" s="237">
        <v>1</v>
      </c>
      <c r="I40" s="241">
        <f t="shared" si="3"/>
        <v>0.29499999999999998</v>
      </c>
    </row>
    <row r="41" spans="1:9">
      <c r="A41" s="233" t="s">
        <v>604</v>
      </c>
      <c r="B41" s="47" t="s">
        <v>605</v>
      </c>
      <c r="C41" s="234" t="s">
        <v>315</v>
      </c>
      <c r="D41" s="234">
        <v>2020</v>
      </c>
      <c r="E41" s="235">
        <v>1.1000000000000001</v>
      </c>
      <c r="F41" s="234" t="s">
        <v>110</v>
      </c>
      <c r="G41" s="236">
        <f>IFERROR(HLOOKUP(D41,'Financing Baseline'!$C$37:$BL$39,IF('High Level Dashboard'!$B$5="Foreign Currency",2,3),FALSE)/VLOOKUP(F41,'Financing Baseline'!$C$37:$BJ$44,MATCH(D41,'Financing Baseline'!$C$37:$BL$37,0),FALSE),"")</f>
        <v>1</v>
      </c>
      <c r="H41" s="237">
        <v>1</v>
      </c>
      <c r="I41" s="241">
        <f t="shared" si="3"/>
        <v>1.1000000000000001</v>
      </c>
    </row>
    <row r="42" spans="1:9">
      <c r="A42" s="233" t="s">
        <v>606</v>
      </c>
      <c r="B42" s="47" t="s">
        <v>607</v>
      </c>
      <c r="C42" s="234" t="s">
        <v>608</v>
      </c>
      <c r="D42" s="234">
        <v>2014</v>
      </c>
      <c r="E42" s="235">
        <v>0</v>
      </c>
      <c r="F42" s="234" t="s">
        <v>110</v>
      </c>
      <c r="G42" s="236">
        <f>IFERROR(HLOOKUP(D42,'Financing Baseline'!$C$37:$BL$39,IF('High Level Dashboard'!$B$5="Foreign Currency",2,3),FALSE)/VLOOKUP(F42,'Financing Baseline'!$C$37:$BJ$44,MATCH(D42,'Financing Baseline'!$C$37:$BL$37,0),FALSE),"")</f>
        <v>1</v>
      </c>
      <c r="H42" s="237">
        <v>1</v>
      </c>
      <c r="I42" s="241">
        <f t="shared" si="3"/>
        <v>0</v>
      </c>
    </row>
    <row r="43" spans="1:9">
      <c r="A43" s="233" t="s">
        <v>606</v>
      </c>
      <c r="B43" s="47" t="s">
        <v>607</v>
      </c>
      <c r="C43" s="234" t="s">
        <v>608</v>
      </c>
      <c r="D43" s="234">
        <v>2015</v>
      </c>
      <c r="E43" s="235">
        <v>30.541405964375944</v>
      </c>
      <c r="F43" s="234" t="s">
        <v>110</v>
      </c>
      <c r="G43" s="236">
        <f>IFERROR(HLOOKUP(D43,'Financing Baseline'!$C$37:$BL$39,IF('High Level Dashboard'!$B$5="Foreign Currency",2,3),FALSE)/VLOOKUP(F43,'Financing Baseline'!$C$37:$BJ$44,MATCH(D43,'Financing Baseline'!$C$37:$BL$37,0),FALSE),"")</f>
        <v>1</v>
      </c>
      <c r="H43" s="237">
        <v>1</v>
      </c>
      <c r="I43" s="241">
        <f t="shared" si="3"/>
        <v>30.541405964375944</v>
      </c>
    </row>
    <row r="44" spans="1:9">
      <c r="A44" s="233" t="s">
        <v>606</v>
      </c>
      <c r="B44" s="47" t="s">
        <v>607</v>
      </c>
      <c r="C44" s="234" t="s">
        <v>608</v>
      </c>
      <c r="D44" s="234">
        <v>2016</v>
      </c>
      <c r="E44" s="235">
        <v>43.19439667137415</v>
      </c>
      <c r="F44" s="234" t="s">
        <v>110</v>
      </c>
      <c r="G44" s="236">
        <f>IFERROR(HLOOKUP(D44,'Financing Baseline'!$C$37:$BL$39,IF('High Level Dashboard'!$B$5="Foreign Currency",2,3),FALSE)/VLOOKUP(F44,'Financing Baseline'!$C$37:$BJ$44,MATCH(D44,'Financing Baseline'!$C$37:$BL$37,0),FALSE),"")</f>
        <v>1</v>
      </c>
      <c r="H44" s="237">
        <v>1</v>
      </c>
      <c r="I44" s="241">
        <f t="shared" si="3"/>
        <v>43.19439667137415</v>
      </c>
    </row>
    <row r="45" spans="1:9">
      <c r="A45" s="233" t="s">
        <v>606</v>
      </c>
      <c r="B45" s="47" t="s">
        <v>607</v>
      </c>
      <c r="C45" s="234" t="s">
        <v>608</v>
      </c>
      <c r="D45" s="234">
        <v>2017</v>
      </c>
      <c r="E45" s="235">
        <v>18.306178486356476</v>
      </c>
      <c r="F45" s="234" t="s">
        <v>110</v>
      </c>
      <c r="G45" s="236">
        <f>IFERROR(HLOOKUP(D45,'Financing Baseline'!$C$37:$BL$39,IF('High Level Dashboard'!$B$5="Foreign Currency",2,3),FALSE)/VLOOKUP(F45,'Financing Baseline'!$C$37:$BJ$44,MATCH(D45,'Financing Baseline'!$C$37:$BL$37,0),FALSE),"")</f>
        <v>1</v>
      </c>
      <c r="H45" s="237">
        <v>1</v>
      </c>
      <c r="I45" s="241">
        <f t="shared" si="3"/>
        <v>18.306178486356476</v>
      </c>
    </row>
    <row r="46" spans="1:9">
      <c r="A46" s="233" t="s">
        <v>606</v>
      </c>
      <c r="B46" s="47" t="s">
        <v>607</v>
      </c>
      <c r="C46" s="234" t="s">
        <v>608</v>
      </c>
      <c r="D46" s="234">
        <v>2018</v>
      </c>
      <c r="E46" s="235">
        <v>6.4868093725970102</v>
      </c>
      <c r="F46" s="234" t="s">
        <v>110</v>
      </c>
      <c r="G46" s="236">
        <f>IFERROR(HLOOKUP(D46,'Financing Baseline'!$C$37:$BL$39,IF('High Level Dashboard'!$B$5="Foreign Currency",2,3),FALSE)/VLOOKUP(F46,'Financing Baseline'!$C$37:$BJ$44,MATCH(D46,'Financing Baseline'!$C$37:$BL$37,0),FALSE),"")</f>
        <v>1</v>
      </c>
      <c r="H46" s="237">
        <v>1</v>
      </c>
      <c r="I46" s="241">
        <f t="shared" si="3"/>
        <v>6.4868093725970102</v>
      </c>
    </row>
    <row r="47" spans="1:9">
      <c r="A47" s="233" t="s">
        <v>606</v>
      </c>
      <c r="B47" s="47" t="s">
        <v>607</v>
      </c>
      <c r="C47" s="234" t="s">
        <v>608</v>
      </c>
      <c r="D47" s="234">
        <v>2019</v>
      </c>
      <c r="E47" s="235">
        <v>23.630417869566642</v>
      </c>
      <c r="F47" s="234" t="s">
        <v>110</v>
      </c>
      <c r="G47" s="236">
        <f>IFERROR(HLOOKUP(D47,'Financing Baseline'!$C$37:$BL$39,IF('High Level Dashboard'!$B$5="Foreign Currency",2,3),FALSE)/VLOOKUP(F47,'Financing Baseline'!$C$37:$BJ$44,MATCH(D47,'Financing Baseline'!$C$37:$BL$37,0),FALSE),"")</f>
        <v>1</v>
      </c>
      <c r="H47" s="237">
        <v>1</v>
      </c>
      <c r="I47" s="241">
        <f t="shared" si="3"/>
        <v>23.630417869566642</v>
      </c>
    </row>
    <row r="48" spans="1:9">
      <c r="A48" s="233" t="s">
        <v>606</v>
      </c>
      <c r="B48" s="47" t="s">
        <v>607</v>
      </c>
      <c r="C48" s="234" t="s">
        <v>608</v>
      </c>
      <c r="D48" s="234">
        <v>2020</v>
      </c>
      <c r="E48" s="235">
        <v>24.431841672854045</v>
      </c>
      <c r="F48" s="234" t="s">
        <v>110</v>
      </c>
      <c r="G48" s="236">
        <f>IFERROR(HLOOKUP(D48,'Financing Baseline'!$C$37:$BL$39,IF('High Level Dashboard'!$B$5="Foreign Currency",2,3),FALSE)/VLOOKUP(F48,'Financing Baseline'!$C$37:$BJ$44,MATCH(D48,'Financing Baseline'!$C$37:$BL$37,0),FALSE),"")</f>
        <v>1</v>
      </c>
      <c r="H48" s="237">
        <v>1</v>
      </c>
      <c r="I48" s="241">
        <f t="shared" si="3"/>
        <v>24.431841672854045</v>
      </c>
    </row>
    <row r="49" spans="1:9">
      <c r="A49" s="233" t="s">
        <v>606</v>
      </c>
      <c r="B49" s="47" t="s">
        <v>607</v>
      </c>
      <c r="C49" s="234" t="s">
        <v>608</v>
      </c>
      <c r="D49" s="234">
        <v>2021</v>
      </c>
      <c r="E49" s="235">
        <v>24.431841672854045</v>
      </c>
      <c r="F49" s="234" t="s">
        <v>110</v>
      </c>
      <c r="G49" s="236">
        <f>IFERROR(HLOOKUP(D49,'Financing Baseline'!$C$37:$BL$39,IF('High Level Dashboard'!$B$5="Foreign Currency",2,3),FALSE)/VLOOKUP(F49,'Financing Baseline'!$C$37:$BJ$44,MATCH(D49,'Financing Baseline'!$C$37:$BL$37,0),FALSE),"")</f>
        <v>1</v>
      </c>
      <c r="H49" s="237">
        <v>1</v>
      </c>
      <c r="I49" s="241">
        <f t="shared" si="3"/>
        <v>24.431841672854045</v>
      </c>
    </row>
    <row r="50" spans="1:9">
      <c r="A50" s="233" t="s">
        <v>606</v>
      </c>
      <c r="B50" s="47" t="s">
        <v>607</v>
      </c>
      <c r="C50" s="234" t="s">
        <v>608</v>
      </c>
      <c r="D50" s="234">
        <v>2022</v>
      </c>
      <c r="E50" s="235">
        <v>24.431841672854045</v>
      </c>
      <c r="F50" s="234" t="s">
        <v>110</v>
      </c>
      <c r="G50" s="236">
        <f>IFERROR(HLOOKUP(D50,'Financing Baseline'!$C$37:$BL$39,IF('High Level Dashboard'!$B$5="Foreign Currency",2,3),FALSE)/VLOOKUP(F50,'Financing Baseline'!$C$37:$BJ$44,MATCH(D50,'Financing Baseline'!$C$37:$BL$37,0),FALSE),"")</f>
        <v>1</v>
      </c>
      <c r="H50" s="237">
        <v>1</v>
      </c>
      <c r="I50" s="241">
        <f t="shared" si="3"/>
        <v>24.431841672854045</v>
      </c>
    </row>
    <row r="51" spans="1:9">
      <c r="A51" s="233" t="s">
        <v>606</v>
      </c>
      <c r="B51" s="47" t="s">
        <v>607</v>
      </c>
      <c r="C51" s="234" t="s">
        <v>608</v>
      </c>
      <c r="D51" s="234">
        <v>2023</v>
      </c>
      <c r="E51" s="235">
        <v>24.431841672854045</v>
      </c>
      <c r="F51" s="234" t="s">
        <v>110</v>
      </c>
      <c r="G51" s="236">
        <f>IFERROR(HLOOKUP(D51,'Financing Baseline'!$C$37:$BL$39,IF('High Level Dashboard'!$B$5="Foreign Currency",2,3),FALSE)/VLOOKUP(F51,'Financing Baseline'!$C$37:$BJ$44,MATCH(D51,'Financing Baseline'!$C$37:$BL$37,0),FALSE),"")</f>
        <v>1</v>
      </c>
      <c r="H51" s="237">
        <v>1</v>
      </c>
      <c r="I51" s="241">
        <f t="shared" si="3"/>
        <v>24.431841672854045</v>
      </c>
    </row>
    <row r="52" spans="1:9">
      <c r="A52" s="233" t="s">
        <v>606</v>
      </c>
      <c r="B52" s="47" t="s">
        <v>607</v>
      </c>
      <c r="C52" s="234" t="s">
        <v>608</v>
      </c>
      <c r="D52" s="234">
        <v>2024</v>
      </c>
      <c r="E52" s="235">
        <v>24.431841672854045</v>
      </c>
      <c r="F52" s="234" t="s">
        <v>110</v>
      </c>
      <c r="G52" s="236">
        <f>IFERROR(HLOOKUP(D52,'Financing Baseline'!$C$37:$BL$39,IF('High Level Dashboard'!$B$5="Foreign Currency",2,3),FALSE)/VLOOKUP(F52,'Financing Baseline'!$C$37:$BJ$44,MATCH(D52,'Financing Baseline'!$C$37:$BL$37,0),FALSE),"")</f>
        <v>1</v>
      </c>
      <c r="H52" s="237">
        <v>1</v>
      </c>
      <c r="I52" s="241">
        <f t="shared" si="3"/>
        <v>24.431841672854045</v>
      </c>
    </row>
    <row r="53" spans="1:9">
      <c r="A53" s="233" t="s">
        <v>609</v>
      </c>
      <c r="B53" s="47" t="s">
        <v>610</v>
      </c>
      <c r="C53" s="234" t="s">
        <v>608</v>
      </c>
      <c r="D53" s="234">
        <v>2010</v>
      </c>
      <c r="E53" s="235">
        <v>26.821134263653001</v>
      </c>
      <c r="F53" s="234" t="s">
        <v>110</v>
      </c>
      <c r="G53" s="236">
        <f>IFERROR(HLOOKUP(D53,'Financing Baseline'!$C$37:$BL$39,IF('High Level Dashboard'!$B$5="Foreign Currency",2,3),FALSE)/VLOOKUP(F53,'Financing Baseline'!$C$37:$BJ$44,MATCH(D53,'Financing Baseline'!$C$37:$BL$37,0),FALSE),"")</f>
        <v>1</v>
      </c>
      <c r="H53" s="237">
        <v>0.7</v>
      </c>
      <c r="I53" s="241">
        <f t="shared" si="3"/>
        <v>18.7747939845571</v>
      </c>
    </row>
    <row r="54" spans="1:9">
      <c r="A54" s="233" t="s">
        <v>609</v>
      </c>
      <c r="B54" s="47" t="s">
        <v>610</v>
      </c>
      <c r="C54" s="234" t="s">
        <v>608</v>
      </c>
      <c r="D54" s="234">
        <v>2011</v>
      </c>
      <c r="E54" s="235">
        <v>50.790664256943302</v>
      </c>
      <c r="F54" s="234" t="s">
        <v>110</v>
      </c>
      <c r="G54" s="236">
        <f>IFERROR(HLOOKUP(D54,'Financing Baseline'!$C$37:$BL$39,IF('High Level Dashboard'!$B$5="Foreign Currency",2,3),FALSE)/VLOOKUP(F54,'Financing Baseline'!$C$37:$BJ$44,MATCH(D54,'Financing Baseline'!$C$37:$BL$37,0),FALSE),"")</f>
        <v>1</v>
      </c>
      <c r="H54" s="237">
        <v>0.7</v>
      </c>
      <c r="I54" s="241">
        <f t="shared" si="3"/>
        <v>35.553464979860308</v>
      </c>
    </row>
    <row r="55" spans="1:9">
      <c r="A55" s="233" t="s">
        <v>609</v>
      </c>
      <c r="B55" s="47" t="s">
        <v>610</v>
      </c>
      <c r="C55" s="234" t="s">
        <v>608</v>
      </c>
      <c r="D55" s="234">
        <v>2012</v>
      </c>
      <c r="E55" s="235">
        <v>36.085654452224674</v>
      </c>
      <c r="F55" s="234" t="s">
        <v>110</v>
      </c>
      <c r="G55" s="236">
        <f>IFERROR(HLOOKUP(D55,'Financing Baseline'!$C$37:$BL$39,IF('High Level Dashboard'!$B$5="Foreign Currency",2,3),FALSE)/VLOOKUP(F55,'Financing Baseline'!$C$37:$BJ$44,MATCH(D55,'Financing Baseline'!$C$37:$BL$37,0),FALSE),"")</f>
        <v>1</v>
      </c>
      <c r="H55" s="237">
        <v>0.7</v>
      </c>
      <c r="I55" s="241">
        <f t="shared" si="3"/>
        <v>25.259958116557272</v>
      </c>
    </row>
    <row r="56" spans="1:9">
      <c r="A56" s="233" t="s">
        <v>609</v>
      </c>
      <c r="B56" s="47" t="s">
        <v>610</v>
      </c>
      <c r="C56" s="234" t="s">
        <v>608</v>
      </c>
      <c r="D56" s="234">
        <v>2013</v>
      </c>
      <c r="E56" s="235">
        <v>266.62658394321852</v>
      </c>
      <c r="F56" s="234" t="s">
        <v>110</v>
      </c>
      <c r="G56" s="236">
        <f>IFERROR(HLOOKUP(D56,'Financing Baseline'!$C$37:$BL$39,IF('High Level Dashboard'!$B$5="Foreign Currency",2,3),FALSE)/VLOOKUP(F56,'Financing Baseline'!$C$37:$BJ$44,MATCH(D56,'Financing Baseline'!$C$37:$BL$37,0),FALSE),"")</f>
        <v>1</v>
      </c>
      <c r="H56" s="237">
        <v>0.7</v>
      </c>
      <c r="I56" s="241">
        <f t="shared" si="3"/>
        <v>186.63860876025296</v>
      </c>
    </row>
    <row r="57" spans="1:9">
      <c r="A57" s="233" t="s">
        <v>609</v>
      </c>
      <c r="B57" s="47" t="s">
        <v>610</v>
      </c>
      <c r="C57" s="234" t="s">
        <v>608</v>
      </c>
      <c r="D57" s="234">
        <v>2014</v>
      </c>
      <c r="E57" s="235">
        <v>137.70155869121643</v>
      </c>
      <c r="F57" s="234" t="s">
        <v>110</v>
      </c>
      <c r="G57" s="236">
        <f>IFERROR(HLOOKUP(D57,'Financing Baseline'!$C$37:$BL$39,IF('High Level Dashboard'!$B$5="Foreign Currency",2,3),FALSE)/VLOOKUP(F57,'Financing Baseline'!$C$37:$BJ$44,MATCH(D57,'Financing Baseline'!$C$37:$BL$37,0),FALSE),"")</f>
        <v>1</v>
      </c>
      <c r="H57" s="237">
        <v>0.7</v>
      </c>
      <c r="I57" s="241">
        <f t="shared" si="3"/>
        <v>96.391091083851492</v>
      </c>
    </row>
    <row r="58" spans="1:9">
      <c r="A58" s="233" t="s">
        <v>609</v>
      </c>
      <c r="B58" s="47" t="s">
        <v>610</v>
      </c>
      <c r="C58" s="234" t="s">
        <v>608</v>
      </c>
      <c r="D58" s="234">
        <v>2015</v>
      </c>
      <c r="E58" s="235">
        <v>127.58085481690563</v>
      </c>
      <c r="F58" s="234" t="s">
        <v>110</v>
      </c>
      <c r="G58" s="236">
        <f>IFERROR(HLOOKUP(D58,'Financing Baseline'!$C$37:$BL$39,IF('High Level Dashboard'!$B$5="Foreign Currency",2,3),FALSE)/VLOOKUP(F58,'Financing Baseline'!$C$37:$BJ$44,MATCH(D58,'Financing Baseline'!$C$37:$BL$37,0),FALSE),"")</f>
        <v>1</v>
      </c>
      <c r="H58" s="237">
        <v>0.7</v>
      </c>
      <c r="I58" s="241">
        <f t="shared" si="3"/>
        <v>89.306598371833928</v>
      </c>
    </row>
    <row r="59" spans="1:9">
      <c r="A59" s="233" t="s">
        <v>609</v>
      </c>
      <c r="B59" s="47" t="s">
        <v>610</v>
      </c>
      <c r="C59" s="234" t="s">
        <v>608</v>
      </c>
      <c r="D59" s="234">
        <v>2016</v>
      </c>
      <c r="E59" s="235">
        <v>288.22417344708737</v>
      </c>
      <c r="F59" s="234" t="s">
        <v>110</v>
      </c>
      <c r="G59" s="236">
        <f>IFERROR(HLOOKUP(D59,'Financing Baseline'!$C$37:$BL$39,IF('High Level Dashboard'!$B$5="Foreign Currency",2,3),FALSE)/VLOOKUP(F59,'Financing Baseline'!$C$37:$BJ$44,MATCH(D59,'Financing Baseline'!$C$37:$BL$37,0),FALSE),"")</f>
        <v>1</v>
      </c>
      <c r="H59" s="237">
        <v>0.7</v>
      </c>
      <c r="I59" s="241">
        <f t="shared" si="3"/>
        <v>201.75692141296113</v>
      </c>
    </row>
    <row r="60" spans="1:9">
      <c r="A60" s="233" t="s">
        <v>609</v>
      </c>
      <c r="B60" s="47" t="s">
        <v>610</v>
      </c>
      <c r="C60" s="234" t="s">
        <v>608</v>
      </c>
      <c r="D60" s="234">
        <v>2017</v>
      </c>
      <c r="E60" s="235">
        <v>127.65507613504423</v>
      </c>
      <c r="F60" s="234" t="s">
        <v>110</v>
      </c>
      <c r="G60" s="236">
        <f>IFERROR(HLOOKUP(D60,'Financing Baseline'!$C$37:$BL$39,IF('High Level Dashboard'!$B$5="Foreign Currency",2,3),FALSE)/VLOOKUP(F60,'Financing Baseline'!$C$37:$BJ$44,MATCH(D60,'Financing Baseline'!$C$37:$BL$37,0),FALSE),"")</f>
        <v>1</v>
      </c>
      <c r="H60" s="237">
        <v>0.7</v>
      </c>
      <c r="I60" s="241">
        <f t="shared" si="3"/>
        <v>89.35855329453095</v>
      </c>
    </row>
    <row r="61" spans="1:9">
      <c r="A61" s="233" t="s">
        <v>609</v>
      </c>
      <c r="B61" s="47" t="s">
        <v>610</v>
      </c>
      <c r="C61" s="234" t="s">
        <v>608</v>
      </c>
      <c r="D61" s="234">
        <v>2018</v>
      </c>
      <c r="E61" s="235">
        <v>172.84845930950013</v>
      </c>
      <c r="F61" s="234" t="s">
        <v>110</v>
      </c>
      <c r="G61" s="236">
        <f>IFERROR(HLOOKUP(D61,'Financing Baseline'!$C$37:$BL$39,IF('High Level Dashboard'!$B$5="Foreign Currency",2,3),FALSE)/VLOOKUP(F61,'Financing Baseline'!$C$37:$BJ$44,MATCH(D61,'Financing Baseline'!$C$37:$BL$37,0),FALSE),"")</f>
        <v>1</v>
      </c>
      <c r="H61" s="237">
        <v>0.7</v>
      </c>
      <c r="I61" s="241">
        <f t="shared" si="3"/>
        <v>120.99392151665008</v>
      </c>
    </row>
    <row r="62" spans="1:9">
      <c r="A62" s="233" t="s">
        <v>609</v>
      </c>
      <c r="B62" s="47" t="s">
        <v>610</v>
      </c>
      <c r="C62" s="234" t="s">
        <v>608</v>
      </c>
      <c r="D62" s="234">
        <v>2019</v>
      </c>
      <c r="E62" s="235">
        <v>299.87627849626125</v>
      </c>
      <c r="F62" s="234" t="s">
        <v>110</v>
      </c>
      <c r="G62" s="236">
        <f>IFERROR(HLOOKUP(D62,'Financing Baseline'!$C$37:$BL$39,IF('High Level Dashboard'!$B$5="Foreign Currency",2,3),FALSE)/VLOOKUP(F62,'Financing Baseline'!$C$37:$BJ$44,MATCH(D62,'Financing Baseline'!$C$37:$BL$37,0),FALSE),"")</f>
        <v>1</v>
      </c>
      <c r="H62" s="237">
        <v>0.7</v>
      </c>
      <c r="I62" s="241">
        <f t="shared" si="3"/>
        <v>209.91339494738287</v>
      </c>
    </row>
    <row r="63" spans="1:9">
      <c r="A63" s="233" t="s">
        <v>609</v>
      </c>
      <c r="B63" s="47" t="s">
        <v>610</v>
      </c>
      <c r="C63" s="234" t="s">
        <v>608</v>
      </c>
      <c r="D63" s="234">
        <v>2020</v>
      </c>
      <c r="E63" s="235">
        <v>167.7520350100624</v>
      </c>
      <c r="F63" s="234" t="s">
        <v>110</v>
      </c>
      <c r="G63" s="236">
        <f>IFERROR(HLOOKUP(D63,'Financing Baseline'!$C$37:$BL$39,IF('High Level Dashboard'!$B$5="Foreign Currency",2,3),FALSE)/VLOOKUP(F63,'Financing Baseline'!$C$37:$BJ$44,MATCH(D63,'Financing Baseline'!$C$37:$BL$37,0),FALSE),"")</f>
        <v>1</v>
      </c>
      <c r="H63" s="237">
        <v>0.7</v>
      </c>
      <c r="I63" s="241">
        <f t="shared" si="3"/>
        <v>117.42642450704368</v>
      </c>
    </row>
    <row r="64" spans="1:9">
      <c r="A64" s="233" t="s">
        <v>609</v>
      </c>
      <c r="B64" s="47" t="s">
        <v>610</v>
      </c>
      <c r="C64" s="234" t="s">
        <v>608</v>
      </c>
      <c r="D64" s="234">
        <v>2021</v>
      </c>
      <c r="E64" s="235">
        <v>258.14819147304917</v>
      </c>
      <c r="F64" s="234" t="s">
        <v>110</v>
      </c>
      <c r="G64" s="236">
        <f>IFERROR(HLOOKUP(D64,'Financing Baseline'!$C$37:$BL$39,IF('High Level Dashboard'!$B$5="Foreign Currency",2,3),FALSE)/VLOOKUP(F64,'Financing Baseline'!$C$37:$BJ$44,MATCH(D64,'Financing Baseline'!$C$37:$BL$37,0),FALSE),"")</f>
        <v>1</v>
      </c>
      <c r="H64" s="237">
        <v>0.7</v>
      </c>
      <c r="I64" s="241">
        <f t="shared" si="3"/>
        <v>180.70373403113442</v>
      </c>
    </row>
    <row r="65" spans="1:9">
      <c r="A65" s="233" t="s">
        <v>609</v>
      </c>
      <c r="B65" s="47" t="s">
        <v>610</v>
      </c>
      <c r="C65" s="234" t="s">
        <v>608</v>
      </c>
      <c r="D65" s="234">
        <v>2022</v>
      </c>
      <c r="E65" s="235">
        <v>180.33839230440609</v>
      </c>
      <c r="F65" s="234" t="s">
        <v>110</v>
      </c>
      <c r="G65" s="236">
        <f>IFERROR(HLOOKUP(D65,'Financing Baseline'!$C$37:$BL$39,IF('High Level Dashboard'!$B$5="Foreign Currency",2,3),FALSE)/VLOOKUP(F65,'Financing Baseline'!$C$37:$BJ$44,MATCH(D65,'Financing Baseline'!$C$37:$BL$37,0),FALSE),"")</f>
        <v>1</v>
      </c>
      <c r="H65" s="237">
        <v>0.7</v>
      </c>
      <c r="I65" s="241">
        <f t="shared" si="3"/>
        <v>126.23687461308425</v>
      </c>
    </row>
    <row r="66" spans="1:9">
      <c r="A66" s="233" t="s">
        <v>609</v>
      </c>
      <c r="B66" s="47" t="s">
        <v>610</v>
      </c>
      <c r="C66" s="234" t="s">
        <v>608</v>
      </c>
      <c r="D66" s="234">
        <v>2023</v>
      </c>
      <c r="E66" s="235">
        <v>164.64992743073634</v>
      </c>
      <c r="F66" s="234" t="s">
        <v>110</v>
      </c>
      <c r="G66" s="236">
        <f>IFERROR(HLOOKUP(D66,'Financing Baseline'!$C$37:$BL$39,IF('High Level Dashboard'!$B$5="Foreign Currency",2,3),FALSE)/VLOOKUP(F66,'Financing Baseline'!$C$37:$BJ$44,MATCH(D66,'Financing Baseline'!$C$37:$BL$37,0),FALSE),"")</f>
        <v>1</v>
      </c>
      <c r="H66" s="237">
        <v>0.7</v>
      </c>
      <c r="I66" s="241">
        <f t="shared" si="3"/>
        <v>115.25494920151543</v>
      </c>
    </row>
    <row r="67" spans="1:9">
      <c r="A67" s="233" t="s">
        <v>609</v>
      </c>
      <c r="B67" s="47" t="s">
        <v>610</v>
      </c>
      <c r="C67" s="234" t="s">
        <v>608</v>
      </c>
      <c r="D67" s="234">
        <v>2024</v>
      </c>
      <c r="E67" s="235">
        <v>164.64992743073634</v>
      </c>
      <c r="F67" s="234" t="s">
        <v>110</v>
      </c>
      <c r="G67" s="236">
        <f>IFERROR(HLOOKUP(D67,'Financing Baseline'!$C$37:$BL$39,IF('High Level Dashboard'!$B$5="Foreign Currency",2,3),FALSE)/VLOOKUP(F67,'Financing Baseline'!$C$37:$BJ$44,MATCH(D67,'Financing Baseline'!$C$37:$BL$37,0),FALSE),"")</f>
        <v>1</v>
      </c>
      <c r="H67" s="237">
        <v>0.7</v>
      </c>
      <c r="I67" s="241">
        <f t="shared" si="3"/>
        <v>115.25494920151543</v>
      </c>
    </row>
    <row r="68" spans="1:9">
      <c r="A68" s="233" t="s">
        <v>611</v>
      </c>
      <c r="B68" s="47" t="s">
        <v>612</v>
      </c>
      <c r="C68" s="234" t="s">
        <v>608</v>
      </c>
      <c r="D68" s="234">
        <v>2010</v>
      </c>
      <c r="E68" s="235">
        <v>2.8593208161755217</v>
      </c>
      <c r="F68" s="234" t="s">
        <v>110</v>
      </c>
      <c r="G68" s="236">
        <f>IFERROR(HLOOKUP(D68,'Financing Baseline'!$C$37:$BL$39,IF('High Level Dashboard'!$B$5="Foreign Currency",2,3),FALSE)/VLOOKUP(F68,'Financing Baseline'!$C$37:$BJ$44,MATCH(D68,'Financing Baseline'!$C$37:$BL$37,0),FALSE),"")</f>
        <v>1</v>
      </c>
      <c r="H68" s="237">
        <v>1</v>
      </c>
      <c r="I68" s="241">
        <f t="shared" si="3"/>
        <v>2.8593208161755217</v>
      </c>
    </row>
    <row r="69" spans="1:9">
      <c r="A69" s="233" t="s">
        <v>611</v>
      </c>
      <c r="B69" s="47" t="s">
        <v>612</v>
      </c>
      <c r="C69" s="234" t="s">
        <v>608</v>
      </c>
      <c r="D69" s="234">
        <v>2011</v>
      </c>
      <c r="E69" s="235">
        <v>18.944019971322316</v>
      </c>
      <c r="F69" s="234" t="s">
        <v>110</v>
      </c>
      <c r="G69" s="236">
        <f>IFERROR(HLOOKUP(D69,'Financing Baseline'!$C$37:$BL$39,IF('High Level Dashboard'!$B$5="Foreign Currency",2,3),FALSE)/VLOOKUP(F69,'Financing Baseline'!$C$37:$BJ$44,MATCH(D69,'Financing Baseline'!$C$37:$BL$37,0),FALSE),"")</f>
        <v>1</v>
      </c>
      <c r="H69" s="237">
        <v>1</v>
      </c>
      <c r="I69" s="241">
        <f t="shared" si="3"/>
        <v>18.944019971322316</v>
      </c>
    </row>
    <row r="70" spans="1:9">
      <c r="A70" s="233" t="s">
        <v>611</v>
      </c>
      <c r="B70" s="47" t="s">
        <v>612</v>
      </c>
      <c r="C70" s="234" t="s">
        <v>608</v>
      </c>
      <c r="D70" s="234">
        <v>2012</v>
      </c>
      <c r="E70" s="235">
        <v>33.05110803691889</v>
      </c>
      <c r="F70" s="234" t="s">
        <v>110</v>
      </c>
      <c r="G70" s="236">
        <f>IFERROR(HLOOKUP(D70,'Financing Baseline'!$C$37:$BL$39,IF('High Level Dashboard'!$B$5="Foreign Currency",2,3),FALSE)/VLOOKUP(F70,'Financing Baseline'!$C$37:$BJ$44,MATCH(D70,'Financing Baseline'!$C$37:$BL$37,0),FALSE),"")</f>
        <v>1</v>
      </c>
      <c r="H70" s="237">
        <v>1</v>
      </c>
      <c r="I70" s="241">
        <f t="shared" si="3"/>
        <v>33.05110803691889</v>
      </c>
    </row>
    <row r="71" spans="1:9">
      <c r="A71" s="233" t="s">
        <v>611</v>
      </c>
      <c r="B71" s="47" t="s">
        <v>612</v>
      </c>
      <c r="C71" s="234" t="s">
        <v>608</v>
      </c>
      <c r="D71" s="234">
        <v>2013</v>
      </c>
      <c r="E71" s="235">
        <v>4.2699919545700036</v>
      </c>
      <c r="F71" s="234" t="s">
        <v>110</v>
      </c>
      <c r="G71" s="236">
        <f>IFERROR(HLOOKUP(D71,'Financing Baseline'!$C$37:$BL$39,IF('High Level Dashboard'!$B$5="Foreign Currency",2,3),FALSE)/VLOOKUP(F71,'Financing Baseline'!$C$37:$BJ$44,MATCH(D71,'Financing Baseline'!$C$37:$BL$37,0),FALSE),"")</f>
        <v>1</v>
      </c>
      <c r="H71" s="237">
        <v>1</v>
      </c>
      <c r="I71" s="241">
        <f t="shared" si="3"/>
        <v>4.2699919545700036</v>
      </c>
    </row>
    <row r="72" spans="1:9">
      <c r="A72" s="233" t="s">
        <v>611</v>
      </c>
      <c r="B72" s="47" t="s">
        <v>612</v>
      </c>
      <c r="C72" s="234" t="s">
        <v>608</v>
      </c>
      <c r="D72" s="234">
        <v>2014</v>
      </c>
      <c r="E72" s="235">
        <v>5.8970796160852368</v>
      </c>
      <c r="F72" s="234" t="s">
        <v>110</v>
      </c>
      <c r="G72" s="236">
        <f>IFERROR(HLOOKUP(D72,'Financing Baseline'!$C$37:$BL$39,IF('High Level Dashboard'!$B$5="Foreign Currency",2,3),FALSE)/VLOOKUP(F72,'Financing Baseline'!$C$37:$BJ$44,MATCH(D72,'Financing Baseline'!$C$37:$BL$37,0),FALSE),"")</f>
        <v>1</v>
      </c>
      <c r="H72" s="237">
        <v>1</v>
      </c>
      <c r="I72" s="241">
        <f t="shared" si="3"/>
        <v>5.8970796160852368</v>
      </c>
    </row>
    <row r="73" spans="1:9">
      <c r="A73" s="233" t="s">
        <v>611</v>
      </c>
      <c r="B73" s="47" t="s">
        <v>612</v>
      </c>
      <c r="C73" s="234" t="s">
        <v>608</v>
      </c>
      <c r="D73" s="234">
        <v>2015</v>
      </c>
      <c r="E73" s="235">
        <v>39.72344101846074</v>
      </c>
      <c r="F73" s="234" t="s">
        <v>110</v>
      </c>
      <c r="G73" s="236">
        <f>IFERROR(HLOOKUP(D73,'Financing Baseline'!$C$37:$BL$39,IF('High Level Dashboard'!$B$5="Foreign Currency",2,3),FALSE)/VLOOKUP(F73,'Financing Baseline'!$C$37:$BJ$44,MATCH(D73,'Financing Baseline'!$C$37:$BL$37,0),FALSE),"")</f>
        <v>1</v>
      </c>
      <c r="H73" s="237">
        <v>1</v>
      </c>
      <c r="I73" s="241">
        <f t="shared" si="3"/>
        <v>39.72344101846074</v>
      </c>
    </row>
    <row r="74" spans="1:9">
      <c r="A74" s="233" t="s">
        <v>611</v>
      </c>
      <c r="B74" s="47" t="s">
        <v>612</v>
      </c>
      <c r="C74" s="234" t="s">
        <v>608</v>
      </c>
      <c r="D74" s="234">
        <v>2016</v>
      </c>
      <c r="E74" s="235">
        <v>64.019372093040886</v>
      </c>
      <c r="F74" s="234" t="s">
        <v>110</v>
      </c>
      <c r="G74" s="236">
        <f>IFERROR(HLOOKUP(D74,'Financing Baseline'!$C$37:$BL$39,IF('High Level Dashboard'!$B$5="Foreign Currency",2,3),FALSE)/VLOOKUP(F74,'Financing Baseline'!$C$37:$BJ$44,MATCH(D74,'Financing Baseline'!$C$37:$BL$37,0),FALSE),"")</f>
        <v>1</v>
      </c>
      <c r="H74" s="237">
        <v>1</v>
      </c>
      <c r="I74" s="241">
        <f t="shared" si="3"/>
        <v>64.019372093040886</v>
      </c>
    </row>
    <row r="75" spans="1:9">
      <c r="A75" s="233" t="s">
        <v>611</v>
      </c>
      <c r="B75" s="47" t="s">
        <v>612</v>
      </c>
      <c r="C75" s="234" t="s">
        <v>608</v>
      </c>
      <c r="D75" s="234">
        <v>2017</v>
      </c>
      <c r="E75" s="235">
        <v>24.404321532893622</v>
      </c>
      <c r="F75" s="234" t="s">
        <v>110</v>
      </c>
      <c r="G75" s="236">
        <f>IFERROR(HLOOKUP(D75,'Financing Baseline'!$C$37:$BL$39,IF('High Level Dashboard'!$B$5="Foreign Currency",2,3),FALSE)/VLOOKUP(F75,'Financing Baseline'!$C$37:$BJ$44,MATCH(D75,'Financing Baseline'!$C$37:$BL$37,0),FALSE),"")</f>
        <v>1</v>
      </c>
      <c r="H75" s="237">
        <v>1</v>
      </c>
      <c r="I75" s="241">
        <f t="shared" ref="I75:I138" si="4">IFERROR((E75/G75)*H75,"NA")</f>
        <v>24.404321532893622</v>
      </c>
    </row>
    <row r="76" spans="1:9">
      <c r="A76" s="233" t="s">
        <v>611</v>
      </c>
      <c r="B76" s="47" t="s">
        <v>612</v>
      </c>
      <c r="C76" s="234" t="s">
        <v>608</v>
      </c>
      <c r="D76" s="234">
        <v>2018</v>
      </c>
      <c r="E76" s="235">
        <v>78.843384961967658</v>
      </c>
      <c r="F76" s="234" t="s">
        <v>110</v>
      </c>
      <c r="G76" s="236">
        <f>IFERROR(HLOOKUP(D76,'Financing Baseline'!$C$37:$BL$39,IF('High Level Dashboard'!$B$5="Foreign Currency",2,3),FALSE)/VLOOKUP(F76,'Financing Baseline'!$C$37:$BJ$44,MATCH(D76,'Financing Baseline'!$C$37:$BL$37,0),FALSE),"")</f>
        <v>1</v>
      </c>
      <c r="H76" s="237">
        <v>1</v>
      </c>
      <c r="I76" s="241">
        <f t="shared" si="4"/>
        <v>78.843384961967658</v>
      </c>
    </row>
    <row r="77" spans="1:9">
      <c r="A77" s="233" t="s">
        <v>611</v>
      </c>
      <c r="B77" s="47" t="s">
        <v>612</v>
      </c>
      <c r="C77" s="234" t="s">
        <v>608</v>
      </c>
      <c r="D77" s="234">
        <v>2019</v>
      </c>
      <c r="E77" s="235">
        <v>62.748215789635132</v>
      </c>
      <c r="F77" s="234" t="s">
        <v>110</v>
      </c>
      <c r="G77" s="236">
        <f>IFERROR(HLOOKUP(D77,'Financing Baseline'!$C$37:$BL$39,IF('High Level Dashboard'!$B$5="Foreign Currency",2,3),FALSE)/VLOOKUP(F77,'Financing Baseline'!$C$37:$BJ$44,MATCH(D77,'Financing Baseline'!$C$37:$BL$37,0),FALSE),"")</f>
        <v>1</v>
      </c>
      <c r="H77" s="237">
        <v>1</v>
      </c>
      <c r="I77" s="241">
        <f t="shared" si="4"/>
        <v>62.748215789635132</v>
      </c>
    </row>
    <row r="78" spans="1:9">
      <c r="A78" s="233" t="s">
        <v>611</v>
      </c>
      <c r="B78" s="47" t="s">
        <v>612</v>
      </c>
      <c r="C78" s="234" t="s">
        <v>608</v>
      </c>
      <c r="D78" s="234">
        <v>2020</v>
      </c>
      <c r="E78" s="235">
        <v>54.455796297291862</v>
      </c>
      <c r="F78" s="234" t="s">
        <v>110</v>
      </c>
      <c r="G78" s="236">
        <f>IFERROR(HLOOKUP(D78,'Financing Baseline'!$C$37:$BL$39,IF('High Level Dashboard'!$B$5="Foreign Currency",2,3),FALSE)/VLOOKUP(F78,'Financing Baseline'!$C$37:$BJ$44,MATCH(D78,'Financing Baseline'!$C$37:$BL$37,0),FALSE),"")</f>
        <v>1</v>
      </c>
      <c r="H78" s="237">
        <v>1</v>
      </c>
      <c r="I78" s="241">
        <f t="shared" si="4"/>
        <v>54.455796297291862</v>
      </c>
    </row>
    <row r="79" spans="1:9">
      <c r="A79" s="233" t="s">
        <v>611</v>
      </c>
      <c r="B79" s="47" t="s">
        <v>612</v>
      </c>
      <c r="C79" s="234" t="s">
        <v>608</v>
      </c>
      <c r="D79" s="234">
        <v>2021</v>
      </c>
      <c r="E79" s="235">
        <v>35.383277462578349</v>
      </c>
      <c r="F79" s="234" t="s">
        <v>110</v>
      </c>
      <c r="G79" s="236">
        <f>IFERROR(HLOOKUP(D79,'Financing Baseline'!$C$37:$BL$39,IF('High Level Dashboard'!$B$5="Foreign Currency",2,3),FALSE)/VLOOKUP(F79,'Financing Baseline'!$C$37:$BJ$44,MATCH(D79,'Financing Baseline'!$C$37:$BL$37,0),FALSE),"")</f>
        <v>1</v>
      </c>
      <c r="H79" s="237">
        <v>1</v>
      </c>
      <c r="I79" s="241">
        <f t="shared" si="4"/>
        <v>35.383277462578349</v>
      </c>
    </row>
    <row r="80" spans="1:9">
      <c r="A80" s="233" t="s">
        <v>611</v>
      </c>
      <c r="B80" s="47" t="s">
        <v>612</v>
      </c>
      <c r="C80" s="234" t="s">
        <v>608</v>
      </c>
      <c r="D80" s="234">
        <v>2022</v>
      </c>
      <c r="E80" s="235">
        <v>35.383277462578349</v>
      </c>
      <c r="F80" s="234" t="s">
        <v>110</v>
      </c>
      <c r="G80" s="236">
        <f>IFERROR(HLOOKUP(D80,'Financing Baseline'!$C$37:$BL$39,IF('High Level Dashboard'!$B$5="Foreign Currency",2,3),FALSE)/VLOOKUP(F80,'Financing Baseline'!$C$37:$BJ$44,MATCH(D80,'Financing Baseline'!$C$37:$BL$37,0),FALSE),"")</f>
        <v>1</v>
      </c>
      <c r="H80" s="237">
        <v>1</v>
      </c>
      <c r="I80" s="241">
        <f t="shared" si="4"/>
        <v>35.383277462578349</v>
      </c>
    </row>
    <row r="81" spans="1:9">
      <c r="A81" s="233" t="s">
        <v>611</v>
      </c>
      <c r="B81" s="47" t="s">
        <v>612</v>
      </c>
      <c r="C81" s="234" t="s">
        <v>608</v>
      </c>
      <c r="D81" s="234">
        <v>2023</v>
      </c>
      <c r="E81" s="235">
        <v>35.383277462578349</v>
      </c>
      <c r="F81" s="234" t="s">
        <v>110</v>
      </c>
      <c r="G81" s="236">
        <f>IFERROR(HLOOKUP(D81,'Financing Baseline'!$C$37:$BL$39,IF('High Level Dashboard'!$B$5="Foreign Currency",2,3),FALSE)/VLOOKUP(F81,'Financing Baseline'!$C$37:$BJ$44,MATCH(D81,'Financing Baseline'!$C$37:$BL$37,0),FALSE),"")</f>
        <v>1</v>
      </c>
      <c r="H81" s="237">
        <v>1</v>
      </c>
      <c r="I81" s="241">
        <f t="shared" si="4"/>
        <v>35.383277462578349</v>
      </c>
    </row>
    <row r="82" spans="1:9">
      <c r="A82" s="233" t="s">
        <v>611</v>
      </c>
      <c r="B82" s="47" t="s">
        <v>612</v>
      </c>
      <c r="C82" s="234" t="s">
        <v>608</v>
      </c>
      <c r="D82" s="234">
        <v>2024</v>
      </c>
      <c r="E82" s="235">
        <v>35.383277462578349</v>
      </c>
      <c r="F82" s="234" t="s">
        <v>110</v>
      </c>
      <c r="G82" s="236">
        <f>IFERROR(HLOOKUP(D82,'Financing Baseline'!$C$37:$BL$39,IF('High Level Dashboard'!$B$5="Foreign Currency",2,3),FALSE)/VLOOKUP(F82,'Financing Baseline'!$C$37:$BJ$44,MATCH(D82,'Financing Baseline'!$C$37:$BL$37,0),FALSE),"")</f>
        <v>1</v>
      </c>
      <c r="H82" s="237">
        <v>1</v>
      </c>
      <c r="I82" s="241">
        <f t="shared" si="4"/>
        <v>35.383277462578349</v>
      </c>
    </row>
    <row r="83" spans="1:9">
      <c r="A83" s="233" t="s">
        <v>613</v>
      </c>
      <c r="B83" s="47" t="s">
        <v>614</v>
      </c>
      <c r="C83" s="234" t="s">
        <v>608</v>
      </c>
      <c r="D83" s="234">
        <v>2010</v>
      </c>
      <c r="E83" s="235">
        <v>229.45150464679008</v>
      </c>
      <c r="F83" s="234" t="s">
        <v>110</v>
      </c>
      <c r="G83" s="236">
        <f>IFERROR(HLOOKUP(D83,'Financing Baseline'!$C$37:$BL$39,IF('High Level Dashboard'!$B$5="Foreign Currency",2,3),FALSE)/VLOOKUP(F83,'Financing Baseline'!$C$37:$BJ$44,MATCH(D83,'Financing Baseline'!$C$37:$BL$37,0),FALSE),"")</f>
        <v>1</v>
      </c>
      <c r="H83" s="237">
        <v>0.501</v>
      </c>
      <c r="I83" s="241">
        <f t="shared" si="4"/>
        <v>114.95520382804183</v>
      </c>
    </row>
    <row r="84" spans="1:9">
      <c r="A84" s="233" t="s">
        <v>613</v>
      </c>
      <c r="B84" s="47" t="s">
        <v>614</v>
      </c>
      <c r="C84" s="234" t="s">
        <v>608</v>
      </c>
      <c r="D84" s="234">
        <v>2011</v>
      </c>
      <c r="E84" s="235">
        <v>164.76886761336246</v>
      </c>
      <c r="F84" s="234" t="s">
        <v>110</v>
      </c>
      <c r="G84" s="236">
        <f>IFERROR(HLOOKUP(D84,'Financing Baseline'!$C$37:$BL$39,IF('High Level Dashboard'!$B$5="Foreign Currency",2,3),FALSE)/VLOOKUP(F84,'Financing Baseline'!$C$37:$BJ$44,MATCH(D84,'Financing Baseline'!$C$37:$BL$37,0),FALSE),"")</f>
        <v>1</v>
      </c>
      <c r="H84" s="237">
        <v>0.501</v>
      </c>
      <c r="I84" s="241">
        <f t="shared" si="4"/>
        <v>82.549202674294591</v>
      </c>
    </row>
    <row r="85" spans="1:9">
      <c r="A85" s="233" t="s">
        <v>613</v>
      </c>
      <c r="B85" s="47" t="s">
        <v>614</v>
      </c>
      <c r="C85" s="234" t="s">
        <v>608</v>
      </c>
      <c r="D85" s="234">
        <v>2012</v>
      </c>
      <c r="E85" s="235">
        <v>155.85269214703274</v>
      </c>
      <c r="F85" s="234" t="s">
        <v>110</v>
      </c>
      <c r="G85" s="236">
        <f>IFERROR(HLOOKUP(D85,'Financing Baseline'!$C$37:$BL$39,IF('High Level Dashboard'!$B$5="Foreign Currency",2,3),FALSE)/VLOOKUP(F85,'Financing Baseline'!$C$37:$BJ$44,MATCH(D85,'Financing Baseline'!$C$37:$BL$37,0),FALSE),"")</f>
        <v>1</v>
      </c>
      <c r="H85" s="237">
        <v>0.501</v>
      </c>
      <c r="I85" s="241">
        <f t="shared" si="4"/>
        <v>78.082198765663406</v>
      </c>
    </row>
    <row r="86" spans="1:9">
      <c r="A86" s="233" t="s">
        <v>613</v>
      </c>
      <c r="B86" s="47" t="s">
        <v>614</v>
      </c>
      <c r="C86" s="234" t="s">
        <v>608</v>
      </c>
      <c r="D86" s="234">
        <v>2013</v>
      </c>
      <c r="E86" s="235">
        <v>184.68616241671359</v>
      </c>
      <c r="F86" s="234" t="s">
        <v>110</v>
      </c>
      <c r="G86" s="236">
        <f>IFERROR(HLOOKUP(D86,'Financing Baseline'!$C$37:$BL$39,IF('High Level Dashboard'!$B$5="Foreign Currency",2,3),FALSE)/VLOOKUP(F86,'Financing Baseline'!$C$37:$BJ$44,MATCH(D86,'Financing Baseline'!$C$37:$BL$37,0),FALSE),"")</f>
        <v>1</v>
      </c>
      <c r="H86" s="237">
        <v>0.501</v>
      </c>
      <c r="I86" s="241">
        <f t="shared" si="4"/>
        <v>92.527767370773503</v>
      </c>
    </row>
    <row r="87" spans="1:9">
      <c r="A87" s="233" t="s">
        <v>613</v>
      </c>
      <c r="B87" s="47" t="s">
        <v>614</v>
      </c>
      <c r="C87" s="234" t="s">
        <v>608</v>
      </c>
      <c r="D87" s="234">
        <v>2014</v>
      </c>
      <c r="E87" s="235">
        <v>219.1999055195362</v>
      </c>
      <c r="F87" s="234" t="s">
        <v>110</v>
      </c>
      <c r="G87" s="236">
        <f>IFERROR(HLOOKUP(D87,'Financing Baseline'!$C$37:$BL$39,IF('High Level Dashboard'!$B$5="Foreign Currency",2,3),FALSE)/VLOOKUP(F87,'Financing Baseline'!$C$37:$BJ$44,MATCH(D87,'Financing Baseline'!$C$37:$BL$37,0),FALSE),"")</f>
        <v>1</v>
      </c>
      <c r="H87" s="237">
        <v>0.501</v>
      </c>
      <c r="I87" s="241">
        <f t="shared" si="4"/>
        <v>109.81915266528763</v>
      </c>
    </row>
    <row r="88" spans="1:9">
      <c r="A88" s="233" t="s">
        <v>613</v>
      </c>
      <c r="B88" s="47" t="s">
        <v>614</v>
      </c>
      <c r="C88" s="234" t="s">
        <v>608</v>
      </c>
      <c r="D88" s="234">
        <v>2015</v>
      </c>
      <c r="E88" s="235">
        <v>281.22338521847496</v>
      </c>
      <c r="F88" s="234" t="s">
        <v>110</v>
      </c>
      <c r="G88" s="236">
        <f>IFERROR(HLOOKUP(D88,'Financing Baseline'!$C$37:$BL$39,IF('High Level Dashboard'!$B$5="Foreign Currency",2,3),FALSE)/VLOOKUP(F88,'Financing Baseline'!$C$37:$BJ$44,MATCH(D88,'Financing Baseline'!$C$37:$BL$37,0),FALSE),"")</f>
        <v>1</v>
      </c>
      <c r="H88" s="237">
        <v>0.501</v>
      </c>
      <c r="I88" s="241">
        <f t="shared" si="4"/>
        <v>140.89291599445596</v>
      </c>
    </row>
    <row r="89" spans="1:9">
      <c r="A89" s="233" t="s">
        <v>613</v>
      </c>
      <c r="B89" s="47" t="s">
        <v>614</v>
      </c>
      <c r="C89" s="234" t="s">
        <v>608</v>
      </c>
      <c r="D89" s="234">
        <v>2016</v>
      </c>
      <c r="E89" s="235">
        <v>252.9648933029988</v>
      </c>
      <c r="F89" s="234" t="s">
        <v>110</v>
      </c>
      <c r="G89" s="236">
        <f>IFERROR(HLOOKUP(D89,'Financing Baseline'!$C$37:$BL$39,IF('High Level Dashboard'!$B$5="Foreign Currency",2,3),FALSE)/VLOOKUP(F89,'Financing Baseline'!$C$37:$BJ$44,MATCH(D89,'Financing Baseline'!$C$37:$BL$37,0),FALSE),"")</f>
        <v>1</v>
      </c>
      <c r="H89" s="237">
        <v>0.501</v>
      </c>
      <c r="I89" s="241">
        <f t="shared" si="4"/>
        <v>126.7354115448024</v>
      </c>
    </row>
    <row r="90" spans="1:9">
      <c r="A90" s="233" t="s">
        <v>613</v>
      </c>
      <c r="B90" s="47" t="s">
        <v>614</v>
      </c>
      <c r="C90" s="234" t="s">
        <v>608</v>
      </c>
      <c r="D90" s="234">
        <v>2017</v>
      </c>
      <c r="E90" s="235">
        <v>272.29995908976571</v>
      </c>
      <c r="F90" s="234" t="s">
        <v>110</v>
      </c>
      <c r="G90" s="236">
        <f>IFERROR(HLOOKUP(D90,'Financing Baseline'!$C$37:$BL$39,IF('High Level Dashboard'!$B$5="Foreign Currency",2,3),FALSE)/VLOOKUP(F90,'Financing Baseline'!$C$37:$BJ$44,MATCH(D90,'Financing Baseline'!$C$37:$BL$37,0),FALSE),"")</f>
        <v>1</v>
      </c>
      <c r="H90" s="237">
        <v>0.501</v>
      </c>
      <c r="I90" s="241">
        <f t="shared" si="4"/>
        <v>136.42227950397262</v>
      </c>
    </row>
    <row r="91" spans="1:9">
      <c r="A91" s="233" t="s">
        <v>613</v>
      </c>
      <c r="B91" s="47" t="s">
        <v>614</v>
      </c>
      <c r="C91" s="234" t="s">
        <v>608</v>
      </c>
      <c r="D91" s="234">
        <v>2018</v>
      </c>
      <c r="E91" s="235">
        <v>279.03465731265226</v>
      </c>
      <c r="F91" s="234" t="s">
        <v>110</v>
      </c>
      <c r="G91" s="236">
        <f>IFERROR(HLOOKUP(D91,'Financing Baseline'!$C$37:$BL$39,IF('High Level Dashboard'!$B$5="Foreign Currency",2,3),FALSE)/VLOOKUP(F91,'Financing Baseline'!$C$37:$BJ$44,MATCH(D91,'Financing Baseline'!$C$37:$BL$37,0),FALSE),"")</f>
        <v>1</v>
      </c>
      <c r="H91" s="237">
        <v>0.501</v>
      </c>
      <c r="I91" s="241">
        <f t="shared" si="4"/>
        <v>139.79636331363878</v>
      </c>
    </row>
    <row r="92" spans="1:9">
      <c r="A92" s="233" t="s">
        <v>613</v>
      </c>
      <c r="B92" s="47" t="s">
        <v>614</v>
      </c>
      <c r="C92" s="234" t="s">
        <v>608</v>
      </c>
      <c r="D92" s="234">
        <v>2019</v>
      </c>
      <c r="E92" s="235">
        <v>263.15020422176082</v>
      </c>
      <c r="F92" s="234" t="s">
        <v>110</v>
      </c>
      <c r="G92" s="236">
        <f>IFERROR(HLOOKUP(D92,'Financing Baseline'!$C$37:$BL$39,IF('High Level Dashboard'!$B$5="Foreign Currency",2,3),FALSE)/VLOOKUP(F92,'Financing Baseline'!$C$37:$BJ$44,MATCH(D92,'Financing Baseline'!$C$37:$BL$37,0),FALSE),"")</f>
        <v>1</v>
      </c>
      <c r="H92" s="237">
        <v>0.501</v>
      </c>
      <c r="I92" s="241">
        <f t="shared" si="4"/>
        <v>131.83825231510218</v>
      </c>
    </row>
    <row r="93" spans="1:9">
      <c r="A93" s="233" t="s">
        <v>613</v>
      </c>
      <c r="B93" s="47" t="s">
        <v>614</v>
      </c>
      <c r="C93" s="234" t="s">
        <v>608</v>
      </c>
      <c r="D93" s="234">
        <v>2020</v>
      </c>
      <c r="E93" s="235">
        <v>221.334319625603</v>
      </c>
      <c r="F93" s="234" t="s">
        <v>110</v>
      </c>
      <c r="G93" s="236">
        <f>IFERROR(HLOOKUP(D93,'Financing Baseline'!$C$37:$BL$39,IF('High Level Dashboard'!$B$5="Foreign Currency",2,3),FALSE)/VLOOKUP(F93,'Financing Baseline'!$C$37:$BJ$44,MATCH(D93,'Financing Baseline'!$C$37:$BL$37,0),FALSE),"")</f>
        <v>1</v>
      </c>
      <c r="H93" s="237">
        <v>0.501</v>
      </c>
      <c r="I93" s="241">
        <f t="shared" si="4"/>
        <v>110.8884941324271</v>
      </c>
    </row>
    <row r="94" spans="1:9">
      <c r="A94" s="233" t="s">
        <v>613</v>
      </c>
      <c r="B94" s="47" t="s">
        <v>614</v>
      </c>
      <c r="C94" s="234" t="s">
        <v>608</v>
      </c>
      <c r="D94" s="234">
        <v>2021</v>
      </c>
      <c r="E94" s="235">
        <v>229.45150464679008</v>
      </c>
      <c r="F94" s="234" t="s">
        <v>110</v>
      </c>
      <c r="G94" s="236">
        <f>IFERROR(HLOOKUP(D94,'Financing Baseline'!$C$37:$BL$39,IF('High Level Dashboard'!$B$5="Foreign Currency",2,3),FALSE)/VLOOKUP(F94,'Financing Baseline'!$C$37:$BJ$44,MATCH(D94,'Financing Baseline'!$C$37:$BL$37,0),FALSE),"")</f>
        <v>1</v>
      </c>
      <c r="H94" s="237">
        <v>0.501</v>
      </c>
      <c r="I94" s="241">
        <f t="shared" si="4"/>
        <v>114.95520382804183</v>
      </c>
    </row>
    <row r="95" spans="1:9">
      <c r="A95" s="233" t="s">
        <v>613</v>
      </c>
      <c r="B95" s="47" t="s">
        <v>614</v>
      </c>
      <c r="C95" s="234" t="s">
        <v>608</v>
      </c>
      <c r="D95" s="234">
        <v>2022</v>
      </c>
      <c r="E95" s="235">
        <v>229.45150464679008</v>
      </c>
      <c r="F95" s="234" t="s">
        <v>110</v>
      </c>
      <c r="G95" s="236">
        <f>IFERROR(HLOOKUP(D95,'Financing Baseline'!$C$37:$BL$39,IF('High Level Dashboard'!$B$5="Foreign Currency",2,3),FALSE)/VLOOKUP(F95,'Financing Baseline'!$C$37:$BJ$44,MATCH(D95,'Financing Baseline'!$C$37:$BL$37,0),FALSE),"")</f>
        <v>1</v>
      </c>
      <c r="H95" s="237">
        <v>0.501</v>
      </c>
      <c r="I95" s="241">
        <f t="shared" si="4"/>
        <v>114.95520382804183</v>
      </c>
    </row>
    <row r="96" spans="1:9">
      <c r="A96" s="233" t="s">
        <v>613</v>
      </c>
      <c r="B96" s="47" t="s">
        <v>614</v>
      </c>
      <c r="C96" s="234" t="s">
        <v>608</v>
      </c>
      <c r="D96" s="234">
        <v>2023</v>
      </c>
      <c r="E96" s="235">
        <v>229.45150464679008</v>
      </c>
      <c r="F96" s="234" t="s">
        <v>110</v>
      </c>
      <c r="G96" s="236">
        <f>IFERROR(HLOOKUP(D96,'Financing Baseline'!$C$37:$BL$39,IF('High Level Dashboard'!$B$5="Foreign Currency",2,3),FALSE)/VLOOKUP(F96,'Financing Baseline'!$C$37:$BJ$44,MATCH(D96,'Financing Baseline'!$C$37:$BL$37,0),FALSE),"")</f>
        <v>1</v>
      </c>
      <c r="H96" s="237">
        <v>0.501</v>
      </c>
      <c r="I96" s="241">
        <f t="shared" si="4"/>
        <v>114.95520382804183</v>
      </c>
    </row>
    <row r="97" spans="1:9">
      <c r="A97" s="233" t="s">
        <v>613</v>
      </c>
      <c r="B97" s="47" t="s">
        <v>614</v>
      </c>
      <c r="C97" s="234" t="s">
        <v>608</v>
      </c>
      <c r="D97" s="234">
        <v>2024</v>
      </c>
      <c r="E97" s="235">
        <v>229.45150464679008</v>
      </c>
      <c r="F97" s="234" t="s">
        <v>110</v>
      </c>
      <c r="G97" s="236">
        <f>IFERROR(HLOOKUP(D97,'Financing Baseline'!$C$37:$BL$39,IF('High Level Dashboard'!$B$5="Foreign Currency",2,3),FALSE)/VLOOKUP(F97,'Financing Baseline'!$C$37:$BJ$44,MATCH(D97,'Financing Baseline'!$C$37:$BL$37,0),FALSE),"")</f>
        <v>1</v>
      </c>
      <c r="H97" s="237">
        <v>0.501</v>
      </c>
      <c r="I97" s="241">
        <f t="shared" si="4"/>
        <v>114.95520382804183</v>
      </c>
    </row>
    <row r="98" spans="1:9">
      <c r="A98" s="233"/>
      <c r="B98" s="47"/>
      <c r="C98" s="234"/>
      <c r="D98" s="234"/>
      <c r="E98" s="234"/>
      <c r="F98" s="234"/>
      <c r="G98" s="236" t="str">
        <f>IFERROR(HLOOKUP(D98,'Financing Baseline'!$C$37:$BL$39,IF('High Level Dashboard'!$B$5="Foreign Currency",2,3),FALSE)/VLOOKUP(F98,'Financing Baseline'!$C$37:$BJ$44,MATCH(D98,'Financing Baseline'!$C$37:$BL$37,0),FALSE),"")</f>
        <v/>
      </c>
      <c r="H98" s="238"/>
      <c r="I98" s="241" t="str">
        <f t="shared" si="4"/>
        <v>NA</v>
      </c>
    </row>
    <row r="99" spans="1:9">
      <c r="A99" s="233"/>
      <c r="B99" s="47"/>
      <c r="C99" s="234"/>
      <c r="D99" s="234"/>
      <c r="E99" s="234"/>
      <c r="F99" s="234"/>
      <c r="G99" s="236" t="str">
        <f>IFERROR(HLOOKUP(D99,'Financing Baseline'!$C$37:$BL$39,IF('High Level Dashboard'!$B$5="Foreign Currency",2,3),FALSE)/VLOOKUP(F99,'Financing Baseline'!$C$37:$BJ$44,MATCH(D99,'Financing Baseline'!$C$37:$BL$37,0),FALSE),"")</f>
        <v/>
      </c>
      <c r="H99" s="238"/>
      <c r="I99" s="241" t="str">
        <f t="shared" si="4"/>
        <v>NA</v>
      </c>
    </row>
    <row r="100" spans="1:9">
      <c r="A100" s="233"/>
      <c r="B100" s="47"/>
      <c r="C100" s="234"/>
      <c r="D100" s="234"/>
      <c r="E100" s="234"/>
      <c r="F100" s="234"/>
      <c r="G100" s="236" t="str">
        <f>IFERROR(HLOOKUP(D100,'Financing Baseline'!$C$37:$BL$39,IF('High Level Dashboard'!$B$5="Foreign Currency",2,3),FALSE)/VLOOKUP(F100,'Financing Baseline'!$C$37:$BJ$44,MATCH(D100,'Financing Baseline'!$C$37:$BL$37,0),FALSE),"")</f>
        <v/>
      </c>
      <c r="H100" s="238"/>
      <c r="I100" s="241" t="str">
        <f t="shared" si="4"/>
        <v>NA</v>
      </c>
    </row>
    <row r="101" spans="1:9">
      <c r="A101" s="233"/>
      <c r="B101" s="47"/>
      <c r="C101" s="234"/>
      <c r="D101" s="234"/>
      <c r="E101" s="234"/>
      <c r="F101" s="234"/>
      <c r="G101" s="236" t="str">
        <f>IFERROR(HLOOKUP(D101,'Financing Baseline'!$C$37:$BL$39,IF('High Level Dashboard'!$B$5="Foreign Currency",2,3),FALSE)/VLOOKUP(F101,'Financing Baseline'!$C$37:$BJ$44,MATCH(D101,'Financing Baseline'!$C$37:$BL$37,0),FALSE),"")</f>
        <v/>
      </c>
      <c r="H101" s="238"/>
      <c r="I101" s="241" t="str">
        <f t="shared" si="4"/>
        <v>NA</v>
      </c>
    </row>
    <row r="102" spans="1:9">
      <c r="A102" s="233"/>
      <c r="B102" s="47"/>
      <c r="C102" s="234"/>
      <c r="D102" s="234"/>
      <c r="E102" s="234"/>
      <c r="F102" s="234"/>
      <c r="G102" s="236" t="str">
        <f>IFERROR(HLOOKUP(D102,'Financing Baseline'!$C$37:$BL$39,IF('High Level Dashboard'!$B$5="Foreign Currency",2,3),FALSE)/VLOOKUP(F102,'Financing Baseline'!$C$37:$BJ$44,MATCH(D102,'Financing Baseline'!$C$37:$BL$37,0),FALSE),"")</f>
        <v/>
      </c>
      <c r="H102" s="238"/>
      <c r="I102" s="241" t="str">
        <f t="shared" si="4"/>
        <v>NA</v>
      </c>
    </row>
    <row r="103" spans="1:9">
      <c r="A103" s="233"/>
      <c r="B103" s="47"/>
      <c r="C103" s="234"/>
      <c r="D103" s="234"/>
      <c r="E103" s="234"/>
      <c r="F103" s="234"/>
      <c r="G103" s="236" t="str">
        <f>IFERROR(HLOOKUP(D103,'Financing Baseline'!$C$37:$BL$39,IF('High Level Dashboard'!$B$5="Foreign Currency",2,3),FALSE)/VLOOKUP(F103,'Financing Baseline'!$C$37:$BJ$44,MATCH(D103,'Financing Baseline'!$C$37:$BL$37,0),FALSE),"")</f>
        <v/>
      </c>
      <c r="H103" s="238"/>
      <c r="I103" s="241" t="str">
        <f t="shared" si="4"/>
        <v>NA</v>
      </c>
    </row>
    <row r="104" spans="1:9">
      <c r="A104" s="233"/>
      <c r="B104" s="47"/>
      <c r="C104" s="234"/>
      <c r="D104" s="234"/>
      <c r="E104" s="234"/>
      <c r="F104" s="234"/>
      <c r="G104" s="236" t="str">
        <f>IFERROR(HLOOKUP(D104,'Financing Baseline'!$C$37:$BL$39,IF('High Level Dashboard'!$B$5="Foreign Currency",2,3),FALSE)/VLOOKUP(F104,'Financing Baseline'!$C$37:$BJ$44,MATCH(D104,'Financing Baseline'!$C$37:$BL$37,0),FALSE),"")</f>
        <v/>
      </c>
      <c r="H104" s="238"/>
      <c r="I104" s="241" t="str">
        <f t="shared" si="4"/>
        <v>NA</v>
      </c>
    </row>
    <row r="105" spans="1:9">
      <c r="A105" s="233"/>
      <c r="B105" s="47"/>
      <c r="C105" s="234"/>
      <c r="D105" s="234"/>
      <c r="E105" s="234"/>
      <c r="F105" s="234"/>
      <c r="G105" s="236" t="str">
        <f>IFERROR(HLOOKUP(D105,'Financing Baseline'!$C$37:$BL$39,IF('High Level Dashboard'!$B$5="Foreign Currency",2,3),FALSE)/VLOOKUP(F105,'Financing Baseline'!$C$37:$BJ$44,MATCH(D105,'Financing Baseline'!$C$37:$BL$37,0),FALSE),"")</f>
        <v/>
      </c>
      <c r="H105" s="238"/>
      <c r="I105" s="241" t="str">
        <f t="shared" si="4"/>
        <v>NA</v>
      </c>
    </row>
    <row r="106" spans="1:9">
      <c r="A106" s="233"/>
      <c r="B106" s="47"/>
      <c r="C106" s="234"/>
      <c r="D106" s="234"/>
      <c r="E106" s="234"/>
      <c r="F106" s="234"/>
      <c r="G106" s="236" t="str">
        <f>IFERROR(HLOOKUP(D106,'Financing Baseline'!$C$37:$BL$39,IF('High Level Dashboard'!$B$5="Foreign Currency",2,3),FALSE)/VLOOKUP(F106,'Financing Baseline'!$C$37:$BJ$44,MATCH(D106,'Financing Baseline'!$C$37:$BL$37,0),FALSE),"")</f>
        <v/>
      </c>
      <c r="H106" s="238"/>
      <c r="I106" s="241" t="str">
        <f t="shared" si="4"/>
        <v>NA</v>
      </c>
    </row>
    <row r="107" spans="1:9">
      <c r="A107" s="233"/>
      <c r="B107" s="47"/>
      <c r="C107" s="234"/>
      <c r="D107" s="234"/>
      <c r="E107" s="234"/>
      <c r="F107" s="234"/>
      <c r="G107" s="236" t="str">
        <f>IFERROR(HLOOKUP(D107,'Financing Baseline'!$C$37:$BL$39,IF('High Level Dashboard'!$B$5="Foreign Currency",2,3),FALSE)/VLOOKUP(F107,'Financing Baseline'!$C$37:$BJ$44,MATCH(D107,'Financing Baseline'!$C$37:$BL$37,0),FALSE),"")</f>
        <v/>
      </c>
      <c r="H107" s="238"/>
      <c r="I107" s="241" t="str">
        <f t="shared" si="4"/>
        <v>NA</v>
      </c>
    </row>
    <row r="108" spans="1:9">
      <c r="A108" s="233"/>
      <c r="B108" s="47"/>
      <c r="C108" s="234"/>
      <c r="D108" s="234"/>
      <c r="E108" s="234"/>
      <c r="F108" s="234"/>
      <c r="G108" s="236" t="str">
        <f>IFERROR(HLOOKUP(D108,'Financing Baseline'!$C$37:$BL$39,IF('High Level Dashboard'!$B$5="Foreign Currency",2,3),FALSE)/VLOOKUP(F108,'Financing Baseline'!$C$37:$BJ$44,MATCH(D108,'Financing Baseline'!$C$37:$BL$37,0),FALSE),"")</f>
        <v/>
      </c>
      <c r="H108" s="238"/>
      <c r="I108" s="241" t="str">
        <f t="shared" si="4"/>
        <v>NA</v>
      </c>
    </row>
    <row r="109" spans="1:9">
      <c r="A109" s="233"/>
      <c r="B109" s="47"/>
      <c r="C109" s="234"/>
      <c r="D109" s="234"/>
      <c r="E109" s="234"/>
      <c r="F109" s="234"/>
      <c r="G109" s="236" t="str">
        <f>IFERROR(HLOOKUP(D109,'Financing Baseline'!$C$37:$BL$39,IF('High Level Dashboard'!$B$5="Foreign Currency",2,3),FALSE)/VLOOKUP(F109,'Financing Baseline'!$C$37:$BJ$44,MATCH(D109,'Financing Baseline'!$C$37:$BL$37,0),FALSE),"")</f>
        <v/>
      </c>
      <c r="H109" s="238"/>
      <c r="I109" s="241" t="str">
        <f t="shared" si="4"/>
        <v>NA</v>
      </c>
    </row>
    <row r="110" spans="1:9">
      <c r="A110" s="233"/>
      <c r="B110" s="47"/>
      <c r="C110" s="234"/>
      <c r="D110" s="234"/>
      <c r="E110" s="234"/>
      <c r="F110" s="234"/>
      <c r="G110" s="236" t="str">
        <f>IFERROR(HLOOKUP(D110,'Financing Baseline'!$C$37:$BL$39,IF('High Level Dashboard'!$B$5="Foreign Currency",2,3),FALSE)/VLOOKUP(F110,'Financing Baseline'!$C$37:$BJ$44,MATCH(D110,'Financing Baseline'!$C$37:$BL$37,0),FALSE),"")</f>
        <v/>
      </c>
      <c r="H110" s="238"/>
      <c r="I110" s="241" t="str">
        <f t="shared" si="4"/>
        <v>NA</v>
      </c>
    </row>
    <row r="111" spans="1:9">
      <c r="A111" s="233"/>
      <c r="B111" s="47"/>
      <c r="C111" s="234"/>
      <c r="D111" s="234"/>
      <c r="E111" s="234"/>
      <c r="F111" s="234"/>
      <c r="G111" s="236" t="str">
        <f>IFERROR(HLOOKUP(D111,'Financing Baseline'!$C$37:$BL$39,IF('High Level Dashboard'!$B$5="Foreign Currency",2,3),FALSE)/VLOOKUP(F111,'Financing Baseline'!$C$37:$BJ$44,MATCH(D111,'Financing Baseline'!$C$37:$BL$37,0),FALSE),"")</f>
        <v/>
      </c>
      <c r="H111" s="238"/>
      <c r="I111" s="241" t="str">
        <f t="shared" si="4"/>
        <v>NA</v>
      </c>
    </row>
    <row r="112" spans="1:9">
      <c r="A112" s="233"/>
      <c r="B112" s="47"/>
      <c r="C112" s="234"/>
      <c r="D112" s="234"/>
      <c r="E112" s="234"/>
      <c r="F112" s="234"/>
      <c r="G112" s="236" t="str">
        <f>IFERROR(HLOOKUP(D112,'Financing Baseline'!$C$37:$BL$39,IF('High Level Dashboard'!$B$5="Foreign Currency",2,3),FALSE)/VLOOKUP(F112,'Financing Baseline'!$C$37:$BJ$44,MATCH(D112,'Financing Baseline'!$C$37:$BL$37,0),FALSE),"")</f>
        <v/>
      </c>
      <c r="H112" s="238"/>
      <c r="I112" s="241" t="str">
        <f t="shared" si="4"/>
        <v>NA</v>
      </c>
    </row>
    <row r="113" spans="1:9">
      <c r="A113" s="233"/>
      <c r="B113" s="47"/>
      <c r="C113" s="234"/>
      <c r="D113" s="234"/>
      <c r="E113" s="234"/>
      <c r="F113" s="234"/>
      <c r="G113" s="236" t="str">
        <f>IFERROR(HLOOKUP(D113,'Financing Baseline'!$C$37:$BL$39,IF('High Level Dashboard'!$B$5="Foreign Currency",2,3),FALSE)/VLOOKUP(F113,'Financing Baseline'!$C$37:$BJ$44,MATCH(D113,'Financing Baseline'!$C$37:$BL$37,0),FALSE),"")</f>
        <v/>
      </c>
      <c r="H113" s="238"/>
      <c r="I113" s="241" t="str">
        <f t="shared" si="4"/>
        <v>NA</v>
      </c>
    </row>
    <row r="114" spans="1:9">
      <c r="A114" s="233"/>
      <c r="B114" s="47"/>
      <c r="C114" s="234"/>
      <c r="D114" s="234"/>
      <c r="E114" s="234"/>
      <c r="F114" s="234"/>
      <c r="G114" s="236" t="str">
        <f>IFERROR(HLOOKUP(D114,'Financing Baseline'!$C$37:$BL$39,IF('High Level Dashboard'!$B$5="Foreign Currency",2,3),FALSE)/VLOOKUP(F114,'Financing Baseline'!$C$37:$BJ$44,MATCH(D114,'Financing Baseline'!$C$37:$BL$37,0),FALSE),"")</f>
        <v/>
      </c>
      <c r="H114" s="238"/>
      <c r="I114" s="241" t="str">
        <f t="shared" si="4"/>
        <v>NA</v>
      </c>
    </row>
    <row r="115" spans="1:9">
      <c r="A115" s="233"/>
      <c r="B115" s="47"/>
      <c r="C115" s="234"/>
      <c r="D115" s="234"/>
      <c r="E115" s="234"/>
      <c r="F115" s="234"/>
      <c r="G115" s="236" t="str">
        <f>IFERROR(HLOOKUP(D115,'Financing Baseline'!$C$37:$BL$39,IF('High Level Dashboard'!$B$5="Foreign Currency",2,3),FALSE)/VLOOKUP(F115,'Financing Baseline'!$C$37:$BJ$44,MATCH(D115,'Financing Baseline'!$C$37:$BL$37,0),FALSE),"")</f>
        <v/>
      </c>
      <c r="H115" s="238"/>
      <c r="I115" s="241" t="str">
        <f t="shared" si="4"/>
        <v>NA</v>
      </c>
    </row>
    <row r="116" spans="1:9">
      <c r="A116" s="233"/>
      <c r="B116" s="47"/>
      <c r="C116" s="234"/>
      <c r="D116" s="234"/>
      <c r="E116" s="234"/>
      <c r="F116" s="234"/>
      <c r="G116" s="236" t="str">
        <f>IFERROR(HLOOKUP(D116,'Financing Baseline'!$C$37:$BL$39,IF('High Level Dashboard'!$B$5="Foreign Currency",2,3),FALSE)/VLOOKUP(F116,'Financing Baseline'!$C$37:$BJ$44,MATCH(D116,'Financing Baseline'!$C$37:$BL$37,0),FALSE),"")</f>
        <v/>
      </c>
      <c r="H116" s="238"/>
      <c r="I116" s="241" t="str">
        <f t="shared" si="4"/>
        <v>NA</v>
      </c>
    </row>
    <row r="117" spans="1:9">
      <c r="A117" s="233"/>
      <c r="B117" s="47"/>
      <c r="C117" s="234"/>
      <c r="D117" s="234"/>
      <c r="E117" s="234"/>
      <c r="F117" s="234"/>
      <c r="G117" s="236" t="str">
        <f>IFERROR(HLOOKUP(D117,'Financing Baseline'!$C$37:$BL$39,IF('High Level Dashboard'!$B$5="Foreign Currency",2,3),FALSE)/VLOOKUP(F117,'Financing Baseline'!$C$37:$BJ$44,MATCH(D117,'Financing Baseline'!$C$37:$BL$37,0),FALSE),"")</f>
        <v/>
      </c>
      <c r="H117" s="238"/>
      <c r="I117" s="241" t="str">
        <f t="shared" si="4"/>
        <v>NA</v>
      </c>
    </row>
    <row r="118" spans="1:9">
      <c r="A118" s="233"/>
      <c r="B118" s="47"/>
      <c r="C118" s="234"/>
      <c r="D118" s="234"/>
      <c r="E118" s="234"/>
      <c r="F118" s="234"/>
      <c r="G118" s="236" t="str">
        <f>IFERROR(HLOOKUP(D118,'Financing Baseline'!$C$37:$BL$39,IF('High Level Dashboard'!$B$5="Foreign Currency",2,3),FALSE)/VLOOKUP(F118,'Financing Baseline'!$C$37:$BJ$44,MATCH(D118,'Financing Baseline'!$C$37:$BL$37,0),FALSE),"")</f>
        <v/>
      </c>
      <c r="H118" s="238"/>
      <c r="I118" s="241" t="str">
        <f t="shared" si="4"/>
        <v>NA</v>
      </c>
    </row>
    <row r="119" spans="1:9">
      <c r="A119" s="233"/>
      <c r="B119" s="47"/>
      <c r="C119" s="234"/>
      <c r="D119" s="234"/>
      <c r="E119" s="234"/>
      <c r="F119" s="234"/>
      <c r="G119" s="236" t="str">
        <f>IFERROR(HLOOKUP(D119,'Financing Baseline'!$C$37:$BL$39,IF('High Level Dashboard'!$B$5="Foreign Currency",2,3),FALSE)/VLOOKUP(F119,'Financing Baseline'!$C$37:$BJ$44,MATCH(D119,'Financing Baseline'!$C$37:$BL$37,0),FALSE),"")</f>
        <v/>
      </c>
      <c r="H119" s="238"/>
      <c r="I119" s="241" t="str">
        <f t="shared" si="4"/>
        <v>NA</v>
      </c>
    </row>
    <row r="120" spans="1:9">
      <c r="A120" s="233"/>
      <c r="B120" s="47"/>
      <c r="C120" s="234"/>
      <c r="D120" s="234"/>
      <c r="E120" s="234"/>
      <c r="F120" s="234"/>
      <c r="G120" s="236" t="str">
        <f>IFERROR(HLOOKUP(D120,'Financing Baseline'!$C$37:$BL$39,IF('High Level Dashboard'!$B$5="Foreign Currency",2,3),FALSE)/VLOOKUP(F120,'Financing Baseline'!$C$37:$BJ$44,MATCH(D120,'Financing Baseline'!$C$37:$BL$37,0),FALSE),"")</f>
        <v/>
      </c>
      <c r="H120" s="238"/>
      <c r="I120" s="241" t="str">
        <f t="shared" si="4"/>
        <v>NA</v>
      </c>
    </row>
    <row r="121" spans="1:9">
      <c r="A121" s="233"/>
      <c r="B121" s="47"/>
      <c r="C121" s="234"/>
      <c r="D121" s="234"/>
      <c r="E121" s="234"/>
      <c r="F121" s="234"/>
      <c r="G121" s="236" t="str">
        <f>IFERROR(HLOOKUP(D121,'Financing Baseline'!$C$37:$BL$39,IF('High Level Dashboard'!$B$5="Foreign Currency",2,3),FALSE)/VLOOKUP(F121,'Financing Baseline'!$C$37:$BJ$44,MATCH(D121,'Financing Baseline'!$C$37:$BL$37,0),FALSE),"")</f>
        <v/>
      </c>
      <c r="H121" s="238"/>
      <c r="I121" s="241" t="str">
        <f t="shared" si="4"/>
        <v>NA</v>
      </c>
    </row>
    <row r="122" spans="1:9">
      <c r="A122" s="233"/>
      <c r="B122" s="47"/>
      <c r="C122" s="234"/>
      <c r="D122" s="234"/>
      <c r="E122" s="234"/>
      <c r="F122" s="234"/>
      <c r="G122" s="236" t="str">
        <f>IFERROR(HLOOKUP(D122,'Financing Baseline'!$C$37:$BL$39,IF('High Level Dashboard'!$B$5="Foreign Currency",2,3),FALSE)/VLOOKUP(F122,'Financing Baseline'!$C$37:$BJ$44,MATCH(D122,'Financing Baseline'!$C$37:$BL$37,0),FALSE),"")</f>
        <v/>
      </c>
      <c r="H122" s="238"/>
      <c r="I122" s="241" t="str">
        <f t="shared" si="4"/>
        <v>NA</v>
      </c>
    </row>
    <row r="123" spans="1:9">
      <c r="A123" s="233"/>
      <c r="B123" s="47"/>
      <c r="C123" s="234"/>
      <c r="D123" s="234"/>
      <c r="E123" s="234"/>
      <c r="F123" s="234"/>
      <c r="G123" s="236" t="str">
        <f>IFERROR(HLOOKUP(D123,'Financing Baseline'!$C$37:$BL$39,IF('High Level Dashboard'!$B$5="Foreign Currency",2,3),FALSE)/VLOOKUP(F123,'Financing Baseline'!$C$37:$BJ$44,MATCH(D123,'Financing Baseline'!$C$37:$BL$37,0),FALSE),"")</f>
        <v/>
      </c>
      <c r="H123" s="238"/>
      <c r="I123" s="241" t="str">
        <f t="shared" si="4"/>
        <v>NA</v>
      </c>
    </row>
    <row r="124" spans="1:9">
      <c r="A124" s="233"/>
      <c r="B124" s="47"/>
      <c r="C124" s="234"/>
      <c r="D124" s="234"/>
      <c r="E124" s="234"/>
      <c r="F124" s="234"/>
      <c r="G124" s="236" t="str">
        <f>IFERROR(HLOOKUP(D124,'Financing Baseline'!$C$37:$BL$39,IF('High Level Dashboard'!$B$5="Foreign Currency",2,3),FALSE)/VLOOKUP(F124,'Financing Baseline'!$C$37:$BJ$44,MATCH(D124,'Financing Baseline'!$C$37:$BL$37,0),FALSE),"")</f>
        <v/>
      </c>
      <c r="H124" s="238"/>
      <c r="I124" s="241" t="str">
        <f t="shared" si="4"/>
        <v>NA</v>
      </c>
    </row>
    <row r="125" spans="1:9">
      <c r="A125" s="233"/>
      <c r="B125" s="47"/>
      <c r="C125" s="234"/>
      <c r="D125" s="234"/>
      <c r="E125" s="234"/>
      <c r="F125" s="234"/>
      <c r="G125" s="236" t="str">
        <f>IFERROR(HLOOKUP(D125,'Financing Baseline'!$C$37:$BL$39,IF('High Level Dashboard'!$B$5="Foreign Currency",2,3),FALSE)/VLOOKUP(F125,'Financing Baseline'!$C$37:$BJ$44,MATCH(D125,'Financing Baseline'!$C$37:$BL$37,0),FALSE),"")</f>
        <v/>
      </c>
      <c r="H125" s="238"/>
      <c r="I125" s="241" t="str">
        <f t="shared" si="4"/>
        <v>NA</v>
      </c>
    </row>
    <row r="126" spans="1:9">
      <c r="A126" s="233"/>
      <c r="B126" s="47"/>
      <c r="C126" s="234"/>
      <c r="D126" s="234"/>
      <c r="E126" s="234"/>
      <c r="F126" s="234"/>
      <c r="G126" s="236" t="str">
        <f>IFERROR(HLOOKUP(D126,'Financing Baseline'!$C$37:$BL$39,IF('High Level Dashboard'!$B$5="Foreign Currency",2,3),FALSE)/VLOOKUP(F126,'Financing Baseline'!$C$37:$BJ$44,MATCH(D126,'Financing Baseline'!$C$37:$BL$37,0),FALSE),"")</f>
        <v/>
      </c>
      <c r="H126" s="238"/>
      <c r="I126" s="241" t="str">
        <f t="shared" si="4"/>
        <v>NA</v>
      </c>
    </row>
    <row r="127" spans="1:9">
      <c r="A127" s="233"/>
      <c r="B127" s="47"/>
      <c r="C127" s="234"/>
      <c r="D127" s="234"/>
      <c r="E127" s="234"/>
      <c r="F127" s="234"/>
      <c r="G127" s="236" t="str">
        <f>IFERROR(HLOOKUP(D127,'Financing Baseline'!$C$37:$BL$39,IF('High Level Dashboard'!$B$5="Foreign Currency",2,3),FALSE)/VLOOKUP(F127,'Financing Baseline'!$C$37:$BJ$44,MATCH(D127,'Financing Baseline'!$C$37:$BL$37,0),FALSE),"")</f>
        <v/>
      </c>
      <c r="H127" s="238"/>
      <c r="I127" s="241" t="str">
        <f t="shared" si="4"/>
        <v>NA</v>
      </c>
    </row>
    <row r="128" spans="1:9">
      <c r="A128" s="233"/>
      <c r="B128" s="47"/>
      <c r="C128" s="234"/>
      <c r="D128" s="234"/>
      <c r="E128" s="234"/>
      <c r="F128" s="234"/>
      <c r="G128" s="236" t="str">
        <f>IFERROR(HLOOKUP(D128,'Financing Baseline'!$C$37:$BL$39,IF('High Level Dashboard'!$B$5="Foreign Currency",2,3),FALSE)/VLOOKUP(F128,'Financing Baseline'!$C$37:$BJ$44,MATCH(D128,'Financing Baseline'!$C$37:$BL$37,0),FALSE),"")</f>
        <v/>
      </c>
      <c r="H128" s="238"/>
      <c r="I128" s="241" t="str">
        <f t="shared" si="4"/>
        <v>NA</v>
      </c>
    </row>
    <row r="129" spans="1:9">
      <c r="A129" s="233"/>
      <c r="B129" s="47"/>
      <c r="C129" s="234"/>
      <c r="D129" s="234"/>
      <c r="E129" s="234"/>
      <c r="F129" s="234"/>
      <c r="G129" s="236" t="str">
        <f>IFERROR(HLOOKUP(D129,'Financing Baseline'!$C$37:$BL$39,IF('High Level Dashboard'!$B$5="Foreign Currency",2,3),FALSE)/VLOOKUP(F129,'Financing Baseline'!$C$37:$BJ$44,MATCH(D129,'Financing Baseline'!$C$37:$BL$37,0),FALSE),"")</f>
        <v/>
      </c>
      <c r="H129" s="238"/>
      <c r="I129" s="241" t="str">
        <f t="shared" si="4"/>
        <v>NA</v>
      </c>
    </row>
    <row r="130" spans="1:9">
      <c r="A130" s="233"/>
      <c r="B130" s="47"/>
      <c r="C130" s="234"/>
      <c r="D130" s="234"/>
      <c r="E130" s="234"/>
      <c r="F130" s="234"/>
      <c r="G130" s="236" t="str">
        <f>IFERROR(HLOOKUP(D130,'Financing Baseline'!$C$37:$BL$39,IF('High Level Dashboard'!$B$5="Foreign Currency",2,3),FALSE)/VLOOKUP(F130,'Financing Baseline'!$C$37:$BJ$44,MATCH(D130,'Financing Baseline'!$C$37:$BL$37,0),FALSE),"")</f>
        <v/>
      </c>
      <c r="H130" s="238"/>
      <c r="I130" s="241" t="str">
        <f t="shared" si="4"/>
        <v>NA</v>
      </c>
    </row>
    <row r="131" spans="1:9">
      <c r="A131" s="233"/>
      <c r="B131" s="47"/>
      <c r="C131" s="234"/>
      <c r="D131" s="234"/>
      <c r="E131" s="234"/>
      <c r="F131" s="234"/>
      <c r="G131" s="236" t="str">
        <f>IFERROR(HLOOKUP(D131,'Financing Baseline'!$C$37:$BL$39,IF('High Level Dashboard'!$B$5="Foreign Currency",2,3),FALSE)/VLOOKUP(F131,'Financing Baseline'!$C$37:$BJ$44,MATCH(D131,'Financing Baseline'!$C$37:$BL$37,0),FALSE),"")</f>
        <v/>
      </c>
      <c r="H131" s="238"/>
      <c r="I131" s="241" t="str">
        <f t="shared" si="4"/>
        <v>NA</v>
      </c>
    </row>
    <row r="132" spans="1:9">
      <c r="A132" s="233"/>
      <c r="B132" s="47"/>
      <c r="C132" s="234"/>
      <c r="D132" s="234"/>
      <c r="E132" s="234"/>
      <c r="F132" s="234"/>
      <c r="G132" s="236" t="str">
        <f>IFERROR(HLOOKUP(D132,'Financing Baseline'!$C$37:$BL$39,IF('High Level Dashboard'!$B$5="Foreign Currency",2,3),FALSE)/VLOOKUP(F132,'Financing Baseline'!$C$37:$BJ$44,MATCH(D132,'Financing Baseline'!$C$37:$BL$37,0),FALSE),"")</f>
        <v/>
      </c>
      <c r="H132" s="238"/>
      <c r="I132" s="241" t="str">
        <f t="shared" si="4"/>
        <v>NA</v>
      </c>
    </row>
    <row r="133" spans="1:9">
      <c r="A133" s="233"/>
      <c r="B133" s="47"/>
      <c r="C133" s="234"/>
      <c r="D133" s="234"/>
      <c r="E133" s="234"/>
      <c r="F133" s="234"/>
      <c r="G133" s="236" t="str">
        <f>IFERROR(HLOOKUP(D133,'Financing Baseline'!$C$37:$BL$39,IF('High Level Dashboard'!$B$5="Foreign Currency",2,3),FALSE)/VLOOKUP(F133,'Financing Baseline'!$C$37:$BJ$44,MATCH(D133,'Financing Baseline'!$C$37:$BL$37,0),FALSE),"")</f>
        <v/>
      </c>
      <c r="H133" s="238"/>
      <c r="I133" s="241" t="str">
        <f t="shared" si="4"/>
        <v>NA</v>
      </c>
    </row>
    <row r="134" spans="1:9">
      <c r="A134" s="233"/>
      <c r="B134" s="47"/>
      <c r="C134" s="234"/>
      <c r="D134" s="234"/>
      <c r="E134" s="234"/>
      <c r="F134" s="234"/>
      <c r="G134" s="236" t="str">
        <f>IFERROR(HLOOKUP(D134,'Financing Baseline'!$C$37:$BL$39,IF('High Level Dashboard'!$B$5="Foreign Currency",2,3),FALSE)/VLOOKUP(F134,'Financing Baseline'!$C$37:$BJ$44,MATCH(D134,'Financing Baseline'!$C$37:$BL$37,0),FALSE),"")</f>
        <v/>
      </c>
      <c r="H134" s="238"/>
      <c r="I134" s="241" t="str">
        <f t="shared" si="4"/>
        <v>NA</v>
      </c>
    </row>
    <row r="135" spans="1:9">
      <c r="A135" s="233"/>
      <c r="B135" s="47"/>
      <c r="C135" s="234"/>
      <c r="D135" s="234"/>
      <c r="E135" s="234"/>
      <c r="F135" s="234"/>
      <c r="G135" s="236" t="str">
        <f>IFERROR(HLOOKUP(D135,'Financing Baseline'!$C$37:$BL$39,IF('High Level Dashboard'!$B$5="Foreign Currency",2,3),FALSE)/VLOOKUP(F135,'Financing Baseline'!$C$37:$BJ$44,MATCH(D135,'Financing Baseline'!$C$37:$BL$37,0),FALSE),"")</f>
        <v/>
      </c>
      <c r="H135" s="238"/>
      <c r="I135" s="241" t="str">
        <f t="shared" si="4"/>
        <v>NA</v>
      </c>
    </row>
    <row r="136" spans="1:9">
      <c r="A136" s="233"/>
      <c r="B136" s="47"/>
      <c r="C136" s="234"/>
      <c r="D136" s="234"/>
      <c r="E136" s="234"/>
      <c r="F136" s="234"/>
      <c r="G136" s="236" t="str">
        <f>IFERROR(HLOOKUP(D136,'Financing Baseline'!$C$37:$BL$39,IF('High Level Dashboard'!$B$5="Foreign Currency",2,3),FALSE)/VLOOKUP(F136,'Financing Baseline'!$C$37:$BJ$44,MATCH(D136,'Financing Baseline'!$C$37:$BL$37,0),FALSE),"")</f>
        <v/>
      </c>
      <c r="H136" s="238"/>
      <c r="I136" s="241" t="str">
        <f t="shared" si="4"/>
        <v>NA</v>
      </c>
    </row>
    <row r="137" spans="1:9">
      <c r="A137" s="233"/>
      <c r="B137" s="47"/>
      <c r="C137" s="234"/>
      <c r="D137" s="234"/>
      <c r="E137" s="234"/>
      <c r="F137" s="234"/>
      <c r="G137" s="236" t="str">
        <f>IFERROR(HLOOKUP(D137,'Financing Baseline'!$C$37:$BL$39,IF('High Level Dashboard'!$B$5="Foreign Currency",2,3),FALSE)/VLOOKUP(F137,'Financing Baseline'!$C$37:$BJ$44,MATCH(D137,'Financing Baseline'!$C$37:$BL$37,0),FALSE),"")</f>
        <v/>
      </c>
      <c r="H137" s="238"/>
      <c r="I137" s="241" t="str">
        <f t="shared" si="4"/>
        <v>NA</v>
      </c>
    </row>
    <row r="138" spans="1:9">
      <c r="A138" s="233"/>
      <c r="B138" s="47"/>
      <c r="C138" s="234"/>
      <c r="D138" s="234"/>
      <c r="E138" s="234"/>
      <c r="F138" s="234"/>
      <c r="G138" s="236" t="str">
        <f>IFERROR(HLOOKUP(D138,'Financing Baseline'!$C$37:$BL$39,IF('High Level Dashboard'!$B$5="Foreign Currency",2,3),FALSE)/VLOOKUP(F138,'Financing Baseline'!$C$37:$BJ$44,MATCH(D138,'Financing Baseline'!$C$37:$BL$37,0),FALSE),"")</f>
        <v/>
      </c>
      <c r="H138" s="238"/>
      <c r="I138" s="241" t="str">
        <f t="shared" si="4"/>
        <v>NA</v>
      </c>
    </row>
    <row r="139" spans="1:9">
      <c r="A139" s="233"/>
      <c r="B139" s="47"/>
      <c r="C139" s="234"/>
      <c r="D139" s="234"/>
      <c r="E139" s="234"/>
      <c r="F139" s="234"/>
      <c r="G139" s="236" t="str">
        <f>IFERROR(HLOOKUP(D139,'Financing Baseline'!$C$37:$BL$39,IF('High Level Dashboard'!$B$5="Foreign Currency",2,3),FALSE)/VLOOKUP(F139,'Financing Baseline'!$C$37:$BJ$44,MATCH(D139,'Financing Baseline'!$C$37:$BL$37,0),FALSE),"")</f>
        <v/>
      </c>
      <c r="H139" s="238"/>
      <c r="I139" s="241" t="str">
        <f t="shared" ref="I139:I202" si="5">IFERROR((E139/G139)*H139,"NA")</f>
        <v>NA</v>
      </c>
    </row>
    <row r="140" spans="1:9">
      <c r="A140" s="233"/>
      <c r="B140" s="47"/>
      <c r="C140" s="234"/>
      <c r="D140" s="234"/>
      <c r="E140" s="234"/>
      <c r="F140" s="234"/>
      <c r="G140" s="236" t="str">
        <f>IFERROR(HLOOKUP(D140,'Financing Baseline'!$C$37:$BL$39,IF('High Level Dashboard'!$B$5="Foreign Currency",2,3),FALSE)/VLOOKUP(F140,'Financing Baseline'!$C$37:$BJ$44,MATCH(D140,'Financing Baseline'!$C$37:$BL$37,0),FALSE),"")</f>
        <v/>
      </c>
      <c r="H140" s="238"/>
      <c r="I140" s="241" t="str">
        <f t="shared" si="5"/>
        <v>NA</v>
      </c>
    </row>
    <row r="141" spans="1:9">
      <c r="A141" s="233"/>
      <c r="B141" s="47"/>
      <c r="C141" s="234"/>
      <c r="D141" s="234"/>
      <c r="E141" s="234"/>
      <c r="F141" s="234"/>
      <c r="G141" s="236" t="str">
        <f>IFERROR(HLOOKUP(D141,'Financing Baseline'!$C$37:$BL$39,IF('High Level Dashboard'!$B$5="Foreign Currency",2,3),FALSE)/VLOOKUP(F141,'Financing Baseline'!$C$37:$BJ$44,MATCH(D141,'Financing Baseline'!$C$37:$BL$37,0),FALSE),"")</f>
        <v/>
      </c>
      <c r="H141" s="238"/>
      <c r="I141" s="241" t="str">
        <f t="shared" si="5"/>
        <v>NA</v>
      </c>
    </row>
    <row r="142" spans="1:9">
      <c r="A142" s="233"/>
      <c r="B142" s="47"/>
      <c r="C142" s="234"/>
      <c r="D142" s="234"/>
      <c r="E142" s="234"/>
      <c r="F142" s="234"/>
      <c r="G142" s="236" t="str">
        <f>IFERROR(HLOOKUP(D142,'Financing Baseline'!$C$37:$BL$39,IF('High Level Dashboard'!$B$5="Foreign Currency",2,3),FALSE)/VLOOKUP(F142,'Financing Baseline'!$C$37:$BJ$44,MATCH(D142,'Financing Baseline'!$C$37:$BL$37,0),FALSE),"")</f>
        <v/>
      </c>
      <c r="H142" s="238"/>
      <c r="I142" s="241" t="str">
        <f t="shared" si="5"/>
        <v>NA</v>
      </c>
    </row>
    <row r="143" spans="1:9">
      <c r="A143" s="233"/>
      <c r="B143" s="47"/>
      <c r="C143" s="234"/>
      <c r="D143" s="234"/>
      <c r="E143" s="234"/>
      <c r="F143" s="234"/>
      <c r="G143" s="236" t="str">
        <f>IFERROR(HLOOKUP(D143,'Financing Baseline'!$C$37:$BL$39,IF('High Level Dashboard'!$B$5="Foreign Currency",2,3),FALSE)/VLOOKUP(F143,'Financing Baseline'!$C$37:$BJ$44,MATCH(D143,'Financing Baseline'!$C$37:$BL$37,0),FALSE),"")</f>
        <v/>
      </c>
      <c r="H143" s="238"/>
      <c r="I143" s="241" t="str">
        <f t="shared" si="5"/>
        <v>NA</v>
      </c>
    </row>
    <row r="144" spans="1:9">
      <c r="A144" s="233"/>
      <c r="B144" s="47"/>
      <c r="C144" s="234"/>
      <c r="D144" s="234"/>
      <c r="E144" s="234"/>
      <c r="F144" s="234"/>
      <c r="G144" s="236" t="str">
        <f>IFERROR(HLOOKUP(D144,'Financing Baseline'!$C$37:$BL$39,IF('High Level Dashboard'!$B$5="Foreign Currency",2,3),FALSE)/VLOOKUP(F144,'Financing Baseline'!$C$37:$BJ$44,MATCH(D144,'Financing Baseline'!$C$37:$BL$37,0),FALSE),"")</f>
        <v/>
      </c>
      <c r="H144" s="238"/>
      <c r="I144" s="241" t="str">
        <f t="shared" si="5"/>
        <v>NA</v>
      </c>
    </row>
    <row r="145" spans="1:9">
      <c r="A145" s="233"/>
      <c r="B145" s="47"/>
      <c r="C145" s="234"/>
      <c r="D145" s="234"/>
      <c r="E145" s="234"/>
      <c r="F145" s="234"/>
      <c r="G145" s="236" t="str">
        <f>IFERROR(HLOOKUP(D145,'Financing Baseline'!$C$37:$BL$39,IF('High Level Dashboard'!$B$5="Foreign Currency",2,3),FALSE)/VLOOKUP(F145,'Financing Baseline'!$C$37:$BJ$44,MATCH(D145,'Financing Baseline'!$C$37:$BL$37,0),FALSE),"")</f>
        <v/>
      </c>
      <c r="H145" s="238"/>
      <c r="I145" s="241" t="str">
        <f t="shared" si="5"/>
        <v>NA</v>
      </c>
    </row>
    <row r="146" spans="1:9">
      <c r="A146" s="233"/>
      <c r="B146" s="47"/>
      <c r="C146" s="234"/>
      <c r="D146" s="234"/>
      <c r="E146" s="234"/>
      <c r="F146" s="234"/>
      <c r="G146" s="236" t="str">
        <f>IFERROR(HLOOKUP(D146,'Financing Baseline'!$C$37:$BL$39,IF('High Level Dashboard'!$B$5="Foreign Currency",2,3),FALSE)/VLOOKUP(F146,'Financing Baseline'!$C$37:$BJ$44,MATCH(D146,'Financing Baseline'!$C$37:$BL$37,0),FALSE),"")</f>
        <v/>
      </c>
      <c r="H146" s="238"/>
      <c r="I146" s="241" t="str">
        <f t="shared" si="5"/>
        <v>NA</v>
      </c>
    </row>
    <row r="147" spans="1:9">
      <c r="A147" s="233"/>
      <c r="B147" s="47"/>
      <c r="C147" s="234"/>
      <c r="D147" s="234"/>
      <c r="E147" s="234"/>
      <c r="F147" s="234"/>
      <c r="G147" s="236" t="str">
        <f>IFERROR(HLOOKUP(D147,'Financing Baseline'!$C$37:$BL$39,IF('High Level Dashboard'!$B$5="Foreign Currency",2,3),FALSE)/VLOOKUP(F147,'Financing Baseline'!$C$37:$BJ$44,MATCH(D147,'Financing Baseline'!$C$37:$BL$37,0),FALSE),"")</f>
        <v/>
      </c>
      <c r="H147" s="238"/>
      <c r="I147" s="241" t="str">
        <f t="shared" si="5"/>
        <v>NA</v>
      </c>
    </row>
    <row r="148" spans="1:9">
      <c r="A148" s="233"/>
      <c r="B148" s="47"/>
      <c r="C148" s="234"/>
      <c r="D148" s="234"/>
      <c r="E148" s="234"/>
      <c r="F148" s="234"/>
      <c r="G148" s="236" t="str">
        <f>IFERROR(HLOOKUP(D148,'Financing Baseline'!$C$37:$BL$39,IF('High Level Dashboard'!$B$5="Foreign Currency",2,3),FALSE)/VLOOKUP(F148,'Financing Baseline'!$C$37:$BJ$44,MATCH(D148,'Financing Baseline'!$C$37:$BL$37,0),FALSE),"")</f>
        <v/>
      </c>
      <c r="H148" s="238"/>
      <c r="I148" s="241" t="str">
        <f t="shared" si="5"/>
        <v>NA</v>
      </c>
    </row>
    <row r="149" spans="1:9">
      <c r="A149" s="233"/>
      <c r="B149" s="47"/>
      <c r="C149" s="234"/>
      <c r="D149" s="234"/>
      <c r="E149" s="234"/>
      <c r="F149" s="234"/>
      <c r="G149" s="236" t="str">
        <f>IFERROR(HLOOKUP(D149,'Financing Baseline'!$C$37:$BL$39,IF('High Level Dashboard'!$B$5="Foreign Currency",2,3),FALSE)/VLOOKUP(F149,'Financing Baseline'!$C$37:$BJ$44,MATCH(D149,'Financing Baseline'!$C$37:$BL$37,0),FALSE),"")</f>
        <v/>
      </c>
      <c r="H149" s="238"/>
      <c r="I149" s="241" t="str">
        <f t="shared" si="5"/>
        <v>NA</v>
      </c>
    </row>
    <row r="150" spans="1:9">
      <c r="A150" s="233"/>
      <c r="B150" s="47"/>
      <c r="C150" s="234"/>
      <c r="D150" s="234"/>
      <c r="E150" s="234"/>
      <c r="F150" s="234"/>
      <c r="G150" s="236" t="str">
        <f>IFERROR(HLOOKUP(D150,'Financing Baseline'!$C$37:$BL$39,IF('High Level Dashboard'!$B$5="Foreign Currency",2,3),FALSE)/VLOOKUP(F150,'Financing Baseline'!$C$37:$BJ$44,MATCH(D150,'Financing Baseline'!$C$37:$BL$37,0),FALSE),"")</f>
        <v/>
      </c>
      <c r="H150" s="238"/>
      <c r="I150" s="241" t="str">
        <f t="shared" si="5"/>
        <v>NA</v>
      </c>
    </row>
    <row r="151" spans="1:9">
      <c r="A151" s="233"/>
      <c r="B151" s="47"/>
      <c r="C151" s="234"/>
      <c r="D151" s="234"/>
      <c r="E151" s="234"/>
      <c r="F151" s="234"/>
      <c r="G151" s="236" t="str">
        <f>IFERROR(HLOOKUP(D151,'Financing Baseline'!$C$37:$BL$39,IF('High Level Dashboard'!$B$5="Foreign Currency",2,3),FALSE)/VLOOKUP(F151,'Financing Baseline'!$C$37:$BJ$44,MATCH(D151,'Financing Baseline'!$C$37:$BL$37,0),FALSE),"")</f>
        <v/>
      </c>
      <c r="H151" s="238"/>
      <c r="I151" s="241" t="str">
        <f t="shared" si="5"/>
        <v>NA</v>
      </c>
    </row>
    <row r="152" spans="1:9">
      <c r="A152" s="233"/>
      <c r="B152" s="47"/>
      <c r="C152" s="234"/>
      <c r="D152" s="234"/>
      <c r="E152" s="234"/>
      <c r="F152" s="234"/>
      <c r="G152" s="236" t="str">
        <f>IFERROR(HLOOKUP(D152,'Financing Baseline'!$C$37:$BL$39,IF('High Level Dashboard'!$B$5="Foreign Currency",2,3),FALSE)/VLOOKUP(F152,'Financing Baseline'!$C$37:$BJ$44,MATCH(D152,'Financing Baseline'!$C$37:$BL$37,0),FALSE),"")</f>
        <v/>
      </c>
      <c r="H152" s="238"/>
      <c r="I152" s="241" t="str">
        <f t="shared" si="5"/>
        <v>NA</v>
      </c>
    </row>
    <row r="153" spans="1:9">
      <c r="A153" s="233"/>
      <c r="B153" s="47"/>
      <c r="C153" s="234"/>
      <c r="D153" s="234"/>
      <c r="E153" s="234"/>
      <c r="F153" s="234"/>
      <c r="G153" s="236" t="str">
        <f>IFERROR(HLOOKUP(D153,'Financing Baseline'!$C$37:$BL$39,IF('High Level Dashboard'!$B$5="Foreign Currency",2,3),FALSE)/VLOOKUP(F153,'Financing Baseline'!$C$37:$BJ$44,MATCH(D153,'Financing Baseline'!$C$37:$BL$37,0),FALSE),"")</f>
        <v/>
      </c>
      <c r="H153" s="238"/>
      <c r="I153" s="241" t="str">
        <f t="shared" si="5"/>
        <v>NA</v>
      </c>
    </row>
    <row r="154" spans="1:9">
      <c r="A154" s="233"/>
      <c r="B154" s="47"/>
      <c r="C154" s="234"/>
      <c r="D154" s="234"/>
      <c r="E154" s="234"/>
      <c r="F154" s="234"/>
      <c r="G154" s="236" t="str">
        <f>IFERROR(HLOOKUP(D154,'Financing Baseline'!$C$37:$BL$39,IF('High Level Dashboard'!$B$5="Foreign Currency",2,3),FALSE)/VLOOKUP(F154,'Financing Baseline'!$C$37:$BJ$44,MATCH(D154,'Financing Baseline'!$C$37:$BL$37,0),FALSE),"")</f>
        <v/>
      </c>
      <c r="H154" s="238"/>
      <c r="I154" s="241" t="str">
        <f t="shared" si="5"/>
        <v>NA</v>
      </c>
    </row>
    <row r="155" spans="1:9">
      <c r="A155" s="233"/>
      <c r="B155" s="47"/>
      <c r="C155" s="234"/>
      <c r="D155" s="234"/>
      <c r="E155" s="234"/>
      <c r="F155" s="234"/>
      <c r="G155" s="236" t="str">
        <f>IFERROR(HLOOKUP(D155,'Financing Baseline'!$C$37:$BL$39,IF('High Level Dashboard'!$B$5="Foreign Currency",2,3),FALSE)/VLOOKUP(F155,'Financing Baseline'!$C$37:$BJ$44,MATCH(D155,'Financing Baseline'!$C$37:$BL$37,0),FALSE),"")</f>
        <v/>
      </c>
      <c r="H155" s="238"/>
      <c r="I155" s="241" t="str">
        <f t="shared" si="5"/>
        <v>NA</v>
      </c>
    </row>
    <row r="156" spans="1:9">
      <c r="A156" s="233"/>
      <c r="B156" s="47"/>
      <c r="C156" s="234"/>
      <c r="D156" s="234"/>
      <c r="E156" s="234"/>
      <c r="F156" s="234"/>
      <c r="G156" s="236" t="str">
        <f>IFERROR(HLOOKUP(D156,'Financing Baseline'!$C$37:$BL$39,IF('High Level Dashboard'!$B$5="Foreign Currency",2,3),FALSE)/VLOOKUP(F156,'Financing Baseline'!$C$37:$BJ$44,MATCH(D156,'Financing Baseline'!$C$37:$BL$37,0),FALSE),"")</f>
        <v/>
      </c>
      <c r="H156" s="238"/>
      <c r="I156" s="241" t="str">
        <f t="shared" si="5"/>
        <v>NA</v>
      </c>
    </row>
    <row r="157" spans="1:9">
      <c r="A157" s="233"/>
      <c r="B157" s="47"/>
      <c r="C157" s="234"/>
      <c r="D157" s="234"/>
      <c r="E157" s="234"/>
      <c r="F157" s="234"/>
      <c r="G157" s="236" t="str">
        <f>IFERROR(HLOOKUP(D157,'Financing Baseline'!$C$37:$BL$39,IF('High Level Dashboard'!$B$5="Foreign Currency",2,3),FALSE)/VLOOKUP(F157,'Financing Baseline'!$C$37:$BJ$44,MATCH(D157,'Financing Baseline'!$C$37:$BL$37,0),FALSE),"")</f>
        <v/>
      </c>
      <c r="H157" s="238"/>
      <c r="I157" s="241" t="str">
        <f t="shared" si="5"/>
        <v>NA</v>
      </c>
    </row>
    <row r="158" spans="1:9">
      <c r="A158" s="233"/>
      <c r="B158" s="47"/>
      <c r="C158" s="234"/>
      <c r="D158" s="234"/>
      <c r="E158" s="234"/>
      <c r="F158" s="234"/>
      <c r="G158" s="236" t="str">
        <f>IFERROR(HLOOKUP(D158,'Financing Baseline'!$C$37:$BL$39,IF('High Level Dashboard'!$B$5="Foreign Currency",2,3),FALSE)/VLOOKUP(F158,'Financing Baseline'!$C$37:$BJ$44,MATCH(D158,'Financing Baseline'!$C$37:$BL$37,0),FALSE),"")</f>
        <v/>
      </c>
      <c r="H158" s="238"/>
      <c r="I158" s="241" t="str">
        <f t="shared" si="5"/>
        <v>NA</v>
      </c>
    </row>
    <row r="159" spans="1:9">
      <c r="A159" s="233"/>
      <c r="B159" s="47"/>
      <c r="C159" s="234"/>
      <c r="D159" s="234"/>
      <c r="E159" s="234"/>
      <c r="F159" s="234"/>
      <c r="G159" s="236" t="str">
        <f>IFERROR(HLOOKUP(D159,'Financing Baseline'!$C$37:$BL$39,IF('High Level Dashboard'!$B$5="Foreign Currency",2,3),FALSE)/VLOOKUP(F159,'Financing Baseline'!$C$37:$BJ$44,MATCH(D159,'Financing Baseline'!$C$37:$BL$37,0),FALSE),"")</f>
        <v/>
      </c>
      <c r="H159" s="238"/>
      <c r="I159" s="241" t="str">
        <f t="shared" si="5"/>
        <v>NA</v>
      </c>
    </row>
    <row r="160" spans="1:9">
      <c r="A160" s="233"/>
      <c r="B160" s="47"/>
      <c r="C160" s="234"/>
      <c r="D160" s="234"/>
      <c r="E160" s="234"/>
      <c r="F160" s="234"/>
      <c r="G160" s="236" t="str">
        <f>IFERROR(HLOOKUP(D160,'Financing Baseline'!$C$37:$BL$39,IF('High Level Dashboard'!$B$5="Foreign Currency",2,3),FALSE)/VLOOKUP(F160,'Financing Baseline'!$C$37:$BJ$44,MATCH(D160,'Financing Baseline'!$C$37:$BL$37,0),FALSE),"")</f>
        <v/>
      </c>
      <c r="H160" s="238"/>
      <c r="I160" s="241" t="str">
        <f t="shared" si="5"/>
        <v>NA</v>
      </c>
    </row>
    <row r="161" spans="1:9">
      <c r="A161" s="233"/>
      <c r="B161" s="47"/>
      <c r="C161" s="234"/>
      <c r="D161" s="234"/>
      <c r="E161" s="234"/>
      <c r="F161" s="234"/>
      <c r="G161" s="236" t="str">
        <f>IFERROR(HLOOKUP(D161,'Financing Baseline'!$C$37:$BL$39,IF('High Level Dashboard'!$B$5="Foreign Currency",2,3),FALSE)/VLOOKUP(F161,'Financing Baseline'!$C$37:$BJ$44,MATCH(D161,'Financing Baseline'!$C$37:$BL$37,0),FALSE),"")</f>
        <v/>
      </c>
      <c r="H161" s="238"/>
      <c r="I161" s="241" t="str">
        <f t="shared" si="5"/>
        <v>NA</v>
      </c>
    </row>
    <row r="162" spans="1:9">
      <c r="A162" s="233"/>
      <c r="B162" s="47"/>
      <c r="C162" s="234"/>
      <c r="D162" s="234"/>
      <c r="E162" s="234"/>
      <c r="F162" s="234"/>
      <c r="G162" s="236" t="str">
        <f>IFERROR(HLOOKUP(D162,'Financing Baseline'!$C$37:$BL$39,IF('High Level Dashboard'!$B$5="Foreign Currency",2,3),FALSE)/VLOOKUP(F162,'Financing Baseline'!$C$37:$BJ$44,MATCH(D162,'Financing Baseline'!$C$37:$BL$37,0),FALSE),"")</f>
        <v/>
      </c>
      <c r="H162" s="238"/>
      <c r="I162" s="241" t="str">
        <f t="shared" si="5"/>
        <v>NA</v>
      </c>
    </row>
    <row r="163" spans="1:9">
      <c r="A163" s="233"/>
      <c r="B163" s="47"/>
      <c r="C163" s="234"/>
      <c r="D163" s="234"/>
      <c r="E163" s="234"/>
      <c r="F163" s="234"/>
      <c r="G163" s="236" t="str">
        <f>IFERROR(HLOOKUP(D163,'Financing Baseline'!$C$37:$BL$39,IF('High Level Dashboard'!$B$5="Foreign Currency",2,3),FALSE)/VLOOKUP(F163,'Financing Baseline'!$C$37:$BJ$44,MATCH(D163,'Financing Baseline'!$C$37:$BL$37,0),FALSE),"")</f>
        <v/>
      </c>
      <c r="H163" s="238"/>
      <c r="I163" s="241" t="str">
        <f t="shared" si="5"/>
        <v>NA</v>
      </c>
    </row>
    <row r="164" spans="1:9">
      <c r="A164" s="233"/>
      <c r="B164" s="47"/>
      <c r="C164" s="234"/>
      <c r="D164" s="234"/>
      <c r="E164" s="234"/>
      <c r="F164" s="234"/>
      <c r="G164" s="236" t="str">
        <f>IFERROR(HLOOKUP(D164,'Financing Baseline'!$C$37:$BL$39,IF('High Level Dashboard'!$B$5="Foreign Currency",2,3),FALSE)/VLOOKUP(F164,'Financing Baseline'!$C$37:$BJ$44,MATCH(D164,'Financing Baseline'!$C$37:$BL$37,0),FALSE),"")</f>
        <v/>
      </c>
      <c r="H164" s="238"/>
      <c r="I164" s="241" t="str">
        <f t="shared" si="5"/>
        <v>NA</v>
      </c>
    </row>
    <row r="165" spans="1:9">
      <c r="A165" s="233"/>
      <c r="B165" s="47"/>
      <c r="C165" s="234"/>
      <c r="D165" s="234"/>
      <c r="E165" s="234"/>
      <c r="F165" s="234"/>
      <c r="G165" s="236" t="str">
        <f>IFERROR(HLOOKUP(D165,'Financing Baseline'!$C$37:$BL$39,IF('High Level Dashboard'!$B$5="Foreign Currency",2,3),FALSE)/VLOOKUP(F165,'Financing Baseline'!$C$37:$BJ$44,MATCH(D165,'Financing Baseline'!$C$37:$BL$37,0),FALSE),"")</f>
        <v/>
      </c>
      <c r="H165" s="238"/>
      <c r="I165" s="241" t="str">
        <f t="shared" si="5"/>
        <v>NA</v>
      </c>
    </row>
    <row r="166" spans="1:9">
      <c r="A166" s="233"/>
      <c r="B166" s="47"/>
      <c r="C166" s="234"/>
      <c r="D166" s="234"/>
      <c r="E166" s="234"/>
      <c r="F166" s="234"/>
      <c r="G166" s="236" t="str">
        <f>IFERROR(HLOOKUP(D166,'Financing Baseline'!$C$37:$BL$39,IF('High Level Dashboard'!$B$5="Foreign Currency",2,3),FALSE)/VLOOKUP(F166,'Financing Baseline'!$C$37:$BJ$44,MATCH(D166,'Financing Baseline'!$C$37:$BL$37,0),FALSE),"")</f>
        <v/>
      </c>
      <c r="H166" s="238"/>
      <c r="I166" s="241" t="str">
        <f t="shared" si="5"/>
        <v>NA</v>
      </c>
    </row>
    <row r="167" spans="1:9">
      <c r="A167" s="233"/>
      <c r="B167" s="47"/>
      <c r="C167" s="234"/>
      <c r="D167" s="234"/>
      <c r="E167" s="234"/>
      <c r="F167" s="234"/>
      <c r="G167" s="236" t="str">
        <f>IFERROR(HLOOKUP(D167,'Financing Baseline'!$C$37:$BL$39,IF('High Level Dashboard'!$B$5="Foreign Currency",2,3),FALSE)/VLOOKUP(F167,'Financing Baseline'!$C$37:$BJ$44,MATCH(D167,'Financing Baseline'!$C$37:$BL$37,0),FALSE),"")</f>
        <v/>
      </c>
      <c r="H167" s="238"/>
      <c r="I167" s="241" t="str">
        <f t="shared" si="5"/>
        <v>NA</v>
      </c>
    </row>
    <row r="168" spans="1:9">
      <c r="A168" s="233"/>
      <c r="B168" s="47"/>
      <c r="C168" s="234"/>
      <c r="D168" s="234"/>
      <c r="E168" s="234"/>
      <c r="F168" s="234"/>
      <c r="G168" s="236" t="str">
        <f>IFERROR(HLOOKUP(D168,'Financing Baseline'!$C$37:$BL$39,IF('High Level Dashboard'!$B$5="Foreign Currency",2,3),FALSE)/VLOOKUP(F168,'Financing Baseline'!$C$37:$BJ$44,MATCH(D168,'Financing Baseline'!$C$37:$BL$37,0),FALSE),"")</f>
        <v/>
      </c>
      <c r="H168" s="238"/>
      <c r="I168" s="241" t="str">
        <f t="shared" si="5"/>
        <v>NA</v>
      </c>
    </row>
    <row r="169" spans="1:9">
      <c r="A169" s="233"/>
      <c r="B169" s="47"/>
      <c r="C169" s="234"/>
      <c r="D169" s="234"/>
      <c r="E169" s="234"/>
      <c r="F169" s="234"/>
      <c r="G169" s="236" t="str">
        <f>IFERROR(HLOOKUP(D169,'Financing Baseline'!$C$37:$BL$39,IF('High Level Dashboard'!$B$5="Foreign Currency",2,3),FALSE)/VLOOKUP(F169,'Financing Baseline'!$C$37:$BJ$44,MATCH(D169,'Financing Baseline'!$C$37:$BL$37,0),FALSE),"")</f>
        <v/>
      </c>
      <c r="H169" s="238"/>
      <c r="I169" s="241" t="str">
        <f t="shared" si="5"/>
        <v>NA</v>
      </c>
    </row>
    <row r="170" spans="1:9">
      <c r="A170" s="233"/>
      <c r="B170" s="47"/>
      <c r="C170" s="234"/>
      <c r="D170" s="234"/>
      <c r="E170" s="234"/>
      <c r="F170" s="234"/>
      <c r="G170" s="236" t="str">
        <f>IFERROR(HLOOKUP(D170,'Financing Baseline'!$C$37:$BL$39,IF('High Level Dashboard'!$B$5="Foreign Currency",2,3),FALSE)/VLOOKUP(F170,'Financing Baseline'!$C$37:$BJ$44,MATCH(D170,'Financing Baseline'!$C$37:$BL$37,0),FALSE),"")</f>
        <v/>
      </c>
      <c r="H170" s="238"/>
      <c r="I170" s="241" t="str">
        <f t="shared" si="5"/>
        <v>NA</v>
      </c>
    </row>
    <row r="171" spans="1:9">
      <c r="A171" s="233"/>
      <c r="B171" s="47"/>
      <c r="C171" s="234"/>
      <c r="D171" s="234"/>
      <c r="E171" s="234"/>
      <c r="F171" s="234"/>
      <c r="G171" s="236" t="str">
        <f>IFERROR(HLOOKUP(D171,'Financing Baseline'!$C$37:$BL$39,IF('High Level Dashboard'!$B$5="Foreign Currency",2,3),FALSE)/VLOOKUP(F171,'Financing Baseline'!$C$37:$BJ$44,MATCH(D171,'Financing Baseline'!$C$37:$BL$37,0),FALSE),"")</f>
        <v/>
      </c>
      <c r="H171" s="238"/>
      <c r="I171" s="241" t="str">
        <f t="shared" si="5"/>
        <v>NA</v>
      </c>
    </row>
    <row r="172" spans="1:9">
      <c r="A172" s="233"/>
      <c r="B172" s="47"/>
      <c r="C172" s="234"/>
      <c r="D172" s="234"/>
      <c r="E172" s="234"/>
      <c r="F172" s="234"/>
      <c r="G172" s="236" t="str">
        <f>IFERROR(HLOOKUP(D172,'Financing Baseline'!$C$37:$BL$39,IF('High Level Dashboard'!$B$5="Foreign Currency",2,3),FALSE)/VLOOKUP(F172,'Financing Baseline'!$C$37:$BJ$44,MATCH(D172,'Financing Baseline'!$C$37:$BL$37,0),FALSE),"")</f>
        <v/>
      </c>
      <c r="H172" s="238"/>
      <c r="I172" s="241" t="str">
        <f t="shared" si="5"/>
        <v>NA</v>
      </c>
    </row>
    <row r="173" spans="1:9">
      <c r="A173" s="233"/>
      <c r="B173" s="47"/>
      <c r="C173" s="234"/>
      <c r="D173" s="234"/>
      <c r="E173" s="234"/>
      <c r="F173" s="234"/>
      <c r="G173" s="236" t="str">
        <f>IFERROR(HLOOKUP(D173,'Financing Baseline'!$C$37:$BL$39,IF('High Level Dashboard'!$B$5="Foreign Currency",2,3),FALSE)/VLOOKUP(F173,'Financing Baseline'!$C$37:$BJ$44,MATCH(D173,'Financing Baseline'!$C$37:$BL$37,0),FALSE),"")</f>
        <v/>
      </c>
      <c r="H173" s="238"/>
      <c r="I173" s="241" t="str">
        <f t="shared" si="5"/>
        <v>NA</v>
      </c>
    </row>
    <row r="174" spans="1:9">
      <c r="A174" s="233"/>
      <c r="B174" s="47"/>
      <c r="C174" s="234"/>
      <c r="D174" s="234"/>
      <c r="E174" s="234"/>
      <c r="F174" s="234"/>
      <c r="G174" s="236" t="str">
        <f>IFERROR(HLOOKUP(D174,'Financing Baseline'!$C$37:$BL$39,IF('High Level Dashboard'!$B$5="Foreign Currency",2,3),FALSE)/VLOOKUP(F174,'Financing Baseline'!$C$37:$BJ$44,MATCH(D174,'Financing Baseline'!$C$37:$BL$37,0),FALSE),"")</f>
        <v/>
      </c>
      <c r="H174" s="238"/>
      <c r="I174" s="241" t="str">
        <f t="shared" si="5"/>
        <v>NA</v>
      </c>
    </row>
    <row r="175" spans="1:9">
      <c r="A175" s="233"/>
      <c r="B175" s="47"/>
      <c r="C175" s="234"/>
      <c r="D175" s="234"/>
      <c r="E175" s="234"/>
      <c r="F175" s="234"/>
      <c r="G175" s="236" t="str">
        <f>IFERROR(HLOOKUP(D175,'Financing Baseline'!$C$37:$BL$39,IF('High Level Dashboard'!$B$5="Foreign Currency",2,3),FALSE)/VLOOKUP(F175,'Financing Baseline'!$C$37:$BJ$44,MATCH(D175,'Financing Baseline'!$C$37:$BL$37,0),FALSE),"")</f>
        <v/>
      </c>
      <c r="H175" s="238"/>
      <c r="I175" s="241" t="str">
        <f t="shared" si="5"/>
        <v>NA</v>
      </c>
    </row>
    <row r="176" spans="1:9">
      <c r="A176" s="233"/>
      <c r="B176" s="47"/>
      <c r="C176" s="234"/>
      <c r="D176" s="234"/>
      <c r="E176" s="234"/>
      <c r="F176" s="234"/>
      <c r="G176" s="236" t="str">
        <f>IFERROR(HLOOKUP(D176,'Financing Baseline'!$C$37:$BL$39,IF('High Level Dashboard'!$B$5="Foreign Currency",2,3),FALSE)/VLOOKUP(F176,'Financing Baseline'!$C$37:$BJ$44,MATCH(D176,'Financing Baseline'!$C$37:$BL$37,0),FALSE),"")</f>
        <v/>
      </c>
      <c r="H176" s="238"/>
      <c r="I176" s="241" t="str">
        <f t="shared" si="5"/>
        <v>NA</v>
      </c>
    </row>
    <row r="177" spans="1:9">
      <c r="A177" s="233"/>
      <c r="B177" s="47"/>
      <c r="C177" s="234"/>
      <c r="D177" s="234"/>
      <c r="E177" s="234"/>
      <c r="F177" s="234"/>
      <c r="G177" s="236" t="str">
        <f>IFERROR(HLOOKUP(D177,'Financing Baseline'!$C$37:$BL$39,IF('High Level Dashboard'!$B$5="Foreign Currency",2,3),FALSE)/VLOOKUP(F177,'Financing Baseline'!$C$37:$BJ$44,MATCH(D177,'Financing Baseline'!$C$37:$BL$37,0),FALSE),"")</f>
        <v/>
      </c>
      <c r="H177" s="238"/>
      <c r="I177" s="241" t="str">
        <f t="shared" si="5"/>
        <v>NA</v>
      </c>
    </row>
    <row r="178" spans="1:9">
      <c r="A178" s="233"/>
      <c r="B178" s="47"/>
      <c r="C178" s="234"/>
      <c r="D178" s="234"/>
      <c r="E178" s="234"/>
      <c r="F178" s="234"/>
      <c r="G178" s="236" t="str">
        <f>IFERROR(HLOOKUP(D178,'Financing Baseline'!$C$37:$BL$39,IF('High Level Dashboard'!$B$5="Foreign Currency",2,3),FALSE)/VLOOKUP(F178,'Financing Baseline'!$C$37:$BJ$44,MATCH(D178,'Financing Baseline'!$C$37:$BL$37,0),FALSE),"")</f>
        <v/>
      </c>
      <c r="H178" s="238"/>
      <c r="I178" s="241" t="str">
        <f t="shared" si="5"/>
        <v>NA</v>
      </c>
    </row>
    <row r="179" spans="1:9">
      <c r="A179" s="233"/>
      <c r="B179" s="47"/>
      <c r="C179" s="234"/>
      <c r="D179" s="234"/>
      <c r="E179" s="234"/>
      <c r="F179" s="234"/>
      <c r="G179" s="236" t="str">
        <f>IFERROR(HLOOKUP(D179,'Financing Baseline'!$C$37:$BL$39,IF('High Level Dashboard'!$B$5="Foreign Currency",2,3),FALSE)/VLOOKUP(F179,'Financing Baseline'!$C$37:$BJ$44,MATCH(D179,'Financing Baseline'!$C$37:$BL$37,0),FALSE),"")</f>
        <v/>
      </c>
      <c r="H179" s="238"/>
      <c r="I179" s="241" t="str">
        <f t="shared" si="5"/>
        <v>NA</v>
      </c>
    </row>
    <row r="180" spans="1:9">
      <c r="A180" s="233"/>
      <c r="B180" s="47"/>
      <c r="C180" s="234"/>
      <c r="D180" s="234"/>
      <c r="E180" s="234"/>
      <c r="F180" s="234"/>
      <c r="G180" s="236" t="str">
        <f>IFERROR(HLOOKUP(D180,'Financing Baseline'!$C$37:$BL$39,IF('High Level Dashboard'!$B$5="Foreign Currency",2,3),FALSE)/VLOOKUP(F180,'Financing Baseline'!$C$37:$BJ$44,MATCH(D180,'Financing Baseline'!$C$37:$BL$37,0),FALSE),"")</f>
        <v/>
      </c>
      <c r="H180" s="238"/>
      <c r="I180" s="241" t="str">
        <f t="shared" si="5"/>
        <v>NA</v>
      </c>
    </row>
    <row r="181" spans="1:9">
      <c r="A181" s="233"/>
      <c r="B181" s="47"/>
      <c r="C181" s="234"/>
      <c r="D181" s="234"/>
      <c r="E181" s="234"/>
      <c r="F181" s="234"/>
      <c r="G181" s="236" t="str">
        <f>IFERROR(HLOOKUP(D181,'Financing Baseline'!$C$37:$BL$39,IF('High Level Dashboard'!$B$5="Foreign Currency",2,3),FALSE)/VLOOKUP(F181,'Financing Baseline'!$C$37:$BJ$44,MATCH(D181,'Financing Baseline'!$C$37:$BL$37,0),FALSE),"")</f>
        <v/>
      </c>
      <c r="H181" s="238"/>
      <c r="I181" s="241" t="str">
        <f t="shared" si="5"/>
        <v>NA</v>
      </c>
    </row>
    <row r="182" spans="1:9">
      <c r="A182" s="233"/>
      <c r="B182" s="47"/>
      <c r="C182" s="234"/>
      <c r="D182" s="234"/>
      <c r="E182" s="234"/>
      <c r="F182" s="234"/>
      <c r="G182" s="236" t="str">
        <f>IFERROR(HLOOKUP(D182,'Financing Baseline'!$C$37:$BL$39,IF('High Level Dashboard'!$B$5="Foreign Currency",2,3),FALSE)/VLOOKUP(F182,'Financing Baseline'!$C$37:$BJ$44,MATCH(D182,'Financing Baseline'!$C$37:$BL$37,0),FALSE),"")</f>
        <v/>
      </c>
      <c r="H182" s="238"/>
      <c r="I182" s="241" t="str">
        <f t="shared" si="5"/>
        <v>NA</v>
      </c>
    </row>
    <row r="183" spans="1:9">
      <c r="A183" s="233"/>
      <c r="B183" s="47"/>
      <c r="C183" s="234"/>
      <c r="D183" s="234"/>
      <c r="E183" s="234"/>
      <c r="F183" s="234"/>
      <c r="G183" s="236" t="str">
        <f>IFERROR(HLOOKUP(D183,'Financing Baseline'!$C$37:$BL$39,IF('High Level Dashboard'!$B$5="Foreign Currency",2,3),FALSE)/VLOOKUP(F183,'Financing Baseline'!$C$37:$BJ$44,MATCH(D183,'Financing Baseline'!$C$37:$BL$37,0),FALSE),"")</f>
        <v/>
      </c>
      <c r="H183" s="238"/>
      <c r="I183" s="241" t="str">
        <f t="shared" si="5"/>
        <v>NA</v>
      </c>
    </row>
    <row r="184" spans="1:9">
      <c r="A184" s="233"/>
      <c r="B184" s="47"/>
      <c r="C184" s="234"/>
      <c r="D184" s="234"/>
      <c r="E184" s="234"/>
      <c r="F184" s="234"/>
      <c r="G184" s="236" t="str">
        <f>IFERROR(HLOOKUP(D184,'Financing Baseline'!$C$37:$BL$39,IF('High Level Dashboard'!$B$5="Foreign Currency",2,3),FALSE)/VLOOKUP(F184,'Financing Baseline'!$C$37:$BJ$44,MATCH(D184,'Financing Baseline'!$C$37:$BL$37,0),FALSE),"")</f>
        <v/>
      </c>
      <c r="H184" s="238"/>
      <c r="I184" s="241" t="str">
        <f t="shared" si="5"/>
        <v>NA</v>
      </c>
    </row>
    <row r="185" spans="1:9">
      <c r="A185" s="233"/>
      <c r="B185" s="47"/>
      <c r="C185" s="234"/>
      <c r="D185" s="234"/>
      <c r="E185" s="234"/>
      <c r="F185" s="234"/>
      <c r="G185" s="236" t="str">
        <f>IFERROR(HLOOKUP(D185,'Financing Baseline'!$C$37:$BL$39,IF('High Level Dashboard'!$B$5="Foreign Currency",2,3),FALSE)/VLOOKUP(F185,'Financing Baseline'!$C$37:$BJ$44,MATCH(D185,'Financing Baseline'!$C$37:$BL$37,0),FALSE),"")</f>
        <v/>
      </c>
      <c r="H185" s="238"/>
      <c r="I185" s="241" t="str">
        <f t="shared" si="5"/>
        <v>NA</v>
      </c>
    </row>
    <row r="186" spans="1:9">
      <c r="A186" s="233"/>
      <c r="B186" s="47"/>
      <c r="C186" s="234"/>
      <c r="D186" s="234"/>
      <c r="E186" s="234"/>
      <c r="F186" s="234"/>
      <c r="G186" s="236" t="str">
        <f>IFERROR(HLOOKUP(D186,'Financing Baseline'!$C$37:$BL$39,IF('High Level Dashboard'!$B$5="Foreign Currency",2,3),FALSE)/VLOOKUP(F186,'Financing Baseline'!$C$37:$BJ$44,MATCH(D186,'Financing Baseline'!$C$37:$BL$37,0),FALSE),"")</f>
        <v/>
      </c>
      <c r="H186" s="238"/>
      <c r="I186" s="241" t="str">
        <f t="shared" si="5"/>
        <v>NA</v>
      </c>
    </row>
    <row r="187" spans="1:9">
      <c r="A187" s="233"/>
      <c r="B187" s="47"/>
      <c r="C187" s="234"/>
      <c r="D187" s="234"/>
      <c r="E187" s="234"/>
      <c r="F187" s="234"/>
      <c r="G187" s="236" t="str">
        <f>IFERROR(HLOOKUP(D187,'Financing Baseline'!$C$37:$BL$39,IF('High Level Dashboard'!$B$5="Foreign Currency",2,3),FALSE)/VLOOKUP(F187,'Financing Baseline'!$C$37:$BJ$44,MATCH(D187,'Financing Baseline'!$C$37:$BL$37,0),FALSE),"")</f>
        <v/>
      </c>
      <c r="H187" s="238"/>
      <c r="I187" s="241" t="str">
        <f t="shared" si="5"/>
        <v>NA</v>
      </c>
    </row>
    <row r="188" spans="1:9">
      <c r="A188" s="233"/>
      <c r="B188" s="47"/>
      <c r="C188" s="234"/>
      <c r="D188" s="234"/>
      <c r="E188" s="234"/>
      <c r="F188" s="234"/>
      <c r="G188" s="236" t="str">
        <f>IFERROR(HLOOKUP(D188,'Financing Baseline'!$C$37:$BL$39,IF('High Level Dashboard'!$B$5="Foreign Currency",2,3),FALSE)/VLOOKUP(F188,'Financing Baseline'!$C$37:$BJ$44,MATCH(D188,'Financing Baseline'!$C$37:$BL$37,0),FALSE),"")</f>
        <v/>
      </c>
      <c r="H188" s="238"/>
      <c r="I188" s="241" t="str">
        <f t="shared" si="5"/>
        <v>NA</v>
      </c>
    </row>
    <row r="189" spans="1:9">
      <c r="A189" s="233"/>
      <c r="B189" s="47"/>
      <c r="C189" s="234"/>
      <c r="D189" s="234"/>
      <c r="E189" s="234"/>
      <c r="F189" s="234"/>
      <c r="G189" s="236" t="str">
        <f>IFERROR(HLOOKUP(D189,'Financing Baseline'!$C$37:$BL$39,IF('High Level Dashboard'!$B$5="Foreign Currency",2,3),FALSE)/VLOOKUP(F189,'Financing Baseline'!$C$37:$BJ$44,MATCH(D189,'Financing Baseline'!$C$37:$BL$37,0),FALSE),"")</f>
        <v/>
      </c>
      <c r="H189" s="238"/>
      <c r="I189" s="241" t="str">
        <f t="shared" si="5"/>
        <v>NA</v>
      </c>
    </row>
    <row r="190" spans="1:9">
      <c r="A190" s="233"/>
      <c r="B190" s="47"/>
      <c r="C190" s="234"/>
      <c r="D190" s="234"/>
      <c r="E190" s="234"/>
      <c r="F190" s="234"/>
      <c r="G190" s="236" t="str">
        <f>IFERROR(HLOOKUP(D190,'Financing Baseline'!$C$37:$BL$39,IF('High Level Dashboard'!$B$5="Foreign Currency",2,3),FALSE)/VLOOKUP(F190,'Financing Baseline'!$C$37:$BJ$44,MATCH(D190,'Financing Baseline'!$C$37:$BL$37,0),FALSE),"")</f>
        <v/>
      </c>
      <c r="H190" s="238"/>
      <c r="I190" s="241" t="str">
        <f t="shared" si="5"/>
        <v>NA</v>
      </c>
    </row>
    <row r="191" spans="1:9">
      <c r="A191" s="233"/>
      <c r="B191" s="47"/>
      <c r="C191" s="234"/>
      <c r="D191" s="234"/>
      <c r="E191" s="234"/>
      <c r="F191" s="234"/>
      <c r="G191" s="236" t="str">
        <f>IFERROR(HLOOKUP(D191,'Financing Baseline'!$C$37:$BL$39,IF('High Level Dashboard'!$B$5="Foreign Currency",2,3),FALSE)/VLOOKUP(F191,'Financing Baseline'!$C$37:$BJ$44,MATCH(D191,'Financing Baseline'!$C$37:$BL$37,0),FALSE),"")</f>
        <v/>
      </c>
      <c r="H191" s="238"/>
      <c r="I191" s="241" t="str">
        <f t="shared" si="5"/>
        <v>NA</v>
      </c>
    </row>
    <row r="192" spans="1:9">
      <c r="A192" s="233"/>
      <c r="B192" s="47"/>
      <c r="C192" s="234"/>
      <c r="D192" s="234"/>
      <c r="E192" s="234"/>
      <c r="F192" s="234"/>
      <c r="G192" s="236" t="str">
        <f>IFERROR(HLOOKUP(D192,'Financing Baseline'!$C$37:$BL$39,IF('High Level Dashboard'!$B$5="Foreign Currency",2,3),FALSE)/VLOOKUP(F192,'Financing Baseline'!$C$37:$BJ$44,MATCH(D192,'Financing Baseline'!$C$37:$BL$37,0),FALSE),"")</f>
        <v/>
      </c>
      <c r="H192" s="238"/>
      <c r="I192" s="241" t="str">
        <f t="shared" si="5"/>
        <v>NA</v>
      </c>
    </row>
    <row r="193" spans="1:9">
      <c r="A193" s="233"/>
      <c r="B193" s="47"/>
      <c r="C193" s="234"/>
      <c r="D193" s="234"/>
      <c r="E193" s="234"/>
      <c r="F193" s="234"/>
      <c r="G193" s="236" t="str">
        <f>IFERROR(HLOOKUP(D193,'Financing Baseline'!$C$37:$BL$39,IF('High Level Dashboard'!$B$5="Foreign Currency",2,3),FALSE)/VLOOKUP(F193,'Financing Baseline'!$C$37:$BJ$44,MATCH(D193,'Financing Baseline'!$C$37:$BL$37,0),FALSE),"")</f>
        <v/>
      </c>
      <c r="H193" s="238"/>
      <c r="I193" s="241" t="str">
        <f t="shared" si="5"/>
        <v>NA</v>
      </c>
    </row>
    <row r="194" spans="1:9">
      <c r="A194" s="233"/>
      <c r="B194" s="47"/>
      <c r="C194" s="234"/>
      <c r="D194" s="234"/>
      <c r="E194" s="234"/>
      <c r="F194" s="234"/>
      <c r="G194" s="236" t="str">
        <f>IFERROR(HLOOKUP(D194,'Financing Baseline'!$C$37:$BL$39,IF('High Level Dashboard'!$B$5="Foreign Currency",2,3),FALSE)/VLOOKUP(F194,'Financing Baseline'!$C$37:$BJ$44,MATCH(D194,'Financing Baseline'!$C$37:$BL$37,0),FALSE),"")</f>
        <v/>
      </c>
      <c r="H194" s="238"/>
      <c r="I194" s="241" t="str">
        <f t="shared" si="5"/>
        <v>NA</v>
      </c>
    </row>
    <row r="195" spans="1:9">
      <c r="A195" s="233"/>
      <c r="B195" s="47"/>
      <c r="C195" s="234"/>
      <c r="D195" s="234"/>
      <c r="E195" s="234"/>
      <c r="F195" s="234"/>
      <c r="G195" s="236" t="str">
        <f>IFERROR(HLOOKUP(D195,'Financing Baseline'!$C$37:$BL$39,IF('High Level Dashboard'!$B$5="Foreign Currency",2,3),FALSE)/VLOOKUP(F195,'Financing Baseline'!$C$37:$BJ$44,MATCH(D195,'Financing Baseline'!$C$37:$BL$37,0),FALSE),"")</f>
        <v/>
      </c>
      <c r="H195" s="238"/>
      <c r="I195" s="241" t="str">
        <f t="shared" si="5"/>
        <v>NA</v>
      </c>
    </row>
    <row r="196" spans="1:9">
      <c r="A196" s="233"/>
      <c r="B196" s="47"/>
      <c r="C196" s="234"/>
      <c r="D196" s="234"/>
      <c r="E196" s="234"/>
      <c r="F196" s="234"/>
      <c r="G196" s="236" t="str">
        <f>IFERROR(HLOOKUP(D196,'Financing Baseline'!$C$37:$BL$39,IF('High Level Dashboard'!$B$5="Foreign Currency",2,3),FALSE)/VLOOKUP(F196,'Financing Baseline'!$C$37:$BJ$44,MATCH(D196,'Financing Baseline'!$C$37:$BL$37,0),FALSE),"")</f>
        <v/>
      </c>
      <c r="H196" s="238"/>
      <c r="I196" s="241" t="str">
        <f t="shared" si="5"/>
        <v>NA</v>
      </c>
    </row>
    <row r="197" spans="1:9">
      <c r="A197" s="233"/>
      <c r="B197" s="47"/>
      <c r="C197" s="234"/>
      <c r="D197" s="234"/>
      <c r="E197" s="234"/>
      <c r="F197" s="234"/>
      <c r="G197" s="236" t="str">
        <f>IFERROR(HLOOKUP(D197,'Financing Baseline'!$C$37:$BL$39,IF('High Level Dashboard'!$B$5="Foreign Currency",2,3),FALSE)/VLOOKUP(F197,'Financing Baseline'!$C$37:$BJ$44,MATCH(D197,'Financing Baseline'!$C$37:$BL$37,0),FALSE),"")</f>
        <v/>
      </c>
      <c r="H197" s="238"/>
      <c r="I197" s="241" t="str">
        <f t="shared" si="5"/>
        <v>NA</v>
      </c>
    </row>
    <row r="198" spans="1:9">
      <c r="A198" s="233"/>
      <c r="B198" s="47"/>
      <c r="C198" s="234"/>
      <c r="D198" s="234"/>
      <c r="E198" s="234"/>
      <c r="F198" s="234"/>
      <c r="G198" s="236" t="str">
        <f>IFERROR(HLOOKUP(D198,'Financing Baseline'!$C$37:$BL$39,IF('High Level Dashboard'!$B$5="Foreign Currency",2,3),FALSE)/VLOOKUP(F198,'Financing Baseline'!$C$37:$BJ$44,MATCH(D198,'Financing Baseline'!$C$37:$BL$37,0),FALSE),"")</f>
        <v/>
      </c>
      <c r="H198" s="238"/>
      <c r="I198" s="241" t="str">
        <f t="shared" si="5"/>
        <v>NA</v>
      </c>
    </row>
    <row r="199" spans="1:9">
      <c r="A199" s="233"/>
      <c r="B199" s="47"/>
      <c r="C199" s="234"/>
      <c r="D199" s="234"/>
      <c r="E199" s="234"/>
      <c r="F199" s="234"/>
      <c r="G199" s="236" t="str">
        <f>IFERROR(HLOOKUP(D199,'Financing Baseline'!$C$37:$BL$39,IF('High Level Dashboard'!$B$5="Foreign Currency",2,3),FALSE)/VLOOKUP(F199,'Financing Baseline'!$C$37:$BJ$44,MATCH(D199,'Financing Baseline'!$C$37:$BL$37,0),FALSE),"")</f>
        <v/>
      </c>
      <c r="H199" s="238"/>
      <c r="I199" s="241" t="str">
        <f t="shared" si="5"/>
        <v>NA</v>
      </c>
    </row>
    <row r="200" spans="1:9">
      <c r="A200" s="233"/>
      <c r="B200" s="47"/>
      <c r="C200" s="234"/>
      <c r="D200" s="234"/>
      <c r="E200" s="234"/>
      <c r="F200" s="234"/>
      <c r="G200" s="236" t="str">
        <f>IFERROR(HLOOKUP(D200,'Financing Baseline'!$C$37:$BL$39,IF('High Level Dashboard'!$B$5="Foreign Currency",2,3),FALSE)/VLOOKUP(F200,'Financing Baseline'!$C$37:$BJ$44,MATCH(D200,'Financing Baseline'!$C$37:$BL$37,0),FALSE),"")</f>
        <v/>
      </c>
      <c r="H200" s="238"/>
      <c r="I200" s="241" t="str">
        <f t="shared" si="5"/>
        <v>NA</v>
      </c>
    </row>
    <row r="201" spans="1:9">
      <c r="A201" s="233"/>
      <c r="B201" s="47"/>
      <c r="C201" s="234"/>
      <c r="D201" s="234"/>
      <c r="E201" s="234"/>
      <c r="F201" s="234"/>
      <c r="G201" s="236" t="str">
        <f>IFERROR(HLOOKUP(D201,'Financing Baseline'!$C$37:$BL$39,IF('High Level Dashboard'!$B$5="Foreign Currency",2,3),FALSE)/VLOOKUP(F201,'Financing Baseline'!$C$37:$BJ$44,MATCH(D201,'Financing Baseline'!$C$37:$BL$37,0),FALSE),"")</f>
        <v/>
      </c>
      <c r="H201" s="238"/>
      <c r="I201" s="241" t="str">
        <f t="shared" si="5"/>
        <v>NA</v>
      </c>
    </row>
    <row r="202" spans="1:9">
      <c r="A202" s="233"/>
      <c r="B202" s="47"/>
      <c r="C202" s="234"/>
      <c r="D202" s="234"/>
      <c r="E202" s="234"/>
      <c r="F202" s="234"/>
      <c r="G202" s="236" t="str">
        <f>IFERROR(HLOOKUP(D202,'Financing Baseline'!$C$37:$BL$39,IF('High Level Dashboard'!$B$5="Foreign Currency",2,3),FALSE)/VLOOKUP(F202,'Financing Baseline'!$C$37:$BJ$44,MATCH(D202,'Financing Baseline'!$C$37:$BL$37,0),FALSE),"")</f>
        <v/>
      </c>
      <c r="H202" s="238"/>
      <c r="I202" s="241" t="str">
        <f t="shared" si="5"/>
        <v>NA</v>
      </c>
    </row>
    <row r="203" spans="1:9">
      <c r="A203" s="233"/>
      <c r="B203" s="47"/>
      <c r="C203" s="234"/>
      <c r="D203" s="234"/>
      <c r="E203" s="234"/>
      <c r="F203" s="234"/>
      <c r="G203" s="236" t="str">
        <f>IFERROR(HLOOKUP(D203,'Financing Baseline'!$C$37:$BL$39,IF('High Level Dashboard'!$B$5="Foreign Currency",2,3),FALSE)/VLOOKUP(F203,'Financing Baseline'!$C$37:$BJ$44,MATCH(D203,'Financing Baseline'!$C$37:$BL$37,0),FALSE),"")</f>
        <v/>
      </c>
      <c r="H203" s="238"/>
      <c r="I203" s="241" t="str">
        <f t="shared" ref="I203:I266" si="6">IFERROR((E203/G203)*H203,"NA")</f>
        <v>NA</v>
      </c>
    </row>
    <row r="204" spans="1:9">
      <c r="A204" s="233"/>
      <c r="B204" s="47"/>
      <c r="C204" s="234"/>
      <c r="D204" s="234"/>
      <c r="E204" s="234"/>
      <c r="F204" s="234"/>
      <c r="G204" s="236" t="str">
        <f>IFERROR(HLOOKUP(D204,'Financing Baseline'!$C$37:$BL$39,IF('High Level Dashboard'!$B$5="Foreign Currency",2,3),FALSE)/VLOOKUP(F204,'Financing Baseline'!$C$37:$BJ$44,MATCH(D204,'Financing Baseline'!$C$37:$BL$37,0),FALSE),"")</f>
        <v/>
      </c>
      <c r="H204" s="238"/>
      <c r="I204" s="241" t="str">
        <f t="shared" si="6"/>
        <v>NA</v>
      </c>
    </row>
    <row r="205" spans="1:9">
      <c r="A205" s="233"/>
      <c r="B205" s="47"/>
      <c r="C205" s="234"/>
      <c r="D205" s="234"/>
      <c r="E205" s="234"/>
      <c r="F205" s="234"/>
      <c r="G205" s="236" t="str">
        <f>IFERROR(HLOOKUP(D205,'Financing Baseline'!$C$37:$BL$39,IF('High Level Dashboard'!$B$5="Foreign Currency",2,3),FALSE)/VLOOKUP(F205,'Financing Baseline'!$C$37:$BJ$44,MATCH(D205,'Financing Baseline'!$C$37:$BL$37,0),FALSE),"")</f>
        <v/>
      </c>
      <c r="H205" s="238"/>
      <c r="I205" s="241" t="str">
        <f t="shared" si="6"/>
        <v>NA</v>
      </c>
    </row>
    <row r="206" spans="1:9">
      <c r="A206" s="233"/>
      <c r="B206" s="47"/>
      <c r="C206" s="234"/>
      <c r="D206" s="234"/>
      <c r="E206" s="234"/>
      <c r="F206" s="234"/>
      <c r="G206" s="236" t="str">
        <f>IFERROR(HLOOKUP(D206,'Financing Baseline'!$C$37:$BL$39,IF('High Level Dashboard'!$B$5="Foreign Currency",2,3),FALSE)/VLOOKUP(F206,'Financing Baseline'!$C$37:$BJ$44,MATCH(D206,'Financing Baseline'!$C$37:$BL$37,0),FALSE),"")</f>
        <v/>
      </c>
      <c r="H206" s="238"/>
      <c r="I206" s="241" t="str">
        <f t="shared" si="6"/>
        <v>NA</v>
      </c>
    </row>
    <row r="207" spans="1:9">
      <c r="A207" s="233"/>
      <c r="B207" s="47"/>
      <c r="C207" s="234"/>
      <c r="D207" s="234"/>
      <c r="E207" s="234"/>
      <c r="F207" s="234"/>
      <c r="G207" s="236" t="str">
        <f>IFERROR(HLOOKUP(D207,'Financing Baseline'!$C$37:$BL$39,IF('High Level Dashboard'!$B$5="Foreign Currency",2,3),FALSE)/VLOOKUP(F207,'Financing Baseline'!$C$37:$BJ$44,MATCH(D207,'Financing Baseline'!$C$37:$BL$37,0),FALSE),"")</f>
        <v/>
      </c>
      <c r="H207" s="238"/>
      <c r="I207" s="241" t="str">
        <f t="shared" si="6"/>
        <v>NA</v>
      </c>
    </row>
    <row r="208" spans="1:9">
      <c r="A208" s="233"/>
      <c r="B208" s="47"/>
      <c r="C208" s="234"/>
      <c r="D208" s="234"/>
      <c r="E208" s="234"/>
      <c r="F208" s="234"/>
      <c r="G208" s="236" t="str">
        <f>IFERROR(HLOOKUP(D208,'Financing Baseline'!$C$37:$BL$39,IF('High Level Dashboard'!$B$5="Foreign Currency",2,3),FALSE)/VLOOKUP(F208,'Financing Baseline'!$C$37:$BJ$44,MATCH(D208,'Financing Baseline'!$C$37:$BL$37,0),FALSE),"")</f>
        <v/>
      </c>
      <c r="H208" s="238"/>
      <c r="I208" s="241" t="str">
        <f t="shared" si="6"/>
        <v>NA</v>
      </c>
    </row>
    <row r="209" spans="1:9">
      <c r="A209" s="233"/>
      <c r="B209" s="47"/>
      <c r="C209" s="234"/>
      <c r="D209" s="234"/>
      <c r="E209" s="234"/>
      <c r="F209" s="234"/>
      <c r="G209" s="236" t="str">
        <f>IFERROR(HLOOKUP(D209,'Financing Baseline'!$C$37:$BL$39,IF('High Level Dashboard'!$B$5="Foreign Currency",2,3),FALSE)/VLOOKUP(F209,'Financing Baseline'!$C$37:$BJ$44,MATCH(D209,'Financing Baseline'!$C$37:$BL$37,0),FALSE),"")</f>
        <v/>
      </c>
      <c r="H209" s="238"/>
      <c r="I209" s="241" t="str">
        <f t="shared" si="6"/>
        <v>NA</v>
      </c>
    </row>
    <row r="210" spans="1:9">
      <c r="A210" s="233"/>
      <c r="B210" s="47"/>
      <c r="C210" s="234"/>
      <c r="D210" s="234"/>
      <c r="E210" s="234"/>
      <c r="F210" s="234"/>
      <c r="G210" s="236" t="str">
        <f>IFERROR(HLOOKUP(D210,'Financing Baseline'!$C$37:$BL$39,IF('High Level Dashboard'!$B$5="Foreign Currency",2,3),FALSE)/VLOOKUP(F210,'Financing Baseline'!$C$37:$BJ$44,MATCH(D210,'Financing Baseline'!$C$37:$BL$37,0),FALSE),"")</f>
        <v/>
      </c>
      <c r="H210" s="238"/>
      <c r="I210" s="241" t="str">
        <f t="shared" si="6"/>
        <v>NA</v>
      </c>
    </row>
    <row r="211" spans="1:9">
      <c r="A211" s="233"/>
      <c r="B211" s="47"/>
      <c r="C211" s="234"/>
      <c r="D211" s="234"/>
      <c r="E211" s="234"/>
      <c r="F211" s="234"/>
      <c r="G211" s="236" t="str">
        <f>IFERROR(HLOOKUP(D211,'Financing Baseline'!$C$37:$BL$39,IF('High Level Dashboard'!$B$5="Foreign Currency",2,3),FALSE)/VLOOKUP(F211,'Financing Baseline'!$C$37:$BJ$44,MATCH(D211,'Financing Baseline'!$C$37:$BL$37,0),FALSE),"")</f>
        <v/>
      </c>
      <c r="H211" s="238"/>
      <c r="I211" s="241" t="str">
        <f t="shared" si="6"/>
        <v>NA</v>
      </c>
    </row>
    <row r="212" spans="1:9">
      <c r="A212" s="233"/>
      <c r="B212" s="47"/>
      <c r="C212" s="234"/>
      <c r="D212" s="234"/>
      <c r="E212" s="234"/>
      <c r="F212" s="234"/>
      <c r="G212" s="236" t="str">
        <f>IFERROR(HLOOKUP(D212,'Financing Baseline'!$C$37:$BL$39,IF('High Level Dashboard'!$B$5="Foreign Currency",2,3),FALSE)/VLOOKUP(F212,'Financing Baseline'!$C$37:$BJ$44,MATCH(D212,'Financing Baseline'!$C$37:$BL$37,0),FALSE),"")</f>
        <v/>
      </c>
      <c r="H212" s="238"/>
      <c r="I212" s="241" t="str">
        <f t="shared" si="6"/>
        <v>NA</v>
      </c>
    </row>
    <row r="213" spans="1:9">
      <c r="A213" s="233"/>
      <c r="B213" s="47"/>
      <c r="C213" s="234"/>
      <c r="D213" s="234"/>
      <c r="E213" s="234"/>
      <c r="F213" s="234"/>
      <c r="G213" s="236" t="str">
        <f>IFERROR(HLOOKUP(D213,'Financing Baseline'!$C$37:$BL$39,IF('High Level Dashboard'!$B$5="Foreign Currency",2,3),FALSE)/VLOOKUP(F213,'Financing Baseline'!$C$37:$BJ$44,MATCH(D213,'Financing Baseline'!$C$37:$BL$37,0),FALSE),"")</f>
        <v/>
      </c>
      <c r="H213" s="238"/>
      <c r="I213" s="241" t="str">
        <f t="shared" si="6"/>
        <v>NA</v>
      </c>
    </row>
    <row r="214" spans="1:9">
      <c r="A214" s="233"/>
      <c r="B214" s="47"/>
      <c r="C214" s="234"/>
      <c r="D214" s="234"/>
      <c r="E214" s="234"/>
      <c r="F214" s="234"/>
      <c r="G214" s="236" t="str">
        <f>IFERROR(HLOOKUP(D214,'Financing Baseline'!$C$37:$BL$39,IF('High Level Dashboard'!$B$5="Foreign Currency",2,3),FALSE)/VLOOKUP(F214,'Financing Baseline'!$C$37:$BJ$44,MATCH(D214,'Financing Baseline'!$C$37:$BL$37,0),FALSE),"")</f>
        <v/>
      </c>
      <c r="H214" s="238"/>
      <c r="I214" s="241" t="str">
        <f t="shared" si="6"/>
        <v>NA</v>
      </c>
    </row>
    <row r="215" spans="1:9">
      <c r="A215" s="233"/>
      <c r="B215" s="47"/>
      <c r="C215" s="234"/>
      <c r="D215" s="234"/>
      <c r="E215" s="234"/>
      <c r="F215" s="234"/>
      <c r="G215" s="236" t="str">
        <f>IFERROR(HLOOKUP(D215,'Financing Baseline'!$C$37:$BL$39,IF('High Level Dashboard'!$B$5="Foreign Currency",2,3),FALSE)/VLOOKUP(F215,'Financing Baseline'!$C$37:$BJ$44,MATCH(D215,'Financing Baseline'!$C$37:$BL$37,0),FALSE),"")</f>
        <v/>
      </c>
      <c r="H215" s="238"/>
      <c r="I215" s="241" t="str">
        <f t="shared" si="6"/>
        <v>NA</v>
      </c>
    </row>
    <row r="216" spans="1:9">
      <c r="A216" s="233"/>
      <c r="B216" s="47"/>
      <c r="C216" s="234"/>
      <c r="D216" s="234"/>
      <c r="E216" s="234"/>
      <c r="F216" s="234"/>
      <c r="G216" s="236" t="str">
        <f>IFERROR(HLOOKUP(D216,'Financing Baseline'!$C$37:$BL$39,IF('High Level Dashboard'!$B$5="Foreign Currency",2,3),FALSE)/VLOOKUP(F216,'Financing Baseline'!$C$37:$BJ$44,MATCH(D216,'Financing Baseline'!$C$37:$BL$37,0),FALSE),"")</f>
        <v/>
      </c>
      <c r="H216" s="238"/>
      <c r="I216" s="241" t="str">
        <f t="shared" si="6"/>
        <v>NA</v>
      </c>
    </row>
    <row r="217" spans="1:9">
      <c r="A217" s="233"/>
      <c r="B217" s="47"/>
      <c r="C217" s="234"/>
      <c r="D217" s="234"/>
      <c r="E217" s="234"/>
      <c r="F217" s="234"/>
      <c r="G217" s="236" t="str">
        <f>IFERROR(HLOOKUP(D217,'Financing Baseline'!$C$37:$BL$39,IF('High Level Dashboard'!$B$5="Foreign Currency",2,3),FALSE)/VLOOKUP(F217,'Financing Baseline'!$C$37:$BJ$44,MATCH(D217,'Financing Baseline'!$C$37:$BL$37,0),FALSE),"")</f>
        <v/>
      </c>
      <c r="H217" s="238"/>
      <c r="I217" s="241" t="str">
        <f t="shared" si="6"/>
        <v>NA</v>
      </c>
    </row>
    <row r="218" spans="1:9">
      <c r="A218" s="233"/>
      <c r="B218" s="47"/>
      <c r="C218" s="234"/>
      <c r="D218" s="234"/>
      <c r="E218" s="234"/>
      <c r="F218" s="234"/>
      <c r="G218" s="236" t="str">
        <f>IFERROR(HLOOKUP(D218,'Financing Baseline'!$C$37:$BL$39,IF('High Level Dashboard'!$B$5="Foreign Currency",2,3),FALSE)/VLOOKUP(F218,'Financing Baseline'!$C$37:$BJ$44,MATCH(D218,'Financing Baseline'!$C$37:$BL$37,0),FALSE),"")</f>
        <v/>
      </c>
      <c r="H218" s="238"/>
      <c r="I218" s="241" t="str">
        <f t="shared" si="6"/>
        <v>NA</v>
      </c>
    </row>
    <row r="219" spans="1:9">
      <c r="A219" s="233"/>
      <c r="B219" s="47"/>
      <c r="C219" s="234"/>
      <c r="D219" s="234"/>
      <c r="E219" s="234"/>
      <c r="F219" s="234"/>
      <c r="G219" s="236" t="str">
        <f>IFERROR(HLOOKUP(D219,'Financing Baseline'!$C$37:$BL$39,IF('High Level Dashboard'!$B$5="Foreign Currency",2,3),FALSE)/VLOOKUP(F219,'Financing Baseline'!$C$37:$BJ$44,MATCH(D219,'Financing Baseline'!$C$37:$BL$37,0),FALSE),"")</f>
        <v/>
      </c>
      <c r="H219" s="238"/>
      <c r="I219" s="241" t="str">
        <f t="shared" si="6"/>
        <v>NA</v>
      </c>
    </row>
    <row r="220" spans="1:9">
      <c r="A220" s="233"/>
      <c r="B220" s="47"/>
      <c r="C220" s="234"/>
      <c r="D220" s="234"/>
      <c r="E220" s="234"/>
      <c r="F220" s="234"/>
      <c r="G220" s="236" t="str">
        <f>IFERROR(HLOOKUP(D220,'Financing Baseline'!$C$37:$BL$39,IF('High Level Dashboard'!$B$5="Foreign Currency",2,3),FALSE)/VLOOKUP(F220,'Financing Baseline'!$C$37:$BJ$44,MATCH(D220,'Financing Baseline'!$C$37:$BL$37,0),FALSE),"")</f>
        <v/>
      </c>
      <c r="H220" s="238"/>
      <c r="I220" s="241" t="str">
        <f t="shared" si="6"/>
        <v>NA</v>
      </c>
    </row>
    <row r="221" spans="1:9">
      <c r="A221" s="233"/>
      <c r="B221" s="47"/>
      <c r="C221" s="234"/>
      <c r="D221" s="234"/>
      <c r="E221" s="234"/>
      <c r="F221" s="234"/>
      <c r="G221" s="236" t="str">
        <f>IFERROR(HLOOKUP(D221,'Financing Baseline'!$C$37:$BL$39,IF('High Level Dashboard'!$B$5="Foreign Currency",2,3),FALSE)/VLOOKUP(F221,'Financing Baseline'!$C$37:$BJ$44,MATCH(D221,'Financing Baseline'!$C$37:$BL$37,0),FALSE),"")</f>
        <v/>
      </c>
      <c r="H221" s="238"/>
      <c r="I221" s="241" t="str">
        <f t="shared" si="6"/>
        <v>NA</v>
      </c>
    </row>
    <row r="222" spans="1:9">
      <c r="A222" s="233"/>
      <c r="B222" s="47"/>
      <c r="C222" s="234"/>
      <c r="D222" s="234"/>
      <c r="E222" s="234"/>
      <c r="F222" s="234"/>
      <c r="G222" s="236" t="str">
        <f>IFERROR(HLOOKUP(D222,'Financing Baseline'!$C$37:$BL$39,IF('High Level Dashboard'!$B$5="Foreign Currency",2,3),FALSE)/VLOOKUP(F222,'Financing Baseline'!$C$37:$BJ$44,MATCH(D222,'Financing Baseline'!$C$37:$BL$37,0),FALSE),"")</f>
        <v/>
      </c>
      <c r="H222" s="238"/>
      <c r="I222" s="241" t="str">
        <f t="shared" si="6"/>
        <v>NA</v>
      </c>
    </row>
    <row r="223" spans="1:9">
      <c r="A223" s="233"/>
      <c r="B223" s="47"/>
      <c r="C223" s="234"/>
      <c r="D223" s="234"/>
      <c r="E223" s="234"/>
      <c r="F223" s="234"/>
      <c r="G223" s="236" t="str">
        <f>IFERROR(HLOOKUP(D223,'Financing Baseline'!$C$37:$BL$39,IF('High Level Dashboard'!$B$5="Foreign Currency",2,3),FALSE)/VLOOKUP(F223,'Financing Baseline'!$C$37:$BJ$44,MATCH(D223,'Financing Baseline'!$C$37:$BL$37,0),FALSE),"")</f>
        <v/>
      </c>
      <c r="H223" s="238"/>
      <c r="I223" s="241" t="str">
        <f t="shared" si="6"/>
        <v>NA</v>
      </c>
    </row>
    <row r="224" spans="1:9">
      <c r="A224" s="233"/>
      <c r="B224" s="47"/>
      <c r="C224" s="234"/>
      <c r="D224" s="234"/>
      <c r="E224" s="234"/>
      <c r="F224" s="234"/>
      <c r="G224" s="236" t="str">
        <f>IFERROR(HLOOKUP(D224,'Financing Baseline'!$C$37:$BL$39,IF('High Level Dashboard'!$B$5="Foreign Currency",2,3),FALSE)/VLOOKUP(F224,'Financing Baseline'!$C$37:$BJ$44,MATCH(D224,'Financing Baseline'!$C$37:$BL$37,0),FALSE),"")</f>
        <v/>
      </c>
      <c r="H224" s="238"/>
      <c r="I224" s="241" t="str">
        <f t="shared" si="6"/>
        <v>NA</v>
      </c>
    </row>
    <row r="225" spans="1:9">
      <c r="A225" s="233"/>
      <c r="B225" s="47"/>
      <c r="C225" s="234"/>
      <c r="D225" s="234"/>
      <c r="E225" s="234"/>
      <c r="F225" s="234"/>
      <c r="G225" s="236" t="str">
        <f>IFERROR(HLOOKUP(D225,'Financing Baseline'!$C$37:$BL$39,IF('High Level Dashboard'!$B$5="Foreign Currency",2,3),FALSE)/VLOOKUP(F225,'Financing Baseline'!$C$37:$BJ$44,MATCH(D225,'Financing Baseline'!$C$37:$BL$37,0),FALSE),"")</f>
        <v/>
      </c>
      <c r="H225" s="238"/>
      <c r="I225" s="241" t="str">
        <f t="shared" si="6"/>
        <v>NA</v>
      </c>
    </row>
    <row r="226" spans="1:9">
      <c r="A226" s="233"/>
      <c r="B226" s="47"/>
      <c r="C226" s="234"/>
      <c r="D226" s="234"/>
      <c r="E226" s="234"/>
      <c r="F226" s="234"/>
      <c r="G226" s="236" t="str">
        <f>IFERROR(HLOOKUP(D226,'Financing Baseline'!$C$37:$BL$39,IF('High Level Dashboard'!$B$5="Foreign Currency",2,3),FALSE)/VLOOKUP(F226,'Financing Baseline'!$C$37:$BJ$44,MATCH(D226,'Financing Baseline'!$C$37:$BL$37,0),FALSE),"")</f>
        <v/>
      </c>
      <c r="H226" s="238"/>
      <c r="I226" s="241" t="str">
        <f t="shared" si="6"/>
        <v>NA</v>
      </c>
    </row>
    <row r="227" spans="1:9">
      <c r="A227" s="233"/>
      <c r="B227" s="47"/>
      <c r="C227" s="234"/>
      <c r="D227" s="234"/>
      <c r="E227" s="234"/>
      <c r="F227" s="234"/>
      <c r="G227" s="236" t="str">
        <f>IFERROR(HLOOKUP(D227,'Financing Baseline'!$C$37:$BL$39,IF('High Level Dashboard'!$B$5="Foreign Currency",2,3),FALSE)/VLOOKUP(F227,'Financing Baseline'!$C$37:$BJ$44,MATCH(D227,'Financing Baseline'!$C$37:$BL$37,0),FALSE),"")</f>
        <v/>
      </c>
      <c r="H227" s="238"/>
      <c r="I227" s="241" t="str">
        <f t="shared" si="6"/>
        <v>NA</v>
      </c>
    </row>
    <row r="228" spans="1:9">
      <c r="A228" s="233"/>
      <c r="B228" s="47"/>
      <c r="C228" s="234"/>
      <c r="D228" s="234"/>
      <c r="E228" s="234"/>
      <c r="F228" s="234"/>
      <c r="G228" s="236" t="str">
        <f>IFERROR(HLOOKUP(D228,'Financing Baseline'!$C$37:$BL$39,IF('High Level Dashboard'!$B$5="Foreign Currency",2,3),FALSE)/VLOOKUP(F228,'Financing Baseline'!$C$37:$BJ$44,MATCH(D228,'Financing Baseline'!$C$37:$BL$37,0),FALSE),"")</f>
        <v/>
      </c>
      <c r="H228" s="238"/>
      <c r="I228" s="241" t="str">
        <f t="shared" si="6"/>
        <v>NA</v>
      </c>
    </row>
    <row r="229" spans="1:9">
      <c r="A229" s="233"/>
      <c r="B229" s="47"/>
      <c r="C229" s="234"/>
      <c r="D229" s="234"/>
      <c r="E229" s="234"/>
      <c r="F229" s="234"/>
      <c r="G229" s="236" t="str">
        <f>IFERROR(HLOOKUP(D229,'Financing Baseline'!$C$37:$BL$39,IF('High Level Dashboard'!$B$5="Foreign Currency",2,3),FALSE)/VLOOKUP(F229,'Financing Baseline'!$C$37:$BJ$44,MATCH(D229,'Financing Baseline'!$C$37:$BL$37,0),FALSE),"")</f>
        <v/>
      </c>
      <c r="H229" s="238"/>
      <c r="I229" s="241" t="str">
        <f t="shared" si="6"/>
        <v>NA</v>
      </c>
    </row>
    <row r="230" spans="1:9">
      <c r="A230" s="233"/>
      <c r="B230" s="47"/>
      <c r="C230" s="234"/>
      <c r="D230" s="234"/>
      <c r="E230" s="234"/>
      <c r="F230" s="234"/>
      <c r="G230" s="236" t="str">
        <f>IFERROR(HLOOKUP(D230,'Financing Baseline'!$C$37:$BL$39,IF('High Level Dashboard'!$B$5="Foreign Currency",2,3),FALSE)/VLOOKUP(F230,'Financing Baseline'!$C$37:$BJ$44,MATCH(D230,'Financing Baseline'!$C$37:$BL$37,0),FALSE),"")</f>
        <v/>
      </c>
      <c r="H230" s="238"/>
      <c r="I230" s="241" t="str">
        <f t="shared" si="6"/>
        <v>NA</v>
      </c>
    </row>
    <row r="231" spans="1:9">
      <c r="A231" s="233"/>
      <c r="B231" s="47"/>
      <c r="C231" s="234"/>
      <c r="D231" s="234"/>
      <c r="E231" s="234"/>
      <c r="F231" s="234"/>
      <c r="G231" s="236" t="str">
        <f>IFERROR(HLOOKUP(D231,'Financing Baseline'!$C$37:$BL$39,IF('High Level Dashboard'!$B$5="Foreign Currency",2,3),FALSE)/VLOOKUP(F231,'Financing Baseline'!$C$37:$BJ$44,MATCH(D231,'Financing Baseline'!$C$37:$BL$37,0),FALSE),"")</f>
        <v/>
      </c>
      <c r="H231" s="238"/>
      <c r="I231" s="241" t="str">
        <f t="shared" si="6"/>
        <v>NA</v>
      </c>
    </row>
    <row r="232" spans="1:9">
      <c r="A232" s="233"/>
      <c r="B232" s="47"/>
      <c r="C232" s="234"/>
      <c r="D232" s="234"/>
      <c r="E232" s="234"/>
      <c r="F232" s="234"/>
      <c r="G232" s="236" t="str">
        <f>IFERROR(HLOOKUP(D232,'Financing Baseline'!$C$37:$BL$39,IF('High Level Dashboard'!$B$5="Foreign Currency",2,3),FALSE)/VLOOKUP(F232,'Financing Baseline'!$C$37:$BJ$44,MATCH(D232,'Financing Baseline'!$C$37:$BL$37,0),FALSE),"")</f>
        <v/>
      </c>
      <c r="H232" s="238"/>
      <c r="I232" s="241" t="str">
        <f t="shared" si="6"/>
        <v>NA</v>
      </c>
    </row>
    <row r="233" spans="1:9">
      <c r="A233" s="233"/>
      <c r="B233" s="47"/>
      <c r="C233" s="234"/>
      <c r="D233" s="234"/>
      <c r="E233" s="234"/>
      <c r="F233" s="234"/>
      <c r="G233" s="236" t="str">
        <f>IFERROR(HLOOKUP(D233,'Financing Baseline'!$C$37:$BL$39,IF('High Level Dashboard'!$B$5="Foreign Currency",2,3),FALSE)/VLOOKUP(F233,'Financing Baseline'!$C$37:$BJ$44,MATCH(D233,'Financing Baseline'!$C$37:$BL$37,0),FALSE),"")</f>
        <v/>
      </c>
      <c r="H233" s="238"/>
      <c r="I233" s="241" t="str">
        <f t="shared" si="6"/>
        <v>NA</v>
      </c>
    </row>
    <row r="234" spans="1:9">
      <c r="A234" s="233"/>
      <c r="B234" s="47"/>
      <c r="C234" s="234"/>
      <c r="D234" s="234"/>
      <c r="E234" s="234"/>
      <c r="F234" s="234"/>
      <c r="G234" s="236" t="str">
        <f>IFERROR(HLOOKUP(D234,'Financing Baseline'!$C$37:$BL$39,IF('High Level Dashboard'!$B$5="Foreign Currency",2,3),FALSE)/VLOOKUP(F234,'Financing Baseline'!$C$37:$BJ$44,MATCH(D234,'Financing Baseline'!$C$37:$BL$37,0),FALSE),"")</f>
        <v/>
      </c>
      <c r="H234" s="238"/>
      <c r="I234" s="241" t="str">
        <f t="shared" si="6"/>
        <v>NA</v>
      </c>
    </row>
    <row r="235" spans="1:9">
      <c r="A235" s="233"/>
      <c r="B235" s="47"/>
      <c r="C235" s="234"/>
      <c r="D235" s="234"/>
      <c r="E235" s="234"/>
      <c r="F235" s="234"/>
      <c r="G235" s="236" t="str">
        <f>IFERROR(HLOOKUP(D235,'Financing Baseline'!$C$37:$BL$39,IF('High Level Dashboard'!$B$5="Foreign Currency",2,3),FALSE)/VLOOKUP(F235,'Financing Baseline'!$C$37:$BJ$44,MATCH(D235,'Financing Baseline'!$C$37:$BL$37,0),FALSE),"")</f>
        <v/>
      </c>
      <c r="H235" s="238"/>
      <c r="I235" s="241" t="str">
        <f t="shared" si="6"/>
        <v>NA</v>
      </c>
    </row>
    <row r="236" spans="1:9">
      <c r="A236" s="233"/>
      <c r="B236" s="47"/>
      <c r="C236" s="234"/>
      <c r="D236" s="234"/>
      <c r="E236" s="234"/>
      <c r="F236" s="234"/>
      <c r="G236" s="236" t="str">
        <f>IFERROR(HLOOKUP(D236,'Financing Baseline'!$C$37:$BL$39,IF('High Level Dashboard'!$B$5="Foreign Currency",2,3),FALSE)/VLOOKUP(F236,'Financing Baseline'!$C$37:$BJ$44,MATCH(D236,'Financing Baseline'!$C$37:$BL$37,0),FALSE),"")</f>
        <v/>
      </c>
      <c r="H236" s="238"/>
      <c r="I236" s="241" t="str">
        <f t="shared" si="6"/>
        <v>NA</v>
      </c>
    </row>
    <row r="237" spans="1:9">
      <c r="A237" s="233"/>
      <c r="B237" s="47"/>
      <c r="C237" s="234"/>
      <c r="D237" s="234"/>
      <c r="E237" s="234"/>
      <c r="F237" s="234"/>
      <c r="G237" s="236" t="str">
        <f>IFERROR(HLOOKUP(D237,'Financing Baseline'!$C$37:$BL$39,IF('High Level Dashboard'!$B$5="Foreign Currency",2,3),FALSE)/VLOOKUP(F237,'Financing Baseline'!$C$37:$BJ$44,MATCH(D237,'Financing Baseline'!$C$37:$BL$37,0),FALSE),"")</f>
        <v/>
      </c>
      <c r="H237" s="238"/>
      <c r="I237" s="241" t="str">
        <f t="shared" si="6"/>
        <v>NA</v>
      </c>
    </row>
    <row r="238" spans="1:9">
      <c r="A238" s="233"/>
      <c r="B238" s="47"/>
      <c r="C238" s="234"/>
      <c r="D238" s="234"/>
      <c r="E238" s="234"/>
      <c r="F238" s="234"/>
      <c r="G238" s="236" t="str">
        <f>IFERROR(HLOOKUP(D238,'Financing Baseline'!$C$37:$BL$39,IF('High Level Dashboard'!$B$5="Foreign Currency",2,3),FALSE)/VLOOKUP(F238,'Financing Baseline'!$C$37:$BJ$44,MATCH(D238,'Financing Baseline'!$C$37:$BL$37,0),FALSE),"")</f>
        <v/>
      </c>
      <c r="H238" s="238"/>
      <c r="I238" s="241" t="str">
        <f t="shared" si="6"/>
        <v>NA</v>
      </c>
    </row>
    <row r="239" spans="1:9">
      <c r="A239" s="233"/>
      <c r="B239" s="47"/>
      <c r="C239" s="234"/>
      <c r="D239" s="234"/>
      <c r="E239" s="234"/>
      <c r="F239" s="234"/>
      <c r="G239" s="236" t="str">
        <f>IFERROR(HLOOKUP(D239,'Financing Baseline'!$C$37:$BL$39,IF('High Level Dashboard'!$B$5="Foreign Currency",2,3),FALSE)/VLOOKUP(F239,'Financing Baseline'!$C$37:$BJ$44,MATCH(D239,'Financing Baseline'!$C$37:$BL$37,0),FALSE),"")</f>
        <v/>
      </c>
      <c r="H239" s="238"/>
      <c r="I239" s="241" t="str">
        <f t="shared" si="6"/>
        <v>NA</v>
      </c>
    </row>
    <row r="240" spans="1:9">
      <c r="A240" s="233"/>
      <c r="B240" s="47"/>
      <c r="C240" s="234"/>
      <c r="D240" s="234"/>
      <c r="E240" s="234"/>
      <c r="F240" s="234"/>
      <c r="G240" s="236" t="str">
        <f>IFERROR(HLOOKUP(D240,'Financing Baseline'!$C$37:$BL$39,IF('High Level Dashboard'!$B$5="Foreign Currency",2,3),FALSE)/VLOOKUP(F240,'Financing Baseline'!$C$37:$BJ$44,MATCH(D240,'Financing Baseline'!$C$37:$BL$37,0),FALSE),"")</f>
        <v/>
      </c>
      <c r="H240" s="238"/>
      <c r="I240" s="241" t="str">
        <f t="shared" si="6"/>
        <v>NA</v>
      </c>
    </row>
    <row r="241" spans="1:9">
      <c r="A241" s="233"/>
      <c r="B241" s="47"/>
      <c r="C241" s="234"/>
      <c r="D241" s="234"/>
      <c r="E241" s="234"/>
      <c r="F241" s="234"/>
      <c r="G241" s="236" t="str">
        <f>IFERROR(HLOOKUP(D241,'Financing Baseline'!$C$37:$BL$39,IF('High Level Dashboard'!$B$5="Foreign Currency",2,3),FALSE)/VLOOKUP(F241,'Financing Baseline'!$C$37:$BJ$44,MATCH(D241,'Financing Baseline'!$C$37:$BL$37,0),FALSE),"")</f>
        <v/>
      </c>
      <c r="H241" s="238"/>
      <c r="I241" s="241" t="str">
        <f t="shared" si="6"/>
        <v>NA</v>
      </c>
    </row>
    <row r="242" spans="1:9">
      <c r="A242" s="233"/>
      <c r="B242" s="47"/>
      <c r="C242" s="234"/>
      <c r="D242" s="234"/>
      <c r="E242" s="234"/>
      <c r="F242" s="234"/>
      <c r="G242" s="236" t="str">
        <f>IFERROR(HLOOKUP(D242,'Financing Baseline'!$C$37:$BL$39,IF('High Level Dashboard'!$B$5="Foreign Currency",2,3),FALSE)/VLOOKUP(F242,'Financing Baseline'!$C$37:$BJ$44,MATCH(D242,'Financing Baseline'!$C$37:$BL$37,0),FALSE),"")</f>
        <v/>
      </c>
      <c r="H242" s="238"/>
      <c r="I242" s="241" t="str">
        <f t="shared" si="6"/>
        <v>NA</v>
      </c>
    </row>
    <row r="243" spans="1:9">
      <c r="A243" s="233"/>
      <c r="B243" s="47"/>
      <c r="C243" s="234"/>
      <c r="D243" s="234"/>
      <c r="E243" s="234"/>
      <c r="F243" s="234"/>
      <c r="G243" s="236" t="str">
        <f>IFERROR(HLOOKUP(D243,'Financing Baseline'!$C$37:$BL$39,IF('High Level Dashboard'!$B$5="Foreign Currency",2,3),FALSE)/VLOOKUP(F243,'Financing Baseline'!$C$37:$BJ$44,MATCH(D243,'Financing Baseline'!$C$37:$BL$37,0),FALSE),"")</f>
        <v/>
      </c>
      <c r="H243" s="238"/>
      <c r="I243" s="241" t="str">
        <f t="shared" si="6"/>
        <v>NA</v>
      </c>
    </row>
    <row r="244" spans="1:9">
      <c r="A244" s="233"/>
      <c r="B244" s="47"/>
      <c r="C244" s="234"/>
      <c r="D244" s="234"/>
      <c r="E244" s="234"/>
      <c r="F244" s="234"/>
      <c r="G244" s="236" t="str">
        <f>IFERROR(HLOOKUP(D244,'Financing Baseline'!$C$37:$BL$39,IF('High Level Dashboard'!$B$5="Foreign Currency",2,3),FALSE)/VLOOKUP(F244,'Financing Baseline'!$C$37:$BJ$44,MATCH(D244,'Financing Baseline'!$C$37:$BL$37,0),FALSE),"")</f>
        <v/>
      </c>
      <c r="H244" s="238"/>
      <c r="I244" s="241" t="str">
        <f t="shared" si="6"/>
        <v>NA</v>
      </c>
    </row>
    <row r="245" spans="1:9">
      <c r="A245" s="233"/>
      <c r="B245" s="47"/>
      <c r="C245" s="234"/>
      <c r="D245" s="234"/>
      <c r="E245" s="234"/>
      <c r="F245" s="234"/>
      <c r="G245" s="236" t="str">
        <f>IFERROR(HLOOKUP(D245,'Financing Baseline'!$C$37:$BL$39,IF('High Level Dashboard'!$B$5="Foreign Currency",2,3),FALSE)/VLOOKUP(F245,'Financing Baseline'!$C$37:$BJ$44,MATCH(D245,'Financing Baseline'!$C$37:$BL$37,0),FALSE),"")</f>
        <v/>
      </c>
      <c r="H245" s="238"/>
      <c r="I245" s="241" t="str">
        <f t="shared" si="6"/>
        <v>NA</v>
      </c>
    </row>
    <row r="246" spans="1:9">
      <c r="A246" s="233"/>
      <c r="B246" s="47"/>
      <c r="C246" s="234"/>
      <c r="D246" s="234"/>
      <c r="E246" s="234"/>
      <c r="F246" s="234"/>
      <c r="G246" s="236" t="str">
        <f>IFERROR(HLOOKUP(D246,'Financing Baseline'!$C$37:$BL$39,IF('High Level Dashboard'!$B$5="Foreign Currency",2,3),FALSE)/VLOOKUP(F246,'Financing Baseline'!$C$37:$BJ$44,MATCH(D246,'Financing Baseline'!$C$37:$BL$37,0),FALSE),"")</f>
        <v/>
      </c>
      <c r="H246" s="238"/>
      <c r="I246" s="241" t="str">
        <f t="shared" si="6"/>
        <v>NA</v>
      </c>
    </row>
    <row r="247" spans="1:9">
      <c r="A247" s="233"/>
      <c r="B247" s="47"/>
      <c r="C247" s="234"/>
      <c r="D247" s="234"/>
      <c r="E247" s="234"/>
      <c r="F247" s="234"/>
      <c r="G247" s="236" t="str">
        <f>IFERROR(HLOOKUP(D247,'Financing Baseline'!$C$37:$BL$39,IF('High Level Dashboard'!$B$5="Foreign Currency",2,3),FALSE)/VLOOKUP(F247,'Financing Baseline'!$C$37:$BJ$44,MATCH(D247,'Financing Baseline'!$C$37:$BL$37,0),FALSE),"")</f>
        <v/>
      </c>
      <c r="H247" s="238"/>
      <c r="I247" s="241" t="str">
        <f t="shared" si="6"/>
        <v>NA</v>
      </c>
    </row>
    <row r="248" spans="1:9">
      <c r="A248" s="233"/>
      <c r="B248" s="47"/>
      <c r="C248" s="234"/>
      <c r="D248" s="234"/>
      <c r="E248" s="234"/>
      <c r="F248" s="234"/>
      <c r="G248" s="236" t="str">
        <f>IFERROR(HLOOKUP(D248,'Financing Baseline'!$C$37:$BL$39,IF('High Level Dashboard'!$B$5="Foreign Currency",2,3),FALSE)/VLOOKUP(F248,'Financing Baseline'!$C$37:$BJ$44,MATCH(D248,'Financing Baseline'!$C$37:$BL$37,0),FALSE),"")</f>
        <v/>
      </c>
      <c r="H248" s="238"/>
      <c r="I248" s="241" t="str">
        <f t="shared" si="6"/>
        <v>NA</v>
      </c>
    </row>
    <row r="249" spans="1:9">
      <c r="A249" s="233"/>
      <c r="B249" s="47"/>
      <c r="C249" s="234"/>
      <c r="D249" s="234"/>
      <c r="E249" s="234"/>
      <c r="F249" s="234"/>
      <c r="G249" s="236" t="str">
        <f>IFERROR(HLOOKUP(D249,'Financing Baseline'!$C$37:$BL$39,IF('High Level Dashboard'!$B$5="Foreign Currency",2,3),FALSE)/VLOOKUP(F249,'Financing Baseline'!$C$37:$BJ$44,MATCH(D249,'Financing Baseline'!$C$37:$BL$37,0),FALSE),"")</f>
        <v/>
      </c>
      <c r="H249" s="238"/>
      <c r="I249" s="241" t="str">
        <f t="shared" si="6"/>
        <v>NA</v>
      </c>
    </row>
    <row r="250" spans="1:9">
      <c r="A250" s="233"/>
      <c r="B250" s="47"/>
      <c r="C250" s="234"/>
      <c r="D250" s="234"/>
      <c r="E250" s="234"/>
      <c r="F250" s="234"/>
      <c r="G250" s="236" t="str">
        <f>IFERROR(HLOOKUP(D250,'Financing Baseline'!$C$37:$BL$39,IF('High Level Dashboard'!$B$5="Foreign Currency",2,3),FALSE)/VLOOKUP(F250,'Financing Baseline'!$C$37:$BJ$44,MATCH(D250,'Financing Baseline'!$C$37:$BL$37,0),FALSE),"")</f>
        <v/>
      </c>
      <c r="H250" s="238"/>
      <c r="I250" s="241" t="str">
        <f t="shared" si="6"/>
        <v>NA</v>
      </c>
    </row>
    <row r="251" spans="1:9">
      <c r="A251" s="233"/>
      <c r="B251" s="47"/>
      <c r="C251" s="234"/>
      <c r="D251" s="234"/>
      <c r="E251" s="234"/>
      <c r="F251" s="234"/>
      <c r="G251" s="236" t="str">
        <f>IFERROR(HLOOKUP(D251,'Financing Baseline'!$C$37:$BL$39,IF('High Level Dashboard'!$B$5="Foreign Currency",2,3),FALSE)/VLOOKUP(F251,'Financing Baseline'!$C$37:$BJ$44,MATCH(D251,'Financing Baseline'!$C$37:$BL$37,0),FALSE),"")</f>
        <v/>
      </c>
      <c r="H251" s="238"/>
      <c r="I251" s="241" t="str">
        <f t="shared" si="6"/>
        <v>NA</v>
      </c>
    </row>
    <row r="252" spans="1:9">
      <c r="A252" s="233"/>
      <c r="B252" s="47"/>
      <c r="C252" s="234"/>
      <c r="D252" s="234"/>
      <c r="E252" s="234"/>
      <c r="F252" s="234"/>
      <c r="G252" s="236" t="str">
        <f>IFERROR(HLOOKUP(D252,'Financing Baseline'!$C$37:$BL$39,IF('High Level Dashboard'!$B$5="Foreign Currency",2,3),FALSE)/VLOOKUP(F252,'Financing Baseline'!$C$37:$BJ$44,MATCH(D252,'Financing Baseline'!$C$37:$BL$37,0),FALSE),"")</f>
        <v/>
      </c>
      <c r="H252" s="238"/>
      <c r="I252" s="241" t="str">
        <f t="shared" si="6"/>
        <v>NA</v>
      </c>
    </row>
    <row r="253" spans="1:9">
      <c r="A253" s="233"/>
      <c r="B253" s="47"/>
      <c r="C253" s="234"/>
      <c r="D253" s="234"/>
      <c r="E253" s="234"/>
      <c r="F253" s="234"/>
      <c r="G253" s="236" t="str">
        <f>IFERROR(HLOOKUP(D253,'Financing Baseline'!$C$37:$BL$39,IF('High Level Dashboard'!$B$5="Foreign Currency",2,3),FALSE)/VLOOKUP(F253,'Financing Baseline'!$C$37:$BJ$44,MATCH(D253,'Financing Baseline'!$C$37:$BL$37,0),FALSE),"")</f>
        <v/>
      </c>
      <c r="H253" s="238"/>
      <c r="I253" s="241" t="str">
        <f t="shared" si="6"/>
        <v>NA</v>
      </c>
    </row>
    <row r="254" spans="1:9">
      <c r="A254" s="233"/>
      <c r="B254" s="47"/>
      <c r="C254" s="234"/>
      <c r="D254" s="234"/>
      <c r="E254" s="234"/>
      <c r="F254" s="234"/>
      <c r="G254" s="236" t="str">
        <f>IFERROR(HLOOKUP(D254,'Financing Baseline'!$C$37:$BL$39,IF('High Level Dashboard'!$B$5="Foreign Currency",2,3),FALSE)/VLOOKUP(F254,'Financing Baseline'!$C$37:$BJ$44,MATCH(D254,'Financing Baseline'!$C$37:$BL$37,0),FALSE),"")</f>
        <v/>
      </c>
      <c r="H254" s="238"/>
      <c r="I254" s="241" t="str">
        <f t="shared" si="6"/>
        <v>NA</v>
      </c>
    </row>
    <row r="255" spans="1:9">
      <c r="A255" s="233"/>
      <c r="B255" s="47"/>
      <c r="C255" s="234"/>
      <c r="D255" s="234"/>
      <c r="E255" s="234"/>
      <c r="F255" s="234"/>
      <c r="G255" s="236" t="str">
        <f>IFERROR(HLOOKUP(D255,'Financing Baseline'!$C$37:$BL$39,IF('High Level Dashboard'!$B$5="Foreign Currency",2,3),FALSE)/VLOOKUP(F255,'Financing Baseline'!$C$37:$BJ$44,MATCH(D255,'Financing Baseline'!$C$37:$BL$37,0),FALSE),"")</f>
        <v/>
      </c>
      <c r="H255" s="238"/>
      <c r="I255" s="241" t="str">
        <f t="shared" si="6"/>
        <v>NA</v>
      </c>
    </row>
    <row r="256" spans="1:9">
      <c r="A256" s="233"/>
      <c r="B256" s="47"/>
      <c r="C256" s="234"/>
      <c r="D256" s="234"/>
      <c r="E256" s="234"/>
      <c r="F256" s="234"/>
      <c r="G256" s="236" t="str">
        <f>IFERROR(HLOOKUP(D256,'Financing Baseline'!$C$37:$BL$39,IF('High Level Dashboard'!$B$5="Foreign Currency",2,3),FALSE)/VLOOKUP(F256,'Financing Baseline'!$C$37:$BJ$44,MATCH(D256,'Financing Baseline'!$C$37:$BL$37,0),FALSE),"")</f>
        <v/>
      </c>
      <c r="H256" s="238"/>
      <c r="I256" s="241" t="str">
        <f t="shared" si="6"/>
        <v>NA</v>
      </c>
    </row>
    <row r="257" spans="1:9">
      <c r="A257" s="233"/>
      <c r="B257" s="47"/>
      <c r="C257" s="234"/>
      <c r="D257" s="234"/>
      <c r="E257" s="234"/>
      <c r="F257" s="234"/>
      <c r="G257" s="236" t="str">
        <f>IFERROR(HLOOKUP(D257,'Financing Baseline'!$C$37:$BL$39,IF('High Level Dashboard'!$B$5="Foreign Currency",2,3),FALSE)/VLOOKUP(F257,'Financing Baseline'!$C$37:$BJ$44,MATCH(D257,'Financing Baseline'!$C$37:$BL$37,0),FALSE),"")</f>
        <v/>
      </c>
      <c r="H257" s="238"/>
      <c r="I257" s="241" t="str">
        <f t="shared" si="6"/>
        <v>NA</v>
      </c>
    </row>
    <row r="258" spans="1:9">
      <c r="A258" s="233"/>
      <c r="B258" s="47"/>
      <c r="C258" s="234"/>
      <c r="D258" s="234"/>
      <c r="E258" s="234"/>
      <c r="F258" s="234"/>
      <c r="G258" s="236" t="str">
        <f>IFERROR(HLOOKUP(D258,'Financing Baseline'!$C$37:$BL$39,IF('High Level Dashboard'!$B$5="Foreign Currency",2,3),FALSE)/VLOOKUP(F258,'Financing Baseline'!$C$37:$BJ$44,MATCH(D258,'Financing Baseline'!$C$37:$BL$37,0),FALSE),"")</f>
        <v/>
      </c>
      <c r="H258" s="238"/>
      <c r="I258" s="241" t="str">
        <f t="shared" si="6"/>
        <v>NA</v>
      </c>
    </row>
    <row r="259" spans="1:9">
      <c r="A259" s="233"/>
      <c r="B259" s="47"/>
      <c r="C259" s="234"/>
      <c r="D259" s="234"/>
      <c r="E259" s="234"/>
      <c r="F259" s="234"/>
      <c r="G259" s="236" t="str">
        <f>IFERROR(HLOOKUP(D259,'Financing Baseline'!$C$37:$BL$39,IF('High Level Dashboard'!$B$5="Foreign Currency",2,3),FALSE)/VLOOKUP(F259,'Financing Baseline'!$C$37:$BJ$44,MATCH(D259,'Financing Baseline'!$C$37:$BL$37,0),FALSE),"")</f>
        <v/>
      </c>
      <c r="H259" s="238"/>
      <c r="I259" s="241" t="str">
        <f t="shared" si="6"/>
        <v>NA</v>
      </c>
    </row>
    <row r="260" spans="1:9">
      <c r="A260" s="233"/>
      <c r="B260" s="47"/>
      <c r="C260" s="234"/>
      <c r="D260" s="234"/>
      <c r="E260" s="234"/>
      <c r="F260" s="234"/>
      <c r="G260" s="236" t="str">
        <f>IFERROR(HLOOKUP(D260,'Financing Baseline'!$C$37:$BL$39,IF('High Level Dashboard'!$B$5="Foreign Currency",2,3),FALSE)/VLOOKUP(F260,'Financing Baseline'!$C$37:$BJ$44,MATCH(D260,'Financing Baseline'!$C$37:$BL$37,0),FALSE),"")</f>
        <v/>
      </c>
      <c r="H260" s="238"/>
      <c r="I260" s="241" t="str">
        <f t="shared" si="6"/>
        <v>NA</v>
      </c>
    </row>
    <row r="261" spans="1:9">
      <c r="A261" s="233"/>
      <c r="B261" s="47"/>
      <c r="C261" s="234"/>
      <c r="D261" s="234"/>
      <c r="E261" s="234"/>
      <c r="F261" s="234"/>
      <c r="G261" s="236" t="str">
        <f>IFERROR(HLOOKUP(D261,'Financing Baseline'!$C$37:$BL$39,IF('High Level Dashboard'!$B$5="Foreign Currency",2,3),FALSE)/VLOOKUP(F261,'Financing Baseline'!$C$37:$BJ$44,MATCH(D261,'Financing Baseline'!$C$37:$BL$37,0),FALSE),"")</f>
        <v/>
      </c>
      <c r="H261" s="238"/>
      <c r="I261" s="241" t="str">
        <f t="shared" si="6"/>
        <v>NA</v>
      </c>
    </row>
    <row r="262" spans="1:9">
      <c r="A262" s="233"/>
      <c r="B262" s="47"/>
      <c r="C262" s="234"/>
      <c r="D262" s="234"/>
      <c r="E262" s="234"/>
      <c r="F262" s="234"/>
      <c r="G262" s="236" t="str">
        <f>IFERROR(HLOOKUP(D262,'Financing Baseline'!$C$37:$BL$39,IF('High Level Dashboard'!$B$5="Foreign Currency",2,3),FALSE)/VLOOKUP(F262,'Financing Baseline'!$C$37:$BJ$44,MATCH(D262,'Financing Baseline'!$C$37:$BL$37,0),FALSE),"")</f>
        <v/>
      </c>
      <c r="H262" s="238"/>
      <c r="I262" s="241" t="str">
        <f t="shared" si="6"/>
        <v>NA</v>
      </c>
    </row>
    <row r="263" spans="1:9">
      <c r="A263" s="233"/>
      <c r="B263" s="47"/>
      <c r="C263" s="234"/>
      <c r="D263" s="234"/>
      <c r="E263" s="234"/>
      <c r="F263" s="234"/>
      <c r="G263" s="236" t="str">
        <f>IFERROR(HLOOKUP(D263,'Financing Baseline'!$C$37:$BL$39,IF('High Level Dashboard'!$B$5="Foreign Currency",2,3),FALSE)/VLOOKUP(F263,'Financing Baseline'!$C$37:$BJ$44,MATCH(D263,'Financing Baseline'!$C$37:$BL$37,0),FALSE),"")</f>
        <v/>
      </c>
      <c r="H263" s="238"/>
      <c r="I263" s="241" t="str">
        <f t="shared" si="6"/>
        <v>NA</v>
      </c>
    </row>
    <row r="264" spans="1:9">
      <c r="A264" s="233"/>
      <c r="B264" s="47"/>
      <c r="C264" s="234"/>
      <c r="D264" s="234"/>
      <c r="E264" s="234"/>
      <c r="F264" s="234"/>
      <c r="G264" s="236" t="str">
        <f>IFERROR(HLOOKUP(D264,'Financing Baseline'!$C$37:$BL$39,IF('High Level Dashboard'!$B$5="Foreign Currency",2,3),FALSE)/VLOOKUP(F264,'Financing Baseline'!$C$37:$BJ$44,MATCH(D264,'Financing Baseline'!$C$37:$BL$37,0),FALSE),"")</f>
        <v/>
      </c>
      <c r="H264" s="238"/>
      <c r="I264" s="241" t="str">
        <f t="shared" si="6"/>
        <v>NA</v>
      </c>
    </row>
    <row r="265" spans="1:9">
      <c r="A265" s="233"/>
      <c r="B265" s="47"/>
      <c r="C265" s="234"/>
      <c r="D265" s="234"/>
      <c r="E265" s="234"/>
      <c r="F265" s="234"/>
      <c r="G265" s="236" t="str">
        <f>IFERROR(HLOOKUP(D265,'Financing Baseline'!$C$37:$BL$39,IF('High Level Dashboard'!$B$5="Foreign Currency",2,3),FALSE)/VLOOKUP(F265,'Financing Baseline'!$C$37:$BJ$44,MATCH(D265,'Financing Baseline'!$C$37:$BL$37,0),FALSE),"")</f>
        <v/>
      </c>
      <c r="H265" s="238"/>
      <c r="I265" s="241" t="str">
        <f t="shared" si="6"/>
        <v>NA</v>
      </c>
    </row>
    <row r="266" spans="1:9">
      <c r="A266" s="233"/>
      <c r="B266" s="47"/>
      <c r="C266" s="234"/>
      <c r="D266" s="234"/>
      <c r="E266" s="234"/>
      <c r="F266" s="234"/>
      <c r="G266" s="236" t="str">
        <f>IFERROR(HLOOKUP(D266,'Financing Baseline'!$C$37:$BL$39,IF('High Level Dashboard'!$B$5="Foreign Currency",2,3),FALSE)/VLOOKUP(F266,'Financing Baseline'!$C$37:$BJ$44,MATCH(D266,'Financing Baseline'!$C$37:$BL$37,0),FALSE),"")</f>
        <v/>
      </c>
      <c r="H266" s="238"/>
      <c r="I266" s="241" t="str">
        <f t="shared" si="6"/>
        <v>NA</v>
      </c>
    </row>
    <row r="267" spans="1:9">
      <c r="A267" s="233"/>
      <c r="B267" s="47"/>
      <c r="C267" s="234"/>
      <c r="D267" s="234"/>
      <c r="E267" s="234"/>
      <c r="F267" s="234"/>
      <c r="G267" s="236" t="str">
        <f>IFERROR(HLOOKUP(D267,'Financing Baseline'!$C$37:$BL$39,IF('High Level Dashboard'!$B$5="Foreign Currency",2,3),FALSE)/VLOOKUP(F267,'Financing Baseline'!$C$37:$BJ$44,MATCH(D267,'Financing Baseline'!$C$37:$BL$37,0),FALSE),"")</f>
        <v/>
      </c>
      <c r="H267" s="238"/>
      <c r="I267" s="241" t="str">
        <f t="shared" ref="I267:I302" si="7">IFERROR((E267/G267)*H267,"NA")</f>
        <v>NA</v>
      </c>
    </row>
    <row r="268" spans="1:9">
      <c r="A268" s="233"/>
      <c r="B268" s="47"/>
      <c r="C268" s="234"/>
      <c r="D268" s="234"/>
      <c r="E268" s="234"/>
      <c r="F268" s="234"/>
      <c r="G268" s="236" t="str">
        <f>IFERROR(HLOOKUP(D268,'Financing Baseline'!$C$37:$BL$39,IF('High Level Dashboard'!$B$5="Foreign Currency",2,3),FALSE)/VLOOKUP(F268,'Financing Baseline'!$C$37:$BJ$44,MATCH(D268,'Financing Baseline'!$C$37:$BL$37,0),FALSE),"")</f>
        <v/>
      </c>
      <c r="H268" s="238"/>
      <c r="I268" s="241" t="str">
        <f t="shared" si="7"/>
        <v>NA</v>
      </c>
    </row>
    <row r="269" spans="1:9">
      <c r="A269" s="233"/>
      <c r="B269" s="47"/>
      <c r="C269" s="234"/>
      <c r="D269" s="234"/>
      <c r="E269" s="234"/>
      <c r="F269" s="234"/>
      <c r="G269" s="236" t="str">
        <f>IFERROR(HLOOKUP(D269,'Financing Baseline'!$C$37:$BL$39,IF('High Level Dashboard'!$B$5="Foreign Currency",2,3),FALSE)/VLOOKUP(F269,'Financing Baseline'!$C$37:$BJ$44,MATCH(D269,'Financing Baseline'!$C$37:$BL$37,0),FALSE),"")</f>
        <v/>
      </c>
      <c r="H269" s="238"/>
      <c r="I269" s="241" t="str">
        <f t="shared" si="7"/>
        <v>NA</v>
      </c>
    </row>
    <row r="270" spans="1:9">
      <c r="A270" s="233"/>
      <c r="B270" s="47"/>
      <c r="C270" s="234"/>
      <c r="D270" s="234"/>
      <c r="E270" s="234"/>
      <c r="F270" s="234"/>
      <c r="G270" s="236" t="str">
        <f>IFERROR(HLOOKUP(D270,'Financing Baseline'!$C$37:$BL$39,IF('High Level Dashboard'!$B$5="Foreign Currency",2,3),FALSE)/VLOOKUP(F270,'Financing Baseline'!$C$37:$BJ$44,MATCH(D270,'Financing Baseline'!$C$37:$BL$37,0),FALSE),"")</f>
        <v/>
      </c>
      <c r="H270" s="238"/>
      <c r="I270" s="241" t="str">
        <f t="shared" si="7"/>
        <v>NA</v>
      </c>
    </row>
    <row r="271" spans="1:9">
      <c r="A271" s="233"/>
      <c r="B271" s="47"/>
      <c r="C271" s="234"/>
      <c r="D271" s="234"/>
      <c r="E271" s="234"/>
      <c r="F271" s="234"/>
      <c r="G271" s="236" t="str">
        <f>IFERROR(HLOOKUP(D271,'Financing Baseline'!$C$37:$BL$39,IF('High Level Dashboard'!$B$5="Foreign Currency",2,3),FALSE)/VLOOKUP(F271,'Financing Baseline'!$C$37:$BJ$44,MATCH(D271,'Financing Baseline'!$C$37:$BL$37,0),FALSE),"")</f>
        <v/>
      </c>
      <c r="H271" s="238"/>
      <c r="I271" s="241" t="str">
        <f t="shared" si="7"/>
        <v>NA</v>
      </c>
    </row>
    <row r="272" spans="1:9">
      <c r="A272" s="233"/>
      <c r="B272" s="47"/>
      <c r="C272" s="234"/>
      <c r="D272" s="234"/>
      <c r="E272" s="234"/>
      <c r="F272" s="234"/>
      <c r="G272" s="236" t="str">
        <f>IFERROR(HLOOKUP(D272,'Financing Baseline'!$C$37:$BL$39,IF('High Level Dashboard'!$B$5="Foreign Currency",2,3),FALSE)/VLOOKUP(F272,'Financing Baseline'!$C$37:$BJ$44,MATCH(D272,'Financing Baseline'!$C$37:$BL$37,0),FALSE),"")</f>
        <v/>
      </c>
      <c r="H272" s="238"/>
      <c r="I272" s="241" t="str">
        <f t="shared" si="7"/>
        <v>NA</v>
      </c>
    </row>
    <row r="273" spans="1:9">
      <c r="A273" s="233"/>
      <c r="B273" s="47"/>
      <c r="C273" s="234"/>
      <c r="D273" s="234"/>
      <c r="E273" s="234"/>
      <c r="F273" s="234"/>
      <c r="G273" s="236" t="str">
        <f>IFERROR(HLOOKUP(D273,'Financing Baseline'!$C$37:$BL$39,IF('High Level Dashboard'!$B$5="Foreign Currency",2,3),FALSE)/VLOOKUP(F273,'Financing Baseline'!$C$37:$BJ$44,MATCH(D273,'Financing Baseline'!$C$37:$BL$37,0),FALSE),"")</f>
        <v/>
      </c>
      <c r="H273" s="238"/>
      <c r="I273" s="241" t="str">
        <f t="shared" si="7"/>
        <v>NA</v>
      </c>
    </row>
    <row r="274" spans="1:9">
      <c r="A274" s="233"/>
      <c r="B274" s="47"/>
      <c r="C274" s="234"/>
      <c r="D274" s="234"/>
      <c r="E274" s="234"/>
      <c r="F274" s="234"/>
      <c r="G274" s="236" t="str">
        <f>IFERROR(HLOOKUP(D274,'Financing Baseline'!$C$37:$BL$39,IF('High Level Dashboard'!$B$5="Foreign Currency",2,3),FALSE)/VLOOKUP(F274,'Financing Baseline'!$C$37:$BJ$44,MATCH(D274,'Financing Baseline'!$C$37:$BL$37,0),FALSE),"")</f>
        <v/>
      </c>
      <c r="H274" s="238"/>
      <c r="I274" s="241" t="str">
        <f t="shared" si="7"/>
        <v>NA</v>
      </c>
    </row>
    <row r="275" spans="1:9">
      <c r="A275" s="233"/>
      <c r="B275" s="47"/>
      <c r="C275" s="234"/>
      <c r="D275" s="234"/>
      <c r="E275" s="234"/>
      <c r="F275" s="234"/>
      <c r="G275" s="236" t="str">
        <f>IFERROR(HLOOKUP(D275,'Financing Baseline'!$C$37:$BL$39,IF('High Level Dashboard'!$B$5="Foreign Currency",2,3),FALSE)/VLOOKUP(F275,'Financing Baseline'!$C$37:$BJ$44,MATCH(D275,'Financing Baseline'!$C$37:$BL$37,0),FALSE),"")</f>
        <v/>
      </c>
      <c r="H275" s="238"/>
      <c r="I275" s="241" t="str">
        <f t="shared" si="7"/>
        <v>NA</v>
      </c>
    </row>
    <row r="276" spans="1:9">
      <c r="A276" s="233"/>
      <c r="B276" s="47"/>
      <c r="C276" s="234"/>
      <c r="D276" s="234"/>
      <c r="E276" s="234"/>
      <c r="F276" s="234"/>
      <c r="G276" s="236" t="str">
        <f>IFERROR(HLOOKUP(D276,'Financing Baseline'!$C$37:$BL$39,IF('High Level Dashboard'!$B$5="Foreign Currency",2,3),FALSE)/VLOOKUP(F276,'Financing Baseline'!$C$37:$BJ$44,MATCH(D276,'Financing Baseline'!$C$37:$BL$37,0),FALSE),"")</f>
        <v/>
      </c>
      <c r="H276" s="238"/>
      <c r="I276" s="241" t="str">
        <f t="shared" si="7"/>
        <v>NA</v>
      </c>
    </row>
    <row r="277" spans="1:9">
      <c r="A277" s="233"/>
      <c r="B277" s="47"/>
      <c r="C277" s="234"/>
      <c r="D277" s="234"/>
      <c r="E277" s="234"/>
      <c r="F277" s="234"/>
      <c r="G277" s="236" t="str">
        <f>IFERROR(HLOOKUP(D277,'Financing Baseline'!$C$37:$BL$39,IF('High Level Dashboard'!$B$5="Foreign Currency",2,3),FALSE)/VLOOKUP(F277,'Financing Baseline'!$C$37:$BJ$44,MATCH(D277,'Financing Baseline'!$C$37:$BL$37,0),FALSE),"")</f>
        <v/>
      </c>
      <c r="H277" s="238"/>
      <c r="I277" s="241" t="str">
        <f t="shared" si="7"/>
        <v>NA</v>
      </c>
    </row>
    <row r="278" spans="1:9">
      <c r="A278" s="233"/>
      <c r="B278" s="47"/>
      <c r="C278" s="234"/>
      <c r="D278" s="234"/>
      <c r="E278" s="234"/>
      <c r="F278" s="234"/>
      <c r="G278" s="236" t="str">
        <f>IFERROR(HLOOKUP(D278,'Financing Baseline'!$C$37:$BL$39,IF('High Level Dashboard'!$B$5="Foreign Currency",2,3),FALSE)/VLOOKUP(F278,'Financing Baseline'!$C$37:$BJ$44,MATCH(D278,'Financing Baseline'!$C$37:$BL$37,0),FALSE),"")</f>
        <v/>
      </c>
      <c r="H278" s="238"/>
      <c r="I278" s="241" t="str">
        <f t="shared" si="7"/>
        <v>NA</v>
      </c>
    </row>
    <row r="279" spans="1:9">
      <c r="A279" s="233"/>
      <c r="B279" s="47"/>
      <c r="C279" s="234"/>
      <c r="D279" s="234"/>
      <c r="E279" s="234"/>
      <c r="F279" s="234"/>
      <c r="G279" s="236" t="str">
        <f>IFERROR(HLOOKUP(D279,'Financing Baseline'!$C$37:$BL$39,IF('High Level Dashboard'!$B$5="Foreign Currency",2,3),FALSE)/VLOOKUP(F279,'Financing Baseline'!$C$37:$BJ$44,MATCH(D279,'Financing Baseline'!$C$37:$BL$37,0),FALSE),"")</f>
        <v/>
      </c>
      <c r="H279" s="238"/>
      <c r="I279" s="241" t="str">
        <f t="shared" si="7"/>
        <v>NA</v>
      </c>
    </row>
    <row r="280" spans="1:9">
      <c r="A280" s="233"/>
      <c r="B280" s="47"/>
      <c r="C280" s="234"/>
      <c r="D280" s="234"/>
      <c r="E280" s="234"/>
      <c r="F280" s="234"/>
      <c r="G280" s="236" t="str">
        <f>IFERROR(HLOOKUP(D280,'Financing Baseline'!$C$37:$BL$39,IF('High Level Dashboard'!$B$5="Foreign Currency",2,3),FALSE)/VLOOKUP(F280,'Financing Baseline'!$C$37:$BJ$44,MATCH(D280,'Financing Baseline'!$C$37:$BL$37,0),FALSE),"")</f>
        <v/>
      </c>
      <c r="H280" s="238"/>
      <c r="I280" s="241" t="str">
        <f t="shared" si="7"/>
        <v>NA</v>
      </c>
    </row>
    <row r="281" spans="1:9">
      <c r="A281" s="233"/>
      <c r="B281" s="47"/>
      <c r="C281" s="234"/>
      <c r="D281" s="234"/>
      <c r="E281" s="234"/>
      <c r="F281" s="234"/>
      <c r="G281" s="236" t="str">
        <f>IFERROR(HLOOKUP(D281,'Financing Baseline'!$C$37:$BL$39,IF('High Level Dashboard'!$B$5="Foreign Currency",2,3),FALSE)/VLOOKUP(F281,'Financing Baseline'!$C$37:$BJ$44,MATCH(D281,'Financing Baseline'!$C$37:$BL$37,0),FALSE),"")</f>
        <v/>
      </c>
      <c r="H281" s="238"/>
      <c r="I281" s="241" t="str">
        <f t="shared" si="7"/>
        <v>NA</v>
      </c>
    </row>
    <row r="282" spans="1:9">
      <c r="A282" s="233"/>
      <c r="B282" s="47"/>
      <c r="C282" s="234"/>
      <c r="D282" s="234"/>
      <c r="E282" s="234"/>
      <c r="F282" s="234"/>
      <c r="G282" s="236" t="str">
        <f>IFERROR(HLOOKUP(D282,'Financing Baseline'!$C$37:$BL$39,IF('High Level Dashboard'!$B$5="Foreign Currency",2,3),FALSE)/VLOOKUP(F282,'Financing Baseline'!$C$37:$BJ$44,MATCH(D282,'Financing Baseline'!$C$37:$BL$37,0),FALSE),"")</f>
        <v/>
      </c>
      <c r="H282" s="238"/>
      <c r="I282" s="241" t="str">
        <f t="shared" si="7"/>
        <v>NA</v>
      </c>
    </row>
    <row r="283" spans="1:9">
      <c r="A283" s="233"/>
      <c r="B283" s="47"/>
      <c r="C283" s="234"/>
      <c r="D283" s="234"/>
      <c r="E283" s="234"/>
      <c r="F283" s="234"/>
      <c r="G283" s="236" t="str">
        <f>IFERROR(HLOOKUP(D283,'Financing Baseline'!$C$37:$BL$39,IF('High Level Dashboard'!$B$5="Foreign Currency",2,3),FALSE)/VLOOKUP(F283,'Financing Baseline'!$C$37:$BJ$44,MATCH(D283,'Financing Baseline'!$C$37:$BL$37,0),FALSE),"")</f>
        <v/>
      </c>
      <c r="H283" s="238"/>
      <c r="I283" s="241" t="str">
        <f t="shared" si="7"/>
        <v>NA</v>
      </c>
    </row>
    <row r="284" spans="1:9">
      <c r="A284" s="233"/>
      <c r="B284" s="47"/>
      <c r="C284" s="234"/>
      <c r="D284" s="234"/>
      <c r="E284" s="234"/>
      <c r="F284" s="234"/>
      <c r="G284" s="236" t="str">
        <f>IFERROR(HLOOKUP(D284,'Financing Baseline'!$C$37:$BL$39,IF('High Level Dashboard'!$B$5="Foreign Currency",2,3),FALSE)/VLOOKUP(F284,'Financing Baseline'!$C$37:$BJ$44,MATCH(D284,'Financing Baseline'!$C$37:$BL$37,0),FALSE),"")</f>
        <v/>
      </c>
      <c r="H284" s="238"/>
      <c r="I284" s="241" t="str">
        <f t="shared" si="7"/>
        <v>NA</v>
      </c>
    </row>
    <row r="285" spans="1:9">
      <c r="A285" s="233"/>
      <c r="B285" s="47"/>
      <c r="C285" s="234"/>
      <c r="D285" s="234"/>
      <c r="E285" s="234"/>
      <c r="F285" s="234"/>
      <c r="G285" s="236" t="str">
        <f>IFERROR(HLOOKUP(D285,'Financing Baseline'!$C$37:$BL$39,IF('High Level Dashboard'!$B$5="Foreign Currency",2,3),FALSE)/VLOOKUP(F285,'Financing Baseline'!$C$37:$BJ$44,MATCH(D285,'Financing Baseline'!$C$37:$BL$37,0),FALSE),"")</f>
        <v/>
      </c>
      <c r="H285" s="238"/>
      <c r="I285" s="241" t="str">
        <f t="shared" si="7"/>
        <v>NA</v>
      </c>
    </row>
    <row r="286" spans="1:9">
      <c r="A286" s="233"/>
      <c r="B286" s="47"/>
      <c r="C286" s="234"/>
      <c r="D286" s="234"/>
      <c r="E286" s="234"/>
      <c r="F286" s="234"/>
      <c r="G286" s="236" t="str">
        <f>IFERROR(HLOOKUP(D286,'Financing Baseline'!$C$37:$BL$39,IF('High Level Dashboard'!$B$5="Foreign Currency",2,3),FALSE)/VLOOKUP(F286,'Financing Baseline'!$C$37:$BJ$44,MATCH(D286,'Financing Baseline'!$C$37:$BL$37,0),FALSE),"")</f>
        <v/>
      </c>
      <c r="H286" s="238"/>
      <c r="I286" s="241" t="str">
        <f t="shared" si="7"/>
        <v>NA</v>
      </c>
    </row>
    <row r="287" spans="1:9">
      <c r="A287" s="233"/>
      <c r="B287" s="47"/>
      <c r="C287" s="234"/>
      <c r="D287" s="234"/>
      <c r="E287" s="234"/>
      <c r="F287" s="234"/>
      <c r="G287" s="236" t="str">
        <f>IFERROR(HLOOKUP(D287,'Financing Baseline'!$C$37:$BL$39,IF('High Level Dashboard'!$B$5="Foreign Currency",2,3),FALSE)/VLOOKUP(F287,'Financing Baseline'!$C$37:$BJ$44,MATCH(D287,'Financing Baseline'!$C$37:$BL$37,0),FALSE),"")</f>
        <v/>
      </c>
      <c r="H287" s="238"/>
      <c r="I287" s="241" t="str">
        <f t="shared" si="7"/>
        <v>NA</v>
      </c>
    </row>
    <row r="288" spans="1:9">
      <c r="A288" s="233"/>
      <c r="B288" s="47"/>
      <c r="C288" s="234"/>
      <c r="D288" s="234"/>
      <c r="E288" s="234"/>
      <c r="F288" s="234"/>
      <c r="G288" s="236" t="str">
        <f>IFERROR(HLOOKUP(D288,'Financing Baseline'!$C$37:$BL$39,IF('High Level Dashboard'!$B$5="Foreign Currency",2,3),FALSE)/VLOOKUP(F288,'Financing Baseline'!$C$37:$BJ$44,MATCH(D288,'Financing Baseline'!$C$37:$BL$37,0),FALSE),"")</f>
        <v/>
      </c>
      <c r="H288" s="238"/>
      <c r="I288" s="241" t="str">
        <f t="shared" si="7"/>
        <v>NA</v>
      </c>
    </row>
    <row r="289" spans="1:9">
      <c r="A289" s="233"/>
      <c r="B289" s="47"/>
      <c r="C289" s="234"/>
      <c r="D289" s="234"/>
      <c r="E289" s="234"/>
      <c r="F289" s="234"/>
      <c r="G289" s="236" t="str">
        <f>IFERROR(HLOOKUP(D289,'Financing Baseline'!$C$37:$BL$39,IF('High Level Dashboard'!$B$5="Foreign Currency",2,3),FALSE)/VLOOKUP(F289,'Financing Baseline'!$C$37:$BJ$44,MATCH(D289,'Financing Baseline'!$C$37:$BL$37,0),FALSE),"")</f>
        <v/>
      </c>
      <c r="H289" s="238"/>
      <c r="I289" s="241" t="str">
        <f t="shared" si="7"/>
        <v>NA</v>
      </c>
    </row>
    <row r="290" spans="1:9">
      <c r="A290" s="233"/>
      <c r="B290" s="47"/>
      <c r="C290" s="234"/>
      <c r="D290" s="234"/>
      <c r="E290" s="234"/>
      <c r="F290" s="234"/>
      <c r="G290" s="236" t="str">
        <f>IFERROR(HLOOKUP(D290,'Financing Baseline'!$C$37:$BL$39,IF('High Level Dashboard'!$B$5="Foreign Currency",2,3),FALSE)/VLOOKUP(F290,'Financing Baseline'!$C$37:$BJ$44,MATCH(D290,'Financing Baseline'!$C$37:$BL$37,0),FALSE),"")</f>
        <v/>
      </c>
      <c r="H290" s="238"/>
      <c r="I290" s="241" t="str">
        <f t="shared" si="7"/>
        <v>NA</v>
      </c>
    </row>
    <row r="291" spans="1:9">
      <c r="A291" s="233"/>
      <c r="B291" s="47"/>
      <c r="C291" s="234"/>
      <c r="D291" s="234"/>
      <c r="E291" s="234"/>
      <c r="F291" s="234"/>
      <c r="G291" s="236" t="str">
        <f>IFERROR(HLOOKUP(D291,'Financing Baseline'!$C$37:$BL$39,IF('High Level Dashboard'!$B$5="Foreign Currency",2,3),FALSE)/VLOOKUP(F291,'Financing Baseline'!$C$37:$BJ$44,MATCH(D291,'Financing Baseline'!$C$37:$BL$37,0),FALSE),"")</f>
        <v/>
      </c>
      <c r="H291" s="238"/>
      <c r="I291" s="241" t="str">
        <f t="shared" si="7"/>
        <v>NA</v>
      </c>
    </row>
    <row r="292" spans="1:9">
      <c r="A292" s="233"/>
      <c r="B292" s="47"/>
      <c r="C292" s="234"/>
      <c r="D292" s="234"/>
      <c r="E292" s="234"/>
      <c r="F292" s="234"/>
      <c r="G292" s="236" t="str">
        <f>IFERROR(HLOOKUP(D292,'Financing Baseline'!$C$37:$BL$39,IF('High Level Dashboard'!$B$5="Foreign Currency",2,3),FALSE)/VLOOKUP(F292,'Financing Baseline'!$C$37:$BJ$44,MATCH(D292,'Financing Baseline'!$C$37:$BL$37,0),FALSE),"")</f>
        <v/>
      </c>
      <c r="H292" s="238"/>
      <c r="I292" s="241" t="str">
        <f t="shared" si="7"/>
        <v>NA</v>
      </c>
    </row>
    <row r="293" spans="1:9">
      <c r="A293" s="233"/>
      <c r="B293" s="47"/>
      <c r="C293" s="234"/>
      <c r="D293" s="234"/>
      <c r="E293" s="234"/>
      <c r="F293" s="234"/>
      <c r="G293" s="236" t="str">
        <f>IFERROR(HLOOKUP(D293,'Financing Baseline'!$C$37:$BL$39,IF('High Level Dashboard'!$B$5="Foreign Currency",2,3),FALSE)/VLOOKUP(F293,'Financing Baseline'!$C$37:$BJ$44,MATCH(D293,'Financing Baseline'!$C$37:$BL$37,0),FALSE),"")</f>
        <v/>
      </c>
      <c r="H293" s="238"/>
      <c r="I293" s="241" t="str">
        <f t="shared" si="7"/>
        <v>NA</v>
      </c>
    </row>
    <row r="294" spans="1:9">
      <c r="A294" s="233"/>
      <c r="B294" s="47"/>
      <c r="C294" s="234"/>
      <c r="D294" s="234"/>
      <c r="E294" s="234"/>
      <c r="F294" s="234"/>
      <c r="G294" s="236" t="str">
        <f>IFERROR(HLOOKUP(D294,'Financing Baseline'!$C$37:$BL$39,IF('High Level Dashboard'!$B$5="Foreign Currency",2,3),FALSE)/VLOOKUP(F294,'Financing Baseline'!$C$37:$BJ$44,MATCH(D294,'Financing Baseline'!$C$37:$BL$37,0),FALSE),"")</f>
        <v/>
      </c>
      <c r="H294" s="238"/>
      <c r="I294" s="241" t="str">
        <f t="shared" si="7"/>
        <v>NA</v>
      </c>
    </row>
    <row r="295" spans="1:9">
      <c r="A295" s="233"/>
      <c r="B295" s="47"/>
      <c r="C295" s="234"/>
      <c r="D295" s="234"/>
      <c r="E295" s="234"/>
      <c r="F295" s="234"/>
      <c r="G295" s="236" t="str">
        <f>IFERROR(HLOOKUP(D295,'Financing Baseline'!$C$37:$BL$39,IF('High Level Dashboard'!$B$5="Foreign Currency",2,3),FALSE)/VLOOKUP(F295,'Financing Baseline'!$C$37:$BJ$44,MATCH(D295,'Financing Baseline'!$C$37:$BL$37,0),FALSE),"")</f>
        <v/>
      </c>
      <c r="H295" s="238"/>
      <c r="I295" s="241" t="str">
        <f t="shared" si="7"/>
        <v>NA</v>
      </c>
    </row>
    <row r="296" spans="1:9">
      <c r="A296" s="233"/>
      <c r="B296" s="47"/>
      <c r="C296" s="234"/>
      <c r="D296" s="234"/>
      <c r="E296" s="234"/>
      <c r="F296" s="234"/>
      <c r="G296" s="236" t="str">
        <f>IFERROR(HLOOKUP(D296,'Financing Baseline'!$C$37:$BL$39,IF('High Level Dashboard'!$B$5="Foreign Currency",2,3),FALSE)/VLOOKUP(F296,'Financing Baseline'!$C$37:$BJ$44,MATCH(D296,'Financing Baseline'!$C$37:$BL$37,0),FALSE),"")</f>
        <v/>
      </c>
      <c r="H296" s="238"/>
      <c r="I296" s="241" t="str">
        <f t="shared" si="7"/>
        <v>NA</v>
      </c>
    </row>
    <row r="297" spans="1:9">
      <c r="A297" s="233"/>
      <c r="B297" s="47"/>
      <c r="C297" s="234"/>
      <c r="D297" s="234"/>
      <c r="E297" s="234"/>
      <c r="F297" s="234"/>
      <c r="G297" s="236" t="str">
        <f>IFERROR(HLOOKUP(D297,'Financing Baseline'!$C$37:$BL$39,IF('High Level Dashboard'!$B$5="Foreign Currency",2,3),FALSE)/VLOOKUP(F297,'Financing Baseline'!$C$37:$BJ$44,MATCH(D297,'Financing Baseline'!$C$37:$BL$37,0),FALSE),"")</f>
        <v/>
      </c>
      <c r="H297" s="238"/>
      <c r="I297" s="241" t="str">
        <f t="shared" si="7"/>
        <v>NA</v>
      </c>
    </row>
    <row r="298" spans="1:9">
      <c r="A298" s="233"/>
      <c r="B298" s="47"/>
      <c r="C298" s="234"/>
      <c r="D298" s="234"/>
      <c r="E298" s="234"/>
      <c r="F298" s="234"/>
      <c r="G298" s="236" t="str">
        <f>IFERROR(HLOOKUP(D298,'Financing Baseline'!$C$37:$BL$39,IF('High Level Dashboard'!$B$5="Foreign Currency",2,3),FALSE)/VLOOKUP(F298,'Financing Baseline'!$C$37:$BJ$44,MATCH(D298,'Financing Baseline'!$C$37:$BL$37,0),FALSE),"")</f>
        <v/>
      </c>
      <c r="H298" s="238"/>
      <c r="I298" s="241" t="str">
        <f t="shared" si="7"/>
        <v>NA</v>
      </c>
    </row>
    <row r="299" spans="1:9">
      <c r="A299" s="233"/>
      <c r="B299" s="47"/>
      <c r="C299" s="234"/>
      <c r="D299" s="234"/>
      <c r="E299" s="234"/>
      <c r="F299" s="234"/>
      <c r="G299" s="236" t="str">
        <f>IFERROR(HLOOKUP(D299,'Financing Baseline'!$C$37:$BL$39,IF('High Level Dashboard'!$B$5="Foreign Currency",2,3),FALSE)/VLOOKUP(F299,'Financing Baseline'!$C$37:$BJ$44,MATCH(D299,'Financing Baseline'!$C$37:$BL$37,0),FALSE),"")</f>
        <v/>
      </c>
      <c r="H299" s="238"/>
      <c r="I299" s="241" t="str">
        <f t="shared" si="7"/>
        <v>NA</v>
      </c>
    </row>
    <row r="300" spans="1:9">
      <c r="A300" s="233"/>
      <c r="B300" s="47"/>
      <c r="C300" s="234"/>
      <c r="D300" s="234"/>
      <c r="E300" s="234"/>
      <c r="F300" s="234"/>
      <c r="G300" s="236" t="str">
        <f>IFERROR(HLOOKUP(D300,'Financing Baseline'!$C$37:$BL$39,IF('High Level Dashboard'!$B$5="Foreign Currency",2,3),FALSE)/VLOOKUP(F300,'Financing Baseline'!$C$37:$BJ$44,MATCH(D300,'Financing Baseline'!$C$37:$BL$37,0),FALSE),"")</f>
        <v/>
      </c>
      <c r="H300" s="238"/>
      <c r="I300" s="241" t="str">
        <f t="shared" si="7"/>
        <v>NA</v>
      </c>
    </row>
    <row r="301" spans="1:9">
      <c r="A301" s="233"/>
      <c r="B301" s="47"/>
      <c r="C301" s="234"/>
      <c r="D301" s="234"/>
      <c r="E301" s="234"/>
      <c r="F301" s="234"/>
      <c r="G301" s="236" t="str">
        <f>IFERROR(HLOOKUP(D301,'Financing Baseline'!$C$37:$BL$39,IF('High Level Dashboard'!$B$5="Foreign Currency",2,3),FALSE)/VLOOKUP(F301,'Financing Baseline'!$C$37:$BJ$44,MATCH(D301,'Financing Baseline'!$C$37:$BL$37,0),FALSE),"")</f>
        <v/>
      </c>
      <c r="H301" s="238"/>
      <c r="I301" s="241" t="str">
        <f t="shared" si="7"/>
        <v>NA</v>
      </c>
    </row>
    <row r="302" spans="1:9">
      <c r="A302" s="233"/>
      <c r="B302" s="47"/>
      <c r="C302" s="234"/>
      <c r="D302" s="234"/>
      <c r="E302" s="234"/>
      <c r="F302" s="234"/>
      <c r="G302" s="236" t="str">
        <f>IFERROR(HLOOKUP(D302,'Financing Baseline'!$C$37:$BL$39,IF('High Level Dashboard'!$B$5="Foreign Currency",2,3),FALSE)/VLOOKUP(F302,'Financing Baseline'!$C$37:$BJ$44,MATCH(D302,'Financing Baseline'!$C$37:$BL$37,0),FALSE),"")</f>
        <v/>
      </c>
      <c r="H302" s="238"/>
      <c r="I302" s="240" t="str">
        <f t="shared" si="7"/>
        <v>NA</v>
      </c>
    </row>
    <row r="303" spans="1:9">
      <c r="A303" s="230"/>
      <c r="B303" s="231"/>
      <c r="C303" s="239"/>
      <c r="D303" s="239"/>
      <c r="E303" s="239"/>
      <c r="F303" s="239"/>
      <c r="G303" s="239"/>
      <c r="H303" s="239"/>
      <c r="I303" s="239"/>
    </row>
    <row r="304" spans="1:9">
      <c r="A304" s="42"/>
    </row>
    <row r="305" spans="1:1">
      <c r="A305" s="42"/>
    </row>
  </sheetData>
  <phoneticPr fontId="24"/>
  <dataValidations count="2">
    <dataValidation type="list" allowBlank="1" showInputMessage="1" showErrorMessage="1" sqref="C11:C302" xr:uid="{E06CA045-5235-9D41-AA53-851E43235D38}">
      <formula1>"SOE Gen., Budget, Grant"</formula1>
    </dataValidation>
    <dataValidation type="decimal" allowBlank="1" showInputMessage="1" showErrorMessage="1" sqref="H11:H302" xr:uid="{0224C696-A68F-474A-ACC6-5424F4B66276}">
      <formula1>0</formula1>
      <formula2>1</formula2>
    </dataValidation>
  </dataValidations>
  <pageMargins left="0.7" right="0.7" top="0.75" bottom="0.75" header="0.3" footer="0.3"/>
  <pageSetup paperSize="9" orientation="portrait" r:id="rId1"/>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r:uid="{E42E2294-F4EE-4B08-820C-A8E941743791}">
          <x14:formula1>
            <xm:f>'Financing Baseline'!$C$38:$C$44</xm:f>
          </x14:formula1>
          <xm:sqref>F11:F302</xm:sqref>
        </x14:dataValidation>
      </x14:dataValidations>
    </ext>
  </extLs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1F89CD-FA45-48D1-84F5-20C17A1D61DB}">
  <sheetPr codeName="Sheet6">
    <tabColor theme="1"/>
  </sheetPr>
  <dimension ref="A1:AZ196"/>
  <sheetViews>
    <sheetView showGridLines="0" topLeftCell="A147" zoomScale="55" zoomScaleNormal="55" workbookViewId="0">
      <selection activeCell="A124" sqref="A124:B124"/>
    </sheetView>
  </sheetViews>
  <sheetFormatPr defaultColWidth="8.796875" defaultRowHeight="14.25" outlineLevelRow="1"/>
  <cols>
    <col min="1" max="1" width="37" bestFit="1" customWidth="1"/>
    <col min="2" max="2" width="24.46484375" customWidth="1"/>
    <col min="3" max="4" width="11.46484375" bestFit="1" customWidth="1"/>
    <col min="5" max="5" width="10.796875" bestFit="1" customWidth="1"/>
    <col min="6" max="6" width="12.796875" bestFit="1" customWidth="1"/>
    <col min="7" max="7" width="10.796875" bestFit="1" customWidth="1"/>
    <col min="8" max="13" width="12.796875" bestFit="1" customWidth="1"/>
    <col min="14" max="14" width="12.46484375" bestFit="1" customWidth="1"/>
    <col min="15" max="16" width="12.796875" bestFit="1" customWidth="1"/>
    <col min="17" max="17" width="13.19921875" bestFit="1" customWidth="1"/>
    <col min="18" max="18" width="12.796875" bestFit="1" customWidth="1"/>
    <col min="19" max="20" width="13.19921875" bestFit="1" customWidth="1"/>
    <col min="21" max="21" width="12.796875" bestFit="1" customWidth="1"/>
    <col min="22" max="23" width="13.19921875" bestFit="1" customWidth="1"/>
    <col min="24" max="24" width="12.796875" bestFit="1" customWidth="1"/>
    <col min="25" max="29" width="13.19921875" bestFit="1" customWidth="1"/>
    <col min="30" max="30" width="12.796875" bestFit="1" customWidth="1"/>
    <col min="31" max="34" width="13.19921875" bestFit="1" customWidth="1"/>
    <col min="35" max="35" width="12.796875" bestFit="1" customWidth="1"/>
    <col min="36" max="45" width="13.19921875" bestFit="1" customWidth="1"/>
    <col min="46" max="46" width="12.796875" bestFit="1" customWidth="1"/>
    <col min="47" max="48" width="13.19921875" bestFit="1" customWidth="1"/>
    <col min="49" max="49" width="9.796875" bestFit="1" customWidth="1"/>
  </cols>
  <sheetData>
    <row r="1" spans="1:49" ht="46.9">
      <c r="A1" s="498" t="s">
        <v>0</v>
      </c>
      <c r="B1" s="497"/>
      <c r="C1" s="497"/>
      <c r="D1" s="497"/>
      <c r="E1" s="497"/>
      <c r="F1" s="481"/>
      <c r="G1" s="481"/>
      <c r="H1" s="481"/>
      <c r="I1" s="481"/>
      <c r="J1" s="481"/>
      <c r="K1" s="481"/>
      <c r="L1" s="481"/>
      <c r="M1" s="481"/>
      <c r="N1" s="481"/>
      <c r="O1" s="481"/>
      <c r="P1" s="481"/>
      <c r="Q1" s="481"/>
      <c r="R1" s="481"/>
      <c r="S1" s="481"/>
      <c r="T1" s="481"/>
      <c r="U1" s="481"/>
      <c r="V1" s="481"/>
      <c r="W1" s="481"/>
      <c r="X1" s="481"/>
      <c r="Y1" s="481"/>
      <c r="Z1" s="481"/>
      <c r="AA1" s="481"/>
      <c r="AB1" s="481"/>
      <c r="AC1" s="481"/>
      <c r="AD1" s="481"/>
      <c r="AE1" s="481"/>
      <c r="AF1" s="481"/>
      <c r="AG1" s="481"/>
      <c r="AH1" s="481"/>
      <c r="AI1" s="481"/>
      <c r="AJ1" s="481"/>
      <c r="AK1" s="481"/>
      <c r="AL1" s="481"/>
      <c r="AM1" s="481"/>
      <c r="AN1" s="481"/>
      <c r="AO1" s="481"/>
      <c r="AP1" s="481"/>
      <c r="AQ1" s="481"/>
      <c r="AR1" s="481"/>
      <c r="AS1" s="481"/>
      <c r="AT1" s="481"/>
      <c r="AU1" s="481"/>
      <c r="AV1" s="481"/>
    </row>
    <row r="2" spans="1:49" ht="25.5">
      <c r="A2" s="499" t="s">
        <v>615</v>
      </c>
      <c r="B2" s="497"/>
      <c r="C2" s="497"/>
      <c r="D2" s="497"/>
      <c r="E2" s="497"/>
      <c r="F2" s="481"/>
      <c r="G2" s="481"/>
      <c r="H2" s="481"/>
      <c r="I2" s="481"/>
      <c r="J2" s="481"/>
      <c r="K2" s="481"/>
      <c r="L2" s="481"/>
      <c r="M2" s="481"/>
      <c r="N2" s="481"/>
      <c r="O2" s="481"/>
      <c r="P2" s="481"/>
      <c r="Q2" s="481"/>
      <c r="R2" s="481"/>
      <c r="S2" s="481"/>
      <c r="T2" s="481"/>
      <c r="U2" s="481"/>
      <c r="V2" s="481"/>
      <c r="W2" s="481"/>
      <c r="X2" s="481"/>
      <c r="Y2" s="481"/>
      <c r="Z2" s="481"/>
      <c r="AA2" s="481"/>
      <c r="AB2" s="481"/>
      <c r="AC2" s="481"/>
      <c r="AD2" s="481"/>
      <c r="AE2" s="481"/>
      <c r="AF2" s="481"/>
      <c r="AG2" s="481"/>
      <c r="AH2" s="481"/>
      <c r="AI2" s="481"/>
      <c r="AJ2" s="481"/>
      <c r="AK2" s="481"/>
      <c r="AL2" s="481"/>
      <c r="AM2" s="481"/>
      <c r="AN2" s="481"/>
      <c r="AO2" s="481"/>
      <c r="AP2" s="481"/>
      <c r="AQ2" s="481"/>
      <c r="AR2" s="481"/>
      <c r="AS2" s="481"/>
      <c r="AT2" s="481"/>
      <c r="AU2" s="481"/>
      <c r="AV2" s="481"/>
    </row>
    <row r="4" spans="1:49" s="2" customFormat="1" ht="15.75">
      <c r="A4" s="227" t="s">
        <v>616</v>
      </c>
      <c r="B4" s="296"/>
      <c r="C4" s="560">
        <v>2025</v>
      </c>
      <c r="D4" s="560">
        <v>2026</v>
      </c>
      <c r="E4" s="560">
        <v>2027</v>
      </c>
      <c r="F4" s="560">
        <v>2028</v>
      </c>
      <c r="G4" s="560">
        <v>2029</v>
      </c>
      <c r="H4" s="560">
        <v>2030</v>
      </c>
      <c r="I4" s="560">
        <v>2031</v>
      </c>
      <c r="J4" s="560">
        <v>2032</v>
      </c>
      <c r="K4" s="560">
        <v>2033</v>
      </c>
      <c r="L4" s="560">
        <v>2034</v>
      </c>
      <c r="M4" s="560">
        <v>2035</v>
      </c>
      <c r="N4" s="560">
        <v>2036</v>
      </c>
      <c r="O4" s="560">
        <v>2037</v>
      </c>
      <c r="P4" s="560">
        <v>2038</v>
      </c>
      <c r="Q4" s="560">
        <v>2039</v>
      </c>
      <c r="R4" s="560">
        <v>2040</v>
      </c>
      <c r="S4" s="560">
        <v>2041</v>
      </c>
      <c r="T4" s="560">
        <v>2042</v>
      </c>
      <c r="U4" s="560">
        <v>2043</v>
      </c>
      <c r="V4" s="560">
        <v>2044</v>
      </c>
      <c r="W4" s="560">
        <v>2045</v>
      </c>
      <c r="X4" s="560">
        <v>2046</v>
      </c>
      <c r="Y4" s="560">
        <v>2047</v>
      </c>
      <c r="Z4" s="560">
        <v>2048</v>
      </c>
      <c r="AA4" s="560">
        <v>2049</v>
      </c>
      <c r="AB4" s="560">
        <v>2050</v>
      </c>
      <c r="AC4" s="560">
        <v>2051</v>
      </c>
      <c r="AD4" s="560">
        <v>2052</v>
      </c>
      <c r="AE4" s="560">
        <v>2053</v>
      </c>
      <c r="AF4" s="560">
        <v>2054</v>
      </c>
      <c r="AG4" s="560">
        <v>2055</v>
      </c>
      <c r="AH4" s="560">
        <v>2056</v>
      </c>
      <c r="AI4" s="560">
        <v>2057</v>
      </c>
      <c r="AJ4" s="560">
        <v>2058</v>
      </c>
      <c r="AK4" s="560">
        <v>2059</v>
      </c>
      <c r="AL4" s="560">
        <v>2060</v>
      </c>
      <c r="AM4" s="560">
        <v>2061</v>
      </c>
      <c r="AN4" s="560">
        <v>2062</v>
      </c>
      <c r="AO4" s="560">
        <v>2063</v>
      </c>
      <c r="AP4" s="560">
        <v>2064</v>
      </c>
      <c r="AQ4" s="560">
        <v>2065</v>
      </c>
      <c r="AR4" s="560">
        <v>2066</v>
      </c>
      <c r="AS4" s="560">
        <v>2067</v>
      </c>
      <c r="AT4" s="560">
        <v>2068</v>
      </c>
      <c r="AU4" s="560">
        <v>2069</v>
      </c>
      <c r="AV4" s="561">
        <v>2070</v>
      </c>
    </row>
    <row r="5" spans="1:49" s="19" customFormat="1">
      <c r="A5" s="749" t="s">
        <v>617</v>
      </c>
      <c r="B5" s="749"/>
      <c r="C5" s="133">
        <f>C6+C9</f>
        <v>850.28309999999999</v>
      </c>
      <c r="D5" s="133">
        <f t="shared" ref="D5:AV5" si="0">D6+D9</f>
        <v>891.30279999999993</v>
      </c>
      <c r="E5" s="133">
        <f t="shared" si="0"/>
        <v>892.31080000000009</v>
      </c>
      <c r="F5" s="133">
        <f t="shared" si="0"/>
        <v>783.88200000000006</v>
      </c>
      <c r="G5" s="133">
        <f t="shared" si="0"/>
        <v>1637.2811999999999</v>
      </c>
      <c r="H5" s="133">
        <f t="shared" si="0"/>
        <v>966.93870000000004</v>
      </c>
      <c r="I5" s="133">
        <f t="shared" si="0"/>
        <v>1100.6995999999999</v>
      </c>
      <c r="J5" s="133">
        <f t="shared" si="0"/>
        <v>792.58999999999992</v>
      </c>
      <c r="K5" s="133">
        <f t="shared" si="0"/>
        <v>758.73990000000003</v>
      </c>
      <c r="L5" s="133">
        <f t="shared" si="0"/>
        <v>1222.0521999999999</v>
      </c>
      <c r="M5" s="133">
        <f>M6+M9</f>
        <v>963.81530000000009</v>
      </c>
      <c r="N5" s="133">
        <f t="shared" si="0"/>
        <v>1388.3742999999999</v>
      </c>
      <c r="O5" s="133">
        <f t="shared" si="0"/>
        <v>1304.9629000000002</v>
      </c>
      <c r="P5" s="133">
        <f t="shared" si="0"/>
        <v>1267.4485999999999</v>
      </c>
      <c r="Q5" s="133">
        <f t="shared" si="0"/>
        <v>1759.1960000000001</v>
      </c>
      <c r="R5" s="133">
        <f t="shared" si="0"/>
        <v>2280.2151999999996</v>
      </c>
      <c r="S5" s="133">
        <f t="shared" si="0"/>
        <v>1956.6569000000002</v>
      </c>
      <c r="T5" s="133">
        <f t="shared" si="0"/>
        <v>1301.3557000000001</v>
      </c>
      <c r="U5" s="133">
        <f t="shared" si="0"/>
        <v>1359.3568</v>
      </c>
      <c r="V5" s="133">
        <f t="shared" si="0"/>
        <v>1463.7227</v>
      </c>
      <c r="W5" s="133">
        <f t="shared" si="0"/>
        <v>1575.0400999999999</v>
      </c>
      <c r="X5" s="133">
        <f t="shared" si="0"/>
        <v>1687.5381</v>
      </c>
      <c r="Y5" s="133">
        <f t="shared" si="0"/>
        <v>1800.9875999999999</v>
      </c>
      <c r="Z5" s="133">
        <f t="shared" si="0"/>
        <v>1922.2903000000001</v>
      </c>
      <c r="AA5" s="133">
        <f t="shared" si="0"/>
        <v>2099.6988000000001</v>
      </c>
      <c r="AB5" s="133">
        <f t="shared" si="0"/>
        <v>2430.3555999999999</v>
      </c>
      <c r="AC5" s="133">
        <f t="shared" si="0"/>
        <v>2368.0668999999998</v>
      </c>
      <c r="AD5" s="133">
        <f t="shared" si="0"/>
        <v>2207.9177</v>
      </c>
      <c r="AE5" s="133">
        <f t="shared" si="0"/>
        <v>2225.7754999999997</v>
      </c>
      <c r="AF5" s="133">
        <f t="shared" si="0"/>
        <v>3004.1397999999995</v>
      </c>
      <c r="AG5" s="133">
        <f t="shared" si="0"/>
        <v>2080.1179999999999</v>
      </c>
      <c r="AH5" s="133">
        <f t="shared" si="0"/>
        <v>2280.6886</v>
      </c>
      <c r="AI5" s="133">
        <f t="shared" si="0"/>
        <v>2009.4267</v>
      </c>
      <c r="AJ5" s="133">
        <f t="shared" si="0"/>
        <v>1955.1030000000001</v>
      </c>
      <c r="AK5" s="133">
        <f t="shared" si="0"/>
        <v>2393.1575999999995</v>
      </c>
      <c r="AL5" s="133">
        <f t="shared" si="0"/>
        <v>2083.9499000000001</v>
      </c>
      <c r="AM5" s="133">
        <f t="shared" si="0"/>
        <v>2543.0387999999998</v>
      </c>
      <c r="AN5" s="133">
        <f t="shared" si="0"/>
        <v>2416.4369999999999</v>
      </c>
      <c r="AO5" s="133">
        <f t="shared" si="0"/>
        <v>2379.3407999999999</v>
      </c>
      <c r="AP5" s="133">
        <f t="shared" si="0"/>
        <v>2812.2185999999997</v>
      </c>
      <c r="AQ5" s="133">
        <f t="shared" si="0"/>
        <v>3282.4703999999997</v>
      </c>
      <c r="AR5" s="133">
        <f t="shared" si="0"/>
        <v>2891.0751</v>
      </c>
      <c r="AS5" s="133">
        <f t="shared" si="0"/>
        <v>2267.7013999999999</v>
      </c>
      <c r="AT5" s="133">
        <f t="shared" si="0"/>
        <v>2240.1758</v>
      </c>
      <c r="AU5" s="133">
        <f t="shared" si="0"/>
        <v>2447.7587999999996</v>
      </c>
      <c r="AV5" s="133">
        <f t="shared" si="0"/>
        <v>2598.8757999999998</v>
      </c>
    </row>
    <row r="6" spans="1:49" s="22" customFormat="1">
      <c r="A6" s="750" t="str">
        <f>"Financing Need for Construction of "&amp;'OSeMOSYS (Input)'!$C$4&amp;" Energy Scenario"</f>
        <v>Financing Need for Construction of NetZero Energy Scenario</v>
      </c>
      <c r="B6" s="750"/>
      <c r="C6" s="134">
        <f>C65</f>
        <v>850.28309999999999</v>
      </c>
      <c r="D6" s="134">
        <f t="shared" ref="D6:AV6" si="1">D65</f>
        <v>891.30279999999993</v>
      </c>
      <c r="E6" s="134">
        <f t="shared" si="1"/>
        <v>892.31080000000009</v>
      </c>
      <c r="F6" s="134">
        <f t="shared" si="1"/>
        <v>783.88200000000006</v>
      </c>
      <c r="G6" s="134">
        <f t="shared" si="1"/>
        <v>1637.2811999999999</v>
      </c>
      <c r="H6" s="134">
        <f t="shared" si="1"/>
        <v>966.93870000000004</v>
      </c>
      <c r="I6" s="134">
        <f t="shared" si="1"/>
        <v>1100.6995999999999</v>
      </c>
      <c r="J6" s="134">
        <f t="shared" si="1"/>
        <v>792.58999999999992</v>
      </c>
      <c r="K6" s="134">
        <f t="shared" si="1"/>
        <v>758.73990000000003</v>
      </c>
      <c r="L6" s="134">
        <f t="shared" si="1"/>
        <v>1222.0521999999999</v>
      </c>
      <c r="M6" s="134">
        <f t="shared" si="1"/>
        <v>963.81530000000009</v>
      </c>
      <c r="N6" s="134">
        <f t="shared" si="1"/>
        <v>1388.3742999999999</v>
      </c>
      <c r="O6" s="134">
        <f t="shared" si="1"/>
        <v>1304.9629000000002</v>
      </c>
      <c r="P6" s="134">
        <f t="shared" si="1"/>
        <v>1267.4485999999999</v>
      </c>
      <c r="Q6" s="134">
        <f t="shared" si="1"/>
        <v>1759.1960000000001</v>
      </c>
      <c r="R6" s="134">
        <f t="shared" si="1"/>
        <v>2280.2151999999996</v>
      </c>
      <c r="S6" s="134">
        <f t="shared" si="1"/>
        <v>1956.6569000000002</v>
      </c>
      <c r="T6" s="134">
        <f t="shared" si="1"/>
        <v>1301.3557000000001</v>
      </c>
      <c r="U6" s="134">
        <f t="shared" si="1"/>
        <v>1359.3568</v>
      </c>
      <c r="V6" s="134">
        <f t="shared" si="1"/>
        <v>1463.7227</v>
      </c>
      <c r="W6" s="134">
        <f t="shared" si="1"/>
        <v>1575.0400999999999</v>
      </c>
      <c r="X6" s="134">
        <f t="shared" si="1"/>
        <v>1687.5381</v>
      </c>
      <c r="Y6" s="134">
        <f t="shared" si="1"/>
        <v>1800.9875999999999</v>
      </c>
      <c r="Z6" s="134">
        <f t="shared" si="1"/>
        <v>1922.2903000000001</v>
      </c>
      <c r="AA6" s="134">
        <f t="shared" si="1"/>
        <v>2099.6988000000001</v>
      </c>
      <c r="AB6" s="134">
        <f t="shared" si="1"/>
        <v>2430.3555999999999</v>
      </c>
      <c r="AC6" s="134">
        <f t="shared" si="1"/>
        <v>2368.0668999999998</v>
      </c>
      <c r="AD6" s="134">
        <f t="shared" si="1"/>
        <v>2207.9177</v>
      </c>
      <c r="AE6" s="134">
        <f t="shared" si="1"/>
        <v>2225.7754999999997</v>
      </c>
      <c r="AF6" s="134">
        <f t="shared" si="1"/>
        <v>3004.1397999999995</v>
      </c>
      <c r="AG6" s="134">
        <f t="shared" si="1"/>
        <v>2080.1179999999999</v>
      </c>
      <c r="AH6" s="134">
        <f t="shared" si="1"/>
        <v>2280.6886</v>
      </c>
      <c r="AI6" s="134">
        <f t="shared" si="1"/>
        <v>2009.4267</v>
      </c>
      <c r="AJ6" s="134">
        <f t="shared" si="1"/>
        <v>1955.1030000000001</v>
      </c>
      <c r="AK6" s="134">
        <f t="shared" si="1"/>
        <v>2393.1575999999995</v>
      </c>
      <c r="AL6" s="134">
        <f t="shared" si="1"/>
        <v>2083.9499000000001</v>
      </c>
      <c r="AM6" s="134">
        <f t="shared" si="1"/>
        <v>2543.0387999999998</v>
      </c>
      <c r="AN6" s="134">
        <f t="shared" si="1"/>
        <v>2416.4369999999999</v>
      </c>
      <c r="AO6" s="134">
        <f t="shared" si="1"/>
        <v>2379.3407999999999</v>
      </c>
      <c r="AP6" s="134">
        <f t="shared" si="1"/>
        <v>2812.2185999999997</v>
      </c>
      <c r="AQ6" s="134">
        <f t="shared" si="1"/>
        <v>3282.4703999999997</v>
      </c>
      <c r="AR6" s="134">
        <f t="shared" si="1"/>
        <v>2891.0751</v>
      </c>
      <c r="AS6" s="134">
        <f t="shared" si="1"/>
        <v>2267.7013999999999</v>
      </c>
      <c r="AT6" s="134">
        <f t="shared" si="1"/>
        <v>2240.1758</v>
      </c>
      <c r="AU6" s="134">
        <f t="shared" si="1"/>
        <v>2447.7587999999996</v>
      </c>
      <c r="AV6" s="134">
        <f t="shared" si="1"/>
        <v>2598.8757999999998</v>
      </c>
    </row>
    <row r="7" spans="1:49" s="22" customFormat="1">
      <c r="A7" s="750" t="str">
        <f>"Financing Need for Construction of "&amp;'OSeMOSYS (Input)'!$C$5&amp;" Energy Scenario"</f>
        <v>Financing Need for Construction of LeastCost Energy Scenario</v>
      </c>
      <c r="B7" s="750"/>
      <c r="C7" s="134">
        <f>C117</f>
        <v>550.28309999999999</v>
      </c>
      <c r="D7" s="134">
        <f t="shared" ref="D7:AV7" si="2">D117</f>
        <v>891.30279999999993</v>
      </c>
      <c r="E7" s="134">
        <f t="shared" si="2"/>
        <v>859.85770000000014</v>
      </c>
      <c r="F7" s="134">
        <f t="shared" si="2"/>
        <v>783.88200000000006</v>
      </c>
      <c r="G7" s="134">
        <f t="shared" si="2"/>
        <v>1637.2811999999999</v>
      </c>
      <c r="H7" s="134">
        <f t="shared" si="2"/>
        <v>1023.3453000000001</v>
      </c>
      <c r="I7" s="134">
        <f t="shared" si="2"/>
        <v>1265.5083</v>
      </c>
      <c r="J7" s="134">
        <f t="shared" si="2"/>
        <v>769.26179999999999</v>
      </c>
      <c r="K7" s="134">
        <f t="shared" si="2"/>
        <v>787.60719999999992</v>
      </c>
      <c r="L7" s="134">
        <f t="shared" si="2"/>
        <v>1327.6976</v>
      </c>
      <c r="M7" s="134">
        <f t="shared" si="2"/>
        <v>977.47140000000002</v>
      </c>
      <c r="N7" s="134">
        <f t="shared" si="2"/>
        <v>1422.614</v>
      </c>
      <c r="O7" s="134">
        <f t="shared" si="2"/>
        <v>1388.1181000000001</v>
      </c>
      <c r="P7" s="134">
        <f t="shared" si="2"/>
        <v>1338.3447999999999</v>
      </c>
      <c r="Q7" s="134">
        <f t="shared" si="2"/>
        <v>1759.1960000000001</v>
      </c>
      <c r="R7" s="134">
        <f t="shared" si="2"/>
        <v>2194.2011999999995</v>
      </c>
      <c r="S7" s="134">
        <f t="shared" si="2"/>
        <v>1972.2902000000001</v>
      </c>
      <c r="T7" s="134">
        <f t="shared" si="2"/>
        <v>1328.5142000000001</v>
      </c>
      <c r="U7" s="134">
        <f t="shared" si="2"/>
        <v>1359.3568</v>
      </c>
      <c r="V7" s="134">
        <f t="shared" si="2"/>
        <v>1463.7227</v>
      </c>
      <c r="W7" s="134">
        <f t="shared" si="2"/>
        <v>1575.0400999999999</v>
      </c>
      <c r="X7" s="134">
        <f t="shared" si="2"/>
        <v>1687.5381</v>
      </c>
      <c r="Y7" s="134">
        <f t="shared" si="2"/>
        <v>1845.2716999999998</v>
      </c>
      <c r="Z7" s="134">
        <f t="shared" si="2"/>
        <v>2124.9576999999999</v>
      </c>
      <c r="AA7" s="134">
        <f t="shared" si="2"/>
        <v>2198.3962999999999</v>
      </c>
      <c r="AB7" s="134">
        <f t="shared" si="2"/>
        <v>2514.3019000000004</v>
      </c>
      <c r="AC7" s="134">
        <f t="shared" si="2"/>
        <v>2764.5448999999999</v>
      </c>
      <c r="AD7" s="134">
        <f t="shared" si="2"/>
        <v>2166.1093000000001</v>
      </c>
      <c r="AE7" s="134">
        <f t="shared" si="2"/>
        <v>2026.9261000000001</v>
      </c>
      <c r="AF7" s="134">
        <f t="shared" si="2"/>
        <v>2803.8788</v>
      </c>
      <c r="AG7" s="134">
        <f t="shared" si="2"/>
        <v>1955.2348999999999</v>
      </c>
      <c r="AH7" s="134">
        <f t="shared" si="2"/>
        <v>2339.9332999999997</v>
      </c>
      <c r="AI7" s="134">
        <f t="shared" si="2"/>
        <v>1887.2440000000001</v>
      </c>
      <c r="AJ7" s="134">
        <f t="shared" si="2"/>
        <v>1969.2959000000001</v>
      </c>
      <c r="AK7" s="134">
        <f t="shared" si="2"/>
        <v>2395.5834999999997</v>
      </c>
      <c r="AL7" s="134">
        <f t="shared" si="2"/>
        <v>2030.2130999999999</v>
      </c>
      <c r="AM7" s="134">
        <f t="shared" si="2"/>
        <v>2513.4224999999997</v>
      </c>
      <c r="AN7" s="134">
        <f t="shared" si="2"/>
        <v>2355.2791000000002</v>
      </c>
      <c r="AO7" s="134">
        <f t="shared" si="2"/>
        <v>2286.4155999999998</v>
      </c>
      <c r="AP7" s="134">
        <f t="shared" si="2"/>
        <v>2718.3445999999999</v>
      </c>
      <c r="AQ7" s="134">
        <f t="shared" si="2"/>
        <v>3075.9814000000001</v>
      </c>
      <c r="AR7" s="134">
        <f t="shared" si="2"/>
        <v>2853.1113</v>
      </c>
      <c r="AS7" s="134">
        <f t="shared" si="2"/>
        <v>2238.9319</v>
      </c>
      <c r="AT7" s="134">
        <f t="shared" si="2"/>
        <v>2167.7793000000001</v>
      </c>
      <c r="AU7" s="134">
        <f t="shared" si="2"/>
        <v>2364.3987999999999</v>
      </c>
      <c r="AV7" s="134">
        <f t="shared" si="2"/>
        <v>2501.8254000000002</v>
      </c>
    </row>
    <row r="8" spans="1:49" s="22" customFormat="1">
      <c r="A8" s="750" t="str">
        <f>"Incremental Financing Need for "&amp;'OSeMOSYS (Input)'!$C$4&amp;" Scenario"</f>
        <v>Incremental Financing Need for NetZero Scenario</v>
      </c>
      <c r="B8" s="750"/>
      <c r="C8" s="134">
        <f>C12</f>
        <v>300.00000000000006</v>
      </c>
      <c r="D8" s="134">
        <f t="shared" ref="D8:AV8" si="3">D12</f>
        <v>0</v>
      </c>
      <c r="E8" s="134">
        <f t="shared" si="3"/>
        <v>32.453099999999992</v>
      </c>
      <c r="F8" s="134">
        <f t="shared" si="3"/>
        <v>0</v>
      </c>
      <c r="G8" s="134">
        <f t="shared" si="3"/>
        <v>0</v>
      </c>
      <c r="H8" s="134">
        <f t="shared" si="3"/>
        <v>-56.406599999999997</v>
      </c>
      <c r="I8" s="134">
        <f t="shared" si="3"/>
        <v>-164.80869999999993</v>
      </c>
      <c r="J8" s="134">
        <f t="shared" si="3"/>
        <v>23.328200000000002</v>
      </c>
      <c r="K8" s="134">
        <f t="shared" si="3"/>
        <v>-28.8673</v>
      </c>
      <c r="L8" s="134">
        <f t="shared" si="3"/>
        <v>-105.6454</v>
      </c>
      <c r="M8" s="134">
        <f t="shared" si="3"/>
        <v>-13.656099999999967</v>
      </c>
      <c r="N8" s="134">
        <f t="shared" si="3"/>
        <v>-34.239700000000099</v>
      </c>
      <c r="O8" s="134">
        <f t="shared" si="3"/>
        <v>-83.155200000000008</v>
      </c>
      <c r="P8" s="134">
        <f t="shared" si="3"/>
        <v>-70.896199999999993</v>
      </c>
      <c r="Q8" s="134">
        <f t="shared" si="3"/>
        <v>0</v>
      </c>
      <c r="R8" s="134">
        <f t="shared" si="3"/>
        <v>86.014000000000124</v>
      </c>
      <c r="S8" s="134">
        <f t="shared" si="3"/>
        <v>-15.633300000000011</v>
      </c>
      <c r="T8" s="134">
        <f t="shared" si="3"/>
        <v>-27.1585</v>
      </c>
      <c r="U8" s="134">
        <f t="shared" si="3"/>
        <v>0</v>
      </c>
      <c r="V8" s="134">
        <f t="shared" si="3"/>
        <v>0</v>
      </c>
      <c r="W8" s="134">
        <f t="shared" si="3"/>
        <v>0</v>
      </c>
      <c r="X8" s="134">
        <f t="shared" si="3"/>
        <v>0</v>
      </c>
      <c r="Y8" s="134">
        <f t="shared" si="3"/>
        <v>-44.284100000000002</v>
      </c>
      <c r="Z8" s="134">
        <f t="shared" si="3"/>
        <v>-202.66739999999999</v>
      </c>
      <c r="AA8" s="134">
        <f t="shared" si="3"/>
        <v>-98.697500000000005</v>
      </c>
      <c r="AB8" s="134">
        <f t="shared" si="3"/>
        <v>-83.946299999999994</v>
      </c>
      <c r="AC8" s="134">
        <f t="shared" si="3"/>
        <v>-396.47800000000001</v>
      </c>
      <c r="AD8" s="134">
        <f t="shared" si="3"/>
        <v>41.808399999999999</v>
      </c>
      <c r="AE8" s="134">
        <f t="shared" si="3"/>
        <v>198.84939999999997</v>
      </c>
      <c r="AF8" s="134">
        <f t="shared" si="3"/>
        <v>200.26099999999974</v>
      </c>
      <c r="AG8" s="134">
        <f t="shared" si="3"/>
        <v>124.88310000000001</v>
      </c>
      <c r="AH8" s="134">
        <f t="shared" si="3"/>
        <v>-59.244700000000172</v>
      </c>
      <c r="AI8" s="134">
        <f t="shared" si="3"/>
        <v>122.18270000000005</v>
      </c>
      <c r="AJ8" s="134">
        <f t="shared" si="3"/>
        <v>-14.192900000000009</v>
      </c>
      <c r="AK8" s="134">
        <f t="shared" si="3"/>
        <v>-2.4259000000001265</v>
      </c>
      <c r="AL8" s="134">
        <f t="shared" si="3"/>
        <v>53.736799999999988</v>
      </c>
      <c r="AM8" s="134">
        <f t="shared" si="3"/>
        <v>29.61630000000001</v>
      </c>
      <c r="AN8" s="134">
        <f t="shared" si="3"/>
        <v>61.157899999999984</v>
      </c>
      <c r="AO8" s="134">
        <f t="shared" si="3"/>
        <v>92.92519999999999</v>
      </c>
      <c r="AP8" s="134">
        <f t="shared" si="3"/>
        <v>93.873999999999995</v>
      </c>
      <c r="AQ8" s="134">
        <f t="shared" si="3"/>
        <v>206.48899999999989</v>
      </c>
      <c r="AR8" s="134">
        <f t="shared" si="3"/>
        <v>37.963799999999871</v>
      </c>
      <c r="AS8" s="134">
        <f t="shared" si="3"/>
        <v>28.769499999999994</v>
      </c>
      <c r="AT8" s="134">
        <f t="shared" si="3"/>
        <v>72.396499999999989</v>
      </c>
      <c r="AU8" s="134">
        <f t="shared" si="3"/>
        <v>83.359999999999985</v>
      </c>
      <c r="AV8" s="134">
        <f t="shared" si="3"/>
        <v>97.050400000000025</v>
      </c>
    </row>
    <row r="9" spans="1:49" s="19" customFormat="1">
      <c r="A9" s="749" t="s">
        <v>618</v>
      </c>
      <c r="B9" s="749"/>
      <c r="C9" s="134">
        <f>C171</f>
        <v>0</v>
      </c>
      <c r="D9" s="134">
        <f t="shared" ref="D9:AV9" si="4">D171</f>
        <v>0</v>
      </c>
      <c r="E9" s="134">
        <f t="shared" si="4"/>
        <v>0</v>
      </c>
      <c r="F9" s="134">
        <f t="shared" si="4"/>
        <v>0</v>
      </c>
      <c r="G9" s="134">
        <f t="shared" si="4"/>
        <v>0</v>
      </c>
      <c r="H9" s="134">
        <f t="shared" si="4"/>
        <v>0</v>
      </c>
      <c r="I9" s="134">
        <f t="shared" si="4"/>
        <v>0</v>
      </c>
      <c r="J9" s="134">
        <f t="shared" si="4"/>
        <v>0</v>
      </c>
      <c r="K9" s="134">
        <f t="shared" si="4"/>
        <v>0</v>
      </c>
      <c r="L9" s="134">
        <f t="shared" si="4"/>
        <v>0</v>
      </c>
      <c r="M9" s="134">
        <f t="shared" si="4"/>
        <v>0</v>
      </c>
      <c r="N9" s="134">
        <f t="shared" si="4"/>
        <v>0</v>
      </c>
      <c r="O9" s="134">
        <f t="shared" si="4"/>
        <v>0</v>
      </c>
      <c r="P9" s="134">
        <f t="shared" si="4"/>
        <v>0</v>
      </c>
      <c r="Q9" s="134">
        <f t="shared" si="4"/>
        <v>0</v>
      </c>
      <c r="R9" s="134">
        <f t="shared" si="4"/>
        <v>0</v>
      </c>
      <c r="S9" s="134">
        <f t="shared" si="4"/>
        <v>0</v>
      </c>
      <c r="T9" s="134">
        <f t="shared" si="4"/>
        <v>0</v>
      </c>
      <c r="U9" s="134">
        <f t="shared" si="4"/>
        <v>0</v>
      </c>
      <c r="V9" s="134">
        <f t="shared" si="4"/>
        <v>0</v>
      </c>
      <c r="W9" s="134">
        <f t="shared" si="4"/>
        <v>0</v>
      </c>
      <c r="X9" s="134">
        <f t="shared" si="4"/>
        <v>0</v>
      </c>
      <c r="Y9" s="134">
        <f t="shared" si="4"/>
        <v>0</v>
      </c>
      <c r="Z9" s="134">
        <f t="shared" si="4"/>
        <v>0</v>
      </c>
      <c r="AA9" s="134">
        <f t="shared" si="4"/>
        <v>0</v>
      </c>
      <c r="AB9" s="134">
        <f t="shared" si="4"/>
        <v>0</v>
      </c>
      <c r="AC9" s="134">
        <f t="shared" si="4"/>
        <v>0</v>
      </c>
      <c r="AD9" s="134">
        <f t="shared" si="4"/>
        <v>0</v>
      </c>
      <c r="AE9" s="134">
        <f t="shared" si="4"/>
        <v>0</v>
      </c>
      <c r="AF9" s="134">
        <f t="shared" si="4"/>
        <v>0</v>
      </c>
      <c r="AG9" s="134">
        <f t="shared" si="4"/>
        <v>0</v>
      </c>
      <c r="AH9" s="134">
        <f t="shared" si="4"/>
        <v>0</v>
      </c>
      <c r="AI9" s="134">
        <f t="shared" si="4"/>
        <v>0</v>
      </c>
      <c r="AJ9" s="134">
        <f t="shared" si="4"/>
        <v>0</v>
      </c>
      <c r="AK9" s="134">
        <f t="shared" si="4"/>
        <v>0</v>
      </c>
      <c r="AL9" s="134">
        <f t="shared" si="4"/>
        <v>0</v>
      </c>
      <c r="AM9" s="134">
        <f t="shared" si="4"/>
        <v>0</v>
      </c>
      <c r="AN9" s="134">
        <f t="shared" si="4"/>
        <v>0</v>
      </c>
      <c r="AO9" s="134">
        <f t="shared" si="4"/>
        <v>0</v>
      </c>
      <c r="AP9" s="134">
        <f t="shared" si="4"/>
        <v>0</v>
      </c>
      <c r="AQ9" s="134">
        <f t="shared" si="4"/>
        <v>0</v>
      </c>
      <c r="AR9" s="134">
        <f t="shared" si="4"/>
        <v>0</v>
      </c>
      <c r="AS9" s="134">
        <f t="shared" si="4"/>
        <v>0</v>
      </c>
      <c r="AT9" s="134">
        <f t="shared" si="4"/>
        <v>0</v>
      </c>
      <c r="AU9" s="134">
        <f t="shared" si="4"/>
        <v>0</v>
      </c>
      <c r="AV9" s="134">
        <f t="shared" si="4"/>
        <v>0</v>
      </c>
    </row>
    <row r="10" spans="1:49" s="19" customFormat="1">
      <c r="A10" s="25"/>
      <c r="B10" s="25"/>
      <c r="C10" s="457"/>
      <c r="D10" s="26"/>
      <c r="E10" s="26"/>
      <c r="F10" s="26"/>
      <c r="G10" s="26"/>
      <c r="H10" s="26"/>
      <c r="I10" s="26"/>
      <c r="J10" s="26"/>
      <c r="K10" s="26"/>
      <c r="L10" s="26"/>
      <c r="M10" s="26"/>
      <c r="N10" s="26"/>
      <c r="O10" s="26"/>
      <c r="P10" s="26"/>
      <c r="Q10" s="26"/>
      <c r="R10" s="26"/>
      <c r="S10" s="26"/>
      <c r="T10" s="26"/>
      <c r="U10" s="26"/>
      <c r="V10" s="26"/>
      <c r="W10" s="26"/>
      <c r="X10" s="26"/>
      <c r="Y10" s="26"/>
      <c r="Z10" s="26"/>
      <c r="AA10" s="26"/>
      <c r="AB10" s="26"/>
      <c r="AC10" s="26"/>
      <c r="AD10" s="26"/>
      <c r="AE10" s="26"/>
      <c r="AF10" s="26"/>
      <c r="AG10" s="26"/>
      <c r="AH10" s="26"/>
      <c r="AI10" s="26"/>
      <c r="AJ10" s="26"/>
      <c r="AK10" s="26"/>
      <c r="AL10" s="26"/>
      <c r="AM10" s="26"/>
      <c r="AN10" s="26"/>
      <c r="AO10" s="26"/>
      <c r="AP10" s="26"/>
      <c r="AQ10" s="26"/>
      <c r="AR10" s="26"/>
      <c r="AS10" s="26"/>
      <c r="AT10" s="26"/>
      <c r="AU10" s="26"/>
      <c r="AV10" s="26"/>
    </row>
    <row r="11" spans="1:49" s="19" customFormat="1" ht="41.25" customHeight="1">
      <c r="A11" s="569" t="s">
        <v>619</v>
      </c>
      <c r="B11" s="122"/>
      <c r="C11" s="123"/>
      <c r="D11" s="123"/>
      <c r="E11" s="123"/>
      <c r="F11" s="123"/>
      <c r="G11" s="123"/>
      <c r="H11" s="123"/>
      <c r="I11" s="123"/>
      <c r="J11" s="123"/>
      <c r="K11" s="123"/>
      <c r="L11" s="123"/>
      <c r="M11" s="123"/>
      <c r="N11" s="123"/>
      <c r="O11" s="123"/>
      <c r="P11" s="123"/>
      <c r="Q11" s="123"/>
      <c r="R11" s="123"/>
      <c r="S11" s="123"/>
      <c r="T11" s="123"/>
      <c r="U11" s="123"/>
      <c r="V11" s="123"/>
      <c r="W11" s="123"/>
      <c r="X11" s="123"/>
      <c r="Y11" s="123"/>
      <c r="Z11" s="123"/>
      <c r="AA11" s="123"/>
      <c r="AB11" s="123"/>
      <c r="AC11" s="123"/>
      <c r="AD11" s="123"/>
      <c r="AE11" s="123"/>
      <c r="AF11" s="123"/>
      <c r="AG11" s="123"/>
      <c r="AH11" s="123"/>
      <c r="AI11" s="123"/>
      <c r="AJ11" s="123"/>
      <c r="AK11" s="123"/>
      <c r="AL11" s="123"/>
      <c r="AM11" s="123"/>
      <c r="AN11" s="123"/>
      <c r="AO11" s="123"/>
      <c r="AP11" s="123"/>
      <c r="AQ11" s="123"/>
      <c r="AR11" s="123"/>
      <c r="AS11" s="123"/>
      <c r="AT11" s="123"/>
      <c r="AU11" s="123"/>
      <c r="AV11" s="123"/>
    </row>
    <row r="12" spans="1:49">
      <c r="A12" s="751" t="s">
        <v>620</v>
      </c>
      <c r="B12" s="751"/>
      <c r="C12" s="131">
        <f>SUM(C13,C21,C25,C28)</f>
        <v>300.00000000000006</v>
      </c>
      <c r="D12" s="131">
        <f t="shared" ref="D12:AV12" si="5">SUM(D13,D21,D25,D28)</f>
        <v>0</v>
      </c>
      <c r="E12" s="131">
        <f t="shared" si="5"/>
        <v>32.453099999999992</v>
      </c>
      <c r="F12" s="131">
        <f t="shared" si="5"/>
        <v>0</v>
      </c>
      <c r="G12" s="131">
        <f t="shared" si="5"/>
        <v>0</v>
      </c>
      <c r="H12" s="131">
        <f t="shared" si="5"/>
        <v>-56.406599999999997</v>
      </c>
      <c r="I12" s="131">
        <f t="shared" si="5"/>
        <v>-164.80869999999993</v>
      </c>
      <c r="J12" s="131">
        <f t="shared" si="5"/>
        <v>23.328200000000002</v>
      </c>
      <c r="K12" s="131">
        <f t="shared" si="5"/>
        <v>-28.8673</v>
      </c>
      <c r="L12" s="131">
        <f t="shared" si="5"/>
        <v>-105.6454</v>
      </c>
      <c r="M12" s="131">
        <f t="shared" si="5"/>
        <v>-13.656099999999967</v>
      </c>
      <c r="N12" s="131">
        <f t="shared" si="5"/>
        <v>-34.239700000000099</v>
      </c>
      <c r="O12" s="131">
        <f t="shared" si="5"/>
        <v>-83.155200000000008</v>
      </c>
      <c r="P12" s="131">
        <f t="shared" si="5"/>
        <v>-70.896199999999993</v>
      </c>
      <c r="Q12" s="131">
        <f t="shared" si="5"/>
        <v>0</v>
      </c>
      <c r="R12" s="131">
        <f t="shared" si="5"/>
        <v>86.014000000000124</v>
      </c>
      <c r="S12" s="131">
        <f t="shared" si="5"/>
        <v>-15.633300000000011</v>
      </c>
      <c r="T12" s="131">
        <f t="shared" si="5"/>
        <v>-27.1585</v>
      </c>
      <c r="U12" s="131">
        <f t="shared" si="5"/>
        <v>0</v>
      </c>
      <c r="V12" s="131">
        <f t="shared" si="5"/>
        <v>0</v>
      </c>
      <c r="W12" s="131">
        <f t="shared" si="5"/>
        <v>0</v>
      </c>
      <c r="X12" s="131">
        <f t="shared" si="5"/>
        <v>0</v>
      </c>
      <c r="Y12" s="131">
        <f t="shared" si="5"/>
        <v>-44.284100000000002</v>
      </c>
      <c r="Z12" s="131">
        <f t="shared" si="5"/>
        <v>-202.66739999999999</v>
      </c>
      <c r="AA12" s="131">
        <f t="shared" si="5"/>
        <v>-98.697500000000005</v>
      </c>
      <c r="AB12" s="131">
        <f t="shared" si="5"/>
        <v>-83.946299999999994</v>
      </c>
      <c r="AC12" s="131">
        <f t="shared" si="5"/>
        <v>-396.47800000000001</v>
      </c>
      <c r="AD12" s="131">
        <f t="shared" si="5"/>
        <v>41.808399999999999</v>
      </c>
      <c r="AE12" s="131">
        <f t="shared" si="5"/>
        <v>198.84939999999997</v>
      </c>
      <c r="AF12" s="131">
        <f t="shared" si="5"/>
        <v>200.26099999999974</v>
      </c>
      <c r="AG12" s="131">
        <f t="shared" si="5"/>
        <v>124.88310000000001</v>
      </c>
      <c r="AH12" s="131">
        <f t="shared" si="5"/>
        <v>-59.244700000000172</v>
      </c>
      <c r="AI12" s="131">
        <f t="shared" si="5"/>
        <v>122.18270000000005</v>
      </c>
      <c r="AJ12" s="131">
        <f t="shared" si="5"/>
        <v>-14.192900000000009</v>
      </c>
      <c r="AK12" s="131">
        <f t="shared" si="5"/>
        <v>-2.4259000000001265</v>
      </c>
      <c r="AL12" s="131">
        <f t="shared" si="5"/>
        <v>53.736799999999988</v>
      </c>
      <c r="AM12" s="131">
        <f t="shared" si="5"/>
        <v>29.61630000000001</v>
      </c>
      <c r="AN12" s="131">
        <f t="shared" si="5"/>
        <v>61.157899999999984</v>
      </c>
      <c r="AO12" s="131">
        <f t="shared" si="5"/>
        <v>92.92519999999999</v>
      </c>
      <c r="AP12" s="131">
        <f t="shared" si="5"/>
        <v>93.873999999999995</v>
      </c>
      <c r="AQ12" s="131">
        <f t="shared" si="5"/>
        <v>206.48899999999989</v>
      </c>
      <c r="AR12" s="131">
        <f t="shared" si="5"/>
        <v>37.963799999999871</v>
      </c>
      <c r="AS12" s="131">
        <f t="shared" si="5"/>
        <v>28.769499999999994</v>
      </c>
      <c r="AT12" s="131">
        <f t="shared" si="5"/>
        <v>72.396499999999989</v>
      </c>
      <c r="AU12" s="131">
        <f t="shared" si="5"/>
        <v>83.359999999999985</v>
      </c>
      <c r="AV12" s="131">
        <f t="shared" si="5"/>
        <v>97.050400000000025</v>
      </c>
      <c r="AW12" s="54"/>
    </row>
    <row r="13" spans="1:49">
      <c r="A13" s="747" t="s">
        <v>621</v>
      </c>
      <c r="B13" s="747"/>
      <c r="C13" s="124">
        <f>SUM(C14,C15,C16,C17,C18,C19,C20)</f>
        <v>300.00000000000006</v>
      </c>
      <c r="D13" s="124">
        <f t="shared" ref="D13:AV13" si="6">SUM(D14,D15,D16,D17,D18,D19,D20)</f>
        <v>0</v>
      </c>
      <c r="E13" s="124">
        <f t="shared" si="6"/>
        <v>0</v>
      </c>
      <c r="F13" s="124">
        <f t="shared" si="6"/>
        <v>0</v>
      </c>
      <c r="G13" s="124">
        <f t="shared" si="6"/>
        <v>0</v>
      </c>
      <c r="H13" s="124">
        <f t="shared" si="6"/>
        <v>0</v>
      </c>
      <c r="I13" s="124">
        <f t="shared" si="6"/>
        <v>-49.295499999999947</v>
      </c>
      <c r="J13" s="124">
        <f t="shared" si="6"/>
        <v>49.295500000000004</v>
      </c>
      <c r="K13" s="124">
        <f t="shared" si="6"/>
        <v>0</v>
      </c>
      <c r="L13" s="124">
        <f t="shared" si="6"/>
        <v>-95.460599999999999</v>
      </c>
      <c r="M13" s="124">
        <f t="shared" si="6"/>
        <v>95.460600000000028</v>
      </c>
      <c r="N13" s="124">
        <f t="shared" si="6"/>
        <v>-11.759100000000103</v>
      </c>
      <c r="O13" s="124">
        <f t="shared" si="6"/>
        <v>-32.740900000000011</v>
      </c>
      <c r="P13" s="124">
        <f t="shared" si="6"/>
        <v>-70.896199999999993</v>
      </c>
      <c r="Q13" s="124">
        <f t="shared" si="6"/>
        <v>0</v>
      </c>
      <c r="R13" s="124">
        <f t="shared" si="6"/>
        <v>86.014000000000124</v>
      </c>
      <c r="S13" s="124">
        <f t="shared" si="6"/>
        <v>-12.73790000000001</v>
      </c>
      <c r="T13" s="124">
        <f t="shared" si="6"/>
        <v>-27.1585</v>
      </c>
      <c r="U13" s="124">
        <f t="shared" si="6"/>
        <v>0</v>
      </c>
      <c r="V13" s="124">
        <f t="shared" si="6"/>
        <v>0</v>
      </c>
      <c r="W13" s="124">
        <f t="shared" si="6"/>
        <v>0</v>
      </c>
      <c r="X13" s="124">
        <f t="shared" si="6"/>
        <v>0</v>
      </c>
      <c r="Y13" s="124">
        <f t="shared" si="6"/>
        <v>0</v>
      </c>
      <c r="Z13" s="124">
        <f t="shared" si="6"/>
        <v>-176.5478</v>
      </c>
      <c r="AA13" s="124">
        <f t="shared" si="6"/>
        <v>-73.202200000000005</v>
      </c>
      <c r="AB13" s="124">
        <f t="shared" si="6"/>
        <v>48.311300000000003</v>
      </c>
      <c r="AC13" s="124">
        <f t="shared" si="6"/>
        <v>-266.33850000000001</v>
      </c>
      <c r="AD13" s="124">
        <f t="shared" si="6"/>
        <v>80.781999999999996</v>
      </c>
      <c r="AE13" s="124">
        <f t="shared" si="6"/>
        <v>262.75079999999997</v>
      </c>
      <c r="AF13" s="124">
        <f t="shared" si="6"/>
        <v>218.20659999999975</v>
      </c>
      <c r="AG13" s="124">
        <f t="shared" si="6"/>
        <v>235.06200000000001</v>
      </c>
      <c r="AH13" s="124">
        <f t="shared" si="6"/>
        <v>28.198299999999826</v>
      </c>
      <c r="AI13" s="124">
        <f t="shared" si="6"/>
        <v>218.03600000000006</v>
      </c>
      <c r="AJ13" s="124">
        <f t="shared" si="6"/>
        <v>62.198899999999995</v>
      </c>
      <c r="AK13" s="124">
        <f t="shared" si="6"/>
        <v>70.343099999999879</v>
      </c>
      <c r="AL13" s="124">
        <f t="shared" si="6"/>
        <v>117.81979999999999</v>
      </c>
      <c r="AM13" s="124">
        <f t="shared" si="6"/>
        <v>78.66340000000001</v>
      </c>
      <c r="AN13" s="124">
        <f t="shared" si="6"/>
        <v>118.26319999999998</v>
      </c>
      <c r="AO13" s="124">
        <f t="shared" si="6"/>
        <v>156.87559999999999</v>
      </c>
      <c r="AP13" s="124">
        <f t="shared" si="6"/>
        <v>147.94749999999999</v>
      </c>
      <c r="AQ13" s="124">
        <f t="shared" si="6"/>
        <v>244.59069999999988</v>
      </c>
      <c r="AR13" s="124">
        <f t="shared" si="6"/>
        <v>79.789699999999868</v>
      </c>
      <c r="AS13" s="124">
        <f t="shared" si="6"/>
        <v>121.30369999999999</v>
      </c>
      <c r="AT13" s="124">
        <f t="shared" si="6"/>
        <v>143.55369999999999</v>
      </c>
      <c r="AU13" s="124">
        <f t="shared" si="6"/>
        <v>165.80369999999999</v>
      </c>
      <c r="AV13" s="124">
        <f t="shared" si="6"/>
        <v>235.64620000000002</v>
      </c>
    </row>
    <row r="14" spans="1:49">
      <c r="A14" s="743" t="s">
        <v>17</v>
      </c>
      <c r="B14" s="743"/>
      <c r="C14" s="125" cm="1">
        <f t="array" ref="C14">SUMPRODUCT(C$29:C$61,IF(_xlfn.XLOOKUP($B$29:$B$61,Definitions!$K$17:$K$49,Definitions!$M$17:$M$49,"")=$A14,1,0))</f>
        <v>50</v>
      </c>
      <c r="D14" s="125" cm="1">
        <f t="array" ref="D14">SUMPRODUCT(D$29:D$61,IF(_xlfn.XLOOKUP($B$29:$B$61,Definitions!$K$17:$K$49,Definitions!$M$17:$M$49,"")=$A14,1,0))</f>
        <v>0</v>
      </c>
      <c r="E14" s="125" cm="1">
        <f t="array" ref="E14">SUMPRODUCT(E$29:E$61,IF(_xlfn.XLOOKUP($B$29:$B$61,Definitions!$K$17:$K$49,Definitions!$M$17:$M$49,"")=$A14,1,0))</f>
        <v>0</v>
      </c>
      <c r="F14" s="125" cm="1">
        <f t="array" ref="F14">SUMPRODUCT(F$29:F$61,IF(_xlfn.XLOOKUP($B$29:$B$61,Definitions!$K$17:$K$49,Definitions!$M$17:$M$49,"")=$A14,1,0))</f>
        <v>0</v>
      </c>
      <c r="G14" s="125" cm="1">
        <f t="array" ref="G14">SUMPRODUCT(G$29:G$61,IF(_xlfn.XLOOKUP($B$29:$B$61,Definitions!$K$17:$K$49,Definitions!$M$17:$M$49,"")=$A14,1,0))</f>
        <v>0</v>
      </c>
      <c r="H14" s="125" cm="1">
        <f t="array" ref="H14">SUMPRODUCT(H$29:H$61,IF(_xlfn.XLOOKUP($B$29:$B$61,Definitions!$K$17:$K$49,Definitions!$M$17:$M$49,"")=$A14,1,0))</f>
        <v>0</v>
      </c>
      <c r="I14" s="125" cm="1">
        <f t="array" ref="I14">SUMPRODUCT(I$29:I$61,IF(_xlfn.XLOOKUP($B$29:$B$61,Definitions!$K$17:$K$49,Definitions!$M$17:$M$49,"")=$A14,1,0))</f>
        <v>0</v>
      </c>
      <c r="J14" s="125" cm="1">
        <f t="array" ref="J14">SUMPRODUCT(J$29:J$61,IF(_xlfn.XLOOKUP($B$29:$B$61,Definitions!$K$17:$K$49,Definitions!$M$17:$M$49,"")=$A14,1,0))</f>
        <v>0</v>
      </c>
      <c r="K14" s="125" cm="1">
        <f t="array" ref="K14">SUMPRODUCT(K$29:K$61,IF(_xlfn.XLOOKUP($B$29:$B$61,Definitions!$K$17:$K$49,Definitions!$M$17:$M$49,"")=$A14,1,0))</f>
        <v>0</v>
      </c>
      <c r="L14" s="125" cm="1">
        <f t="array" ref="L14">SUMPRODUCT(L$29:L$61,IF(_xlfn.XLOOKUP($B$29:$B$61,Definitions!$K$17:$K$49,Definitions!$M$17:$M$49,"")=$A14,1,0))</f>
        <v>0</v>
      </c>
      <c r="M14" s="125" cm="1">
        <f t="array" ref="M14">SUMPRODUCT(M$29:M$61,IF(_xlfn.XLOOKUP($B$29:$B$61,Definitions!$K$17:$K$49,Definitions!$M$17:$M$49,"")=$A14,1,0))</f>
        <v>0</v>
      </c>
      <c r="N14" s="125" cm="1">
        <f t="array" ref="N14">SUMPRODUCT(N$29:N$61,IF(_xlfn.XLOOKUP($B$29:$B$61,Definitions!$K$17:$K$49,Definitions!$M$17:$M$49,"")=$A14,1,0))</f>
        <v>0</v>
      </c>
      <c r="O14" s="125" cm="1">
        <f t="array" ref="O14">SUMPRODUCT(O$29:O$61,IF(_xlfn.XLOOKUP($B$29:$B$61,Definitions!$K$17:$K$49,Definitions!$M$17:$M$49,"")=$A14,1,0))</f>
        <v>-44.5</v>
      </c>
      <c r="P14" s="125" cm="1">
        <f t="array" ref="P14">SUMPRODUCT(P$29:P$61,IF(_xlfn.XLOOKUP($B$29:$B$61,Definitions!$K$17:$K$49,Definitions!$M$17:$M$49,"")=$A14,1,0))</f>
        <v>-22.25</v>
      </c>
      <c r="Q14" s="125" cm="1">
        <f t="array" ref="Q14">SUMPRODUCT(Q$29:Q$61,IF(_xlfn.XLOOKUP($B$29:$B$61,Definitions!$K$17:$K$49,Definitions!$M$17:$M$49,"")=$A14,1,0))</f>
        <v>0</v>
      </c>
      <c r="R14" s="125" cm="1">
        <f t="array" ref="R14">SUMPRODUCT(R$29:R$61,IF(_xlfn.XLOOKUP($B$29:$B$61,Definitions!$K$17:$K$49,Definitions!$M$17:$M$49,"")=$A14,1,0))</f>
        <v>0</v>
      </c>
      <c r="S14" s="125" cm="1">
        <f t="array" ref="S14">SUMPRODUCT(S$29:S$61,IF(_xlfn.XLOOKUP($B$29:$B$61,Definitions!$K$17:$K$49,Definitions!$M$17:$M$49,"")=$A14,1,0))</f>
        <v>0</v>
      </c>
      <c r="T14" s="125" cm="1">
        <f t="array" ref="T14">SUMPRODUCT(T$29:T$61,IF(_xlfn.XLOOKUP($B$29:$B$61,Definitions!$K$17:$K$49,Definitions!$M$17:$M$49,"")=$A14,1,0))</f>
        <v>0</v>
      </c>
      <c r="U14" s="125" cm="1">
        <f t="array" ref="U14">SUMPRODUCT(U$29:U$61,IF(_xlfn.XLOOKUP($B$29:$B$61,Definitions!$K$17:$K$49,Definitions!$M$17:$M$49,"")=$A14,1,0))</f>
        <v>0</v>
      </c>
      <c r="V14" s="125" cm="1">
        <f t="array" ref="V14">SUMPRODUCT(V$29:V$61,IF(_xlfn.XLOOKUP($B$29:$B$61,Definitions!$K$17:$K$49,Definitions!$M$17:$M$49,"")=$A14,1,0))</f>
        <v>0</v>
      </c>
      <c r="W14" s="125" cm="1">
        <f t="array" ref="W14">SUMPRODUCT(W$29:W$61,IF(_xlfn.XLOOKUP($B$29:$B$61,Definitions!$K$17:$K$49,Definitions!$M$17:$M$49,"")=$A14,1,0))</f>
        <v>0</v>
      </c>
      <c r="X14" s="125" cm="1">
        <f t="array" ref="X14">SUMPRODUCT(X$29:X$61,IF(_xlfn.XLOOKUP($B$29:$B$61,Definitions!$K$17:$K$49,Definitions!$M$17:$M$49,"")=$A14,1,0))</f>
        <v>0</v>
      </c>
      <c r="Y14" s="125" cm="1">
        <f t="array" ref="Y14">SUMPRODUCT(Y$29:Y$61,IF(_xlfn.XLOOKUP($B$29:$B$61,Definitions!$K$17:$K$49,Definitions!$M$17:$M$49,"")=$A14,1,0))</f>
        <v>0</v>
      </c>
      <c r="Z14" s="125" cm="1">
        <f t="array" ref="Z14">SUMPRODUCT(Z$29:Z$61,IF(_xlfn.XLOOKUP($B$29:$B$61,Definitions!$K$17:$K$49,Definitions!$M$17:$M$49,"")=$A14,1,0))</f>
        <v>-176.5478</v>
      </c>
      <c r="AA14" s="125" cm="1">
        <f t="array" ref="AA14">SUMPRODUCT(AA$29:AA$61,IF(_xlfn.XLOOKUP($B$29:$B$61,Definitions!$K$17:$K$49,Definitions!$M$17:$M$49,"")=$A14,1,0))</f>
        <v>-73.202200000000005</v>
      </c>
      <c r="AB14" s="125" cm="1">
        <f t="array" ref="AB14">SUMPRODUCT(AB$29:AB$61,IF(_xlfn.XLOOKUP($B$29:$B$61,Definitions!$K$17:$K$49,Definitions!$M$17:$M$49,"")=$A14,1,0))</f>
        <v>-22.25</v>
      </c>
      <c r="AC14" s="125" cm="1">
        <f t="array" ref="AC14">SUMPRODUCT(AC$29:AC$61,IF(_xlfn.XLOOKUP($B$29:$B$61,Definitions!$K$17:$K$49,Definitions!$M$17:$M$49,"")=$A14,1,0))</f>
        <v>-22.25</v>
      </c>
      <c r="AD14" s="125" cm="1">
        <f t="array" ref="AD14">SUMPRODUCT(AD$29:AD$61,IF(_xlfn.XLOOKUP($B$29:$B$61,Definitions!$K$17:$K$49,Definitions!$M$17:$M$49,"")=$A14,1,0))</f>
        <v>-22.25</v>
      </c>
      <c r="AE14" s="125" cm="1">
        <f t="array" ref="AE14">SUMPRODUCT(AE$29:AE$61,IF(_xlfn.XLOOKUP($B$29:$B$61,Definitions!$K$17:$K$49,Definitions!$M$17:$M$49,"")=$A14,1,0))</f>
        <v>-25.75</v>
      </c>
      <c r="AF14" s="125" cm="1">
        <f t="array" ref="AF14">SUMPRODUCT(AF$29:AF$61,IF(_xlfn.XLOOKUP($B$29:$B$61,Definitions!$K$17:$K$49,Definitions!$M$17:$M$49,"")=$A14,1,0))</f>
        <v>-22.25</v>
      </c>
      <c r="AG14" s="125" cm="1">
        <f t="array" ref="AG14">SUMPRODUCT(AG$29:AG$61,IF(_xlfn.XLOOKUP($B$29:$B$61,Definitions!$K$17:$K$49,Definitions!$M$17:$M$49,"")=$A14,1,0))</f>
        <v>-22.25</v>
      </c>
      <c r="AH14" s="125" cm="1">
        <f t="array" ref="AH14">SUMPRODUCT(AH$29:AH$61,IF(_xlfn.XLOOKUP($B$29:$B$61,Definitions!$K$17:$K$49,Definitions!$M$17:$M$49,"")=$A14,1,0))</f>
        <v>-47.25</v>
      </c>
      <c r="AI14" s="125" cm="1">
        <f t="array" ref="AI14">SUMPRODUCT(AI$29:AI$61,IF(_xlfn.XLOOKUP($B$29:$B$61,Definitions!$K$17:$K$49,Definitions!$M$17:$M$49,"")=$A14,1,0))</f>
        <v>-22.25</v>
      </c>
      <c r="AJ14" s="125" cm="1">
        <f t="array" ref="AJ14">SUMPRODUCT(AJ$29:AJ$61,IF(_xlfn.XLOOKUP($B$29:$B$61,Definitions!$K$17:$K$49,Definitions!$M$17:$M$49,"")=$A14,1,0))</f>
        <v>-42.25</v>
      </c>
      <c r="AK14" s="125" cm="1">
        <f t="array" ref="AK14">SUMPRODUCT(AK$29:AK$61,IF(_xlfn.XLOOKUP($B$29:$B$61,Definitions!$K$17:$K$49,Definitions!$M$17:$M$49,"")=$A14,1,0))</f>
        <v>-22.25</v>
      </c>
      <c r="AL14" s="125" cm="1">
        <f t="array" ref="AL14">SUMPRODUCT(AL$29:AL$61,IF(_xlfn.XLOOKUP($B$29:$B$61,Definitions!$K$17:$K$49,Definitions!$M$17:$M$49,"")=$A14,1,0))</f>
        <v>-142.75</v>
      </c>
      <c r="AM14" s="125" cm="1">
        <f t="array" ref="AM14">SUMPRODUCT(AM$29:AM$61,IF(_xlfn.XLOOKUP($B$29:$B$61,Definitions!$K$17:$K$49,Definitions!$M$17:$M$49,"")=$A14,1,0))</f>
        <v>-72.25</v>
      </c>
      <c r="AN14" s="125" cm="1">
        <f t="array" ref="AN14">SUMPRODUCT(AN$29:AN$61,IF(_xlfn.XLOOKUP($B$29:$B$61,Definitions!$K$17:$K$49,Definitions!$M$17:$M$49,"")=$A14,1,0))</f>
        <v>-49.25</v>
      </c>
      <c r="AO14" s="125" cm="1">
        <f t="array" ref="AO14">SUMPRODUCT(AO$29:AO$61,IF(_xlfn.XLOOKUP($B$29:$B$61,Definitions!$K$17:$K$49,Definitions!$M$17:$M$49,"")=$A14,1,0))</f>
        <v>-29.75</v>
      </c>
      <c r="AP14" s="125" cm="1">
        <f t="array" ref="AP14">SUMPRODUCT(AP$29:AP$61,IF(_xlfn.XLOOKUP($B$29:$B$61,Definitions!$K$17:$K$49,Definitions!$M$17:$M$49,"")=$A14,1,0))</f>
        <v>-37.25</v>
      </c>
      <c r="AQ14" s="125" cm="1">
        <f t="array" ref="AQ14">SUMPRODUCT(AQ$29:AQ$61,IF(_xlfn.XLOOKUP($B$29:$B$61,Definitions!$K$17:$K$49,Definitions!$M$17:$M$49,"")=$A14,1,0))</f>
        <v>-23</v>
      </c>
      <c r="AR14" s="125" cm="1">
        <f t="array" ref="AR14">SUMPRODUCT(AR$29:AR$61,IF(_xlfn.XLOOKUP($B$29:$B$61,Definitions!$K$17:$K$49,Definitions!$M$17:$M$49,"")=$A14,1,0))</f>
        <v>-22.25</v>
      </c>
      <c r="AS14" s="125" cm="1">
        <f t="array" ref="AS14">SUMPRODUCT(AS$29:AS$61,IF(_xlfn.XLOOKUP($B$29:$B$61,Definitions!$K$17:$K$49,Definitions!$M$17:$M$49,"")=$A14,1,0))</f>
        <v>-66.75</v>
      </c>
      <c r="AT14" s="125" cm="1">
        <f t="array" ref="AT14">SUMPRODUCT(AT$29:AT$61,IF(_xlfn.XLOOKUP($B$29:$B$61,Definitions!$K$17:$K$49,Definitions!$M$17:$M$49,"")=$A14,1,0))</f>
        <v>-44.5</v>
      </c>
      <c r="AU14" s="125" cm="1">
        <f t="array" ref="AU14">SUMPRODUCT(AU$29:AU$61,IF(_xlfn.XLOOKUP($B$29:$B$61,Definitions!$K$17:$K$49,Definitions!$M$17:$M$49,"")=$A14,1,0))</f>
        <v>-22.25</v>
      </c>
      <c r="AV14" s="125" cm="1">
        <f t="array" ref="AV14">SUMPRODUCT(AV$29:AV$61,IF(_xlfn.XLOOKUP($B$29:$B$61,Definitions!$K$17:$K$49,Definitions!$M$17:$M$49,"")=$A14,1,0))</f>
        <v>-22.25</v>
      </c>
    </row>
    <row r="15" spans="1:49">
      <c r="A15" s="743" t="s">
        <v>29</v>
      </c>
      <c r="B15" s="743"/>
      <c r="C15" s="125" cm="1">
        <f t="array" ref="C15">SUMPRODUCT(C$29:C$61,IF(_xlfn.XLOOKUP($B$29:$B$61,Definitions!$K$17:$K$49,Definitions!$M$17:$M$49,"")=$A15,1,0))</f>
        <v>5.6843418860808015E-14</v>
      </c>
      <c r="D15" s="125" cm="1">
        <f t="array" ref="D15">SUMPRODUCT(D$29:D$61,IF(_xlfn.XLOOKUP($B$29:$B$61,Definitions!$K$17:$K$49,Definitions!$M$17:$M$49,"")=$A15,1,0))</f>
        <v>0</v>
      </c>
      <c r="E15" s="125" cm="1">
        <f t="array" ref="E15">SUMPRODUCT(E$29:E$61,IF(_xlfn.XLOOKUP($B$29:$B$61,Definitions!$K$17:$K$49,Definitions!$M$17:$M$49,"")=$A15,1,0))</f>
        <v>0</v>
      </c>
      <c r="F15" s="125" cm="1">
        <f t="array" ref="F15">SUMPRODUCT(F$29:F$61,IF(_xlfn.XLOOKUP($B$29:$B$61,Definitions!$K$17:$K$49,Definitions!$M$17:$M$49,"")=$A15,1,0))</f>
        <v>0</v>
      </c>
      <c r="G15" s="125" cm="1">
        <f t="array" ref="G15">SUMPRODUCT(G$29:G$61,IF(_xlfn.XLOOKUP($B$29:$B$61,Definitions!$K$17:$K$49,Definitions!$M$17:$M$49,"")=$A15,1,0))</f>
        <v>0</v>
      </c>
      <c r="H15" s="125" cm="1">
        <f t="array" ref="H15">SUMPRODUCT(H$29:H$61,IF(_xlfn.XLOOKUP($B$29:$B$61,Definitions!$K$17:$K$49,Definitions!$M$17:$M$49,"")=$A15,1,0))</f>
        <v>0</v>
      </c>
      <c r="I15" s="125" cm="1">
        <f t="array" ref="I15">SUMPRODUCT(I$29:I$61,IF(_xlfn.XLOOKUP($B$29:$B$61,Definitions!$K$17:$K$49,Definitions!$M$17:$M$49,"")=$A15,1,0))</f>
        <v>-49.295499999999947</v>
      </c>
      <c r="J15" s="125" cm="1">
        <f t="array" ref="J15">SUMPRODUCT(J$29:J$61,IF(_xlfn.XLOOKUP($B$29:$B$61,Definitions!$K$17:$K$49,Definitions!$M$17:$M$49,"")=$A15,1,0))</f>
        <v>49.295500000000004</v>
      </c>
      <c r="K15" s="125" cm="1">
        <f t="array" ref="K15">SUMPRODUCT(K$29:K$61,IF(_xlfn.XLOOKUP($B$29:$B$61,Definitions!$K$17:$K$49,Definitions!$M$17:$M$49,"")=$A15,1,0))</f>
        <v>0</v>
      </c>
      <c r="L15" s="125" cm="1">
        <f t="array" ref="L15">SUMPRODUCT(L$29:L$61,IF(_xlfn.XLOOKUP($B$29:$B$61,Definitions!$K$17:$K$49,Definitions!$M$17:$M$49,"")=$A15,1,0))</f>
        <v>-95.460599999999999</v>
      </c>
      <c r="M15" s="125" cm="1">
        <f t="array" ref="M15">SUMPRODUCT(M$29:M$61,IF(_xlfn.XLOOKUP($B$29:$B$61,Definitions!$K$17:$K$49,Definitions!$M$17:$M$49,"")=$A15,1,0))</f>
        <v>95.460600000000028</v>
      </c>
      <c r="N15" s="125" cm="1">
        <f t="array" ref="N15">SUMPRODUCT(N$29:N$61,IF(_xlfn.XLOOKUP($B$29:$B$61,Definitions!$K$17:$K$49,Definitions!$M$17:$M$49,"")=$A15,1,0))</f>
        <v>-11.759100000000103</v>
      </c>
      <c r="O15" s="125" cm="1">
        <f t="array" ref="O15">SUMPRODUCT(O$29:O$61,IF(_xlfn.XLOOKUP($B$29:$B$61,Definitions!$K$17:$K$49,Definitions!$M$17:$M$49,"")=$A15,1,0))</f>
        <v>11.759099999999989</v>
      </c>
      <c r="P15" s="125" cm="1">
        <f t="array" ref="P15">SUMPRODUCT(P$29:P$61,IF(_xlfn.XLOOKUP($B$29:$B$61,Definitions!$K$17:$K$49,Definitions!$M$17:$M$49,"")=$A15,1,0))</f>
        <v>0</v>
      </c>
      <c r="Q15" s="125" cm="1">
        <f t="array" ref="Q15">SUMPRODUCT(Q$29:Q$61,IF(_xlfn.XLOOKUP($B$29:$B$61,Definitions!$K$17:$K$49,Definitions!$M$17:$M$49,"")=$A15,1,0))</f>
        <v>0</v>
      </c>
      <c r="R15" s="125" cm="1">
        <f t="array" ref="R15">SUMPRODUCT(R$29:R$61,IF(_xlfn.XLOOKUP($B$29:$B$61,Definitions!$K$17:$K$49,Definitions!$M$17:$M$49,"")=$A15,1,0))</f>
        <v>86.014000000000124</v>
      </c>
      <c r="S15" s="125" cm="1">
        <f t="array" ref="S15">SUMPRODUCT(S$29:S$61,IF(_xlfn.XLOOKUP($B$29:$B$61,Definitions!$K$17:$K$49,Definitions!$M$17:$M$49,"")=$A15,1,0))</f>
        <v>-86.01400000000001</v>
      </c>
      <c r="T15" s="125" cm="1">
        <f t="array" ref="T15">SUMPRODUCT(T$29:T$61,IF(_xlfn.XLOOKUP($B$29:$B$61,Definitions!$K$17:$K$49,Definitions!$M$17:$M$49,"")=$A15,1,0))</f>
        <v>0</v>
      </c>
      <c r="U15" s="125" cm="1">
        <f t="array" ref="U15">SUMPRODUCT(U$29:U$61,IF(_xlfn.XLOOKUP($B$29:$B$61,Definitions!$K$17:$K$49,Definitions!$M$17:$M$49,"")=$A15,1,0))</f>
        <v>0</v>
      </c>
      <c r="V15" s="125" cm="1">
        <f t="array" ref="V15">SUMPRODUCT(V$29:V$61,IF(_xlfn.XLOOKUP($B$29:$B$61,Definitions!$K$17:$K$49,Definitions!$M$17:$M$49,"")=$A15,1,0))</f>
        <v>0</v>
      </c>
      <c r="W15" s="125" cm="1">
        <f t="array" ref="W15">SUMPRODUCT(W$29:W$61,IF(_xlfn.XLOOKUP($B$29:$B$61,Definitions!$K$17:$K$49,Definitions!$M$17:$M$49,"")=$A15,1,0))</f>
        <v>0</v>
      </c>
      <c r="X15" s="125" cm="1">
        <f t="array" ref="X15">SUMPRODUCT(X$29:X$61,IF(_xlfn.XLOOKUP($B$29:$B$61,Definitions!$K$17:$K$49,Definitions!$M$17:$M$49,"")=$A15,1,0))</f>
        <v>0</v>
      </c>
      <c r="Y15" s="125" cm="1">
        <f t="array" ref="Y15">SUMPRODUCT(Y$29:Y$61,IF(_xlfn.XLOOKUP($B$29:$B$61,Definitions!$K$17:$K$49,Definitions!$M$17:$M$49,"")=$A15,1,0))</f>
        <v>0</v>
      </c>
      <c r="Z15" s="125" cm="1">
        <f t="array" ref="Z15">SUMPRODUCT(Z$29:Z$61,IF(_xlfn.XLOOKUP($B$29:$B$61,Definitions!$K$17:$K$49,Definitions!$M$17:$M$49,"")=$A15,1,0))</f>
        <v>0</v>
      </c>
      <c r="AA15" s="125" cm="1">
        <f t="array" ref="AA15">SUMPRODUCT(AA$29:AA$61,IF(_xlfn.XLOOKUP($B$29:$B$61,Definitions!$K$17:$K$49,Definitions!$M$17:$M$49,"")=$A15,1,0))</f>
        <v>0</v>
      </c>
      <c r="AB15" s="125" cm="1">
        <f t="array" ref="AB15">SUMPRODUCT(AB$29:AB$61,IF(_xlfn.XLOOKUP($B$29:$B$61,Definitions!$K$17:$K$49,Definitions!$M$17:$M$49,"")=$A15,1,0))</f>
        <v>0</v>
      </c>
      <c r="AC15" s="125" cm="1">
        <f t="array" ref="AC15">SUMPRODUCT(AC$29:AC$61,IF(_xlfn.XLOOKUP($B$29:$B$61,Definitions!$K$17:$K$49,Definitions!$M$17:$M$49,"")=$A15,1,0))</f>
        <v>0</v>
      </c>
      <c r="AD15" s="125" cm="1">
        <f t="array" ref="AD15">SUMPRODUCT(AD$29:AD$61,IF(_xlfn.XLOOKUP($B$29:$B$61,Definitions!$K$17:$K$49,Definitions!$M$17:$M$49,"")=$A15,1,0))</f>
        <v>0</v>
      </c>
      <c r="AE15" s="125" cm="1">
        <f t="array" ref="AE15">SUMPRODUCT(AE$29:AE$61,IF(_xlfn.XLOOKUP($B$29:$B$61,Definitions!$K$17:$K$49,Definitions!$M$17:$M$49,"")=$A15,1,0))</f>
        <v>0</v>
      </c>
      <c r="AF15" s="125" cm="1">
        <f t="array" ref="AF15">SUMPRODUCT(AF$29:AF$61,IF(_xlfn.XLOOKUP($B$29:$B$61,Definitions!$K$17:$K$49,Definitions!$M$17:$M$49,"")=$A15,1,0))</f>
        <v>-2.2737367544323206E-13</v>
      </c>
      <c r="AG15" s="125" cm="1">
        <f t="array" ref="AG15">SUMPRODUCT(AG$29:AG$61,IF(_xlfn.XLOOKUP($B$29:$B$61,Definitions!$K$17:$K$49,Definitions!$M$17:$M$49,"")=$A15,1,0))</f>
        <v>0</v>
      </c>
      <c r="AH15" s="125" cm="1">
        <f t="array" ref="AH15">SUMPRODUCT(AH$29:AH$61,IF(_xlfn.XLOOKUP($B$29:$B$61,Definitions!$K$17:$K$49,Definitions!$M$17:$M$49,"")=$A15,1,0))</f>
        <v>-49.295500000000175</v>
      </c>
      <c r="AI15" s="125" cm="1">
        <f t="array" ref="AI15">SUMPRODUCT(AI$29:AI$61,IF(_xlfn.XLOOKUP($B$29:$B$61,Definitions!$K$17:$K$49,Definitions!$M$17:$M$49,"")=$A15,1,0))</f>
        <v>49.295500000000061</v>
      </c>
      <c r="AJ15" s="125" cm="1">
        <f t="array" ref="AJ15">SUMPRODUCT(AJ$29:AJ$61,IF(_xlfn.XLOOKUP($B$29:$B$61,Definitions!$K$17:$K$49,Definitions!$M$17:$M$49,"")=$A15,1,0))</f>
        <v>0</v>
      </c>
      <c r="AK15" s="125" cm="1">
        <f t="array" ref="AK15">SUMPRODUCT(AK$29:AK$61,IF(_xlfn.XLOOKUP($B$29:$B$61,Definitions!$K$17:$K$49,Definitions!$M$17:$M$49,"")=$A15,1,0))</f>
        <v>-95.460600000000113</v>
      </c>
      <c r="AL15" s="125" cm="1">
        <f t="array" ref="AL15">SUMPRODUCT(AL$29:AL$61,IF(_xlfn.XLOOKUP($B$29:$B$61,Definitions!$K$17:$K$49,Definitions!$M$17:$M$49,"")=$A15,1,0))</f>
        <v>95.460599999999999</v>
      </c>
      <c r="AM15" s="125" cm="1">
        <f t="array" ref="AM15">SUMPRODUCT(AM$29:AM$61,IF(_xlfn.XLOOKUP($B$29:$B$61,Definitions!$K$17:$K$49,Definitions!$M$17:$M$49,"")=$A15,1,0))</f>
        <v>-11.759099999999989</v>
      </c>
      <c r="AN15" s="125" cm="1">
        <f t="array" ref="AN15">SUMPRODUCT(AN$29:AN$61,IF(_xlfn.XLOOKUP($B$29:$B$61,Definitions!$K$17:$K$49,Definitions!$M$17:$M$49,"")=$A15,1,0))</f>
        <v>11.759099999999989</v>
      </c>
      <c r="AO15" s="125" cm="1">
        <f t="array" ref="AO15">SUMPRODUCT(AO$29:AO$61,IF(_xlfn.XLOOKUP($B$29:$B$61,Definitions!$K$17:$K$49,Definitions!$M$17:$M$49,"")=$A15,1,0))</f>
        <v>0</v>
      </c>
      <c r="AP15" s="125" cm="1">
        <f t="array" ref="AP15">SUMPRODUCT(AP$29:AP$61,IF(_xlfn.XLOOKUP($B$29:$B$61,Definitions!$K$17:$K$49,Definitions!$M$17:$M$49,"")=$A15,1,0))</f>
        <v>0</v>
      </c>
      <c r="AQ15" s="125" cm="1">
        <f t="array" ref="AQ15">SUMPRODUCT(AQ$29:AQ$61,IF(_xlfn.XLOOKUP($B$29:$B$61,Definitions!$K$17:$K$49,Definitions!$M$17:$M$49,"")=$A15,1,0))</f>
        <v>86.013999999999896</v>
      </c>
      <c r="AR15" s="125" cm="1">
        <f t="array" ref="AR15">SUMPRODUCT(AR$29:AR$61,IF(_xlfn.XLOOKUP($B$29:$B$61,Definitions!$K$17:$K$49,Definitions!$M$17:$M$49,"")=$A15,1,0))</f>
        <v>-86.014000000000124</v>
      </c>
      <c r="AS15" s="125" cm="1">
        <f t="array" ref="AS15">SUMPRODUCT(AS$29:AS$61,IF(_xlfn.XLOOKUP($B$29:$B$61,Definitions!$K$17:$K$49,Definitions!$M$17:$M$49,"")=$A15,1,0))</f>
        <v>0</v>
      </c>
      <c r="AT15" s="125" cm="1">
        <f t="array" ref="AT15">SUMPRODUCT(AT$29:AT$61,IF(_xlfn.XLOOKUP($B$29:$B$61,Definitions!$K$17:$K$49,Definitions!$M$17:$M$49,"")=$A15,1,0))</f>
        <v>0</v>
      </c>
      <c r="AU15" s="125" cm="1">
        <f t="array" ref="AU15">SUMPRODUCT(AU$29:AU$61,IF(_xlfn.XLOOKUP($B$29:$B$61,Definitions!$K$17:$K$49,Definitions!$M$17:$M$49,"")=$A15,1,0))</f>
        <v>0</v>
      </c>
      <c r="AV15" s="125" cm="1">
        <f t="array" ref="AV15">SUMPRODUCT(AV$29:AV$61,IF(_xlfn.XLOOKUP($B$29:$B$61,Definitions!$K$17:$K$49,Definitions!$M$17:$M$49,"")=$A15,1,0))</f>
        <v>0</v>
      </c>
    </row>
    <row r="16" spans="1:49">
      <c r="A16" s="743" t="s">
        <v>59</v>
      </c>
      <c r="B16" s="743"/>
      <c r="C16" s="125" cm="1">
        <f t="array" ref="C16">SUMPRODUCT(C$29:C$61,IF(_xlfn.XLOOKUP($B$29:$B$61,Definitions!$K$17:$K$49,Definitions!$M$17:$M$49,"")=$A16,1,0))</f>
        <v>0</v>
      </c>
      <c r="D16" s="125" cm="1">
        <f t="array" ref="D16">SUMPRODUCT(D$29:D$61,IF(_xlfn.XLOOKUP($B$29:$B$61,Definitions!$K$17:$K$49,Definitions!$M$17:$M$49,"")=$A16,1,0))</f>
        <v>0</v>
      </c>
      <c r="E16" s="125" cm="1">
        <f t="array" ref="E16">SUMPRODUCT(E$29:E$61,IF(_xlfn.XLOOKUP($B$29:$B$61,Definitions!$K$17:$K$49,Definitions!$M$17:$M$49,"")=$A16,1,0))</f>
        <v>0</v>
      </c>
      <c r="F16" s="125" cm="1">
        <f t="array" ref="F16">SUMPRODUCT(F$29:F$61,IF(_xlfn.XLOOKUP($B$29:$B$61,Definitions!$K$17:$K$49,Definitions!$M$17:$M$49,"")=$A16,1,0))</f>
        <v>0</v>
      </c>
      <c r="G16" s="125" cm="1">
        <f t="array" ref="G16">SUMPRODUCT(G$29:G$61,IF(_xlfn.XLOOKUP($B$29:$B$61,Definitions!$K$17:$K$49,Definitions!$M$17:$M$49,"")=$A16,1,0))</f>
        <v>0</v>
      </c>
      <c r="H16" s="125" cm="1">
        <f t="array" ref="H16">SUMPRODUCT(H$29:H$61,IF(_xlfn.XLOOKUP($B$29:$B$61,Definitions!$K$17:$K$49,Definitions!$M$17:$M$49,"")=$A16,1,0))</f>
        <v>0</v>
      </c>
      <c r="I16" s="125" cm="1">
        <f t="array" ref="I16">SUMPRODUCT(I$29:I$61,IF(_xlfn.XLOOKUP($B$29:$B$61,Definitions!$K$17:$K$49,Definitions!$M$17:$M$49,"")=$A16,1,0))</f>
        <v>0</v>
      </c>
      <c r="J16" s="125" cm="1">
        <f t="array" ref="J16">SUMPRODUCT(J$29:J$61,IF(_xlfn.XLOOKUP($B$29:$B$61,Definitions!$K$17:$K$49,Definitions!$M$17:$M$49,"")=$A16,1,0))</f>
        <v>0</v>
      </c>
      <c r="K16" s="125" cm="1">
        <f t="array" ref="K16">SUMPRODUCT(K$29:K$61,IF(_xlfn.XLOOKUP($B$29:$B$61,Definitions!$K$17:$K$49,Definitions!$M$17:$M$49,"")=$A16,1,0))</f>
        <v>0</v>
      </c>
      <c r="L16" s="125" cm="1">
        <f t="array" ref="L16">SUMPRODUCT(L$29:L$61,IF(_xlfn.XLOOKUP($B$29:$B$61,Definitions!$K$17:$K$49,Definitions!$M$17:$M$49,"")=$A16,1,0))</f>
        <v>0</v>
      </c>
      <c r="M16" s="125" cm="1">
        <f t="array" ref="M16">SUMPRODUCT(M$29:M$61,IF(_xlfn.XLOOKUP($B$29:$B$61,Definitions!$K$17:$K$49,Definitions!$M$17:$M$49,"")=$A16,1,0))</f>
        <v>0</v>
      </c>
      <c r="N16" s="125" cm="1">
        <f t="array" ref="N16">SUMPRODUCT(N$29:N$61,IF(_xlfn.XLOOKUP($B$29:$B$61,Definitions!$K$17:$K$49,Definitions!$M$17:$M$49,"")=$A16,1,0))</f>
        <v>0</v>
      </c>
      <c r="O16" s="125" cm="1">
        <f t="array" ref="O16">SUMPRODUCT(O$29:O$61,IF(_xlfn.XLOOKUP($B$29:$B$61,Definitions!$K$17:$K$49,Definitions!$M$17:$M$49,"")=$A16,1,0))</f>
        <v>0</v>
      </c>
      <c r="P16" s="125" cm="1">
        <f t="array" ref="P16">SUMPRODUCT(P$29:P$61,IF(_xlfn.XLOOKUP($B$29:$B$61,Definitions!$K$17:$K$49,Definitions!$M$17:$M$49,"")=$A16,1,0))</f>
        <v>-48.6462</v>
      </c>
      <c r="Q16" s="125" cm="1">
        <f t="array" ref="Q16">SUMPRODUCT(Q$29:Q$61,IF(_xlfn.XLOOKUP($B$29:$B$61,Definitions!$K$17:$K$49,Definitions!$M$17:$M$49,"")=$A16,1,0))</f>
        <v>0</v>
      </c>
      <c r="R16" s="125" cm="1">
        <f t="array" ref="R16">SUMPRODUCT(R$29:R$61,IF(_xlfn.XLOOKUP($B$29:$B$61,Definitions!$K$17:$K$49,Definitions!$M$17:$M$49,"")=$A16,1,0))</f>
        <v>0</v>
      </c>
      <c r="S16" s="125" cm="1">
        <f t="array" ref="S16">SUMPRODUCT(S$29:S$61,IF(_xlfn.XLOOKUP($B$29:$B$61,Definitions!$K$17:$K$49,Definitions!$M$17:$M$49,"")=$A16,1,0))</f>
        <v>73.2761</v>
      </c>
      <c r="T16" s="125" cm="1">
        <f t="array" ref="T16">SUMPRODUCT(T$29:T$61,IF(_xlfn.XLOOKUP($B$29:$B$61,Definitions!$K$17:$K$49,Definitions!$M$17:$M$49,"")=$A16,1,0))</f>
        <v>-27.1585</v>
      </c>
      <c r="U16" s="125" cm="1">
        <f t="array" ref="U16">SUMPRODUCT(U$29:U$61,IF(_xlfn.XLOOKUP($B$29:$B$61,Definitions!$K$17:$K$49,Definitions!$M$17:$M$49,"")=$A16,1,0))</f>
        <v>0</v>
      </c>
      <c r="V16" s="125" cm="1">
        <f t="array" ref="V16">SUMPRODUCT(V$29:V$61,IF(_xlfn.XLOOKUP($B$29:$B$61,Definitions!$K$17:$K$49,Definitions!$M$17:$M$49,"")=$A16,1,0))</f>
        <v>0</v>
      </c>
      <c r="W16" s="125" cm="1">
        <f t="array" ref="W16">SUMPRODUCT(W$29:W$61,IF(_xlfn.XLOOKUP($B$29:$B$61,Definitions!$K$17:$K$49,Definitions!$M$17:$M$49,"")=$A16,1,0))</f>
        <v>0</v>
      </c>
      <c r="X16" s="125" cm="1">
        <f t="array" ref="X16">SUMPRODUCT(X$29:X$61,IF(_xlfn.XLOOKUP($B$29:$B$61,Definitions!$K$17:$K$49,Definitions!$M$17:$M$49,"")=$A16,1,0))</f>
        <v>0</v>
      </c>
      <c r="Y16" s="125" cm="1">
        <f t="array" ref="Y16">SUMPRODUCT(Y$29:Y$61,IF(_xlfn.XLOOKUP($B$29:$B$61,Definitions!$K$17:$K$49,Definitions!$M$17:$M$49,"")=$A16,1,0))</f>
        <v>0</v>
      </c>
      <c r="Z16" s="125" cm="1">
        <f t="array" ref="Z16">SUMPRODUCT(Z$29:Z$61,IF(_xlfn.XLOOKUP($B$29:$B$61,Definitions!$K$17:$K$49,Definitions!$M$17:$M$49,"")=$A16,1,0))</f>
        <v>0</v>
      </c>
      <c r="AA16" s="125" cm="1">
        <f t="array" ref="AA16">SUMPRODUCT(AA$29:AA$61,IF(_xlfn.XLOOKUP($B$29:$B$61,Definitions!$K$17:$K$49,Definitions!$M$17:$M$49,"")=$A16,1,0))</f>
        <v>0</v>
      </c>
      <c r="AB16" s="125" cm="1">
        <f t="array" ref="AB16">SUMPRODUCT(AB$29:AB$61,IF(_xlfn.XLOOKUP($B$29:$B$61,Definitions!$K$17:$K$49,Definitions!$M$17:$M$49,"")=$A16,1,0))</f>
        <v>70.561300000000003</v>
      </c>
      <c r="AC16" s="125" cm="1">
        <f t="array" ref="AC16">SUMPRODUCT(AC$29:AC$61,IF(_xlfn.XLOOKUP($B$29:$B$61,Definitions!$K$17:$K$49,Definitions!$M$17:$M$49,"")=$A16,1,0))</f>
        <v>-244.08850000000001</v>
      </c>
      <c r="AD16" s="125" cm="1">
        <f t="array" ref="AD16">SUMPRODUCT(AD$29:AD$61,IF(_xlfn.XLOOKUP($B$29:$B$61,Definitions!$K$17:$K$49,Definitions!$M$17:$M$49,"")=$A16,1,0))</f>
        <v>103.032</v>
      </c>
      <c r="AE16" s="125" cm="1">
        <f t="array" ref="AE16">SUMPRODUCT(AE$29:AE$61,IF(_xlfn.XLOOKUP($B$29:$B$61,Definitions!$K$17:$K$49,Definitions!$M$17:$M$49,"")=$A16,1,0))</f>
        <v>206.02189999999999</v>
      </c>
      <c r="AF16" s="125" cm="1">
        <f t="array" ref="AF16">SUMPRODUCT(AF$29:AF$61,IF(_xlfn.XLOOKUP($B$29:$B$61,Definitions!$K$17:$K$49,Definitions!$M$17:$M$49,"")=$A16,1,0))</f>
        <v>23.941500000000001</v>
      </c>
      <c r="AG16" s="125" cm="1">
        <f t="array" ref="AG16">SUMPRODUCT(AG$29:AG$61,IF(_xlfn.XLOOKUP($B$29:$B$61,Definitions!$K$17:$K$49,Definitions!$M$17:$M$49,"")=$A16,1,0))</f>
        <v>63.821399999999997</v>
      </c>
      <c r="AH16" s="125" cm="1">
        <f t="array" ref="AH16">SUMPRODUCT(AH$29:AH$61,IF(_xlfn.XLOOKUP($B$29:$B$61,Definitions!$K$17:$K$49,Definitions!$M$17:$M$49,"")=$A16,1,0))</f>
        <v>66.116500000000002</v>
      </c>
      <c r="AI16" s="125" cm="1">
        <f t="array" ref="AI16">SUMPRODUCT(AI$29:AI$61,IF(_xlfn.XLOOKUP($B$29:$B$61,Definitions!$K$17:$K$49,Definitions!$M$17:$M$49,"")=$A16,1,0))</f>
        <v>14.821400000000001</v>
      </c>
      <c r="AJ16" s="125" cm="1">
        <f t="array" ref="AJ16">SUMPRODUCT(AJ$29:AJ$61,IF(_xlfn.XLOOKUP($B$29:$B$61,Definitions!$K$17:$K$49,Definitions!$M$17:$M$49,"")=$A16,1,0))</f>
        <v>-67.245400000000004</v>
      </c>
      <c r="AK16" s="125" cm="1">
        <f t="array" ref="AK16">SUMPRODUCT(AK$29:AK$61,IF(_xlfn.XLOOKUP($B$29:$B$61,Definitions!$K$17:$K$49,Definitions!$M$17:$M$49,"")=$A16,1,0))</f>
        <v>20.973199999999999</v>
      </c>
      <c r="AL16" s="125" cm="1">
        <f t="array" ref="AL16">SUMPRODUCT(AL$29:AL$61,IF(_xlfn.XLOOKUP($B$29:$B$61,Definitions!$K$17:$K$49,Definitions!$M$17:$M$49,"")=$A16,1,0))</f>
        <v>3.9983</v>
      </c>
      <c r="AM16" s="125" cm="1">
        <f t="array" ref="AM16">SUMPRODUCT(AM$29:AM$61,IF(_xlfn.XLOOKUP($B$29:$B$61,Definitions!$K$17:$K$49,Definitions!$M$17:$M$49,"")=$A16,1,0))</f>
        <v>87.830200000000005</v>
      </c>
      <c r="AN16" s="125" cm="1">
        <f t="array" ref="AN16">SUMPRODUCT(AN$29:AN$61,IF(_xlfn.XLOOKUP($B$29:$B$61,Definitions!$K$17:$K$49,Definitions!$M$17:$M$49,"")=$A16,1,0))</f>
        <v>-9.9888000000000012</v>
      </c>
      <c r="AO16" s="125" cm="1">
        <f t="array" ref="AO16">SUMPRODUCT(AO$29:AO$61,IF(_xlfn.XLOOKUP($B$29:$B$61,Definitions!$K$17:$K$49,Definitions!$M$17:$M$49,"")=$A16,1,0))</f>
        <v>19.916599999999999</v>
      </c>
      <c r="AP16" s="125" cm="1">
        <f t="array" ref="AP16">SUMPRODUCT(AP$29:AP$61,IF(_xlfn.XLOOKUP($B$29:$B$61,Definitions!$K$17:$K$49,Definitions!$M$17:$M$49,"")=$A16,1,0))</f>
        <v>18.860099999999999</v>
      </c>
      <c r="AQ16" s="125" cm="1">
        <f t="array" ref="AQ16">SUMPRODUCT(AQ$29:AQ$61,IF(_xlfn.XLOOKUP($B$29:$B$61,Definitions!$K$17:$K$49,Definitions!$M$17:$M$49,"")=$A16,1,0))</f>
        <v>14.533300000000001</v>
      </c>
      <c r="AR16" s="125" cm="1">
        <f t="array" ref="AR16">SUMPRODUCT(AR$29:AR$61,IF(_xlfn.XLOOKUP($B$29:$B$61,Definitions!$K$17:$K$49,Definitions!$M$17:$M$49,"")=$A16,1,0))</f>
        <v>20.973199999999999</v>
      </c>
      <c r="AS16" s="125" cm="1">
        <f t="array" ref="AS16">SUMPRODUCT(AS$29:AS$61,IF(_xlfn.XLOOKUP($B$29:$B$61,Definitions!$K$17:$K$49,Definitions!$M$17:$M$49,"")=$A16,1,0))</f>
        <v>20.973199999999999</v>
      </c>
      <c r="AT16" s="125" cm="1">
        <f t="array" ref="AT16">SUMPRODUCT(AT$29:AT$61,IF(_xlfn.XLOOKUP($B$29:$B$61,Definitions!$K$17:$K$49,Definitions!$M$17:$M$49,"")=$A16,1,0))</f>
        <v>20.973199999999999</v>
      </c>
      <c r="AU16" s="125" cm="1">
        <f t="array" ref="AU16">SUMPRODUCT(AU$29:AU$61,IF(_xlfn.XLOOKUP($B$29:$B$61,Definitions!$K$17:$K$49,Definitions!$M$17:$M$49,"")=$A16,1,0))</f>
        <v>20.973199999999999</v>
      </c>
      <c r="AV16" s="125" cm="1">
        <f t="array" ref="AV16">SUMPRODUCT(AV$29:AV$61,IF(_xlfn.XLOOKUP($B$29:$B$61,Definitions!$K$17:$K$49,Definitions!$M$17:$M$49,"")=$A16,1,0))</f>
        <v>91.849100000000007</v>
      </c>
    </row>
    <row r="17" spans="1:52">
      <c r="A17" s="743" t="s">
        <v>65</v>
      </c>
      <c r="B17" s="743"/>
      <c r="C17" s="125" cm="1">
        <f t="array" ref="C17">SUMPRODUCT(C$29:C$61,IF(_xlfn.XLOOKUP($B$29:$B$61,Definitions!$K$17:$K$49,Definitions!$M$17:$M$49,"")=$A17,1,0))</f>
        <v>250</v>
      </c>
      <c r="D17" s="125" cm="1">
        <f t="array" ref="D17">SUMPRODUCT(D$29:D$61,IF(_xlfn.XLOOKUP($B$29:$B$61,Definitions!$K$17:$K$49,Definitions!$M$17:$M$49,"")=$A17,1,0))</f>
        <v>0</v>
      </c>
      <c r="E17" s="125" cm="1">
        <f t="array" ref="E17">SUMPRODUCT(E$29:E$61,IF(_xlfn.XLOOKUP($B$29:$B$61,Definitions!$K$17:$K$49,Definitions!$M$17:$M$49,"")=$A17,1,0))</f>
        <v>0</v>
      </c>
      <c r="F17" s="125" cm="1">
        <f t="array" ref="F17">SUMPRODUCT(F$29:F$61,IF(_xlfn.XLOOKUP($B$29:$B$61,Definitions!$K$17:$K$49,Definitions!$M$17:$M$49,"")=$A17,1,0))</f>
        <v>0</v>
      </c>
      <c r="G17" s="125" cm="1">
        <f t="array" ref="G17">SUMPRODUCT(G$29:G$61,IF(_xlfn.XLOOKUP($B$29:$B$61,Definitions!$K$17:$K$49,Definitions!$M$17:$M$49,"")=$A17,1,0))</f>
        <v>0</v>
      </c>
      <c r="H17" s="125" cm="1">
        <f t="array" ref="H17">SUMPRODUCT(H$29:H$61,IF(_xlfn.XLOOKUP($B$29:$B$61,Definitions!$K$17:$K$49,Definitions!$M$17:$M$49,"")=$A17,1,0))</f>
        <v>0</v>
      </c>
      <c r="I17" s="125" cm="1">
        <f t="array" ref="I17">SUMPRODUCT(I$29:I$61,IF(_xlfn.XLOOKUP($B$29:$B$61,Definitions!$K$17:$K$49,Definitions!$M$17:$M$49,"")=$A17,1,0))</f>
        <v>0</v>
      </c>
      <c r="J17" s="125" cm="1">
        <f t="array" ref="J17">SUMPRODUCT(J$29:J$61,IF(_xlfn.XLOOKUP($B$29:$B$61,Definitions!$K$17:$K$49,Definitions!$M$17:$M$49,"")=$A17,1,0))</f>
        <v>0</v>
      </c>
      <c r="K17" s="125" cm="1">
        <f t="array" ref="K17">SUMPRODUCT(K$29:K$61,IF(_xlfn.XLOOKUP($B$29:$B$61,Definitions!$K$17:$K$49,Definitions!$M$17:$M$49,"")=$A17,1,0))</f>
        <v>0</v>
      </c>
      <c r="L17" s="125" cm="1">
        <f t="array" ref="L17">SUMPRODUCT(L$29:L$61,IF(_xlfn.XLOOKUP($B$29:$B$61,Definitions!$K$17:$K$49,Definitions!$M$17:$M$49,"")=$A17,1,0))</f>
        <v>0</v>
      </c>
      <c r="M17" s="125" cm="1">
        <f t="array" ref="M17">SUMPRODUCT(M$29:M$61,IF(_xlfn.XLOOKUP($B$29:$B$61,Definitions!$K$17:$K$49,Definitions!$M$17:$M$49,"")=$A17,1,0))</f>
        <v>0</v>
      </c>
      <c r="N17" s="125" cm="1">
        <f t="array" ref="N17">SUMPRODUCT(N$29:N$61,IF(_xlfn.XLOOKUP($B$29:$B$61,Definitions!$K$17:$K$49,Definitions!$M$17:$M$49,"")=$A17,1,0))</f>
        <v>0</v>
      </c>
      <c r="O17" s="125" cm="1">
        <f t="array" ref="O17">SUMPRODUCT(O$29:O$61,IF(_xlfn.XLOOKUP($B$29:$B$61,Definitions!$K$17:$K$49,Definitions!$M$17:$M$49,"")=$A17,1,0))</f>
        <v>0</v>
      </c>
      <c r="P17" s="125" cm="1">
        <f t="array" ref="P17">SUMPRODUCT(P$29:P$61,IF(_xlfn.XLOOKUP($B$29:$B$61,Definitions!$K$17:$K$49,Definitions!$M$17:$M$49,"")=$A17,1,0))</f>
        <v>0</v>
      </c>
      <c r="Q17" s="125" cm="1">
        <f t="array" ref="Q17">SUMPRODUCT(Q$29:Q$61,IF(_xlfn.XLOOKUP($B$29:$B$61,Definitions!$K$17:$K$49,Definitions!$M$17:$M$49,"")=$A17,1,0))</f>
        <v>0</v>
      </c>
      <c r="R17" s="125" cm="1">
        <f t="array" ref="R17">SUMPRODUCT(R$29:R$61,IF(_xlfn.XLOOKUP($B$29:$B$61,Definitions!$K$17:$K$49,Definitions!$M$17:$M$49,"")=$A17,1,0))</f>
        <v>0</v>
      </c>
      <c r="S17" s="125" cm="1">
        <f t="array" ref="S17">SUMPRODUCT(S$29:S$61,IF(_xlfn.XLOOKUP($B$29:$B$61,Definitions!$K$17:$K$49,Definitions!$M$17:$M$49,"")=$A17,1,0))</f>
        <v>0</v>
      </c>
      <c r="T17" s="125" cm="1">
        <f t="array" ref="T17">SUMPRODUCT(T$29:T$61,IF(_xlfn.XLOOKUP($B$29:$B$61,Definitions!$K$17:$K$49,Definitions!$M$17:$M$49,"")=$A17,1,0))</f>
        <v>0</v>
      </c>
      <c r="U17" s="125" cm="1">
        <f t="array" ref="U17">SUMPRODUCT(U$29:U$61,IF(_xlfn.XLOOKUP($B$29:$B$61,Definitions!$K$17:$K$49,Definitions!$M$17:$M$49,"")=$A17,1,0))</f>
        <v>0</v>
      </c>
      <c r="V17" s="125" cm="1">
        <f t="array" ref="V17">SUMPRODUCT(V$29:V$61,IF(_xlfn.XLOOKUP($B$29:$B$61,Definitions!$K$17:$K$49,Definitions!$M$17:$M$49,"")=$A17,1,0))</f>
        <v>0</v>
      </c>
      <c r="W17" s="125" cm="1">
        <f t="array" ref="W17">SUMPRODUCT(W$29:W$61,IF(_xlfn.XLOOKUP($B$29:$B$61,Definitions!$K$17:$K$49,Definitions!$M$17:$M$49,"")=$A17,1,0))</f>
        <v>0</v>
      </c>
      <c r="X17" s="125" cm="1">
        <f t="array" ref="X17">SUMPRODUCT(X$29:X$61,IF(_xlfn.XLOOKUP($B$29:$B$61,Definitions!$K$17:$K$49,Definitions!$M$17:$M$49,"")=$A17,1,0))</f>
        <v>0</v>
      </c>
      <c r="Y17" s="125" cm="1">
        <f t="array" ref="Y17">SUMPRODUCT(Y$29:Y$61,IF(_xlfn.XLOOKUP($B$29:$B$61,Definitions!$K$17:$K$49,Definitions!$M$17:$M$49,"")=$A17,1,0))</f>
        <v>0</v>
      </c>
      <c r="Z17" s="125" cm="1">
        <f t="array" ref="Z17">SUMPRODUCT(Z$29:Z$61,IF(_xlfn.XLOOKUP($B$29:$B$61,Definitions!$K$17:$K$49,Definitions!$M$17:$M$49,"")=$A17,1,0))</f>
        <v>0</v>
      </c>
      <c r="AA17" s="125" cm="1">
        <f t="array" ref="AA17">SUMPRODUCT(AA$29:AA$61,IF(_xlfn.XLOOKUP($B$29:$B$61,Definitions!$K$17:$K$49,Definitions!$M$17:$M$49,"")=$A17,1,0))</f>
        <v>0</v>
      </c>
      <c r="AB17" s="125" cm="1">
        <f t="array" ref="AB17">SUMPRODUCT(AB$29:AB$61,IF(_xlfn.XLOOKUP($B$29:$B$61,Definitions!$K$17:$K$49,Definitions!$M$17:$M$49,"")=$A17,1,0))</f>
        <v>0</v>
      </c>
      <c r="AC17" s="125" cm="1">
        <f t="array" ref="AC17">SUMPRODUCT(AC$29:AC$61,IF(_xlfn.XLOOKUP($B$29:$B$61,Definitions!$K$17:$K$49,Definitions!$M$17:$M$49,"")=$A17,1,0))</f>
        <v>0</v>
      </c>
      <c r="AD17" s="125" cm="1">
        <f t="array" ref="AD17">SUMPRODUCT(AD$29:AD$61,IF(_xlfn.XLOOKUP($B$29:$B$61,Definitions!$K$17:$K$49,Definitions!$M$17:$M$49,"")=$A17,1,0))</f>
        <v>0</v>
      </c>
      <c r="AE17" s="125" cm="1">
        <f t="array" ref="AE17">SUMPRODUCT(AE$29:AE$61,IF(_xlfn.XLOOKUP($B$29:$B$61,Definitions!$K$17:$K$49,Definitions!$M$17:$M$49,"")=$A17,1,0))</f>
        <v>0</v>
      </c>
      <c r="AF17" s="125" cm="1">
        <f t="array" ref="AF17">SUMPRODUCT(AF$29:AF$61,IF(_xlfn.XLOOKUP($B$29:$B$61,Definitions!$K$17:$K$49,Definitions!$M$17:$M$49,"")=$A17,1,0))</f>
        <v>0</v>
      </c>
      <c r="AG17" s="125" cm="1">
        <f t="array" ref="AG17">SUMPRODUCT(AG$29:AG$61,IF(_xlfn.XLOOKUP($B$29:$B$61,Definitions!$K$17:$K$49,Definitions!$M$17:$M$49,"")=$A17,1,0))</f>
        <v>0</v>
      </c>
      <c r="AH17" s="125" cm="1">
        <f t="array" ref="AH17">SUMPRODUCT(AH$29:AH$61,IF(_xlfn.XLOOKUP($B$29:$B$61,Definitions!$K$17:$K$49,Definitions!$M$17:$M$49,"")=$A17,1,0))</f>
        <v>0</v>
      </c>
      <c r="AI17" s="125" cm="1">
        <f t="array" ref="AI17">SUMPRODUCT(AI$29:AI$61,IF(_xlfn.XLOOKUP($B$29:$B$61,Definitions!$K$17:$K$49,Definitions!$M$17:$M$49,"")=$A17,1,0))</f>
        <v>0</v>
      </c>
      <c r="AJ17" s="125" cm="1">
        <f t="array" ref="AJ17">SUMPRODUCT(AJ$29:AJ$61,IF(_xlfn.XLOOKUP($B$29:$B$61,Definitions!$K$17:$K$49,Definitions!$M$17:$M$49,"")=$A17,1,0))</f>
        <v>0</v>
      </c>
      <c r="AK17" s="125" cm="1">
        <f t="array" ref="AK17">SUMPRODUCT(AK$29:AK$61,IF(_xlfn.XLOOKUP($B$29:$B$61,Definitions!$K$17:$K$49,Definitions!$M$17:$M$49,"")=$A17,1,0))</f>
        <v>0</v>
      </c>
      <c r="AL17" s="125" cm="1">
        <f t="array" ref="AL17">SUMPRODUCT(AL$29:AL$61,IF(_xlfn.XLOOKUP($B$29:$B$61,Definitions!$K$17:$K$49,Definitions!$M$17:$M$49,"")=$A17,1,0))</f>
        <v>0</v>
      </c>
      <c r="AM17" s="125" cm="1">
        <f t="array" ref="AM17">SUMPRODUCT(AM$29:AM$61,IF(_xlfn.XLOOKUP($B$29:$B$61,Definitions!$K$17:$K$49,Definitions!$M$17:$M$49,"")=$A17,1,0))</f>
        <v>0</v>
      </c>
      <c r="AN17" s="125" cm="1">
        <f t="array" ref="AN17">SUMPRODUCT(AN$29:AN$61,IF(_xlfn.XLOOKUP($B$29:$B$61,Definitions!$K$17:$K$49,Definitions!$M$17:$M$49,"")=$A17,1,0))</f>
        <v>0</v>
      </c>
      <c r="AO17" s="125" cm="1">
        <f t="array" ref="AO17">SUMPRODUCT(AO$29:AO$61,IF(_xlfn.XLOOKUP($B$29:$B$61,Definitions!$K$17:$K$49,Definitions!$M$17:$M$49,"")=$A17,1,0))</f>
        <v>0</v>
      </c>
      <c r="AP17" s="125" cm="1">
        <f t="array" ref="AP17">SUMPRODUCT(AP$29:AP$61,IF(_xlfn.XLOOKUP($B$29:$B$61,Definitions!$K$17:$K$49,Definitions!$M$17:$M$49,"")=$A17,1,0))</f>
        <v>0</v>
      </c>
      <c r="AQ17" s="125" cm="1">
        <f t="array" ref="AQ17">SUMPRODUCT(AQ$29:AQ$61,IF(_xlfn.XLOOKUP($B$29:$B$61,Definitions!$K$17:$K$49,Definitions!$M$17:$M$49,"")=$A17,1,0))</f>
        <v>0</v>
      </c>
      <c r="AR17" s="125" cm="1">
        <f t="array" ref="AR17">SUMPRODUCT(AR$29:AR$61,IF(_xlfn.XLOOKUP($B$29:$B$61,Definitions!$K$17:$K$49,Definitions!$M$17:$M$49,"")=$A17,1,0))</f>
        <v>0</v>
      </c>
      <c r="AS17" s="125" cm="1">
        <f t="array" ref="AS17">SUMPRODUCT(AS$29:AS$61,IF(_xlfn.XLOOKUP($B$29:$B$61,Definitions!$K$17:$K$49,Definitions!$M$17:$M$49,"")=$A17,1,0))</f>
        <v>0</v>
      </c>
      <c r="AT17" s="125" cm="1">
        <f t="array" ref="AT17">SUMPRODUCT(AT$29:AT$61,IF(_xlfn.XLOOKUP($B$29:$B$61,Definitions!$K$17:$K$49,Definitions!$M$17:$M$49,"")=$A17,1,0))</f>
        <v>0</v>
      </c>
      <c r="AU17" s="125" cm="1">
        <f t="array" ref="AU17">SUMPRODUCT(AU$29:AU$61,IF(_xlfn.XLOOKUP($B$29:$B$61,Definitions!$K$17:$K$49,Definitions!$M$17:$M$49,"")=$A17,1,0))</f>
        <v>0</v>
      </c>
      <c r="AV17" s="125" cm="1">
        <f t="array" ref="AV17">SUMPRODUCT(AV$29:AV$61,IF(_xlfn.XLOOKUP($B$29:$B$61,Definitions!$K$17:$K$49,Definitions!$M$17:$M$49,"")=$A17,1,0))</f>
        <v>0</v>
      </c>
    </row>
    <row r="18" spans="1:52">
      <c r="A18" s="743" t="s">
        <v>75</v>
      </c>
      <c r="B18" s="743"/>
      <c r="C18" s="125" cm="1">
        <f t="array" ref="C18">SUMPRODUCT(C$29:C$61,IF(_xlfn.XLOOKUP($B$29:$B$61,Definitions!$K$17:$K$49,Definitions!$M$17:$M$49,"")=$A18,1,0))</f>
        <v>0</v>
      </c>
      <c r="D18" s="125" cm="1">
        <f t="array" ref="D18">SUMPRODUCT(D$29:D$61,IF(_xlfn.XLOOKUP($B$29:$B$61,Definitions!$K$17:$K$49,Definitions!$M$17:$M$49,"")=$A18,1,0))</f>
        <v>0</v>
      </c>
      <c r="E18" s="125" cm="1">
        <f t="array" ref="E18">SUMPRODUCT(E$29:E$61,IF(_xlfn.XLOOKUP($B$29:$B$61,Definitions!$K$17:$K$49,Definitions!$M$17:$M$49,"")=$A18,1,0))</f>
        <v>0</v>
      </c>
      <c r="F18" s="125" cm="1">
        <f t="array" ref="F18">SUMPRODUCT(F$29:F$61,IF(_xlfn.XLOOKUP($B$29:$B$61,Definitions!$K$17:$K$49,Definitions!$M$17:$M$49,"")=$A18,1,0))</f>
        <v>0</v>
      </c>
      <c r="G18" s="125" cm="1">
        <f t="array" ref="G18">SUMPRODUCT(G$29:G$61,IF(_xlfn.XLOOKUP($B$29:$B$61,Definitions!$K$17:$K$49,Definitions!$M$17:$M$49,"")=$A18,1,0))</f>
        <v>0</v>
      </c>
      <c r="H18" s="125" cm="1">
        <f t="array" ref="H18">SUMPRODUCT(H$29:H$61,IF(_xlfn.XLOOKUP($B$29:$B$61,Definitions!$K$17:$K$49,Definitions!$M$17:$M$49,"")=$A18,1,0))</f>
        <v>0</v>
      </c>
      <c r="I18" s="125" cm="1">
        <f t="array" ref="I18">SUMPRODUCT(I$29:I$61,IF(_xlfn.XLOOKUP($B$29:$B$61,Definitions!$K$17:$K$49,Definitions!$M$17:$M$49,"")=$A18,1,0))</f>
        <v>0</v>
      </c>
      <c r="J18" s="125" cm="1">
        <f t="array" ref="J18">SUMPRODUCT(J$29:J$61,IF(_xlfn.XLOOKUP($B$29:$B$61,Definitions!$K$17:$K$49,Definitions!$M$17:$M$49,"")=$A18,1,0))</f>
        <v>0</v>
      </c>
      <c r="K18" s="125" cm="1">
        <f t="array" ref="K18">SUMPRODUCT(K$29:K$61,IF(_xlfn.XLOOKUP($B$29:$B$61,Definitions!$K$17:$K$49,Definitions!$M$17:$M$49,"")=$A18,1,0))</f>
        <v>0</v>
      </c>
      <c r="L18" s="125" cm="1">
        <f t="array" ref="L18">SUMPRODUCT(L$29:L$61,IF(_xlfn.XLOOKUP($B$29:$B$61,Definitions!$K$17:$K$49,Definitions!$M$17:$M$49,"")=$A18,1,0))</f>
        <v>0</v>
      </c>
      <c r="M18" s="125" cm="1">
        <f t="array" ref="M18">SUMPRODUCT(M$29:M$61,IF(_xlfn.XLOOKUP($B$29:$B$61,Definitions!$K$17:$K$49,Definitions!$M$17:$M$49,"")=$A18,1,0))</f>
        <v>0</v>
      </c>
      <c r="N18" s="125" cm="1">
        <f t="array" ref="N18">SUMPRODUCT(N$29:N$61,IF(_xlfn.XLOOKUP($B$29:$B$61,Definitions!$K$17:$K$49,Definitions!$M$17:$M$49,"")=$A18,1,0))</f>
        <v>0</v>
      </c>
      <c r="O18" s="125" cm="1">
        <f t="array" ref="O18">SUMPRODUCT(O$29:O$61,IF(_xlfn.XLOOKUP($B$29:$B$61,Definitions!$K$17:$K$49,Definitions!$M$17:$M$49,"")=$A18,1,0))</f>
        <v>0</v>
      </c>
      <c r="P18" s="125" cm="1">
        <f t="array" ref="P18">SUMPRODUCT(P$29:P$61,IF(_xlfn.XLOOKUP($B$29:$B$61,Definitions!$K$17:$K$49,Definitions!$M$17:$M$49,"")=$A18,1,0))</f>
        <v>0</v>
      </c>
      <c r="Q18" s="125" cm="1">
        <f t="array" ref="Q18">SUMPRODUCT(Q$29:Q$61,IF(_xlfn.XLOOKUP($B$29:$B$61,Definitions!$K$17:$K$49,Definitions!$M$17:$M$49,"")=$A18,1,0))</f>
        <v>0</v>
      </c>
      <c r="R18" s="125" cm="1">
        <f t="array" ref="R18">SUMPRODUCT(R$29:R$61,IF(_xlfn.XLOOKUP($B$29:$B$61,Definitions!$K$17:$K$49,Definitions!$M$17:$M$49,"")=$A18,1,0))</f>
        <v>0</v>
      </c>
      <c r="S18" s="125" cm="1">
        <f t="array" ref="S18">SUMPRODUCT(S$29:S$61,IF(_xlfn.XLOOKUP($B$29:$B$61,Definitions!$K$17:$K$49,Definitions!$M$17:$M$49,"")=$A18,1,0))</f>
        <v>0</v>
      </c>
      <c r="T18" s="125" cm="1">
        <f t="array" ref="T18">SUMPRODUCT(T$29:T$61,IF(_xlfn.XLOOKUP($B$29:$B$61,Definitions!$K$17:$K$49,Definitions!$M$17:$M$49,"")=$A18,1,0))</f>
        <v>0</v>
      </c>
      <c r="U18" s="125" cm="1">
        <f t="array" ref="U18">SUMPRODUCT(U$29:U$61,IF(_xlfn.XLOOKUP($B$29:$B$61,Definitions!$K$17:$K$49,Definitions!$M$17:$M$49,"")=$A18,1,0))</f>
        <v>0</v>
      </c>
      <c r="V18" s="125" cm="1">
        <f t="array" ref="V18">SUMPRODUCT(V$29:V$61,IF(_xlfn.XLOOKUP($B$29:$B$61,Definitions!$K$17:$K$49,Definitions!$M$17:$M$49,"")=$A18,1,0))</f>
        <v>0</v>
      </c>
      <c r="W18" s="125" cm="1">
        <f t="array" ref="W18">SUMPRODUCT(W$29:W$61,IF(_xlfn.XLOOKUP($B$29:$B$61,Definitions!$K$17:$K$49,Definitions!$M$17:$M$49,"")=$A18,1,0))</f>
        <v>0</v>
      </c>
      <c r="X18" s="125" cm="1">
        <f t="array" ref="X18">SUMPRODUCT(X$29:X$61,IF(_xlfn.XLOOKUP($B$29:$B$61,Definitions!$K$17:$K$49,Definitions!$M$17:$M$49,"")=$A18,1,0))</f>
        <v>0</v>
      </c>
      <c r="Y18" s="125" cm="1">
        <f t="array" ref="Y18">SUMPRODUCT(Y$29:Y$61,IF(_xlfn.XLOOKUP($B$29:$B$61,Definitions!$K$17:$K$49,Definitions!$M$17:$M$49,"")=$A18,1,0))</f>
        <v>0</v>
      </c>
      <c r="Z18" s="125" cm="1">
        <f t="array" ref="Z18">SUMPRODUCT(Z$29:Z$61,IF(_xlfn.XLOOKUP($B$29:$B$61,Definitions!$K$17:$K$49,Definitions!$M$17:$M$49,"")=$A18,1,0))</f>
        <v>0</v>
      </c>
      <c r="AA18" s="125" cm="1">
        <f t="array" ref="AA18">SUMPRODUCT(AA$29:AA$61,IF(_xlfn.XLOOKUP($B$29:$B$61,Definitions!$K$17:$K$49,Definitions!$M$17:$M$49,"")=$A18,1,0))</f>
        <v>0</v>
      </c>
      <c r="AB18" s="125" cm="1">
        <f t="array" ref="AB18">SUMPRODUCT(AB$29:AB$61,IF(_xlfn.XLOOKUP($B$29:$B$61,Definitions!$K$17:$K$49,Definitions!$M$17:$M$49,"")=$A18,1,0))</f>
        <v>0</v>
      </c>
      <c r="AC18" s="125" cm="1">
        <f t="array" ref="AC18">SUMPRODUCT(AC$29:AC$61,IF(_xlfn.XLOOKUP($B$29:$B$61,Definitions!$K$17:$K$49,Definitions!$M$17:$M$49,"")=$A18,1,0))</f>
        <v>0</v>
      </c>
      <c r="AD18" s="125" cm="1">
        <f t="array" ref="AD18">SUMPRODUCT(AD$29:AD$61,IF(_xlfn.XLOOKUP($B$29:$B$61,Definitions!$K$17:$K$49,Definitions!$M$17:$M$49,"")=$A18,1,0))</f>
        <v>0</v>
      </c>
      <c r="AE18" s="125" cm="1">
        <f t="array" ref="AE18">SUMPRODUCT(AE$29:AE$61,IF(_xlfn.XLOOKUP($B$29:$B$61,Definitions!$K$17:$K$49,Definitions!$M$17:$M$49,"")=$A18,1,0))</f>
        <v>0</v>
      </c>
      <c r="AF18" s="125" cm="1">
        <f t="array" ref="AF18">SUMPRODUCT(AF$29:AF$61,IF(_xlfn.XLOOKUP($B$29:$B$61,Definitions!$K$17:$K$49,Definitions!$M$17:$M$49,"")=$A18,1,0))</f>
        <v>0</v>
      </c>
      <c r="AG18" s="125" cm="1">
        <f t="array" ref="AG18">SUMPRODUCT(AG$29:AG$61,IF(_xlfn.XLOOKUP($B$29:$B$61,Definitions!$K$17:$K$49,Definitions!$M$17:$M$49,"")=$A18,1,0))</f>
        <v>0</v>
      </c>
      <c r="AH18" s="125" cm="1">
        <f t="array" ref="AH18">SUMPRODUCT(AH$29:AH$61,IF(_xlfn.XLOOKUP($B$29:$B$61,Definitions!$K$17:$K$49,Definitions!$M$17:$M$49,"")=$A18,1,0))</f>
        <v>0</v>
      </c>
      <c r="AI18" s="125" cm="1">
        <f t="array" ref="AI18">SUMPRODUCT(AI$29:AI$61,IF(_xlfn.XLOOKUP($B$29:$B$61,Definitions!$K$17:$K$49,Definitions!$M$17:$M$49,"")=$A18,1,0))</f>
        <v>0</v>
      </c>
      <c r="AJ18" s="125" cm="1">
        <f t="array" ref="AJ18">SUMPRODUCT(AJ$29:AJ$61,IF(_xlfn.XLOOKUP($B$29:$B$61,Definitions!$K$17:$K$49,Definitions!$M$17:$M$49,"")=$A18,1,0))</f>
        <v>0</v>
      </c>
      <c r="AK18" s="125" cm="1">
        <f t="array" ref="AK18">SUMPRODUCT(AK$29:AK$61,IF(_xlfn.XLOOKUP($B$29:$B$61,Definitions!$K$17:$K$49,Definitions!$M$17:$M$49,"")=$A18,1,0))</f>
        <v>0</v>
      </c>
      <c r="AL18" s="125" cm="1">
        <f t="array" ref="AL18">SUMPRODUCT(AL$29:AL$61,IF(_xlfn.XLOOKUP($B$29:$B$61,Definitions!$K$17:$K$49,Definitions!$M$17:$M$49,"")=$A18,1,0))</f>
        <v>0</v>
      </c>
      <c r="AM18" s="125" cm="1">
        <f t="array" ref="AM18">SUMPRODUCT(AM$29:AM$61,IF(_xlfn.XLOOKUP($B$29:$B$61,Definitions!$K$17:$K$49,Definitions!$M$17:$M$49,"")=$A18,1,0))</f>
        <v>0</v>
      </c>
      <c r="AN18" s="125" cm="1">
        <f t="array" ref="AN18">SUMPRODUCT(AN$29:AN$61,IF(_xlfn.XLOOKUP($B$29:$B$61,Definitions!$K$17:$K$49,Definitions!$M$17:$M$49,"")=$A18,1,0))</f>
        <v>0</v>
      </c>
      <c r="AO18" s="125" cm="1">
        <f t="array" ref="AO18">SUMPRODUCT(AO$29:AO$61,IF(_xlfn.XLOOKUP($B$29:$B$61,Definitions!$K$17:$K$49,Definitions!$M$17:$M$49,"")=$A18,1,0))</f>
        <v>0</v>
      </c>
      <c r="AP18" s="125" cm="1">
        <f t="array" ref="AP18">SUMPRODUCT(AP$29:AP$61,IF(_xlfn.XLOOKUP($B$29:$B$61,Definitions!$K$17:$K$49,Definitions!$M$17:$M$49,"")=$A18,1,0))</f>
        <v>0</v>
      </c>
      <c r="AQ18" s="125" cm="1">
        <f t="array" ref="AQ18">SUMPRODUCT(AQ$29:AQ$61,IF(_xlfn.XLOOKUP($B$29:$B$61,Definitions!$K$17:$K$49,Definitions!$M$17:$M$49,"")=$A18,1,0))</f>
        <v>0</v>
      </c>
      <c r="AR18" s="125" cm="1">
        <f t="array" ref="AR18">SUMPRODUCT(AR$29:AR$61,IF(_xlfn.XLOOKUP($B$29:$B$61,Definitions!$K$17:$K$49,Definitions!$M$17:$M$49,"")=$A18,1,0))</f>
        <v>0</v>
      </c>
      <c r="AS18" s="125" cm="1">
        <f t="array" ref="AS18">SUMPRODUCT(AS$29:AS$61,IF(_xlfn.XLOOKUP($B$29:$B$61,Definitions!$K$17:$K$49,Definitions!$M$17:$M$49,"")=$A18,1,0))</f>
        <v>0</v>
      </c>
      <c r="AT18" s="125" cm="1">
        <f t="array" ref="AT18">SUMPRODUCT(AT$29:AT$61,IF(_xlfn.XLOOKUP($B$29:$B$61,Definitions!$K$17:$K$49,Definitions!$M$17:$M$49,"")=$A18,1,0))</f>
        <v>0</v>
      </c>
      <c r="AU18" s="125" cm="1">
        <f t="array" ref="AU18">SUMPRODUCT(AU$29:AU$61,IF(_xlfn.XLOOKUP($B$29:$B$61,Definitions!$K$17:$K$49,Definitions!$M$17:$M$49,"")=$A18,1,0))</f>
        <v>0</v>
      </c>
      <c r="AV18" s="125" cm="1">
        <f t="array" ref="AV18">SUMPRODUCT(AV$29:AV$61,IF(_xlfn.XLOOKUP($B$29:$B$61,Definitions!$K$17:$K$49,Definitions!$M$17:$M$49,"")=$A18,1,0))</f>
        <v>0</v>
      </c>
    </row>
    <row r="19" spans="1:52">
      <c r="A19" s="743" t="s">
        <v>460</v>
      </c>
      <c r="B19" s="743"/>
      <c r="C19" s="125" cm="1">
        <f t="array" ref="C19">SUMPRODUCT(C$29:C$61,IF(_xlfn.XLOOKUP($B$29:$B$61,Definitions!$K$17:$K$49,Definitions!$M$17:$M$49,"")=$A19,1,0))</f>
        <v>0</v>
      </c>
      <c r="D19" s="125" cm="1">
        <f t="array" ref="D19">SUMPRODUCT(D$29:D$61,IF(_xlfn.XLOOKUP($B$29:$B$61,Definitions!$K$17:$K$49,Definitions!$M$17:$M$49,"")=$A19,1,0))</f>
        <v>0</v>
      </c>
      <c r="E19" s="125" cm="1">
        <f t="array" ref="E19">SUMPRODUCT(E$29:E$61,IF(_xlfn.XLOOKUP($B$29:$B$61,Definitions!$K$17:$K$49,Definitions!$M$17:$M$49,"")=$A19,1,0))</f>
        <v>0</v>
      </c>
      <c r="F19" s="125" cm="1">
        <f t="array" ref="F19">SUMPRODUCT(F$29:F$61,IF(_xlfn.XLOOKUP($B$29:$B$61,Definitions!$K$17:$K$49,Definitions!$M$17:$M$49,"")=$A19,1,0))</f>
        <v>0</v>
      </c>
      <c r="G19" s="125" cm="1">
        <f t="array" ref="G19">SUMPRODUCT(G$29:G$61,IF(_xlfn.XLOOKUP($B$29:$B$61,Definitions!$K$17:$K$49,Definitions!$M$17:$M$49,"")=$A19,1,0))</f>
        <v>0</v>
      </c>
      <c r="H19" s="125" cm="1">
        <f t="array" ref="H19">SUMPRODUCT(H$29:H$61,IF(_xlfn.XLOOKUP($B$29:$B$61,Definitions!$K$17:$K$49,Definitions!$M$17:$M$49,"")=$A19,1,0))</f>
        <v>0</v>
      </c>
      <c r="I19" s="125" cm="1">
        <f t="array" ref="I19">SUMPRODUCT(I$29:I$61,IF(_xlfn.XLOOKUP($B$29:$B$61,Definitions!$K$17:$K$49,Definitions!$M$17:$M$49,"")=$A19,1,0))</f>
        <v>0</v>
      </c>
      <c r="J19" s="125" cm="1">
        <f t="array" ref="J19">SUMPRODUCT(J$29:J$61,IF(_xlfn.XLOOKUP($B$29:$B$61,Definitions!$K$17:$K$49,Definitions!$M$17:$M$49,"")=$A19,1,0))</f>
        <v>0</v>
      </c>
      <c r="K19" s="125" cm="1">
        <f t="array" ref="K19">SUMPRODUCT(K$29:K$61,IF(_xlfn.XLOOKUP($B$29:$B$61,Definitions!$K$17:$K$49,Definitions!$M$17:$M$49,"")=$A19,1,0))</f>
        <v>0</v>
      </c>
      <c r="L19" s="125" cm="1">
        <f t="array" ref="L19">SUMPRODUCT(L$29:L$61,IF(_xlfn.XLOOKUP($B$29:$B$61,Definitions!$K$17:$K$49,Definitions!$M$17:$M$49,"")=$A19,1,0))</f>
        <v>0</v>
      </c>
      <c r="M19" s="125" cm="1">
        <f t="array" ref="M19">SUMPRODUCT(M$29:M$61,IF(_xlfn.XLOOKUP($B$29:$B$61,Definitions!$K$17:$K$49,Definitions!$M$17:$M$49,"")=$A19,1,0))</f>
        <v>0</v>
      </c>
      <c r="N19" s="125" cm="1">
        <f t="array" ref="N19">SUMPRODUCT(N$29:N$61,IF(_xlfn.XLOOKUP($B$29:$B$61,Definitions!$K$17:$K$49,Definitions!$M$17:$M$49,"")=$A19,1,0))</f>
        <v>0</v>
      </c>
      <c r="O19" s="125" cm="1">
        <f t="array" ref="O19">SUMPRODUCT(O$29:O$61,IF(_xlfn.XLOOKUP($B$29:$B$61,Definitions!$K$17:$K$49,Definitions!$M$17:$M$49,"")=$A19,1,0))</f>
        <v>0</v>
      </c>
      <c r="P19" s="125" cm="1">
        <f t="array" ref="P19">SUMPRODUCT(P$29:P$61,IF(_xlfn.XLOOKUP($B$29:$B$61,Definitions!$K$17:$K$49,Definitions!$M$17:$M$49,"")=$A19,1,0))</f>
        <v>0</v>
      </c>
      <c r="Q19" s="125" cm="1">
        <f t="array" ref="Q19">SUMPRODUCT(Q$29:Q$61,IF(_xlfn.XLOOKUP($B$29:$B$61,Definitions!$K$17:$K$49,Definitions!$M$17:$M$49,"")=$A19,1,0))</f>
        <v>0</v>
      </c>
      <c r="R19" s="125" cm="1">
        <f t="array" ref="R19">SUMPRODUCT(R$29:R$61,IF(_xlfn.XLOOKUP($B$29:$B$61,Definitions!$K$17:$K$49,Definitions!$M$17:$M$49,"")=$A19,1,0))</f>
        <v>0</v>
      </c>
      <c r="S19" s="125" cm="1">
        <f t="array" ref="S19">SUMPRODUCT(S$29:S$61,IF(_xlfn.XLOOKUP($B$29:$B$61,Definitions!$K$17:$K$49,Definitions!$M$17:$M$49,"")=$A19,1,0))</f>
        <v>0</v>
      </c>
      <c r="T19" s="125" cm="1">
        <f t="array" ref="T19">SUMPRODUCT(T$29:T$61,IF(_xlfn.XLOOKUP($B$29:$B$61,Definitions!$K$17:$K$49,Definitions!$M$17:$M$49,"")=$A19,1,0))</f>
        <v>0</v>
      </c>
      <c r="U19" s="125" cm="1">
        <f t="array" ref="U19">SUMPRODUCT(U$29:U$61,IF(_xlfn.XLOOKUP($B$29:$B$61,Definitions!$K$17:$K$49,Definitions!$M$17:$M$49,"")=$A19,1,0))</f>
        <v>0</v>
      </c>
      <c r="V19" s="125" cm="1">
        <f t="array" ref="V19">SUMPRODUCT(V$29:V$61,IF(_xlfn.XLOOKUP($B$29:$B$61,Definitions!$K$17:$K$49,Definitions!$M$17:$M$49,"")=$A19,1,0))</f>
        <v>0</v>
      </c>
      <c r="W19" s="125" cm="1">
        <f t="array" ref="W19">SUMPRODUCT(W$29:W$61,IF(_xlfn.XLOOKUP($B$29:$B$61,Definitions!$K$17:$K$49,Definitions!$M$17:$M$49,"")=$A19,1,0))</f>
        <v>0</v>
      </c>
      <c r="X19" s="125" cm="1">
        <f t="array" ref="X19">SUMPRODUCT(X$29:X$61,IF(_xlfn.XLOOKUP($B$29:$B$61,Definitions!$K$17:$K$49,Definitions!$M$17:$M$49,"")=$A19,1,0))</f>
        <v>0</v>
      </c>
      <c r="Y19" s="125" cm="1">
        <f t="array" ref="Y19">SUMPRODUCT(Y$29:Y$61,IF(_xlfn.XLOOKUP($B$29:$B$61,Definitions!$K$17:$K$49,Definitions!$M$17:$M$49,"")=$A19,1,0))</f>
        <v>0</v>
      </c>
      <c r="Z19" s="125" cm="1">
        <f t="array" ref="Z19">SUMPRODUCT(Z$29:Z$61,IF(_xlfn.XLOOKUP($B$29:$B$61,Definitions!$K$17:$K$49,Definitions!$M$17:$M$49,"")=$A19,1,0))</f>
        <v>0</v>
      </c>
      <c r="AA19" s="125" cm="1">
        <f t="array" ref="AA19">SUMPRODUCT(AA$29:AA$61,IF(_xlfn.XLOOKUP($B$29:$B$61,Definitions!$K$17:$K$49,Definitions!$M$17:$M$49,"")=$A19,1,0))</f>
        <v>0</v>
      </c>
      <c r="AB19" s="125" cm="1">
        <f t="array" ref="AB19">SUMPRODUCT(AB$29:AB$61,IF(_xlfn.XLOOKUP($B$29:$B$61,Definitions!$K$17:$K$49,Definitions!$M$17:$M$49,"")=$A19,1,0))</f>
        <v>0</v>
      </c>
      <c r="AC19" s="125" cm="1">
        <f t="array" ref="AC19">SUMPRODUCT(AC$29:AC$61,IF(_xlfn.XLOOKUP($B$29:$B$61,Definitions!$K$17:$K$49,Definitions!$M$17:$M$49,"")=$A19,1,0))</f>
        <v>0</v>
      </c>
      <c r="AD19" s="125" cm="1">
        <f t="array" ref="AD19">SUMPRODUCT(AD$29:AD$61,IF(_xlfn.XLOOKUP($B$29:$B$61,Definitions!$K$17:$K$49,Definitions!$M$17:$M$49,"")=$A19,1,0))</f>
        <v>0</v>
      </c>
      <c r="AE19" s="125" cm="1">
        <f t="array" ref="AE19">SUMPRODUCT(AE$29:AE$61,IF(_xlfn.XLOOKUP($B$29:$B$61,Definitions!$K$17:$K$49,Definitions!$M$17:$M$49,"")=$A19,1,0))</f>
        <v>0</v>
      </c>
      <c r="AF19" s="125" cm="1">
        <f t="array" ref="AF19">SUMPRODUCT(AF$29:AF$61,IF(_xlfn.XLOOKUP($B$29:$B$61,Definitions!$K$17:$K$49,Definitions!$M$17:$M$49,"")=$A19,1,0))</f>
        <v>0</v>
      </c>
      <c r="AG19" s="125" cm="1">
        <f t="array" ref="AG19">SUMPRODUCT(AG$29:AG$61,IF(_xlfn.XLOOKUP($B$29:$B$61,Definitions!$K$17:$K$49,Definitions!$M$17:$M$49,"")=$A19,1,0))</f>
        <v>0</v>
      </c>
      <c r="AH19" s="125" cm="1">
        <f t="array" ref="AH19">SUMPRODUCT(AH$29:AH$61,IF(_xlfn.XLOOKUP($B$29:$B$61,Definitions!$K$17:$K$49,Definitions!$M$17:$M$49,"")=$A19,1,0))</f>
        <v>0</v>
      </c>
      <c r="AI19" s="125" cm="1">
        <f t="array" ref="AI19">SUMPRODUCT(AI$29:AI$61,IF(_xlfn.XLOOKUP($B$29:$B$61,Definitions!$K$17:$K$49,Definitions!$M$17:$M$49,"")=$A19,1,0))</f>
        <v>0</v>
      </c>
      <c r="AJ19" s="125" cm="1">
        <f t="array" ref="AJ19">SUMPRODUCT(AJ$29:AJ$61,IF(_xlfn.XLOOKUP($B$29:$B$61,Definitions!$K$17:$K$49,Definitions!$M$17:$M$49,"")=$A19,1,0))</f>
        <v>0</v>
      </c>
      <c r="AK19" s="125" cm="1">
        <f t="array" ref="AK19">SUMPRODUCT(AK$29:AK$61,IF(_xlfn.XLOOKUP($B$29:$B$61,Definitions!$K$17:$K$49,Definitions!$M$17:$M$49,"")=$A19,1,0))</f>
        <v>0</v>
      </c>
      <c r="AL19" s="125" cm="1">
        <f t="array" ref="AL19">SUMPRODUCT(AL$29:AL$61,IF(_xlfn.XLOOKUP($B$29:$B$61,Definitions!$K$17:$K$49,Definitions!$M$17:$M$49,"")=$A19,1,0))</f>
        <v>0</v>
      </c>
      <c r="AM19" s="125" cm="1">
        <f t="array" ref="AM19">SUMPRODUCT(AM$29:AM$61,IF(_xlfn.XLOOKUP($B$29:$B$61,Definitions!$K$17:$K$49,Definitions!$M$17:$M$49,"")=$A19,1,0))</f>
        <v>0</v>
      </c>
      <c r="AN19" s="125" cm="1">
        <f t="array" ref="AN19">SUMPRODUCT(AN$29:AN$61,IF(_xlfn.XLOOKUP($B$29:$B$61,Definitions!$K$17:$K$49,Definitions!$M$17:$M$49,"")=$A19,1,0))</f>
        <v>0</v>
      </c>
      <c r="AO19" s="125" cm="1">
        <f t="array" ref="AO19">SUMPRODUCT(AO$29:AO$61,IF(_xlfn.XLOOKUP($B$29:$B$61,Definitions!$K$17:$K$49,Definitions!$M$17:$M$49,"")=$A19,1,0))</f>
        <v>0</v>
      </c>
      <c r="AP19" s="125" cm="1">
        <f t="array" ref="AP19">SUMPRODUCT(AP$29:AP$61,IF(_xlfn.XLOOKUP($B$29:$B$61,Definitions!$K$17:$K$49,Definitions!$M$17:$M$49,"")=$A19,1,0))</f>
        <v>0</v>
      </c>
      <c r="AQ19" s="125" cm="1">
        <f t="array" ref="AQ19">SUMPRODUCT(AQ$29:AQ$61,IF(_xlfn.XLOOKUP($B$29:$B$61,Definitions!$K$17:$K$49,Definitions!$M$17:$M$49,"")=$A19,1,0))</f>
        <v>0</v>
      </c>
      <c r="AR19" s="125" cm="1">
        <f t="array" ref="AR19">SUMPRODUCT(AR$29:AR$61,IF(_xlfn.XLOOKUP($B$29:$B$61,Definitions!$K$17:$K$49,Definitions!$M$17:$M$49,"")=$A19,1,0))</f>
        <v>0</v>
      </c>
      <c r="AS19" s="125" cm="1">
        <f t="array" ref="AS19">SUMPRODUCT(AS$29:AS$61,IF(_xlfn.XLOOKUP($B$29:$B$61,Definitions!$K$17:$K$49,Definitions!$M$17:$M$49,"")=$A19,1,0))</f>
        <v>0</v>
      </c>
      <c r="AT19" s="125" cm="1">
        <f t="array" ref="AT19">SUMPRODUCT(AT$29:AT$61,IF(_xlfn.XLOOKUP($B$29:$B$61,Definitions!$K$17:$K$49,Definitions!$M$17:$M$49,"")=$A19,1,0))</f>
        <v>0</v>
      </c>
      <c r="AU19" s="125" cm="1">
        <f t="array" ref="AU19">SUMPRODUCT(AU$29:AU$61,IF(_xlfn.XLOOKUP($B$29:$B$61,Definitions!$K$17:$K$49,Definitions!$M$17:$M$49,"")=$A19,1,0))</f>
        <v>0</v>
      </c>
      <c r="AV19" s="125" cm="1">
        <f t="array" ref="AV19">SUMPRODUCT(AV$29:AV$61,IF(_xlfn.XLOOKUP($B$29:$B$61,Definitions!$K$17:$K$49,Definitions!$M$17:$M$49,"")=$A19,1,0))</f>
        <v>0</v>
      </c>
    </row>
    <row r="20" spans="1:52">
      <c r="A20" s="743" t="s">
        <v>101</v>
      </c>
      <c r="B20" s="743"/>
      <c r="C20" s="125" cm="1">
        <f t="array" ref="C20">SUMPRODUCT(C$29:C$61,IF(_xlfn.XLOOKUP($B$29:$B$61,Definitions!$K$17:$K$49,Definitions!$M$17:$M$49,"")=$A20,1,0))</f>
        <v>0</v>
      </c>
      <c r="D20" s="125" cm="1">
        <f t="array" ref="D20">SUMPRODUCT(D$29:D$61,IF(_xlfn.XLOOKUP($B$29:$B$61,Definitions!$K$17:$K$49,Definitions!$M$17:$M$49,"")=$A20,1,0))</f>
        <v>0</v>
      </c>
      <c r="E20" s="125" cm="1">
        <f t="array" ref="E20">SUMPRODUCT(E$29:E$61,IF(_xlfn.XLOOKUP($B$29:$B$61,Definitions!$K$17:$K$49,Definitions!$M$17:$M$49,"")=$A20,1,0))</f>
        <v>0</v>
      </c>
      <c r="F20" s="125" cm="1">
        <f t="array" ref="F20">SUMPRODUCT(F$29:F$61,IF(_xlfn.XLOOKUP($B$29:$B$61,Definitions!$K$17:$K$49,Definitions!$M$17:$M$49,"")=$A20,1,0))</f>
        <v>0</v>
      </c>
      <c r="G20" s="125" cm="1">
        <f t="array" ref="G20">SUMPRODUCT(G$29:G$61,IF(_xlfn.XLOOKUP($B$29:$B$61,Definitions!$K$17:$K$49,Definitions!$M$17:$M$49,"")=$A20,1,0))</f>
        <v>0</v>
      </c>
      <c r="H20" s="125" cm="1">
        <f t="array" ref="H20">SUMPRODUCT(H$29:H$61,IF(_xlfn.XLOOKUP($B$29:$B$61,Definitions!$K$17:$K$49,Definitions!$M$17:$M$49,"")=$A20,1,0))</f>
        <v>0</v>
      </c>
      <c r="I20" s="125" cm="1">
        <f t="array" ref="I20">SUMPRODUCT(I$29:I$61,IF(_xlfn.XLOOKUP($B$29:$B$61,Definitions!$K$17:$K$49,Definitions!$M$17:$M$49,"")=$A20,1,0))</f>
        <v>0</v>
      </c>
      <c r="J20" s="125" cm="1">
        <f t="array" ref="J20">SUMPRODUCT(J$29:J$61,IF(_xlfn.XLOOKUP($B$29:$B$61,Definitions!$K$17:$K$49,Definitions!$M$17:$M$49,"")=$A20,1,0))</f>
        <v>0</v>
      </c>
      <c r="K20" s="125" cm="1">
        <f t="array" ref="K20">SUMPRODUCT(K$29:K$61,IF(_xlfn.XLOOKUP($B$29:$B$61,Definitions!$K$17:$K$49,Definitions!$M$17:$M$49,"")=$A20,1,0))</f>
        <v>0</v>
      </c>
      <c r="L20" s="125" cm="1">
        <f t="array" ref="L20">SUMPRODUCT(L$29:L$61,IF(_xlfn.XLOOKUP($B$29:$B$61,Definitions!$K$17:$K$49,Definitions!$M$17:$M$49,"")=$A20,1,0))</f>
        <v>0</v>
      </c>
      <c r="M20" s="125" cm="1">
        <f t="array" ref="M20">SUMPRODUCT(M$29:M$61,IF(_xlfn.XLOOKUP($B$29:$B$61,Definitions!$K$17:$K$49,Definitions!$M$17:$M$49,"")=$A20,1,0))</f>
        <v>0</v>
      </c>
      <c r="N20" s="125" cm="1">
        <f t="array" ref="N20">SUMPRODUCT(N$29:N$61,IF(_xlfn.XLOOKUP($B$29:$B$61,Definitions!$K$17:$K$49,Definitions!$M$17:$M$49,"")=$A20,1,0))</f>
        <v>0</v>
      </c>
      <c r="O20" s="125" cm="1">
        <f t="array" ref="O20">SUMPRODUCT(O$29:O$61,IF(_xlfn.XLOOKUP($B$29:$B$61,Definitions!$K$17:$K$49,Definitions!$M$17:$M$49,"")=$A20,1,0))</f>
        <v>0</v>
      </c>
      <c r="P20" s="125" cm="1">
        <f t="array" ref="P20">SUMPRODUCT(P$29:P$61,IF(_xlfn.XLOOKUP($B$29:$B$61,Definitions!$K$17:$K$49,Definitions!$M$17:$M$49,"")=$A20,1,0))</f>
        <v>0</v>
      </c>
      <c r="Q20" s="125" cm="1">
        <f t="array" ref="Q20">SUMPRODUCT(Q$29:Q$61,IF(_xlfn.XLOOKUP($B$29:$B$61,Definitions!$K$17:$K$49,Definitions!$M$17:$M$49,"")=$A20,1,0))</f>
        <v>0</v>
      </c>
      <c r="R20" s="125" cm="1">
        <f t="array" ref="R20">SUMPRODUCT(R$29:R$61,IF(_xlfn.XLOOKUP($B$29:$B$61,Definitions!$K$17:$K$49,Definitions!$M$17:$M$49,"")=$A20,1,0))</f>
        <v>0</v>
      </c>
      <c r="S20" s="125" cm="1">
        <f t="array" ref="S20">SUMPRODUCT(S$29:S$61,IF(_xlfn.XLOOKUP($B$29:$B$61,Definitions!$K$17:$K$49,Definitions!$M$17:$M$49,"")=$A20,1,0))</f>
        <v>0</v>
      </c>
      <c r="T20" s="125" cm="1">
        <f t="array" ref="T20">SUMPRODUCT(T$29:T$61,IF(_xlfn.XLOOKUP($B$29:$B$61,Definitions!$K$17:$K$49,Definitions!$M$17:$M$49,"")=$A20,1,0))</f>
        <v>0</v>
      </c>
      <c r="U20" s="125" cm="1">
        <f t="array" ref="U20">SUMPRODUCT(U$29:U$61,IF(_xlfn.XLOOKUP($B$29:$B$61,Definitions!$K$17:$K$49,Definitions!$M$17:$M$49,"")=$A20,1,0))</f>
        <v>0</v>
      </c>
      <c r="V20" s="125" cm="1">
        <f t="array" ref="V20">SUMPRODUCT(V$29:V$61,IF(_xlfn.XLOOKUP($B$29:$B$61,Definitions!$K$17:$K$49,Definitions!$M$17:$M$49,"")=$A20,1,0))</f>
        <v>0</v>
      </c>
      <c r="W20" s="125" cm="1">
        <f t="array" ref="W20">SUMPRODUCT(W$29:W$61,IF(_xlfn.XLOOKUP($B$29:$B$61,Definitions!$K$17:$K$49,Definitions!$M$17:$M$49,"")=$A20,1,0))</f>
        <v>0</v>
      </c>
      <c r="X20" s="125" cm="1">
        <f t="array" ref="X20">SUMPRODUCT(X$29:X$61,IF(_xlfn.XLOOKUP($B$29:$B$61,Definitions!$K$17:$K$49,Definitions!$M$17:$M$49,"")=$A20,1,0))</f>
        <v>0</v>
      </c>
      <c r="Y20" s="125" cm="1">
        <f t="array" ref="Y20">SUMPRODUCT(Y$29:Y$61,IF(_xlfn.XLOOKUP($B$29:$B$61,Definitions!$K$17:$K$49,Definitions!$M$17:$M$49,"")=$A20,1,0))</f>
        <v>0</v>
      </c>
      <c r="Z20" s="125" cm="1">
        <f t="array" ref="Z20">SUMPRODUCT(Z$29:Z$61,IF(_xlfn.XLOOKUP($B$29:$B$61,Definitions!$K$17:$K$49,Definitions!$M$17:$M$49,"")=$A20,1,0))</f>
        <v>0</v>
      </c>
      <c r="AA20" s="125" cm="1">
        <f t="array" ref="AA20">SUMPRODUCT(AA$29:AA$61,IF(_xlfn.XLOOKUP($B$29:$B$61,Definitions!$K$17:$K$49,Definitions!$M$17:$M$49,"")=$A20,1,0))</f>
        <v>0</v>
      </c>
      <c r="AB20" s="125" cm="1">
        <f t="array" ref="AB20">SUMPRODUCT(AB$29:AB$61,IF(_xlfn.XLOOKUP($B$29:$B$61,Definitions!$K$17:$K$49,Definitions!$M$17:$M$49,"")=$A20,1,0))</f>
        <v>0</v>
      </c>
      <c r="AC20" s="125" cm="1">
        <f t="array" ref="AC20">SUMPRODUCT(AC$29:AC$61,IF(_xlfn.XLOOKUP($B$29:$B$61,Definitions!$K$17:$K$49,Definitions!$M$17:$M$49,"")=$A20,1,0))</f>
        <v>0</v>
      </c>
      <c r="AD20" s="125" cm="1">
        <f t="array" ref="AD20">SUMPRODUCT(AD$29:AD$61,IF(_xlfn.XLOOKUP($B$29:$B$61,Definitions!$K$17:$K$49,Definitions!$M$17:$M$49,"")=$A20,1,0))</f>
        <v>0</v>
      </c>
      <c r="AE20" s="125" cm="1">
        <f t="array" ref="AE20">SUMPRODUCT(AE$29:AE$61,IF(_xlfn.XLOOKUP($B$29:$B$61,Definitions!$K$17:$K$49,Definitions!$M$17:$M$49,"")=$A20,1,0))</f>
        <v>82.478899999999996</v>
      </c>
      <c r="AF20" s="125" cm="1">
        <f t="array" ref="AF20">SUMPRODUCT(AF$29:AF$61,IF(_xlfn.XLOOKUP($B$29:$B$61,Definitions!$K$17:$K$49,Definitions!$M$17:$M$49,"")=$A20,1,0))</f>
        <v>216.51509999999999</v>
      </c>
      <c r="AG20" s="125" cm="1">
        <f t="array" ref="AG20">SUMPRODUCT(AG$29:AG$61,IF(_xlfn.XLOOKUP($B$29:$B$61,Definitions!$K$17:$K$49,Definitions!$M$17:$M$49,"")=$A20,1,0))</f>
        <v>193.4906</v>
      </c>
      <c r="AH20" s="125" cm="1">
        <f t="array" ref="AH20">SUMPRODUCT(AH$29:AH$61,IF(_xlfn.XLOOKUP($B$29:$B$61,Definitions!$K$17:$K$49,Definitions!$M$17:$M$49,"")=$A20,1,0))</f>
        <v>58.627299999999998</v>
      </c>
      <c r="AI20" s="125" cm="1">
        <f t="array" ref="AI20">SUMPRODUCT(AI$29:AI$61,IF(_xlfn.XLOOKUP($B$29:$B$61,Definitions!$K$17:$K$49,Definitions!$M$17:$M$49,"")=$A20,1,0))</f>
        <v>176.16909999999999</v>
      </c>
      <c r="AJ20" s="125" cm="1">
        <f t="array" ref="AJ20">SUMPRODUCT(AJ$29:AJ$61,IF(_xlfn.XLOOKUP($B$29:$B$61,Definitions!$K$17:$K$49,Definitions!$M$17:$M$49,"")=$A20,1,0))</f>
        <v>171.6943</v>
      </c>
      <c r="AK20" s="125" cm="1">
        <f t="array" ref="AK20">SUMPRODUCT(AK$29:AK$61,IF(_xlfn.XLOOKUP($B$29:$B$61,Definitions!$K$17:$K$49,Definitions!$M$17:$M$49,"")=$A20,1,0))</f>
        <v>167.0805</v>
      </c>
      <c r="AL20" s="125" cm="1">
        <f t="array" ref="AL20">SUMPRODUCT(AL$29:AL$61,IF(_xlfn.XLOOKUP($B$29:$B$61,Definitions!$K$17:$K$49,Definitions!$M$17:$M$49,"")=$A20,1,0))</f>
        <v>161.11089999999999</v>
      </c>
      <c r="AM20" s="125" cm="1">
        <f t="array" ref="AM20">SUMPRODUCT(AM$29:AM$61,IF(_xlfn.XLOOKUP($B$29:$B$61,Definitions!$K$17:$K$49,Definitions!$M$17:$M$49,"")=$A20,1,0))</f>
        <v>74.842299999999994</v>
      </c>
      <c r="AN20" s="125" cm="1">
        <f t="array" ref="AN20">SUMPRODUCT(AN$29:AN$61,IF(_xlfn.XLOOKUP($B$29:$B$61,Definitions!$K$17:$K$49,Definitions!$M$17:$M$49,"")=$A20,1,0))</f>
        <v>165.74289999999999</v>
      </c>
      <c r="AO20" s="125" cm="1">
        <f t="array" ref="AO20">SUMPRODUCT(AO$29:AO$61,IF(_xlfn.XLOOKUP($B$29:$B$61,Definitions!$K$17:$K$49,Definitions!$M$17:$M$49,"")=$A20,1,0))</f>
        <v>166.709</v>
      </c>
      <c r="AP20" s="125" cm="1">
        <f t="array" ref="AP20">SUMPRODUCT(AP$29:AP$61,IF(_xlfn.XLOOKUP($B$29:$B$61,Definitions!$K$17:$K$49,Definitions!$M$17:$M$49,"")=$A20,1,0))</f>
        <v>166.3374</v>
      </c>
      <c r="AQ20" s="125" cm="1">
        <f t="array" ref="AQ20">SUMPRODUCT(AQ$29:AQ$61,IF(_xlfn.XLOOKUP($B$29:$B$61,Definitions!$K$17:$K$49,Definitions!$M$17:$M$49,"")=$A20,1,0))</f>
        <v>167.04339999999999</v>
      </c>
      <c r="AR20" s="125" cm="1">
        <f t="array" ref="AR20">SUMPRODUCT(AR$29:AR$61,IF(_xlfn.XLOOKUP($B$29:$B$61,Definitions!$K$17:$K$49,Definitions!$M$17:$M$49,"")=$A20,1,0))</f>
        <v>167.0805</v>
      </c>
      <c r="AS20" s="125" cm="1">
        <f t="array" ref="AS20">SUMPRODUCT(AS$29:AS$61,IF(_xlfn.XLOOKUP($B$29:$B$61,Definitions!$K$17:$K$49,Definitions!$M$17:$M$49,"")=$A20,1,0))</f>
        <v>167.0805</v>
      </c>
      <c r="AT20" s="125" cm="1">
        <f t="array" ref="AT20">SUMPRODUCT(AT$29:AT$61,IF(_xlfn.XLOOKUP($B$29:$B$61,Definitions!$K$17:$K$49,Definitions!$M$17:$M$49,"")=$A20,1,0))</f>
        <v>167.0805</v>
      </c>
      <c r="AU20" s="125" cm="1">
        <f t="array" ref="AU20">SUMPRODUCT(AU$29:AU$61,IF(_xlfn.XLOOKUP($B$29:$B$61,Definitions!$K$17:$K$49,Definitions!$M$17:$M$49,"")=$A20,1,0))</f>
        <v>167.0805</v>
      </c>
      <c r="AV20" s="125" cm="1">
        <f t="array" ref="AV20">SUMPRODUCT(AV$29:AV$61,IF(_xlfn.XLOOKUP($B$29:$B$61,Definitions!$K$17:$K$49,Definitions!$M$17:$M$49,"")=$A20,1,0))</f>
        <v>166.0471</v>
      </c>
    </row>
    <row r="21" spans="1:52" s="572" customFormat="1">
      <c r="A21" s="753" t="s">
        <v>622</v>
      </c>
      <c r="B21" s="753"/>
      <c r="C21" s="135">
        <f>SUM(C22,C23,C24)</f>
        <v>0</v>
      </c>
      <c r="D21" s="135">
        <f t="shared" ref="D21:AV21" si="7">SUM(D22,D23,D24)</f>
        <v>0</v>
      </c>
      <c r="E21" s="135">
        <f t="shared" si="7"/>
        <v>32.453099999999992</v>
      </c>
      <c r="F21" s="135">
        <f t="shared" si="7"/>
        <v>0</v>
      </c>
      <c r="G21" s="135">
        <f t="shared" si="7"/>
        <v>0</v>
      </c>
      <c r="H21" s="135">
        <f t="shared" si="7"/>
        <v>-56.406599999999997</v>
      </c>
      <c r="I21" s="135">
        <f t="shared" si="7"/>
        <v>-115.5132</v>
      </c>
      <c r="J21" s="135">
        <f t="shared" si="7"/>
        <v>-25.967300000000002</v>
      </c>
      <c r="K21" s="135">
        <f t="shared" si="7"/>
        <v>-28.8673</v>
      </c>
      <c r="L21" s="135">
        <f t="shared" si="7"/>
        <v>-10.184799999999999</v>
      </c>
      <c r="M21" s="135">
        <f t="shared" si="7"/>
        <v>-109.11669999999999</v>
      </c>
      <c r="N21" s="135">
        <f t="shared" si="7"/>
        <v>-22.480599999999999</v>
      </c>
      <c r="O21" s="135">
        <f t="shared" si="7"/>
        <v>-50.414299999999997</v>
      </c>
      <c r="P21" s="135">
        <f t="shared" si="7"/>
        <v>0</v>
      </c>
      <c r="Q21" s="135">
        <f t="shared" si="7"/>
        <v>0</v>
      </c>
      <c r="R21" s="135">
        <f t="shared" si="7"/>
        <v>0</v>
      </c>
      <c r="S21" s="135">
        <f t="shared" si="7"/>
        <v>-2.8954</v>
      </c>
      <c r="T21" s="135">
        <f t="shared" si="7"/>
        <v>0</v>
      </c>
      <c r="U21" s="135">
        <f t="shared" si="7"/>
        <v>0</v>
      </c>
      <c r="V21" s="135">
        <f t="shared" si="7"/>
        <v>0</v>
      </c>
      <c r="W21" s="135">
        <f t="shared" si="7"/>
        <v>0</v>
      </c>
      <c r="X21" s="135">
        <f t="shared" si="7"/>
        <v>0</v>
      </c>
      <c r="Y21" s="135">
        <f t="shared" si="7"/>
        <v>-44.284100000000002</v>
      </c>
      <c r="Z21" s="135">
        <f t="shared" si="7"/>
        <v>-26.119599999999998</v>
      </c>
      <c r="AA21" s="135">
        <f t="shared" si="7"/>
        <v>-25.4953</v>
      </c>
      <c r="AB21" s="135">
        <f t="shared" si="7"/>
        <v>-132.2576</v>
      </c>
      <c r="AC21" s="135">
        <f t="shared" si="7"/>
        <v>-130.1395</v>
      </c>
      <c r="AD21" s="135">
        <f t="shared" si="7"/>
        <v>-38.973599999999998</v>
      </c>
      <c r="AE21" s="135">
        <f t="shared" si="7"/>
        <v>-63.901400000000002</v>
      </c>
      <c r="AF21" s="135">
        <f t="shared" si="7"/>
        <v>-17.945599999999999</v>
      </c>
      <c r="AG21" s="135">
        <f t="shared" si="7"/>
        <v>-110.1789</v>
      </c>
      <c r="AH21" s="135">
        <f t="shared" si="7"/>
        <v>-87.442999999999998</v>
      </c>
      <c r="AI21" s="135">
        <f t="shared" si="7"/>
        <v>-95.853300000000004</v>
      </c>
      <c r="AJ21" s="135">
        <f t="shared" si="7"/>
        <v>-76.391800000000003</v>
      </c>
      <c r="AK21" s="135">
        <f t="shared" si="7"/>
        <v>-72.769000000000005</v>
      </c>
      <c r="AL21" s="135">
        <f t="shared" si="7"/>
        <v>-64.082999999999998</v>
      </c>
      <c r="AM21" s="135">
        <f t="shared" si="7"/>
        <v>-49.0471</v>
      </c>
      <c r="AN21" s="135">
        <f t="shared" si="7"/>
        <v>-57.1053</v>
      </c>
      <c r="AO21" s="135">
        <f t="shared" si="7"/>
        <v>-63.950400000000002</v>
      </c>
      <c r="AP21" s="135">
        <f t="shared" si="7"/>
        <v>-54.073500000000003</v>
      </c>
      <c r="AQ21" s="135">
        <f t="shared" si="7"/>
        <v>-38.101700000000001</v>
      </c>
      <c r="AR21" s="135">
        <f t="shared" si="7"/>
        <v>-41.825899999999997</v>
      </c>
      <c r="AS21" s="135">
        <f t="shared" si="7"/>
        <v>-92.534199999999998</v>
      </c>
      <c r="AT21" s="135">
        <f t="shared" si="7"/>
        <v>-71.157200000000003</v>
      </c>
      <c r="AU21" s="135">
        <f t="shared" si="7"/>
        <v>-82.443700000000007</v>
      </c>
      <c r="AV21" s="135">
        <f t="shared" si="7"/>
        <v>-189.20580000000001</v>
      </c>
    </row>
    <row r="22" spans="1:52">
      <c r="A22" s="748" t="s">
        <v>23</v>
      </c>
      <c r="B22" s="748"/>
      <c r="C22" s="127" cm="1">
        <f t="array" ref="C22">SUMPRODUCT(C$29:C$61,IF(_xlfn.XLOOKUP($B$29:$B$61,Definitions!$K$17:$K$49,Definitions!$M$17:$M$49,"")=$A22,1,0))</f>
        <v>0</v>
      </c>
      <c r="D22" s="127" cm="1">
        <f t="array" ref="D22">SUMPRODUCT(D$29:D$61,IF(_xlfn.XLOOKUP($B$29:$B$61,Definitions!$K$17:$K$49,Definitions!$M$17:$M$49,"")=$A22,1,0))</f>
        <v>0</v>
      </c>
      <c r="E22" s="127" cm="1">
        <f t="array" ref="E22">SUMPRODUCT(E$29:E$61,IF(_xlfn.XLOOKUP($B$29:$B$61,Definitions!$K$17:$K$49,Definitions!$M$17:$M$49,"")=$A22,1,0))</f>
        <v>0</v>
      </c>
      <c r="F22" s="127" cm="1">
        <f t="array" ref="F22">SUMPRODUCT(F$29:F$61,IF(_xlfn.XLOOKUP($B$29:$B$61,Definitions!$K$17:$K$49,Definitions!$M$17:$M$49,"")=$A22,1,0))</f>
        <v>0</v>
      </c>
      <c r="G22" s="127" cm="1">
        <f t="array" ref="G22">SUMPRODUCT(G$29:G$61,IF(_xlfn.XLOOKUP($B$29:$B$61,Definitions!$K$17:$K$49,Definitions!$M$17:$M$49,"")=$A22,1,0))</f>
        <v>0</v>
      </c>
      <c r="H22" s="127" cm="1">
        <f t="array" ref="H22">SUMPRODUCT(H$29:H$61,IF(_xlfn.XLOOKUP($B$29:$B$61,Definitions!$K$17:$K$49,Definitions!$M$17:$M$49,"")=$A22,1,0))</f>
        <v>0</v>
      </c>
      <c r="I22" s="127" cm="1">
        <f t="array" ref="I22">SUMPRODUCT(I$29:I$61,IF(_xlfn.XLOOKUP($B$29:$B$61,Definitions!$K$17:$K$49,Definitions!$M$17:$M$49,"")=$A22,1,0))</f>
        <v>0</v>
      </c>
      <c r="J22" s="127" cm="1">
        <f t="array" ref="J22">SUMPRODUCT(J$29:J$61,IF(_xlfn.XLOOKUP($B$29:$B$61,Definitions!$K$17:$K$49,Definitions!$M$17:$M$49,"")=$A22,1,0))</f>
        <v>0</v>
      </c>
      <c r="K22" s="127" cm="1">
        <f t="array" ref="K22">SUMPRODUCT(K$29:K$61,IF(_xlfn.XLOOKUP($B$29:$B$61,Definitions!$K$17:$K$49,Definitions!$M$17:$M$49,"")=$A22,1,0))</f>
        <v>0</v>
      </c>
      <c r="L22" s="127" cm="1">
        <f t="array" ref="L22">SUMPRODUCT(L$29:L$61,IF(_xlfn.XLOOKUP($B$29:$B$61,Definitions!$K$17:$K$49,Definitions!$M$17:$M$49,"")=$A22,1,0))</f>
        <v>0</v>
      </c>
      <c r="M22" s="127" cm="1">
        <f t="array" ref="M22">SUMPRODUCT(M$29:M$61,IF(_xlfn.XLOOKUP($B$29:$B$61,Definitions!$K$17:$K$49,Definitions!$M$17:$M$49,"")=$A22,1,0))</f>
        <v>0</v>
      </c>
      <c r="N22" s="127" cm="1">
        <f t="array" ref="N22">SUMPRODUCT(N$29:N$61,IF(_xlfn.XLOOKUP($B$29:$B$61,Definitions!$K$17:$K$49,Definitions!$M$17:$M$49,"")=$A22,1,0))</f>
        <v>0</v>
      </c>
      <c r="O22" s="127" cm="1">
        <f t="array" ref="O22">SUMPRODUCT(O$29:O$61,IF(_xlfn.XLOOKUP($B$29:$B$61,Definitions!$K$17:$K$49,Definitions!$M$17:$M$49,"")=$A22,1,0))</f>
        <v>0</v>
      </c>
      <c r="P22" s="127" cm="1">
        <f t="array" ref="P22">SUMPRODUCT(P$29:P$61,IF(_xlfn.XLOOKUP($B$29:$B$61,Definitions!$K$17:$K$49,Definitions!$M$17:$M$49,"")=$A22,1,0))</f>
        <v>0</v>
      </c>
      <c r="Q22" s="127" cm="1">
        <f t="array" ref="Q22">SUMPRODUCT(Q$29:Q$61,IF(_xlfn.XLOOKUP($B$29:$B$61,Definitions!$K$17:$K$49,Definitions!$M$17:$M$49,"")=$A22,1,0))</f>
        <v>0</v>
      </c>
      <c r="R22" s="127" cm="1">
        <f t="array" ref="R22">SUMPRODUCT(R$29:R$61,IF(_xlfn.XLOOKUP($B$29:$B$61,Definitions!$K$17:$K$49,Definitions!$M$17:$M$49,"")=$A22,1,0))</f>
        <v>0</v>
      </c>
      <c r="S22" s="127" cm="1">
        <f t="array" ref="S22">SUMPRODUCT(S$29:S$61,IF(_xlfn.XLOOKUP($B$29:$B$61,Definitions!$K$17:$K$49,Definitions!$M$17:$M$49,"")=$A22,1,0))</f>
        <v>0</v>
      </c>
      <c r="T22" s="127" cm="1">
        <f t="array" ref="T22">SUMPRODUCT(T$29:T$61,IF(_xlfn.XLOOKUP($B$29:$B$61,Definitions!$K$17:$K$49,Definitions!$M$17:$M$49,"")=$A22,1,0))</f>
        <v>0</v>
      </c>
      <c r="U22" s="127" cm="1">
        <f t="array" ref="U22">SUMPRODUCT(U$29:U$61,IF(_xlfn.XLOOKUP($B$29:$B$61,Definitions!$K$17:$K$49,Definitions!$M$17:$M$49,"")=$A22,1,0))</f>
        <v>0</v>
      </c>
      <c r="V22" s="127" cm="1">
        <f t="array" ref="V22">SUMPRODUCT(V$29:V$61,IF(_xlfn.XLOOKUP($B$29:$B$61,Definitions!$K$17:$K$49,Definitions!$M$17:$M$49,"")=$A22,1,0))</f>
        <v>0</v>
      </c>
      <c r="W22" s="127" cm="1">
        <f t="array" ref="W22">SUMPRODUCT(W$29:W$61,IF(_xlfn.XLOOKUP($B$29:$B$61,Definitions!$K$17:$K$49,Definitions!$M$17:$M$49,"")=$A22,1,0))</f>
        <v>0</v>
      </c>
      <c r="X22" s="127" cm="1">
        <f t="array" ref="X22">SUMPRODUCT(X$29:X$61,IF(_xlfn.XLOOKUP($B$29:$B$61,Definitions!$K$17:$K$49,Definitions!$M$17:$M$49,"")=$A22,1,0))</f>
        <v>0</v>
      </c>
      <c r="Y22" s="127" cm="1">
        <f t="array" ref="Y22">SUMPRODUCT(Y$29:Y$61,IF(_xlfn.XLOOKUP($B$29:$B$61,Definitions!$K$17:$K$49,Definitions!$M$17:$M$49,"")=$A22,1,0))</f>
        <v>0</v>
      </c>
      <c r="Z22" s="127" cm="1">
        <f t="array" ref="Z22">SUMPRODUCT(Z$29:Z$61,IF(_xlfn.XLOOKUP($B$29:$B$61,Definitions!$K$17:$K$49,Definitions!$M$17:$M$49,"")=$A22,1,0))</f>
        <v>0</v>
      </c>
      <c r="AA22" s="127" cm="1">
        <f t="array" ref="AA22">SUMPRODUCT(AA$29:AA$61,IF(_xlfn.XLOOKUP($B$29:$B$61,Definitions!$K$17:$K$49,Definitions!$M$17:$M$49,"")=$A22,1,0))</f>
        <v>0</v>
      </c>
      <c r="AB22" s="127" cm="1">
        <f t="array" ref="AB22">SUMPRODUCT(AB$29:AB$61,IF(_xlfn.XLOOKUP($B$29:$B$61,Definitions!$K$17:$K$49,Definitions!$M$17:$M$49,"")=$A22,1,0))</f>
        <v>0</v>
      </c>
      <c r="AC22" s="127" cm="1">
        <f t="array" ref="AC22">SUMPRODUCT(AC$29:AC$61,IF(_xlfn.XLOOKUP($B$29:$B$61,Definitions!$K$17:$K$49,Definitions!$M$17:$M$49,"")=$A22,1,0))</f>
        <v>0</v>
      </c>
      <c r="AD22" s="127" cm="1">
        <f t="array" ref="AD22">SUMPRODUCT(AD$29:AD$61,IF(_xlfn.XLOOKUP($B$29:$B$61,Definitions!$K$17:$K$49,Definitions!$M$17:$M$49,"")=$A22,1,0))</f>
        <v>0</v>
      </c>
      <c r="AE22" s="127" cm="1">
        <f t="array" ref="AE22">SUMPRODUCT(AE$29:AE$61,IF(_xlfn.XLOOKUP($B$29:$B$61,Definitions!$K$17:$K$49,Definitions!$M$17:$M$49,"")=$A22,1,0))</f>
        <v>0</v>
      </c>
      <c r="AF22" s="127" cm="1">
        <f t="array" ref="AF22">SUMPRODUCT(AF$29:AF$61,IF(_xlfn.XLOOKUP($B$29:$B$61,Definitions!$K$17:$K$49,Definitions!$M$17:$M$49,"")=$A22,1,0))</f>
        <v>0</v>
      </c>
      <c r="AG22" s="127" cm="1">
        <f t="array" ref="AG22">SUMPRODUCT(AG$29:AG$61,IF(_xlfn.XLOOKUP($B$29:$B$61,Definitions!$K$17:$K$49,Definitions!$M$17:$M$49,"")=$A22,1,0))</f>
        <v>0</v>
      </c>
      <c r="AH22" s="127" cm="1">
        <f t="array" ref="AH22">SUMPRODUCT(AH$29:AH$61,IF(_xlfn.XLOOKUP($B$29:$B$61,Definitions!$K$17:$K$49,Definitions!$M$17:$M$49,"")=$A22,1,0))</f>
        <v>0</v>
      </c>
      <c r="AI22" s="127" cm="1">
        <f t="array" ref="AI22">SUMPRODUCT(AI$29:AI$61,IF(_xlfn.XLOOKUP($B$29:$B$61,Definitions!$K$17:$K$49,Definitions!$M$17:$M$49,"")=$A22,1,0))</f>
        <v>0</v>
      </c>
      <c r="AJ22" s="127" cm="1">
        <f t="array" ref="AJ22">SUMPRODUCT(AJ$29:AJ$61,IF(_xlfn.XLOOKUP($B$29:$B$61,Definitions!$K$17:$K$49,Definitions!$M$17:$M$49,"")=$A22,1,0))</f>
        <v>0</v>
      </c>
      <c r="AK22" s="127" cm="1">
        <f t="array" ref="AK22">SUMPRODUCT(AK$29:AK$61,IF(_xlfn.XLOOKUP($B$29:$B$61,Definitions!$K$17:$K$49,Definitions!$M$17:$M$49,"")=$A22,1,0))</f>
        <v>0</v>
      </c>
      <c r="AL22" s="127" cm="1">
        <f t="array" ref="AL22">SUMPRODUCT(AL$29:AL$61,IF(_xlfn.XLOOKUP($B$29:$B$61,Definitions!$K$17:$K$49,Definitions!$M$17:$M$49,"")=$A22,1,0))</f>
        <v>0</v>
      </c>
      <c r="AM22" s="127" cm="1">
        <f t="array" ref="AM22">SUMPRODUCT(AM$29:AM$61,IF(_xlfn.XLOOKUP($B$29:$B$61,Definitions!$K$17:$K$49,Definitions!$M$17:$M$49,"")=$A22,1,0))</f>
        <v>0</v>
      </c>
      <c r="AN22" s="127" cm="1">
        <f t="array" ref="AN22">SUMPRODUCT(AN$29:AN$61,IF(_xlfn.XLOOKUP($B$29:$B$61,Definitions!$K$17:$K$49,Definitions!$M$17:$M$49,"")=$A22,1,0))</f>
        <v>0</v>
      </c>
      <c r="AO22" s="127" cm="1">
        <f t="array" ref="AO22">SUMPRODUCT(AO$29:AO$61,IF(_xlfn.XLOOKUP($B$29:$B$61,Definitions!$K$17:$K$49,Definitions!$M$17:$M$49,"")=$A22,1,0))</f>
        <v>0</v>
      </c>
      <c r="AP22" s="127" cm="1">
        <f t="array" ref="AP22">SUMPRODUCT(AP$29:AP$61,IF(_xlfn.XLOOKUP($B$29:$B$61,Definitions!$K$17:$K$49,Definitions!$M$17:$M$49,"")=$A22,1,0))</f>
        <v>0</v>
      </c>
      <c r="AQ22" s="127" cm="1">
        <f t="array" ref="AQ22">SUMPRODUCT(AQ$29:AQ$61,IF(_xlfn.XLOOKUP($B$29:$B$61,Definitions!$K$17:$K$49,Definitions!$M$17:$M$49,"")=$A22,1,0))</f>
        <v>0</v>
      </c>
      <c r="AR22" s="127" cm="1">
        <f t="array" ref="AR22">SUMPRODUCT(AR$29:AR$61,IF(_xlfn.XLOOKUP($B$29:$B$61,Definitions!$K$17:$K$49,Definitions!$M$17:$M$49,"")=$A22,1,0))</f>
        <v>0</v>
      </c>
      <c r="AS22" s="127" cm="1">
        <f t="array" ref="AS22">SUMPRODUCT(AS$29:AS$61,IF(_xlfn.XLOOKUP($B$29:$B$61,Definitions!$K$17:$K$49,Definitions!$M$17:$M$49,"")=$A22,1,0))</f>
        <v>0</v>
      </c>
      <c r="AT22" s="127" cm="1">
        <f t="array" ref="AT22">SUMPRODUCT(AT$29:AT$61,IF(_xlfn.XLOOKUP($B$29:$B$61,Definitions!$K$17:$K$49,Definitions!$M$17:$M$49,"")=$A22,1,0))</f>
        <v>0</v>
      </c>
      <c r="AU22" s="127" cm="1">
        <f t="array" ref="AU22">SUMPRODUCT(AU$29:AU$61,IF(_xlfn.XLOOKUP($B$29:$B$61,Definitions!$K$17:$K$49,Definitions!$M$17:$M$49,"")=$A22,1,0))</f>
        <v>0</v>
      </c>
      <c r="AV22" s="127" cm="1">
        <f t="array" ref="AV22">SUMPRODUCT(AV$29:AV$61,IF(_xlfn.XLOOKUP($B$29:$B$61,Definitions!$K$17:$K$49,Definitions!$M$17:$M$49,"")=$A22,1,0))</f>
        <v>0</v>
      </c>
    </row>
    <row r="23" spans="1:52">
      <c r="A23" s="748" t="s">
        <v>47</v>
      </c>
      <c r="B23" s="748"/>
      <c r="C23" s="127" cm="1">
        <f t="array" ref="C23">SUMPRODUCT(C$29:C$61,IF(_xlfn.XLOOKUP($B$29:$B$61,Definitions!$K$17:$K$49,Definitions!$M$17:$M$49,"")=$A23,1,0))</f>
        <v>0</v>
      </c>
      <c r="D23" s="127" cm="1">
        <f t="array" ref="D23">SUMPRODUCT(D$29:D$61,IF(_xlfn.XLOOKUP($B$29:$B$61,Definitions!$K$17:$K$49,Definitions!$M$17:$M$49,"")=$A23,1,0))</f>
        <v>0</v>
      </c>
      <c r="E23" s="127" cm="1">
        <f t="array" ref="E23">SUMPRODUCT(E$29:E$61,IF(_xlfn.XLOOKUP($B$29:$B$61,Definitions!$K$17:$K$49,Definitions!$M$17:$M$49,"")=$A23,1,0))</f>
        <v>32.453099999999992</v>
      </c>
      <c r="F23" s="127" cm="1">
        <f t="array" ref="F23">SUMPRODUCT(F$29:F$61,IF(_xlfn.XLOOKUP($B$29:$B$61,Definitions!$K$17:$K$49,Definitions!$M$17:$M$49,"")=$A23,1,0))</f>
        <v>0</v>
      </c>
      <c r="G23" s="127" cm="1">
        <f t="array" ref="G23">SUMPRODUCT(G$29:G$61,IF(_xlfn.XLOOKUP($B$29:$B$61,Definitions!$K$17:$K$49,Definitions!$M$17:$M$49,"")=$A23,1,0))</f>
        <v>0</v>
      </c>
      <c r="H23" s="127" cm="1">
        <f t="array" ref="H23">SUMPRODUCT(H$29:H$61,IF(_xlfn.XLOOKUP($B$29:$B$61,Definitions!$K$17:$K$49,Definitions!$M$17:$M$49,"")=$A23,1,0))</f>
        <v>-56.406599999999997</v>
      </c>
      <c r="I23" s="127" cm="1">
        <f t="array" ref="I23">SUMPRODUCT(I$29:I$61,IF(_xlfn.XLOOKUP($B$29:$B$61,Definitions!$K$17:$K$49,Definitions!$M$17:$M$49,"")=$A23,1,0))</f>
        <v>-115.5132</v>
      </c>
      <c r="J23" s="127" cm="1">
        <f t="array" ref="J23">SUMPRODUCT(J$29:J$61,IF(_xlfn.XLOOKUP($B$29:$B$61,Definitions!$K$17:$K$49,Definitions!$M$17:$M$49,"")=$A23,1,0))</f>
        <v>-25.967300000000002</v>
      </c>
      <c r="K23" s="127" cm="1">
        <f t="array" ref="K23">SUMPRODUCT(K$29:K$61,IF(_xlfn.XLOOKUP($B$29:$B$61,Definitions!$K$17:$K$49,Definitions!$M$17:$M$49,"")=$A23,1,0))</f>
        <v>-28.8673</v>
      </c>
      <c r="L23" s="127" cm="1">
        <f t="array" ref="L23">SUMPRODUCT(L$29:L$61,IF(_xlfn.XLOOKUP($B$29:$B$61,Definitions!$K$17:$K$49,Definitions!$M$17:$M$49,"")=$A23,1,0))</f>
        <v>-10.184799999999999</v>
      </c>
      <c r="M23" s="127" cm="1">
        <f t="array" ref="M23">SUMPRODUCT(M$29:M$61,IF(_xlfn.XLOOKUP($B$29:$B$61,Definitions!$K$17:$K$49,Definitions!$M$17:$M$49,"")=$A23,1,0))</f>
        <v>-109.11669999999999</v>
      </c>
      <c r="N23" s="127" cm="1">
        <f t="array" ref="N23">SUMPRODUCT(N$29:N$61,IF(_xlfn.XLOOKUP($B$29:$B$61,Definitions!$K$17:$K$49,Definitions!$M$17:$M$49,"")=$A23,1,0))</f>
        <v>-22.480599999999999</v>
      </c>
      <c r="O23" s="127" cm="1">
        <f t="array" ref="O23">SUMPRODUCT(O$29:O$61,IF(_xlfn.XLOOKUP($B$29:$B$61,Definitions!$K$17:$K$49,Definitions!$M$17:$M$49,"")=$A23,1,0))</f>
        <v>-50.414299999999997</v>
      </c>
      <c r="P23" s="127" cm="1">
        <f t="array" ref="P23">SUMPRODUCT(P$29:P$61,IF(_xlfn.XLOOKUP($B$29:$B$61,Definitions!$K$17:$K$49,Definitions!$M$17:$M$49,"")=$A23,1,0))</f>
        <v>0</v>
      </c>
      <c r="Q23" s="127" cm="1">
        <f t="array" ref="Q23">SUMPRODUCT(Q$29:Q$61,IF(_xlfn.XLOOKUP($B$29:$B$61,Definitions!$K$17:$K$49,Definitions!$M$17:$M$49,"")=$A23,1,0))</f>
        <v>0</v>
      </c>
      <c r="R23" s="127" cm="1">
        <f t="array" ref="R23">SUMPRODUCT(R$29:R$61,IF(_xlfn.XLOOKUP($B$29:$B$61,Definitions!$K$17:$K$49,Definitions!$M$17:$M$49,"")=$A23,1,0))</f>
        <v>0</v>
      </c>
      <c r="S23" s="127" cm="1">
        <f t="array" ref="S23">SUMPRODUCT(S$29:S$61,IF(_xlfn.XLOOKUP($B$29:$B$61,Definitions!$K$17:$K$49,Definitions!$M$17:$M$49,"")=$A23,1,0))</f>
        <v>-2.8954</v>
      </c>
      <c r="T23" s="127" cm="1">
        <f t="array" ref="T23">SUMPRODUCT(T$29:T$61,IF(_xlfn.XLOOKUP($B$29:$B$61,Definitions!$K$17:$K$49,Definitions!$M$17:$M$49,"")=$A23,1,0))</f>
        <v>0</v>
      </c>
      <c r="U23" s="127" cm="1">
        <f t="array" ref="U23">SUMPRODUCT(U$29:U$61,IF(_xlfn.XLOOKUP($B$29:$B$61,Definitions!$K$17:$K$49,Definitions!$M$17:$M$49,"")=$A23,1,0))</f>
        <v>0</v>
      </c>
      <c r="V23" s="127" cm="1">
        <f t="array" ref="V23">SUMPRODUCT(V$29:V$61,IF(_xlfn.XLOOKUP($B$29:$B$61,Definitions!$K$17:$K$49,Definitions!$M$17:$M$49,"")=$A23,1,0))</f>
        <v>0</v>
      </c>
      <c r="W23" s="127" cm="1">
        <f t="array" ref="W23">SUMPRODUCT(W$29:W$61,IF(_xlfn.XLOOKUP($B$29:$B$61,Definitions!$K$17:$K$49,Definitions!$M$17:$M$49,"")=$A23,1,0))</f>
        <v>0</v>
      </c>
      <c r="X23" s="127" cm="1">
        <f t="array" ref="X23">SUMPRODUCT(X$29:X$61,IF(_xlfn.XLOOKUP($B$29:$B$61,Definitions!$K$17:$K$49,Definitions!$M$17:$M$49,"")=$A23,1,0))</f>
        <v>0</v>
      </c>
      <c r="Y23" s="127" cm="1">
        <f t="array" ref="Y23">SUMPRODUCT(Y$29:Y$61,IF(_xlfn.XLOOKUP($B$29:$B$61,Definitions!$K$17:$K$49,Definitions!$M$17:$M$49,"")=$A23,1,0))</f>
        <v>-44.284100000000002</v>
      </c>
      <c r="Z23" s="127" cm="1">
        <f t="array" ref="Z23">SUMPRODUCT(Z$29:Z$61,IF(_xlfn.XLOOKUP($B$29:$B$61,Definitions!$K$17:$K$49,Definitions!$M$17:$M$49,"")=$A23,1,0))</f>
        <v>-26.119599999999998</v>
      </c>
      <c r="AA23" s="127" cm="1">
        <f t="array" ref="AA23">SUMPRODUCT(AA$29:AA$61,IF(_xlfn.XLOOKUP($B$29:$B$61,Definitions!$K$17:$K$49,Definitions!$M$17:$M$49,"")=$A23,1,0))</f>
        <v>-25.4953</v>
      </c>
      <c r="AB23" s="127" cm="1">
        <f t="array" ref="AB23">SUMPRODUCT(AB$29:AB$61,IF(_xlfn.XLOOKUP($B$29:$B$61,Definitions!$K$17:$K$49,Definitions!$M$17:$M$49,"")=$A23,1,0))</f>
        <v>-132.2576</v>
      </c>
      <c r="AC23" s="127" cm="1">
        <f t="array" ref="AC23">SUMPRODUCT(AC$29:AC$61,IF(_xlfn.XLOOKUP($B$29:$B$61,Definitions!$K$17:$K$49,Definitions!$M$17:$M$49,"")=$A23,1,0))</f>
        <v>-130.1395</v>
      </c>
      <c r="AD23" s="127" cm="1">
        <f t="array" ref="AD23">SUMPRODUCT(AD$29:AD$61,IF(_xlfn.XLOOKUP($B$29:$B$61,Definitions!$K$17:$K$49,Definitions!$M$17:$M$49,"")=$A23,1,0))</f>
        <v>-38.973599999999998</v>
      </c>
      <c r="AE23" s="127" cm="1">
        <f t="array" ref="AE23">SUMPRODUCT(AE$29:AE$61,IF(_xlfn.XLOOKUP($B$29:$B$61,Definitions!$K$17:$K$49,Definitions!$M$17:$M$49,"")=$A23,1,0))</f>
        <v>-63.901400000000002</v>
      </c>
      <c r="AF23" s="127" cm="1">
        <f t="array" ref="AF23">SUMPRODUCT(AF$29:AF$61,IF(_xlfn.XLOOKUP($B$29:$B$61,Definitions!$K$17:$K$49,Definitions!$M$17:$M$49,"")=$A23,1,0))</f>
        <v>-17.945599999999999</v>
      </c>
      <c r="AG23" s="127" cm="1">
        <f t="array" ref="AG23">SUMPRODUCT(AG$29:AG$61,IF(_xlfn.XLOOKUP($B$29:$B$61,Definitions!$K$17:$K$49,Definitions!$M$17:$M$49,"")=$A23,1,0))</f>
        <v>-110.1789</v>
      </c>
      <c r="AH23" s="127" cm="1">
        <f t="array" ref="AH23">SUMPRODUCT(AH$29:AH$61,IF(_xlfn.XLOOKUP($B$29:$B$61,Definitions!$K$17:$K$49,Definitions!$M$17:$M$49,"")=$A23,1,0))</f>
        <v>-87.442999999999998</v>
      </c>
      <c r="AI23" s="127" cm="1">
        <f t="array" ref="AI23">SUMPRODUCT(AI$29:AI$61,IF(_xlfn.XLOOKUP($B$29:$B$61,Definitions!$K$17:$K$49,Definitions!$M$17:$M$49,"")=$A23,1,0))</f>
        <v>-95.853300000000004</v>
      </c>
      <c r="AJ23" s="127" cm="1">
        <f t="array" ref="AJ23">SUMPRODUCT(AJ$29:AJ$61,IF(_xlfn.XLOOKUP($B$29:$B$61,Definitions!$K$17:$K$49,Definitions!$M$17:$M$49,"")=$A23,1,0))</f>
        <v>-76.391800000000003</v>
      </c>
      <c r="AK23" s="127" cm="1">
        <f t="array" ref="AK23">SUMPRODUCT(AK$29:AK$61,IF(_xlfn.XLOOKUP($B$29:$B$61,Definitions!$K$17:$K$49,Definitions!$M$17:$M$49,"")=$A23,1,0))</f>
        <v>-72.769000000000005</v>
      </c>
      <c r="AL23" s="127" cm="1">
        <f t="array" ref="AL23">SUMPRODUCT(AL$29:AL$61,IF(_xlfn.XLOOKUP($B$29:$B$61,Definitions!$K$17:$K$49,Definitions!$M$17:$M$49,"")=$A23,1,0))</f>
        <v>-64.082999999999998</v>
      </c>
      <c r="AM23" s="127" cm="1">
        <f t="array" ref="AM23">SUMPRODUCT(AM$29:AM$61,IF(_xlfn.XLOOKUP($B$29:$B$61,Definitions!$K$17:$K$49,Definitions!$M$17:$M$49,"")=$A23,1,0))</f>
        <v>-49.0471</v>
      </c>
      <c r="AN23" s="127" cm="1">
        <f t="array" ref="AN23">SUMPRODUCT(AN$29:AN$61,IF(_xlfn.XLOOKUP($B$29:$B$61,Definitions!$K$17:$K$49,Definitions!$M$17:$M$49,"")=$A23,1,0))</f>
        <v>-57.1053</v>
      </c>
      <c r="AO23" s="127" cm="1">
        <f t="array" ref="AO23">SUMPRODUCT(AO$29:AO$61,IF(_xlfn.XLOOKUP($B$29:$B$61,Definitions!$K$17:$K$49,Definitions!$M$17:$M$49,"")=$A23,1,0))</f>
        <v>-63.950400000000002</v>
      </c>
      <c r="AP23" s="127" cm="1">
        <f t="array" ref="AP23">SUMPRODUCT(AP$29:AP$61,IF(_xlfn.XLOOKUP($B$29:$B$61,Definitions!$K$17:$K$49,Definitions!$M$17:$M$49,"")=$A23,1,0))</f>
        <v>-54.073500000000003</v>
      </c>
      <c r="AQ23" s="127" cm="1">
        <f t="array" ref="AQ23">SUMPRODUCT(AQ$29:AQ$61,IF(_xlfn.XLOOKUP($B$29:$B$61,Definitions!$K$17:$K$49,Definitions!$M$17:$M$49,"")=$A23,1,0))</f>
        <v>-38.101700000000001</v>
      </c>
      <c r="AR23" s="127" cm="1">
        <f t="array" ref="AR23">SUMPRODUCT(AR$29:AR$61,IF(_xlfn.XLOOKUP($B$29:$B$61,Definitions!$K$17:$K$49,Definitions!$M$17:$M$49,"")=$A23,1,0))</f>
        <v>-41.825899999999997</v>
      </c>
      <c r="AS23" s="127" cm="1">
        <f t="array" ref="AS23">SUMPRODUCT(AS$29:AS$61,IF(_xlfn.XLOOKUP($B$29:$B$61,Definitions!$K$17:$K$49,Definitions!$M$17:$M$49,"")=$A23,1,0))</f>
        <v>-92.534199999999998</v>
      </c>
      <c r="AT23" s="127" cm="1">
        <f t="array" ref="AT23">SUMPRODUCT(AT$29:AT$61,IF(_xlfn.XLOOKUP($B$29:$B$61,Definitions!$K$17:$K$49,Definitions!$M$17:$M$49,"")=$A23,1,0))</f>
        <v>-71.157200000000003</v>
      </c>
      <c r="AU23" s="127" cm="1">
        <f t="array" ref="AU23">SUMPRODUCT(AU$29:AU$61,IF(_xlfn.XLOOKUP($B$29:$B$61,Definitions!$K$17:$K$49,Definitions!$M$17:$M$49,"")=$A23,1,0))</f>
        <v>-82.443700000000007</v>
      </c>
      <c r="AV23" s="127" cm="1">
        <f t="array" ref="AV23">SUMPRODUCT(AV$29:AV$61,IF(_xlfn.XLOOKUP($B$29:$B$61,Definitions!$K$17:$K$49,Definitions!$M$17:$M$49,"")=$A23,1,0))</f>
        <v>-189.20580000000001</v>
      </c>
    </row>
    <row r="24" spans="1:52">
      <c r="A24" s="748" t="s">
        <v>34</v>
      </c>
      <c r="B24" s="748"/>
      <c r="C24" s="127" cm="1">
        <f t="array" ref="C24">SUMPRODUCT(C$29:C$61,IF(_xlfn.XLOOKUP($B$29:$B$61,Definitions!$K$17:$K$49,Definitions!$M$17:$M$49,"")=$A24,1,0))</f>
        <v>0</v>
      </c>
      <c r="D24" s="127" cm="1">
        <f t="array" ref="D24">SUMPRODUCT(D$29:D$61,IF(_xlfn.XLOOKUP($B$29:$B$61,Definitions!$K$17:$K$49,Definitions!$M$17:$M$49,"")=$A24,1,0))</f>
        <v>0</v>
      </c>
      <c r="E24" s="127" cm="1">
        <f t="array" ref="E24">SUMPRODUCT(E$29:E$61,IF(_xlfn.XLOOKUP($B$29:$B$61,Definitions!$K$17:$K$49,Definitions!$M$17:$M$49,"")=$A24,1,0))</f>
        <v>0</v>
      </c>
      <c r="F24" s="127" cm="1">
        <f t="array" ref="F24">SUMPRODUCT(F$29:F$61,IF(_xlfn.XLOOKUP($B$29:$B$61,Definitions!$K$17:$K$49,Definitions!$M$17:$M$49,"")=$A24,1,0))</f>
        <v>0</v>
      </c>
      <c r="G24" s="127" cm="1">
        <f t="array" ref="G24">SUMPRODUCT(G$29:G$61,IF(_xlfn.XLOOKUP($B$29:$B$61,Definitions!$K$17:$K$49,Definitions!$M$17:$M$49,"")=$A24,1,0))</f>
        <v>0</v>
      </c>
      <c r="H24" s="127" cm="1">
        <f t="array" ref="H24">SUMPRODUCT(H$29:H$61,IF(_xlfn.XLOOKUP($B$29:$B$61,Definitions!$K$17:$K$49,Definitions!$M$17:$M$49,"")=$A24,1,0))</f>
        <v>0</v>
      </c>
      <c r="I24" s="127" cm="1">
        <f t="array" ref="I24">SUMPRODUCT(I$29:I$61,IF(_xlfn.XLOOKUP($B$29:$B$61,Definitions!$K$17:$K$49,Definitions!$M$17:$M$49,"")=$A24,1,0))</f>
        <v>0</v>
      </c>
      <c r="J24" s="127" cm="1">
        <f t="array" ref="J24">SUMPRODUCT(J$29:J$61,IF(_xlfn.XLOOKUP($B$29:$B$61,Definitions!$K$17:$K$49,Definitions!$M$17:$M$49,"")=$A24,1,0))</f>
        <v>0</v>
      </c>
      <c r="K24" s="127" cm="1">
        <f t="array" ref="K24">SUMPRODUCT(K$29:K$61,IF(_xlfn.XLOOKUP($B$29:$B$61,Definitions!$K$17:$K$49,Definitions!$M$17:$M$49,"")=$A24,1,0))</f>
        <v>0</v>
      </c>
      <c r="L24" s="127" cm="1">
        <f t="array" ref="L24">SUMPRODUCT(L$29:L$61,IF(_xlfn.XLOOKUP($B$29:$B$61,Definitions!$K$17:$K$49,Definitions!$M$17:$M$49,"")=$A24,1,0))</f>
        <v>0</v>
      </c>
      <c r="M24" s="127" cm="1">
        <f t="array" ref="M24">SUMPRODUCT(M$29:M$61,IF(_xlfn.XLOOKUP($B$29:$B$61,Definitions!$K$17:$K$49,Definitions!$M$17:$M$49,"")=$A24,1,0))</f>
        <v>0</v>
      </c>
      <c r="N24" s="127" cm="1">
        <f t="array" ref="N24">SUMPRODUCT(N$29:N$61,IF(_xlfn.XLOOKUP($B$29:$B$61,Definitions!$K$17:$K$49,Definitions!$M$17:$M$49,"")=$A24,1,0))</f>
        <v>0</v>
      </c>
      <c r="O24" s="127" cm="1">
        <f t="array" ref="O24">SUMPRODUCT(O$29:O$61,IF(_xlfn.XLOOKUP($B$29:$B$61,Definitions!$K$17:$K$49,Definitions!$M$17:$M$49,"")=$A24,1,0))</f>
        <v>0</v>
      </c>
      <c r="P24" s="127" cm="1">
        <f t="array" ref="P24">SUMPRODUCT(P$29:P$61,IF(_xlfn.XLOOKUP($B$29:$B$61,Definitions!$K$17:$K$49,Definitions!$M$17:$M$49,"")=$A24,1,0))</f>
        <v>0</v>
      </c>
      <c r="Q24" s="127" cm="1">
        <f t="array" ref="Q24">SUMPRODUCT(Q$29:Q$61,IF(_xlfn.XLOOKUP($B$29:$B$61,Definitions!$K$17:$K$49,Definitions!$M$17:$M$49,"")=$A24,1,0))</f>
        <v>0</v>
      </c>
      <c r="R24" s="127" cm="1">
        <f t="array" ref="R24">SUMPRODUCT(R$29:R$61,IF(_xlfn.XLOOKUP($B$29:$B$61,Definitions!$K$17:$K$49,Definitions!$M$17:$M$49,"")=$A24,1,0))</f>
        <v>0</v>
      </c>
      <c r="S24" s="127" cm="1">
        <f t="array" ref="S24">SUMPRODUCT(S$29:S$61,IF(_xlfn.XLOOKUP($B$29:$B$61,Definitions!$K$17:$K$49,Definitions!$M$17:$M$49,"")=$A24,1,0))</f>
        <v>0</v>
      </c>
      <c r="T24" s="127" cm="1">
        <f t="array" ref="T24">SUMPRODUCT(T$29:T$61,IF(_xlfn.XLOOKUP($B$29:$B$61,Definitions!$K$17:$K$49,Definitions!$M$17:$M$49,"")=$A24,1,0))</f>
        <v>0</v>
      </c>
      <c r="U24" s="127" cm="1">
        <f t="array" ref="U24">SUMPRODUCT(U$29:U$61,IF(_xlfn.XLOOKUP($B$29:$B$61,Definitions!$K$17:$K$49,Definitions!$M$17:$M$49,"")=$A24,1,0))</f>
        <v>0</v>
      </c>
      <c r="V24" s="127" cm="1">
        <f t="array" ref="V24">SUMPRODUCT(V$29:V$61,IF(_xlfn.XLOOKUP($B$29:$B$61,Definitions!$K$17:$K$49,Definitions!$M$17:$M$49,"")=$A24,1,0))</f>
        <v>0</v>
      </c>
      <c r="W24" s="127" cm="1">
        <f t="array" ref="W24">SUMPRODUCT(W$29:W$61,IF(_xlfn.XLOOKUP($B$29:$B$61,Definitions!$K$17:$K$49,Definitions!$M$17:$M$49,"")=$A24,1,0))</f>
        <v>0</v>
      </c>
      <c r="X24" s="127" cm="1">
        <f t="array" ref="X24">SUMPRODUCT(X$29:X$61,IF(_xlfn.XLOOKUP($B$29:$B$61,Definitions!$K$17:$K$49,Definitions!$M$17:$M$49,"")=$A24,1,0))</f>
        <v>0</v>
      </c>
      <c r="Y24" s="127" cm="1">
        <f t="array" ref="Y24">SUMPRODUCT(Y$29:Y$61,IF(_xlfn.XLOOKUP($B$29:$B$61,Definitions!$K$17:$K$49,Definitions!$M$17:$M$49,"")=$A24,1,0))</f>
        <v>0</v>
      </c>
      <c r="Z24" s="127" cm="1">
        <f t="array" ref="Z24">SUMPRODUCT(Z$29:Z$61,IF(_xlfn.XLOOKUP($B$29:$B$61,Definitions!$K$17:$K$49,Definitions!$M$17:$M$49,"")=$A24,1,0))</f>
        <v>0</v>
      </c>
      <c r="AA24" s="127" cm="1">
        <f t="array" ref="AA24">SUMPRODUCT(AA$29:AA$61,IF(_xlfn.XLOOKUP($B$29:$B$61,Definitions!$K$17:$K$49,Definitions!$M$17:$M$49,"")=$A24,1,0))</f>
        <v>0</v>
      </c>
      <c r="AB24" s="127" cm="1">
        <f t="array" ref="AB24">SUMPRODUCT(AB$29:AB$61,IF(_xlfn.XLOOKUP($B$29:$B$61,Definitions!$K$17:$K$49,Definitions!$M$17:$M$49,"")=$A24,1,0))</f>
        <v>0</v>
      </c>
      <c r="AC24" s="127" cm="1">
        <f t="array" ref="AC24">SUMPRODUCT(AC$29:AC$61,IF(_xlfn.XLOOKUP($B$29:$B$61,Definitions!$K$17:$K$49,Definitions!$M$17:$M$49,"")=$A24,1,0))</f>
        <v>0</v>
      </c>
      <c r="AD24" s="127" cm="1">
        <f t="array" ref="AD24">SUMPRODUCT(AD$29:AD$61,IF(_xlfn.XLOOKUP($B$29:$B$61,Definitions!$K$17:$K$49,Definitions!$M$17:$M$49,"")=$A24,1,0))</f>
        <v>0</v>
      </c>
      <c r="AE24" s="127" cm="1">
        <f t="array" ref="AE24">SUMPRODUCT(AE$29:AE$61,IF(_xlfn.XLOOKUP($B$29:$B$61,Definitions!$K$17:$K$49,Definitions!$M$17:$M$49,"")=$A24,1,0))</f>
        <v>0</v>
      </c>
      <c r="AF24" s="127" cm="1">
        <f t="array" ref="AF24">SUMPRODUCT(AF$29:AF$61,IF(_xlfn.XLOOKUP($B$29:$B$61,Definitions!$K$17:$K$49,Definitions!$M$17:$M$49,"")=$A24,1,0))</f>
        <v>0</v>
      </c>
      <c r="AG24" s="127" cm="1">
        <f t="array" ref="AG24">SUMPRODUCT(AG$29:AG$61,IF(_xlfn.XLOOKUP($B$29:$B$61,Definitions!$K$17:$K$49,Definitions!$M$17:$M$49,"")=$A24,1,0))</f>
        <v>0</v>
      </c>
      <c r="AH24" s="127" cm="1">
        <f t="array" ref="AH24">SUMPRODUCT(AH$29:AH$61,IF(_xlfn.XLOOKUP($B$29:$B$61,Definitions!$K$17:$K$49,Definitions!$M$17:$M$49,"")=$A24,1,0))</f>
        <v>0</v>
      </c>
      <c r="AI24" s="127" cm="1">
        <f t="array" ref="AI24">SUMPRODUCT(AI$29:AI$61,IF(_xlfn.XLOOKUP($B$29:$B$61,Definitions!$K$17:$K$49,Definitions!$M$17:$M$49,"")=$A24,1,0))</f>
        <v>0</v>
      </c>
      <c r="AJ24" s="127" cm="1">
        <f t="array" ref="AJ24">SUMPRODUCT(AJ$29:AJ$61,IF(_xlfn.XLOOKUP($B$29:$B$61,Definitions!$K$17:$K$49,Definitions!$M$17:$M$49,"")=$A24,1,0))</f>
        <v>0</v>
      </c>
      <c r="AK24" s="127" cm="1">
        <f t="array" ref="AK24">SUMPRODUCT(AK$29:AK$61,IF(_xlfn.XLOOKUP($B$29:$B$61,Definitions!$K$17:$K$49,Definitions!$M$17:$M$49,"")=$A24,1,0))</f>
        <v>0</v>
      </c>
      <c r="AL24" s="127" cm="1">
        <f t="array" ref="AL24">SUMPRODUCT(AL$29:AL$61,IF(_xlfn.XLOOKUP($B$29:$B$61,Definitions!$K$17:$K$49,Definitions!$M$17:$M$49,"")=$A24,1,0))</f>
        <v>0</v>
      </c>
      <c r="AM24" s="127" cm="1">
        <f t="array" ref="AM24">SUMPRODUCT(AM$29:AM$61,IF(_xlfn.XLOOKUP($B$29:$B$61,Definitions!$K$17:$K$49,Definitions!$M$17:$M$49,"")=$A24,1,0))</f>
        <v>0</v>
      </c>
      <c r="AN24" s="127" cm="1">
        <f t="array" ref="AN24">SUMPRODUCT(AN$29:AN$61,IF(_xlfn.XLOOKUP($B$29:$B$61,Definitions!$K$17:$K$49,Definitions!$M$17:$M$49,"")=$A24,1,0))</f>
        <v>0</v>
      </c>
      <c r="AO24" s="127" cm="1">
        <f t="array" ref="AO24">SUMPRODUCT(AO$29:AO$61,IF(_xlfn.XLOOKUP($B$29:$B$61,Definitions!$K$17:$K$49,Definitions!$M$17:$M$49,"")=$A24,1,0))</f>
        <v>0</v>
      </c>
      <c r="AP24" s="127" cm="1">
        <f t="array" ref="AP24">SUMPRODUCT(AP$29:AP$61,IF(_xlfn.XLOOKUP($B$29:$B$61,Definitions!$K$17:$K$49,Definitions!$M$17:$M$49,"")=$A24,1,0))</f>
        <v>0</v>
      </c>
      <c r="AQ24" s="127" cm="1">
        <f t="array" ref="AQ24">SUMPRODUCT(AQ$29:AQ$61,IF(_xlfn.XLOOKUP($B$29:$B$61,Definitions!$K$17:$K$49,Definitions!$M$17:$M$49,"")=$A24,1,0))</f>
        <v>0</v>
      </c>
      <c r="AR24" s="127" cm="1">
        <f t="array" ref="AR24">SUMPRODUCT(AR$29:AR$61,IF(_xlfn.XLOOKUP($B$29:$B$61,Definitions!$K$17:$K$49,Definitions!$M$17:$M$49,"")=$A24,1,0))</f>
        <v>0</v>
      </c>
      <c r="AS24" s="127" cm="1">
        <f t="array" ref="AS24">SUMPRODUCT(AS$29:AS$61,IF(_xlfn.XLOOKUP($B$29:$B$61,Definitions!$K$17:$K$49,Definitions!$M$17:$M$49,"")=$A24,1,0))</f>
        <v>0</v>
      </c>
      <c r="AT24" s="127" cm="1">
        <f t="array" ref="AT24">SUMPRODUCT(AT$29:AT$61,IF(_xlfn.XLOOKUP($B$29:$B$61,Definitions!$K$17:$K$49,Definitions!$M$17:$M$49,"")=$A24,1,0))</f>
        <v>0</v>
      </c>
      <c r="AU24" s="127" cm="1">
        <f t="array" ref="AU24">SUMPRODUCT(AU$29:AU$61,IF(_xlfn.XLOOKUP($B$29:$B$61,Definitions!$K$17:$K$49,Definitions!$M$17:$M$49,"")=$A24,1,0))</f>
        <v>0</v>
      </c>
      <c r="AV24" s="127" cm="1">
        <f t="array" ref="AV24">SUMPRODUCT(AV$29:AV$61,IF(_xlfn.XLOOKUP($B$29:$B$61,Definitions!$K$17:$K$49,Definitions!$M$17:$M$49,"")=$A24,1,0))</f>
        <v>0</v>
      </c>
    </row>
    <row r="25" spans="1:52" s="572" customFormat="1">
      <c r="A25" s="746" t="s">
        <v>623</v>
      </c>
      <c r="B25" s="746"/>
      <c r="C25" s="136">
        <f>SUM(C26,C27)</f>
        <v>0</v>
      </c>
      <c r="D25" s="136">
        <f t="shared" ref="D25:AV25" si="8">SUM(D26,D27)</f>
        <v>0</v>
      </c>
      <c r="E25" s="136">
        <f t="shared" si="8"/>
        <v>0</v>
      </c>
      <c r="F25" s="136">
        <f t="shared" si="8"/>
        <v>0</v>
      </c>
      <c r="G25" s="136">
        <f t="shared" si="8"/>
        <v>0</v>
      </c>
      <c r="H25" s="136">
        <f t="shared" si="8"/>
        <v>0</v>
      </c>
      <c r="I25" s="136">
        <f t="shared" si="8"/>
        <v>0</v>
      </c>
      <c r="J25" s="136">
        <f t="shared" si="8"/>
        <v>0</v>
      </c>
      <c r="K25" s="136">
        <f t="shared" si="8"/>
        <v>0</v>
      </c>
      <c r="L25" s="136">
        <f t="shared" si="8"/>
        <v>0</v>
      </c>
      <c r="M25" s="136">
        <f t="shared" si="8"/>
        <v>0</v>
      </c>
      <c r="N25" s="136">
        <f t="shared" si="8"/>
        <v>0</v>
      </c>
      <c r="O25" s="136">
        <f t="shared" si="8"/>
        <v>0</v>
      </c>
      <c r="P25" s="136">
        <f t="shared" si="8"/>
        <v>0</v>
      </c>
      <c r="Q25" s="136">
        <f t="shared" si="8"/>
        <v>0</v>
      </c>
      <c r="R25" s="136">
        <f t="shared" si="8"/>
        <v>0</v>
      </c>
      <c r="S25" s="136">
        <f t="shared" si="8"/>
        <v>0</v>
      </c>
      <c r="T25" s="136">
        <f t="shared" si="8"/>
        <v>0</v>
      </c>
      <c r="U25" s="136">
        <f t="shared" si="8"/>
        <v>0</v>
      </c>
      <c r="V25" s="136">
        <f t="shared" si="8"/>
        <v>0</v>
      </c>
      <c r="W25" s="136">
        <f t="shared" si="8"/>
        <v>0</v>
      </c>
      <c r="X25" s="136">
        <f t="shared" si="8"/>
        <v>0</v>
      </c>
      <c r="Y25" s="136">
        <f t="shared" si="8"/>
        <v>0</v>
      </c>
      <c r="Z25" s="136">
        <f t="shared" si="8"/>
        <v>0</v>
      </c>
      <c r="AA25" s="136">
        <f t="shared" si="8"/>
        <v>0</v>
      </c>
      <c r="AB25" s="136">
        <f t="shared" si="8"/>
        <v>0</v>
      </c>
      <c r="AC25" s="136">
        <f t="shared" si="8"/>
        <v>0</v>
      </c>
      <c r="AD25" s="136">
        <f t="shared" si="8"/>
        <v>0</v>
      </c>
      <c r="AE25" s="136">
        <f t="shared" si="8"/>
        <v>0</v>
      </c>
      <c r="AF25" s="136">
        <f t="shared" si="8"/>
        <v>0</v>
      </c>
      <c r="AG25" s="136">
        <f t="shared" si="8"/>
        <v>0</v>
      </c>
      <c r="AH25" s="136">
        <f t="shared" si="8"/>
        <v>0</v>
      </c>
      <c r="AI25" s="136">
        <f t="shared" si="8"/>
        <v>0</v>
      </c>
      <c r="AJ25" s="136">
        <f t="shared" si="8"/>
        <v>0</v>
      </c>
      <c r="AK25" s="136">
        <f t="shared" si="8"/>
        <v>0</v>
      </c>
      <c r="AL25" s="136">
        <f t="shared" si="8"/>
        <v>0</v>
      </c>
      <c r="AM25" s="136">
        <f t="shared" si="8"/>
        <v>0</v>
      </c>
      <c r="AN25" s="136">
        <f t="shared" si="8"/>
        <v>0</v>
      </c>
      <c r="AO25" s="136">
        <f t="shared" si="8"/>
        <v>0</v>
      </c>
      <c r="AP25" s="136">
        <f t="shared" si="8"/>
        <v>0</v>
      </c>
      <c r="AQ25" s="136">
        <f t="shared" si="8"/>
        <v>0</v>
      </c>
      <c r="AR25" s="136">
        <f t="shared" si="8"/>
        <v>0</v>
      </c>
      <c r="AS25" s="136">
        <f t="shared" si="8"/>
        <v>0</v>
      </c>
      <c r="AT25" s="136">
        <f t="shared" si="8"/>
        <v>0</v>
      </c>
      <c r="AU25" s="136">
        <f t="shared" si="8"/>
        <v>0</v>
      </c>
      <c r="AV25" s="136">
        <f t="shared" si="8"/>
        <v>50.610000000000014</v>
      </c>
    </row>
    <row r="26" spans="1:52">
      <c r="A26" s="745" t="s">
        <v>105</v>
      </c>
      <c r="B26" s="745"/>
      <c r="C26" s="129" cm="1">
        <f t="array" ref="C26">SUMPRODUCT(C$29:C$61,IF(_xlfn.XLOOKUP($B$29:$B$61,Definitions!$K$17:$K$49,Definitions!$M$17:$M$49,"")=$A26,1,0))</f>
        <v>0</v>
      </c>
      <c r="D26" s="129" cm="1">
        <f t="array" ref="D26">SUMPRODUCT(D$29:D$61,IF(_xlfn.XLOOKUP($B$29:$B$61,Definitions!$K$17:$K$49,Definitions!$M$17:$M$49,"")=$A26,1,0))</f>
        <v>0</v>
      </c>
      <c r="E26" s="129" cm="1">
        <f t="array" ref="E26">SUMPRODUCT(E$29:E$61,IF(_xlfn.XLOOKUP($B$29:$B$61,Definitions!$K$17:$K$49,Definitions!$M$17:$M$49,"")=$A26,1,0))</f>
        <v>0</v>
      </c>
      <c r="F26" s="129" cm="1">
        <f t="array" ref="F26">SUMPRODUCT(F$29:F$61,IF(_xlfn.XLOOKUP($B$29:$B$61,Definitions!$K$17:$K$49,Definitions!$M$17:$M$49,"")=$A26,1,0))</f>
        <v>0</v>
      </c>
      <c r="G26" s="129" cm="1">
        <f t="array" ref="G26">SUMPRODUCT(G$29:G$61,IF(_xlfn.XLOOKUP($B$29:$B$61,Definitions!$K$17:$K$49,Definitions!$M$17:$M$49,"")=$A26,1,0))</f>
        <v>0</v>
      </c>
      <c r="H26" s="129" cm="1">
        <f t="array" ref="H26">SUMPRODUCT(H$29:H$61,IF(_xlfn.XLOOKUP($B$29:$B$61,Definitions!$K$17:$K$49,Definitions!$M$17:$M$49,"")=$A26,1,0))</f>
        <v>0</v>
      </c>
      <c r="I26" s="129" cm="1">
        <f t="array" ref="I26">SUMPRODUCT(I$29:I$61,IF(_xlfn.XLOOKUP($B$29:$B$61,Definitions!$K$17:$K$49,Definitions!$M$17:$M$49,"")=$A26,1,0))</f>
        <v>0</v>
      </c>
      <c r="J26" s="129" cm="1">
        <f t="array" ref="J26">SUMPRODUCT(J$29:J$61,IF(_xlfn.XLOOKUP($B$29:$B$61,Definitions!$K$17:$K$49,Definitions!$M$17:$M$49,"")=$A26,1,0))</f>
        <v>0</v>
      </c>
      <c r="K26" s="129" cm="1">
        <f t="array" ref="K26">SUMPRODUCT(K$29:K$61,IF(_xlfn.XLOOKUP($B$29:$B$61,Definitions!$K$17:$K$49,Definitions!$M$17:$M$49,"")=$A26,1,0))</f>
        <v>0</v>
      </c>
      <c r="L26" s="129" cm="1">
        <f t="array" ref="L26">SUMPRODUCT(L$29:L$61,IF(_xlfn.XLOOKUP($B$29:$B$61,Definitions!$K$17:$K$49,Definitions!$M$17:$M$49,"")=$A26,1,0))</f>
        <v>0</v>
      </c>
      <c r="M26" s="129" cm="1">
        <f t="array" ref="M26">SUMPRODUCT(M$29:M$61,IF(_xlfn.XLOOKUP($B$29:$B$61,Definitions!$K$17:$K$49,Definitions!$M$17:$M$49,"")=$A26,1,0))</f>
        <v>0</v>
      </c>
      <c r="N26" s="129" cm="1">
        <f t="array" ref="N26">SUMPRODUCT(N$29:N$61,IF(_xlfn.XLOOKUP($B$29:$B$61,Definitions!$K$17:$K$49,Definitions!$M$17:$M$49,"")=$A26,1,0))</f>
        <v>0</v>
      </c>
      <c r="O26" s="129" cm="1">
        <f t="array" ref="O26">SUMPRODUCT(O$29:O$61,IF(_xlfn.XLOOKUP($B$29:$B$61,Definitions!$K$17:$K$49,Definitions!$M$17:$M$49,"")=$A26,1,0))</f>
        <v>0</v>
      </c>
      <c r="P26" s="129" cm="1">
        <f t="array" ref="P26">SUMPRODUCT(P$29:P$61,IF(_xlfn.XLOOKUP($B$29:$B$61,Definitions!$K$17:$K$49,Definitions!$M$17:$M$49,"")=$A26,1,0))</f>
        <v>0</v>
      </c>
      <c r="Q26" s="129" cm="1">
        <f t="array" ref="Q26">SUMPRODUCT(Q$29:Q$61,IF(_xlfn.XLOOKUP($B$29:$B$61,Definitions!$K$17:$K$49,Definitions!$M$17:$M$49,"")=$A26,1,0))</f>
        <v>0</v>
      </c>
      <c r="R26" s="129" cm="1">
        <f t="array" ref="R26">SUMPRODUCT(R$29:R$61,IF(_xlfn.XLOOKUP($B$29:$B$61,Definitions!$K$17:$K$49,Definitions!$M$17:$M$49,"")=$A26,1,0))</f>
        <v>0</v>
      </c>
      <c r="S26" s="129" cm="1">
        <f t="array" ref="S26">SUMPRODUCT(S$29:S$61,IF(_xlfn.XLOOKUP($B$29:$B$61,Definitions!$K$17:$K$49,Definitions!$M$17:$M$49,"")=$A26,1,0))</f>
        <v>0</v>
      </c>
      <c r="T26" s="129" cm="1">
        <f t="array" ref="T26">SUMPRODUCT(T$29:T$61,IF(_xlfn.XLOOKUP($B$29:$B$61,Definitions!$K$17:$K$49,Definitions!$M$17:$M$49,"")=$A26,1,0))</f>
        <v>0</v>
      </c>
      <c r="U26" s="129" cm="1">
        <f t="array" ref="U26">SUMPRODUCT(U$29:U$61,IF(_xlfn.XLOOKUP($B$29:$B$61,Definitions!$K$17:$K$49,Definitions!$M$17:$M$49,"")=$A26,1,0))</f>
        <v>0</v>
      </c>
      <c r="V26" s="129" cm="1">
        <f t="array" ref="V26">SUMPRODUCT(V$29:V$61,IF(_xlfn.XLOOKUP($B$29:$B$61,Definitions!$K$17:$K$49,Definitions!$M$17:$M$49,"")=$A26,1,0))</f>
        <v>0</v>
      </c>
      <c r="W26" s="129" cm="1">
        <f t="array" ref="W26">SUMPRODUCT(W$29:W$61,IF(_xlfn.XLOOKUP($B$29:$B$61,Definitions!$K$17:$K$49,Definitions!$M$17:$M$49,"")=$A26,1,0))</f>
        <v>0</v>
      </c>
      <c r="X26" s="129" cm="1">
        <f t="array" ref="X26">SUMPRODUCT(X$29:X$61,IF(_xlfn.XLOOKUP($B$29:$B$61,Definitions!$K$17:$K$49,Definitions!$M$17:$M$49,"")=$A26,1,0))</f>
        <v>0</v>
      </c>
      <c r="Y26" s="129" cm="1">
        <f t="array" ref="Y26">SUMPRODUCT(Y$29:Y$61,IF(_xlfn.XLOOKUP($B$29:$B$61,Definitions!$K$17:$K$49,Definitions!$M$17:$M$49,"")=$A26,1,0))</f>
        <v>0</v>
      </c>
      <c r="Z26" s="129" cm="1">
        <f t="array" ref="Z26">SUMPRODUCT(Z$29:Z$61,IF(_xlfn.XLOOKUP($B$29:$B$61,Definitions!$K$17:$K$49,Definitions!$M$17:$M$49,"")=$A26,1,0))</f>
        <v>0</v>
      </c>
      <c r="AA26" s="129" cm="1">
        <f t="array" ref="AA26">SUMPRODUCT(AA$29:AA$61,IF(_xlfn.XLOOKUP($B$29:$B$61,Definitions!$K$17:$K$49,Definitions!$M$17:$M$49,"")=$A26,1,0))</f>
        <v>0</v>
      </c>
      <c r="AB26" s="129" cm="1">
        <f t="array" ref="AB26">SUMPRODUCT(AB$29:AB$61,IF(_xlfn.XLOOKUP($B$29:$B$61,Definitions!$K$17:$K$49,Definitions!$M$17:$M$49,"")=$A26,1,0))</f>
        <v>0</v>
      </c>
      <c r="AC26" s="129" cm="1">
        <f t="array" ref="AC26">SUMPRODUCT(AC$29:AC$61,IF(_xlfn.XLOOKUP($B$29:$B$61,Definitions!$K$17:$K$49,Definitions!$M$17:$M$49,"")=$A26,1,0))</f>
        <v>0</v>
      </c>
      <c r="AD26" s="129" cm="1">
        <f t="array" ref="AD26">SUMPRODUCT(AD$29:AD$61,IF(_xlfn.XLOOKUP($B$29:$B$61,Definitions!$K$17:$K$49,Definitions!$M$17:$M$49,"")=$A26,1,0))</f>
        <v>0</v>
      </c>
      <c r="AE26" s="129" cm="1">
        <f t="array" ref="AE26">SUMPRODUCT(AE$29:AE$61,IF(_xlfn.XLOOKUP($B$29:$B$61,Definitions!$K$17:$K$49,Definitions!$M$17:$M$49,"")=$A26,1,0))</f>
        <v>0</v>
      </c>
      <c r="AF26" s="129" cm="1">
        <f t="array" ref="AF26">SUMPRODUCT(AF$29:AF$61,IF(_xlfn.XLOOKUP($B$29:$B$61,Definitions!$K$17:$K$49,Definitions!$M$17:$M$49,"")=$A26,1,0))</f>
        <v>0</v>
      </c>
      <c r="AG26" s="129" cm="1">
        <f t="array" ref="AG26">SUMPRODUCT(AG$29:AG$61,IF(_xlfn.XLOOKUP($B$29:$B$61,Definitions!$K$17:$K$49,Definitions!$M$17:$M$49,"")=$A26,1,0))</f>
        <v>0</v>
      </c>
      <c r="AH26" s="129" cm="1">
        <f t="array" ref="AH26">SUMPRODUCT(AH$29:AH$61,IF(_xlfn.XLOOKUP($B$29:$B$61,Definitions!$K$17:$K$49,Definitions!$M$17:$M$49,"")=$A26,1,0))</f>
        <v>0</v>
      </c>
      <c r="AI26" s="129" cm="1">
        <f t="array" ref="AI26">SUMPRODUCT(AI$29:AI$61,IF(_xlfn.XLOOKUP($B$29:$B$61,Definitions!$K$17:$K$49,Definitions!$M$17:$M$49,"")=$A26,1,0))</f>
        <v>0</v>
      </c>
      <c r="AJ26" s="129" cm="1">
        <f t="array" ref="AJ26">SUMPRODUCT(AJ$29:AJ$61,IF(_xlfn.XLOOKUP($B$29:$B$61,Definitions!$K$17:$K$49,Definitions!$M$17:$M$49,"")=$A26,1,0))</f>
        <v>0</v>
      </c>
      <c r="AK26" s="129" cm="1">
        <f t="array" ref="AK26">SUMPRODUCT(AK$29:AK$61,IF(_xlfn.XLOOKUP($B$29:$B$61,Definitions!$K$17:$K$49,Definitions!$M$17:$M$49,"")=$A26,1,0))</f>
        <v>0</v>
      </c>
      <c r="AL26" s="129" cm="1">
        <f t="array" ref="AL26">SUMPRODUCT(AL$29:AL$61,IF(_xlfn.XLOOKUP($B$29:$B$61,Definitions!$K$17:$K$49,Definitions!$M$17:$M$49,"")=$A26,1,0))</f>
        <v>0</v>
      </c>
      <c r="AM26" s="129" cm="1">
        <f t="array" ref="AM26">SUMPRODUCT(AM$29:AM$61,IF(_xlfn.XLOOKUP($B$29:$B$61,Definitions!$K$17:$K$49,Definitions!$M$17:$M$49,"")=$A26,1,0))</f>
        <v>0</v>
      </c>
      <c r="AN26" s="129" cm="1">
        <f t="array" ref="AN26">SUMPRODUCT(AN$29:AN$61,IF(_xlfn.XLOOKUP($B$29:$B$61,Definitions!$K$17:$K$49,Definitions!$M$17:$M$49,"")=$A26,1,0))</f>
        <v>0</v>
      </c>
      <c r="AO26" s="129" cm="1">
        <f t="array" ref="AO26">SUMPRODUCT(AO$29:AO$61,IF(_xlfn.XLOOKUP($B$29:$B$61,Definitions!$K$17:$K$49,Definitions!$M$17:$M$49,"")=$A26,1,0))</f>
        <v>0</v>
      </c>
      <c r="AP26" s="129" cm="1">
        <f t="array" ref="AP26">SUMPRODUCT(AP$29:AP$61,IF(_xlfn.XLOOKUP($B$29:$B$61,Definitions!$K$17:$K$49,Definitions!$M$17:$M$49,"")=$A26,1,0))</f>
        <v>0</v>
      </c>
      <c r="AQ26" s="129" cm="1">
        <f t="array" ref="AQ26">SUMPRODUCT(AQ$29:AQ$61,IF(_xlfn.XLOOKUP($B$29:$B$61,Definitions!$K$17:$K$49,Definitions!$M$17:$M$49,"")=$A26,1,0))</f>
        <v>0</v>
      </c>
      <c r="AR26" s="129" cm="1">
        <f t="array" ref="AR26">SUMPRODUCT(AR$29:AR$61,IF(_xlfn.XLOOKUP($B$29:$B$61,Definitions!$K$17:$K$49,Definitions!$M$17:$M$49,"")=$A26,1,0))</f>
        <v>0</v>
      </c>
      <c r="AS26" s="129" cm="1">
        <f t="array" ref="AS26">SUMPRODUCT(AS$29:AS$61,IF(_xlfn.XLOOKUP($B$29:$B$61,Definitions!$K$17:$K$49,Definitions!$M$17:$M$49,"")=$A26,1,0))</f>
        <v>0</v>
      </c>
      <c r="AT26" s="129" cm="1">
        <f t="array" ref="AT26">SUMPRODUCT(AT$29:AT$61,IF(_xlfn.XLOOKUP($B$29:$B$61,Definitions!$K$17:$K$49,Definitions!$M$17:$M$49,"")=$A26,1,0))</f>
        <v>0</v>
      </c>
      <c r="AU26" s="129" cm="1">
        <f t="array" ref="AU26">SUMPRODUCT(AU$29:AU$61,IF(_xlfn.XLOOKUP($B$29:$B$61,Definitions!$K$17:$K$49,Definitions!$M$17:$M$49,"")=$A26,1,0))</f>
        <v>0</v>
      </c>
      <c r="AV26" s="129" cm="1">
        <f t="array" ref="AV26">SUMPRODUCT(AV$29:AV$61,IF(_xlfn.XLOOKUP($B$29:$B$61,Definitions!$K$17:$K$49,Definitions!$M$17:$M$49,"")=$A26,1,0))</f>
        <v>0</v>
      </c>
    </row>
    <row r="27" spans="1:52">
      <c r="A27" s="745" t="s">
        <v>109</v>
      </c>
      <c r="B27" s="745"/>
      <c r="C27" s="129" cm="1">
        <f t="array" ref="C27">SUMPRODUCT(C$29:C$61,IF(_xlfn.XLOOKUP($B$29:$B$61,Definitions!$K$17:$K$49,Definitions!$M$17:$M$49,"")=$A27,1,0))</f>
        <v>0</v>
      </c>
      <c r="D27" s="129" cm="1">
        <f t="array" ref="D27">SUMPRODUCT(D$29:D$61,IF(_xlfn.XLOOKUP($B$29:$B$61,Definitions!$K$17:$K$49,Definitions!$M$17:$M$49,"")=$A27,1,0))</f>
        <v>0</v>
      </c>
      <c r="E27" s="129" cm="1">
        <f t="array" ref="E27">SUMPRODUCT(E$29:E$61,IF(_xlfn.XLOOKUP($B$29:$B$61,Definitions!$K$17:$K$49,Definitions!$M$17:$M$49,"")=$A27,1,0))</f>
        <v>0</v>
      </c>
      <c r="F27" s="129" cm="1">
        <f t="array" ref="F27">SUMPRODUCT(F$29:F$61,IF(_xlfn.XLOOKUP($B$29:$B$61,Definitions!$K$17:$K$49,Definitions!$M$17:$M$49,"")=$A27,1,0))</f>
        <v>0</v>
      </c>
      <c r="G27" s="129" cm="1">
        <f t="array" ref="G27">SUMPRODUCT(G$29:G$61,IF(_xlfn.XLOOKUP($B$29:$B$61,Definitions!$K$17:$K$49,Definitions!$M$17:$M$49,"")=$A27,1,0))</f>
        <v>0</v>
      </c>
      <c r="H27" s="129" cm="1">
        <f t="array" ref="H27">SUMPRODUCT(H$29:H$61,IF(_xlfn.XLOOKUP($B$29:$B$61,Definitions!$K$17:$K$49,Definitions!$M$17:$M$49,"")=$A27,1,0))</f>
        <v>0</v>
      </c>
      <c r="I27" s="129" cm="1">
        <f t="array" ref="I27">SUMPRODUCT(I$29:I$61,IF(_xlfn.XLOOKUP($B$29:$B$61,Definitions!$K$17:$K$49,Definitions!$M$17:$M$49,"")=$A27,1,0))</f>
        <v>0</v>
      </c>
      <c r="J27" s="129" cm="1">
        <f t="array" ref="J27">SUMPRODUCT(J$29:J$61,IF(_xlfn.XLOOKUP($B$29:$B$61,Definitions!$K$17:$K$49,Definitions!$M$17:$M$49,"")=$A27,1,0))</f>
        <v>0</v>
      </c>
      <c r="K27" s="129" cm="1">
        <f t="array" ref="K27">SUMPRODUCT(K$29:K$61,IF(_xlfn.XLOOKUP($B$29:$B$61,Definitions!$K$17:$K$49,Definitions!$M$17:$M$49,"")=$A27,1,0))</f>
        <v>0</v>
      </c>
      <c r="L27" s="129" cm="1">
        <f t="array" ref="L27">SUMPRODUCT(L$29:L$61,IF(_xlfn.XLOOKUP($B$29:$B$61,Definitions!$K$17:$K$49,Definitions!$M$17:$M$49,"")=$A27,1,0))</f>
        <v>0</v>
      </c>
      <c r="M27" s="129" cm="1">
        <f t="array" ref="M27">SUMPRODUCT(M$29:M$61,IF(_xlfn.XLOOKUP($B$29:$B$61,Definitions!$K$17:$K$49,Definitions!$M$17:$M$49,"")=$A27,1,0))</f>
        <v>0</v>
      </c>
      <c r="N27" s="129" cm="1">
        <f t="array" ref="N27">SUMPRODUCT(N$29:N$61,IF(_xlfn.XLOOKUP($B$29:$B$61,Definitions!$K$17:$K$49,Definitions!$M$17:$M$49,"")=$A27,1,0))</f>
        <v>0</v>
      </c>
      <c r="O27" s="129" cm="1">
        <f t="array" ref="O27">SUMPRODUCT(O$29:O$61,IF(_xlfn.XLOOKUP($B$29:$B$61,Definitions!$K$17:$K$49,Definitions!$M$17:$M$49,"")=$A27,1,0))</f>
        <v>0</v>
      </c>
      <c r="P27" s="129" cm="1">
        <f t="array" ref="P27">SUMPRODUCT(P$29:P$61,IF(_xlfn.XLOOKUP($B$29:$B$61,Definitions!$K$17:$K$49,Definitions!$M$17:$M$49,"")=$A27,1,0))</f>
        <v>0</v>
      </c>
      <c r="Q27" s="129" cm="1">
        <f t="array" ref="Q27">SUMPRODUCT(Q$29:Q$61,IF(_xlfn.XLOOKUP($B$29:$B$61,Definitions!$K$17:$K$49,Definitions!$M$17:$M$49,"")=$A27,1,0))</f>
        <v>0</v>
      </c>
      <c r="R27" s="129" cm="1">
        <f t="array" ref="R27">SUMPRODUCT(R$29:R$61,IF(_xlfn.XLOOKUP($B$29:$B$61,Definitions!$K$17:$K$49,Definitions!$M$17:$M$49,"")=$A27,1,0))</f>
        <v>0</v>
      </c>
      <c r="S27" s="129" cm="1">
        <f t="array" ref="S27">SUMPRODUCT(S$29:S$61,IF(_xlfn.XLOOKUP($B$29:$B$61,Definitions!$K$17:$K$49,Definitions!$M$17:$M$49,"")=$A27,1,0))</f>
        <v>0</v>
      </c>
      <c r="T27" s="129" cm="1">
        <f t="array" ref="T27">SUMPRODUCT(T$29:T$61,IF(_xlfn.XLOOKUP($B$29:$B$61,Definitions!$K$17:$K$49,Definitions!$M$17:$M$49,"")=$A27,1,0))</f>
        <v>0</v>
      </c>
      <c r="U27" s="129" cm="1">
        <f t="array" ref="U27">SUMPRODUCT(U$29:U$61,IF(_xlfn.XLOOKUP($B$29:$B$61,Definitions!$K$17:$K$49,Definitions!$M$17:$M$49,"")=$A27,1,0))</f>
        <v>0</v>
      </c>
      <c r="V27" s="129" cm="1">
        <f t="array" ref="V27">SUMPRODUCT(V$29:V$61,IF(_xlfn.XLOOKUP($B$29:$B$61,Definitions!$K$17:$K$49,Definitions!$M$17:$M$49,"")=$A27,1,0))</f>
        <v>0</v>
      </c>
      <c r="W27" s="129" cm="1">
        <f t="array" ref="W27">SUMPRODUCT(W$29:W$61,IF(_xlfn.XLOOKUP($B$29:$B$61,Definitions!$K$17:$K$49,Definitions!$M$17:$M$49,"")=$A27,1,0))</f>
        <v>0</v>
      </c>
      <c r="X27" s="129" cm="1">
        <f t="array" ref="X27">SUMPRODUCT(X$29:X$61,IF(_xlfn.XLOOKUP($B$29:$B$61,Definitions!$K$17:$K$49,Definitions!$M$17:$M$49,"")=$A27,1,0))</f>
        <v>0</v>
      </c>
      <c r="Y27" s="129" cm="1">
        <f t="array" ref="Y27">SUMPRODUCT(Y$29:Y$61,IF(_xlfn.XLOOKUP($B$29:$B$61,Definitions!$K$17:$K$49,Definitions!$M$17:$M$49,"")=$A27,1,0))</f>
        <v>0</v>
      </c>
      <c r="Z27" s="129" cm="1">
        <f t="array" ref="Z27">SUMPRODUCT(Z$29:Z$61,IF(_xlfn.XLOOKUP($B$29:$B$61,Definitions!$K$17:$K$49,Definitions!$M$17:$M$49,"")=$A27,1,0))</f>
        <v>0</v>
      </c>
      <c r="AA27" s="129" cm="1">
        <f t="array" ref="AA27">SUMPRODUCT(AA$29:AA$61,IF(_xlfn.XLOOKUP($B$29:$B$61,Definitions!$K$17:$K$49,Definitions!$M$17:$M$49,"")=$A27,1,0))</f>
        <v>0</v>
      </c>
      <c r="AB27" s="129" cm="1">
        <f t="array" ref="AB27">SUMPRODUCT(AB$29:AB$61,IF(_xlfn.XLOOKUP($B$29:$B$61,Definitions!$K$17:$K$49,Definitions!$M$17:$M$49,"")=$A27,1,0))</f>
        <v>0</v>
      </c>
      <c r="AC27" s="129" cm="1">
        <f t="array" ref="AC27">SUMPRODUCT(AC$29:AC$61,IF(_xlfn.XLOOKUP($B$29:$B$61,Definitions!$K$17:$K$49,Definitions!$M$17:$M$49,"")=$A27,1,0))</f>
        <v>0</v>
      </c>
      <c r="AD27" s="129" cm="1">
        <f t="array" ref="AD27">SUMPRODUCT(AD$29:AD$61,IF(_xlfn.XLOOKUP($B$29:$B$61,Definitions!$K$17:$K$49,Definitions!$M$17:$M$49,"")=$A27,1,0))</f>
        <v>0</v>
      </c>
      <c r="AE27" s="129" cm="1">
        <f t="array" ref="AE27">SUMPRODUCT(AE$29:AE$61,IF(_xlfn.XLOOKUP($B$29:$B$61,Definitions!$K$17:$K$49,Definitions!$M$17:$M$49,"")=$A27,1,0))</f>
        <v>0</v>
      </c>
      <c r="AF27" s="129" cm="1">
        <f t="array" ref="AF27">SUMPRODUCT(AF$29:AF$61,IF(_xlfn.XLOOKUP($B$29:$B$61,Definitions!$K$17:$K$49,Definitions!$M$17:$M$49,"")=$A27,1,0))</f>
        <v>0</v>
      </c>
      <c r="AG27" s="129" cm="1">
        <f t="array" ref="AG27">SUMPRODUCT(AG$29:AG$61,IF(_xlfn.XLOOKUP($B$29:$B$61,Definitions!$K$17:$K$49,Definitions!$M$17:$M$49,"")=$A27,1,0))</f>
        <v>0</v>
      </c>
      <c r="AH27" s="129" cm="1">
        <f t="array" ref="AH27">SUMPRODUCT(AH$29:AH$61,IF(_xlfn.XLOOKUP($B$29:$B$61,Definitions!$K$17:$K$49,Definitions!$M$17:$M$49,"")=$A27,1,0))</f>
        <v>0</v>
      </c>
      <c r="AI27" s="129" cm="1">
        <f t="array" ref="AI27">SUMPRODUCT(AI$29:AI$61,IF(_xlfn.XLOOKUP($B$29:$B$61,Definitions!$K$17:$K$49,Definitions!$M$17:$M$49,"")=$A27,1,0))</f>
        <v>0</v>
      </c>
      <c r="AJ27" s="129" cm="1">
        <f t="array" ref="AJ27">SUMPRODUCT(AJ$29:AJ$61,IF(_xlfn.XLOOKUP($B$29:$B$61,Definitions!$K$17:$K$49,Definitions!$M$17:$M$49,"")=$A27,1,0))</f>
        <v>0</v>
      </c>
      <c r="AK27" s="129" cm="1">
        <f t="array" ref="AK27">SUMPRODUCT(AK$29:AK$61,IF(_xlfn.XLOOKUP($B$29:$B$61,Definitions!$K$17:$K$49,Definitions!$M$17:$M$49,"")=$A27,1,0))</f>
        <v>0</v>
      </c>
      <c r="AL27" s="129" cm="1">
        <f t="array" ref="AL27">SUMPRODUCT(AL$29:AL$61,IF(_xlfn.XLOOKUP($B$29:$B$61,Definitions!$K$17:$K$49,Definitions!$M$17:$M$49,"")=$A27,1,0))</f>
        <v>0</v>
      </c>
      <c r="AM27" s="129" cm="1">
        <f t="array" ref="AM27">SUMPRODUCT(AM$29:AM$61,IF(_xlfn.XLOOKUP($B$29:$B$61,Definitions!$K$17:$K$49,Definitions!$M$17:$M$49,"")=$A27,1,0))</f>
        <v>0</v>
      </c>
      <c r="AN27" s="129" cm="1">
        <f t="array" ref="AN27">SUMPRODUCT(AN$29:AN$61,IF(_xlfn.XLOOKUP($B$29:$B$61,Definitions!$K$17:$K$49,Definitions!$M$17:$M$49,"")=$A27,1,0))</f>
        <v>0</v>
      </c>
      <c r="AO27" s="129" cm="1">
        <f t="array" ref="AO27">SUMPRODUCT(AO$29:AO$61,IF(_xlfn.XLOOKUP($B$29:$B$61,Definitions!$K$17:$K$49,Definitions!$M$17:$M$49,"")=$A27,1,0))</f>
        <v>0</v>
      </c>
      <c r="AP27" s="129" cm="1">
        <f t="array" ref="AP27">SUMPRODUCT(AP$29:AP$61,IF(_xlfn.XLOOKUP($B$29:$B$61,Definitions!$K$17:$K$49,Definitions!$M$17:$M$49,"")=$A27,1,0))</f>
        <v>0</v>
      </c>
      <c r="AQ27" s="129" cm="1">
        <f t="array" ref="AQ27">SUMPRODUCT(AQ$29:AQ$61,IF(_xlfn.XLOOKUP($B$29:$B$61,Definitions!$K$17:$K$49,Definitions!$M$17:$M$49,"")=$A27,1,0))</f>
        <v>0</v>
      </c>
      <c r="AR27" s="129" cm="1">
        <f t="array" ref="AR27">SUMPRODUCT(AR$29:AR$61,IF(_xlfn.XLOOKUP($B$29:$B$61,Definitions!$K$17:$K$49,Definitions!$M$17:$M$49,"")=$A27,1,0))</f>
        <v>0</v>
      </c>
      <c r="AS27" s="129" cm="1">
        <f t="array" ref="AS27">SUMPRODUCT(AS$29:AS$61,IF(_xlfn.XLOOKUP($B$29:$B$61,Definitions!$K$17:$K$49,Definitions!$M$17:$M$49,"")=$A27,1,0))</f>
        <v>0</v>
      </c>
      <c r="AT27" s="129" cm="1">
        <f t="array" ref="AT27">SUMPRODUCT(AT$29:AT$61,IF(_xlfn.XLOOKUP($B$29:$B$61,Definitions!$K$17:$K$49,Definitions!$M$17:$M$49,"")=$A27,1,0))</f>
        <v>0</v>
      </c>
      <c r="AU27" s="129" cm="1">
        <f t="array" ref="AU27">SUMPRODUCT(AU$29:AU$61,IF(_xlfn.XLOOKUP($B$29:$B$61,Definitions!$K$17:$K$49,Definitions!$M$17:$M$49,"")=$A27,1,0))</f>
        <v>0</v>
      </c>
      <c r="AV27" s="129" cm="1">
        <f t="array" ref="AV27">SUMPRODUCT(AV$29:AV$61,IF(_xlfn.XLOOKUP($B$29:$B$61,Definitions!$K$17:$K$49,Definitions!$M$17:$M$49,"")=$A27,1,0))</f>
        <v>50.610000000000014</v>
      </c>
    </row>
    <row r="28" spans="1:52">
      <c r="A28" s="744" t="s">
        <v>624</v>
      </c>
      <c r="B28" s="744"/>
      <c r="C28" s="554" cm="1">
        <f t="array" ref="C28">SUMPRODUCT(C$29:C$61,IF(_xlfn.XLOOKUP($B$29:$B$61,Definitions!$K$17:$K$49,Definitions!$M$17:$M$49,"")=$A28,1,0))</f>
        <v>0</v>
      </c>
      <c r="D28" s="554" cm="1">
        <f t="array" ref="D28">SUMPRODUCT(D$29:D$61,IF(_xlfn.XLOOKUP($B$29:$B$61,Definitions!$K$17:$K$49,Definitions!$M$17:$M$49,"")=$A28,1,0))</f>
        <v>0</v>
      </c>
      <c r="E28" s="554" cm="1">
        <f t="array" ref="E28">SUMPRODUCT(E$29:E$61,IF(_xlfn.XLOOKUP($B$29:$B$61,Definitions!$K$17:$K$49,Definitions!$M$17:$M$49,"")=$A28,1,0))</f>
        <v>0</v>
      </c>
      <c r="F28" s="554" cm="1">
        <f t="array" ref="F28">SUMPRODUCT(F$29:F$61,IF(_xlfn.XLOOKUP($B$29:$B$61,Definitions!$K$17:$K$49,Definitions!$M$17:$M$49,"")=$A28,1,0))</f>
        <v>0</v>
      </c>
      <c r="G28" s="554" cm="1">
        <f t="array" ref="G28">SUMPRODUCT(G$29:G$61,IF(_xlfn.XLOOKUP($B$29:$B$61,Definitions!$K$17:$K$49,Definitions!$M$17:$M$49,"")=$A28,1,0))</f>
        <v>0</v>
      </c>
      <c r="H28" s="554" cm="1">
        <f t="array" ref="H28">SUMPRODUCT(H$29:H$61,IF(_xlfn.XLOOKUP($B$29:$B$61,Definitions!$K$17:$K$49,Definitions!$M$17:$M$49,"")=$A28,1,0))</f>
        <v>0</v>
      </c>
      <c r="I28" s="554" cm="1">
        <f t="array" ref="I28">SUMPRODUCT(I$29:I$61,IF(_xlfn.XLOOKUP($B$29:$B$61,Definitions!$K$17:$K$49,Definitions!$M$17:$M$49,"")=$A28,1,0))</f>
        <v>0</v>
      </c>
      <c r="J28" s="554" cm="1">
        <f t="array" ref="J28">SUMPRODUCT(J$29:J$61,IF(_xlfn.XLOOKUP($B$29:$B$61,Definitions!$K$17:$K$49,Definitions!$M$17:$M$49,"")=$A28,1,0))</f>
        <v>0</v>
      </c>
      <c r="K28" s="554" cm="1">
        <f t="array" ref="K28">SUMPRODUCT(K$29:K$61,IF(_xlfn.XLOOKUP($B$29:$B$61,Definitions!$K$17:$K$49,Definitions!$M$17:$M$49,"")=$A28,1,0))</f>
        <v>0</v>
      </c>
      <c r="L28" s="554" cm="1">
        <f t="array" ref="L28">SUMPRODUCT(L$29:L$61,IF(_xlfn.XLOOKUP($B$29:$B$61,Definitions!$K$17:$K$49,Definitions!$M$17:$M$49,"")=$A28,1,0))</f>
        <v>0</v>
      </c>
      <c r="M28" s="554" cm="1">
        <f t="array" ref="M28">SUMPRODUCT(M$29:M$61,IF(_xlfn.XLOOKUP($B$29:$B$61,Definitions!$K$17:$K$49,Definitions!$M$17:$M$49,"")=$A28,1,0))</f>
        <v>0</v>
      </c>
      <c r="N28" s="554" cm="1">
        <f t="array" ref="N28">SUMPRODUCT(N$29:N$61,IF(_xlfn.XLOOKUP($B$29:$B$61,Definitions!$K$17:$K$49,Definitions!$M$17:$M$49,"")=$A28,1,0))</f>
        <v>0</v>
      </c>
      <c r="O28" s="554" cm="1">
        <f t="array" ref="O28">SUMPRODUCT(O$29:O$61,IF(_xlfn.XLOOKUP($B$29:$B$61,Definitions!$K$17:$K$49,Definitions!$M$17:$M$49,"")=$A28,1,0))</f>
        <v>0</v>
      </c>
      <c r="P28" s="554" cm="1">
        <f t="array" ref="P28">SUMPRODUCT(P$29:P$61,IF(_xlfn.XLOOKUP($B$29:$B$61,Definitions!$K$17:$K$49,Definitions!$M$17:$M$49,"")=$A28,1,0))</f>
        <v>0</v>
      </c>
      <c r="Q28" s="554" cm="1">
        <f t="array" ref="Q28">SUMPRODUCT(Q$29:Q$61,IF(_xlfn.XLOOKUP($B$29:$B$61,Definitions!$K$17:$K$49,Definitions!$M$17:$M$49,"")=$A28,1,0))</f>
        <v>0</v>
      </c>
      <c r="R28" s="554" cm="1">
        <f t="array" ref="R28">SUMPRODUCT(R$29:R$61,IF(_xlfn.XLOOKUP($B$29:$B$61,Definitions!$K$17:$K$49,Definitions!$M$17:$M$49,"")=$A28,1,0))</f>
        <v>0</v>
      </c>
      <c r="S28" s="554" cm="1">
        <f t="array" ref="S28">SUMPRODUCT(S$29:S$61,IF(_xlfn.XLOOKUP($B$29:$B$61,Definitions!$K$17:$K$49,Definitions!$M$17:$M$49,"")=$A28,1,0))</f>
        <v>0</v>
      </c>
      <c r="T28" s="554" cm="1">
        <f t="array" ref="T28">SUMPRODUCT(T$29:T$61,IF(_xlfn.XLOOKUP($B$29:$B$61,Definitions!$K$17:$K$49,Definitions!$M$17:$M$49,"")=$A28,1,0))</f>
        <v>0</v>
      </c>
      <c r="U28" s="554" cm="1">
        <f t="array" ref="U28">SUMPRODUCT(U$29:U$61,IF(_xlfn.XLOOKUP($B$29:$B$61,Definitions!$K$17:$K$49,Definitions!$M$17:$M$49,"")=$A28,1,0))</f>
        <v>0</v>
      </c>
      <c r="V28" s="554" cm="1">
        <f t="array" ref="V28">SUMPRODUCT(V$29:V$61,IF(_xlfn.XLOOKUP($B$29:$B$61,Definitions!$K$17:$K$49,Definitions!$M$17:$M$49,"")=$A28,1,0))</f>
        <v>0</v>
      </c>
      <c r="W28" s="554" cm="1">
        <f t="array" ref="W28">SUMPRODUCT(W$29:W$61,IF(_xlfn.XLOOKUP($B$29:$B$61,Definitions!$K$17:$K$49,Definitions!$M$17:$M$49,"")=$A28,1,0))</f>
        <v>0</v>
      </c>
      <c r="X28" s="554" cm="1">
        <f t="array" ref="X28">SUMPRODUCT(X$29:X$61,IF(_xlfn.XLOOKUP($B$29:$B$61,Definitions!$K$17:$K$49,Definitions!$M$17:$M$49,"")=$A28,1,0))</f>
        <v>0</v>
      </c>
      <c r="Y28" s="554" cm="1">
        <f t="array" ref="Y28">SUMPRODUCT(Y$29:Y$61,IF(_xlfn.XLOOKUP($B$29:$B$61,Definitions!$K$17:$K$49,Definitions!$M$17:$M$49,"")=$A28,1,0))</f>
        <v>0</v>
      </c>
      <c r="Z28" s="554" cm="1">
        <f t="array" ref="Z28">SUMPRODUCT(Z$29:Z$61,IF(_xlfn.XLOOKUP($B$29:$B$61,Definitions!$K$17:$K$49,Definitions!$M$17:$M$49,"")=$A28,1,0))</f>
        <v>0</v>
      </c>
      <c r="AA28" s="554" cm="1">
        <f t="array" ref="AA28">SUMPRODUCT(AA$29:AA$61,IF(_xlfn.XLOOKUP($B$29:$B$61,Definitions!$K$17:$K$49,Definitions!$M$17:$M$49,"")=$A28,1,0))</f>
        <v>0</v>
      </c>
      <c r="AB28" s="554" cm="1">
        <f t="array" ref="AB28">SUMPRODUCT(AB$29:AB$61,IF(_xlfn.XLOOKUP($B$29:$B$61,Definitions!$K$17:$K$49,Definitions!$M$17:$M$49,"")=$A28,1,0))</f>
        <v>0</v>
      </c>
      <c r="AC28" s="554" cm="1">
        <f t="array" ref="AC28">SUMPRODUCT(AC$29:AC$61,IF(_xlfn.XLOOKUP($B$29:$B$61,Definitions!$K$17:$K$49,Definitions!$M$17:$M$49,"")=$A28,1,0))</f>
        <v>0</v>
      </c>
      <c r="AD28" s="554" cm="1">
        <f t="array" ref="AD28">SUMPRODUCT(AD$29:AD$61,IF(_xlfn.XLOOKUP($B$29:$B$61,Definitions!$K$17:$K$49,Definitions!$M$17:$M$49,"")=$A28,1,0))</f>
        <v>0</v>
      </c>
      <c r="AE28" s="554" cm="1">
        <f t="array" ref="AE28">SUMPRODUCT(AE$29:AE$61,IF(_xlfn.XLOOKUP($B$29:$B$61,Definitions!$K$17:$K$49,Definitions!$M$17:$M$49,"")=$A28,1,0))</f>
        <v>0</v>
      </c>
      <c r="AF28" s="554" cm="1">
        <f t="array" ref="AF28">SUMPRODUCT(AF$29:AF$61,IF(_xlfn.XLOOKUP($B$29:$B$61,Definitions!$K$17:$K$49,Definitions!$M$17:$M$49,"")=$A28,1,0))</f>
        <v>0</v>
      </c>
      <c r="AG28" s="554" cm="1">
        <f t="array" ref="AG28">SUMPRODUCT(AG$29:AG$61,IF(_xlfn.XLOOKUP($B$29:$B$61,Definitions!$K$17:$K$49,Definitions!$M$17:$M$49,"")=$A28,1,0))</f>
        <v>0</v>
      </c>
      <c r="AH28" s="554" cm="1">
        <f t="array" ref="AH28">SUMPRODUCT(AH$29:AH$61,IF(_xlfn.XLOOKUP($B$29:$B$61,Definitions!$K$17:$K$49,Definitions!$M$17:$M$49,"")=$A28,1,0))</f>
        <v>0</v>
      </c>
      <c r="AI28" s="554" cm="1">
        <f t="array" ref="AI28">SUMPRODUCT(AI$29:AI$61,IF(_xlfn.XLOOKUP($B$29:$B$61,Definitions!$K$17:$K$49,Definitions!$M$17:$M$49,"")=$A28,1,0))</f>
        <v>0</v>
      </c>
      <c r="AJ28" s="554" cm="1">
        <f t="array" ref="AJ28">SUMPRODUCT(AJ$29:AJ$61,IF(_xlfn.XLOOKUP($B$29:$B$61,Definitions!$K$17:$K$49,Definitions!$M$17:$M$49,"")=$A28,1,0))</f>
        <v>0</v>
      </c>
      <c r="AK28" s="554" cm="1">
        <f t="array" ref="AK28">SUMPRODUCT(AK$29:AK$61,IF(_xlfn.XLOOKUP($B$29:$B$61,Definitions!$K$17:$K$49,Definitions!$M$17:$M$49,"")=$A28,1,0))</f>
        <v>0</v>
      </c>
      <c r="AL28" s="554" cm="1">
        <f t="array" ref="AL28">SUMPRODUCT(AL$29:AL$61,IF(_xlfn.XLOOKUP($B$29:$B$61,Definitions!$K$17:$K$49,Definitions!$M$17:$M$49,"")=$A28,1,0))</f>
        <v>0</v>
      </c>
      <c r="AM28" s="554" cm="1">
        <f t="array" ref="AM28">SUMPRODUCT(AM$29:AM$61,IF(_xlfn.XLOOKUP($B$29:$B$61,Definitions!$K$17:$K$49,Definitions!$M$17:$M$49,"")=$A28,1,0))</f>
        <v>0</v>
      </c>
      <c r="AN28" s="554" cm="1">
        <f t="array" ref="AN28">SUMPRODUCT(AN$29:AN$61,IF(_xlfn.XLOOKUP($B$29:$B$61,Definitions!$K$17:$K$49,Definitions!$M$17:$M$49,"")=$A28,1,0))</f>
        <v>0</v>
      </c>
      <c r="AO28" s="554" cm="1">
        <f t="array" ref="AO28">SUMPRODUCT(AO$29:AO$61,IF(_xlfn.XLOOKUP($B$29:$B$61,Definitions!$K$17:$K$49,Definitions!$M$17:$M$49,"")=$A28,1,0))</f>
        <v>0</v>
      </c>
      <c r="AP28" s="554" cm="1">
        <f t="array" ref="AP28">SUMPRODUCT(AP$29:AP$61,IF(_xlfn.XLOOKUP($B$29:$B$61,Definitions!$K$17:$K$49,Definitions!$M$17:$M$49,"")=$A28,1,0))</f>
        <v>0</v>
      </c>
      <c r="AQ28" s="554" cm="1">
        <f t="array" ref="AQ28">SUMPRODUCT(AQ$29:AQ$61,IF(_xlfn.XLOOKUP($B$29:$B$61,Definitions!$K$17:$K$49,Definitions!$M$17:$M$49,"")=$A28,1,0))</f>
        <v>0</v>
      </c>
      <c r="AR28" s="554" cm="1">
        <f t="array" ref="AR28">SUMPRODUCT(AR$29:AR$61,IF(_xlfn.XLOOKUP($B$29:$B$61,Definitions!$K$17:$K$49,Definitions!$M$17:$M$49,"")=$A28,1,0))</f>
        <v>0</v>
      </c>
      <c r="AS28" s="554" cm="1">
        <f t="array" ref="AS28">SUMPRODUCT(AS$29:AS$61,IF(_xlfn.XLOOKUP($B$29:$B$61,Definitions!$K$17:$K$49,Definitions!$M$17:$M$49,"")=$A28,1,0))</f>
        <v>0</v>
      </c>
      <c r="AT28" s="554" cm="1">
        <f t="array" ref="AT28">SUMPRODUCT(AT$29:AT$61,IF(_xlfn.XLOOKUP($B$29:$B$61,Definitions!$K$17:$K$49,Definitions!$M$17:$M$49,"")=$A28,1,0))</f>
        <v>0</v>
      </c>
      <c r="AU28" s="554" cm="1">
        <f t="array" ref="AU28">SUMPRODUCT(AU$29:AU$61,IF(_xlfn.XLOOKUP($B$29:$B$61,Definitions!$K$17:$K$49,Definitions!$M$17:$M$49,"")=$A28,1,0))</f>
        <v>0</v>
      </c>
      <c r="AV28" s="554" cm="1">
        <f t="array" ref="AV28">SUMPRODUCT(AV$29:AV$61,IF(_xlfn.XLOOKUP($B$29:$B$61,Definitions!$K$17:$K$49,Definitions!$M$17:$M$49,"")=$A28,1,0))</f>
        <v>0</v>
      </c>
    </row>
    <row r="29" spans="1:52" outlineLevel="1">
      <c r="A29" s="565" t="str">
        <f>IF(Definitions!L17&lt;&gt;"", Definitions!L17, "")</f>
        <v>Biomass power plant</v>
      </c>
      <c r="B29" s="565" t="str">
        <f>IF(Definitions!K17&lt;&gt;"", Definitions!K17, "")</f>
        <v>PWRBIO001</v>
      </c>
      <c r="C29" s="566" cm="1">
        <f t="array" ref="C29:AV29">IF(B29="", "",
   TRANSPOSE(
       INDEX('OSeMOSYS (Input)'!$B$21:$AA$66, , MATCH(TRUE, ISNUMBER(SEARCH(B29, 'OSeMOSYS (Input)'!$B$10:$AB$10)), 0))
       - INDEX('OSeMOSYS (Input)'!$B$85:$AA$130, , MATCH(TRUE, ISNUMBER(SEARCH(B29, 'OSeMOSYS (Input)'!$B$74:$AA$74)), 0))
   )
   *
   IF('High Level Dashboard'!$B$5="Local Currency",
      INDEX('Financing Baseline'!$S$39:$BL$39, , MATCH(TRUE, ISNUMBER(SEARCH(B29, 'OSeMOSYS (Input)'!$B$10:$AB10)), 0)) /
      INDEX('Financing Baseline'!$S$38:$BL$38, , MATCH(TRUE, ISNUMBER(SEARCH(B29, 'OSeMOSYS (Input)'!$B$10:$AB10)), 0)),
      INDEX('Financing Baseline'!$S$38:$BL$38, , MATCH(TRUE, ISNUMBER(SEARCH(B29, 'OSeMOSYS (Input)'!$B$10:$AB$10)), 0))
   )
)</f>
        <v>50</v>
      </c>
      <c r="D29" s="566">
        <v>0</v>
      </c>
      <c r="E29" s="566">
        <v>0</v>
      </c>
      <c r="F29" s="566">
        <v>0</v>
      </c>
      <c r="G29" s="566">
        <v>0</v>
      </c>
      <c r="H29" s="566">
        <v>0</v>
      </c>
      <c r="I29" s="566">
        <v>0</v>
      </c>
      <c r="J29" s="566">
        <v>0</v>
      </c>
      <c r="K29" s="566">
        <v>0</v>
      </c>
      <c r="L29" s="566">
        <v>0</v>
      </c>
      <c r="M29" s="566">
        <v>0</v>
      </c>
      <c r="N29" s="566">
        <v>0</v>
      </c>
      <c r="O29" s="566">
        <v>-44.5</v>
      </c>
      <c r="P29" s="566">
        <v>-22.25</v>
      </c>
      <c r="Q29" s="566">
        <v>0</v>
      </c>
      <c r="R29" s="566">
        <v>0</v>
      </c>
      <c r="S29" s="566">
        <v>0</v>
      </c>
      <c r="T29" s="566">
        <v>0</v>
      </c>
      <c r="U29" s="566">
        <v>0</v>
      </c>
      <c r="V29" s="566">
        <v>0</v>
      </c>
      <c r="W29" s="566">
        <v>0</v>
      </c>
      <c r="X29" s="566">
        <v>0</v>
      </c>
      <c r="Y29" s="566">
        <v>0</v>
      </c>
      <c r="Z29" s="566">
        <v>-176.5478</v>
      </c>
      <c r="AA29" s="566">
        <v>-73.202200000000005</v>
      </c>
      <c r="AB29" s="566">
        <v>-22.25</v>
      </c>
      <c r="AC29" s="566">
        <v>-22.25</v>
      </c>
      <c r="AD29" s="566">
        <v>-22.25</v>
      </c>
      <c r="AE29" s="566">
        <v>-25.75</v>
      </c>
      <c r="AF29" s="566">
        <v>-22.25</v>
      </c>
      <c r="AG29" s="566">
        <v>-22.25</v>
      </c>
      <c r="AH29" s="566">
        <v>-47.25</v>
      </c>
      <c r="AI29" s="566">
        <v>-22.25</v>
      </c>
      <c r="AJ29" s="566">
        <v>-42.25</v>
      </c>
      <c r="AK29" s="566">
        <v>-22.25</v>
      </c>
      <c r="AL29" s="566">
        <v>-142.75</v>
      </c>
      <c r="AM29" s="566">
        <v>-72.25</v>
      </c>
      <c r="AN29" s="566">
        <v>-49.25</v>
      </c>
      <c r="AO29" s="566">
        <v>-29.75</v>
      </c>
      <c r="AP29" s="566">
        <v>-37.25</v>
      </c>
      <c r="AQ29" s="566">
        <v>-23</v>
      </c>
      <c r="AR29" s="566">
        <v>-22.25</v>
      </c>
      <c r="AS29" s="566">
        <v>-66.75</v>
      </c>
      <c r="AT29" s="566">
        <v>-44.5</v>
      </c>
      <c r="AU29" s="566">
        <v>-22.25</v>
      </c>
      <c r="AV29" s="566">
        <v>-22.25</v>
      </c>
      <c r="AW29" s="16"/>
    </row>
    <row r="30" spans="1:52" outlineLevel="1">
      <c r="A30" s="565" t="str">
        <f>IF(Definitions!L18&lt;&gt;"", Definitions!L18, "")</f>
        <v>Coal power plant</v>
      </c>
      <c r="B30" s="565" t="str">
        <f>IF(Definitions!K18&lt;&gt;"", Definitions!K18, "")</f>
        <v>PWRCOA001</v>
      </c>
      <c r="C30" s="566" cm="1">
        <f t="array" ref="C30:AV30">IF(B30="", "",
   TRANSPOSE(
       INDEX('OSeMOSYS (Input)'!$B$21:$AA$66, , MATCH(TRUE, ISNUMBER(SEARCH(B30, 'OSeMOSYS (Input)'!$B$10:$AB$10)), 0))
       - INDEX('OSeMOSYS (Input)'!$B$85:$AA$130, , MATCH(TRUE, ISNUMBER(SEARCH(B30, 'OSeMOSYS (Input)'!$B$74:$AA$74)), 0))
   )
   *
   IF('High Level Dashboard'!$B$5="Local Currency",
      INDEX('Financing Baseline'!$S$39:$BL$39, , MATCH(TRUE, ISNUMBER(SEARCH(B30, 'OSeMOSYS (Input)'!$B$10:$AB11)), 0)) /
      INDEX('Financing Baseline'!$S$38:$BL$38, , MATCH(TRUE, ISNUMBER(SEARCH(B30, 'OSeMOSYS (Input)'!$B$10:$AB11)), 0)),
      INDEX('Financing Baseline'!$S$38:$BL$38, , MATCH(TRUE, ISNUMBER(SEARCH(B30, 'OSeMOSYS (Input)'!$B$10:$AB$10)), 0))
   )
)</f>
        <v>0</v>
      </c>
      <c r="D30" s="566">
        <v>0</v>
      </c>
      <c r="E30" s="566">
        <v>0</v>
      </c>
      <c r="F30" s="566">
        <v>0</v>
      </c>
      <c r="G30" s="566">
        <v>0</v>
      </c>
      <c r="H30" s="566">
        <v>0</v>
      </c>
      <c r="I30" s="566">
        <v>0</v>
      </c>
      <c r="J30" s="566">
        <v>0</v>
      </c>
      <c r="K30" s="566">
        <v>0</v>
      </c>
      <c r="L30" s="566">
        <v>0</v>
      </c>
      <c r="M30" s="566">
        <v>0</v>
      </c>
      <c r="N30" s="566">
        <v>0</v>
      </c>
      <c r="O30" s="566">
        <v>0</v>
      </c>
      <c r="P30" s="566">
        <v>0</v>
      </c>
      <c r="Q30" s="566">
        <v>0</v>
      </c>
      <c r="R30" s="566">
        <v>0</v>
      </c>
      <c r="S30" s="566">
        <v>0</v>
      </c>
      <c r="T30" s="566">
        <v>0</v>
      </c>
      <c r="U30" s="566">
        <v>0</v>
      </c>
      <c r="V30" s="566">
        <v>0</v>
      </c>
      <c r="W30" s="566">
        <v>0</v>
      </c>
      <c r="X30" s="566">
        <v>0</v>
      </c>
      <c r="Y30" s="566">
        <v>0</v>
      </c>
      <c r="Z30" s="566">
        <v>0</v>
      </c>
      <c r="AA30" s="566">
        <v>0</v>
      </c>
      <c r="AB30" s="566">
        <v>0</v>
      </c>
      <c r="AC30" s="566">
        <v>0</v>
      </c>
      <c r="AD30" s="566">
        <v>0</v>
      </c>
      <c r="AE30" s="566">
        <v>0</v>
      </c>
      <c r="AF30" s="566">
        <v>0</v>
      </c>
      <c r="AG30" s="566">
        <v>0</v>
      </c>
      <c r="AH30" s="566">
        <v>0</v>
      </c>
      <c r="AI30" s="566">
        <v>0</v>
      </c>
      <c r="AJ30" s="566">
        <v>0</v>
      </c>
      <c r="AK30" s="566">
        <v>0</v>
      </c>
      <c r="AL30" s="566">
        <v>0</v>
      </c>
      <c r="AM30" s="566">
        <v>0</v>
      </c>
      <c r="AN30" s="566">
        <v>0</v>
      </c>
      <c r="AO30" s="566">
        <v>0</v>
      </c>
      <c r="AP30" s="566">
        <v>0</v>
      </c>
      <c r="AQ30" s="566">
        <v>0</v>
      </c>
      <c r="AR30" s="566">
        <v>0</v>
      </c>
      <c r="AS30" s="566">
        <v>0</v>
      </c>
      <c r="AT30" s="566">
        <v>0</v>
      </c>
      <c r="AU30" s="566">
        <v>0</v>
      </c>
      <c r="AV30" s="566">
        <v>0</v>
      </c>
      <c r="AZ30" s="16"/>
    </row>
    <row r="31" spans="1:52" outlineLevel="1">
      <c r="A31" s="565" t="str">
        <f>IF(Definitions!L19&lt;&gt;"", Definitions!L19, "")</f>
        <v>Geothermal power plant</v>
      </c>
      <c r="B31" s="565" t="str">
        <f>IF(Definitions!K19&lt;&gt;"", Definitions!K19, "")</f>
        <v>PWRGEO</v>
      </c>
      <c r="C31" s="566" cm="1">
        <f t="array" ref="C31:AV31">IF(B31="", "",
   TRANSPOSE(
       INDEX('OSeMOSYS (Input)'!$B$21:$AA$66, , MATCH(TRUE, ISNUMBER(SEARCH(B31, 'OSeMOSYS (Input)'!$B$10:$AB$10)), 0))
       - INDEX('OSeMOSYS (Input)'!$B$85:$AA$130, , MATCH(TRUE, ISNUMBER(SEARCH(B31, 'OSeMOSYS (Input)'!$B$74:$AA$74)), 0))
   )
   *
   IF('High Level Dashboard'!$B$5="Local Currency",
      INDEX('Financing Baseline'!$S$39:$BL$39, , MATCH(TRUE, ISNUMBER(SEARCH(B31, 'OSeMOSYS (Input)'!$B$10:$AB12)), 0)) /
      INDEX('Financing Baseline'!$S$38:$BL$38, , MATCH(TRUE, ISNUMBER(SEARCH(B31, 'OSeMOSYS (Input)'!$B$10:$AB12)), 0)),
      INDEX('Financing Baseline'!$S$38:$BL$38, , MATCH(TRUE, ISNUMBER(SEARCH(B31, 'OSeMOSYS (Input)'!$B$10:$AB$10)), 0))
   )
)</f>
        <v>5.6843418860808015E-14</v>
      </c>
      <c r="D31" s="566">
        <v>0</v>
      </c>
      <c r="E31" s="566">
        <v>0</v>
      </c>
      <c r="F31" s="566">
        <v>0</v>
      </c>
      <c r="G31" s="566">
        <v>0</v>
      </c>
      <c r="H31" s="566">
        <v>0</v>
      </c>
      <c r="I31" s="566">
        <v>-49.295499999999947</v>
      </c>
      <c r="J31" s="566">
        <v>49.295500000000004</v>
      </c>
      <c r="K31" s="566">
        <v>0</v>
      </c>
      <c r="L31" s="566">
        <v>-95.460599999999999</v>
      </c>
      <c r="M31" s="566">
        <v>95.460600000000028</v>
      </c>
      <c r="N31" s="566">
        <v>-11.759100000000103</v>
      </c>
      <c r="O31" s="566">
        <v>11.759099999999989</v>
      </c>
      <c r="P31" s="566">
        <v>0</v>
      </c>
      <c r="Q31" s="566">
        <v>0</v>
      </c>
      <c r="R31" s="566">
        <v>86.014000000000124</v>
      </c>
      <c r="S31" s="566">
        <v>-86.01400000000001</v>
      </c>
      <c r="T31" s="566">
        <v>0</v>
      </c>
      <c r="U31" s="566">
        <v>0</v>
      </c>
      <c r="V31" s="566">
        <v>0</v>
      </c>
      <c r="W31" s="566">
        <v>0</v>
      </c>
      <c r="X31" s="566">
        <v>0</v>
      </c>
      <c r="Y31" s="566">
        <v>0</v>
      </c>
      <c r="Z31" s="566">
        <v>0</v>
      </c>
      <c r="AA31" s="566">
        <v>0</v>
      </c>
      <c r="AB31" s="566">
        <v>0</v>
      </c>
      <c r="AC31" s="566">
        <v>0</v>
      </c>
      <c r="AD31" s="566">
        <v>0</v>
      </c>
      <c r="AE31" s="566">
        <v>0</v>
      </c>
      <c r="AF31" s="566">
        <v>-2.2737367544323206E-13</v>
      </c>
      <c r="AG31" s="566">
        <v>0</v>
      </c>
      <c r="AH31" s="566">
        <v>-49.295500000000175</v>
      </c>
      <c r="AI31" s="566">
        <v>49.295500000000061</v>
      </c>
      <c r="AJ31" s="566">
        <v>0</v>
      </c>
      <c r="AK31" s="566">
        <v>-95.460600000000113</v>
      </c>
      <c r="AL31" s="566">
        <v>95.460599999999999</v>
      </c>
      <c r="AM31" s="566">
        <v>-11.759099999999989</v>
      </c>
      <c r="AN31" s="566">
        <v>11.759099999999989</v>
      </c>
      <c r="AO31" s="566">
        <v>0</v>
      </c>
      <c r="AP31" s="566">
        <v>0</v>
      </c>
      <c r="AQ31" s="566">
        <v>86.013999999999896</v>
      </c>
      <c r="AR31" s="566">
        <v>-86.014000000000124</v>
      </c>
      <c r="AS31" s="566">
        <v>0</v>
      </c>
      <c r="AT31" s="566">
        <v>0</v>
      </c>
      <c r="AU31" s="566">
        <v>0</v>
      </c>
      <c r="AV31" s="566">
        <v>0</v>
      </c>
    </row>
    <row r="32" spans="1:52" outlineLevel="1">
      <c r="A32" s="565" t="str">
        <f>IF(Definitions!L20&lt;&gt;"", Definitions!L20, "")</f>
        <v>Light fuel oil power plant</v>
      </c>
      <c r="B32" s="565" t="str">
        <f>IF(Definitions!K20&lt;&gt;"", Definitions!K20, "")</f>
        <v>PWROHC001</v>
      </c>
      <c r="C32" s="566" cm="1">
        <f t="array" ref="C32:AV32">IF(B32="", "",
   TRANSPOSE(
       INDEX('OSeMOSYS (Input)'!$B$21:$AA$66, , MATCH(TRUE, ISNUMBER(SEARCH(B32, 'OSeMOSYS (Input)'!$B$10:$AB$10)), 0))
       - INDEX('OSeMOSYS (Input)'!$B$85:$AA$130, , MATCH(TRUE, ISNUMBER(SEARCH(B32, 'OSeMOSYS (Input)'!$B$74:$AA$74)), 0))
   )
   *
   IF('High Level Dashboard'!$B$5="Local Currency",
      INDEX('Financing Baseline'!$S$39:$BL$39, , MATCH(TRUE, ISNUMBER(SEARCH(B32, 'OSeMOSYS (Input)'!$B$10:$AB13)), 0)) /
      INDEX('Financing Baseline'!$S$38:$BL$38, , MATCH(TRUE, ISNUMBER(SEARCH(B32, 'OSeMOSYS (Input)'!$B$10:$AB13)), 0)),
      INDEX('Financing Baseline'!$S$38:$BL$38, , MATCH(TRUE, ISNUMBER(SEARCH(B32, 'OSeMOSYS (Input)'!$B$10:$AB$10)), 0))
   )
)</f>
        <v>0</v>
      </c>
      <c r="D32" s="566">
        <v>0</v>
      </c>
      <c r="E32" s="566">
        <v>0</v>
      </c>
      <c r="F32" s="566">
        <v>0</v>
      </c>
      <c r="G32" s="566">
        <v>0</v>
      </c>
      <c r="H32" s="566">
        <v>0</v>
      </c>
      <c r="I32" s="566">
        <v>0</v>
      </c>
      <c r="J32" s="566">
        <v>0</v>
      </c>
      <c r="K32" s="566">
        <v>0</v>
      </c>
      <c r="L32" s="566">
        <v>0</v>
      </c>
      <c r="M32" s="566">
        <v>0</v>
      </c>
      <c r="N32" s="566">
        <v>0</v>
      </c>
      <c r="O32" s="566">
        <v>0</v>
      </c>
      <c r="P32" s="566">
        <v>0</v>
      </c>
      <c r="Q32" s="566">
        <v>0</v>
      </c>
      <c r="R32" s="566">
        <v>0</v>
      </c>
      <c r="S32" s="566">
        <v>0</v>
      </c>
      <c r="T32" s="566">
        <v>0</v>
      </c>
      <c r="U32" s="566">
        <v>0</v>
      </c>
      <c r="V32" s="566">
        <v>0</v>
      </c>
      <c r="W32" s="566">
        <v>0</v>
      </c>
      <c r="X32" s="566">
        <v>0</v>
      </c>
      <c r="Y32" s="566">
        <v>0</v>
      </c>
      <c r="Z32" s="566">
        <v>0</v>
      </c>
      <c r="AA32" s="566">
        <v>0</v>
      </c>
      <c r="AB32" s="566">
        <v>0</v>
      </c>
      <c r="AC32" s="566">
        <v>0</v>
      </c>
      <c r="AD32" s="566">
        <v>0</v>
      </c>
      <c r="AE32" s="566">
        <v>0</v>
      </c>
      <c r="AF32" s="566">
        <v>0</v>
      </c>
      <c r="AG32" s="566">
        <v>0</v>
      </c>
      <c r="AH32" s="566">
        <v>0</v>
      </c>
      <c r="AI32" s="566">
        <v>0</v>
      </c>
      <c r="AJ32" s="566">
        <v>0</v>
      </c>
      <c r="AK32" s="566">
        <v>0</v>
      </c>
      <c r="AL32" s="566">
        <v>0</v>
      </c>
      <c r="AM32" s="566">
        <v>0</v>
      </c>
      <c r="AN32" s="566">
        <v>0</v>
      </c>
      <c r="AO32" s="566">
        <v>0</v>
      </c>
      <c r="AP32" s="566">
        <v>0</v>
      </c>
      <c r="AQ32" s="566">
        <v>0</v>
      </c>
      <c r="AR32" s="566">
        <v>0</v>
      </c>
      <c r="AS32" s="566">
        <v>0</v>
      </c>
      <c r="AT32" s="566">
        <v>0</v>
      </c>
      <c r="AU32" s="566">
        <v>0</v>
      </c>
      <c r="AV32" s="566">
        <v>0</v>
      </c>
    </row>
    <row r="33" spans="1:48" outlineLevel="1">
      <c r="A33" s="565" t="str">
        <f>IF(Definitions!L21&lt;&gt;"", Definitions!L21, "")</f>
        <v>Oil fired gas turbine - SCGT</v>
      </c>
      <c r="B33" s="565" t="str">
        <f>IF(Definitions!K21&lt;&gt;"", Definitions!K21, "")</f>
        <v>PWROHC002</v>
      </c>
      <c r="C33" s="566" cm="1">
        <f t="array" ref="C33:AV33">IF(B33="", "",
   TRANSPOSE(
       INDEX('OSeMOSYS (Input)'!$B$21:$AA$66, , MATCH(TRUE, ISNUMBER(SEARCH(B33, 'OSeMOSYS (Input)'!$B$10:$AB$10)), 0))
       - INDEX('OSeMOSYS (Input)'!$B$85:$AA$130, , MATCH(TRUE, ISNUMBER(SEARCH(B33, 'OSeMOSYS (Input)'!$B$74:$AA$74)), 0))
   )
   *
   IF('High Level Dashboard'!$B$5="Local Currency",
      INDEX('Financing Baseline'!$S$39:$BL$39, , MATCH(TRUE, ISNUMBER(SEARCH(B33, 'OSeMOSYS (Input)'!$B$10:$AB14)), 0)) /
      INDEX('Financing Baseline'!$S$38:$BL$38, , MATCH(TRUE, ISNUMBER(SEARCH(B33, 'OSeMOSYS (Input)'!$B$10:$AB14)), 0)),
      INDEX('Financing Baseline'!$S$38:$BL$38, , MATCH(TRUE, ISNUMBER(SEARCH(B33, 'OSeMOSYS (Input)'!$B$10:$AB$10)), 0))
   )
)</f>
        <v>0</v>
      </c>
      <c r="D33" s="566">
        <v>0</v>
      </c>
      <c r="E33" s="566">
        <v>0</v>
      </c>
      <c r="F33" s="566">
        <v>0</v>
      </c>
      <c r="G33" s="566">
        <v>0</v>
      </c>
      <c r="H33" s="566">
        <v>0</v>
      </c>
      <c r="I33" s="566">
        <v>0</v>
      </c>
      <c r="J33" s="566">
        <v>0</v>
      </c>
      <c r="K33" s="566">
        <v>0</v>
      </c>
      <c r="L33" s="566">
        <v>0</v>
      </c>
      <c r="M33" s="566">
        <v>0</v>
      </c>
      <c r="N33" s="566">
        <v>0</v>
      </c>
      <c r="O33" s="566">
        <v>0</v>
      </c>
      <c r="P33" s="566">
        <v>0</v>
      </c>
      <c r="Q33" s="566">
        <v>0</v>
      </c>
      <c r="R33" s="566">
        <v>0</v>
      </c>
      <c r="S33" s="566">
        <v>0</v>
      </c>
      <c r="T33" s="566">
        <v>0</v>
      </c>
      <c r="U33" s="566">
        <v>0</v>
      </c>
      <c r="V33" s="566">
        <v>0</v>
      </c>
      <c r="W33" s="566">
        <v>0</v>
      </c>
      <c r="X33" s="566">
        <v>0</v>
      </c>
      <c r="Y33" s="566">
        <v>0</v>
      </c>
      <c r="Z33" s="566">
        <v>0</v>
      </c>
      <c r="AA33" s="566">
        <v>0</v>
      </c>
      <c r="AB33" s="566">
        <v>0</v>
      </c>
      <c r="AC33" s="566">
        <v>0</v>
      </c>
      <c r="AD33" s="566">
        <v>0</v>
      </c>
      <c r="AE33" s="566">
        <v>0</v>
      </c>
      <c r="AF33" s="566">
        <v>0</v>
      </c>
      <c r="AG33" s="566">
        <v>0</v>
      </c>
      <c r="AH33" s="566">
        <v>0</v>
      </c>
      <c r="AI33" s="566">
        <v>0</v>
      </c>
      <c r="AJ33" s="566">
        <v>0</v>
      </c>
      <c r="AK33" s="566">
        <v>0</v>
      </c>
      <c r="AL33" s="566">
        <v>0</v>
      </c>
      <c r="AM33" s="566">
        <v>0</v>
      </c>
      <c r="AN33" s="566">
        <v>0</v>
      </c>
      <c r="AO33" s="566">
        <v>0</v>
      </c>
      <c r="AP33" s="566">
        <v>0</v>
      </c>
      <c r="AQ33" s="566">
        <v>0</v>
      </c>
      <c r="AR33" s="566">
        <v>0</v>
      </c>
      <c r="AS33" s="566">
        <v>0</v>
      </c>
      <c r="AT33" s="566">
        <v>0</v>
      </c>
      <c r="AU33" s="566">
        <v>0</v>
      </c>
      <c r="AV33" s="566">
        <v>0</v>
      </c>
    </row>
    <row r="34" spans="1:48" outlineLevel="1">
      <c r="A34" s="565" t="str">
        <f>IF(Definitions!L22&lt;&gt;"", Definitions!L22, "")</f>
        <v>Natural gas power plant - CCGT</v>
      </c>
      <c r="B34" s="565" t="str">
        <f>IF(Definitions!K22&lt;&gt;"", Definitions!K22, "")</f>
        <v>PWRNGS001</v>
      </c>
      <c r="C34" s="566" cm="1">
        <f t="array" ref="C34:AV34">IF(B34="", "",
   TRANSPOSE(
       INDEX('OSeMOSYS (Input)'!$B$21:$AA$66, , MATCH(TRUE, ISNUMBER(SEARCH(B34, 'OSeMOSYS (Input)'!$B$10:$AB$10)), 0))
       - INDEX('OSeMOSYS (Input)'!$B$85:$AA$130, , MATCH(TRUE, ISNUMBER(SEARCH(B34, 'OSeMOSYS (Input)'!$B$74:$AA$74)), 0))
   )
   *
   IF('High Level Dashboard'!$B$5="Local Currency",
      INDEX('Financing Baseline'!$S$39:$BL$39, , MATCH(TRUE, ISNUMBER(SEARCH(B34, 'OSeMOSYS (Input)'!$B$10:$AB15)), 0)) /
      INDEX('Financing Baseline'!$S$38:$BL$38, , MATCH(TRUE, ISNUMBER(SEARCH(B34, 'OSeMOSYS (Input)'!$B$10:$AB15)), 0)),
      INDEX('Financing Baseline'!$S$38:$BL$38, , MATCH(TRUE, ISNUMBER(SEARCH(B34, 'OSeMOSYS (Input)'!$B$10:$AB$10)), 0))
   )
)</f>
        <v>0</v>
      </c>
      <c r="D34" s="566">
        <v>0</v>
      </c>
      <c r="E34" s="566">
        <v>0</v>
      </c>
      <c r="F34" s="566">
        <v>0</v>
      </c>
      <c r="G34" s="566">
        <v>0</v>
      </c>
      <c r="H34" s="566">
        <v>0</v>
      </c>
      <c r="I34" s="566">
        <v>0</v>
      </c>
      <c r="J34" s="566">
        <v>0</v>
      </c>
      <c r="K34" s="566">
        <v>0</v>
      </c>
      <c r="L34" s="566">
        <v>0</v>
      </c>
      <c r="M34" s="566">
        <v>0</v>
      </c>
      <c r="N34" s="566">
        <v>0</v>
      </c>
      <c r="O34" s="566">
        <v>0</v>
      </c>
      <c r="P34" s="566">
        <v>0</v>
      </c>
      <c r="Q34" s="566">
        <v>0</v>
      </c>
      <c r="R34" s="566">
        <v>0</v>
      </c>
      <c r="S34" s="566">
        <v>0</v>
      </c>
      <c r="T34" s="566">
        <v>0</v>
      </c>
      <c r="U34" s="566">
        <v>0</v>
      </c>
      <c r="V34" s="566">
        <v>0</v>
      </c>
      <c r="W34" s="566">
        <v>0</v>
      </c>
      <c r="X34" s="566">
        <v>0</v>
      </c>
      <c r="Y34" s="566">
        <v>0</v>
      </c>
      <c r="Z34" s="566">
        <v>0</v>
      </c>
      <c r="AA34" s="566">
        <v>0</v>
      </c>
      <c r="AB34" s="566">
        <v>0</v>
      </c>
      <c r="AC34" s="566">
        <v>0</v>
      </c>
      <c r="AD34" s="566">
        <v>0</v>
      </c>
      <c r="AE34" s="566">
        <v>0</v>
      </c>
      <c r="AF34" s="566">
        <v>0</v>
      </c>
      <c r="AG34" s="566">
        <v>0</v>
      </c>
      <c r="AH34" s="566">
        <v>0</v>
      </c>
      <c r="AI34" s="566">
        <v>0</v>
      </c>
      <c r="AJ34" s="566">
        <v>0</v>
      </c>
      <c r="AK34" s="566">
        <v>0</v>
      </c>
      <c r="AL34" s="566">
        <v>0</v>
      </c>
      <c r="AM34" s="566">
        <v>0</v>
      </c>
      <c r="AN34" s="566">
        <v>0</v>
      </c>
      <c r="AO34" s="566">
        <v>0</v>
      </c>
      <c r="AP34" s="566">
        <v>0</v>
      </c>
      <c r="AQ34" s="566">
        <v>0</v>
      </c>
      <c r="AR34" s="566">
        <v>0</v>
      </c>
      <c r="AS34" s="566">
        <v>0</v>
      </c>
      <c r="AT34" s="566">
        <v>0</v>
      </c>
      <c r="AU34" s="566">
        <v>0</v>
      </c>
      <c r="AV34" s="566">
        <v>0</v>
      </c>
    </row>
    <row r="35" spans="1:48" outlineLevel="1">
      <c r="A35" s="565" t="str">
        <f>IF(Definitions!L23&lt;&gt;"", Definitions!L23, "")</f>
        <v>Nautral gas power plant - SCGT</v>
      </c>
      <c r="B35" s="565" t="str">
        <f>IF(Definitions!K23&lt;&gt;"", Definitions!K23, "")</f>
        <v>PWRNGS002</v>
      </c>
      <c r="C35" s="566" cm="1">
        <f t="array" ref="C35:AV35">IF(B35="", "",
   TRANSPOSE(
       INDEX('OSeMOSYS (Input)'!$B$21:$AA$66, , MATCH(TRUE, ISNUMBER(SEARCH(B35, 'OSeMOSYS (Input)'!$B$10:$AB$10)), 0))
       - INDEX('OSeMOSYS (Input)'!$B$85:$AA$130, , MATCH(TRUE, ISNUMBER(SEARCH(B35, 'OSeMOSYS (Input)'!$B$74:$AA$74)), 0))
   )
   *
   IF('High Level Dashboard'!$B$5="Local Currency",
      INDEX('Financing Baseline'!$S$39:$BL$39, , MATCH(TRUE, ISNUMBER(SEARCH(B35, 'OSeMOSYS (Input)'!$B$10:$AB16)), 0)) /
      INDEX('Financing Baseline'!$S$38:$BL$38, , MATCH(TRUE, ISNUMBER(SEARCH(B35, 'OSeMOSYS (Input)'!$B$10:$AB16)), 0)),
      INDEX('Financing Baseline'!$S$38:$BL$38, , MATCH(TRUE, ISNUMBER(SEARCH(B35, 'OSeMOSYS (Input)'!$B$10:$AB$10)), 0))
   )
)</f>
        <v>0</v>
      </c>
      <c r="D35" s="566">
        <v>0</v>
      </c>
      <c r="E35" s="566">
        <v>32.453099999999992</v>
      </c>
      <c r="F35" s="566">
        <v>0</v>
      </c>
      <c r="G35" s="566">
        <v>0</v>
      </c>
      <c r="H35" s="566">
        <v>-56.406599999999997</v>
      </c>
      <c r="I35" s="566">
        <v>-115.5132</v>
      </c>
      <c r="J35" s="566">
        <v>-25.967300000000002</v>
      </c>
      <c r="K35" s="566">
        <v>-28.8673</v>
      </c>
      <c r="L35" s="566">
        <v>-10.184799999999999</v>
      </c>
      <c r="M35" s="566">
        <v>-109.11669999999999</v>
      </c>
      <c r="N35" s="566">
        <v>-22.480599999999999</v>
      </c>
      <c r="O35" s="566">
        <v>-50.414299999999997</v>
      </c>
      <c r="P35" s="566">
        <v>0</v>
      </c>
      <c r="Q35" s="566">
        <v>0</v>
      </c>
      <c r="R35" s="566">
        <v>0</v>
      </c>
      <c r="S35" s="566">
        <v>-2.8954</v>
      </c>
      <c r="T35" s="566">
        <v>0</v>
      </c>
      <c r="U35" s="566">
        <v>0</v>
      </c>
      <c r="V35" s="566">
        <v>0</v>
      </c>
      <c r="W35" s="566">
        <v>0</v>
      </c>
      <c r="X35" s="566">
        <v>0</v>
      </c>
      <c r="Y35" s="566">
        <v>-44.284100000000002</v>
      </c>
      <c r="Z35" s="566">
        <v>-26.119599999999998</v>
      </c>
      <c r="AA35" s="566">
        <v>-25.4953</v>
      </c>
      <c r="AB35" s="566">
        <v>-132.2576</v>
      </c>
      <c r="AC35" s="566">
        <v>-130.1395</v>
      </c>
      <c r="AD35" s="566">
        <v>-38.973599999999998</v>
      </c>
      <c r="AE35" s="566">
        <v>-63.901400000000002</v>
      </c>
      <c r="AF35" s="566">
        <v>-17.945599999999999</v>
      </c>
      <c r="AG35" s="566">
        <v>-110.1789</v>
      </c>
      <c r="AH35" s="566">
        <v>-87.442999999999998</v>
      </c>
      <c r="AI35" s="566">
        <v>-95.853300000000004</v>
      </c>
      <c r="AJ35" s="566">
        <v>-76.391800000000003</v>
      </c>
      <c r="AK35" s="566">
        <v>-72.769000000000005</v>
      </c>
      <c r="AL35" s="566">
        <v>-64.082999999999998</v>
      </c>
      <c r="AM35" s="566">
        <v>-49.0471</v>
      </c>
      <c r="AN35" s="566">
        <v>-57.1053</v>
      </c>
      <c r="AO35" s="566">
        <v>-63.950400000000002</v>
      </c>
      <c r="AP35" s="566">
        <v>-54.073500000000003</v>
      </c>
      <c r="AQ35" s="566">
        <v>-38.101700000000001</v>
      </c>
      <c r="AR35" s="566">
        <v>-41.825899999999997</v>
      </c>
      <c r="AS35" s="566">
        <v>-92.534199999999998</v>
      </c>
      <c r="AT35" s="566">
        <v>-71.157200000000003</v>
      </c>
      <c r="AU35" s="566">
        <v>-82.443700000000007</v>
      </c>
      <c r="AV35" s="566">
        <v>-189.20580000000001</v>
      </c>
    </row>
    <row r="36" spans="1:48" outlineLevel="1">
      <c r="A36" s="565" t="str">
        <f>IF(Definitions!L24&lt;&gt;"", Definitions!L24, "")</f>
        <v xml:space="preserve">Solar PV - Utility scale  </v>
      </c>
      <c r="B36" s="565" t="str">
        <f>IF(Definitions!K24&lt;&gt;"", Definitions!K24, "")</f>
        <v>PWRSOL001</v>
      </c>
      <c r="C36" s="566" cm="1">
        <f t="array" ref="C36:AV36">IF(B36="", "",
   TRANSPOSE(
       INDEX('OSeMOSYS (Input)'!$B$21:$AA$66, , MATCH(TRUE, ISNUMBER(SEARCH(B36, 'OSeMOSYS (Input)'!$B$10:$AB$10)), 0))
       - INDEX('OSeMOSYS (Input)'!$B$85:$AA$130, , MATCH(TRUE, ISNUMBER(SEARCH(B36, 'OSeMOSYS (Input)'!$B$74:$AA$74)), 0))
   )
   *
   IF('High Level Dashboard'!$B$5="Local Currency",
      INDEX('Financing Baseline'!$S$39:$BL$39, , MATCH(TRUE, ISNUMBER(SEARCH(B36, 'OSeMOSYS (Input)'!$B$10:$AB17)), 0)) /
      INDEX('Financing Baseline'!$S$38:$BL$38, , MATCH(TRUE, ISNUMBER(SEARCH(B36, 'OSeMOSYS (Input)'!$B$10:$AB17)), 0)),
      INDEX('Financing Baseline'!$S$38:$BL$38, , MATCH(TRUE, ISNUMBER(SEARCH(B36, 'OSeMOSYS (Input)'!$B$10:$AB$10)), 0))
   )
)</f>
        <v>0</v>
      </c>
      <c r="D36" s="566">
        <v>0</v>
      </c>
      <c r="E36" s="566">
        <v>0</v>
      </c>
      <c r="F36" s="566">
        <v>0</v>
      </c>
      <c r="G36" s="566">
        <v>0</v>
      </c>
      <c r="H36" s="566">
        <v>0</v>
      </c>
      <c r="I36" s="566">
        <v>0</v>
      </c>
      <c r="J36" s="566">
        <v>0</v>
      </c>
      <c r="K36" s="566">
        <v>0</v>
      </c>
      <c r="L36" s="566">
        <v>0</v>
      </c>
      <c r="M36" s="566">
        <v>0</v>
      </c>
      <c r="N36" s="566">
        <v>0</v>
      </c>
      <c r="O36" s="566">
        <v>0</v>
      </c>
      <c r="P36" s="566">
        <v>-48.6462</v>
      </c>
      <c r="Q36" s="566">
        <v>0</v>
      </c>
      <c r="R36" s="566">
        <v>0</v>
      </c>
      <c r="S36" s="566">
        <v>73.2761</v>
      </c>
      <c r="T36" s="566">
        <v>-27.1585</v>
      </c>
      <c r="U36" s="566">
        <v>0</v>
      </c>
      <c r="V36" s="566">
        <v>0</v>
      </c>
      <c r="W36" s="566">
        <v>0</v>
      </c>
      <c r="X36" s="566">
        <v>0</v>
      </c>
      <c r="Y36" s="566">
        <v>0</v>
      </c>
      <c r="Z36" s="566">
        <v>0</v>
      </c>
      <c r="AA36" s="566">
        <v>0</v>
      </c>
      <c r="AB36" s="566">
        <v>70.561300000000003</v>
      </c>
      <c r="AC36" s="566">
        <v>-244.08850000000001</v>
      </c>
      <c r="AD36" s="566">
        <v>103.032</v>
      </c>
      <c r="AE36" s="566">
        <v>206.02189999999999</v>
      </c>
      <c r="AF36" s="566">
        <v>23.941500000000001</v>
      </c>
      <c r="AG36" s="566">
        <v>63.821399999999997</v>
      </c>
      <c r="AH36" s="566">
        <v>66.116500000000002</v>
      </c>
      <c r="AI36" s="566">
        <v>14.821400000000001</v>
      </c>
      <c r="AJ36" s="566">
        <v>-67.245400000000004</v>
      </c>
      <c r="AK36" s="566">
        <v>20.973199999999999</v>
      </c>
      <c r="AL36" s="566">
        <v>3.9983</v>
      </c>
      <c r="AM36" s="566">
        <v>87.830200000000005</v>
      </c>
      <c r="AN36" s="566">
        <v>-9.9888000000000012</v>
      </c>
      <c r="AO36" s="566">
        <v>19.916599999999999</v>
      </c>
      <c r="AP36" s="566">
        <v>18.860099999999999</v>
      </c>
      <c r="AQ36" s="566">
        <v>14.533300000000001</v>
      </c>
      <c r="AR36" s="566">
        <v>20.973199999999999</v>
      </c>
      <c r="AS36" s="566">
        <v>20.973199999999999</v>
      </c>
      <c r="AT36" s="566">
        <v>20.973199999999999</v>
      </c>
      <c r="AU36" s="566">
        <v>20.973199999999999</v>
      </c>
      <c r="AV36" s="566">
        <v>91.849100000000007</v>
      </c>
    </row>
    <row r="37" spans="1:48" outlineLevel="1">
      <c r="A37" s="565" t="str">
        <f>IF(Definitions!L25&lt;&gt;"", Definitions!L25, "")</f>
        <v>CSP - Without storage</v>
      </c>
      <c r="B37" s="565" t="str">
        <f>IF(Definitions!K25&lt;&gt;"", Definitions!K25, "")</f>
        <v>PWRCSP001</v>
      </c>
      <c r="C37" s="566" cm="1">
        <f t="array" ref="C37:AV37">IF(B37="", "",
   TRANSPOSE(
       INDEX('OSeMOSYS (Input)'!$B$21:$AA$66, , MATCH(TRUE, ISNUMBER(SEARCH(B37, 'OSeMOSYS (Input)'!$B$10:$AB$10)), 0))
       - INDEX('OSeMOSYS (Input)'!$B$85:$AA$130, , MATCH(TRUE, ISNUMBER(SEARCH(B37, 'OSeMOSYS (Input)'!$B$74:$AA$74)), 0))
   )
   *
   IF('High Level Dashboard'!$B$5="Local Currency",
      INDEX('Financing Baseline'!$S$39:$BL$39, , MATCH(TRUE, ISNUMBER(SEARCH(B37, 'OSeMOSYS (Input)'!$B$10:$AB18)), 0)) /
      INDEX('Financing Baseline'!$S$38:$BL$38, , MATCH(TRUE, ISNUMBER(SEARCH(B37, 'OSeMOSYS (Input)'!$B$10:$AB18)), 0)),
      INDEX('Financing Baseline'!$S$38:$BL$38, , MATCH(TRUE, ISNUMBER(SEARCH(B37, 'OSeMOSYS (Input)'!$B$10:$AB$10)), 0))
   )
)</f>
        <v>200</v>
      </c>
      <c r="D37" s="566">
        <v>0</v>
      </c>
      <c r="E37" s="566">
        <v>0</v>
      </c>
      <c r="F37" s="566">
        <v>0</v>
      </c>
      <c r="G37" s="566">
        <v>0</v>
      </c>
      <c r="H37" s="566">
        <v>0</v>
      </c>
      <c r="I37" s="566">
        <v>0</v>
      </c>
      <c r="J37" s="566">
        <v>0</v>
      </c>
      <c r="K37" s="566">
        <v>0</v>
      </c>
      <c r="L37" s="566">
        <v>0</v>
      </c>
      <c r="M37" s="566">
        <v>0</v>
      </c>
      <c r="N37" s="566">
        <v>0</v>
      </c>
      <c r="O37" s="566">
        <v>0</v>
      </c>
      <c r="P37" s="566">
        <v>0</v>
      </c>
      <c r="Q37" s="566">
        <v>0</v>
      </c>
      <c r="R37" s="566">
        <v>0</v>
      </c>
      <c r="S37" s="566">
        <v>0</v>
      </c>
      <c r="T37" s="566">
        <v>0</v>
      </c>
      <c r="U37" s="566">
        <v>0</v>
      </c>
      <c r="V37" s="566">
        <v>0</v>
      </c>
      <c r="W37" s="566">
        <v>0</v>
      </c>
      <c r="X37" s="566">
        <v>0</v>
      </c>
      <c r="Y37" s="566">
        <v>0</v>
      </c>
      <c r="Z37" s="566">
        <v>0</v>
      </c>
      <c r="AA37" s="566">
        <v>0</v>
      </c>
      <c r="AB37" s="566">
        <v>0</v>
      </c>
      <c r="AC37" s="566">
        <v>0</v>
      </c>
      <c r="AD37" s="566">
        <v>0</v>
      </c>
      <c r="AE37" s="566">
        <v>0</v>
      </c>
      <c r="AF37" s="566">
        <v>0</v>
      </c>
      <c r="AG37" s="566">
        <v>0</v>
      </c>
      <c r="AH37" s="566">
        <v>0</v>
      </c>
      <c r="AI37" s="566">
        <v>0</v>
      </c>
      <c r="AJ37" s="566">
        <v>0</v>
      </c>
      <c r="AK37" s="566">
        <v>0</v>
      </c>
      <c r="AL37" s="566">
        <v>0</v>
      </c>
      <c r="AM37" s="566">
        <v>0</v>
      </c>
      <c r="AN37" s="566">
        <v>0</v>
      </c>
      <c r="AO37" s="566">
        <v>0</v>
      </c>
      <c r="AP37" s="566">
        <v>0</v>
      </c>
      <c r="AQ37" s="566">
        <v>0</v>
      </c>
      <c r="AR37" s="566">
        <v>0</v>
      </c>
      <c r="AS37" s="566">
        <v>0</v>
      </c>
      <c r="AT37" s="566">
        <v>0</v>
      </c>
      <c r="AU37" s="566">
        <v>0</v>
      </c>
      <c r="AV37" s="566">
        <v>0</v>
      </c>
    </row>
    <row r="38" spans="1:48" outlineLevel="1">
      <c r="A38" s="565" t="str">
        <f>IF(Definitions!L26&lt;&gt;"", Definitions!L26, "")</f>
        <v>CSP - With storage</v>
      </c>
      <c r="B38" s="565" t="str">
        <f>IF(Definitions!K26&lt;&gt;"", Definitions!K26, "")</f>
        <v>PWRCSP002</v>
      </c>
      <c r="C38" s="566" cm="1">
        <f t="array" ref="C38:AV38">IF(B38="", "",
   TRANSPOSE(
       INDEX('OSeMOSYS (Input)'!$B$21:$AA$66, , MATCH(TRUE, ISNUMBER(SEARCH(B38, 'OSeMOSYS (Input)'!$B$10:$AB$10)), 0))
       - INDEX('OSeMOSYS (Input)'!$B$85:$AA$130, , MATCH(TRUE, ISNUMBER(SEARCH(B38, 'OSeMOSYS (Input)'!$B$74:$AA$74)), 0))
   )
   *
   IF('High Level Dashboard'!$B$5="Local Currency",
      INDEX('Financing Baseline'!$S$39:$BL$39, , MATCH(TRUE, ISNUMBER(SEARCH(B38, 'OSeMOSYS (Input)'!$B$10:$AB19)), 0)) /
      INDEX('Financing Baseline'!$S$38:$BL$38, , MATCH(TRUE, ISNUMBER(SEARCH(B38, 'OSeMOSYS (Input)'!$B$10:$AB19)), 0)),
      INDEX('Financing Baseline'!$S$38:$BL$38, , MATCH(TRUE, ISNUMBER(SEARCH(B38, 'OSeMOSYS (Input)'!$B$10:$AB$10)), 0))
   )
)</f>
        <v>50</v>
      </c>
      <c r="D38" s="566">
        <v>0</v>
      </c>
      <c r="E38" s="566">
        <v>0</v>
      </c>
      <c r="F38" s="566">
        <v>0</v>
      </c>
      <c r="G38" s="566">
        <v>0</v>
      </c>
      <c r="H38" s="566">
        <v>0</v>
      </c>
      <c r="I38" s="566">
        <v>0</v>
      </c>
      <c r="J38" s="566">
        <v>0</v>
      </c>
      <c r="K38" s="566">
        <v>0</v>
      </c>
      <c r="L38" s="566">
        <v>0</v>
      </c>
      <c r="M38" s="566">
        <v>0</v>
      </c>
      <c r="N38" s="566">
        <v>0</v>
      </c>
      <c r="O38" s="566">
        <v>0</v>
      </c>
      <c r="P38" s="566">
        <v>0</v>
      </c>
      <c r="Q38" s="566">
        <v>0</v>
      </c>
      <c r="R38" s="566">
        <v>0</v>
      </c>
      <c r="S38" s="566">
        <v>0</v>
      </c>
      <c r="T38" s="566">
        <v>0</v>
      </c>
      <c r="U38" s="566">
        <v>0</v>
      </c>
      <c r="V38" s="566">
        <v>0</v>
      </c>
      <c r="W38" s="566">
        <v>0</v>
      </c>
      <c r="X38" s="566">
        <v>0</v>
      </c>
      <c r="Y38" s="566">
        <v>0</v>
      </c>
      <c r="Z38" s="566">
        <v>0</v>
      </c>
      <c r="AA38" s="566">
        <v>0</v>
      </c>
      <c r="AB38" s="566">
        <v>0</v>
      </c>
      <c r="AC38" s="566">
        <v>0</v>
      </c>
      <c r="AD38" s="566">
        <v>0</v>
      </c>
      <c r="AE38" s="566">
        <v>0</v>
      </c>
      <c r="AF38" s="566">
        <v>0</v>
      </c>
      <c r="AG38" s="566">
        <v>0</v>
      </c>
      <c r="AH38" s="566">
        <v>0</v>
      </c>
      <c r="AI38" s="566">
        <v>0</v>
      </c>
      <c r="AJ38" s="566">
        <v>0</v>
      </c>
      <c r="AK38" s="566">
        <v>0</v>
      </c>
      <c r="AL38" s="566">
        <v>0</v>
      </c>
      <c r="AM38" s="566">
        <v>0</v>
      </c>
      <c r="AN38" s="566">
        <v>0</v>
      </c>
      <c r="AO38" s="566">
        <v>0</v>
      </c>
      <c r="AP38" s="566">
        <v>0</v>
      </c>
      <c r="AQ38" s="566">
        <v>0</v>
      </c>
      <c r="AR38" s="566">
        <v>0</v>
      </c>
      <c r="AS38" s="566">
        <v>0</v>
      </c>
      <c r="AT38" s="566">
        <v>0</v>
      </c>
      <c r="AU38" s="566">
        <v>0</v>
      </c>
      <c r="AV38" s="566">
        <v>0</v>
      </c>
    </row>
    <row r="39" spans="1:48" outlineLevel="1">
      <c r="A39" s="565" t="str">
        <f>IF(Definitions!L27&lt;&gt;"", Definitions!L27, "")</f>
        <v>Hydropower plant - Large dam (&gt;100MW)</v>
      </c>
      <c r="B39" s="565" t="str">
        <f>IF(Definitions!K27&lt;&gt;"", Definitions!K27, "")</f>
        <v>PWRHYD001</v>
      </c>
      <c r="C39" s="566" cm="1">
        <f t="array" ref="C39:AV39">IF(B39="", "",
   TRANSPOSE(
       INDEX('OSeMOSYS (Input)'!$B$21:$AA$66, , MATCH(TRUE, ISNUMBER(SEARCH(B39, 'OSeMOSYS (Input)'!$B$10:$AB$10)), 0))
       - INDEX('OSeMOSYS (Input)'!$B$85:$AA$130, , MATCH(TRUE, ISNUMBER(SEARCH(B39, 'OSeMOSYS (Input)'!$B$74:$AA$74)), 0))
   )
   *
   IF('High Level Dashboard'!$B$5="Local Currency",
      INDEX('Financing Baseline'!$S$39:$BL$39, , MATCH(TRUE, ISNUMBER(SEARCH(B39, 'OSeMOSYS (Input)'!$B$10:$AB20)), 0)) /
      INDEX('Financing Baseline'!$S$38:$BL$38, , MATCH(TRUE, ISNUMBER(SEARCH(B39, 'OSeMOSYS (Input)'!$B$10:$AB20)), 0)),
      INDEX('Financing Baseline'!$S$38:$BL$38, , MATCH(TRUE, ISNUMBER(SEARCH(B39, 'OSeMOSYS (Input)'!$B$10:$AB$10)), 0))
   )
)</f>
        <v>0</v>
      </c>
      <c r="D39" s="566">
        <v>0</v>
      </c>
      <c r="E39" s="566">
        <v>0</v>
      </c>
      <c r="F39" s="566">
        <v>0</v>
      </c>
      <c r="G39" s="566">
        <v>0</v>
      </c>
      <c r="H39" s="566">
        <v>0</v>
      </c>
      <c r="I39" s="566">
        <v>0</v>
      </c>
      <c r="J39" s="566">
        <v>0</v>
      </c>
      <c r="K39" s="566">
        <v>0</v>
      </c>
      <c r="L39" s="566">
        <v>0</v>
      </c>
      <c r="M39" s="566">
        <v>0</v>
      </c>
      <c r="N39" s="566">
        <v>0</v>
      </c>
      <c r="O39" s="566">
        <v>0</v>
      </c>
      <c r="P39" s="566">
        <v>0</v>
      </c>
      <c r="Q39" s="566">
        <v>0</v>
      </c>
      <c r="R39" s="566">
        <v>0</v>
      </c>
      <c r="S39" s="566">
        <v>0</v>
      </c>
      <c r="T39" s="566">
        <v>0</v>
      </c>
      <c r="U39" s="566">
        <v>0</v>
      </c>
      <c r="V39" s="566">
        <v>0</v>
      </c>
      <c r="W39" s="566">
        <v>0</v>
      </c>
      <c r="X39" s="566">
        <v>0</v>
      </c>
      <c r="Y39" s="566">
        <v>0</v>
      </c>
      <c r="Z39" s="566">
        <v>0</v>
      </c>
      <c r="AA39" s="566">
        <v>0</v>
      </c>
      <c r="AB39" s="566">
        <v>0</v>
      </c>
      <c r="AC39" s="566">
        <v>0</v>
      </c>
      <c r="AD39" s="566">
        <v>0</v>
      </c>
      <c r="AE39" s="566">
        <v>0</v>
      </c>
      <c r="AF39" s="566">
        <v>0</v>
      </c>
      <c r="AG39" s="566">
        <v>0</v>
      </c>
      <c r="AH39" s="566">
        <v>0</v>
      </c>
      <c r="AI39" s="566">
        <v>0</v>
      </c>
      <c r="AJ39" s="566">
        <v>0</v>
      </c>
      <c r="AK39" s="566">
        <v>0</v>
      </c>
      <c r="AL39" s="566">
        <v>0</v>
      </c>
      <c r="AM39" s="566">
        <v>0</v>
      </c>
      <c r="AN39" s="566">
        <v>0</v>
      </c>
      <c r="AO39" s="566">
        <v>0</v>
      </c>
      <c r="AP39" s="566">
        <v>0</v>
      </c>
      <c r="AQ39" s="566">
        <v>0</v>
      </c>
      <c r="AR39" s="566">
        <v>0</v>
      </c>
      <c r="AS39" s="566">
        <v>0</v>
      </c>
      <c r="AT39" s="566">
        <v>0</v>
      </c>
      <c r="AU39" s="566">
        <v>0</v>
      </c>
      <c r="AV39" s="566">
        <v>0</v>
      </c>
    </row>
    <row r="40" spans="1:48" outlineLevel="1">
      <c r="A40" s="565" t="str">
        <f>IF(Definitions!L28&lt;&gt;"", Definitions!L28, "")</f>
        <v>Hydropower plant - Medium (10-100MW)</v>
      </c>
      <c r="B40" s="565" t="str">
        <f>IF(Definitions!K28&lt;&gt;"", Definitions!K28, "")</f>
        <v>PWRHYD002</v>
      </c>
      <c r="C40" s="566" cm="1">
        <f t="array" ref="C40:AV40">IF(B40="", "",
   TRANSPOSE(
       INDEX('OSeMOSYS (Input)'!$B$21:$AA$66, , MATCH(TRUE, ISNUMBER(SEARCH(B40, 'OSeMOSYS (Input)'!$B$10:$AB$10)), 0))
       - INDEX('OSeMOSYS (Input)'!$B$85:$AA$130, , MATCH(TRUE, ISNUMBER(SEARCH(B40, 'OSeMOSYS (Input)'!$B$74:$AA$74)), 0))
   )
   *
   IF('High Level Dashboard'!$B$5="Local Currency",
      INDEX('Financing Baseline'!$S$39:$BL$39, , MATCH(TRUE, ISNUMBER(SEARCH(B40, 'OSeMOSYS (Input)'!$B$10:$AB21)), 0)) /
      INDEX('Financing Baseline'!$S$38:$BL$38, , MATCH(TRUE, ISNUMBER(SEARCH(B40, 'OSeMOSYS (Input)'!$B$10:$AB21)), 0)),
      INDEX('Financing Baseline'!$S$38:$BL$38, , MATCH(TRUE, ISNUMBER(SEARCH(B40, 'OSeMOSYS (Input)'!$B$10:$AB$10)), 0))
   )
)</f>
        <v>0</v>
      </c>
      <c r="D40" s="566">
        <v>0</v>
      </c>
      <c r="E40" s="566">
        <v>0</v>
      </c>
      <c r="F40" s="566">
        <v>0</v>
      </c>
      <c r="G40" s="566">
        <v>0</v>
      </c>
      <c r="H40" s="566">
        <v>0</v>
      </c>
      <c r="I40" s="566">
        <v>0</v>
      </c>
      <c r="J40" s="566">
        <v>0</v>
      </c>
      <c r="K40" s="566">
        <v>0</v>
      </c>
      <c r="L40" s="566">
        <v>0</v>
      </c>
      <c r="M40" s="566">
        <v>0</v>
      </c>
      <c r="N40" s="566">
        <v>0</v>
      </c>
      <c r="O40" s="566">
        <v>0</v>
      </c>
      <c r="P40" s="566">
        <v>0</v>
      </c>
      <c r="Q40" s="566">
        <v>0</v>
      </c>
      <c r="R40" s="566">
        <v>0</v>
      </c>
      <c r="S40" s="566">
        <v>0</v>
      </c>
      <c r="T40" s="566">
        <v>0</v>
      </c>
      <c r="U40" s="566">
        <v>0</v>
      </c>
      <c r="V40" s="566">
        <v>0</v>
      </c>
      <c r="W40" s="566">
        <v>0</v>
      </c>
      <c r="X40" s="566">
        <v>0</v>
      </c>
      <c r="Y40" s="566">
        <v>0</v>
      </c>
      <c r="Z40" s="566">
        <v>0</v>
      </c>
      <c r="AA40" s="566">
        <v>0</v>
      </c>
      <c r="AB40" s="566">
        <v>0</v>
      </c>
      <c r="AC40" s="566">
        <v>0</v>
      </c>
      <c r="AD40" s="566">
        <v>0</v>
      </c>
      <c r="AE40" s="566">
        <v>0</v>
      </c>
      <c r="AF40" s="566">
        <v>0</v>
      </c>
      <c r="AG40" s="566">
        <v>0</v>
      </c>
      <c r="AH40" s="566">
        <v>0</v>
      </c>
      <c r="AI40" s="566">
        <v>0</v>
      </c>
      <c r="AJ40" s="566">
        <v>0</v>
      </c>
      <c r="AK40" s="566">
        <v>0</v>
      </c>
      <c r="AL40" s="566">
        <v>0</v>
      </c>
      <c r="AM40" s="566">
        <v>0</v>
      </c>
      <c r="AN40" s="566">
        <v>0</v>
      </c>
      <c r="AO40" s="566">
        <v>0</v>
      </c>
      <c r="AP40" s="566">
        <v>0</v>
      </c>
      <c r="AQ40" s="566">
        <v>0</v>
      </c>
      <c r="AR40" s="566">
        <v>0</v>
      </c>
      <c r="AS40" s="566">
        <v>0</v>
      </c>
      <c r="AT40" s="566">
        <v>0</v>
      </c>
      <c r="AU40" s="566">
        <v>0</v>
      </c>
      <c r="AV40" s="566">
        <v>0</v>
      </c>
    </row>
    <row r="41" spans="1:48" outlineLevel="1">
      <c r="A41" s="565" t="str">
        <f>IF(Definitions!L29&lt;&gt;"", Definitions!L29, "")</f>
        <v>Hydropower plant - Small (&lt;10MW)</v>
      </c>
      <c r="B41" s="565" t="str">
        <f>IF(Definitions!K29&lt;&gt;"", Definitions!K29, "")</f>
        <v>PWRHYD003</v>
      </c>
      <c r="C41" s="566" cm="1">
        <f t="array" ref="C41:AV41">IF(B41="", "",
   TRANSPOSE(
       INDEX('OSeMOSYS (Input)'!$B$21:$AA$66, , MATCH(TRUE, ISNUMBER(SEARCH(B41, 'OSeMOSYS (Input)'!$B$10:$AB$10)), 0))
       - INDEX('OSeMOSYS (Input)'!$B$85:$AA$130, , MATCH(TRUE, ISNUMBER(SEARCH(B41, 'OSeMOSYS (Input)'!$B$74:$AA$74)), 0))
   )
   *
   IF('High Level Dashboard'!$B$5="Local Currency",
      INDEX('Financing Baseline'!$S$39:$BL$39, , MATCH(TRUE, ISNUMBER(SEARCH(B41, 'OSeMOSYS (Input)'!$B$10:$AB22)), 0)) /
      INDEX('Financing Baseline'!$S$38:$BL$38, , MATCH(TRUE, ISNUMBER(SEARCH(B41, 'OSeMOSYS (Input)'!$B$10:$AB22)), 0)),
      INDEX('Financing Baseline'!$S$38:$BL$38, , MATCH(TRUE, ISNUMBER(SEARCH(B41, 'OSeMOSYS (Input)'!$B$10:$AB$10)), 0))
   )
)</f>
        <v>0</v>
      </c>
      <c r="D41" s="566">
        <v>0</v>
      </c>
      <c r="E41" s="566">
        <v>0</v>
      </c>
      <c r="F41" s="566">
        <v>0</v>
      </c>
      <c r="G41" s="566">
        <v>0</v>
      </c>
      <c r="H41" s="566">
        <v>0</v>
      </c>
      <c r="I41" s="566">
        <v>0</v>
      </c>
      <c r="J41" s="566">
        <v>0</v>
      </c>
      <c r="K41" s="566">
        <v>0</v>
      </c>
      <c r="L41" s="566">
        <v>0</v>
      </c>
      <c r="M41" s="566">
        <v>0</v>
      </c>
      <c r="N41" s="566">
        <v>0</v>
      </c>
      <c r="O41" s="566">
        <v>0</v>
      </c>
      <c r="P41" s="566">
        <v>0</v>
      </c>
      <c r="Q41" s="566">
        <v>0</v>
      </c>
      <c r="R41" s="566">
        <v>0</v>
      </c>
      <c r="S41" s="566">
        <v>0</v>
      </c>
      <c r="T41" s="566">
        <v>0</v>
      </c>
      <c r="U41" s="566">
        <v>0</v>
      </c>
      <c r="V41" s="566">
        <v>0</v>
      </c>
      <c r="W41" s="566">
        <v>0</v>
      </c>
      <c r="X41" s="566">
        <v>0</v>
      </c>
      <c r="Y41" s="566">
        <v>0</v>
      </c>
      <c r="Z41" s="566">
        <v>0</v>
      </c>
      <c r="AA41" s="566">
        <v>0</v>
      </c>
      <c r="AB41" s="566">
        <v>0</v>
      </c>
      <c r="AC41" s="566">
        <v>0</v>
      </c>
      <c r="AD41" s="566">
        <v>0</v>
      </c>
      <c r="AE41" s="566">
        <v>0</v>
      </c>
      <c r="AF41" s="566">
        <v>0</v>
      </c>
      <c r="AG41" s="566">
        <v>0</v>
      </c>
      <c r="AH41" s="566">
        <v>0</v>
      </c>
      <c r="AI41" s="566">
        <v>0</v>
      </c>
      <c r="AJ41" s="566">
        <v>0</v>
      </c>
      <c r="AK41" s="566">
        <v>0</v>
      </c>
      <c r="AL41" s="566">
        <v>0</v>
      </c>
      <c r="AM41" s="566">
        <v>0</v>
      </c>
      <c r="AN41" s="566">
        <v>0</v>
      </c>
      <c r="AO41" s="566">
        <v>0</v>
      </c>
      <c r="AP41" s="566">
        <v>0</v>
      </c>
      <c r="AQ41" s="566">
        <v>0</v>
      </c>
      <c r="AR41" s="566">
        <v>0</v>
      </c>
      <c r="AS41" s="566">
        <v>0</v>
      </c>
      <c r="AT41" s="566">
        <v>0</v>
      </c>
      <c r="AU41" s="566">
        <v>0</v>
      </c>
      <c r="AV41" s="566">
        <v>0</v>
      </c>
    </row>
    <row r="42" spans="1:48" outlineLevel="1">
      <c r="A42" s="565" t="str">
        <f>IF(Definitions!L30&lt;&gt;"", Definitions!L30, "")</f>
        <v>Wind farm - Onshore</v>
      </c>
      <c r="B42" s="565" t="str">
        <f>IF(Definitions!K30&lt;&gt;"", Definitions!K30, "")</f>
        <v>PWRWND001</v>
      </c>
      <c r="C42" s="566" cm="1">
        <f t="array" ref="C42:AV42">IF(B42="", "",
   TRANSPOSE(
       INDEX('OSeMOSYS (Input)'!$B$21:$AA$66, , MATCH(TRUE, ISNUMBER(SEARCH(B42, 'OSeMOSYS (Input)'!$B$10:$AB$10)), 0))
       - INDEX('OSeMOSYS (Input)'!$B$85:$AA$130, , MATCH(TRUE, ISNUMBER(SEARCH(B42, 'OSeMOSYS (Input)'!$B$74:$AA$74)), 0))
   )
   *
   IF('High Level Dashboard'!$B$5="Local Currency",
      INDEX('Financing Baseline'!$S$39:$BL$39, , MATCH(TRUE, ISNUMBER(SEARCH(B42, 'OSeMOSYS (Input)'!$B$10:$AB23)), 0)) /
      INDEX('Financing Baseline'!$S$38:$BL$38, , MATCH(TRUE, ISNUMBER(SEARCH(B42, 'OSeMOSYS (Input)'!$B$10:$AB23)), 0)),
      INDEX('Financing Baseline'!$S$38:$BL$38, , MATCH(TRUE, ISNUMBER(SEARCH(B42, 'OSeMOSYS (Input)'!$B$10:$AB$10)), 0))
   )
)</f>
        <v>0</v>
      </c>
      <c r="D42" s="566">
        <v>0</v>
      </c>
      <c r="E42" s="566">
        <v>-151.3432</v>
      </c>
      <c r="F42" s="566">
        <v>0</v>
      </c>
      <c r="G42" s="566">
        <v>0</v>
      </c>
      <c r="H42" s="566">
        <v>260.4282</v>
      </c>
      <c r="I42" s="566">
        <v>0</v>
      </c>
      <c r="J42" s="566">
        <v>-38.086900000000014</v>
      </c>
      <c r="K42" s="566">
        <v>121.58920000000001</v>
      </c>
      <c r="L42" s="566">
        <v>-62.561799999999998</v>
      </c>
      <c r="M42" s="566">
        <v>-167.20130000000006</v>
      </c>
      <c r="N42" s="566">
        <v>0</v>
      </c>
      <c r="O42" s="566">
        <v>19.045999999999992</v>
      </c>
      <c r="P42" s="566">
        <v>81.937400000000025</v>
      </c>
      <c r="Q42" s="566">
        <v>0</v>
      </c>
      <c r="R42" s="566">
        <v>0</v>
      </c>
      <c r="S42" s="566">
        <v>10.555999999999926</v>
      </c>
      <c r="T42" s="566">
        <v>49.95780000000002</v>
      </c>
      <c r="U42" s="566">
        <v>-36.093699999999899</v>
      </c>
      <c r="V42" s="566">
        <v>-15.184799999999996</v>
      </c>
      <c r="W42" s="566">
        <v>-3.2031999999999243</v>
      </c>
      <c r="X42" s="566">
        <v>-16.127100000000155</v>
      </c>
      <c r="Y42" s="566">
        <v>-93.768000000000029</v>
      </c>
      <c r="Z42" s="566">
        <v>224.47899999999981</v>
      </c>
      <c r="AA42" s="566">
        <v>94.126599999999939</v>
      </c>
      <c r="AB42" s="566">
        <v>589.45190000000002</v>
      </c>
      <c r="AC42" s="566">
        <v>269.33720000000005</v>
      </c>
      <c r="AD42" s="566">
        <v>-214.06099999999992</v>
      </c>
      <c r="AE42" s="566">
        <v>-254.86930000000007</v>
      </c>
      <c r="AF42" s="566">
        <v>-114.78599999999994</v>
      </c>
      <c r="AG42" s="566">
        <v>-285.82680000000005</v>
      </c>
      <c r="AH42" s="566">
        <v>-15.218200000000024</v>
      </c>
      <c r="AI42" s="566">
        <v>30.309200000000033</v>
      </c>
      <c r="AJ42" s="566">
        <v>117.73450000000003</v>
      </c>
      <c r="AK42" s="566">
        <v>0.10170000000005075</v>
      </c>
      <c r="AL42" s="566">
        <v>19.129400000000032</v>
      </c>
      <c r="AM42" s="566">
        <v>42.826399999999921</v>
      </c>
      <c r="AN42" s="566">
        <v>40.597099999999955</v>
      </c>
      <c r="AO42" s="566">
        <v>-35.068500000000085</v>
      </c>
      <c r="AP42" s="566">
        <v>-32.404299999999921</v>
      </c>
      <c r="AQ42" s="566">
        <v>-52.395400000000336</v>
      </c>
      <c r="AR42" s="566">
        <v>-65.932000000000016</v>
      </c>
      <c r="AS42" s="566">
        <v>-117.05930000000035</v>
      </c>
      <c r="AT42" s="566">
        <v>187.92909999999983</v>
      </c>
      <c r="AU42" s="566">
        <v>80.19360000000006</v>
      </c>
      <c r="AV42" s="566">
        <v>571.37519999999995</v>
      </c>
    </row>
    <row r="43" spans="1:48" outlineLevel="1">
      <c r="A43" s="565" t="str">
        <f>IF(Definitions!L31&lt;&gt;"", Definitions!L31, "")</f>
        <v>Wind farm - Offshore</v>
      </c>
      <c r="B43" s="565" t="str">
        <f>IF(Definitions!K31&lt;&gt;"", Definitions!K31, "")</f>
        <v>PWRWND002</v>
      </c>
      <c r="C43" s="566" cm="1">
        <f t="array" ref="C43:AV43">IF(B43="", "",
   TRANSPOSE(
       INDEX('OSeMOSYS (Input)'!$B$21:$AA$66, , MATCH(TRUE, ISNUMBER(SEARCH(B43, 'OSeMOSYS (Input)'!$B$10:$AB$10)), 0))
       - INDEX('OSeMOSYS (Input)'!$B$85:$AA$130, , MATCH(TRUE, ISNUMBER(SEARCH(B43, 'OSeMOSYS (Input)'!$B$74:$AA$74)), 0))
   )
   *
   IF('High Level Dashboard'!$B$5="Local Currency",
      INDEX('Financing Baseline'!$S$39:$BL$39, , MATCH(TRUE, ISNUMBER(SEARCH(B43, 'OSeMOSYS (Input)'!$B$10:$AB24)), 0)) /
      INDEX('Financing Baseline'!$S$38:$BL$38, , MATCH(TRUE, ISNUMBER(SEARCH(B43, 'OSeMOSYS (Input)'!$B$10:$AB24)), 0)),
      INDEX('Financing Baseline'!$S$38:$BL$38, , MATCH(TRUE, ISNUMBER(SEARCH(B43, 'OSeMOSYS (Input)'!$B$10:$AB$10)), 0))
   )
)</f>
        <v>0</v>
      </c>
      <c r="D43" s="566">
        <v>0</v>
      </c>
      <c r="E43" s="566">
        <v>0</v>
      </c>
      <c r="F43" s="566">
        <v>0</v>
      </c>
      <c r="G43" s="566">
        <v>0</v>
      </c>
      <c r="H43" s="566">
        <v>0</v>
      </c>
      <c r="I43" s="566">
        <v>0</v>
      </c>
      <c r="J43" s="566">
        <v>0</v>
      </c>
      <c r="K43" s="566">
        <v>0</v>
      </c>
      <c r="L43" s="566">
        <v>0</v>
      </c>
      <c r="M43" s="566">
        <v>0</v>
      </c>
      <c r="N43" s="566">
        <v>0</v>
      </c>
      <c r="O43" s="566">
        <v>0</v>
      </c>
      <c r="P43" s="566">
        <v>0</v>
      </c>
      <c r="Q43" s="566">
        <v>0</v>
      </c>
      <c r="R43" s="566">
        <v>0</v>
      </c>
      <c r="S43" s="566">
        <v>0</v>
      </c>
      <c r="T43" s="566">
        <v>0</v>
      </c>
      <c r="U43" s="566">
        <v>0</v>
      </c>
      <c r="V43" s="566">
        <v>0</v>
      </c>
      <c r="W43" s="566">
        <v>0</v>
      </c>
      <c r="X43" s="566">
        <v>0</v>
      </c>
      <c r="Y43" s="566">
        <v>0</v>
      </c>
      <c r="Z43" s="566">
        <v>0</v>
      </c>
      <c r="AA43" s="566">
        <v>0</v>
      </c>
      <c r="AB43" s="566">
        <v>0</v>
      </c>
      <c r="AC43" s="566">
        <v>0</v>
      </c>
      <c r="AD43" s="566">
        <v>0</v>
      </c>
      <c r="AE43" s="566">
        <v>0</v>
      </c>
      <c r="AF43" s="566">
        <v>0</v>
      </c>
      <c r="AG43" s="566">
        <v>0</v>
      </c>
      <c r="AH43" s="566">
        <v>0</v>
      </c>
      <c r="AI43" s="566">
        <v>0</v>
      </c>
      <c r="AJ43" s="566">
        <v>0</v>
      </c>
      <c r="AK43" s="566">
        <v>0</v>
      </c>
      <c r="AL43" s="566">
        <v>0</v>
      </c>
      <c r="AM43" s="566">
        <v>0</v>
      </c>
      <c r="AN43" s="566">
        <v>0</v>
      </c>
      <c r="AO43" s="566">
        <v>0</v>
      </c>
      <c r="AP43" s="566">
        <v>0</v>
      </c>
      <c r="AQ43" s="566">
        <v>0</v>
      </c>
      <c r="AR43" s="566">
        <v>0</v>
      </c>
      <c r="AS43" s="566">
        <v>0</v>
      </c>
      <c r="AT43" s="566">
        <v>0</v>
      </c>
      <c r="AU43" s="566">
        <v>0</v>
      </c>
      <c r="AV43" s="566">
        <v>0</v>
      </c>
    </row>
    <row r="44" spans="1:48" outlineLevel="1">
      <c r="A44" s="565" t="str">
        <f>IF(Definitions!L32&lt;&gt;"", Definitions!L32, "")</f>
        <v>Nuclear power plant</v>
      </c>
      <c r="B44" s="565" t="str">
        <f>IF(Definitions!K32&lt;&gt;"", Definitions!K32, "")</f>
        <v>PWRNUC</v>
      </c>
      <c r="C44" s="566" cm="1">
        <f t="array" ref="C44:AV44">IF(B44="", "",
   TRANSPOSE(
       INDEX('OSeMOSYS (Input)'!$B$21:$AA$66, , MATCH(TRUE, ISNUMBER(SEARCH(B44, 'OSeMOSYS (Input)'!$B$10:$AB$10)), 0))
       - INDEX('OSeMOSYS (Input)'!$B$85:$AA$130, , MATCH(TRUE, ISNUMBER(SEARCH(B44, 'OSeMOSYS (Input)'!$B$74:$AA$74)), 0))
   )
   *
   IF('High Level Dashboard'!$B$5="Local Currency",
      INDEX('Financing Baseline'!$S$39:$BL$39, , MATCH(TRUE, ISNUMBER(SEARCH(B44, 'OSeMOSYS (Input)'!$B$10:$AB25)), 0)) /
      INDEX('Financing Baseline'!$S$38:$BL$38, , MATCH(TRUE, ISNUMBER(SEARCH(B44, 'OSeMOSYS (Input)'!$B$10:$AB25)), 0)),
      INDEX('Financing Baseline'!$S$38:$BL$38, , MATCH(TRUE, ISNUMBER(SEARCH(B44, 'OSeMOSYS (Input)'!$B$10:$AB$10)), 0))
   )
)</f>
        <v>0</v>
      </c>
      <c r="D44" s="566">
        <v>0</v>
      </c>
      <c r="E44" s="566">
        <v>0</v>
      </c>
      <c r="F44" s="566">
        <v>0</v>
      </c>
      <c r="G44" s="566">
        <v>0</v>
      </c>
      <c r="H44" s="566">
        <v>0</v>
      </c>
      <c r="I44" s="566">
        <v>0</v>
      </c>
      <c r="J44" s="566">
        <v>0</v>
      </c>
      <c r="K44" s="566">
        <v>0</v>
      </c>
      <c r="L44" s="566">
        <v>0</v>
      </c>
      <c r="M44" s="566">
        <v>0</v>
      </c>
      <c r="N44" s="566">
        <v>0</v>
      </c>
      <c r="O44" s="566">
        <v>0</v>
      </c>
      <c r="P44" s="566">
        <v>0</v>
      </c>
      <c r="Q44" s="566">
        <v>0</v>
      </c>
      <c r="R44" s="566">
        <v>0</v>
      </c>
      <c r="S44" s="566">
        <v>0</v>
      </c>
      <c r="T44" s="566">
        <v>0</v>
      </c>
      <c r="U44" s="566">
        <v>0</v>
      </c>
      <c r="V44" s="566">
        <v>0</v>
      </c>
      <c r="W44" s="566">
        <v>0</v>
      </c>
      <c r="X44" s="566">
        <v>0</v>
      </c>
      <c r="Y44" s="566">
        <v>0</v>
      </c>
      <c r="Z44" s="566">
        <v>0</v>
      </c>
      <c r="AA44" s="566">
        <v>0</v>
      </c>
      <c r="AB44" s="566">
        <v>0</v>
      </c>
      <c r="AC44" s="566">
        <v>0</v>
      </c>
      <c r="AD44" s="566">
        <v>0</v>
      </c>
      <c r="AE44" s="566">
        <v>82.478899999999996</v>
      </c>
      <c r="AF44" s="566">
        <v>216.51509999999999</v>
      </c>
      <c r="AG44" s="566">
        <v>193.4906</v>
      </c>
      <c r="AH44" s="566">
        <v>58.627299999999998</v>
      </c>
      <c r="AI44" s="566">
        <v>176.16909999999999</v>
      </c>
      <c r="AJ44" s="566">
        <v>171.6943</v>
      </c>
      <c r="AK44" s="566">
        <v>167.0805</v>
      </c>
      <c r="AL44" s="566">
        <v>161.11089999999999</v>
      </c>
      <c r="AM44" s="566">
        <v>74.842299999999994</v>
      </c>
      <c r="AN44" s="566">
        <v>165.74289999999999</v>
      </c>
      <c r="AO44" s="566">
        <v>166.709</v>
      </c>
      <c r="AP44" s="566">
        <v>166.3374</v>
      </c>
      <c r="AQ44" s="566">
        <v>167.04339999999999</v>
      </c>
      <c r="AR44" s="566">
        <v>167.0805</v>
      </c>
      <c r="AS44" s="566">
        <v>167.0805</v>
      </c>
      <c r="AT44" s="566">
        <v>167.0805</v>
      </c>
      <c r="AU44" s="566">
        <v>167.0805</v>
      </c>
      <c r="AV44" s="566">
        <v>166.0471</v>
      </c>
    </row>
    <row r="45" spans="1:48" outlineLevel="1">
      <c r="A45" s="565" t="str">
        <f>IF(Definitions!L33&lt;&gt;"", Definitions!L33, "")</f>
        <v>Electricity transmission</v>
      </c>
      <c r="B45" s="565" t="str">
        <f>IF(Definitions!K33&lt;&gt;"", Definitions!K33, "")</f>
        <v>PWRTRN</v>
      </c>
      <c r="C45" s="566" cm="1">
        <f t="array" ref="C45:AV45">IF(B45="", "",
   TRANSPOSE(
       INDEX('OSeMOSYS (Input)'!$B$21:$AA$66, , MATCH(TRUE, ISNUMBER(SEARCH(B45, 'OSeMOSYS (Input)'!$B$10:$AB$10)), 0))
       - INDEX('OSeMOSYS (Input)'!$B$85:$AA$130, , MATCH(TRUE, ISNUMBER(SEARCH(B45, 'OSeMOSYS (Input)'!$B$74:$AA$74)), 0))
   )
   *
   IF('High Level Dashboard'!$B$5="Local Currency",
      INDEX('Financing Baseline'!$S$39:$BL$39, , MATCH(TRUE, ISNUMBER(SEARCH(B45, 'OSeMOSYS (Input)'!$B$10:$AB26)), 0)) /
      INDEX('Financing Baseline'!$S$38:$BL$38, , MATCH(TRUE, ISNUMBER(SEARCH(B45, 'OSeMOSYS (Input)'!$B$10:$AB26)), 0)),
      INDEX('Financing Baseline'!$S$38:$BL$38, , MATCH(TRUE, ISNUMBER(SEARCH(B45, 'OSeMOSYS (Input)'!$B$10:$AB$10)), 0))
   )
)</f>
        <v>0</v>
      </c>
      <c r="D45" s="566">
        <v>0</v>
      </c>
      <c r="E45" s="566">
        <v>0</v>
      </c>
      <c r="F45" s="566">
        <v>0</v>
      </c>
      <c r="G45" s="566">
        <v>0</v>
      </c>
      <c r="H45" s="566">
        <v>0</v>
      </c>
      <c r="I45" s="566">
        <v>0</v>
      </c>
      <c r="J45" s="566">
        <v>0</v>
      </c>
      <c r="K45" s="566">
        <v>0</v>
      </c>
      <c r="L45" s="566">
        <v>0</v>
      </c>
      <c r="M45" s="566">
        <v>0</v>
      </c>
      <c r="N45" s="566">
        <v>0</v>
      </c>
      <c r="O45" s="566">
        <v>0</v>
      </c>
      <c r="P45" s="566">
        <v>0</v>
      </c>
      <c r="Q45" s="566">
        <v>0</v>
      </c>
      <c r="R45" s="566">
        <v>0</v>
      </c>
      <c r="S45" s="566">
        <v>0</v>
      </c>
      <c r="T45" s="566">
        <v>0</v>
      </c>
      <c r="U45" s="566">
        <v>0</v>
      </c>
      <c r="V45" s="566">
        <v>0</v>
      </c>
      <c r="W45" s="566">
        <v>0</v>
      </c>
      <c r="X45" s="566">
        <v>0</v>
      </c>
      <c r="Y45" s="566">
        <v>0</v>
      </c>
      <c r="Z45" s="566">
        <v>0</v>
      </c>
      <c r="AA45" s="566">
        <v>0</v>
      </c>
      <c r="AB45" s="566">
        <v>0</v>
      </c>
      <c r="AC45" s="566">
        <v>0</v>
      </c>
      <c r="AD45" s="566">
        <v>0</v>
      </c>
      <c r="AE45" s="566">
        <v>0</v>
      </c>
      <c r="AF45" s="566">
        <v>0</v>
      </c>
      <c r="AG45" s="566">
        <v>0</v>
      </c>
      <c r="AH45" s="566">
        <v>0</v>
      </c>
      <c r="AI45" s="566">
        <v>0</v>
      </c>
      <c r="AJ45" s="566">
        <v>0</v>
      </c>
      <c r="AK45" s="566">
        <v>0</v>
      </c>
      <c r="AL45" s="566">
        <v>0</v>
      </c>
      <c r="AM45" s="566">
        <v>0</v>
      </c>
      <c r="AN45" s="566">
        <v>0</v>
      </c>
      <c r="AO45" s="566">
        <v>0</v>
      </c>
      <c r="AP45" s="566">
        <v>0</v>
      </c>
      <c r="AQ45" s="566">
        <v>0</v>
      </c>
      <c r="AR45" s="566">
        <v>0</v>
      </c>
      <c r="AS45" s="566">
        <v>0</v>
      </c>
      <c r="AT45" s="566">
        <v>0</v>
      </c>
      <c r="AU45" s="566">
        <v>0</v>
      </c>
      <c r="AV45" s="566">
        <v>0</v>
      </c>
    </row>
    <row r="46" spans="1:48" outlineLevel="1">
      <c r="A46" s="565" t="str">
        <f>IF(Definitions!L34&lt;&gt;"", Definitions!L34, "")</f>
        <v>Electricity distribution</v>
      </c>
      <c r="B46" s="565" t="str">
        <f>IF(Definitions!K34&lt;&gt;"", Definitions!K34, "")</f>
        <v>PWRDIST</v>
      </c>
      <c r="C46" s="566" cm="1">
        <f t="array" ref="C46:AV46">IF(B46="", "",
   TRANSPOSE(
       INDEX('OSeMOSYS (Input)'!$B$21:$AA$66, , MATCH(TRUE, ISNUMBER(SEARCH(B46, 'OSeMOSYS (Input)'!$B$10:$AB$10)), 0))
       - INDEX('OSeMOSYS (Input)'!$B$85:$AA$130, , MATCH(TRUE, ISNUMBER(SEARCH(B46, 'OSeMOSYS (Input)'!$B$74:$AA$74)), 0))
   )
   *
   IF('High Level Dashboard'!$B$5="Local Currency",
      INDEX('Financing Baseline'!$S$39:$BL$39, , MATCH(TRUE, ISNUMBER(SEARCH(B46, 'OSeMOSYS (Input)'!$B$10:$AB27)), 0)) /
      INDEX('Financing Baseline'!$S$38:$BL$38, , MATCH(TRUE, ISNUMBER(SEARCH(B46, 'OSeMOSYS (Input)'!$B$10:$AB27)), 0)),
      INDEX('Financing Baseline'!$S$38:$BL$38, , MATCH(TRUE, ISNUMBER(SEARCH(B46, 'OSeMOSYS (Input)'!$B$10:$AB$10)), 0))
   )
)</f>
        <v>0</v>
      </c>
      <c r="D46" s="566">
        <v>0</v>
      </c>
      <c r="E46" s="566">
        <v>0</v>
      </c>
      <c r="F46" s="566">
        <v>0</v>
      </c>
      <c r="G46" s="566">
        <v>0</v>
      </c>
      <c r="H46" s="566">
        <v>0</v>
      </c>
      <c r="I46" s="566">
        <v>0</v>
      </c>
      <c r="J46" s="566">
        <v>0</v>
      </c>
      <c r="K46" s="566">
        <v>0</v>
      </c>
      <c r="L46" s="566">
        <v>0</v>
      </c>
      <c r="M46" s="566">
        <v>0</v>
      </c>
      <c r="N46" s="566">
        <v>0</v>
      </c>
      <c r="O46" s="566">
        <v>0</v>
      </c>
      <c r="P46" s="566">
        <v>0</v>
      </c>
      <c r="Q46" s="566">
        <v>0</v>
      </c>
      <c r="R46" s="566">
        <v>0</v>
      </c>
      <c r="S46" s="566">
        <v>0</v>
      </c>
      <c r="T46" s="566">
        <v>0</v>
      </c>
      <c r="U46" s="566">
        <v>0</v>
      </c>
      <c r="V46" s="566">
        <v>0</v>
      </c>
      <c r="W46" s="566">
        <v>0</v>
      </c>
      <c r="X46" s="566">
        <v>0</v>
      </c>
      <c r="Y46" s="566">
        <v>0</v>
      </c>
      <c r="Z46" s="566">
        <v>0</v>
      </c>
      <c r="AA46" s="566">
        <v>0</v>
      </c>
      <c r="AB46" s="566">
        <v>0</v>
      </c>
      <c r="AC46" s="566">
        <v>0</v>
      </c>
      <c r="AD46" s="566">
        <v>0</v>
      </c>
      <c r="AE46" s="566">
        <v>0</v>
      </c>
      <c r="AF46" s="566">
        <v>0</v>
      </c>
      <c r="AG46" s="566">
        <v>0</v>
      </c>
      <c r="AH46" s="566">
        <v>0</v>
      </c>
      <c r="AI46" s="566">
        <v>0</v>
      </c>
      <c r="AJ46" s="566">
        <v>0</v>
      </c>
      <c r="AK46" s="566">
        <v>0</v>
      </c>
      <c r="AL46" s="566">
        <v>0</v>
      </c>
      <c r="AM46" s="566">
        <v>0</v>
      </c>
      <c r="AN46" s="566">
        <v>0</v>
      </c>
      <c r="AO46" s="566">
        <v>0</v>
      </c>
      <c r="AP46" s="566">
        <v>0</v>
      </c>
      <c r="AQ46" s="566">
        <v>0</v>
      </c>
      <c r="AR46" s="566">
        <v>0</v>
      </c>
      <c r="AS46" s="566">
        <v>0</v>
      </c>
      <c r="AT46" s="566">
        <v>0</v>
      </c>
      <c r="AU46" s="566">
        <v>0</v>
      </c>
      <c r="AV46" s="566">
        <v>50.610000000000014</v>
      </c>
    </row>
    <row r="47" spans="1:48" outlineLevel="1">
      <c r="A47" s="565" t="str">
        <f>IF(Definitions!L35&lt;&gt;"", Definitions!L35, "")</f>
        <v>Light fuel oil standalone generator (1kW)</v>
      </c>
      <c r="B47" s="565" t="str">
        <f>IF(Definitions!K35&lt;&gt;"", Definitions!K35, "")</f>
        <v>PWROHC003</v>
      </c>
      <c r="C47" s="566" cm="1">
        <f t="array" ref="C47:AV47">IF(B47="", "",
   TRANSPOSE(
       INDEX('OSeMOSYS (Input)'!$B$21:$AA$66, , MATCH(TRUE, ISNUMBER(SEARCH(B47, 'OSeMOSYS (Input)'!$B$10:$AB$10)), 0))
       - INDEX('OSeMOSYS (Input)'!$B$85:$AA$130, , MATCH(TRUE, ISNUMBER(SEARCH(B47, 'OSeMOSYS (Input)'!$B$74:$AA$74)), 0))
   )
   *
   IF('High Level Dashboard'!$B$5="Local Currency",
      INDEX('Financing Baseline'!$S$39:$BL$39, , MATCH(TRUE, ISNUMBER(SEARCH(B47, 'OSeMOSYS (Input)'!$B$10:$AB28)), 0)) /
      INDEX('Financing Baseline'!$S$38:$BL$38, , MATCH(TRUE, ISNUMBER(SEARCH(B47, 'OSeMOSYS (Input)'!$B$10:$AB28)), 0)),
      INDEX('Financing Baseline'!$S$38:$BL$38, , MATCH(TRUE, ISNUMBER(SEARCH(B47, 'OSeMOSYS (Input)'!$B$10:$AB$10)), 0))
   )
)</f>
        <v>0</v>
      </c>
      <c r="D47" s="566">
        <v>0</v>
      </c>
      <c r="E47" s="566">
        <v>0</v>
      </c>
      <c r="F47" s="566">
        <v>0</v>
      </c>
      <c r="G47" s="566">
        <v>0</v>
      </c>
      <c r="H47" s="566">
        <v>0</v>
      </c>
      <c r="I47" s="566">
        <v>0</v>
      </c>
      <c r="J47" s="566">
        <v>0</v>
      </c>
      <c r="K47" s="566">
        <v>0</v>
      </c>
      <c r="L47" s="566">
        <v>0</v>
      </c>
      <c r="M47" s="566">
        <v>0</v>
      </c>
      <c r="N47" s="566">
        <v>0</v>
      </c>
      <c r="O47" s="566">
        <v>0</v>
      </c>
      <c r="P47" s="566">
        <v>0</v>
      </c>
      <c r="Q47" s="566">
        <v>0</v>
      </c>
      <c r="R47" s="566">
        <v>0</v>
      </c>
      <c r="S47" s="566">
        <v>0</v>
      </c>
      <c r="T47" s="566">
        <v>0</v>
      </c>
      <c r="U47" s="566">
        <v>0</v>
      </c>
      <c r="V47" s="566">
        <v>0</v>
      </c>
      <c r="W47" s="566">
        <v>0</v>
      </c>
      <c r="X47" s="566">
        <v>0</v>
      </c>
      <c r="Y47" s="566">
        <v>0</v>
      </c>
      <c r="Z47" s="566">
        <v>0</v>
      </c>
      <c r="AA47" s="566">
        <v>0</v>
      </c>
      <c r="AB47" s="566">
        <v>0</v>
      </c>
      <c r="AC47" s="566">
        <v>0</v>
      </c>
      <c r="AD47" s="566">
        <v>0</v>
      </c>
      <c r="AE47" s="566">
        <v>0</v>
      </c>
      <c r="AF47" s="566">
        <v>0</v>
      </c>
      <c r="AG47" s="566">
        <v>0</v>
      </c>
      <c r="AH47" s="566">
        <v>0</v>
      </c>
      <c r="AI47" s="566">
        <v>0</v>
      </c>
      <c r="AJ47" s="566">
        <v>0</v>
      </c>
      <c r="AK47" s="566">
        <v>0</v>
      </c>
      <c r="AL47" s="566">
        <v>0</v>
      </c>
      <c r="AM47" s="566">
        <v>0</v>
      </c>
      <c r="AN47" s="566">
        <v>0</v>
      </c>
      <c r="AO47" s="566">
        <v>0</v>
      </c>
      <c r="AP47" s="566">
        <v>0</v>
      </c>
      <c r="AQ47" s="566">
        <v>0</v>
      </c>
      <c r="AR47" s="566">
        <v>0</v>
      </c>
      <c r="AS47" s="566">
        <v>0</v>
      </c>
      <c r="AT47" s="566">
        <v>0</v>
      </c>
      <c r="AU47" s="566">
        <v>0</v>
      </c>
      <c r="AV47" s="566">
        <v>0</v>
      </c>
    </row>
    <row r="48" spans="1:48" outlineLevel="1">
      <c r="A48" s="565" t="str">
        <f>IF(Definitions!L36&lt;&gt;"", Definitions!L36, "")</f>
        <v>Solar PV - distributed with storage</v>
      </c>
      <c r="B48" s="565" t="str">
        <f>IF(Definitions!K36&lt;&gt;"", Definitions!K36, "")</f>
        <v>PWRSOL002</v>
      </c>
      <c r="C48" s="566" cm="1">
        <f t="array" ref="C48:AV48">IF(B48="", "",
   TRANSPOSE(
       INDEX('OSeMOSYS (Input)'!$B$21:$AA$66, , MATCH(TRUE, ISNUMBER(SEARCH(B48, 'OSeMOSYS (Input)'!$B$10:$AB$10)), 0))
       - INDEX('OSeMOSYS (Input)'!$B$85:$AA$130, , MATCH(TRUE, ISNUMBER(SEARCH(B48, 'OSeMOSYS (Input)'!$B$74:$AA$74)), 0))
   )
   *
   IF('High Level Dashboard'!$B$5="Local Currency",
      INDEX('Financing Baseline'!$S$39:$BL$39, , MATCH(TRUE, ISNUMBER(SEARCH(B48, 'OSeMOSYS (Input)'!$B$10:$AB29)), 0)) /
      INDEX('Financing Baseline'!$S$38:$BL$38, , MATCH(TRUE, ISNUMBER(SEARCH(B48, 'OSeMOSYS (Input)'!$B$10:$AB29)), 0)),
      INDEX('Financing Baseline'!$S$38:$BL$38, , MATCH(TRUE, ISNUMBER(SEARCH(B48, 'OSeMOSYS (Input)'!$B$10:$AB$10)), 0))
   )
)</f>
        <v>0</v>
      </c>
      <c r="D48" s="566">
        <v>0</v>
      </c>
      <c r="E48" s="566">
        <v>0</v>
      </c>
      <c r="F48" s="566">
        <v>0</v>
      </c>
      <c r="G48" s="566">
        <v>0</v>
      </c>
      <c r="H48" s="566">
        <v>0</v>
      </c>
      <c r="I48" s="566">
        <v>0</v>
      </c>
      <c r="J48" s="566">
        <v>0</v>
      </c>
      <c r="K48" s="566">
        <v>0</v>
      </c>
      <c r="L48" s="566">
        <v>0</v>
      </c>
      <c r="M48" s="566">
        <v>0</v>
      </c>
      <c r="N48" s="566">
        <v>0</v>
      </c>
      <c r="O48" s="566">
        <v>0</v>
      </c>
      <c r="P48" s="566">
        <v>0</v>
      </c>
      <c r="Q48" s="566">
        <v>0</v>
      </c>
      <c r="R48" s="566">
        <v>0</v>
      </c>
      <c r="S48" s="566">
        <v>0</v>
      </c>
      <c r="T48" s="566">
        <v>0</v>
      </c>
      <c r="U48" s="566">
        <v>0</v>
      </c>
      <c r="V48" s="566">
        <v>0</v>
      </c>
      <c r="W48" s="566">
        <v>0</v>
      </c>
      <c r="X48" s="566">
        <v>0</v>
      </c>
      <c r="Y48" s="566">
        <v>0</v>
      </c>
      <c r="Z48" s="566">
        <v>0</v>
      </c>
      <c r="AA48" s="566">
        <v>0</v>
      </c>
      <c r="AB48" s="566">
        <v>0</v>
      </c>
      <c r="AC48" s="566">
        <v>0</v>
      </c>
      <c r="AD48" s="566">
        <v>0</v>
      </c>
      <c r="AE48" s="566">
        <v>0</v>
      </c>
      <c r="AF48" s="566">
        <v>0</v>
      </c>
      <c r="AG48" s="566">
        <v>0</v>
      </c>
      <c r="AH48" s="566">
        <v>0</v>
      </c>
      <c r="AI48" s="566">
        <v>0</v>
      </c>
      <c r="AJ48" s="566">
        <v>0</v>
      </c>
      <c r="AK48" s="566">
        <v>0</v>
      </c>
      <c r="AL48" s="566">
        <v>0</v>
      </c>
      <c r="AM48" s="566">
        <v>0</v>
      </c>
      <c r="AN48" s="566">
        <v>0</v>
      </c>
      <c r="AO48" s="566">
        <v>0</v>
      </c>
      <c r="AP48" s="566">
        <v>0</v>
      </c>
      <c r="AQ48" s="566">
        <v>0</v>
      </c>
      <c r="AR48" s="566">
        <v>0</v>
      </c>
      <c r="AS48" s="566">
        <v>0</v>
      </c>
      <c r="AT48" s="566">
        <v>0</v>
      </c>
      <c r="AU48" s="566">
        <v>0</v>
      </c>
      <c r="AV48" s="566">
        <v>0</v>
      </c>
    </row>
    <row r="49" spans="1:48" outlineLevel="1">
      <c r="A49" s="565" t="str">
        <f>IF(Definitions!L37&lt;&gt;"", Definitions!L37, "")</f>
        <v>Hydropower plant - Off-grid</v>
      </c>
      <c r="B49" s="565" t="str">
        <f>IF(Definitions!K37&lt;&gt;"", Definitions!K37, "")</f>
        <v>PWRHYD004</v>
      </c>
      <c r="C49" s="566" cm="1">
        <f t="array" ref="C49:AV49">IF(B49="", "",
   TRANSPOSE(
       INDEX('OSeMOSYS (Input)'!$B$21:$AA$66, , MATCH(TRUE, ISNUMBER(SEARCH(B49, 'OSeMOSYS (Input)'!$B$10:$AB$10)), 0))
       - INDEX('OSeMOSYS (Input)'!$B$85:$AA$130, , MATCH(TRUE, ISNUMBER(SEARCH(B49, 'OSeMOSYS (Input)'!$B$74:$AA$74)), 0))
   )
   *
   IF('High Level Dashboard'!$B$5="Local Currency",
      INDEX('Financing Baseline'!$S$39:$BL$39, , MATCH(TRUE, ISNUMBER(SEARCH(B49, 'OSeMOSYS (Input)'!$B$10:$AB30)), 0)) /
      INDEX('Financing Baseline'!$S$38:$BL$38, , MATCH(TRUE, ISNUMBER(SEARCH(B49, 'OSeMOSYS (Input)'!$B$10:$AB30)), 0)),
      INDEX('Financing Baseline'!$S$38:$BL$38, , MATCH(TRUE, ISNUMBER(SEARCH(B49, 'OSeMOSYS (Input)'!$B$10:$AB$10)), 0))
   )
)</f>
        <v>0</v>
      </c>
      <c r="D49" s="566">
        <v>0</v>
      </c>
      <c r="E49" s="566">
        <v>0</v>
      </c>
      <c r="F49" s="566">
        <v>0</v>
      </c>
      <c r="G49" s="566">
        <v>0</v>
      </c>
      <c r="H49" s="566">
        <v>0</v>
      </c>
      <c r="I49" s="566">
        <v>0</v>
      </c>
      <c r="J49" s="566">
        <v>0</v>
      </c>
      <c r="K49" s="566">
        <v>0</v>
      </c>
      <c r="L49" s="566">
        <v>0</v>
      </c>
      <c r="M49" s="566">
        <v>0</v>
      </c>
      <c r="N49" s="566">
        <v>0</v>
      </c>
      <c r="O49" s="566">
        <v>0</v>
      </c>
      <c r="P49" s="566">
        <v>0</v>
      </c>
      <c r="Q49" s="566">
        <v>0</v>
      </c>
      <c r="R49" s="566">
        <v>0</v>
      </c>
      <c r="S49" s="566">
        <v>0</v>
      </c>
      <c r="T49" s="566">
        <v>0</v>
      </c>
      <c r="U49" s="566">
        <v>0</v>
      </c>
      <c r="V49" s="566">
        <v>0</v>
      </c>
      <c r="W49" s="566">
        <v>0</v>
      </c>
      <c r="X49" s="566">
        <v>0</v>
      </c>
      <c r="Y49" s="566">
        <v>0</v>
      </c>
      <c r="Z49" s="566">
        <v>0</v>
      </c>
      <c r="AA49" s="566">
        <v>0</v>
      </c>
      <c r="AB49" s="566">
        <v>0</v>
      </c>
      <c r="AC49" s="566">
        <v>0</v>
      </c>
      <c r="AD49" s="566">
        <v>0</v>
      </c>
      <c r="AE49" s="566">
        <v>0</v>
      </c>
      <c r="AF49" s="566">
        <v>0</v>
      </c>
      <c r="AG49" s="566">
        <v>0</v>
      </c>
      <c r="AH49" s="566">
        <v>0</v>
      </c>
      <c r="AI49" s="566">
        <v>0</v>
      </c>
      <c r="AJ49" s="566">
        <v>0</v>
      </c>
      <c r="AK49" s="566">
        <v>0</v>
      </c>
      <c r="AL49" s="566">
        <v>0</v>
      </c>
      <c r="AM49" s="566">
        <v>0</v>
      </c>
      <c r="AN49" s="566">
        <v>0</v>
      </c>
      <c r="AO49" s="566">
        <v>0</v>
      </c>
      <c r="AP49" s="566">
        <v>0</v>
      </c>
      <c r="AQ49" s="566">
        <v>0</v>
      </c>
      <c r="AR49" s="566">
        <v>0</v>
      </c>
      <c r="AS49" s="566">
        <v>0</v>
      </c>
      <c r="AT49" s="566">
        <v>0</v>
      </c>
      <c r="AU49" s="566">
        <v>0</v>
      </c>
      <c r="AV49" s="566">
        <v>0</v>
      </c>
    </row>
    <row r="50" spans="1:48" outlineLevel="1">
      <c r="A50" s="565" t="str">
        <f>IF(Definitions!L38&lt;&gt;"", Definitions!L38, "")</f>
        <v>Solar PV - Utility with 2-hour storage</v>
      </c>
      <c r="B50" s="565" t="str">
        <f>IF(Definitions!K38&lt;&gt;"", Definitions!K38, "")</f>
        <v>PWRSOL001S</v>
      </c>
      <c r="C50" s="566" cm="1">
        <f t="array" ref="C50:AV50">IF(B50="", "",
   TRANSPOSE(
       INDEX('OSeMOSYS (Input)'!$B$21:$AA$66, , MATCH(TRUE, ISNUMBER(SEARCH(B50, 'OSeMOSYS (Input)'!$B$10:$AB$10)), 0))
       - INDEX('OSeMOSYS (Input)'!$B$85:$AA$130, , MATCH(TRUE, ISNUMBER(SEARCH(B50, 'OSeMOSYS (Input)'!$B$74:$AA$74)), 0))
   )
   *
   IF('High Level Dashboard'!$B$5="Local Currency",
      INDEX('Financing Baseline'!$S$39:$BL$39, , MATCH(TRUE, ISNUMBER(SEARCH(B50, 'OSeMOSYS (Input)'!$B$10:$AB31)), 0)) /
      INDEX('Financing Baseline'!$S$38:$BL$38, , MATCH(TRUE, ISNUMBER(SEARCH(B50, 'OSeMOSYS (Input)'!$B$10:$AB31)), 0)),
      INDEX('Financing Baseline'!$S$38:$BL$38, , MATCH(TRUE, ISNUMBER(SEARCH(B50, 'OSeMOSYS (Input)'!$B$10:$AB$10)), 0))
   )
)</f>
        <v>0</v>
      </c>
      <c r="D50" s="566">
        <v>0</v>
      </c>
      <c r="E50" s="566">
        <v>0</v>
      </c>
      <c r="F50" s="566">
        <v>0</v>
      </c>
      <c r="G50" s="566">
        <v>0</v>
      </c>
      <c r="H50" s="566">
        <v>0</v>
      </c>
      <c r="I50" s="566">
        <v>0</v>
      </c>
      <c r="J50" s="566">
        <v>0</v>
      </c>
      <c r="K50" s="566">
        <v>0</v>
      </c>
      <c r="L50" s="566">
        <v>0</v>
      </c>
      <c r="M50" s="566">
        <v>0</v>
      </c>
      <c r="N50" s="566">
        <v>0</v>
      </c>
      <c r="O50" s="566">
        <v>0</v>
      </c>
      <c r="P50" s="566">
        <v>0</v>
      </c>
      <c r="Q50" s="566">
        <v>0</v>
      </c>
      <c r="R50" s="566">
        <v>0</v>
      </c>
      <c r="S50" s="566">
        <v>0</v>
      </c>
      <c r="T50" s="566">
        <v>0</v>
      </c>
      <c r="U50" s="566">
        <v>0</v>
      </c>
      <c r="V50" s="566">
        <v>0</v>
      </c>
      <c r="W50" s="566">
        <v>0</v>
      </c>
      <c r="X50" s="566">
        <v>0</v>
      </c>
      <c r="Y50" s="566">
        <v>0</v>
      </c>
      <c r="Z50" s="566">
        <v>0</v>
      </c>
      <c r="AA50" s="566">
        <v>0</v>
      </c>
      <c r="AB50" s="566">
        <v>0</v>
      </c>
      <c r="AC50" s="566">
        <v>0</v>
      </c>
      <c r="AD50" s="566">
        <v>0</v>
      </c>
      <c r="AE50" s="566">
        <v>0</v>
      </c>
      <c r="AF50" s="566">
        <v>0</v>
      </c>
      <c r="AG50" s="566">
        <v>0</v>
      </c>
      <c r="AH50" s="566">
        <v>0</v>
      </c>
      <c r="AI50" s="566">
        <v>0</v>
      </c>
      <c r="AJ50" s="566">
        <v>0</v>
      </c>
      <c r="AK50" s="566">
        <v>0</v>
      </c>
      <c r="AL50" s="566">
        <v>0</v>
      </c>
      <c r="AM50" s="566">
        <v>0</v>
      </c>
      <c r="AN50" s="566">
        <v>0</v>
      </c>
      <c r="AO50" s="566">
        <v>0</v>
      </c>
      <c r="AP50" s="566">
        <v>0</v>
      </c>
      <c r="AQ50" s="566">
        <v>0</v>
      </c>
      <c r="AR50" s="566">
        <v>0</v>
      </c>
      <c r="AS50" s="566">
        <v>0</v>
      </c>
      <c r="AT50" s="566">
        <v>0</v>
      </c>
      <c r="AU50" s="566">
        <v>0</v>
      </c>
      <c r="AV50" s="566">
        <v>0</v>
      </c>
    </row>
    <row r="51" spans="1:48" outlineLevel="1">
      <c r="A51" s="565" t="str">
        <f>IF(Definitions!L39&lt;&gt;"", Definitions!L39, "")</f>
        <v>Onshore wind with storage</v>
      </c>
      <c r="B51" s="565" t="str">
        <f>IF(Definitions!K39&lt;&gt;"", Definitions!K39, "")</f>
        <v>PWRWND001S</v>
      </c>
      <c r="C51" s="566" cm="1">
        <f t="array" ref="C51:AV51">IF(B51="", "",
   TRANSPOSE(
       INDEX('OSeMOSYS (Input)'!$B$21:$AA$66, , MATCH(TRUE, ISNUMBER(SEARCH(B51, 'OSeMOSYS (Input)'!$B$10:$AB$10)), 0))
       - INDEX('OSeMOSYS (Input)'!$B$85:$AA$130, , MATCH(TRUE, ISNUMBER(SEARCH(B51, 'OSeMOSYS (Input)'!$B$74:$AA$74)), 0))
   )
   *
   IF('High Level Dashboard'!$B$5="Local Currency",
      INDEX('Financing Baseline'!$S$39:$BL$39, , MATCH(TRUE, ISNUMBER(SEARCH(B51, 'OSeMOSYS (Input)'!$B$10:$AB32)), 0)) /
      INDEX('Financing Baseline'!$S$38:$BL$38, , MATCH(TRUE, ISNUMBER(SEARCH(B51, 'OSeMOSYS (Input)'!$B$10:$AB32)), 0)),
      INDEX('Financing Baseline'!$S$38:$BL$38, , MATCH(TRUE, ISNUMBER(SEARCH(B51, 'OSeMOSYS (Input)'!$B$10:$AB$10)), 0))
   )
)</f>
        <v>0</v>
      </c>
      <c r="D51" s="566">
        <v>0</v>
      </c>
      <c r="E51" s="566">
        <v>0</v>
      </c>
      <c r="F51" s="566">
        <v>0</v>
      </c>
      <c r="G51" s="566">
        <v>0</v>
      </c>
      <c r="H51" s="566">
        <v>0</v>
      </c>
      <c r="I51" s="566">
        <v>0</v>
      </c>
      <c r="J51" s="566">
        <v>0</v>
      </c>
      <c r="K51" s="566">
        <v>0</v>
      </c>
      <c r="L51" s="566">
        <v>0</v>
      </c>
      <c r="M51" s="566">
        <v>0</v>
      </c>
      <c r="N51" s="566">
        <v>0</v>
      </c>
      <c r="O51" s="566">
        <v>0</v>
      </c>
      <c r="P51" s="566">
        <v>0</v>
      </c>
      <c r="Q51" s="566">
        <v>0</v>
      </c>
      <c r="R51" s="566">
        <v>0</v>
      </c>
      <c r="S51" s="566">
        <v>0</v>
      </c>
      <c r="T51" s="566">
        <v>0</v>
      </c>
      <c r="U51" s="566">
        <v>0</v>
      </c>
      <c r="V51" s="566">
        <v>0</v>
      </c>
      <c r="W51" s="566">
        <v>0</v>
      </c>
      <c r="X51" s="566">
        <v>0</v>
      </c>
      <c r="Y51" s="566">
        <v>0</v>
      </c>
      <c r="Z51" s="566">
        <v>0</v>
      </c>
      <c r="AA51" s="566">
        <v>0</v>
      </c>
      <c r="AB51" s="566">
        <v>0</v>
      </c>
      <c r="AC51" s="566">
        <v>0</v>
      </c>
      <c r="AD51" s="566">
        <v>0</v>
      </c>
      <c r="AE51" s="566">
        <v>0</v>
      </c>
      <c r="AF51" s="566">
        <v>0</v>
      </c>
      <c r="AG51" s="566">
        <v>0</v>
      </c>
      <c r="AH51" s="566">
        <v>0</v>
      </c>
      <c r="AI51" s="566">
        <v>0</v>
      </c>
      <c r="AJ51" s="566">
        <v>0</v>
      </c>
      <c r="AK51" s="566">
        <v>0</v>
      </c>
      <c r="AL51" s="566">
        <v>0</v>
      </c>
      <c r="AM51" s="566">
        <v>0</v>
      </c>
      <c r="AN51" s="566">
        <v>0</v>
      </c>
      <c r="AO51" s="566">
        <v>0</v>
      </c>
      <c r="AP51" s="566">
        <v>0</v>
      </c>
      <c r="AQ51" s="566">
        <v>0</v>
      </c>
      <c r="AR51" s="566">
        <v>0</v>
      </c>
      <c r="AS51" s="566">
        <v>0</v>
      </c>
      <c r="AT51" s="566">
        <v>0</v>
      </c>
      <c r="AU51" s="566">
        <v>0</v>
      </c>
      <c r="AV51" s="566">
        <v>0</v>
      </c>
    </row>
    <row r="52" spans="1:48" outlineLevel="1">
      <c r="A52" s="565" t="str">
        <f>IF(Definitions!L40&lt;&gt;"", Definitions!L40, "")</f>
        <v>Battery</v>
      </c>
      <c r="B52" s="565" t="str">
        <f>IF(Definitions!K40&lt;&gt;"", Definitions!K40, "")</f>
        <v>BESS</v>
      </c>
      <c r="C52" s="566" cm="1">
        <f t="array" ref="C52:AV52">IF(B52="", "",
   TRANSPOSE(
       INDEX('OSeMOSYS (Input)'!$B$21:$AA$66, , MATCH(TRUE, ISNUMBER(SEARCH(B52, 'OSeMOSYS (Input)'!$B$10:$AB$10)), 0))
       - INDEX('OSeMOSYS (Input)'!$B$85:$AA$130, , MATCH(TRUE, ISNUMBER(SEARCH(B52, 'OSeMOSYS (Input)'!$B$74:$AA$74)), 0))
   )
   *
   IF('High Level Dashboard'!$B$5="Local Currency",
      INDEX('Financing Baseline'!$S$39:$BL$39, , MATCH(TRUE, ISNUMBER(SEARCH(B52, 'OSeMOSYS (Input)'!$B$10:$AB33)), 0)) /
      INDEX('Financing Baseline'!$S$38:$BL$38, , MATCH(TRUE, ISNUMBER(SEARCH(B52, 'OSeMOSYS (Input)'!$B$10:$AB33)), 0)),
      INDEX('Financing Baseline'!$S$38:$BL$38, , MATCH(TRUE, ISNUMBER(SEARCH(B52, 'OSeMOSYS (Input)'!$B$10:$AB$10)), 0))
   )
)</f>
        <v>0</v>
      </c>
      <c r="D52" s="566">
        <v>0</v>
      </c>
      <c r="E52" s="566">
        <v>0</v>
      </c>
      <c r="F52" s="566">
        <v>0</v>
      </c>
      <c r="G52" s="566">
        <v>0</v>
      </c>
      <c r="H52" s="566">
        <v>0</v>
      </c>
      <c r="I52" s="566">
        <v>0</v>
      </c>
      <c r="J52" s="566">
        <v>0</v>
      </c>
      <c r="K52" s="566">
        <v>0</v>
      </c>
      <c r="L52" s="566">
        <v>0</v>
      </c>
      <c r="M52" s="566">
        <v>0</v>
      </c>
      <c r="N52" s="566">
        <v>0</v>
      </c>
      <c r="O52" s="566">
        <v>0</v>
      </c>
      <c r="P52" s="566">
        <v>0</v>
      </c>
      <c r="Q52" s="566">
        <v>0</v>
      </c>
      <c r="R52" s="566">
        <v>0</v>
      </c>
      <c r="S52" s="566">
        <v>0</v>
      </c>
      <c r="T52" s="566">
        <v>0</v>
      </c>
      <c r="U52" s="566">
        <v>0</v>
      </c>
      <c r="V52" s="566">
        <v>0</v>
      </c>
      <c r="W52" s="566">
        <v>0</v>
      </c>
      <c r="X52" s="566">
        <v>0</v>
      </c>
      <c r="Y52" s="566">
        <v>0</v>
      </c>
      <c r="Z52" s="566">
        <v>0</v>
      </c>
      <c r="AA52" s="566">
        <v>0</v>
      </c>
      <c r="AB52" s="566">
        <v>0</v>
      </c>
      <c r="AC52" s="566">
        <v>0</v>
      </c>
      <c r="AD52" s="566">
        <v>0</v>
      </c>
      <c r="AE52" s="566">
        <v>0</v>
      </c>
      <c r="AF52" s="566">
        <v>0</v>
      </c>
      <c r="AG52" s="566">
        <v>0</v>
      </c>
      <c r="AH52" s="566">
        <v>0</v>
      </c>
      <c r="AI52" s="566">
        <v>0</v>
      </c>
      <c r="AJ52" s="566">
        <v>0</v>
      </c>
      <c r="AK52" s="566">
        <v>0</v>
      </c>
      <c r="AL52" s="566">
        <v>0</v>
      </c>
      <c r="AM52" s="566">
        <v>0</v>
      </c>
      <c r="AN52" s="566">
        <v>0</v>
      </c>
      <c r="AO52" s="566">
        <v>0</v>
      </c>
      <c r="AP52" s="566">
        <v>0</v>
      </c>
      <c r="AQ52" s="566">
        <v>0</v>
      </c>
      <c r="AR52" s="566">
        <v>0</v>
      </c>
      <c r="AS52" s="566">
        <v>0</v>
      </c>
      <c r="AT52" s="566">
        <v>0</v>
      </c>
      <c r="AU52" s="566">
        <v>0</v>
      </c>
      <c r="AV52" s="566">
        <v>0</v>
      </c>
    </row>
    <row r="53" spans="1:48" outlineLevel="1">
      <c r="A53" s="565" t="str">
        <f>IF(Definitions!L41&lt;&gt;"", Definitions!L41, "")</f>
        <v/>
      </c>
      <c r="B53" s="565" t="str">
        <f>IF(Definitions!K41&lt;&gt;"", Definitions!K41, "")</f>
        <v/>
      </c>
      <c r="C53" s="566" t="str" cm="1">
        <f t="array" ref="C53">IF(B53="", "",
   TRANSPOSE(
       INDEX('OSeMOSYS (Input)'!$B$21:$AA$66, , MATCH(TRUE, ISNUMBER(SEARCH(B53, 'OSeMOSYS (Input)'!$B$10:$AB$10)), 0))
       - INDEX('OSeMOSYS (Input)'!$B$85:$AA$130, , MATCH(TRUE, ISNUMBER(SEARCH(B53, 'OSeMOSYS (Input)'!$B$74:$AA$74)), 0))
   )
   *
   IF('High Level Dashboard'!$B$5="Local Currency",
      INDEX('Financing Baseline'!$S$39:$BL$39, , MATCH(TRUE, ISNUMBER(SEARCH(B53, 'OSeMOSYS (Input)'!$B$10:$AB34)), 0)) /
      INDEX('Financing Baseline'!$S$38:$BL$38, , MATCH(TRUE, ISNUMBER(SEARCH(B53, 'OSeMOSYS (Input)'!$B$10:$AB34)), 0)),
      INDEX('Financing Baseline'!$S$38:$BL$38, , MATCH(TRUE, ISNUMBER(SEARCH(B53, 'OSeMOSYS (Input)'!$B$10:$AB$10)), 0))
   )
)</f>
        <v/>
      </c>
      <c r="D53" s="566"/>
      <c r="E53" s="566"/>
      <c r="F53" s="566"/>
      <c r="G53" s="566"/>
      <c r="H53" s="566"/>
      <c r="I53" s="566"/>
      <c r="J53" s="566"/>
      <c r="K53" s="566"/>
      <c r="L53" s="566"/>
      <c r="M53" s="566"/>
      <c r="N53" s="566"/>
      <c r="O53" s="566"/>
      <c r="P53" s="566"/>
      <c r="Q53" s="566"/>
      <c r="R53" s="566"/>
      <c r="S53" s="566"/>
      <c r="T53" s="566"/>
      <c r="U53" s="566"/>
      <c r="V53" s="566"/>
      <c r="W53" s="566"/>
      <c r="X53" s="566"/>
      <c r="Y53" s="566"/>
      <c r="Z53" s="566"/>
      <c r="AA53" s="566"/>
      <c r="AB53" s="566"/>
      <c r="AC53" s="566"/>
      <c r="AD53" s="566"/>
      <c r="AE53" s="566"/>
      <c r="AF53" s="566"/>
      <c r="AG53" s="566"/>
      <c r="AH53" s="566"/>
      <c r="AI53" s="566"/>
      <c r="AJ53" s="566"/>
      <c r="AK53" s="566"/>
      <c r="AL53" s="566"/>
      <c r="AM53" s="566"/>
      <c r="AN53" s="566"/>
      <c r="AO53" s="566"/>
      <c r="AP53" s="566"/>
      <c r="AQ53" s="566"/>
      <c r="AR53" s="566"/>
      <c r="AS53" s="566"/>
      <c r="AT53" s="566"/>
      <c r="AU53" s="566"/>
      <c r="AV53" s="566"/>
    </row>
    <row r="54" spans="1:48" outlineLevel="1">
      <c r="A54" s="565" t="str">
        <f>IF(Definitions!L42&lt;&gt;"", Definitions!L42, "")</f>
        <v/>
      </c>
      <c r="B54" s="565" t="str">
        <f>IF(Definitions!K42&lt;&gt;"", Definitions!K42, "")</f>
        <v/>
      </c>
      <c r="C54" s="566" t="str" cm="1">
        <f t="array" ref="C54">IF(B54="", "",
   TRANSPOSE(
       INDEX('OSeMOSYS (Input)'!$B$21:$AA$66, , MATCH(TRUE, ISNUMBER(SEARCH(B54, 'OSeMOSYS (Input)'!$B$10:$AB$10)), 0))
       - INDEX('OSeMOSYS (Input)'!$B$85:$AA$130, , MATCH(TRUE, ISNUMBER(SEARCH(B54, 'OSeMOSYS (Input)'!$B$74:$AA$74)), 0))
   )
   *
   IF('High Level Dashboard'!$B$5="Local Currency",
      INDEX('Financing Baseline'!$S$39:$BL$39, , MATCH(TRUE, ISNUMBER(SEARCH(B54, 'OSeMOSYS (Input)'!$B$10:$AB35)), 0)) /
      INDEX('Financing Baseline'!$S$38:$BL$38, , MATCH(TRUE, ISNUMBER(SEARCH(B54, 'OSeMOSYS (Input)'!$B$10:$AB35)), 0)),
      INDEX('Financing Baseline'!$S$38:$BL$38, , MATCH(TRUE, ISNUMBER(SEARCH(B54, 'OSeMOSYS (Input)'!$B$10:$AB$10)), 0))
   )
)</f>
        <v/>
      </c>
      <c r="D54" s="566"/>
      <c r="E54" s="566"/>
      <c r="F54" s="566"/>
      <c r="G54" s="566"/>
      <c r="H54" s="566"/>
      <c r="I54" s="566"/>
      <c r="J54" s="566"/>
      <c r="K54" s="566"/>
      <c r="L54" s="566"/>
      <c r="M54" s="566"/>
      <c r="N54" s="566"/>
      <c r="O54" s="566"/>
      <c r="P54" s="566"/>
      <c r="Q54" s="566"/>
      <c r="R54" s="566"/>
      <c r="S54" s="566"/>
      <c r="T54" s="566"/>
      <c r="U54" s="566"/>
      <c r="V54" s="566"/>
      <c r="W54" s="566"/>
      <c r="X54" s="566"/>
      <c r="Y54" s="566"/>
      <c r="Z54" s="566"/>
      <c r="AA54" s="566"/>
      <c r="AB54" s="566"/>
      <c r="AC54" s="566"/>
      <c r="AD54" s="566"/>
      <c r="AE54" s="566"/>
      <c r="AF54" s="566"/>
      <c r="AG54" s="566"/>
      <c r="AH54" s="566"/>
      <c r="AI54" s="566"/>
      <c r="AJ54" s="566"/>
      <c r="AK54" s="566"/>
      <c r="AL54" s="566"/>
      <c r="AM54" s="566"/>
      <c r="AN54" s="566"/>
      <c r="AO54" s="566"/>
      <c r="AP54" s="566"/>
      <c r="AQ54" s="566"/>
      <c r="AR54" s="566"/>
      <c r="AS54" s="566"/>
      <c r="AT54" s="566"/>
      <c r="AU54" s="566"/>
      <c r="AV54" s="566"/>
    </row>
    <row r="55" spans="1:48" outlineLevel="1">
      <c r="A55" s="565" t="str">
        <f>IF(Definitions!L43&lt;&gt;"", Definitions!L43, "")</f>
        <v/>
      </c>
      <c r="B55" s="565" t="str">
        <f>IF(Definitions!K43&lt;&gt;"", Definitions!K43, "")</f>
        <v/>
      </c>
      <c r="C55" s="566" t="str" cm="1">
        <f t="array" ref="C55">IF(B55="", "",
   TRANSPOSE(
       INDEX('OSeMOSYS (Input)'!$B$21:$AA$66, , MATCH(TRUE, ISNUMBER(SEARCH(B55, 'OSeMOSYS (Input)'!$B$10:$AB$10)), 0))
       - INDEX('OSeMOSYS (Input)'!$B$85:$AA$130, , MATCH(TRUE, ISNUMBER(SEARCH(B55, 'OSeMOSYS (Input)'!$B$74:$AA$74)), 0))
   )
   *
   IF('High Level Dashboard'!$B$5="Local Currency",
      INDEX('Financing Baseline'!$S$39:$BL$39, , MATCH(TRUE, ISNUMBER(SEARCH(B55, 'OSeMOSYS (Input)'!$B$10:$AB36)), 0)) /
      INDEX('Financing Baseline'!$S$38:$BL$38, , MATCH(TRUE, ISNUMBER(SEARCH(B55, 'OSeMOSYS (Input)'!$B$10:$AB36)), 0)),
      INDEX('Financing Baseline'!$S$38:$BL$38, , MATCH(TRUE, ISNUMBER(SEARCH(B55, 'OSeMOSYS (Input)'!$B$10:$AB$10)), 0))
   )
)</f>
        <v/>
      </c>
      <c r="D55" s="566"/>
      <c r="E55" s="566"/>
      <c r="F55" s="566"/>
      <c r="G55" s="566"/>
      <c r="H55" s="566"/>
      <c r="I55" s="566"/>
      <c r="J55" s="566"/>
      <c r="K55" s="566"/>
      <c r="L55" s="566"/>
      <c r="M55" s="566"/>
      <c r="N55" s="566"/>
      <c r="O55" s="566"/>
      <c r="P55" s="566"/>
      <c r="Q55" s="566"/>
      <c r="R55" s="566"/>
      <c r="S55" s="566"/>
      <c r="T55" s="566"/>
      <c r="U55" s="566"/>
      <c r="V55" s="566"/>
      <c r="W55" s="566"/>
      <c r="X55" s="566"/>
      <c r="Y55" s="566"/>
      <c r="Z55" s="566"/>
      <c r="AA55" s="566"/>
      <c r="AB55" s="566"/>
      <c r="AC55" s="566"/>
      <c r="AD55" s="566"/>
      <c r="AE55" s="566"/>
      <c r="AF55" s="566"/>
      <c r="AG55" s="566"/>
      <c r="AH55" s="566"/>
      <c r="AI55" s="566"/>
      <c r="AJ55" s="566"/>
      <c r="AK55" s="566"/>
      <c r="AL55" s="566"/>
      <c r="AM55" s="566"/>
      <c r="AN55" s="566"/>
      <c r="AO55" s="566"/>
      <c r="AP55" s="566"/>
      <c r="AQ55" s="566"/>
      <c r="AR55" s="566"/>
      <c r="AS55" s="566"/>
      <c r="AT55" s="566"/>
      <c r="AU55" s="566"/>
      <c r="AV55" s="566"/>
    </row>
    <row r="56" spans="1:48" outlineLevel="1">
      <c r="A56" s="565" t="str">
        <f>IF(Definitions!L44&lt;&gt;"", Definitions!L44, "")</f>
        <v/>
      </c>
      <c r="B56" s="565" t="str">
        <f>IF(Definitions!K44&lt;&gt;"", Definitions!K44, "")</f>
        <v/>
      </c>
      <c r="C56" s="566" t="str" cm="1">
        <f t="array" ref="C56">IF(B56="", "",
   TRANSPOSE(
       INDEX('OSeMOSYS (Input)'!$B$21:$AA$66, , MATCH(TRUE, ISNUMBER(SEARCH(B56, 'OSeMOSYS (Input)'!$B$10:$AB$10)), 0))
       - INDEX('OSeMOSYS (Input)'!$B$85:$AA$130, , MATCH(TRUE, ISNUMBER(SEARCH(B56, 'OSeMOSYS (Input)'!$B$74:$AA$74)), 0))
   )
   *
   IF('High Level Dashboard'!$B$5="Local Currency",
      INDEX('Financing Baseline'!$S$39:$BL$39, , MATCH(TRUE, ISNUMBER(SEARCH(B56, 'OSeMOSYS (Input)'!$B$10:$AB37)), 0)) /
      INDEX('Financing Baseline'!$S$38:$BL$38, , MATCH(TRUE, ISNUMBER(SEARCH(B56, 'OSeMOSYS (Input)'!$B$10:$AB37)), 0)),
      INDEX('Financing Baseline'!$S$38:$BL$38, , MATCH(TRUE, ISNUMBER(SEARCH(B56, 'OSeMOSYS (Input)'!$B$10:$AB$10)), 0))
   )
)</f>
        <v/>
      </c>
      <c r="D56" s="566"/>
      <c r="E56" s="566"/>
      <c r="F56" s="566"/>
      <c r="G56" s="566"/>
      <c r="H56" s="566"/>
      <c r="I56" s="566"/>
      <c r="J56" s="566"/>
      <c r="K56" s="566"/>
      <c r="L56" s="566"/>
      <c r="M56" s="566"/>
      <c r="N56" s="566"/>
      <c r="O56" s="566"/>
      <c r="P56" s="566"/>
      <c r="Q56" s="566"/>
      <c r="R56" s="566"/>
      <c r="S56" s="566"/>
      <c r="T56" s="566"/>
      <c r="U56" s="566"/>
      <c r="V56" s="566"/>
      <c r="W56" s="566"/>
      <c r="X56" s="566"/>
      <c r="Y56" s="566"/>
      <c r="Z56" s="566"/>
      <c r="AA56" s="566"/>
      <c r="AB56" s="566"/>
      <c r="AC56" s="566"/>
      <c r="AD56" s="566"/>
      <c r="AE56" s="566"/>
      <c r="AF56" s="566"/>
      <c r="AG56" s="566"/>
      <c r="AH56" s="566"/>
      <c r="AI56" s="566"/>
      <c r="AJ56" s="566"/>
      <c r="AK56" s="566"/>
      <c r="AL56" s="566"/>
      <c r="AM56" s="566"/>
      <c r="AN56" s="566"/>
      <c r="AO56" s="566"/>
      <c r="AP56" s="566"/>
      <c r="AQ56" s="566"/>
      <c r="AR56" s="566"/>
      <c r="AS56" s="566"/>
      <c r="AT56" s="566"/>
      <c r="AU56" s="566"/>
      <c r="AV56" s="566"/>
    </row>
    <row r="57" spans="1:48" outlineLevel="1">
      <c r="A57" s="565" t="str">
        <f>IF(Definitions!L45&lt;&gt;"", Definitions!L45, "")</f>
        <v/>
      </c>
      <c r="B57" s="565" t="str">
        <f>IF(Definitions!K45&lt;&gt;"", Definitions!K45, "")</f>
        <v/>
      </c>
      <c r="C57" s="566" t="str" cm="1">
        <f t="array" ref="C57">IF(B57="", "",
   TRANSPOSE(
       INDEX('OSeMOSYS (Input)'!$B$21:$AA$66, , MATCH(TRUE, ISNUMBER(SEARCH(B57, 'OSeMOSYS (Input)'!$B$10:$AB$10)), 0))
       - INDEX('OSeMOSYS (Input)'!$B$85:$AA$130, , MATCH(TRUE, ISNUMBER(SEARCH(B57, 'OSeMOSYS (Input)'!$B$74:$AA$74)), 0))
   )
   *
   IF('High Level Dashboard'!$B$5="Local Currency",
      INDEX('Financing Baseline'!$S$39:$BL$39, , MATCH(TRUE, ISNUMBER(SEARCH(B57, 'OSeMOSYS (Input)'!$B$10:$AB38)), 0)) /
      INDEX('Financing Baseline'!$S$38:$BL$38, , MATCH(TRUE, ISNUMBER(SEARCH(B57, 'OSeMOSYS (Input)'!$B$10:$AB38)), 0)),
      INDEX('Financing Baseline'!$S$38:$BL$38, , MATCH(TRUE, ISNUMBER(SEARCH(B57, 'OSeMOSYS (Input)'!$B$10:$AB$10)), 0))
   )
)</f>
        <v/>
      </c>
      <c r="D57" s="566"/>
      <c r="E57" s="566"/>
      <c r="F57" s="566"/>
      <c r="G57" s="566"/>
      <c r="H57" s="566"/>
      <c r="I57" s="566"/>
      <c r="J57" s="566"/>
      <c r="K57" s="566"/>
      <c r="L57" s="566"/>
      <c r="M57" s="566"/>
      <c r="N57" s="566"/>
      <c r="O57" s="566"/>
      <c r="P57" s="566"/>
      <c r="Q57" s="566"/>
      <c r="R57" s="566"/>
      <c r="S57" s="566"/>
      <c r="T57" s="566"/>
      <c r="U57" s="566"/>
      <c r="V57" s="566"/>
      <c r="W57" s="566"/>
      <c r="X57" s="566"/>
      <c r="Y57" s="566"/>
      <c r="Z57" s="566"/>
      <c r="AA57" s="566"/>
      <c r="AB57" s="566"/>
      <c r="AC57" s="566"/>
      <c r="AD57" s="566"/>
      <c r="AE57" s="566"/>
      <c r="AF57" s="566"/>
      <c r="AG57" s="566"/>
      <c r="AH57" s="566"/>
      <c r="AI57" s="566"/>
      <c r="AJ57" s="566"/>
      <c r="AK57" s="566"/>
      <c r="AL57" s="566"/>
      <c r="AM57" s="566"/>
      <c r="AN57" s="566"/>
      <c r="AO57" s="566"/>
      <c r="AP57" s="566"/>
      <c r="AQ57" s="566"/>
      <c r="AR57" s="566"/>
      <c r="AS57" s="566"/>
      <c r="AT57" s="566"/>
      <c r="AU57" s="566"/>
      <c r="AV57" s="566"/>
    </row>
    <row r="58" spans="1:48" outlineLevel="1">
      <c r="A58" s="565" t="str">
        <f>IF(Definitions!L46&lt;&gt;"", Definitions!L46, "")</f>
        <v/>
      </c>
      <c r="B58" s="565" t="str">
        <f>IF(Definitions!K46&lt;&gt;"", Definitions!K46, "")</f>
        <v/>
      </c>
      <c r="C58" s="566" t="str" cm="1">
        <f t="array" ref="C58">IF(B58="", "",
   TRANSPOSE(
       INDEX('OSeMOSYS (Input)'!$B$21:$AA$66, , MATCH(TRUE, ISNUMBER(SEARCH(B58, 'OSeMOSYS (Input)'!$B$10:$AB$10)), 0))
       - INDEX('OSeMOSYS (Input)'!$B$85:$AA$130, , MATCH(TRUE, ISNUMBER(SEARCH(B58, 'OSeMOSYS (Input)'!$B$74:$AA$74)), 0))
   )
   *
   IF('High Level Dashboard'!$B$5="Local Currency",
      INDEX('Financing Baseline'!$S$39:$BL$39, , MATCH(TRUE, ISNUMBER(SEARCH(B58, 'OSeMOSYS (Input)'!$B$10:$AB39)), 0)) /
      INDEX('Financing Baseline'!$S$38:$BL$38, , MATCH(TRUE, ISNUMBER(SEARCH(B58, 'OSeMOSYS (Input)'!$B$10:$AB39)), 0)),
      INDEX('Financing Baseline'!$S$38:$BL$38, , MATCH(TRUE, ISNUMBER(SEARCH(B58, 'OSeMOSYS (Input)'!$B$10:$AB$10)), 0))
   )
)</f>
        <v/>
      </c>
      <c r="D58" s="566"/>
      <c r="E58" s="566"/>
      <c r="F58" s="566"/>
      <c r="G58" s="566"/>
      <c r="H58" s="566"/>
      <c r="I58" s="566"/>
      <c r="J58" s="566"/>
      <c r="K58" s="566"/>
      <c r="L58" s="566"/>
      <c r="M58" s="566"/>
      <c r="N58" s="566"/>
      <c r="O58" s="566"/>
      <c r="P58" s="566"/>
      <c r="Q58" s="566"/>
      <c r="R58" s="566"/>
      <c r="S58" s="566"/>
      <c r="T58" s="566"/>
      <c r="U58" s="566"/>
      <c r="V58" s="566"/>
      <c r="W58" s="566"/>
      <c r="X58" s="566"/>
      <c r="Y58" s="566"/>
      <c r="Z58" s="566"/>
      <c r="AA58" s="566"/>
      <c r="AB58" s="566"/>
      <c r="AC58" s="566"/>
      <c r="AD58" s="566"/>
      <c r="AE58" s="566"/>
      <c r="AF58" s="566"/>
      <c r="AG58" s="566"/>
      <c r="AH58" s="566"/>
      <c r="AI58" s="566"/>
      <c r="AJ58" s="566"/>
      <c r="AK58" s="566"/>
      <c r="AL58" s="566"/>
      <c r="AM58" s="566"/>
      <c r="AN58" s="566"/>
      <c r="AO58" s="566"/>
      <c r="AP58" s="566"/>
      <c r="AQ58" s="566"/>
      <c r="AR58" s="566"/>
      <c r="AS58" s="566"/>
      <c r="AT58" s="566"/>
      <c r="AU58" s="566"/>
      <c r="AV58" s="566"/>
    </row>
    <row r="59" spans="1:48" outlineLevel="1">
      <c r="A59" s="565" t="str">
        <f>IF(Definitions!L47&lt;&gt;"", Definitions!L47, "")</f>
        <v/>
      </c>
      <c r="B59" s="565" t="str">
        <f>IF(Definitions!K47&lt;&gt;"", Definitions!K47, "")</f>
        <v/>
      </c>
      <c r="C59" s="566" t="str" cm="1">
        <f t="array" ref="C59">IF(B59="", "",
   TRANSPOSE(
       INDEX('OSeMOSYS (Input)'!$B$21:$AA$66, , MATCH(TRUE, ISNUMBER(SEARCH(B59, 'OSeMOSYS (Input)'!$B$10:$AB$10)), 0))
       - INDEX('OSeMOSYS (Input)'!$B$85:$AA$130, , MATCH(TRUE, ISNUMBER(SEARCH(B59, 'OSeMOSYS (Input)'!$B$74:$AA$74)), 0))
   )
   *
   IF('High Level Dashboard'!$B$5="Local Currency",
      INDEX('Financing Baseline'!$S$39:$BL$39, , MATCH(TRUE, ISNUMBER(SEARCH(B59, 'OSeMOSYS (Input)'!$B$10:$AB40)), 0)) /
      INDEX('Financing Baseline'!$S$38:$BL$38, , MATCH(TRUE, ISNUMBER(SEARCH(B59, 'OSeMOSYS (Input)'!$B$10:$AB40)), 0)),
      INDEX('Financing Baseline'!$S$38:$BL$38, , MATCH(TRUE, ISNUMBER(SEARCH(B59, 'OSeMOSYS (Input)'!$B$10:$AB$10)), 0))
   )
)</f>
        <v/>
      </c>
      <c r="D59" s="566"/>
      <c r="E59" s="566"/>
      <c r="F59" s="566"/>
      <c r="G59" s="566"/>
      <c r="H59" s="566"/>
      <c r="I59" s="566"/>
      <c r="J59" s="566"/>
      <c r="K59" s="566"/>
      <c r="L59" s="566"/>
      <c r="M59" s="566"/>
      <c r="N59" s="566"/>
      <c r="O59" s="566"/>
      <c r="P59" s="566"/>
      <c r="Q59" s="566"/>
      <c r="R59" s="566"/>
      <c r="S59" s="566"/>
      <c r="T59" s="566"/>
      <c r="U59" s="566"/>
      <c r="V59" s="566"/>
      <c r="W59" s="566"/>
      <c r="X59" s="566"/>
      <c r="Y59" s="566"/>
      <c r="Z59" s="566"/>
      <c r="AA59" s="566"/>
      <c r="AB59" s="566"/>
      <c r="AC59" s="566"/>
      <c r="AD59" s="566"/>
      <c r="AE59" s="566"/>
      <c r="AF59" s="566"/>
      <c r="AG59" s="566"/>
      <c r="AH59" s="566"/>
      <c r="AI59" s="566"/>
      <c r="AJ59" s="566"/>
      <c r="AK59" s="566"/>
      <c r="AL59" s="566"/>
      <c r="AM59" s="566"/>
      <c r="AN59" s="566"/>
      <c r="AO59" s="566"/>
      <c r="AP59" s="566"/>
      <c r="AQ59" s="566"/>
      <c r="AR59" s="566"/>
      <c r="AS59" s="566"/>
      <c r="AT59" s="566"/>
      <c r="AU59" s="566"/>
      <c r="AV59" s="566"/>
    </row>
    <row r="60" spans="1:48" outlineLevel="1">
      <c r="A60" s="565" t="str">
        <f>IF(Definitions!L48&lt;&gt;"", Definitions!L48, "")</f>
        <v/>
      </c>
      <c r="B60" s="565" t="str">
        <f>IF(Definitions!K48&lt;&gt;"", Definitions!K48, "")</f>
        <v/>
      </c>
      <c r="C60" s="566" t="str" cm="1">
        <f t="array" ref="C60">IF(B60="", "",
   TRANSPOSE(
       INDEX('OSeMOSYS (Input)'!$B$21:$AA$66, , MATCH(TRUE, ISNUMBER(SEARCH(B60, 'OSeMOSYS (Input)'!$B$10:$AB$10)), 0))
       - INDEX('OSeMOSYS (Input)'!$B$85:$AA$130, , MATCH(TRUE, ISNUMBER(SEARCH(B60, 'OSeMOSYS (Input)'!$B$74:$AA$74)), 0))
   )
   *
   IF('High Level Dashboard'!$B$5="Local Currency",
      INDEX('Financing Baseline'!$S$39:$BL$39, , MATCH(TRUE, ISNUMBER(SEARCH(B60, 'OSeMOSYS (Input)'!$B$10:$AB41)), 0)) /
      INDEX('Financing Baseline'!$S$38:$BL$38, , MATCH(TRUE, ISNUMBER(SEARCH(B60, 'OSeMOSYS (Input)'!$B$10:$AB41)), 0)),
      INDEX('Financing Baseline'!$S$38:$BL$38, , MATCH(TRUE, ISNUMBER(SEARCH(B60, 'OSeMOSYS (Input)'!$B$10:$AB$10)), 0))
   )
)</f>
        <v/>
      </c>
      <c r="D60" s="566"/>
      <c r="E60" s="566"/>
      <c r="F60" s="566"/>
      <c r="G60" s="566"/>
      <c r="H60" s="566"/>
      <c r="I60" s="566"/>
      <c r="J60" s="566"/>
      <c r="K60" s="566"/>
      <c r="L60" s="566"/>
      <c r="M60" s="566"/>
      <c r="N60" s="566"/>
      <c r="O60" s="566"/>
      <c r="P60" s="566"/>
      <c r="Q60" s="566"/>
      <c r="R60" s="566"/>
      <c r="S60" s="566"/>
      <c r="T60" s="566"/>
      <c r="U60" s="566"/>
      <c r="V60" s="566"/>
      <c r="W60" s="566"/>
      <c r="X60" s="566"/>
      <c r="Y60" s="566"/>
      <c r="Z60" s="566"/>
      <c r="AA60" s="566"/>
      <c r="AB60" s="566"/>
      <c r="AC60" s="566"/>
      <c r="AD60" s="566"/>
      <c r="AE60" s="566"/>
      <c r="AF60" s="566"/>
      <c r="AG60" s="566"/>
      <c r="AH60" s="566"/>
      <c r="AI60" s="566"/>
      <c r="AJ60" s="566"/>
      <c r="AK60" s="566"/>
      <c r="AL60" s="566"/>
      <c r="AM60" s="566"/>
      <c r="AN60" s="566"/>
      <c r="AO60" s="566"/>
      <c r="AP60" s="566"/>
      <c r="AQ60" s="566"/>
      <c r="AR60" s="566"/>
      <c r="AS60" s="566"/>
      <c r="AT60" s="566"/>
      <c r="AU60" s="566"/>
      <c r="AV60" s="566"/>
    </row>
    <row r="61" spans="1:48" outlineLevel="1">
      <c r="A61" s="565" t="str">
        <f>IF(Definitions!L49&lt;&gt;"", Definitions!L49, "")</f>
        <v/>
      </c>
      <c r="B61" s="565" t="str">
        <f>IF(Definitions!K49&lt;&gt;"", Definitions!K49, "")</f>
        <v/>
      </c>
      <c r="C61" s="566" t="str" cm="1">
        <f t="array" ref="C61">IF(B61="", "",
   TRANSPOSE(
       INDEX('OSeMOSYS (Input)'!$B$21:$AA$66, , MATCH(TRUE, ISNUMBER(SEARCH(B61, 'OSeMOSYS (Input)'!$B$10:$AB$10)), 0))
       - INDEX('OSeMOSYS (Input)'!$B$85:$AA$130, , MATCH(TRUE, ISNUMBER(SEARCH(B61, 'OSeMOSYS (Input)'!$B$74:$AA$74)), 0))
   )
   *
   IF('High Level Dashboard'!$B$5="Local Currency",
      INDEX('Financing Baseline'!$S$39:$BL$39, , MATCH(TRUE, ISNUMBER(SEARCH(B61, 'OSeMOSYS (Input)'!$B$10:$AB42)), 0)) /
      INDEX('Financing Baseline'!$S$38:$BL$38, , MATCH(TRUE, ISNUMBER(SEARCH(B61, 'OSeMOSYS (Input)'!$B$10:$AB42)), 0)),
      INDEX('Financing Baseline'!$S$38:$BL$38, , MATCH(TRUE, ISNUMBER(SEARCH(B61, 'OSeMOSYS (Input)'!$B$10:$AB$10)), 0))
   )
)</f>
        <v/>
      </c>
      <c r="D61" s="566"/>
      <c r="E61" s="566"/>
      <c r="F61" s="566"/>
      <c r="G61" s="566"/>
      <c r="H61" s="566"/>
      <c r="I61" s="566"/>
      <c r="J61" s="566"/>
      <c r="K61" s="566"/>
      <c r="L61" s="566"/>
      <c r="M61" s="566"/>
      <c r="N61" s="566"/>
      <c r="O61" s="566"/>
      <c r="P61" s="566"/>
      <c r="Q61" s="566"/>
      <c r="R61" s="566"/>
      <c r="S61" s="566"/>
      <c r="T61" s="566"/>
      <c r="U61" s="566"/>
      <c r="V61" s="566"/>
      <c r="W61" s="566"/>
      <c r="X61" s="566"/>
      <c r="Y61" s="566"/>
      <c r="Z61" s="566"/>
      <c r="AA61" s="566"/>
      <c r="AB61" s="566"/>
      <c r="AC61" s="566"/>
      <c r="AD61" s="566"/>
      <c r="AE61" s="566"/>
      <c r="AF61" s="566"/>
      <c r="AG61" s="566"/>
      <c r="AH61" s="566"/>
      <c r="AI61" s="566"/>
      <c r="AJ61" s="566"/>
      <c r="AK61" s="566"/>
      <c r="AL61" s="566"/>
      <c r="AM61" s="566"/>
      <c r="AN61" s="566"/>
      <c r="AO61" s="566"/>
      <c r="AP61" s="566"/>
      <c r="AQ61" s="566"/>
      <c r="AR61" s="566"/>
      <c r="AS61" s="566"/>
      <c r="AT61" s="566"/>
      <c r="AU61" s="566"/>
      <c r="AV61" s="566"/>
    </row>
    <row r="62" spans="1:48" outlineLevel="1">
      <c r="A62" s="567"/>
      <c r="B62" s="567"/>
      <c r="C62" s="568"/>
      <c r="D62" s="568"/>
      <c r="E62" s="568"/>
      <c r="F62" s="568"/>
      <c r="G62" s="568"/>
      <c r="H62" s="568"/>
      <c r="I62" s="568"/>
      <c r="J62" s="568"/>
      <c r="K62" s="568"/>
      <c r="L62" s="568"/>
      <c r="M62" s="568"/>
      <c r="N62" s="568"/>
      <c r="O62" s="568"/>
      <c r="P62" s="568"/>
      <c r="Q62" s="568"/>
      <c r="R62" s="568"/>
      <c r="S62" s="568"/>
      <c r="T62" s="568"/>
      <c r="U62" s="568"/>
      <c r="V62" s="568"/>
      <c r="W62" s="568"/>
      <c r="X62" s="568"/>
      <c r="Y62" s="568"/>
      <c r="Z62" s="568"/>
      <c r="AA62" s="568"/>
      <c r="AB62" s="568"/>
      <c r="AC62" s="568"/>
      <c r="AD62" s="568"/>
      <c r="AE62" s="568"/>
      <c r="AF62" s="568"/>
      <c r="AG62" s="568"/>
      <c r="AH62" s="568"/>
      <c r="AI62" s="568"/>
      <c r="AJ62" s="568"/>
      <c r="AK62" s="568"/>
      <c r="AL62" s="568"/>
      <c r="AM62" s="568"/>
      <c r="AN62" s="568"/>
      <c r="AO62" s="568"/>
      <c r="AP62" s="568"/>
      <c r="AQ62" s="568"/>
      <c r="AR62" s="568"/>
      <c r="AS62" s="568"/>
      <c r="AT62" s="568"/>
      <c r="AU62" s="568"/>
      <c r="AV62" s="568"/>
    </row>
    <row r="63" spans="1:48">
      <c r="A63" s="21"/>
      <c r="B63" s="27"/>
      <c r="C63" s="21"/>
      <c r="D63" s="21"/>
      <c r="E63" s="21"/>
      <c r="F63" s="21"/>
      <c r="G63" s="21"/>
      <c r="H63" s="21"/>
      <c r="I63" s="21"/>
      <c r="J63" s="21"/>
      <c r="K63" s="21"/>
      <c r="L63" s="21"/>
      <c r="M63" s="21"/>
      <c r="N63" s="21"/>
      <c r="O63" s="21"/>
      <c r="P63" s="21"/>
      <c r="Q63" s="21"/>
      <c r="R63" s="21"/>
      <c r="S63" s="21"/>
      <c r="T63" s="21"/>
      <c r="U63" s="21"/>
      <c r="V63" s="21"/>
      <c r="W63" s="21"/>
      <c r="X63" s="21"/>
      <c r="Y63" s="21"/>
      <c r="Z63" s="21"/>
      <c r="AA63" s="21"/>
      <c r="AB63" s="21"/>
      <c r="AC63" s="21"/>
      <c r="AD63" s="21"/>
      <c r="AE63" s="21"/>
      <c r="AF63" s="21"/>
      <c r="AG63" s="21"/>
      <c r="AH63" s="21"/>
      <c r="AI63" s="21"/>
      <c r="AJ63" s="21"/>
      <c r="AK63" s="21"/>
      <c r="AL63" s="21"/>
      <c r="AM63" s="21"/>
      <c r="AN63" s="21"/>
      <c r="AO63" s="21"/>
      <c r="AP63" s="21"/>
      <c r="AQ63" s="21"/>
      <c r="AR63" s="21"/>
      <c r="AS63" s="21"/>
      <c r="AT63" s="21"/>
      <c r="AU63" s="21"/>
      <c r="AV63" s="21"/>
    </row>
    <row r="64" spans="1:48" ht="42" customHeight="1">
      <c r="A64" s="569" t="str">
        <f>"B) "&amp;'OSeMOSYS (Input)'!C4&amp;" FINANCING NEEDS"</f>
        <v>B) NetZero FINANCING NEEDS</v>
      </c>
      <c r="B64" s="122"/>
      <c r="C64" s="18"/>
      <c r="D64" s="18"/>
      <c r="E64" s="18"/>
      <c r="F64" s="18"/>
      <c r="G64" s="18"/>
      <c r="H64" s="18"/>
      <c r="I64" s="18"/>
      <c r="J64" s="18"/>
      <c r="K64" s="18"/>
      <c r="L64" s="18"/>
      <c r="M64" s="18"/>
      <c r="N64" s="18"/>
      <c r="O64" s="18"/>
      <c r="P64" s="18"/>
      <c r="Q64" s="18"/>
      <c r="R64" s="18"/>
      <c r="S64" s="18"/>
      <c r="T64" s="18"/>
      <c r="U64" s="18"/>
      <c r="V64" s="18"/>
      <c r="W64" s="18"/>
      <c r="X64" s="18"/>
      <c r="Y64" s="18"/>
      <c r="Z64" s="18"/>
      <c r="AA64" s="18"/>
      <c r="AB64" s="18"/>
      <c r="AC64" s="18"/>
      <c r="AD64" s="18"/>
      <c r="AE64" s="18"/>
      <c r="AF64" s="18"/>
      <c r="AG64" s="18"/>
      <c r="AH64" s="18"/>
      <c r="AI64" s="18"/>
      <c r="AJ64" s="18"/>
      <c r="AK64" s="18"/>
      <c r="AL64" s="18"/>
      <c r="AM64" s="18"/>
      <c r="AN64" s="18"/>
      <c r="AO64" s="18"/>
      <c r="AP64" s="18"/>
      <c r="AQ64" s="18"/>
      <c r="AR64" s="18"/>
      <c r="AS64" s="18"/>
      <c r="AT64" s="18"/>
      <c r="AU64" s="18"/>
      <c r="AV64" s="18"/>
    </row>
    <row r="65" spans="1:48">
      <c r="A65" s="751" t="str">
        <f xml:space="preserve"> "Total "&amp;'OSeMOSYS (Input)'!C4&amp;" Financing Needs Total"</f>
        <v>Total NetZero Financing Needs Total</v>
      </c>
      <c r="B65" s="751"/>
      <c r="C65" s="132">
        <f>SUM(C66,C74,C78,C81)</f>
        <v>850.28309999999999</v>
      </c>
      <c r="D65" s="132">
        <f t="shared" ref="D65:AV65" si="9">SUM(D66,D74,D78,D81)</f>
        <v>891.30279999999993</v>
      </c>
      <c r="E65" s="132">
        <f t="shared" si="9"/>
        <v>892.31080000000009</v>
      </c>
      <c r="F65" s="132">
        <f t="shared" si="9"/>
        <v>783.88200000000006</v>
      </c>
      <c r="G65" s="132">
        <f t="shared" si="9"/>
        <v>1637.2811999999999</v>
      </c>
      <c r="H65" s="132">
        <f t="shared" si="9"/>
        <v>966.93870000000004</v>
      </c>
      <c r="I65" s="132">
        <f t="shared" si="9"/>
        <v>1100.6995999999999</v>
      </c>
      <c r="J65" s="132">
        <f t="shared" si="9"/>
        <v>792.58999999999992</v>
      </c>
      <c r="K65" s="132">
        <f t="shared" si="9"/>
        <v>758.73990000000003</v>
      </c>
      <c r="L65" s="132">
        <f t="shared" si="9"/>
        <v>1222.0521999999999</v>
      </c>
      <c r="M65" s="132">
        <f t="shared" si="9"/>
        <v>963.81530000000009</v>
      </c>
      <c r="N65" s="132">
        <f t="shared" si="9"/>
        <v>1388.3742999999999</v>
      </c>
      <c r="O65" s="132">
        <f t="shared" si="9"/>
        <v>1304.9629000000002</v>
      </c>
      <c r="P65" s="132">
        <f t="shared" si="9"/>
        <v>1267.4485999999999</v>
      </c>
      <c r="Q65" s="132">
        <f t="shared" si="9"/>
        <v>1759.1960000000001</v>
      </c>
      <c r="R65" s="132">
        <f t="shared" si="9"/>
        <v>2280.2151999999996</v>
      </c>
      <c r="S65" s="132">
        <f t="shared" si="9"/>
        <v>1956.6569000000002</v>
      </c>
      <c r="T65" s="132">
        <f t="shared" si="9"/>
        <v>1301.3557000000001</v>
      </c>
      <c r="U65" s="132">
        <f t="shared" si="9"/>
        <v>1359.3568</v>
      </c>
      <c r="V65" s="132">
        <f t="shared" si="9"/>
        <v>1463.7227</v>
      </c>
      <c r="W65" s="132">
        <f t="shared" si="9"/>
        <v>1575.0400999999999</v>
      </c>
      <c r="X65" s="132">
        <f t="shared" si="9"/>
        <v>1687.5381</v>
      </c>
      <c r="Y65" s="132">
        <f t="shared" si="9"/>
        <v>1800.9875999999999</v>
      </c>
      <c r="Z65" s="132">
        <f t="shared" si="9"/>
        <v>1922.2903000000001</v>
      </c>
      <c r="AA65" s="132">
        <f t="shared" si="9"/>
        <v>2099.6988000000001</v>
      </c>
      <c r="AB65" s="132">
        <f t="shared" si="9"/>
        <v>2430.3555999999999</v>
      </c>
      <c r="AC65" s="132">
        <f t="shared" si="9"/>
        <v>2368.0668999999998</v>
      </c>
      <c r="AD65" s="132">
        <f t="shared" si="9"/>
        <v>2207.9177</v>
      </c>
      <c r="AE65" s="132">
        <f t="shared" si="9"/>
        <v>2225.7754999999997</v>
      </c>
      <c r="AF65" s="132">
        <f t="shared" si="9"/>
        <v>3004.1397999999995</v>
      </c>
      <c r="AG65" s="132">
        <f t="shared" si="9"/>
        <v>2080.1179999999999</v>
      </c>
      <c r="AH65" s="132">
        <f t="shared" si="9"/>
        <v>2280.6886</v>
      </c>
      <c r="AI65" s="132">
        <f t="shared" si="9"/>
        <v>2009.4267</v>
      </c>
      <c r="AJ65" s="132">
        <f t="shared" si="9"/>
        <v>1955.1030000000001</v>
      </c>
      <c r="AK65" s="132">
        <f t="shared" si="9"/>
        <v>2393.1575999999995</v>
      </c>
      <c r="AL65" s="132">
        <f t="shared" si="9"/>
        <v>2083.9499000000001</v>
      </c>
      <c r="AM65" s="132">
        <f t="shared" si="9"/>
        <v>2543.0387999999998</v>
      </c>
      <c r="AN65" s="132">
        <f t="shared" si="9"/>
        <v>2416.4369999999999</v>
      </c>
      <c r="AO65" s="132">
        <f t="shared" si="9"/>
        <v>2379.3407999999999</v>
      </c>
      <c r="AP65" s="132">
        <f t="shared" si="9"/>
        <v>2812.2185999999997</v>
      </c>
      <c r="AQ65" s="132">
        <f t="shared" si="9"/>
        <v>3282.4703999999997</v>
      </c>
      <c r="AR65" s="132">
        <f t="shared" si="9"/>
        <v>2891.0751</v>
      </c>
      <c r="AS65" s="132">
        <f t="shared" si="9"/>
        <v>2267.7013999999999</v>
      </c>
      <c r="AT65" s="132">
        <f t="shared" si="9"/>
        <v>2240.1758</v>
      </c>
      <c r="AU65" s="132">
        <f t="shared" si="9"/>
        <v>2447.7587999999996</v>
      </c>
      <c r="AV65" s="132">
        <f t="shared" si="9"/>
        <v>2598.8757999999998</v>
      </c>
    </row>
    <row r="66" spans="1:48">
      <c r="A66" s="747" t="s">
        <v>621</v>
      </c>
      <c r="B66" s="747"/>
      <c r="C66" s="124">
        <f t="shared" ref="C66:AV66" si="10">SUM(C68,C67,C69,C70,C71,C72,C73,)</f>
        <v>629.29259999999999</v>
      </c>
      <c r="D66" s="124">
        <f t="shared" si="10"/>
        <v>696.81639999999993</v>
      </c>
      <c r="E66" s="124">
        <f t="shared" si="10"/>
        <v>442.32250000000005</v>
      </c>
      <c r="F66" s="124">
        <f t="shared" si="10"/>
        <v>362.63659999999999</v>
      </c>
      <c r="G66" s="124">
        <f t="shared" si="10"/>
        <v>1184.0273999999999</v>
      </c>
      <c r="H66" s="124">
        <f t="shared" si="10"/>
        <v>465.39060000000006</v>
      </c>
      <c r="I66" s="124">
        <f t="shared" si="10"/>
        <v>677.4076</v>
      </c>
      <c r="J66" s="124">
        <f t="shared" si="10"/>
        <v>303.16460000000001</v>
      </c>
      <c r="K66" s="124">
        <f t="shared" si="10"/>
        <v>283.14879999999999</v>
      </c>
      <c r="L66" s="124">
        <f t="shared" si="10"/>
        <v>702.1194999999999</v>
      </c>
      <c r="M66" s="124">
        <f t="shared" si="10"/>
        <v>424.60239999999999</v>
      </c>
      <c r="N66" s="124">
        <f t="shared" si="10"/>
        <v>835.06219999999996</v>
      </c>
      <c r="O66" s="124">
        <f t="shared" si="10"/>
        <v>640.62840000000006</v>
      </c>
      <c r="P66" s="124">
        <f t="shared" si="10"/>
        <v>575.42939999999999</v>
      </c>
      <c r="Q66" s="124">
        <f t="shared" si="10"/>
        <v>1027.5051000000001</v>
      </c>
      <c r="R66" s="124">
        <f t="shared" si="10"/>
        <v>1504.4509</v>
      </c>
      <c r="S66" s="124">
        <f t="shared" si="10"/>
        <v>1139.2940000000001</v>
      </c>
      <c r="T66" s="124">
        <f t="shared" si="10"/>
        <v>455.39350000000002</v>
      </c>
      <c r="U66" s="124">
        <f t="shared" si="10"/>
        <v>457.13560000000001</v>
      </c>
      <c r="V66" s="124">
        <f t="shared" si="10"/>
        <v>513.36289999999997</v>
      </c>
      <c r="W66" s="124">
        <f t="shared" si="10"/>
        <v>570.28710000000001</v>
      </c>
      <c r="X66" s="124">
        <f t="shared" si="10"/>
        <v>627.21130000000005</v>
      </c>
      <c r="Y66" s="124">
        <f t="shared" si="10"/>
        <v>684.13549999999998</v>
      </c>
      <c r="Z66" s="124">
        <f t="shared" si="10"/>
        <v>741.40809999999999</v>
      </c>
      <c r="AA66" s="124">
        <f t="shared" si="10"/>
        <v>853.51430000000005</v>
      </c>
      <c r="AB66" s="124">
        <f t="shared" si="10"/>
        <v>1117.9274</v>
      </c>
      <c r="AC66" s="124">
        <f t="shared" si="10"/>
        <v>1333.96</v>
      </c>
      <c r="AD66" s="124">
        <f t="shared" si="10"/>
        <v>1173.8108</v>
      </c>
      <c r="AE66" s="124">
        <f t="shared" si="10"/>
        <v>1191.6686</v>
      </c>
      <c r="AF66" s="124">
        <f t="shared" si="10"/>
        <v>1970.0328999999997</v>
      </c>
      <c r="AG66" s="124">
        <f t="shared" si="10"/>
        <v>1046.0111000000002</v>
      </c>
      <c r="AH66" s="124">
        <f t="shared" si="10"/>
        <v>1246.5817</v>
      </c>
      <c r="AI66" s="124">
        <f t="shared" si="10"/>
        <v>975.31979999999999</v>
      </c>
      <c r="AJ66" s="124">
        <f t="shared" si="10"/>
        <v>920.99609999999996</v>
      </c>
      <c r="AK66" s="124">
        <f t="shared" si="10"/>
        <v>1359.0506999999998</v>
      </c>
      <c r="AL66" s="124">
        <f t="shared" si="10"/>
        <v>1049.8430000000001</v>
      </c>
      <c r="AM66" s="124">
        <f t="shared" si="10"/>
        <v>1508.9318999999998</v>
      </c>
      <c r="AN66" s="124">
        <f t="shared" si="10"/>
        <v>1382.3300999999999</v>
      </c>
      <c r="AO66" s="124">
        <f t="shared" si="10"/>
        <v>1345.2339000000002</v>
      </c>
      <c r="AP66" s="124">
        <f t="shared" si="10"/>
        <v>1778.1116999999999</v>
      </c>
      <c r="AQ66" s="124">
        <f t="shared" si="10"/>
        <v>2248.3634999999999</v>
      </c>
      <c r="AR66" s="124">
        <f t="shared" si="10"/>
        <v>1856.9682</v>
      </c>
      <c r="AS66" s="124">
        <f t="shared" si="10"/>
        <v>1233.5945000000002</v>
      </c>
      <c r="AT66" s="124">
        <f t="shared" si="10"/>
        <v>1206.0689</v>
      </c>
      <c r="AU66" s="124">
        <f t="shared" si="10"/>
        <v>1275.5364</v>
      </c>
      <c r="AV66" s="124">
        <f t="shared" si="10"/>
        <v>1501.6044999999999</v>
      </c>
    </row>
    <row r="67" spans="1:48">
      <c r="A67" s="743" t="s">
        <v>17</v>
      </c>
      <c r="B67" s="743"/>
      <c r="C67" s="125" cm="1">
        <f t="array" ref="C67">SUMPRODUCT(C$82:C$114,IF(_xlfn.XLOOKUP($B$82:$B$114,Definitions!$K$17:$K$49,Definitions!$M$17:$M$49,"")=$A67,1,0))</f>
        <v>100</v>
      </c>
      <c r="D67" s="125" cm="1">
        <f t="array" ref="D67">SUMPRODUCT(D$82:D$114,IF(_xlfn.XLOOKUP($B$82:$B$114,Definitions!$K$17:$K$49,Definitions!$M$17:$M$49,"")=$A67,1,0))</f>
        <v>25</v>
      </c>
      <c r="E67" s="125" cm="1">
        <f t="array" ref="E67">SUMPRODUCT(E$82:E$114,IF(_xlfn.XLOOKUP($B$82:$B$114,Definitions!$K$17:$K$49,Definitions!$M$17:$M$49,"")=$A67,1,0))</f>
        <v>0</v>
      </c>
      <c r="F67" s="125" cm="1">
        <f t="array" ref="F67">SUMPRODUCT(F$82:F$114,IF(_xlfn.XLOOKUP($B$82:$B$114,Definitions!$K$17:$K$49,Definitions!$M$17:$M$49,"")=$A67,1,0))</f>
        <v>20</v>
      </c>
      <c r="G67" s="125" cm="1">
        <f t="array" ref="G67">SUMPRODUCT(G$82:G$114,IF(_xlfn.XLOOKUP($B$82:$B$114,Definitions!$K$17:$K$49,Definitions!$M$17:$M$49,"")=$A67,1,0))</f>
        <v>0</v>
      </c>
      <c r="H67" s="125" cm="1">
        <f t="array" ref="H67">SUMPRODUCT(H$82:H$114,IF(_xlfn.XLOOKUP($B$82:$B$114,Definitions!$K$17:$K$49,Definitions!$M$17:$M$49,"")=$A67,1,0))</f>
        <v>120.5</v>
      </c>
      <c r="I67" s="125" cm="1">
        <f t="array" ref="I67">SUMPRODUCT(I$82:I$114,IF(_xlfn.XLOOKUP($B$82:$B$114,Definitions!$K$17:$K$49,Definitions!$M$17:$M$49,"")=$A67,1,0))</f>
        <v>50</v>
      </c>
      <c r="J67" s="125" cm="1">
        <f t="array" ref="J67">SUMPRODUCT(J$82:J$114,IF(_xlfn.XLOOKUP($B$82:$B$114,Definitions!$K$17:$K$49,Definitions!$M$17:$M$49,"")=$A67,1,0))</f>
        <v>27</v>
      </c>
      <c r="K67" s="125" cm="1">
        <f t="array" ref="K67">SUMPRODUCT(K$82:K$114,IF(_xlfn.XLOOKUP($B$82:$B$114,Definitions!$K$17:$K$49,Definitions!$M$17:$M$49,"")=$A67,1,0))</f>
        <v>7.5</v>
      </c>
      <c r="L67" s="125" cm="1">
        <f t="array" ref="L67">SUMPRODUCT(L$82:L$114,IF(_xlfn.XLOOKUP($B$82:$B$114,Definitions!$K$17:$K$49,Definitions!$M$17:$M$49,"")=$A67,1,0))</f>
        <v>15</v>
      </c>
      <c r="M67" s="125" cm="1">
        <f t="array" ref="M67">SUMPRODUCT(M$82:M$114,IF(_xlfn.XLOOKUP($B$82:$B$114,Definitions!$K$17:$K$49,Definitions!$M$17:$M$49,"")=$A67,1,0))</f>
        <v>0.75</v>
      </c>
      <c r="N67" s="125" cm="1">
        <f t="array" ref="N67">SUMPRODUCT(N$82:N$114,IF(_xlfn.XLOOKUP($B$82:$B$114,Definitions!$K$17:$K$49,Definitions!$M$17:$M$49,"")=$A67,1,0))</f>
        <v>0</v>
      </c>
      <c r="O67" s="125" cm="1">
        <f t="array" ref="O67">SUMPRODUCT(O$82:O$114,IF(_xlfn.XLOOKUP($B$82:$B$114,Definitions!$K$17:$K$49,Definitions!$M$17:$M$49,"")=$A67,1,0))</f>
        <v>0</v>
      </c>
      <c r="P67" s="125" cm="1">
        <f t="array" ref="P67">SUMPRODUCT(P$82:P$114,IF(_xlfn.XLOOKUP($B$82:$B$114,Definitions!$K$17:$K$49,Definitions!$M$17:$M$49,"")=$A67,1,0))</f>
        <v>0</v>
      </c>
      <c r="Q67" s="125" cm="1">
        <f t="array" ref="Q67">SUMPRODUCT(Q$82:Q$114,IF(_xlfn.XLOOKUP($B$82:$B$114,Definitions!$K$17:$K$49,Definitions!$M$17:$M$49,"")=$A67,1,0))</f>
        <v>0</v>
      </c>
      <c r="R67" s="125" cm="1">
        <f t="array" ref="R67">SUMPRODUCT(R$82:R$114,IF(_xlfn.XLOOKUP($B$82:$B$114,Definitions!$K$17:$K$49,Definitions!$M$17:$M$49,"")=$A67,1,0))</f>
        <v>0</v>
      </c>
      <c r="S67" s="125" cm="1">
        <f t="array" ref="S67">SUMPRODUCT(S$82:S$114,IF(_xlfn.XLOOKUP($B$82:$B$114,Definitions!$K$17:$K$49,Definitions!$M$17:$M$49,"")=$A67,1,0))</f>
        <v>0</v>
      </c>
      <c r="T67" s="125" cm="1">
        <f t="array" ref="T67">SUMPRODUCT(T$82:T$114,IF(_xlfn.XLOOKUP($B$82:$B$114,Definitions!$K$17:$K$49,Definitions!$M$17:$M$49,"")=$A67,1,0))</f>
        <v>0</v>
      </c>
      <c r="U67" s="125" cm="1">
        <f t="array" ref="U67">SUMPRODUCT(U$82:U$114,IF(_xlfn.XLOOKUP($B$82:$B$114,Definitions!$K$17:$K$49,Definitions!$M$17:$M$49,"")=$A67,1,0))</f>
        <v>0</v>
      </c>
      <c r="V67" s="125" cm="1">
        <f t="array" ref="V67">SUMPRODUCT(V$82:V$114,IF(_xlfn.XLOOKUP($B$82:$B$114,Definitions!$K$17:$K$49,Definitions!$M$17:$M$49,"")=$A67,1,0))</f>
        <v>0</v>
      </c>
      <c r="W67" s="125" cm="1">
        <f t="array" ref="W67">SUMPRODUCT(W$82:W$114,IF(_xlfn.XLOOKUP($B$82:$B$114,Definitions!$K$17:$K$49,Definitions!$M$17:$M$49,"")=$A67,1,0))</f>
        <v>0</v>
      </c>
      <c r="X67" s="125" cm="1">
        <f t="array" ref="X67">SUMPRODUCT(X$82:X$114,IF(_xlfn.XLOOKUP($B$82:$B$114,Definitions!$K$17:$K$49,Definitions!$M$17:$M$49,"")=$A67,1,0))</f>
        <v>0</v>
      </c>
      <c r="Y67" s="125" cm="1">
        <f t="array" ref="Y67">SUMPRODUCT(Y$82:Y$114,IF(_xlfn.XLOOKUP($B$82:$B$114,Definitions!$K$17:$K$49,Definitions!$M$17:$M$49,"")=$A67,1,0))</f>
        <v>0</v>
      </c>
      <c r="Z67" s="125" cm="1">
        <f t="array" ref="Z67">SUMPRODUCT(Z$82:Z$114,IF(_xlfn.XLOOKUP($B$82:$B$114,Definitions!$K$17:$K$49,Definitions!$M$17:$M$49,"")=$A67,1,0))</f>
        <v>0</v>
      </c>
      <c r="AA67" s="125" cm="1">
        <f t="array" ref="AA67">SUMPRODUCT(AA$82:AA$114,IF(_xlfn.XLOOKUP($B$82:$B$114,Definitions!$K$17:$K$49,Definitions!$M$17:$M$49,"")=$A67,1,0))</f>
        <v>0</v>
      </c>
      <c r="AB67" s="125" cm="1">
        <f t="array" ref="AB67">SUMPRODUCT(AB$82:AB$114,IF(_xlfn.XLOOKUP($B$82:$B$114,Definitions!$K$17:$K$49,Definitions!$M$17:$M$49,"")=$A67,1,0))</f>
        <v>0</v>
      </c>
      <c r="AC67" s="125" cm="1">
        <f t="array" ref="AC67">SUMPRODUCT(AC$82:AC$114,IF(_xlfn.XLOOKUP($B$82:$B$114,Definitions!$K$17:$K$49,Definitions!$M$17:$M$49,"")=$A67,1,0))</f>
        <v>0</v>
      </c>
      <c r="AD67" s="125" cm="1">
        <f t="array" ref="AD67">SUMPRODUCT(AD$82:AD$114,IF(_xlfn.XLOOKUP($B$82:$B$114,Definitions!$K$17:$K$49,Definitions!$M$17:$M$49,"")=$A67,1,0))</f>
        <v>0</v>
      </c>
      <c r="AE67" s="125" cm="1">
        <f t="array" ref="AE67">SUMPRODUCT(AE$82:AE$114,IF(_xlfn.XLOOKUP($B$82:$B$114,Definitions!$K$17:$K$49,Definitions!$M$17:$M$49,"")=$A67,1,0))</f>
        <v>0</v>
      </c>
      <c r="AF67" s="125" cm="1">
        <f t="array" ref="AF67">SUMPRODUCT(AF$82:AF$114,IF(_xlfn.XLOOKUP($B$82:$B$114,Definitions!$K$17:$K$49,Definitions!$M$17:$M$49,"")=$A67,1,0))</f>
        <v>0</v>
      </c>
      <c r="AG67" s="125" cm="1">
        <f t="array" ref="AG67">SUMPRODUCT(AG$82:AG$114,IF(_xlfn.XLOOKUP($B$82:$B$114,Definitions!$K$17:$K$49,Definitions!$M$17:$M$49,"")=$A67,1,0))</f>
        <v>0</v>
      </c>
      <c r="AH67" s="125" cm="1">
        <f t="array" ref="AH67">SUMPRODUCT(AH$82:AH$114,IF(_xlfn.XLOOKUP($B$82:$B$114,Definitions!$K$17:$K$49,Definitions!$M$17:$M$49,"")=$A67,1,0))</f>
        <v>0</v>
      </c>
      <c r="AI67" s="125" cm="1">
        <f t="array" ref="AI67">SUMPRODUCT(AI$82:AI$114,IF(_xlfn.XLOOKUP($B$82:$B$114,Definitions!$K$17:$K$49,Definitions!$M$17:$M$49,"")=$A67,1,0))</f>
        <v>0</v>
      </c>
      <c r="AJ67" s="125" cm="1">
        <f t="array" ref="AJ67">SUMPRODUCT(AJ$82:AJ$114,IF(_xlfn.XLOOKUP($B$82:$B$114,Definitions!$K$17:$K$49,Definitions!$M$17:$M$49,"")=$A67,1,0))</f>
        <v>0</v>
      </c>
      <c r="AK67" s="125" cm="1">
        <f t="array" ref="AK67">SUMPRODUCT(AK$82:AK$114,IF(_xlfn.XLOOKUP($B$82:$B$114,Definitions!$K$17:$K$49,Definitions!$M$17:$M$49,"")=$A67,1,0))</f>
        <v>0</v>
      </c>
      <c r="AL67" s="125" cm="1">
        <f t="array" ref="AL67">SUMPRODUCT(AL$82:AL$114,IF(_xlfn.XLOOKUP($B$82:$B$114,Definitions!$K$17:$K$49,Definitions!$M$17:$M$49,"")=$A67,1,0))</f>
        <v>0</v>
      </c>
      <c r="AM67" s="125" cm="1">
        <f t="array" ref="AM67">SUMPRODUCT(AM$82:AM$114,IF(_xlfn.XLOOKUP($B$82:$B$114,Definitions!$K$17:$K$49,Definitions!$M$17:$M$49,"")=$A67,1,0))</f>
        <v>0</v>
      </c>
      <c r="AN67" s="125" cm="1">
        <f t="array" ref="AN67">SUMPRODUCT(AN$82:AN$114,IF(_xlfn.XLOOKUP($B$82:$B$114,Definitions!$K$17:$K$49,Definitions!$M$17:$M$49,"")=$A67,1,0))</f>
        <v>0</v>
      </c>
      <c r="AO67" s="125" cm="1">
        <f t="array" ref="AO67">SUMPRODUCT(AO$82:AO$114,IF(_xlfn.XLOOKUP($B$82:$B$114,Definitions!$K$17:$K$49,Definitions!$M$17:$M$49,"")=$A67,1,0))</f>
        <v>0</v>
      </c>
      <c r="AP67" s="125" cm="1">
        <f t="array" ref="AP67">SUMPRODUCT(AP$82:AP$114,IF(_xlfn.XLOOKUP($B$82:$B$114,Definitions!$K$17:$K$49,Definitions!$M$17:$M$49,"")=$A67,1,0))</f>
        <v>0</v>
      </c>
      <c r="AQ67" s="125" cm="1">
        <f t="array" ref="AQ67">SUMPRODUCT(AQ$82:AQ$114,IF(_xlfn.XLOOKUP($B$82:$B$114,Definitions!$K$17:$K$49,Definitions!$M$17:$M$49,"")=$A67,1,0))</f>
        <v>0</v>
      </c>
      <c r="AR67" s="125" cm="1">
        <f t="array" ref="AR67">SUMPRODUCT(AR$82:AR$114,IF(_xlfn.XLOOKUP($B$82:$B$114,Definitions!$K$17:$K$49,Definitions!$M$17:$M$49,"")=$A67,1,0))</f>
        <v>0</v>
      </c>
      <c r="AS67" s="125" cm="1">
        <f t="array" ref="AS67">SUMPRODUCT(AS$82:AS$114,IF(_xlfn.XLOOKUP($B$82:$B$114,Definitions!$K$17:$K$49,Definitions!$M$17:$M$49,"")=$A67,1,0))</f>
        <v>0</v>
      </c>
      <c r="AT67" s="125" cm="1">
        <f t="array" ref="AT67">SUMPRODUCT(AT$82:AT$114,IF(_xlfn.XLOOKUP($B$82:$B$114,Definitions!$K$17:$K$49,Definitions!$M$17:$M$49,"")=$A67,1,0))</f>
        <v>0</v>
      </c>
      <c r="AU67" s="125" cm="1">
        <f t="array" ref="AU67">SUMPRODUCT(AU$82:AU$114,IF(_xlfn.XLOOKUP($B$82:$B$114,Definitions!$K$17:$K$49,Definitions!$M$17:$M$49,"")=$A67,1,0))</f>
        <v>0</v>
      </c>
      <c r="AV67" s="125" cm="1">
        <f t="array" ref="AV67">SUMPRODUCT(AV$82:AV$114,IF(_xlfn.XLOOKUP($B$82:$B$114,Definitions!$K$17:$K$49,Definitions!$M$17:$M$49,"")=$A67,1,0))</f>
        <v>0</v>
      </c>
    </row>
    <row r="68" spans="1:48">
      <c r="A68" s="743" t="s">
        <v>29</v>
      </c>
      <c r="B68" s="743"/>
      <c r="C68" s="125" cm="1">
        <f t="array" ref="C68">SUMPRODUCT(C$82:C$114,IF(_xlfn.XLOOKUP($B$82:$B$114,Definitions!$K$17:$K$49,Definitions!$M$17:$M$49,"")=$A68,1,0))</f>
        <v>278.24730000000005</v>
      </c>
      <c r="D68" s="125" cm="1">
        <f t="array" ref="D68">SUMPRODUCT(D$82:D$114,IF(_xlfn.XLOOKUP($B$82:$B$114,Definitions!$K$17:$K$49,Definitions!$M$17:$M$49,"")=$A68,1,0))</f>
        <v>544.25279999999998</v>
      </c>
      <c r="E68" s="125" cm="1">
        <f t="array" ref="E68">SUMPRODUCT(E$82:E$114,IF(_xlfn.XLOOKUP($B$82:$B$114,Definitions!$K$17:$K$49,Definitions!$M$17:$M$49,"")=$A68,1,0))</f>
        <v>403.99560000000002</v>
      </c>
      <c r="F68" s="125" cm="1">
        <f t="array" ref="F68">SUMPRODUCT(F$82:F$114,IF(_xlfn.XLOOKUP($B$82:$B$114,Definitions!$K$17:$K$49,Definitions!$M$17:$M$49,"")=$A68,1,0))</f>
        <v>331.83539999999999</v>
      </c>
      <c r="G68" s="125" cm="1">
        <f t="array" ref="G68">SUMPRODUCT(G$82:G$114,IF(_xlfn.XLOOKUP($B$82:$B$114,Definitions!$K$17:$K$49,Definitions!$M$17:$M$49,"")=$A68,1,0))</f>
        <v>1158.2438999999999</v>
      </c>
      <c r="H68" s="125" cm="1">
        <f t="array" ref="H68">SUMPRODUCT(H$82:H$114,IF(_xlfn.XLOOKUP($B$82:$B$114,Definitions!$K$17:$K$49,Definitions!$M$17:$M$49,"")=$A68,1,0))</f>
        <v>217.36670000000001</v>
      </c>
      <c r="I68" s="125" cm="1">
        <f t="array" ref="I68">SUMPRODUCT(I$82:I$114,IF(_xlfn.XLOOKUP($B$82:$B$114,Definitions!$K$17:$K$49,Definitions!$M$17:$M$49,"")=$A68,1,0))</f>
        <v>529.49990000000003</v>
      </c>
      <c r="J68" s="125" cm="1">
        <f t="array" ref="J68">SUMPRODUCT(J$82:J$114,IF(_xlfn.XLOOKUP($B$82:$B$114,Definitions!$K$17:$K$49,Definitions!$M$17:$M$49,"")=$A68,1,0))</f>
        <v>212.75110000000001</v>
      </c>
      <c r="K68" s="125" cm="1">
        <f t="array" ref="K68">SUMPRODUCT(K$82:K$114,IF(_xlfn.XLOOKUP($B$82:$B$114,Definitions!$K$17:$K$49,Definitions!$M$17:$M$49,"")=$A68,1,0))</f>
        <v>163.4556</v>
      </c>
      <c r="L68" s="125" cm="1">
        <f t="array" ref="L68">SUMPRODUCT(L$82:L$114,IF(_xlfn.XLOOKUP($B$82:$B$114,Definitions!$K$17:$K$49,Definitions!$M$17:$M$49,"")=$A68,1,0))</f>
        <v>599.66459999999995</v>
      </c>
      <c r="M68" s="125" cm="1">
        <f t="array" ref="M68">SUMPRODUCT(M$82:M$114,IF(_xlfn.XLOOKUP($B$82:$B$114,Definitions!$K$17:$K$49,Definitions!$M$17:$M$49,"")=$A68,1,0))</f>
        <v>313.40140000000002</v>
      </c>
      <c r="N68" s="125" cm="1">
        <f t="array" ref="N68">SUMPRODUCT(N$82:N$114,IF(_xlfn.XLOOKUP($B$82:$B$114,Definitions!$K$17:$K$49,Definitions!$M$17:$M$49,"")=$A68,1,0))</f>
        <v>737.85129999999992</v>
      </c>
      <c r="O68" s="125" cm="1">
        <f t="array" ref="O68">SUMPRODUCT(O$82:O$114,IF(_xlfn.XLOOKUP($B$82:$B$114,Definitions!$K$17:$K$49,Definitions!$M$17:$M$49,"")=$A68,1,0))</f>
        <v>628.08510000000001</v>
      </c>
      <c r="P68" s="125" cm="1">
        <f t="array" ref="P68">SUMPRODUCT(P$82:P$114,IF(_xlfn.XLOOKUP($B$82:$B$114,Definitions!$K$17:$K$49,Definitions!$M$17:$M$49,"")=$A68,1,0))</f>
        <v>561.84079999999994</v>
      </c>
      <c r="Q68" s="125" cm="1">
        <f t="array" ref="Q68">SUMPRODUCT(Q$82:Q$114,IF(_xlfn.XLOOKUP($B$82:$B$114,Definitions!$K$17:$K$49,Definitions!$M$17:$M$49,"")=$A68,1,0))</f>
        <v>1012.8712</v>
      </c>
      <c r="R68" s="125" cm="1">
        <f t="array" ref="R68">SUMPRODUCT(R$82:R$114,IF(_xlfn.XLOOKUP($B$82:$B$114,Definitions!$K$17:$K$49,Definitions!$M$17:$M$49,"")=$A68,1,0))</f>
        <v>1488.0749000000001</v>
      </c>
      <c r="S68" s="125" cm="1">
        <f t="array" ref="S68">SUMPRODUCT(S$82:S$114,IF(_xlfn.XLOOKUP($B$82:$B$114,Definitions!$K$17:$K$49,Definitions!$M$17:$M$49,"")=$A68,1,0))</f>
        <v>1011.1725</v>
      </c>
      <c r="T68" s="125" cm="1">
        <f t="array" ref="T68">SUMPRODUCT(T$82:T$114,IF(_xlfn.XLOOKUP($B$82:$B$114,Definitions!$K$17:$K$49,Definitions!$M$17:$M$49,"")=$A68,1,0))</f>
        <v>435.88159999999999</v>
      </c>
      <c r="U68" s="125" cm="1">
        <f t="array" ref="U68">SUMPRODUCT(U$82:U$114,IF(_xlfn.XLOOKUP($B$82:$B$114,Definitions!$K$17:$K$49,Definitions!$M$17:$M$49,"")=$A68,1,0))</f>
        <v>435.88159999999999</v>
      </c>
      <c r="V68" s="125" cm="1">
        <f t="array" ref="V68">SUMPRODUCT(V$82:V$114,IF(_xlfn.XLOOKUP($B$82:$B$114,Definitions!$K$17:$K$49,Definitions!$M$17:$M$49,"")=$A68,1,0))</f>
        <v>490.36680000000001</v>
      </c>
      <c r="W68" s="125" cm="1">
        <f t="array" ref="W68">SUMPRODUCT(W$82:W$114,IF(_xlfn.XLOOKUP($B$82:$B$114,Definitions!$K$17:$K$49,Definitions!$M$17:$M$49,"")=$A68,1,0))</f>
        <v>544.85199999999998</v>
      </c>
      <c r="X68" s="125" cm="1">
        <f t="array" ref="X68">SUMPRODUCT(X$82:X$114,IF(_xlfn.XLOOKUP($B$82:$B$114,Definitions!$K$17:$K$49,Definitions!$M$17:$M$49,"")=$A68,1,0))</f>
        <v>599.33720000000005</v>
      </c>
      <c r="Y68" s="125" cm="1">
        <f t="array" ref="Y68">SUMPRODUCT(Y$82:Y$114,IF(_xlfn.XLOOKUP($B$82:$B$114,Definitions!$K$17:$K$49,Definitions!$M$17:$M$49,"")=$A68,1,0))</f>
        <v>653.82240000000002</v>
      </c>
      <c r="Z68" s="125" cm="1">
        <f t="array" ref="Z68">SUMPRODUCT(Z$82:Z$114,IF(_xlfn.XLOOKUP($B$82:$B$114,Definitions!$K$17:$K$49,Definitions!$M$17:$M$49,"")=$A68,1,0))</f>
        <v>708.30759999999998</v>
      </c>
      <c r="AA68" s="125" cm="1">
        <f t="array" ref="AA68">SUMPRODUCT(AA$82:AA$114,IF(_xlfn.XLOOKUP($B$82:$B$114,Definitions!$K$17:$K$49,Definitions!$M$17:$M$49,"")=$A68,1,0))</f>
        <v>817.27800000000002</v>
      </c>
      <c r="AB68" s="125" cm="1">
        <f t="array" ref="AB68">SUMPRODUCT(AB$82:AB$114,IF(_xlfn.XLOOKUP($B$82:$B$114,Definitions!$K$17:$K$49,Definitions!$M$17:$M$49,"")=$A68,1,0))</f>
        <v>1007.6455</v>
      </c>
      <c r="AC68" s="125" cm="1">
        <f t="array" ref="AC68">SUMPRODUCT(AC$82:AC$114,IF(_xlfn.XLOOKUP($B$82:$B$114,Definitions!$K$17:$K$49,Definitions!$M$17:$M$49,"")=$A68,1,0))</f>
        <v>1089.1048000000001</v>
      </c>
      <c r="AD68" s="125" cm="1">
        <f t="array" ref="AD68">SUMPRODUCT(AD$82:AD$114,IF(_xlfn.XLOOKUP($B$82:$B$114,Definitions!$K$17:$K$49,Definitions!$M$17:$M$49,"")=$A68,1,0))</f>
        <v>948.84760000000006</v>
      </c>
      <c r="AE68" s="125" cm="1">
        <f t="array" ref="AE68">SUMPRODUCT(AE$82:AE$114,IF(_xlfn.XLOOKUP($B$82:$B$114,Definitions!$K$17:$K$49,Definitions!$M$17:$M$49,"")=$A68,1,0))</f>
        <v>876.68740000000003</v>
      </c>
      <c r="AF68" s="125" cm="1">
        <f t="array" ref="AF68">SUMPRODUCT(AF$82:AF$114,IF(_xlfn.XLOOKUP($B$82:$B$114,Definitions!$K$17:$K$49,Definitions!$M$17:$M$49,"")=$A68,1,0))</f>
        <v>1703.0958999999998</v>
      </c>
      <c r="AG68" s="125" cm="1">
        <f t="array" ref="AG68">SUMPRODUCT(AG$82:AG$114,IF(_xlfn.XLOOKUP($B$82:$B$114,Definitions!$K$17:$K$49,Definitions!$M$17:$M$49,"")=$A68,1,0))</f>
        <v>762.21870000000001</v>
      </c>
      <c r="AH68" s="125" cm="1">
        <f t="array" ref="AH68">SUMPRODUCT(AH$82:AH$114,IF(_xlfn.XLOOKUP($B$82:$B$114,Definitions!$K$17:$K$49,Definitions!$M$17:$M$49,"")=$A68,1,0))</f>
        <v>1074.3518999999999</v>
      </c>
      <c r="AI68" s="125" cm="1">
        <f t="array" ref="AI68">SUMPRODUCT(AI$82:AI$114,IF(_xlfn.XLOOKUP($B$82:$B$114,Definitions!$K$17:$K$49,Definitions!$M$17:$M$49,"")=$A68,1,0))</f>
        <v>757.60310000000004</v>
      </c>
      <c r="AJ68" s="125" cm="1">
        <f t="array" ref="AJ68">SUMPRODUCT(AJ$82:AJ$114,IF(_xlfn.XLOOKUP($B$82:$B$114,Definitions!$K$17:$K$49,Definitions!$M$17:$M$49,"")=$A68,1,0))</f>
        <v>708.30759999999998</v>
      </c>
      <c r="AK68" s="125" cm="1">
        <f t="array" ref="AK68">SUMPRODUCT(AK$82:AK$114,IF(_xlfn.XLOOKUP($B$82:$B$114,Definitions!$K$17:$K$49,Definitions!$M$17:$M$49,"")=$A68,1,0))</f>
        <v>1144.5165999999999</v>
      </c>
      <c r="AL68" s="125" cm="1">
        <f t="array" ref="AL68">SUMPRODUCT(AL$82:AL$114,IF(_xlfn.XLOOKUP($B$82:$B$114,Definitions!$K$17:$K$49,Definitions!$M$17:$M$49,"")=$A68,1,0))</f>
        <v>858.25340000000006</v>
      </c>
      <c r="AM68" s="125" cm="1">
        <f t="array" ref="AM68">SUMPRODUCT(AM$82:AM$114,IF(_xlfn.XLOOKUP($B$82:$B$114,Definitions!$K$17:$K$49,Definitions!$M$17:$M$49,"")=$A68,1,0))</f>
        <v>1282.7032999999999</v>
      </c>
      <c r="AN68" s="125" cm="1">
        <f t="array" ref="AN68">SUMPRODUCT(AN$82:AN$114,IF(_xlfn.XLOOKUP($B$82:$B$114,Definitions!$K$17:$K$49,Definitions!$M$17:$M$49,"")=$A68,1,0))</f>
        <v>1172.9371000000001</v>
      </c>
      <c r="AO68" s="125" cm="1">
        <f t="array" ref="AO68">SUMPRODUCT(AO$82:AO$114,IF(_xlfn.XLOOKUP($B$82:$B$114,Definitions!$K$17:$K$49,Definitions!$M$17:$M$49,"")=$A68,1,0))</f>
        <v>1106.6928</v>
      </c>
      <c r="AP68" s="125" cm="1">
        <f t="array" ref="AP68">SUMPRODUCT(AP$82:AP$114,IF(_xlfn.XLOOKUP($B$82:$B$114,Definitions!$K$17:$K$49,Definitions!$M$17:$M$49,"")=$A68,1,0))</f>
        <v>1557.7231999999999</v>
      </c>
      <c r="AQ68" s="125" cm="1">
        <f t="array" ref="AQ68">SUMPRODUCT(AQ$82:AQ$114,IF(_xlfn.XLOOKUP($B$82:$B$114,Definitions!$K$17:$K$49,Definitions!$M$17:$M$49,"")=$A68,1,0))</f>
        <v>2032.9268999999999</v>
      </c>
      <c r="AR68" s="125" cm="1">
        <f t="array" ref="AR68">SUMPRODUCT(AR$82:AR$114,IF(_xlfn.XLOOKUP($B$82:$B$114,Definitions!$K$17:$K$49,Definitions!$M$17:$M$49,"")=$A68,1,0))</f>
        <v>1556.0245</v>
      </c>
      <c r="AS68" s="125" cm="1">
        <f t="array" ref="AS68">SUMPRODUCT(AS$82:AS$114,IF(_xlfn.XLOOKUP($B$82:$B$114,Definitions!$K$17:$K$49,Definitions!$M$17:$M$49,"")=$A68,1,0))</f>
        <v>980.73360000000002</v>
      </c>
      <c r="AT68" s="125" cm="1">
        <f t="array" ref="AT68">SUMPRODUCT(AT$82:AT$114,IF(_xlfn.XLOOKUP($B$82:$B$114,Definitions!$K$17:$K$49,Definitions!$M$17:$M$49,"")=$A68,1,0))</f>
        <v>980.73360000000002</v>
      </c>
      <c r="AU68" s="125" cm="1">
        <f t="array" ref="AU68">SUMPRODUCT(AU$82:AU$114,IF(_xlfn.XLOOKUP($B$82:$B$114,Definitions!$K$17:$K$49,Definitions!$M$17:$M$49,"")=$A68,1,0))</f>
        <v>1035.2188000000001</v>
      </c>
      <c r="AV68" s="125" cm="1">
        <f t="array" ref="AV68">SUMPRODUCT(AV$82:AV$114,IF(_xlfn.XLOOKUP($B$82:$B$114,Definitions!$K$17:$K$49,Definitions!$M$17:$M$49,"")=$A68,1,0))</f>
        <v>1089.704</v>
      </c>
    </row>
    <row r="69" spans="1:48">
      <c r="A69" s="743" t="s">
        <v>59</v>
      </c>
      <c r="B69" s="743"/>
      <c r="C69" s="125" cm="1">
        <f t="array" ref="C69">SUMPRODUCT(C$82:C$114,IF(_xlfn.XLOOKUP($B$82:$B$114,Definitions!$K$17:$K$49,Definitions!$M$17:$M$49,"")=$A69,1,0))</f>
        <v>0</v>
      </c>
      <c r="D69" s="125" cm="1">
        <f t="array" ref="D69">SUMPRODUCT(D$82:D$114,IF(_xlfn.XLOOKUP($B$82:$B$114,Definitions!$K$17:$K$49,Definitions!$M$17:$M$49,"")=$A69,1,0))</f>
        <v>41.154000000000003</v>
      </c>
      <c r="E69" s="125" cm="1">
        <f t="array" ref="E69">SUMPRODUCT(E$82:E$114,IF(_xlfn.XLOOKUP($B$82:$B$114,Definitions!$K$17:$K$49,Definitions!$M$17:$M$49,"")=$A69,1,0))</f>
        <v>0</v>
      </c>
      <c r="F69" s="125" cm="1">
        <f t="array" ref="F69">SUMPRODUCT(F$82:F$114,IF(_xlfn.XLOOKUP($B$82:$B$114,Definitions!$K$17:$K$49,Definitions!$M$17:$M$49,"")=$A69,1,0))</f>
        <v>0</v>
      </c>
      <c r="G69" s="125" cm="1">
        <f t="array" ref="G69">SUMPRODUCT(G$82:G$114,IF(_xlfn.XLOOKUP($B$82:$B$114,Definitions!$K$17:$K$49,Definitions!$M$17:$M$49,"")=$A69,1,0))</f>
        <v>0</v>
      </c>
      <c r="H69" s="125" cm="1">
        <f t="array" ref="H69">SUMPRODUCT(H$82:H$114,IF(_xlfn.XLOOKUP($B$82:$B$114,Definitions!$K$17:$K$49,Definitions!$M$17:$M$49,"")=$A69,1,0))</f>
        <v>0</v>
      </c>
      <c r="I69" s="125" cm="1">
        <f t="array" ref="I69">SUMPRODUCT(I$82:I$114,IF(_xlfn.XLOOKUP($B$82:$B$114,Definitions!$K$17:$K$49,Definitions!$M$17:$M$49,"")=$A69,1,0))</f>
        <v>0</v>
      </c>
      <c r="J69" s="125" cm="1">
        <f t="array" ref="J69">SUMPRODUCT(J$82:J$114,IF(_xlfn.XLOOKUP($B$82:$B$114,Definitions!$K$17:$K$49,Definitions!$M$17:$M$49,"")=$A69,1,0))</f>
        <v>0</v>
      </c>
      <c r="K69" s="125" cm="1">
        <f t="array" ref="K69">SUMPRODUCT(K$82:K$114,IF(_xlfn.XLOOKUP($B$82:$B$114,Definitions!$K$17:$K$49,Definitions!$M$17:$M$49,"")=$A69,1,0))</f>
        <v>0</v>
      </c>
      <c r="L69" s="125" cm="1">
        <f t="array" ref="L69">SUMPRODUCT(L$82:L$114,IF(_xlfn.XLOOKUP($B$82:$B$114,Definitions!$K$17:$K$49,Definitions!$M$17:$M$49,"")=$A69,1,0))</f>
        <v>0</v>
      </c>
      <c r="M69" s="125" cm="1">
        <f t="array" ref="M69">SUMPRODUCT(M$82:M$114,IF(_xlfn.XLOOKUP($B$82:$B$114,Definitions!$K$17:$K$49,Definitions!$M$17:$M$49,"")=$A69,1,0))</f>
        <v>0</v>
      </c>
      <c r="N69" s="125" cm="1">
        <f t="array" ref="N69">SUMPRODUCT(N$82:N$114,IF(_xlfn.XLOOKUP($B$82:$B$114,Definitions!$K$17:$K$49,Definitions!$M$17:$M$49,"")=$A69,1,0))</f>
        <v>0</v>
      </c>
      <c r="O69" s="125" cm="1">
        <f t="array" ref="O69">SUMPRODUCT(O$82:O$114,IF(_xlfn.XLOOKUP($B$82:$B$114,Definitions!$K$17:$K$49,Definitions!$M$17:$M$49,"")=$A69,1,0))</f>
        <v>0</v>
      </c>
      <c r="P69" s="125" cm="1">
        <f t="array" ref="P69">SUMPRODUCT(P$82:P$114,IF(_xlfn.XLOOKUP($B$82:$B$114,Definitions!$K$17:$K$49,Definitions!$M$17:$M$49,"")=$A69,1,0))</f>
        <v>0</v>
      </c>
      <c r="Q69" s="125" cm="1">
        <f t="array" ref="Q69">SUMPRODUCT(Q$82:Q$114,IF(_xlfn.XLOOKUP($B$82:$B$114,Definitions!$K$17:$K$49,Definitions!$M$17:$M$49,"")=$A69,1,0))</f>
        <v>0</v>
      </c>
      <c r="R69" s="125" cm="1">
        <f t="array" ref="R69">SUMPRODUCT(R$82:R$114,IF(_xlfn.XLOOKUP($B$82:$B$114,Definitions!$K$17:$K$49,Definitions!$M$17:$M$49,"")=$A69,1,0))</f>
        <v>0</v>
      </c>
      <c r="S69" s="125" cm="1">
        <f t="array" ref="S69">SUMPRODUCT(S$82:S$114,IF(_xlfn.XLOOKUP($B$82:$B$114,Definitions!$K$17:$K$49,Definitions!$M$17:$M$49,"")=$A69,1,0))</f>
        <v>110.3518</v>
      </c>
      <c r="T69" s="125" cm="1">
        <f t="array" ref="T69">SUMPRODUCT(T$82:T$114,IF(_xlfn.XLOOKUP($B$82:$B$114,Definitions!$K$17:$K$49,Definitions!$M$17:$M$49,"")=$A69,1,0))</f>
        <v>0</v>
      </c>
      <c r="U69" s="125" cm="1">
        <f t="array" ref="U69">SUMPRODUCT(U$82:U$114,IF(_xlfn.XLOOKUP($B$82:$B$114,Definitions!$K$17:$K$49,Definitions!$M$17:$M$49,"")=$A69,1,0))</f>
        <v>0</v>
      </c>
      <c r="V69" s="125" cm="1">
        <f t="array" ref="V69">SUMPRODUCT(V$82:V$114,IF(_xlfn.XLOOKUP($B$82:$B$114,Definitions!$K$17:$K$49,Definitions!$M$17:$M$49,"")=$A69,1,0))</f>
        <v>0</v>
      </c>
      <c r="W69" s="125" cm="1">
        <f t="array" ref="W69">SUMPRODUCT(W$82:W$114,IF(_xlfn.XLOOKUP($B$82:$B$114,Definitions!$K$17:$K$49,Definitions!$M$17:$M$49,"")=$A69,1,0))</f>
        <v>0</v>
      </c>
      <c r="X69" s="125" cm="1">
        <f t="array" ref="X69">SUMPRODUCT(X$82:X$114,IF(_xlfn.XLOOKUP($B$82:$B$114,Definitions!$K$17:$K$49,Definitions!$M$17:$M$49,"")=$A69,1,0))</f>
        <v>0</v>
      </c>
      <c r="Y69" s="125" cm="1">
        <f t="array" ref="Y69">SUMPRODUCT(Y$82:Y$114,IF(_xlfn.XLOOKUP($B$82:$B$114,Definitions!$K$17:$K$49,Definitions!$M$17:$M$49,"")=$A69,1,0))</f>
        <v>0</v>
      </c>
      <c r="Z69" s="125" cm="1">
        <f t="array" ref="Z69">SUMPRODUCT(Z$82:Z$114,IF(_xlfn.XLOOKUP($B$82:$B$114,Definitions!$K$17:$K$49,Definitions!$M$17:$M$49,"")=$A69,1,0))</f>
        <v>0</v>
      </c>
      <c r="AA69" s="125" cm="1">
        <f t="array" ref="AA69">SUMPRODUCT(AA$82:AA$114,IF(_xlfn.XLOOKUP($B$82:$B$114,Definitions!$K$17:$K$49,Definitions!$M$17:$M$49,"")=$A69,1,0))</f>
        <v>0</v>
      </c>
      <c r="AB69" s="125" cm="1">
        <f t="array" ref="AB69">SUMPRODUCT(AB$82:AB$114,IF(_xlfn.XLOOKUP($B$82:$B$114,Definitions!$K$17:$K$49,Definitions!$M$17:$M$49,"")=$A69,1,0))</f>
        <v>70.561300000000003</v>
      </c>
      <c r="AC69" s="125" cm="1">
        <f t="array" ref="AC69">SUMPRODUCT(AC$82:AC$114,IF(_xlfn.XLOOKUP($B$82:$B$114,Definitions!$K$17:$K$49,Definitions!$M$17:$M$49,"")=$A69,1,0))</f>
        <v>218.37479999999999</v>
      </c>
      <c r="AD69" s="125" cm="1">
        <f t="array" ref="AD69">SUMPRODUCT(AD$82:AD$114,IF(_xlfn.XLOOKUP($B$82:$B$114,Definitions!$K$17:$K$49,Definitions!$M$17:$M$49,"")=$A69,1,0))</f>
        <v>198.4828</v>
      </c>
      <c r="AE69" s="125" cm="1">
        <f t="array" ref="AE69">SUMPRODUCT(AE$82:AE$114,IF(_xlfn.XLOOKUP($B$82:$B$114,Definitions!$K$17:$K$49,Definitions!$M$17:$M$49,"")=$A69,1,0))</f>
        <v>206.02189999999999</v>
      </c>
      <c r="AF69" s="125" cm="1">
        <f t="array" ref="AF69">SUMPRODUCT(AF$82:AF$114,IF(_xlfn.XLOOKUP($B$82:$B$114,Definitions!$K$17:$K$49,Definitions!$M$17:$M$49,"")=$A69,1,0))</f>
        <v>23.941500000000001</v>
      </c>
      <c r="AG69" s="125" cm="1">
        <f t="array" ref="AG69">SUMPRODUCT(AG$82:AG$114,IF(_xlfn.XLOOKUP($B$82:$B$114,Definitions!$K$17:$K$49,Definitions!$M$17:$M$49,"")=$A69,1,0))</f>
        <v>63.821399999999997</v>
      </c>
      <c r="AH69" s="125" cm="1">
        <f t="array" ref="AH69">SUMPRODUCT(AH$82:AH$114,IF(_xlfn.XLOOKUP($B$82:$B$114,Definitions!$K$17:$K$49,Definitions!$M$17:$M$49,"")=$A69,1,0))</f>
        <v>87.122100000000003</v>
      </c>
      <c r="AI69" s="125" cm="1">
        <f t="array" ref="AI69">SUMPRODUCT(AI$82:AI$114,IF(_xlfn.XLOOKUP($B$82:$B$114,Definitions!$K$17:$K$49,Definitions!$M$17:$M$49,"")=$A69,1,0))</f>
        <v>15.0672</v>
      </c>
      <c r="AJ69" s="125" cm="1">
        <f t="array" ref="AJ69">SUMPRODUCT(AJ$82:AJ$114,IF(_xlfn.XLOOKUP($B$82:$B$114,Definitions!$K$17:$K$49,Definitions!$M$17:$M$49,"")=$A69,1,0))</f>
        <v>14.5138</v>
      </c>
      <c r="AK69" s="125" cm="1">
        <f t="array" ref="AK69">SUMPRODUCT(AK$82:AK$114,IF(_xlfn.XLOOKUP($B$82:$B$114,Definitions!$K$17:$K$49,Definitions!$M$17:$M$49,"")=$A69,1,0))</f>
        <v>20.973199999999999</v>
      </c>
      <c r="AL69" s="125" cm="1">
        <f t="array" ref="AL69">SUMPRODUCT(AL$82:AL$114,IF(_xlfn.XLOOKUP($B$82:$B$114,Definitions!$K$17:$K$49,Definitions!$M$17:$M$49,"")=$A69,1,0))</f>
        <v>3.9983</v>
      </c>
      <c r="AM69" s="125" cm="1">
        <f t="array" ref="AM69">SUMPRODUCT(AM$82:AM$114,IF(_xlfn.XLOOKUP($B$82:$B$114,Definitions!$K$17:$K$49,Definitions!$M$17:$M$49,"")=$A69,1,0))</f>
        <v>124.9059</v>
      </c>
      <c r="AN69" s="125" cm="1">
        <f t="array" ref="AN69">SUMPRODUCT(AN$82:AN$114,IF(_xlfn.XLOOKUP($B$82:$B$114,Definitions!$K$17:$K$49,Definitions!$M$17:$M$49,"")=$A69,1,0))</f>
        <v>17.169699999999999</v>
      </c>
      <c r="AO69" s="125" cm="1">
        <f t="array" ref="AO69">SUMPRODUCT(AO$82:AO$114,IF(_xlfn.XLOOKUP($B$82:$B$114,Definitions!$K$17:$K$49,Definitions!$M$17:$M$49,"")=$A69,1,0))</f>
        <v>19.916599999999999</v>
      </c>
      <c r="AP69" s="125" cm="1">
        <f t="array" ref="AP69">SUMPRODUCT(AP$82:AP$114,IF(_xlfn.XLOOKUP($B$82:$B$114,Definitions!$K$17:$K$49,Definitions!$M$17:$M$49,"")=$A69,1,0))</f>
        <v>18.860099999999999</v>
      </c>
      <c r="AQ69" s="125" cm="1">
        <f t="array" ref="AQ69">SUMPRODUCT(AQ$82:AQ$114,IF(_xlfn.XLOOKUP($B$82:$B$114,Definitions!$K$17:$K$49,Definitions!$M$17:$M$49,"")=$A69,1,0))</f>
        <v>20.8675</v>
      </c>
      <c r="AR69" s="125" cm="1">
        <f t="array" ref="AR69">SUMPRODUCT(AR$82:AR$114,IF(_xlfn.XLOOKUP($B$82:$B$114,Definitions!$K$17:$K$49,Definitions!$M$17:$M$49,"")=$A69,1,0))</f>
        <v>20.973199999999999</v>
      </c>
      <c r="AS69" s="125" cm="1">
        <f t="array" ref="AS69">SUMPRODUCT(AS$82:AS$114,IF(_xlfn.XLOOKUP($B$82:$B$114,Definitions!$K$17:$K$49,Definitions!$M$17:$M$49,"")=$A69,1,0))</f>
        <v>20.973199999999999</v>
      </c>
      <c r="AT69" s="125" cm="1">
        <f t="array" ref="AT69">SUMPRODUCT(AT$82:AT$114,IF(_xlfn.XLOOKUP($B$82:$B$114,Definitions!$K$17:$K$49,Definitions!$M$17:$M$49,"")=$A69,1,0))</f>
        <v>20.973199999999999</v>
      </c>
      <c r="AU69" s="125" cm="1">
        <f t="array" ref="AU69">SUMPRODUCT(AU$82:AU$114,IF(_xlfn.XLOOKUP($B$82:$B$114,Definitions!$K$17:$K$49,Definitions!$M$17:$M$49,"")=$A69,1,0))</f>
        <v>20.973199999999999</v>
      </c>
      <c r="AV69" s="125" cm="1">
        <f t="array" ref="AV69">SUMPRODUCT(AV$82:AV$114,IF(_xlfn.XLOOKUP($B$82:$B$114,Definitions!$K$17:$K$49,Definitions!$M$17:$M$49,"")=$A69,1,0))</f>
        <v>91.849100000000007</v>
      </c>
    </row>
    <row r="70" spans="1:48">
      <c r="A70" s="743" t="s">
        <v>65</v>
      </c>
      <c r="B70" s="743"/>
      <c r="C70" s="125" cm="1">
        <f t="array" ref="C70">SUMPRODUCT(C$82:C$114,IF(_xlfn.XLOOKUP($B$82:$B$114,Definitions!$K$17:$K$49,Definitions!$M$17:$M$49,"")=$A70,1,0))</f>
        <v>250</v>
      </c>
      <c r="D70" s="125" cm="1">
        <f t="array" ref="D70">SUMPRODUCT(D$82:D$114,IF(_xlfn.XLOOKUP($B$82:$B$114,Definitions!$K$17:$K$49,Definitions!$M$17:$M$49,"")=$A70,1,0))</f>
        <v>0</v>
      </c>
      <c r="E70" s="125" cm="1">
        <f t="array" ref="E70">SUMPRODUCT(E$82:E$114,IF(_xlfn.XLOOKUP($B$82:$B$114,Definitions!$K$17:$K$49,Definitions!$M$17:$M$49,"")=$A70,1,0))</f>
        <v>0</v>
      </c>
      <c r="F70" s="125" cm="1">
        <f t="array" ref="F70">SUMPRODUCT(F$82:F$114,IF(_xlfn.XLOOKUP($B$82:$B$114,Definitions!$K$17:$K$49,Definitions!$M$17:$M$49,"")=$A70,1,0))</f>
        <v>0</v>
      </c>
      <c r="G70" s="125" cm="1">
        <f t="array" ref="G70">SUMPRODUCT(G$82:G$114,IF(_xlfn.XLOOKUP($B$82:$B$114,Definitions!$K$17:$K$49,Definitions!$M$17:$M$49,"")=$A70,1,0))</f>
        <v>0</v>
      </c>
      <c r="H70" s="125" cm="1">
        <f t="array" ref="H70">SUMPRODUCT(H$82:H$114,IF(_xlfn.XLOOKUP($B$82:$B$114,Definitions!$K$17:$K$49,Definitions!$M$17:$M$49,"")=$A70,1,0))</f>
        <v>0</v>
      </c>
      <c r="I70" s="125" cm="1">
        <f t="array" ref="I70">SUMPRODUCT(I$82:I$114,IF(_xlfn.XLOOKUP($B$82:$B$114,Definitions!$K$17:$K$49,Definitions!$M$17:$M$49,"")=$A70,1,0))</f>
        <v>0</v>
      </c>
      <c r="J70" s="125" cm="1">
        <f t="array" ref="J70">SUMPRODUCT(J$82:J$114,IF(_xlfn.XLOOKUP($B$82:$B$114,Definitions!$K$17:$K$49,Definitions!$M$17:$M$49,"")=$A70,1,0))</f>
        <v>0</v>
      </c>
      <c r="K70" s="125" cm="1">
        <f t="array" ref="K70">SUMPRODUCT(K$82:K$114,IF(_xlfn.XLOOKUP($B$82:$B$114,Definitions!$K$17:$K$49,Definitions!$M$17:$M$49,"")=$A70,1,0))</f>
        <v>0</v>
      </c>
      <c r="L70" s="125" cm="1">
        <f t="array" ref="L70">SUMPRODUCT(L$82:L$114,IF(_xlfn.XLOOKUP($B$82:$B$114,Definitions!$K$17:$K$49,Definitions!$M$17:$M$49,"")=$A70,1,0))</f>
        <v>0</v>
      </c>
      <c r="M70" s="125" cm="1">
        <f t="array" ref="M70">SUMPRODUCT(M$82:M$114,IF(_xlfn.XLOOKUP($B$82:$B$114,Definitions!$K$17:$K$49,Definitions!$M$17:$M$49,"")=$A70,1,0))</f>
        <v>0</v>
      </c>
      <c r="N70" s="125" cm="1">
        <f t="array" ref="N70">SUMPRODUCT(N$82:N$114,IF(_xlfn.XLOOKUP($B$82:$B$114,Definitions!$K$17:$K$49,Definitions!$M$17:$M$49,"")=$A70,1,0))</f>
        <v>0</v>
      </c>
      <c r="O70" s="125" cm="1">
        <f t="array" ref="O70">SUMPRODUCT(O$82:O$114,IF(_xlfn.XLOOKUP($B$82:$B$114,Definitions!$K$17:$K$49,Definitions!$M$17:$M$49,"")=$A70,1,0))</f>
        <v>0</v>
      </c>
      <c r="P70" s="125" cm="1">
        <f t="array" ref="P70">SUMPRODUCT(P$82:P$114,IF(_xlfn.XLOOKUP($B$82:$B$114,Definitions!$K$17:$K$49,Definitions!$M$17:$M$49,"")=$A70,1,0))</f>
        <v>0</v>
      </c>
      <c r="Q70" s="125" cm="1">
        <f t="array" ref="Q70">SUMPRODUCT(Q$82:Q$114,IF(_xlfn.XLOOKUP($B$82:$B$114,Definitions!$K$17:$K$49,Definitions!$M$17:$M$49,"")=$A70,1,0))</f>
        <v>0</v>
      </c>
      <c r="R70" s="125" cm="1">
        <f t="array" ref="R70">SUMPRODUCT(R$82:R$114,IF(_xlfn.XLOOKUP($B$82:$B$114,Definitions!$K$17:$K$49,Definitions!$M$17:$M$49,"")=$A70,1,0))</f>
        <v>0</v>
      </c>
      <c r="S70" s="125" cm="1">
        <f t="array" ref="S70">SUMPRODUCT(S$82:S$114,IF(_xlfn.XLOOKUP($B$82:$B$114,Definitions!$K$17:$K$49,Definitions!$M$17:$M$49,"")=$A70,1,0))</f>
        <v>0</v>
      </c>
      <c r="T70" s="125" cm="1">
        <f t="array" ref="T70">SUMPRODUCT(T$82:T$114,IF(_xlfn.XLOOKUP($B$82:$B$114,Definitions!$K$17:$K$49,Definitions!$M$17:$M$49,"")=$A70,1,0))</f>
        <v>0</v>
      </c>
      <c r="U70" s="125" cm="1">
        <f t="array" ref="U70">SUMPRODUCT(U$82:U$114,IF(_xlfn.XLOOKUP($B$82:$B$114,Definitions!$K$17:$K$49,Definitions!$M$17:$M$49,"")=$A70,1,0))</f>
        <v>0</v>
      </c>
      <c r="V70" s="125" cm="1">
        <f t="array" ref="V70">SUMPRODUCT(V$82:V$114,IF(_xlfn.XLOOKUP($B$82:$B$114,Definitions!$K$17:$K$49,Definitions!$M$17:$M$49,"")=$A70,1,0))</f>
        <v>0</v>
      </c>
      <c r="W70" s="125" cm="1">
        <f t="array" ref="W70">SUMPRODUCT(W$82:W$114,IF(_xlfn.XLOOKUP($B$82:$B$114,Definitions!$K$17:$K$49,Definitions!$M$17:$M$49,"")=$A70,1,0))</f>
        <v>0</v>
      </c>
      <c r="X70" s="125" cm="1">
        <f t="array" ref="X70">SUMPRODUCT(X$82:X$114,IF(_xlfn.XLOOKUP($B$82:$B$114,Definitions!$K$17:$K$49,Definitions!$M$17:$M$49,"")=$A70,1,0))</f>
        <v>0</v>
      </c>
      <c r="Y70" s="125" cm="1">
        <f t="array" ref="Y70">SUMPRODUCT(Y$82:Y$114,IF(_xlfn.XLOOKUP($B$82:$B$114,Definitions!$K$17:$K$49,Definitions!$M$17:$M$49,"")=$A70,1,0))</f>
        <v>0</v>
      </c>
      <c r="Z70" s="125" cm="1">
        <f t="array" ref="Z70">SUMPRODUCT(Z$82:Z$114,IF(_xlfn.XLOOKUP($B$82:$B$114,Definitions!$K$17:$K$49,Definitions!$M$17:$M$49,"")=$A70,1,0))</f>
        <v>0</v>
      </c>
      <c r="AA70" s="125" cm="1">
        <f t="array" ref="AA70">SUMPRODUCT(AA$82:AA$114,IF(_xlfn.XLOOKUP($B$82:$B$114,Definitions!$K$17:$K$49,Definitions!$M$17:$M$49,"")=$A70,1,0))</f>
        <v>0</v>
      </c>
      <c r="AB70" s="125" cm="1">
        <f t="array" ref="AB70">SUMPRODUCT(AB$82:AB$114,IF(_xlfn.XLOOKUP($B$82:$B$114,Definitions!$K$17:$K$49,Definitions!$M$17:$M$49,"")=$A70,1,0))</f>
        <v>0</v>
      </c>
      <c r="AC70" s="125" cm="1">
        <f t="array" ref="AC70">SUMPRODUCT(AC$82:AC$114,IF(_xlfn.XLOOKUP($B$82:$B$114,Definitions!$K$17:$K$49,Definitions!$M$17:$M$49,"")=$A70,1,0))</f>
        <v>0</v>
      </c>
      <c r="AD70" s="125" cm="1">
        <f t="array" ref="AD70">SUMPRODUCT(AD$82:AD$114,IF(_xlfn.XLOOKUP($B$82:$B$114,Definitions!$K$17:$K$49,Definitions!$M$17:$M$49,"")=$A70,1,0))</f>
        <v>0</v>
      </c>
      <c r="AE70" s="125" cm="1">
        <f t="array" ref="AE70">SUMPRODUCT(AE$82:AE$114,IF(_xlfn.XLOOKUP($B$82:$B$114,Definitions!$K$17:$K$49,Definitions!$M$17:$M$49,"")=$A70,1,0))</f>
        <v>0</v>
      </c>
      <c r="AF70" s="125" cm="1">
        <f t="array" ref="AF70">SUMPRODUCT(AF$82:AF$114,IF(_xlfn.XLOOKUP($B$82:$B$114,Definitions!$K$17:$K$49,Definitions!$M$17:$M$49,"")=$A70,1,0))</f>
        <v>0</v>
      </c>
      <c r="AG70" s="125" cm="1">
        <f t="array" ref="AG70">SUMPRODUCT(AG$82:AG$114,IF(_xlfn.XLOOKUP($B$82:$B$114,Definitions!$K$17:$K$49,Definitions!$M$17:$M$49,"")=$A70,1,0))</f>
        <v>0</v>
      </c>
      <c r="AH70" s="125" cm="1">
        <f t="array" ref="AH70">SUMPRODUCT(AH$82:AH$114,IF(_xlfn.XLOOKUP($B$82:$B$114,Definitions!$K$17:$K$49,Definitions!$M$17:$M$49,"")=$A70,1,0))</f>
        <v>0</v>
      </c>
      <c r="AI70" s="125" cm="1">
        <f t="array" ref="AI70">SUMPRODUCT(AI$82:AI$114,IF(_xlfn.XLOOKUP($B$82:$B$114,Definitions!$K$17:$K$49,Definitions!$M$17:$M$49,"")=$A70,1,0))</f>
        <v>0</v>
      </c>
      <c r="AJ70" s="125" cm="1">
        <f t="array" ref="AJ70">SUMPRODUCT(AJ$82:AJ$114,IF(_xlfn.XLOOKUP($B$82:$B$114,Definitions!$K$17:$K$49,Definitions!$M$17:$M$49,"")=$A70,1,0))</f>
        <v>0</v>
      </c>
      <c r="AK70" s="125" cm="1">
        <f t="array" ref="AK70">SUMPRODUCT(AK$82:AK$114,IF(_xlfn.XLOOKUP($B$82:$B$114,Definitions!$K$17:$K$49,Definitions!$M$17:$M$49,"")=$A70,1,0))</f>
        <v>0</v>
      </c>
      <c r="AL70" s="125" cm="1">
        <f t="array" ref="AL70">SUMPRODUCT(AL$82:AL$114,IF(_xlfn.XLOOKUP($B$82:$B$114,Definitions!$K$17:$K$49,Definitions!$M$17:$M$49,"")=$A70,1,0))</f>
        <v>0</v>
      </c>
      <c r="AM70" s="125" cm="1">
        <f t="array" ref="AM70">SUMPRODUCT(AM$82:AM$114,IF(_xlfn.XLOOKUP($B$82:$B$114,Definitions!$K$17:$K$49,Definitions!$M$17:$M$49,"")=$A70,1,0))</f>
        <v>0</v>
      </c>
      <c r="AN70" s="125" cm="1">
        <f t="array" ref="AN70">SUMPRODUCT(AN$82:AN$114,IF(_xlfn.XLOOKUP($B$82:$B$114,Definitions!$K$17:$K$49,Definitions!$M$17:$M$49,"")=$A70,1,0))</f>
        <v>0</v>
      </c>
      <c r="AO70" s="125" cm="1">
        <f t="array" ref="AO70">SUMPRODUCT(AO$82:AO$114,IF(_xlfn.XLOOKUP($B$82:$B$114,Definitions!$K$17:$K$49,Definitions!$M$17:$M$49,"")=$A70,1,0))</f>
        <v>0</v>
      </c>
      <c r="AP70" s="125" cm="1">
        <f t="array" ref="AP70">SUMPRODUCT(AP$82:AP$114,IF(_xlfn.XLOOKUP($B$82:$B$114,Definitions!$K$17:$K$49,Definitions!$M$17:$M$49,"")=$A70,1,0))</f>
        <v>0</v>
      </c>
      <c r="AQ70" s="125" cm="1">
        <f t="array" ref="AQ70">SUMPRODUCT(AQ$82:AQ$114,IF(_xlfn.XLOOKUP($B$82:$B$114,Definitions!$K$17:$K$49,Definitions!$M$17:$M$49,"")=$A70,1,0))</f>
        <v>0</v>
      </c>
      <c r="AR70" s="125" cm="1">
        <f t="array" ref="AR70">SUMPRODUCT(AR$82:AR$114,IF(_xlfn.XLOOKUP($B$82:$B$114,Definitions!$K$17:$K$49,Definitions!$M$17:$M$49,"")=$A70,1,0))</f>
        <v>0</v>
      </c>
      <c r="AS70" s="125" cm="1">
        <f t="array" ref="AS70">SUMPRODUCT(AS$82:AS$114,IF(_xlfn.XLOOKUP($B$82:$B$114,Definitions!$K$17:$K$49,Definitions!$M$17:$M$49,"")=$A70,1,0))</f>
        <v>0</v>
      </c>
      <c r="AT70" s="125" cm="1">
        <f t="array" ref="AT70">SUMPRODUCT(AT$82:AT$114,IF(_xlfn.XLOOKUP($B$82:$B$114,Definitions!$K$17:$K$49,Definitions!$M$17:$M$49,"")=$A70,1,0))</f>
        <v>0</v>
      </c>
      <c r="AU70" s="125" cm="1">
        <f t="array" ref="AU70">SUMPRODUCT(AU$82:AU$114,IF(_xlfn.XLOOKUP($B$82:$B$114,Definitions!$K$17:$K$49,Definitions!$M$17:$M$49,"")=$A70,1,0))</f>
        <v>0</v>
      </c>
      <c r="AV70" s="125" cm="1">
        <f t="array" ref="AV70">SUMPRODUCT(AV$82:AV$114,IF(_xlfn.XLOOKUP($B$82:$B$114,Definitions!$K$17:$K$49,Definitions!$M$17:$M$49,"")=$A70,1,0))</f>
        <v>0</v>
      </c>
    </row>
    <row r="71" spans="1:48">
      <c r="A71" s="743" t="s">
        <v>75</v>
      </c>
      <c r="B71" s="743"/>
      <c r="C71" s="125" cm="1">
        <f t="array" ref="C71">SUMPRODUCT(C$82:C$114,IF(_xlfn.XLOOKUP($B$82:$B$114,Definitions!$K$17:$K$49,Definitions!$M$17:$M$49,"")=$A71,1,0))</f>
        <v>1.0452999999999999</v>
      </c>
      <c r="D71" s="125" cm="1">
        <f t="array" ref="D71">SUMPRODUCT(D$82:D$114,IF(_xlfn.XLOOKUP($B$82:$B$114,Definitions!$K$17:$K$49,Definitions!$M$17:$M$49,"")=$A71,1,0))</f>
        <v>86.409599999999998</v>
      </c>
      <c r="E71" s="125" cm="1">
        <f t="array" ref="E71">SUMPRODUCT(E$82:E$114,IF(_xlfn.XLOOKUP($B$82:$B$114,Definitions!$K$17:$K$49,Definitions!$M$17:$M$49,"")=$A71,1,0))</f>
        <v>38.326900000000002</v>
      </c>
      <c r="F71" s="125" cm="1">
        <f t="array" ref="F71">SUMPRODUCT(F$82:F$114,IF(_xlfn.XLOOKUP($B$82:$B$114,Definitions!$K$17:$K$49,Definitions!$M$17:$M$49,"")=$A71,1,0))</f>
        <v>10.8012</v>
      </c>
      <c r="G71" s="125" cm="1">
        <f t="array" ref="G71">SUMPRODUCT(G$82:G$114,IF(_xlfn.XLOOKUP($B$82:$B$114,Definitions!$K$17:$K$49,Definitions!$M$17:$M$49,"")=$A71,1,0))</f>
        <v>25.7835</v>
      </c>
      <c r="H71" s="125" cm="1">
        <f t="array" ref="H71">SUMPRODUCT(H$82:H$114,IF(_xlfn.XLOOKUP($B$82:$B$114,Definitions!$K$17:$K$49,Definitions!$M$17:$M$49,"")=$A71,1,0))</f>
        <v>127.5239</v>
      </c>
      <c r="I71" s="125" cm="1">
        <f t="array" ref="I71">SUMPRODUCT(I$82:I$114,IF(_xlfn.XLOOKUP($B$82:$B$114,Definitions!$K$17:$K$49,Definitions!$M$17:$M$49,"")=$A71,1,0))</f>
        <v>97.907700000000006</v>
      </c>
      <c r="J71" s="125" cm="1">
        <f t="array" ref="J71">SUMPRODUCT(J$82:J$114,IF(_xlfn.XLOOKUP($B$82:$B$114,Definitions!$K$17:$K$49,Definitions!$M$17:$M$49,"")=$A71,1,0))</f>
        <v>63.413499999999999</v>
      </c>
      <c r="K71" s="125" cm="1">
        <f t="array" ref="K71">SUMPRODUCT(K$82:K$114,IF(_xlfn.XLOOKUP($B$82:$B$114,Definitions!$K$17:$K$49,Definitions!$M$17:$M$49,"")=$A71,1,0))</f>
        <v>112.1932</v>
      </c>
      <c r="L71" s="125" cm="1">
        <f t="array" ref="L71">SUMPRODUCT(L$82:L$114,IF(_xlfn.XLOOKUP($B$82:$B$114,Definitions!$K$17:$K$49,Definitions!$M$17:$M$49,"")=$A71,1,0))</f>
        <v>87.454899999999995</v>
      </c>
      <c r="M71" s="125" cm="1">
        <f t="array" ref="M71">SUMPRODUCT(M$82:M$114,IF(_xlfn.XLOOKUP($B$82:$B$114,Definitions!$K$17:$K$49,Definitions!$M$17:$M$49,"")=$A71,1,0))</f>
        <v>110.45099999999999</v>
      </c>
      <c r="N71" s="125" cm="1">
        <f t="array" ref="N71">SUMPRODUCT(N$82:N$114,IF(_xlfn.XLOOKUP($B$82:$B$114,Definitions!$K$17:$K$49,Definitions!$M$17:$M$49,"")=$A71,1,0))</f>
        <v>97.210899999999995</v>
      </c>
      <c r="O71" s="125" cm="1">
        <f t="array" ref="O71">SUMPRODUCT(O$82:O$114,IF(_xlfn.XLOOKUP($B$82:$B$114,Definitions!$K$17:$K$49,Definitions!$M$17:$M$49,"")=$A71,1,0))</f>
        <v>12.5433</v>
      </c>
      <c r="P71" s="125" cm="1">
        <f t="array" ref="P71">SUMPRODUCT(P$82:P$114,IF(_xlfn.XLOOKUP($B$82:$B$114,Definitions!$K$17:$K$49,Definitions!$M$17:$M$49,"")=$A71,1,0))</f>
        <v>13.5886</v>
      </c>
      <c r="Q71" s="125" cm="1">
        <f t="array" ref="Q71">SUMPRODUCT(Q$82:Q$114,IF(_xlfn.XLOOKUP($B$82:$B$114,Definitions!$K$17:$K$49,Definitions!$M$17:$M$49,"")=$A71,1,0))</f>
        <v>14.633900000000001</v>
      </c>
      <c r="R71" s="125" cm="1">
        <f t="array" ref="R71">SUMPRODUCT(R$82:R$114,IF(_xlfn.XLOOKUP($B$82:$B$114,Definitions!$K$17:$K$49,Definitions!$M$17:$M$49,"")=$A71,1,0))</f>
        <v>16.376000000000001</v>
      </c>
      <c r="S71" s="125" cm="1">
        <f t="array" ref="S71">SUMPRODUCT(S$82:S$114,IF(_xlfn.XLOOKUP($B$82:$B$114,Definitions!$K$17:$K$49,Definitions!$M$17:$M$49,"")=$A71,1,0))</f>
        <v>17.7697</v>
      </c>
      <c r="T71" s="125" cm="1">
        <f t="array" ref="T71">SUMPRODUCT(T$82:T$114,IF(_xlfn.XLOOKUP($B$82:$B$114,Definitions!$K$17:$K$49,Definitions!$M$17:$M$49,"")=$A71,1,0))</f>
        <v>19.511900000000001</v>
      </c>
      <c r="U71" s="125" cm="1">
        <f t="array" ref="U71">SUMPRODUCT(U$82:U$114,IF(_xlfn.XLOOKUP($B$82:$B$114,Definitions!$K$17:$K$49,Definitions!$M$17:$M$49,"")=$A71,1,0))</f>
        <v>21.254000000000001</v>
      </c>
      <c r="V71" s="125" cm="1">
        <f t="array" ref="V71">SUMPRODUCT(V$82:V$114,IF(_xlfn.XLOOKUP($B$82:$B$114,Definitions!$K$17:$K$49,Definitions!$M$17:$M$49,"")=$A71,1,0))</f>
        <v>22.996099999999998</v>
      </c>
      <c r="W71" s="125" cm="1">
        <f t="array" ref="W71">SUMPRODUCT(W$82:W$114,IF(_xlfn.XLOOKUP($B$82:$B$114,Definitions!$K$17:$K$49,Definitions!$M$17:$M$49,"")=$A71,1,0))</f>
        <v>25.435099999999998</v>
      </c>
      <c r="X71" s="125" cm="1">
        <f t="array" ref="X71">SUMPRODUCT(X$82:X$114,IF(_xlfn.XLOOKUP($B$82:$B$114,Definitions!$K$17:$K$49,Definitions!$M$17:$M$49,"")=$A71,1,0))</f>
        <v>27.874099999999999</v>
      </c>
      <c r="Y71" s="125" cm="1">
        <f t="array" ref="Y71">SUMPRODUCT(Y$82:Y$114,IF(_xlfn.XLOOKUP($B$82:$B$114,Definitions!$K$17:$K$49,Definitions!$M$17:$M$49,"")=$A71,1,0))</f>
        <v>30.313099999999999</v>
      </c>
      <c r="Z71" s="125" cm="1">
        <f t="array" ref="Z71">SUMPRODUCT(Z$82:Z$114,IF(_xlfn.XLOOKUP($B$82:$B$114,Definitions!$K$17:$K$49,Definitions!$M$17:$M$49,"")=$A71,1,0))</f>
        <v>33.100499999999997</v>
      </c>
      <c r="AA71" s="125" cm="1">
        <f t="array" ref="AA71">SUMPRODUCT(AA$82:AA$114,IF(_xlfn.XLOOKUP($B$82:$B$114,Definitions!$K$17:$K$49,Definitions!$M$17:$M$49,"")=$A71,1,0))</f>
        <v>36.2363</v>
      </c>
      <c r="AB71" s="125" cm="1">
        <f t="array" ref="AB71">SUMPRODUCT(AB$82:AB$114,IF(_xlfn.XLOOKUP($B$82:$B$114,Definitions!$K$17:$K$49,Definitions!$M$17:$M$49,"")=$A71,1,0))</f>
        <v>39.720599999999997</v>
      </c>
      <c r="AC71" s="125" cm="1">
        <f t="array" ref="AC71">SUMPRODUCT(AC$82:AC$114,IF(_xlfn.XLOOKUP($B$82:$B$114,Definitions!$K$17:$K$49,Definitions!$M$17:$M$49,"")=$A71,1,0))</f>
        <v>26.480399999999999</v>
      </c>
      <c r="AD71" s="125" cm="1">
        <f t="array" ref="AD71">SUMPRODUCT(AD$82:AD$114,IF(_xlfn.XLOOKUP($B$82:$B$114,Definitions!$K$17:$K$49,Definitions!$M$17:$M$49,"")=$A71,1,0))</f>
        <v>26.480399999999999</v>
      </c>
      <c r="AE71" s="125" cm="1">
        <f t="array" ref="AE71">SUMPRODUCT(AE$82:AE$114,IF(_xlfn.XLOOKUP($B$82:$B$114,Definitions!$K$17:$K$49,Definitions!$M$17:$M$49,"")=$A71,1,0))</f>
        <v>26.480399999999999</v>
      </c>
      <c r="AF71" s="125" cm="1">
        <f t="array" ref="AF71">SUMPRODUCT(AF$82:AF$114,IF(_xlfn.XLOOKUP($B$82:$B$114,Definitions!$K$17:$K$49,Definitions!$M$17:$M$49,"")=$A71,1,0))</f>
        <v>26.480399999999999</v>
      </c>
      <c r="AG71" s="125" cm="1">
        <f t="array" ref="AG71">SUMPRODUCT(AG$82:AG$114,IF(_xlfn.XLOOKUP($B$82:$B$114,Definitions!$K$17:$K$49,Definitions!$M$17:$M$49,"")=$A71,1,0))</f>
        <v>26.480399999999999</v>
      </c>
      <c r="AH71" s="125" cm="1">
        <f t="array" ref="AH71">SUMPRODUCT(AH$82:AH$114,IF(_xlfn.XLOOKUP($B$82:$B$114,Definitions!$K$17:$K$49,Definitions!$M$17:$M$49,"")=$A71,1,0))</f>
        <v>26.480399999999999</v>
      </c>
      <c r="AI71" s="125" cm="1">
        <f t="array" ref="AI71">SUMPRODUCT(AI$82:AI$114,IF(_xlfn.XLOOKUP($B$82:$B$114,Definitions!$K$17:$K$49,Definitions!$M$17:$M$49,"")=$A71,1,0))</f>
        <v>26.480399999999999</v>
      </c>
      <c r="AJ71" s="125" cm="1">
        <f t="array" ref="AJ71">SUMPRODUCT(AJ$82:AJ$114,IF(_xlfn.XLOOKUP($B$82:$B$114,Definitions!$K$17:$K$49,Definitions!$M$17:$M$49,"")=$A71,1,0))</f>
        <v>26.480399999999999</v>
      </c>
      <c r="AK71" s="125" cm="1">
        <f t="array" ref="AK71">SUMPRODUCT(AK$82:AK$114,IF(_xlfn.XLOOKUP($B$82:$B$114,Definitions!$K$17:$K$49,Definitions!$M$17:$M$49,"")=$A71,1,0))</f>
        <v>26.480399999999999</v>
      </c>
      <c r="AL71" s="125" cm="1">
        <f t="array" ref="AL71">SUMPRODUCT(AL$82:AL$114,IF(_xlfn.XLOOKUP($B$82:$B$114,Definitions!$K$17:$K$49,Definitions!$M$17:$M$49,"")=$A71,1,0))</f>
        <v>26.480399999999999</v>
      </c>
      <c r="AM71" s="125" cm="1">
        <f t="array" ref="AM71">SUMPRODUCT(AM$82:AM$114,IF(_xlfn.XLOOKUP($B$82:$B$114,Definitions!$K$17:$K$49,Definitions!$M$17:$M$49,"")=$A71,1,0))</f>
        <v>26.480399999999999</v>
      </c>
      <c r="AN71" s="125" cm="1">
        <f t="array" ref="AN71">SUMPRODUCT(AN$82:AN$114,IF(_xlfn.XLOOKUP($B$82:$B$114,Definitions!$K$17:$K$49,Definitions!$M$17:$M$49,"")=$A71,1,0))</f>
        <v>26.480399999999999</v>
      </c>
      <c r="AO71" s="125" cm="1">
        <f t="array" ref="AO71">SUMPRODUCT(AO$82:AO$114,IF(_xlfn.XLOOKUP($B$82:$B$114,Definitions!$K$17:$K$49,Definitions!$M$17:$M$49,"")=$A71,1,0))</f>
        <v>51.915500000000002</v>
      </c>
      <c r="AP71" s="125" cm="1">
        <f t="array" ref="AP71">SUMPRODUCT(AP$82:AP$114,IF(_xlfn.XLOOKUP($B$82:$B$114,Definitions!$K$17:$K$49,Definitions!$M$17:$M$49,"")=$A71,1,0))</f>
        <v>35.191000000000003</v>
      </c>
      <c r="AQ71" s="125" cm="1">
        <f t="array" ref="AQ71">SUMPRODUCT(AQ$82:AQ$114,IF(_xlfn.XLOOKUP($B$82:$B$114,Definitions!$K$17:$K$49,Definitions!$M$17:$M$49,"")=$A71,1,0))</f>
        <v>27.525700000000001</v>
      </c>
      <c r="AR71" s="125" cm="1">
        <f t="array" ref="AR71">SUMPRODUCT(AR$82:AR$114,IF(_xlfn.XLOOKUP($B$82:$B$114,Definitions!$K$17:$K$49,Definitions!$M$17:$M$49,"")=$A71,1,0))</f>
        <v>112.89</v>
      </c>
      <c r="AS71" s="125" cm="1">
        <f t="array" ref="AS71">SUMPRODUCT(AS$82:AS$114,IF(_xlfn.XLOOKUP($B$82:$B$114,Definitions!$K$17:$K$49,Definitions!$M$17:$M$49,"")=$A71,1,0))</f>
        <v>64.807199999999995</v>
      </c>
      <c r="AT71" s="125" cm="1">
        <f t="array" ref="AT71">SUMPRODUCT(AT$82:AT$114,IF(_xlfn.XLOOKUP($B$82:$B$114,Definitions!$K$17:$K$49,Definitions!$M$17:$M$49,"")=$A71,1,0))</f>
        <v>37.281599999999997</v>
      </c>
      <c r="AU71" s="125" cm="1">
        <f t="array" ref="AU71">SUMPRODUCT(AU$82:AU$114,IF(_xlfn.XLOOKUP($B$82:$B$114,Definitions!$K$17:$K$49,Definitions!$M$17:$M$49,"")=$A71,1,0))</f>
        <v>52.2639</v>
      </c>
      <c r="AV71" s="125" cm="1">
        <f t="array" ref="AV71">SUMPRODUCT(AV$82:AV$114,IF(_xlfn.XLOOKUP($B$82:$B$114,Definitions!$K$17:$K$49,Definitions!$M$17:$M$49,"")=$A71,1,0))</f>
        <v>154.0043</v>
      </c>
    </row>
    <row r="72" spans="1:48">
      <c r="A72" s="743" t="s">
        <v>460</v>
      </c>
      <c r="B72" s="743"/>
      <c r="C72" s="125" cm="1">
        <f t="array" ref="C72">SUMPRODUCT(C$82:C$114,IF(_xlfn.XLOOKUP($B$82:$B$114,Definitions!$K$17:$K$49,Definitions!$M$17:$M$49,"")=$A72,1,0))</f>
        <v>0</v>
      </c>
      <c r="D72" s="125" cm="1">
        <f t="array" ref="D72">SUMPRODUCT(D$82:D$114,IF(_xlfn.XLOOKUP($B$82:$B$114,Definitions!$K$17:$K$49,Definitions!$M$17:$M$49,"")=$A72,1,0))</f>
        <v>0</v>
      </c>
      <c r="E72" s="125" cm="1">
        <f t="array" ref="E72">SUMPRODUCT(E$82:E$114,IF(_xlfn.XLOOKUP($B$82:$B$114,Definitions!$K$17:$K$49,Definitions!$M$17:$M$49,"")=$A72,1,0))</f>
        <v>0</v>
      </c>
      <c r="F72" s="125" cm="1">
        <f t="array" ref="F72">SUMPRODUCT(F$82:F$114,IF(_xlfn.XLOOKUP($B$82:$B$114,Definitions!$K$17:$K$49,Definitions!$M$17:$M$49,"")=$A72,1,0))</f>
        <v>0</v>
      </c>
      <c r="G72" s="125" cm="1">
        <f t="array" ref="G72">SUMPRODUCT(G$82:G$114,IF(_xlfn.XLOOKUP($B$82:$B$114,Definitions!$K$17:$K$49,Definitions!$M$17:$M$49,"")=$A72,1,0))</f>
        <v>0</v>
      </c>
      <c r="H72" s="125" cm="1">
        <f t="array" ref="H72">SUMPRODUCT(H$82:H$114,IF(_xlfn.XLOOKUP($B$82:$B$114,Definitions!$K$17:$K$49,Definitions!$M$17:$M$49,"")=$A72,1,0))</f>
        <v>0</v>
      </c>
      <c r="I72" s="125" cm="1">
        <f t="array" ref="I72">SUMPRODUCT(I$82:I$114,IF(_xlfn.XLOOKUP($B$82:$B$114,Definitions!$K$17:$K$49,Definitions!$M$17:$M$49,"")=$A72,1,0))</f>
        <v>0</v>
      </c>
      <c r="J72" s="125" cm="1">
        <f t="array" ref="J72">SUMPRODUCT(J$82:J$114,IF(_xlfn.XLOOKUP($B$82:$B$114,Definitions!$K$17:$K$49,Definitions!$M$17:$M$49,"")=$A72,1,0))</f>
        <v>0</v>
      </c>
      <c r="K72" s="125" cm="1">
        <f t="array" ref="K72">SUMPRODUCT(K$82:K$114,IF(_xlfn.XLOOKUP($B$82:$B$114,Definitions!$K$17:$K$49,Definitions!$M$17:$M$49,"")=$A72,1,0))</f>
        <v>0</v>
      </c>
      <c r="L72" s="125" cm="1">
        <f t="array" ref="L72">SUMPRODUCT(L$82:L$114,IF(_xlfn.XLOOKUP($B$82:$B$114,Definitions!$K$17:$K$49,Definitions!$M$17:$M$49,"")=$A72,1,0))</f>
        <v>0</v>
      </c>
      <c r="M72" s="125" cm="1">
        <f t="array" ref="M72">SUMPRODUCT(M$82:M$114,IF(_xlfn.XLOOKUP($B$82:$B$114,Definitions!$K$17:$K$49,Definitions!$M$17:$M$49,"")=$A72,1,0))</f>
        <v>0</v>
      </c>
      <c r="N72" s="125" cm="1">
        <f t="array" ref="N72">SUMPRODUCT(N$82:N$114,IF(_xlfn.XLOOKUP($B$82:$B$114,Definitions!$K$17:$K$49,Definitions!$M$17:$M$49,"")=$A72,1,0))</f>
        <v>0</v>
      </c>
      <c r="O72" s="125" cm="1">
        <f t="array" ref="O72">SUMPRODUCT(O$82:O$114,IF(_xlfn.XLOOKUP($B$82:$B$114,Definitions!$K$17:$K$49,Definitions!$M$17:$M$49,"")=$A72,1,0))</f>
        <v>0</v>
      </c>
      <c r="P72" s="125" cm="1">
        <f t="array" ref="P72">SUMPRODUCT(P$82:P$114,IF(_xlfn.XLOOKUP($B$82:$B$114,Definitions!$K$17:$K$49,Definitions!$M$17:$M$49,"")=$A72,1,0))</f>
        <v>0</v>
      </c>
      <c r="Q72" s="125" cm="1">
        <f t="array" ref="Q72">SUMPRODUCT(Q$82:Q$114,IF(_xlfn.XLOOKUP($B$82:$B$114,Definitions!$K$17:$K$49,Definitions!$M$17:$M$49,"")=$A72,1,0))</f>
        <v>0</v>
      </c>
      <c r="R72" s="125" cm="1">
        <f t="array" ref="R72">SUMPRODUCT(R$82:R$114,IF(_xlfn.XLOOKUP($B$82:$B$114,Definitions!$K$17:$K$49,Definitions!$M$17:$M$49,"")=$A72,1,0))</f>
        <v>0</v>
      </c>
      <c r="S72" s="125" cm="1">
        <f t="array" ref="S72">SUMPRODUCT(S$82:S$114,IF(_xlfn.XLOOKUP($B$82:$B$114,Definitions!$K$17:$K$49,Definitions!$M$17:$M$49,"")=$A72,1,0))</f>
        <v>0</v>
      </c>
      <c r="T72" s="125" cm="1">
        <f t="array" ref="T72">SUMPRODUCT(T$82:T$114,IF(_xlfn.XLOOKUP($B$82:$B$114,Definitions!$K$17:$K$49,Definitions!$M$17:$M$49,"")=$A72,1,0))</f>
        <v>0</v>
      </c>
      <c r="U72" s="125" cm="1">
        <f t="array" ref="U72">SUMPRODUCT(U$82:U$114,IF(_xlfn.XLOOKUP($B$82:$B$114,Definitions!$K$17:$K$49,Definitions!$M$17:$M$49,"")=$A72,1,0))</f>
        <v>0</v>
      </c>
      <c r="V72" s="125" cm="1">
        <f t="array" ref="V72">SUMPRODUCT(V$82:V$114,IF(_xlfn.XLOOKUP($B$82:$B$114,Definitions!$K$17:$K$49,Definitions!$M$17:$M$49,"")=$A72,1,0))</f>
        <v>0</v>
      </c>
      <c r="W72" s="125" cm="1">
        <f t="array" ref="W72">SUMPRODUCT(W$82:W$114,IF(_xlfn.XLOOKUP($B$82:$B$114,Definitions!$K$17:$K$49,Definitions!$M$17:$M$49,"")=$A72,1,0))</f>
        <v>0</v>
      </c>
      <c r="X72" s="125" cm="1">
        <f t="array" ref="X72">SUMPRODUCT(X$82:X$114,IF(_xlfn.XLOOKUP($B$82:$B$114,Definitions!$K$17:$K$49,Definitions!$M$17:$M$49,"")=$A72,1,0))</f>
        <v>0</v>
      </c>
      <c r="Y72" s="125" cm="1">
        <f t="array" ref="Y72">SUMPRODUCT(Y$82:Y$114,IF(_xlfn.XLOOKUP($B$82:$B$114,Definitions!$K$17:$K$49,Definitions!$M$17:$M$49,"")=$A72,1,0))</f>
        <v>0</v>
      </c>
      <c r="Z72" s="125" cm="1">
        <f t="array" ref="Z72">SUMPRODUCT(Z$82:Z$114,IF(_xlfn.XLOOKUP($B$82:$B$114,Definitions!$K$17:$K$49,Definitions!$M$17:$M$49,"")=$A72,1,0))</f>
        <v>0</v>
      </c>
      <c r="AA72" s="125" cm="1">
        <f t="array" ref="AA72">SUMPRODUCT(AA$82:AA$114,IF(_xlfn.XLOOKUP($B$82:$B$114,Definitions!$K$17:$K$49,Definitions!$M$17:$M$49,"")=$A72,1,0))</f>
        <v>0</v>
      </c>
      <c r="AB72" s="125" cm="1">
        <f t="array" ref="AB72">SUMPRODUCT(AB$82:AB$114,IF(_xlfn.XLOOKUP($B$82:$B$114,Definitions!$K$17:$K$49,Definitions!$M$17:$M$49,"")=$A72,1,0))</f>
        <v>0</v>
      </c>
      <c r="AC72" s="125" cm="1">
        <f t="array" ref="AC72">SUMPRODUCT(AC$82:AC$114,IF(_xlfn.XLOOKUP($B$82:$B$114,Definitions!$K$17:$K$49,Definitions!$M$17:$M$49,"")=$A72,1,0))</f>
        <v>0</v>
      </c>
      <c r="AD72" s="125" cm="1">
        <f t="array" ref="AD72">SUMPRODUCT(AD$82:AD$114,IF(_xlfn.XLOOKUP($B$82:$B$114,Definitions!$K$17:$K$49,Definitions!$M$17:$M$49,"")=$A72,1,0))</f>
        <v>0</v>
      </c>
      <c r="AE72" s="125" cm="1">
        <f t="array" ref="AE72">SUMPRODUCT(AE$82:AE$114,IF(_xlfn.XLOOKUP($B$82:$B$114,Definitions!$K$17:$K$49,Definitions!$M$17:$M$49,"")=$A72,1,0))</f>
        <v>0</v>
      </c>
      <c r="AF72" s="125" cm="1">
        <f t="array" ref="AF72">SUMPRODUCT(AF$82:AF$114,IF(_xlfn.XLOOKUP($B$82:$B$114,Definitions!$K$17:$K$49,Definitions!$M$17:$M$49,"")=$A72,1,0))</f>
        <v>0</v>
      </c>
      <c r="AG72" s="125" cm="1">
        <f t="array" ref="AG72">SUMPRODUCT(AG$82:AG$114,IF(_xlfn.XLOOKUP($B$82:$B$114,Definitions!$K$17:$K$49,Definitions!$M$17:$M$49,"")=$A72,1,0))</f>
        <v>0</v>
      </c>
      <c r="AH72" s="125" cm="1">
        <f t="array" ref="AH72">SUMPRODUCT(AH$82:AH$114,IF(_xlfn.XLOOKUP($B$82:$B$114,Definitions!$K$17:$K$49,Definitions!$M$17:$M$49,"")=$A72,1,0))</f>
        <v>0</v>
      </c>
      <c r="AI72" s="125" cm="1">
        <f t="array" ref="AI72">SUMPRODUCT(AI$82:AI$114,IF(_xlfn.XLOOKUP($B$82:$B$114,Definitions!$K$17:$K$49,Definitions!$M$17:$M$49,"")=$A72,1,0))</f>
        <v>0</v>
      </c>
      <c r="AJ72" s="125" cm="1">
        <f t="array" ref="AJ72">SUMPRODUCT(AJ$82:AJ$114,IF(_xlfn.XLOOKUP($B$82:$B$114,Definitions!$K$17:$K$49,Definitions!$M$17:$M$49,"")=$A72,1,0))</f>
        <v>0</v>
      </c>
      <c r="AK72" s="125" cm="1">
        <f t="array" ref="AK72">SUMPRODUCT(AK$82:AK$114,IF(_xlfn.XLOOKUP($B$82:$B$114,Definitions!$K$17:$K$49,Definitions!$M$17:$M$49,"")=$A72,1,0))</f>
        <v>0</v>
      </c>
      <c r="AL72" s="125" cm="1">
        <f t="array" ref="AL72">SUMPRODUCT(AL$82:AL$114,IF(_xlfn.XLOOKUP($B$82:$B$114,Definitions!$K$17:$K$49,Definitions!$M$17:$M$49,"")=$A72,1,0))</f>
        <v>0</v>
      </c>
      <c r="AM72" s="125" cm="1">
        <f t="array" ref="AM72">SUMPRODUCT(AM$82:AM$114,IF(_xlfn.XLOOKUP($B$82:$B$114,Definitions!$K$17:$K$49,Definitions!$M$17:$M$49,"")=$A72,1,0))</f>
        <v>0</v>
      </c>
      <c r="AN72" s="125" cm="1">
        <f t="array" ref="AN72">SUMPRODUCT(AN$82:AN$114,IF(_xlfn.XLOOKUP($B$82:$B$114,Definitions!$K$17:$K$49,Definitions!$M$17:$M$49,"")=$A72,1,0))</f>
        <v>0</v>
      </c>
      <c r="AO72" s="125" cm="1">
        <f t="array" ref="AO72">SUMPRODUCT(AO$82:AO$114,IF(_xlfn.XLOOKUP($B$82:$B$114,Definitions!$K$17:$K$49,Definitions!$M$17:$M$49,"")=$A72,1,0))</f>
        <v>0</v>
      </c>
      <c r="AP72" s="125" cm="1">
        <f t="array" ref="AP72">SUMPRODUCT(AP$82:AP$114,IF(_xlfn.XLOOKUP($B$82:$B$114,Definitions!$K$17:$K$49,Definitions!$M$17:$M$49,"")=$A72,1,0))</f>
        <v>0</v>
      </c>
      <c r="AQ72" s="125" cm="1">
        <f t="array" ref="AQ72">SUMPRODUCT(AQ$82:AQ$114,IF(_xlfn.XLOOKUP($B$82:$B$114,Definitions!$K$17:$K$49,Definitions!$M$17:$M$49,"")=$A72,1,0))</f>
        <v>0</v>
      </c>
      <c r="AR72" s="125" cm="1">
        <f t="array" ref="AR72">SUMPRODUCT(AR$82:AR$114,IF(_xlfn.XLOOKUP($B$82:$B$114,Definitions!$K$17:$K$49,Definitions!$M$17:$M$49,"")=$A72,1,0))</f>
        <v>0</v>
      </c>
      <c r="AS72" s="125" cm="1">
        <f t="array" ref="AS72">SUMPRODUCT(AS$82:AS$114,IF(_xlfn.XLOOKUP($B$82:$B$114,Definitions!$K$17:$K$49,Definitions!$M$17:$M$49,"")=$A72,1,0))</f>
        <v>0</v>
      </c>
      <c r="AT72" s="125" cm="1">
        <f t="array" ref="AT72">SUMPRODUCT(AT$82:AT$114,IF(_xlfn.XLOOKUP($B$82:$B$114,Definitions!$K$17:$K$49,Definitions!$M$17:$M$49,"")=$A72,1,0))</f>
        <v>0</v>
      </c>
      <c r="AU72" s="125" cm="1">
        <f t="array" ref="AU72">SUMPRODUCT(AU$82:AU$114,IF(_xlfn.XLOOKUP($B$82:$B$114,Definitions!$K$17:$K$49,Definitions!$M$17:$M$49,"")=$A72,1,0))</f>
        <v>0</v>
      </c>
      <c r="AV72" s="125" cm="1">
        <f t="array" ref="AV72">SUMPRODUCT(AV$82:AV$114,IF(_xlfn.XLOOKUP($B$82:$B$114,Definitions!$K$17:$K$49,Definitions!$M$17:$M$49,"")=$A72,1,0))</f>
        <v>0</v>
      </c>
    </row>
    <row r="73" spans="1:48">
      <c r="A73" s="743" t="s">
        <v>101</v>
      </c>
      <c r="B73" s="743"/>
      <c r="C73" s="125" cm="1">
        <f t="array" ref="C73">SUMPRODUCT(C$82:C$114,IF(_xlfn.XLOOKUP($B$82:$B$114,Definitions!$K$17:$K$49,Definitions!$M$17:$M$49,"")=$A73,1,0))</f>
        <v>0</v>
      </c>
      <c r="D73" s="125" cm="1">
        <f t="array" ref="D73">SUMPRODUCT(D$82:D$114,IF(_xlfn.XLOOKUP($B$82:$B$114,Definitions!$K$17:$K$49,Definitions!$M$17:$M$49,"")=$A73,1,0))</f>
        <v>0</v>
      </c>
      <c r="E73" s="125" cm="1">
        <f t="array" ref="E73">SUMPRODUCT(E$82:E$114,IF(_xlfn.XLOOKUP($B$82:$B$114,Definitions!$K$17:$K$49,Definitions!$M$17:$M$49,"")=$A73,1,0))</f>
        <v>0</v>
      </c>
      <c r="F73" s="125" cm="1">
        <f t="array" ref="F73">SUMPRODUCT(F$82:F$114,IF(_xlfn.XLOOKUP($B$82:$B$114,Definitions!$K$17:$K$49,Definitions!$M$17:$M$49,"")=$A73,1,0))</f>
        <v>0</v>
      </c>
      <c r="G73" s="125" cm="1">
        <f t="array" ref="G73">SUMPRODUCT(G$82:G$114,IF(_xlfn.XLOOKUP($B$82:$B$114,Definitions!$K$17:$K$49,Definitions!$M$17:$M$49,"")=$A73,1,0))</f>
        <v>0</v>
      </c>
      <c r="H73" s="125" cm="1">
        <f t="array" ref="H73">SUMPRODUCT(H$82:H$114,IF(_xlfn.XLOOKUP($B$82:$B$114,Definitions!$K$17:$K$49,Definitions!$M$17:$M$49,"")=$A73,1,0))</f>
        <v>0</v>
      </c>
      <c r="I73" s="125" cm="1">
        <f t="array" ref="I73">SUMPRODUCT(I$82:I$114,IF(_xlfn.XLOOKUP($B$82:$B$114,Definitions!$K$17:$K$49,Definitions!$M$17:$M$49,"")=$A73,1,0))</f>
        <v>0</v>
      </c>
      <c r="J73" s="125" cm="1">
        <f t="array" ref="J73">SUMPRODUCT(J$82:J$114,IF(_xlfn.XLOOKUP($B$82:$B$114,Definitions!$K$17:$K$49,Definitions!$M$17:$M$49,"")=$A73,1,0))</f>
        <v>0</v>
      </c>
      <c r="K73" s="125" cm="1">
        <f t="array" ref="K73">SUMPRODUCT(K$82:K$114,IF(_xlfn.XLOOKUP($B$82:$B$114,Definitions!$K$17:$K$49,Definitions!$M$17:$M$49,"")=$A73,1,0))</f>
        <v>0</v>
      </c>
      <c r="L73" s="125" cm="1">
        <f t="array" ref="L73">SUMPRODUCT(L$82:L$114,IF(_xlfn.XLOOKUP($B$82:$B$114,Definitions!$K$17:$K$49,Definitions!$M$17:$M$49,"")=$A73,1,0))</f>
        <v>0</v>
      </c>
      <c r="M73" s="125" cm="1">
        <f t="array" ref="M73">SUMPRODUCT(M$82:M$114,IF(_xlfn.XLOOKUP($B$82:$B$114,Definitions!$K$17:$K$49,Definitions!$M$17:$M$49,"")=$A73,1,0))</f>
        <v>0</v>
      </c>
      <c r="N73" s="125" cm="1">
        <f t="array" ref="N73">SUMPRODUCT(N$82:N$114,IF(_xlfn.XLOOKUP($B$82:$B$114,Definitions!$K$17:$K$49,Definitions!$M$17:$M$49,"")=$A73,1,0))</f>
        <v>0</v>
      </c>
      <c r="O73" s="125" cm="1">
        <f t="array" ref="O73">SUMPRODUCT(O$82:O$114,IF(_xlfn.XLOOKUP($B$82:$B$114,Definitions!$K$17:$K$49,Definitions!$M$17:$M$49,"")=$A73,1,0))</f>
        <v>0</v>
      </c>
      <c r="P73" s="125" cm="1">
        <f t="array" ref="P73">SUMPRODUCT(P$82:P$114,IF(_xlfn.XLOOKUP($B$82:$B$114,Definitions!$K$17:$K$49,Definitions!$M$17:$M$49,"")=$A73,1,0))</f>
        <v>0</v>
      </c>
      <c r="Q73" s="125" cm="1">
        <f t="array" ref="Q73">SUMPRODUCT(Q$82:Q$114,IF(_xlfn.XLOOKUP($B$82:$B$114,Definitions!$K$17:$K$49,Definitions!$M$17:$M$49,"")=$A73,1,0))</f>
        <v>0</v>
      </c>
      <c r="R73" s="125" cm="1">
        <f t="array" ref="R73">SUMPRODUCT(R$82:R$114,IF(_xlfn.XLOOKUP($B$82:$B$114,Definitions!$K$17:$K$49,Definitions!$M$17:$M$49,"")=$A73,1,0))</f>
        <v>0</v>
      </c>
      <c r="S73" s="125" cm="1">
        <f t="array" ref="S73">SUMPRODUCT(S$82:S$114,IF(_xlfn.XLOOKUP($B$82:$B$114,Definitions!$K$17:$K$49,Definitions!$M$17:$M$49,"")=$A73,1,0))</f>
        <v>0</v>
      </c>
      <c r="T73" s="125" cm="1">
        <f t="array" ref="T73">SUMPRODUCT(T$82:T$114,IF(_xlfn.XLOOKUP($B$82:$B$114,Definitions!$K$17:$K$49,Definitions!$M$17:$M$49,"")=$A73,1,0))</f>
        <v>0</v>
      </c>
      <c r="U73" s="125" cm="1">
        <f t="array" ref="U73">SUMPRODUCT(U$82:U$114,IF(_xlfn.XLOOKUP($B$82:$B$114,Definitions!$K$17:$K$49,Definitions!$M$17:$M$49,"")=$A73,1,0))</f>
        <v>0</v>
      </c>
      <c r="V73" s="125" cm="1">
        <f t="array" ref="V73">SUMPRODUCT(V$82:V$114,IF(_xlfn.XLOOKUP($B$82:$B$114,Definitions!$K$17:$K$49,Definitions!$M$17:$M$49,"")=$A73,1,0))</f>
        <v>0</v>
      </c>
      <c r="W73" s="125" cm="1">
        <f t="array" ref="W73">SUMPRODUCT(W$82:W$114,IF(_xlfn.XLOOKUP($B$82:$B$114,Definitions!$K$17:$K$49,Definitions!$M$17:$M$49,"")=$A73,1,0))</f>
        <v>0</v>
      </c>
      <c r="X73" s="125" cm="1">
        <f t="array" ref="X73">SUMPRODUCT(X$82:X$114,IF(_xlfn.XLOOKUP($B$82:$B$114,Definitions!$K$17:$K$49,Definitions!$M$17:$M$49,"")=$A73,1,0))</f>
        <v>0</v>
      </c>
      <c r="Y73" s="125" cm="1">
        <f t="array" ref="Y73">SUMPRODUCT(Y$82:Y$114,IF(_xlfn.XLOOKUP($B$82:$B$114,Definitions!$K$17:$K$49,Definitions!$M$17:$M$49,"")=$A73,1,0))</f>
        <v>0</v>
      </c>
      <c r="Z73" s="125" cm="1">
        <f t="array" ref="Z73">SUMPRODUCT(Z$82:Z$114,IF(_xlfn.XLOOKUP($B$82:$B$114,Definitions!$K$17:$K$49,Definitions!$M$17:$M$49,"")=$A73,1,0))</f>
        <v>0</v>
      </c>
      <c r="AA73" s="125" cm="1">
        <f t="array" ref="AA73">SUMPRODUCT(AA$82:AA$114,IF(_xlfn.XLOOKUP($B$82:$B$114,Definitions!$K$17:$K$49,Definitions!$M$17:$M$49,"")=$A73,1,0))</f>
        <v>0</v>
      </c>
      <c r="AB73" s="125" cm="1">
        <f t="array" ref="AB73">SUMPRODUCT(AB$82:AB$114,IF(_xlfn.XLOOKUP($B$82:$B$114,Definitions!$K$17:$K$49,Definitions!$M$17:$M$49,"")=$A73,1,0))</f>
        <v>0</v>
      </c>
      <c r="AC73" s="125" cm="1">
        <f t="array" ref="AC73">SUMPRODUCT(AC$82:AC$114,IF(_xlfn.XLOOKUP($B$82:$B$114,Definitions!$K$17:$K$49,Definitions!$M$17:$M$49,"")=$A73,1,0))</f>
        <v>0</v>
      </c>
      <c r="AD73" s="125" cm="1">
        <f t="array" ref="AD73">SUMPRODUCT(AD$82:AD$114,IF(_xlfn.XLOOKUP($B$82:$B$114,Definitions!$K$17:$K$49,Definitions!$M$17:$M$49,"")=$A73,1,0))</f>
        <v>0</v>
      </c>
      <c r="AE73" s="125" cm="1">
        <f t="array" ref="AE73">SUMPRODUCT(AE$82:AE$114,IF(_xlfn.XLOOKUP($B$82:$B$114,Definitions!$K$17:$K$49,Definitions!$M$17:$M$49,"")=$A73,1,0))</f>
        <v>82.478899999999996</v>
      </c>
      <c r="AF73" s="125" cm="1">
        <f t="array" ref="AF73">SUMPRODUCT(AF$82:AF$114,IF(_xlfn.XLOOKUP($B$82:$B$114,Definitions!$K$17:$K$49,Definitions!$M$17:$M$49,"")=$A73,1,0))</f>
        <v>216.51509999999999</v>
      </c>
      <c r="AG73" s="125" cm="1">
        <f t="array" ref="AG73">SUMPRODUCT(AG$82:AG$114,IF(_xlfn.XLOOKUP($B$82:$B$114,Definitions!$K$17:$K$49,Definitions!$M$17:$M$49,"")=$A73,1,0))</f>
        <v>193.4906</v>
      </c>
      <c r="AH73" s="125" cm="1">
        <f t="array" ref="AH73">SUMPRODUCT(AH$82:AH$114,IF(_xlfn.XLOOKUP($B$82:$B$114,Definitions!$K$17:$K$49,Definitions!$M$17:$M$49,"")=$A73,1,0))</f>
        <v>58.627299999999998</v>
      </c>
      <c r="AI73" s="125" cm="1">
        <f t="array" ref="AI73">SUMPRODUCT(AI$82:AI$114,IF(_xlfn.XLOOKUP($B$82:$B$114,Definitions!$K$17:$K$49,Definitions!$M$17:$M$49,"")=$A73,1,0))</f>
        <v>176.16909999999999</v>
      </c>
      <c r="AJ73" s="125" cm="1">
        <f t="array" ref="AJ73">SUMPRODUCT(AJ$82:AJ$114,IF(_xlfn.XLOOKUP($B$82:$B$114,Definitions!$K$17:$K$49,Definitions!$M$17:$M$49,"")=$A73,1,0))</f>
        <v>171.6943</v>
      </c>
      <c r="AK73" s="125" cm="1">
        <f t="array" ref="AK73">SUMPRODUCT(AK$82:AK$114,IF(_xlfn.XLOOKUP($B$82:$B$114,Definitions!$K$17:$K$49,Definitions!$M$17:$M$49,"")=$A73,1,0))</f>
        <v>167.0805</v>
      </c>
      <c r="AL73" s="125" cm="1">
        <f t="array" ref="AL73">SUMPRODUCT(AL$82:AL$114,IF(_xlfn.XLOOKUP($B$82:$B$114,Definitions!$K$17:$K$49,Definitions!$M$17:$M$49,"")=$A73,1,0))</f>
        <v>161.11089999999999</v>
      </c>
      <c r="AM73" s="125" cm="1">
        <f t="array" ref="AM73">SUMPRODUCT(AM$82:AM$114,IF(_xlfn.XLOOKUP($B$82:$B$114,Definitions!$K$17:$K$49,Definitions!$M$17:$M$49,"")=$A73,1,0))</f>
        <v>74.842299999999994</v>
      </c>
      <c r="AN73" s="125" cm="1">
        <f t="array" ref="AN73">SUMPRODUCT(AN$82:AN$114,IF(_xlfn.XLOOKUP($B$82:$B$114,Definitions!$K$17:$K$49,Definitions!$M$17:$M$49,"")=$A73,1,0))</f>
        <v>165.74289999999999</v>
      </c>
      <c r="AO73" s="125" cm="1">
        <f t="array" ref="AO73">SUMPRODUCT(AO$82:AO$114,IF(_xlfn.XLOOKUP($B$82:$B$114,Definitions!$K$17:$K$49,Definitions!$M$17:$M$49,"")=$A73,1,0))</f>
        <v>166.709</v>
      </c>
      <c r="AP73" s="125" cm="1">
        <f t="array" ref="AP73">SUMPRODUCT(AP$82:AP$114,IF(_xlfn.XLOOKUP($B$82:$B$114,Definitions!$K$17:$K$49,Definitions!$M$17:$M$49,"")=$A73,1,0))</f>
        <v>166.3374</v>
      </c>
      <c r="AQ73" s="125" cm="1">
        <f t="array" ref="AQ73">SUMPRODUCT(AQ$82:AQ$114,IF(_xlfn.XLOOKUP($B$82:$B$114,Definitions!$K$17:$K$49,Definitions!$M$17:$M$49,"")=$A73,1,0))</f>
        <v>167.04339999999999</v>
      </c>
      <c r="AR73" s="125" cm="1">
        <f t="array" ref="AR73">SUMPRODUCT(AR$82:AR$114,IF(_xlfn.XLOOKUP($B$82:$B$114,Definitions!$K$17:$K$49,Definitions!$M$17:$M$49,"")=$A73,1,0))</f>
        <v>167.0805</v>
      </c>
      <c r="AS73" s="125" cm="1">
        <f t="array" ref="AS73">SUMPRODUCT(AS$82:AS$114,IF(_xlfn.XLOOKUP($B$82:$B$114,Definitions!$K$17:$K$49,Definitions!$M$17:$M$49,"")=$A73,1,0))</f>
        <v>167.0805</v>
      </c>
      <c r="AT73" s="125" cm="1">
        <f t="array" ref="AT73">SUMPRODUCT(AT$82:AT$114,IF(_xlfn.XLOOKUP($B$82:$B$114,Definitions!$K$17:$K$49,Definitions!$M$17:$M$49,"")=$A73,1,0))</f>
        <v>167.0805</v>
      </c>
      <c r="AU73" s="125" cm="1">
        <f t="array" ref="AU73">SUMPRODUCT(AU$82:AU$114,IF(_xlfn.XLOOKUP($B$82:$B$114,Definitions!$K$17:$K$49,Definitions!$M$17:$M$49,"")=$A73,1,0))</f>
        <v>167.0805</v>
      </c>
      <c r="AV73" s="125" cm="1">
        <f t="array" ref="AV73">SUMPRODUCT(AV$82:AV$114,IF(_xlfn.XLOOKUP($B$82:$B$114,Definitions!$K$17:$K$49,Definitions!$M$17:$M$49,"")=$A73,1,0))</f>
        <v>166.0471</v>
      </c>
    </row>
    <row r="74" spans="1:48">
      <c r="A74" s="753" t="s">
        <v>622</v>
      </c>
      <c r="B74" s="753"/>
      <c r="C74" s="126">
        <f>SUM(C75,C76,C77)</f>
        <v>191.74850000000001</v>
      </c>
      <c r="D74" s="126">
        <f t="shared" ref="D74:AV74" si="11">SUM(D75,D76,D77)</f>
        <v>168.75149999999999</v>
      </c>
      <c r="E74" s="126">
        <f t="shared" si="11"/>
        <v>401.428</v>
      </c>
      <c r="F74" s="126">
        <f t="shared" si="11"/>
        <v>368.13220000000001</v>
      </c>
      <c r="G74" s="126">
        <f t="shared" si="11"/>
        <v>393.27809999999999</v>
      </c>
      <c r="H74" s="126">
        <f t="shared" si="11"/>
        <v>442.89449999999999</v>
      </c>
      <c r="I74" s="126">
        <f t="shared" si="11"/>
        <v>367.28100000000001</v>
      </c>
      <c r="J74" s="126">
        <f t="shared" si="11"/>
        <v>424.66340000000002</v>
      </c>
      <c r="K74" s="126">
        <f t="shared" si="11"/>
        <v>412.65969999999999</v>
      </c>
      <c r="L74" s="126">
        <f t="shared" si="11"/>
        <v>451.13389999999998</v>
      </c>
      <c r="M74" s="126">
        <f t="shared" si="11"/>
        <v>467.86290000000002</v>
      </c>
      <c r="N74" s="126">
        <f t="shared" si="11"/>
        <v>480.09649999999999</v>
      </c>
      <c r="O74" s="126">
        <f t="shared" si="11"/>
        <v>576.42809999999997</v>
      </c>
      <c r="P74" s="126">
        <f t="shared" si="11"/>
        <v>600.44949999999994</v>
      </c>
      <c r="Q74" s="126">
        <f t="shared" si="11"/>
        <v>634.87180000000001</v>
      </c>
      <c r="R74" s="126">
        <f t="shared" si="11"/>
        <v>673.11329999999998</v>
      </c>
      <c r="S74" s="126">
        <f t="shared" si="11"/>
        <v>709.20740000000001</v>
      </c>
      <c r="T74" s="126">
        <f t="shared" si="11"/>
        <v>734.02239999999995</v>
      </c>
      <c r="U74" s="126">
        <f t="shared" si="11"/>
        <v>782.83709999999996</v>
      </c>
      <c r="V74" s="126">
        <f t="shared" si="11"/>
        <v>824.60590000000002</v>
      </c>
      <c r="W74" s="126">
        <f t="shared" si="11"/>
        <v>871.80160000000001</v>
      </c>
      <c r="X74" s="126">
        <f t="shared" si="11"/>
        <v>920.02179999999998</v>
      </c>
      <c r="Y74" s="126">
        <f t="shared" si="11"/>
        <v>969.0675</v>
      </c>
      <c r="Z74" s="126">
        <f t="shared" si="11"/>
        <v>1024.625</v>
      </c>
      <c r="AA74" s="126">
        <f t="shared" si="11"/>
        <v>1081.2863</v>
      </c>
      <c r="AB74" s="126">
        <f t="shared" si="11"/>
        <v>1138.7645</v>
      </c>
      <c r="AC74" s="126">
        <f t="shared" si="11"/>
        <v>897.2713</v>
      </c>
      <c r="AD74" s="126">
        <f t="shared" si="11"/>
        <v>897.2713</v>
      </c>
      <c r="AE74" s="126">
        <f t="shared" si="11"/>
        <v>897.2713</v>
      </c>
      <c r="AF74" s="126">
        <f t="shared" si="11"/>
        <v>897.2713</v>
      </c>
      <c r="AG74" s="126">
        <f t="shared" si="11"/>
        <v>897.2713</v>
      </c>
      <c r="AH74" s="126">
        <f t="shared" si="11"/>
        <v>897.2713</v>
      </c>
      <c r="AI74" s="126">
        <f t="shared" si="11"/>
        <v>897.2713</v>
      </c>
      <c r="AJ74" s="126">
        <f t="shared" si="11"/>
        <v>897.2713</v>
      </c>
      <c r="AK74" s="126">
        <f t="shared" si="11"/>
        <v>897.2713</v>
      </c>
      <c r="AL74" s="126">
        <f t="shared" si="11"/>
        <v>897.2713</v>
      </c>
      <c r="AM74" s="126">
        <f t="shared" si="11"/>
        <v>897.2713</v>
      </c>
      <c r="AN74" s="126">
        <f t="shared" si="11"/>
        <v>897.2713</v>
      </c>
      <c r="AO74" s="126">
        <f t="shared" si="11"/>
        <v>897.2713</v>
      </c>
      <c r="AP74" s="126">
        <f t="shared" si="11"/>
        <v>897.2713</v>
      </c>
      <c r="AQ74" s="126">
        <f t="shared" si="11"/>
        <v>897.2713</v>
      </c>
      <c r="AR74" s="126">
        <f t="shared" si="11"/>
        <v>897.2713</v>
      </c>
      <c r="AS74" s="126">
        <f t="shared" si="11"/>
        <v>897.2713</v>
      </c>
      <c r="AT74" s="126">
        <f t="shared" si="11"/>
        <v>897.2713</v>
      </c>
      <c r="AU74" s="126">
        <f t="shared" si="11"/>
        <v>897.2713</v>
      </c>
      <c r="AV74" s="126">
        <f t="shared" si="11"/>
        <v>897.2713</v>
      </c>
    </row>
    <row r="75" spans="1:48">
      <c r="A75" s="748" t="s">
        <v>23</v>
      </c>
      <c r="B75" s="748"/>
      <c r="C75" s="127" cm="1">
        <f t="array" ref="C75">SUMPRODUCT(C$82:C$114,IF(_xlfn.XLOOKUP($B$82:$B$114,Definitions!$K$17:$K$49,Definitions!$M$17:$M$49,"")=$A75,1,0))</f>
        <v>0</v>
      </c>
      <c r="D75" s="127" cm="1">
        <f t="array" ref="D75">SUMPRODUCT(D$82:D$114,IF(_xlfn.XLOOKUP($B$82:$B$114,Definitions!$K$17:$K$49,Definitions!$M$17:$M$49,"")=$A75,1,0))</f>
        <v>0</v>
      </c>
      <c r="E75" s="127" cm="1">
        <f t="array" ref="E75">SUMPRODUCT(E$82:E$114,IF(_xlfn.XLOOKUP($B$82:$B$114,Definitions!$K$17:$K$49,Definitions!$M$17:$M$49,"")=$A75,1,0))</f>
        <v>0</v>
      </c>
      <c r="F75" s="127" cm="1">
        <f t="array" ref="F75">SUMPRODUCT(F$82:F$114,IF(_xlfn.XLOOKUP($B$82:$B$114,Definitions!$K$17:$K$49,Definitions!$M$17:$M$49,"")=$A75,1,0))</f>
        <v>0</v>
      </c>
      <c r="G75" s="127" cm="1">
        <f t="array" ref="G75">SUMPRODUCT(G$82:G$114,IF(_xlfn.XLOOKUP($B$82:$B$114,Definitions!$K$17:$K$49,Definitions!$M$17:$M$49,"")=$A75,1,0))</f>
        <v>0</v>
      </c>
      <c r="H75" s="127" cm="1">
        <f t="array" ref="H75">SUMPRODUCT(H$82:H$114,IF(_xlfn.XLOOKUP($B$82:$B$114,Definitions!$K$17:$K$49,Definitions!$M$17:$M$49,"")=$A75,1,0))</f>
        <v>0</v>
      </c>
      <c r="I75" s="127" cm="1">
        <f t="array" ref="I75">SUMPRODUCT(I$82:I$114,IF(_xlfn.XLOOKUP($B$82:$B$114,Definitions!$K$17:$K$49,Definitions!$M$17:$M$49,"")=$A75,1,0))</f>
        <v>0</v>
      </c>
      <c r="J75" s="127" cm="1">
        <f t="array" ref="J75">SUMPRODUCT(J$82:J$114,IF(_xlfn.XLOOKUP($B$82:$B$114,Definitions!$K$17:$K$49,Definitions!$M$17:$M$49,"")=$A75,1,0))</f>
        <v>0</v>
      </c>
      <c r="K75" s="127" cm="1">
        <f t="array" ref="K75">SUMPRODUCT(K$82:K$114,IF(_xlfn.XLOOKUP($B$82:$B$114,Definitions!$K$17:$K$49,Definitions!$M$17:$M$49,"")=$A75,1,0))</f>
        <v>0</v>
      </c>
      <c r="L75" s="127" cm="1">
        <f t="array" ref="L75">SUMPRODUCT(L$82:L$114,IF(_xlfn.XLOOKUP($B$82:$B$114,Definitions!$K$17:$K$49,Definitions!$M$17:$M$49,"")=$A75,1,0))</f>
        <v>0</v>
      </c>
      <c r="M75" s="127" cm="1">
        <f t="array" ref="M75">SUMPRODUCT(M$82:M$114,IF(_xlfn.XLOOKUP($B$82:$B$114,Definitions!$K$17:$K$49,Definitions!$M$17:$M$49,"")=$A75,1,0))</f>
        <v>0</v>
      </c>
      <c r="N75" s="127" cm="1">
        <f t="array" ref="N75">SUMPRODUCT(N$82:N$114,IF(_xlfn.XLOOKUP($B$82:$B$114,Definitions!$K$17:$K$49,Definitions!$M$17:$M$49,"")=$A75,1,0))</f>
        <v>0</v>
      </c>
      <c r="O75" s="127" cm="1">
        <f t="array" ref="O75">SUMPRODUCT(O$82:O$114,IF(_xlfn.XLOOKUP($B$82:$B$114,Definitions!$K$17:$K$49,Definitions!$M$17:$M$49,"")=$A75,1,0))</f>
        <v>0</v>
      </c>
      <c r="P75" s="127" cm="1">
        <f t="array" ref="P75">SUMPRODUCT(P$82:P$114,IF(_xlfn.XLOOKUP($B$82:$B$114,Definitions!$K$17:$K$49,Definitions!$M$17:$M$49,"")=$A75,1,0))</f>
        <v>0</v>
      </c>
      <c r="Q75" s="127" cm="1">
        <f t="array" ref="Q75">SUMPRODUCT(Q$82:Q$114,IF(_xlfn.XLOOKUP($B$82:$B$114,Definitions!$K$17:$K$49,Definitions!$M$17:$M$49,"")=$A75,1,0))</f>
        <v>0</v>
      </c>
      <c r="R75" s="127" cm="1">
        <f t="array" ref="R75">SUMPRODUCT(R$82:R$114,IF(_xlfn.XLOOKUP($B$82:$B$114,Definitions!$K$17:$K$49,Definitions!$M$17:$M$49,"")=$A75,1,0))</f>
        <v>0</v>
      </c>
      <c r="S75" s="127" cm="1">
        <f t="array" ref="S75">SUMPRODUCT(S$82:S$114,IF(_xlfn.XLOOKUP($B$82:$B$114,Definitions!$K$17:$K$49,Definitions!$M$17:$M$49,"")=$A75,1,0))</f>
        <v>0</v>
      </c>
      <c r="T75" s="127" cm="1">
        <f t="array" ref="T75">SUMPRODUCT(T$82:T$114,IF(_xlfn.XLOOKUP($B$82:$B$114,Definitions!$K$17:$K$49,Definitions!$M$17:$M$49,"")=$A75,1,0))</f>
        <v>0</v>
      </c>
      <c r="U75" s="127" cm="1">
        <f t="array" ref="U75">SUMPRODUCT(U$82:U$114,IF(_xlfn.XLOOKUP($B$82:$B$114,Definitions!$K$17:$K$49,Definitions!$M$17:$M$49,"")=$A75,1,0))</f>
        <v>0</v>
      </c>
      <c r="V75" s="127" cm="1">
        <f t="array" ref="V75">SUMPRODUCT(V$82:V$114,IF(_xlfn.XLOOKUP($B$82:$B$114,Definitions!$K$17:$K$49,Definitions!$M$17:$M$49,"")=$A75,1,0))</f>
        <v>0</v>
      </c>
      <c r="W75" s="127" cm="1">
        <f t="array" ref="W75">SUMPRODUCT(W$82:W$114,IF(_xlfn.XLOOKUP($B$82:$B$114,Definitions!$K$17:$K$49,Definitions!$M$17:$M$49,"")=$A75,1,0))</f>
        <v>0</v>
      </c>
      <c r="X75" s="127" cm="1">
        <f t="array" ref="X75">SUMPRODUCT(X$82:X$114,IF(_xlfn.XLOOKUP($B$82:$B$114,Definitions!$K$17:$K$49,Definitions!$M$17:$M$49,"")=$A75,1,0))</f>
        <v>0</v>
      </c>
      <c r="Y75" s="127" cm="1">
        <f t="array" ref="Y75">SUMPRODUCT(Y$82:Y$114,IF(_xlfn.XLOOKUP($B$82:$B$114,Definitions!$K$17:$K$49,Definitions!$M$17:$M$49,"")=$A75,1,0))</f>
        <v>0</v>
      </c>
      <c r="Z75" s="127" cm="1">
        <f t="array" ref="Z75">SUMPRODUCT(Z$82:Z$114,IF(_xlfn.XLOOKUP($B$82:$B$114,Definitions!$K$17:$K$49,Definitions!$M$17:$M$49,"")=$A75,1,0))</f>
        <v>0</v>
      </c>
      <c r="AA75" s="127" cm="1">
        <f t="array" ref="AA75">SUMPRODUCT(AA$82:AA$114,IF(_xlfn.XLOOKUP($B$82:$B$114,Definitions!$K$17:$K$49,Definitions!$M$17:$M$49,"")=$A75,1,0))</f>
        <v>0</v>
      </c>
      <c r="AB75" s="127" cm="1">
        <f t="array" ref="AB75">SUMPRODUCT(AB$82:AB$114,IF(_xlfn.XLOOKUP($B$82:$B$114,Definitions!$K$17:$K$49,Definitions!$M$17:$M$49,"")=$A75,1,0))</f>
        <v>0</v>
      </c>
      <c r="AC75" s="127" cm="1">
        <f t="array" ref="AC75">SUMPRODUCT(AC$82:AC$114,IF(_xlfn.XLOOKUP($B$82:$B$114,Definitions!$K$17:$K$49,Definitions!$M$17:$M$49,"")=$A75,1,0))</f>
        <v>0</v>
      </c>
      <c r="AD75" s="127" cm="1">
        <f t="array" ref="AD75">SUMPRODUCT(AD$82:AD$114,IF(_xlfn.XLOOKUP($B$82:$B$114,Definitions!$K$17:$K$49,Definitions!$M$17:$M$49,"")=$A75,1,0))</f>
        <v>0</v>
      </c>
      <c r="AE75" s="127" cm="1">
        <f t="array" ref="AE75">SUMPRODUCT(AE$82:AE$114,IF(_xlfn.XLOOKUP($B$82:$B$114,Definitions!$K$17:$K$49,Definitions!$M$17:$M$49,"")=$A75,1,0))</f>
        <v>0</v>
      </c>
      <c r="AF75" s="127" cm="1">
        <f t="array" ref="AF75">SUMPRODUCT(AF$82:AF$114,IF(_xlfn.XLOOKUP($B$82:$B$114,Definitions!$K$17:$K$49,Definitions!$M$17:$M$49,"")=$A75,1,0))</f>
        <v>0</v>
      </c>
      <c r="AG75" s="127" cm="1">
        <f t="array" ref="AG75">SUMPRODUCT(AG$82:AG$114,IF(_xlfn.XLOOKUP($B$82:$B$114,Definitions!$K$17:$K$49,Definitions!$M$17:$M$49,"")=$A75,1,0))</f>
        <v>0</v>
      </c>
      <c r="AH75" s="127" cm="1">
        <f t="array" ref="AH75">SUMPRODUCT(AH$82:AH$114,IF(_xlfn.XLOOKUP($B$82:$B$114,Definitions!$K$17:$K$49,Definitions!$M$17:$M$49,"")=$A75,1,0))</f>
        <v>0</v>
      </c>
      <c r="AI75" s="127" cm="1">
        <f t="array" ref="AI75">SUMPRODUCT(AI$82:AI$114,IF(_xlfn.XLOOKUP($B$82:$B$114,Definitions!$K$17:$K$49,Definitions!$M$17:$M$49,"")=$A75,1,0))</f>
        <v>0</v>
      </c>
      <c r="AJ75" s="127" cm="1">
        <f t="array" ref="AJ75">SUMPRODUCT(AJ$82:AJ$114,IF(_xlfn.XLOOKUP($B$82:$B$114,Definitions!$K$17:$K$49,Definitions!$M$17:$M$49,"")=$A75,1,0))</f>
        <v>0</v>
      </c>
      <c r="AK75" s="127" cm="1">
        <f t="array" ref="AK75">SUMPRODUCT(AK$82:AK$114,IF(_xlfn.XLOOKUP($B$82:$B$114,Definitions!$K$17:$K$49,Definitions!$M$17:$M$49,"")=$A75,1,0))</f>
        <v>0</v>
      </c>
      <c r="AL75" s="127" cm="1">
        <f t="array" ref="AL75">SUMPRODUCT(AL$82:AL$114,IF(_xlfn.XLOOKUP($B$82:$B$114,Definitions!$K$17:$K$49,Definitions!$M$17:$M$49,"")=$A75,1,0))</f>
        <v>0</v>
      </c>
      <c r="AM75" s="127" cm="1">
        <f t="array" ref="AM75">SUMPRODUCT(AM$82:AM$114,IF(_xlfn.XLOOKUP($B$82:$B$114,Definitions!$K$17:$K$49,Definitions!$M$17:$M$49,"")=$A75,1,0))</f>
        <v>0</v>
      </c>
      <c r="AN75" s="127" cm="1">
        <f t="array" ref="AN75">SUMPRODUCT(AN$82:AN$114,IF(_xlfn.XLOOKUP($B$82:$B$114,Definitions!$K$17:$K$49,Definitions!$M$17:$M$49,"")=$A75,1,0))</f>
        <v>0</v>
      </c>
      <c r="AO75" s="127" cm="1">
        <f t="array" ref="AO75">SUMPRODUCT(AO$82:AO$114,IF(_xlfn.XLOOKUP($B$82:$B$114,Definitions!$K$17:$K$49,Definitions!$M$17:$M$49,"")=$A75,1,0))</f>
        <v>0</v>
      </c>
      <c r="AP75" s="127" cm="1">
        <f t="array" ref="AP75">SUMPRODUCT(AP$82:AP$114,IF(_xlfn.XLOOKUP($B$82:$B$114,Definitions!$K$17:$K$49,Definitions!$M$17:$M$49,"")=$A75,1,0))</f>
        <v>0</v>
      </c>
      <c r="AQ75" s="127" cm="1">
        <f t="array" ref="AQ75">SUMPRODUCT(AQ$82:AQ$114,IF(_xlfn.XLOOKUP($B$82:$B$114,Definitions!$K$17:$K$49,Definitions!$M$17:$M$49,"")=$A75,1,0))</f>
        <v>0</v>
      </c>
      <c r="AR75" s="127" cm="1">
        <f t="array" ref="AR75">SUMPRODUCT(AR$82:AR$114,IF(_xlfn.XLOOKUP($B$82:$B$114,Definitions!$K$17:$K$49,Definitions!$M$17:$M$49,"")=$A75,1,0))</f>
        <v>0</v>
      </c>
      <c r="AS75" s="127" cm="1">
        <f t="array" ref="AS75">SUMPRODUCT(AS$82:AS$114,IF(_xlfn.XLOOKUP($B$82:$B$114,Definitions!$K$17:$K$49,Definitions!$M$17:$M$49,"")=$A75,1,0))</f>
        <v>0</v>
      </c>
      <c r="AT75" s="127" cm="1">
        <f t="array" ref="AT75">SUMPRODUCT(AT$82:AT$114,IF(_xlfn.XLOOKUP($B$82:$B$114,Definitions!$K$17:$K$49,Definitions!$M$17:$M$49,"")=$A75,1,0))</f>
        <v>0</v>
      </c>
      <c r="AU75" s="127" cm="1">
        <f t="array" ref="AU75">SUMPRODUCT(AU$82:AU$114,IF(_xlfn.XLOOKUP($B$82:$B$114,Definitions!$K$17:$K$49,Definitions!$M$17:$M$49,"")=$A75,1,0))</f>
        <v>0</v>
      </c>
      <c r="AV75" s="127" cm="1">
        <f t="array" ref="AV75">SUMPRODUCT(AV$82:AV$114,IF(_xlfn.XLOOKUP($B$82:$B$114,Definitions!$K$17:$K$49,Definitions!$M$17:$M$49,"")=$A75,1,0))</f>
        <v>0</v>
      </c>
    </row>
    <row r="76" spans="1:48">
      <c r="A76" s="748" t="s">
        <v>47</v>
      </c>
      <c r="B76" s="748"/>
      <c r="C76" s="127" cm="1">
        <f t="array" ref="C76">SUMPRODUCT(C$82:C$114,IF(_xlfn.XLOOKUP($B$82:$B$114,Definitions!$K$17:$K$49,Definitions!$M$17:$M$49,"")=$A76,1,0))</f>
        <v>0</v>
      </c>
      <c r="D76" s="127" cm="1">
        <f t="array" ref="D76">SUMPRODUCT(D$82:D$114,IF(_xlfn.XLOOKUP($B$82:$B$114,Definitions!$K$17:$K$49,Definitions!$M$17:$M$49,"")=$A76,1,0))</f>
        <v>0</v>
      </c>
      <c r="E76" s="127" cm="1">
        <f t="array" ref="E76">SUMPRODUCT(E$82:E$114,IF(_xlfn.XLOOKUP($B$82:$B$114,Definitions!$K$17:$K$49,Definitions!$M$17:$M$49,"")=$A76,1,0))</f>
        <v>83.003699999999995</v>
      </c>
      <c r="F76" s="127" cm="1">
        <f t="array" ref="F76">SUMPRODUCT(F$82:F$114,IF(_xlfn.XLOOKUP($B$82:$B$114,Definitions!$K$17:$K$49,Definitions!$M$17:$M$49,"")=$A76,1,0))</f>
        <v>19.853100000000001</v>
      </c>
      <c r="G76" s="127" cm="1">
        <f t="array" ref="G76">SUMPRODUCT(G$82:G$114,IF(_xlfn.XLOOKUP($B$82:$B$114,Definitions!$K$17:$K$49,Definitions!$M$17:$M$49,"")=$A76,1,0))</f>
        <v>0</v>
      </c>
      <c r="H76" s="127" cm="1">
        <f t="array" ref="H76">SUMPRODUCT(H$82:H$114,IF(_xlfn.XLOOKUP($B$82:$B$114,Definitions!$K$17:$K$49,Definitions!$M$17:$M$49,"")=$A76,1,0))</f>
        <v>58.285499999999999</v>
      </c>
      <c r="I76" s="127" cm="1">
        <f t="array" ref="I76">SUMPRODUCT(I$82:I$114,IF(_xlfn.XLOOKUP($B$82:$B$114,Definitions!$K$17:$K$49,Definitions!$M$17:$M$49,"")=$A76,1,0))</f>
        <v>0</v>
      </c>
      <c r="J76" s="127" cm="1">
        <f t="array" ref="J76">SUMPRODUCT(J$82:J$114,IF(_xlfn.XLOOKUP($B$82:$B$114,Definitions!$K$17:$K$49,Definitions!$M$17:$M$49,"")=$A76,1,0))</f>
        <v>0</v>
      </c>
      <c r="K76" s="127" cm="1">
        <f t="array" ref="K76">SUMPRODUCT(K$82:K$114,IF(_xlfn.XLOOKUP($B$82:$B$114,Definitions!$K$17:$K$49,Definitions!$M$17:$M$49,"")=$A76,1,0))</f>
        <v>0</v>
      </c>
      <c r="L76" s="127" cm="1">
        <f t="array" ref="L76">SUMPRODUCT(L$82:L$114,IF(_xlfn.XLOOKUP($B$82:$B$114,Definitions!$K$17:$K$49,Definitions!$M$17:$M$49,"")=$A76,1,0))</f>
        <v>0</v>
      </c>
      <c r="M76" s="127" cm="1">
        <f t="array" ref="M76">SUMPRODUCT(M$82:M$114,IF(_xlfn.XLOOKUP($B$82:$B$114,Definitions!$K$17:$K$49,Definitions!$M$17:$M$49,"")=$A76,1,0))</f>
        <v>0</v>
      </c>
      <c r="N76" s="127" cm="1">
        <f t="array" ref="N76">SUMPRODUCT(N$82:N$114,IF(_xlfn.XLOOKUP($B$82:$B$114,Definitions!$K$17:$K$49,Definitions!$M$17:$M$49,"")=$A76,1,0))</f>
        <v>0</v>
      </c>
      <c r="O76" s="127" cm="1">
        <f t="array" ref="O76">SUMPRODUCT(O$82:O$114,IF(_xlfn.XLOOKUP($B$82:$B$114,Definitions!$K$17:$K$49,Definitions!$M$17:$M$49,"")=$A76,1,0))</f>
        <v>0</v>
      </c>
      <c r="P76" s="127" cm="1">
        <f t="array" ref="P76">SUMPRODUCT(P$82:P$114,IF(_xlfn.XLOOKUP($B$82:$B$114,Definitions!$K$17:$K$49,Definitions!$M$17:$M$49,"")=$A76,1,0))</f>
        <v>0</v>
      </c>
      <c r="Q76" s="127" cm="1">
        <f t="array" ref="Q76">SUMPRODUCT(Q$82:Q$114,IF(_xlfn.XLOOKUP($B$82:$B$114,Definitions!$K$17:$K$49,Definitions!$M$17:$M$49,"")=$A76,1,0))</f>
        <v>0</v>
      </c>
      <c r="R76" s="127" cm="1">
        <f t="array" ref="R76">SUMPRODUCT(R$82:R$114,IF(_xlfn.XLOOKUP($B$82:$B$114,Definitions!$K$17:$K$49,Definitions!$M$17:$M$49,"")=$A76,1,0))</f>
        <v>0</v>
      </c>
      <c r="S76" s="127" cm="1">
        <f t="array" ref="S76">SUMPRODUCT(S$82:S$114,IF(_xlfn.XLOOKUP($B$82:$B$114,Definitions!$K$17:$K$49,Definitions!$M$17:$M$49,"")=$A76,1,0))</f>
        <v>0</v>
      </c>
      <c r="T76" s="127" cm="1">
        <f t="array" ref="T76">SUMPRODUCT(T$82:T$114,IF(_xlfn.XLOOKUP($B$82:$B$114,Definitions!$K$17:$K$49,Definitions!$M$17:$M$49,"")=$A76,1,0))</f>
        <v>0</v>
      </c>
      <c r="U76" s="127" cm="1">
        <f t="array" ref="U76">SUMPRODUCT(U$82:U$114,IF(_xlfn.XLOOKUP($B$82:$B$114,Definitions!$K$17:$K$49,Definitions!$M$17:$M$49,"")=$A76,1,0))</f>
        <v>0</v>
      </c>
      <c r="V76" s="127" cm="1">
        <f t="array" ref="V76">SUMPRODUCT(V$82:V$114,IF(_xlfn.XLOOKUP($B$82:$B$114,Definitions!$K$17:$K$49,Definitions!$M$17:$M$49,"")=$A76,1,0))</f>
        <v>0</v>
      </c>
      <c r="W76" s="127" cm="1">
        <f t="array" ref="W76">SUMPRODUCT(W$82:W$114,IF(_xlfn.XLOOKUP($B$82:$B$114,Definitions!$K$17:$K$49,Definitions!$M$17:$M$49,"")=$A76,1,0))</f>
        <v>0</v>
      </c>
      <c r="X76" s="127" cm="1">
        <f t="array" ref="X76">SUMPRODUCT(X$82:X$114,IF(_xlfn.XLOOKUP($B$82:$B$114,Definitions!$K$17:$K$49,Definitions!$M$17:$M$49,"")=$A76,1,0))</f>
        <v>0</v>
      </c>
      <c r="Y76" s="127" cm="1">
        <f t="array" ref="Y76">SUMPRODUCT(Y$82:Y$114,IF(_xlfn.XLOOKUP($B$82:$B$114,Definitions!$K$17:$K$49,Definitions!$M$17:$M$49,"")=$A76,1,0))</f>
        <v>0</v>
      </c>
      <c r="Z76" s="127" cm="1">
        <f t="array" ref="Z76">SUMPRODUCT(Z$82:Z$114,IF(_xlfn.XLOOKUP($B$82:$B$114,Definitions!$K$17:$K$49,Definitions!$M$17:$M$49,"")=$A76,1,0))</f>
        <v>0</v>
      </c>
      <c r="AA76" s="127" cm="1">
        <f t="array" ref="AA76">SUMPRODUCT(AA$82:AA$114,IF(_xlfn.XLOOKUP($B$82:$B$114,Definitions!$K$17:$K$49,Definitions!$M$17:$M$49,"")=$A76,1,0))</f>
        <v>0</v>
      </c>
      <c r="AB76" s="127" cm="1">
        <f t="array" ref="AB76">SUMPRODUCT(AB$82:AB$114,IF(_xlfn.XLOOKUP($B$82:$B$114,Definitions!$K$17:$K$49,Definitions!$M$17:$M$49,"")=$A76,1,0))</f>
        <v>0</v>
      </c>
      <c r="AC76" s="127" cm="1">
        <f t="array" ref="AC76">SUMPRODUCT(AC$82:AC$114,IF(_xlfn.XLOOKUP($B$82:$B$114,Definitions!$K$17:$K$49,Definitions!$M$17:$M$49,"")=$A76,1,0))</f>
        <v>0</v>
      </c>
      <c r="AD76" s="127" cm="1">
        <f t="array" ref="AD76">SUMPRODUCT(AD$82:AD$114,IF(_xlfn.XLOOKUP($B$82:$B$114,Definitions!$K$17:$K$49,Definitions!$M$17:$M$49,"")=$A76,1,0))</f>
        <v>0</v>
      </c>
      <c r="AE76" s="127" cm="1">
        <f t="array" ref="AE76">SUMPRODUCT(AE$82:AE$114,IF(_xlfn.XLOOKUP($B$82:$B$114,Definitions!$K$17:$K$49,Definitions!$M$17:$M$49,"")=$A76,1,0))</f>
        <v>0</v>
      </c>
      <c r="AF76" s="127" cm="1">
        <f t="array" ref="AF76">SUMPRODUCT(AF$82:AF$114,IF(_xlfn.XLOOKUP($B$82:$B$114,Definitions!$K$17:$K$49,Definitions!$M$17:$M$49,"")=$A76,1,0))</f>
        <v>0</v>
      </c>
      <c r="AG76" s="127" cm="1">
        <f t="array" ref="AG76">SUMPRODUCT(AG$82:AG$114,IF(_xlfn.XLOOKUP($B$82:$B$114,Definitions!$K$17:$K$49,Definitions!$M$17:$M$49,"")=$A76,1,0))</f>
        <v>0</v>
      </c>
      <c r="AH76" s="127" cm="1">
        <f t="array" ref="AH76">SUMPRODUCT(AH$82:AH$114,IF(_xlfn.XLOOKUP($B$82:$B$114,Definitions!$K$17:$K$49,Definitions!$M$17:$M$49,"")=$A76,1,0))</f>
        <v>0</v>
      </c>
      <c r="AI76" s="127" cm="1">
        <f t="array" ref="AI76">SUMPRODUCT(AI$82:AI$114,IF(_xlfn.XLOOKUP($B$82:$B$114,Definitions!$K$17:$K$49,Definitions!$M$17:$M$49,"")=$A76,1,0))</f>
        <v>0</v>
      </c>
      <c r="AJ76" s="127" cm="1">
        <f t="array" ref="AJ76">SUMPRODUCT(AJ$82:AJ$114,IF(_xlfn.XLOOKUP($B$82:$B$114,Definitions!$K$17:$K$49,Definitions!$M$17:$M$49,"")=$A76,1,0))</f>
        <v>0</v>
      </c>
      <c r="AK76" s="127" cm="1">
        <f t="array" ref="AK76">SUMPRODUCT(AK$82:AK$114,IF(_xlfn.XLOOKUP($B$82:$B$114,Definitions!$K$17:$K$49,Definitions!$M$17:$M$49,"")=$A76,1,0))</f>
        <v>0</v>
      </c>
      <c r="AL76" s="127" cm="1">
        <f t="array" ref="AL76">SUMPRODUCT(AL$82:AL$114,IF(_xlfn.XLOOKUP($B$82:$B$114,Definitions!$K$17:$K$49,Definitions!$M$17:$M$49,"")=$A76,1,0))</f>
        <v>0</v>
      </c>
      <c r="AM76" s="127" cm="1">
        <f t="array" ref="AM76">SUMPRODUCT(AM$82:AM$114,IF(_xlfn.XLOOKUP($B$82:$B$114,Definitions!$K$17:$K$49,Definitions!$M$17:$M$49,"")=$A76,1,0))</f>
        <v>0</v>
      </c>
      <c r="AN76" s="127" cm="1">
        <f t="array" ref="AN76">SUMPRODUCT(AN$82:AN$114,IF(_xlfn.XLOOKUP($B$82:$B$114,Definitions!$K$17:$K$49,Definitions!$M$17:$M$49,"")=$A76,1,0))</f>
        <v>0</v>
      </c>
      <c r="AO76" s="127" cm="1">
        <f t="array" ref="AO76">SUMPRODUCT(AO$82:AO$114,IF(_xlfn.XLOOKUP($B$82:$B$114,Definitions!$K$17:$K$49,Definitions!$M$17:$M$49,"")=$A76,1,0))</f>
        <v>0</v>
      </c>
      <c r="AP76" s="127" cm="1">
        <f t="array" ref="AP76">SUMPRODUCT(AP$82:AP$114,IF(_xlfn.XLOOKUP($B$82:$B$114,Definitions!$K$17:$K$49,Definitions!$M$17:$M$49,"")=$A76,1,0))</f>
        <v>0</v>
      </c>
      <c r="AQ76" s="127" cm="1">
        <f t="array" ref="AQ76">SUMPRODUCT(AQ$82:AQ$114,IF(_xlfn.XLOOKUP($B$82:$B$114,Definitions!$K$17:$K$49,Definitions!$M$17:$M$49,"")=$A76,1,0))</f>
        <v>0</v>
      </c>
      <c r="AR76" s="127" cm="1">
        <f t="array" ref="AR76">SUMPRODUCT(AR$82:AR$114,IF(_xlfn.XLOOKUP($B$82:$B$114,Definitions!$K$17:$K$49,Definitions!$M$17:$M$49,"")=$A76,1,0))</f>
        <v>0</v>
      </c>
      <c r="AS76" s="127" cm="1">
        <f t="array" ref="AS76">SUMPRODUCT(AS$82:AS$114,IF(_xlfn.XLOOKUP($B$82:$B$114,Definitions!$K$17:$K$49,Definitions!$M$17:$M$49,"")=$A76,1,0))</f>
        <v>0</v>
      </c>
      <c r="AT76" s="127" cm="1">
        <f t="array" ref="AT76">SUMPRODUCT(AT$82:AT$114,IF(_xlfn.XLOOKUP($B$82:$B$114,Definitions!$K$17:$K$49,Definitions!$M$17:$M$49,"")=$A76,1,0))</f>
        <v>0</v>
      </c>
      <c r="AU76" s="127" cm="1">
        <f t="array" ref="AU76">SUMPRODUCT(AU$82:AU$114,IF(_xlfn.XLOOKUP($B$82:$B$114,Definitions!$K$17:$K$49,Definitions!$M$17:$M$49,"")=$A76,1,0))</f>
        <v>0</v>
      </c>
      <c r="AV76" s="127" cm="1">
        <f t="array" ref="AV76">SUMPRODUCT(AV$82:AV$114,IF(_xlfn.XLOOKUP($B$82:$B$114,Definitions!$K$17:$K$49,Definitions!$M$17:$M$49,"")=$A76,1,0))</f>
        <v>0</v>
      </c>
    </row>
    <row r="77" spans="1:48">
      <c r="A77" s="748" t="s">
        <v>34</v>
      </c>
      <c r="B77" s="748"/>
      <c r="C77" s="127" cm="1">
        <f t="array" ref="C77">SUMPRODUCT(C$82:C$114,IF(_xlfn.XLOOKUP($B$82:$B$114,Definitions!$K$17:$K$49,Definitions!$M$17:$M$49,"")=$A77,1,0))</f>
        <v>191.74850000000001</v>
      </c>
      <c r="D77" s="127" cm="1">
        <f t="array" ref="D77">SUMPRODUCT(D$82:D$114,IF(_xlfn.XLOOKUP($B$82:$B$114,Definitions!$K$17:$K$49,Definitions!$M$17:$M$49,"")=$A77,1,0))</f>
        <v>168.75149999999999</v>
      </c>
      <c r="E77" s="127" cm="1">
        <f t="array" ref="E77">SUMPRODUCT(E$82:E$114,IF(_xlfn.XLOOKUP($B$82:$B$114,Definitions!$K$17:$K$49,Definitions!$M$17:$M$49,"")=$A77,1,0))</f>
        <v>318.42430000000002</v>
      </c>
      <c r="F77" s="127" cm="1">
        <f t="array" ref="F77">SUMPRODUCT(F$82:F$114,IF(_xlfn.XLOOKUP($B$82:$B$114,Definitions!$K$17:$K$49,Definitions!$M$17:$M$49,"")=$A77,1,0))</f>
        <v>348.27910000000003</v>
      </c>
      <c r="G77" s="127" cm="1">
        <f t="array" ref="G77">SUMPRODUCT(G$82:G$114,IF(_xlfn.XLOOKUP($B$82:$B$114,Definitions!$K$17:$K$49,Definitions!$M$17:$M$49,"")=$A77,1,0))</f>
        <v>393.27809999999999</v>
      </c>
      <c r="H77" s="127" cm="1">
        <f t="array" ref="H77">SUMPRODUCT(H$82:H$114,IF(_xlfn.XLOOKUP($B$82:$B$114,Definitions!$K$17:$K$49,Definitions!$M$17:$M$49,"")=$A77,1,0))</f>
        <v>384.60899999999998</v>
      </c>
      <c r="I77" s="127" cm="1">
        <f t="array" ref="I77">SUMPRODUCT(I$82:I$114,IF(_xlfn.XLOOKUP($B$82:$B$114,Definitions!$K$17:$K$49,Definitions!$M$17:$M$49,"")=$A77,1,0))</f>
        <v>367.28100000000001</v>
      </c>
      <c r="J77" s="127" cm="1">
        <f t="array" ref="J77">SUMPRODUCT(J$82:J$114,IF(_xlfn.XLOOKUP($B$82:$B$114,Definitions!$K$17:$K$49,Definitions!$M$17:$M$49,"")=$A77,1,0))</f>
        <v>424.66340000000002</v>
      </c>
      <c r="K77" s="127" cm="1">
        <f t="array" ref="K77">SUMPRODUCT(K$82:K$114,IF(_xlfn.XLOOKUP($B$82:$B$114,Definitions!$K$17:$K$49,Definitions!$M$17:$M$49,"")=$A77,1,0))</f>
        <v>412.65969999999999</v>
      </c>
      <c r="L77" s="127" cm="1">
        <f t="array" ref="L77">SUMPRODUCT(L$82:L$114,IF(_xlfn.XLOOKUP($B$82:$B$114,Definitions!$K$17:$K$49,Definitions!$M$17:$M$49,"")=$A77,1,0))</f>
        <v>451.13389999999998</v>
      </c>
      <c r="M77" s="127" cm="1">
        <f t="array" ref="M77">SUMPRODUCT(M$82:M$114,IF(_xlfn.XLOOKUP($B$82:$B$114,Definitions!$K$17:$K$49,Definitions!$M$17:$M$49,"")=$A77,1,0))</f>
        <v>467.86290000000002</v>
      </c>
      <c r="N77" s="127" cm="1">
        <f t="array" ref="N77">SUMPRODUCT(N$82:N$114,IF(_xlfn.XLOOKUP($B$82:$B$114,Definitions!$K$17:$K$49,Definitions!$M$17:$M$49,"")=$A77,1,0))</f>
        <v>480.09649999999999</v>
      </c>
      <c r="O77" s="127" cm="1">
        <f t="array" ref="O77">SUMPRODUCT(O$82:O$114,IF(_xlfn.XLOOKUP($B$82:$B$114,Definitions!$K$17:$K$49,Definitions!$M$17:$M$49,"")=$A77,1,0))</f>
        <v>576.42809999999997</v>
      </c>
      <c r="P77" s="127" cm="1">
        <f t="array" ref="P77">SUMPRODUCT(P$82:P$114,IF(_xlfn.XLOOKUP($B$82:$B$114,Definitions!$K$17:$K$49,Definitions!$M$17:$M$49,"")=$A77,1,0))</f>
        <v>600.44949999999994</v>
      </c>
      <c r="Q77" s="127" cm="1">
        <f t="array" ref="Q77">SUMPRODUCT(Q$82:Q$114,IF(_xlfn.XLOOKUP($B$82:$B$114,Definitions!$K$17:$K$49,Definitions!$M$17:$M$49,"")=$A77,1,0))</f>
        <v>634.87180000000001</v>
      </c>
      <c r="R77" s="127" cm="1">
        <f t="array" ref="R77">SUMPRODUCT(R$82:R$114,IF(_xlfn.XLOOKUP($B$82:$B$114,Definitions!$K$17:$K$49,Definitions!$M$17:$M$49,"")=$A77,1,0))</f>
        <v>673.11329999999998</v>
      </c>
      <c r="S77" s="127" cm="1">
        <f t="array" ref="S77">SUMPRODUCT(S$82:S$114,IF(_xlfn.XLOOKUP($B$82:$B$114,Definitions!$K$17:$K$49,Definitions!$M$17:$M$49,"")=$A77,1,0))</f>
        <v>709.20740000000001</v>
      </c>
      <c r="T77" s="127" cm="1">
        <f t="array" ref="T77">SUMPRODUCT(T$82:T$114,IF(_xlfn.XLOOKUP($B$82:$B$114,Definitions!$K$17:$K$49,Definitions!$M$17:$M$49,"")=$A77,1,0))</f>
        <v>734.02239999999995</v>
      </c>
      <c r="U77" s="127" cm="1">
        <f t="array" ref="U77">SUMPRODUCT(U$82:U$114,IF(_xlfn.XLOOKUP($B$82:$B$114,Definitions!$K$17:$K$49,Definitions!$M$17:$M$49,"")=$A77,1,0))</f>
        <v>782.83709999999996</v>
      </c>
      <c r="V77" s="127" cm="1">
        <f t="array" ref="V77">SUMPRODUCT(V$82:V$114,IF(_xlfn.XLOOKUP($B$82:$B$114,Definitions!$K$17:$K$49,Definitions!$M$17:$M$49,"")=$A77,1,0))</f>
        <v>824.60590000000002</v>
      </c>
      <c r="W77" s="127" cm="1">
        <f t="array" ref="W77">SUMPRODUCT(W$82:W$114,IF(_xlfn.XLOOKUP($B$82:$B$114,Definitions!$K$17:$K$49,Definitions!$M$17:$M$49,"")=$A77,1,0))</f>
        <v>871.80160000000001</v>
      </c>
      <c r="X77" s="127" cm="1">
        <f t="array" ref="X77">SUMPRODUCT(X$82:X$114,IF(_xlfn.XLOOKUP($B$82:$B$114,Definitions!$K$17:$K$49,Definitions!$M$17:$M$49,"")=$A77,1,0))</f>
        <v>920.02179999999998</v>
      </c>
      <c r="Y77" s="127" cm="1">
        <f t="array" ref="Y77">SUMPRODUCT(Y$82:Y$114,IF(_xlfn.XLOOKUP($B$82:$B$114,Definitions!$K$17:$K$49,Definitions!$M$17:$M$49,"")=$A77,1,0))</f>
        <v>969.0675</v>
      </c>
      <c r="Z77" s="127" cm="1">
        <f t="array" ref="Z77">SUMPRODUCT(Z$82:Z$114,IF(_xlfn.XLOOKUP($B$82:$B$114,Definitions!$K$17:$K$49,Definitions!$M$17:$M$49,"")=$A77,1,0))</f>
        <v>1024.625</v>
      </c>
      <c r="AA77" s="127" cm="1">
        <f t="array" ref="AA77">SUMPRODUCT(AA$82:AA$114,IF(_xlfn.XLOOKUP($B$82:$B$114,Definitions!$K$17:$K$49,Definitions!$M$17:$M$49,"")=$A77,1,0))</f>
        <v>1081.2863</v>
      </c>
      <c r="AB77" s="127" cm="1">
        <f t="array" ref="AB77">SUMPRODUCT(AB$82:AB$114,IF(_xlfn.XLOOKUP($B$82:$B$114,Definitions!$K$17:$K$49,Definitions!$M$17:$M$49,"")=$A77,1,0))</f>
        <v>1138.7645</v>
      </c>
      <c r="AC77" s="127" cm="1">
        <f t="array" ref="AC77">SUMPRODUCT(AC$82:AC$114,IF(_xlfn.XLOOKUP($B$82:$B$114,Definitions!$K$17:$K$49,Definitions!$M$17:$M$49,"")=$A77,1,0))</f>
        <v>897.2713</v>
      </c>
      <c r="AD77" s="127" cm="1">
        <f t="array" ref="AD77">SUMPRODUCT(AD$82:AD$114,IF(_xlfn.XLOOKUP($B$82:$B$114,Definitions!$K$17:$K$49,Definitions!$M$17:$M$49,"")=$A77,1,0))</f>
        <v>897.2713</v>
      </c>
      <c r="AE77" s="127" cm="1">
        <f t="array" ref="AE77">SUMPRODUCT(AE$82:AE$114,IF(_xlfn.XLOOKUP($B$82:$B$114,Definitions!$K$17:$K$49,Definitions!$M$17:$M$49,"")=$A77,1,0))</f>
        <v>897.2713</v>
      </c>
      <c r="AF77" s="127" cm="1">
        <f t="array" ref="AF77">SUMPRODUCT(AF$82:AF$114,IF(_xlfn.XLOOKUP($B$82:$B$114,Definitions!$K$17:$K$49,Definitions!$M$17:$M$49,"")=$A77,1,0))</f>
        <v>897.2713</v>
      </c>
      <c r="AG77" s="127" cm="1">
        <f t="array" ref="AG77">SUMPRODUCT(AG$82:AG$114,IF(_xlfn.XLOOKUP($B$82:$B$114,Definitions!$K$17:$K$49,Definitions!$M$17:$M$49,"")=$A77,1,0))</f>
        <v>897.2713</v>
      </c>
      <c r="AH77" s="127" cm="1">
        <f t="array" ref="AH77">SUMPRODUCT(AH$82:AH$114,IF(_xlfn.XLOOKUP($B$82:$B$114,Definitions!$K$17:$K$49,Definitions!$M$17:$M$49,"")=$A77,1,0))</f>
        <v>897.2713</v>
      </c>
      <c r="AI77" s="127" cm="1">
        <f t="array" ref="AI77">SUMPRODUCT(AI$82:AI$114,IF(_xlfn.XLOOKUP($B$82:$B$114,Definitions!$K$17:$K$49,Definitions!$M$17:$M$49,"")=$A77,1,0))</f>
        <v>897.2713</v>
      </c>
      <c r="AJ77" s="127" cm="1">
        <f t="array" ref="AJ77">SUMPRODUCT(AJ$82:AJ$114,IF(_xlfn.XLOOKUP($B$82:$B$114,Definitions!$K$17:$K$49,Definitions!$M$17:$M$49,"")=$A77,1,0))</f>
        <v>897.2713</v>
      </c>
      <c r="AK77" s="127" cm="1">
        <f t="array" ref="AK77">SUMPRODUCT(AK$82:AK$114,IF(_xlfn.XLOOKUP($B$82:$B$114,Definitions!$K$17:$K$49,Definitions!$M$17:$M$49,"")=$A77,1,0))</f>
        <v>897.2713</v>
      </c>
      <c r="AL77" s="127" cm="1">
        <f t="array" ref="AL77">SUMPRODUCT(AL$82:AL$114,IF(_xlfn.XLOOKUP($B$82:$B$114,Definitions!$K$17:$K$49,Definitions!$M$17:$M$49,"")=$A77,1,0))</f>
        <v>897.2713</v>
      </c>
      <c r="AM77" s="127" cm="1">
        <f t="array" ref="AM77">SUMPRODUCT(AM$82:AM$114,IF(_xlfn.XLOOKUP($B$82:$B$114,Definitions!$K$17:$K$49,Definitions!$M$17:$M$49,"")=$A77,1,0))</f>
        <v>897.2713</v>
      </c>
      <c r="AN77" s="127" cm="1">
        <f t="array" ref="AN77">SUMPRODUCT(AN$82:AN$114,IF(_xlfn.XLOOKUP($B$82:$B$114,Definitions!$K$17:$K$49,Definitions!$M$17:$M$49,"")=$A77,1,0))</f>
        <v>897.2713</v>
      </c>
      <c r="AO77" s="127" cm="1">
        <f t="array" ref="AO77">SUMPRODUCT(AO$82:AO$114,IF(_xlfn.XLOOKUP($B$82:$B$114,Definitions!$K$17:$K$49,Definitions!$M$17:$M$49,"")=$A77,1,0))</f>
        <v>897.2713</v>
      </c>
      <c r="AP77" s="127" cm="1">
        <f t="array" ref="AP77">SUMPRODUCT(AP$82:AP$114,IF(_xlfn.XLOOKUP($B$82:$B$114,Definitions!$K$17:$K$49,Definitions!$M$17:$M$49,"")=$A77,1,0))</f>
        <v>897.2713</v>
      </c>
      <c r="AQ77" s="127" cm="1">
        <f t="array" ref="AQ77">SUMPRODUCT(AQ$82:AQ$114,IF(_xlfn.XLOOKUP($B$82:$B$114,Definitions!$K$17:$K$49,Definitions!$M$17:$M$49,"")=$A77,1,0))</f>
        <v>897.2713</v>
      </c>
      <c r="AR77" s="127" cm="1">
        <f t="array" ref="AR77">SUMPRODUCT(AR$82:AR$114,IF(_xlfn.XLOOKUP($B$82:$B$114,Definitions!$K$17:$K$49,Definitions!$M$17:$M$49,"")=$A77,1,0))</f>
        <v>897.2713</v>
      </c>
      <c r="AS77" s="127" cm="1">
        <f t="array" ref="AS77">SUMPRODUCT(AS$82:AS$114,IF(_xlfn.XLOOKUP($B$82:$B$114,Definitions!$K$17:$K$49,Definitions!$M$17:$M$49,"")=$A77,1,0))</f>
        <v>897.2713</v>
      </c>
      <c r="AT77" s="127" cm="1">
        <f t="array" ref="AT77">SUMPRODUCT(AT$82:AT$114,IF(_xlfn.XLOOKUP($B$82:$B$114,Definitions!$K$17:$K$49,Definitions!$M$17:$M$49,"")=$A77,1,0))</f>
        <v>897.2713</v>
      </c>
      <c r="AU77" s="127" cm="1">
        <f t="array" ref="AU77">SUMPRODUCT(AU$82:AU$114,IF(_xlfn.XLOOKUP($B$82:$B$114,Definitions!$K$17:$K$49,Definitions!$M$17:$M$49,"")=$A77,1,0))</f>
        <v>897.2713</v>
      </c>
      <c r="AV77" s="127" cm="1">
        <f t="array" ref="AV77">SUMPRODUCT(AV$82:AV$114,IF(_xlfn.XLOOKUP($B$82:$B$114,Definitions!$K$17:$K$49,Definitions!$M$17:$M$49,"")=$A77,1,0))</f>
        <v>897.2713</v>
      </c>
    </row>
    <row r="78" spans="1:48">
      <c r="A78" s="746" t="s">
        <v>623</v>
      </c>
      <c r="B78" s="746"/>
      <c r="C78" s="128">
        <f>SUM(C79,C80)</f>
        <v>29.242000000000001</v>
      </c>
      <c r="D78" s="128">
        <f t="shared" ref="D78:AV78" si="12">SUM(D79,D80)</f>
        <v>25.7349</v>
      </c>
      <c r="E78" s="128">
        <f t="shared" si="12"/>
        <v>48.560299999999998</v>
      </c>
      <c r="F78" s="128">
        <f t="shared" si="12"/>
        <v>53.113199999999999</v>
      </c>
      <c r="G78" s="128">
        <f t="shared" si="12"/>
        <v>59.975700000000003</v>
      </c>
      <c r="H78" s="128">
        <f t="shared" si="12"/>
        <v>58.653599999999997</v>
      </c>
      <c r="I78" s="128">
        <f t="shared" si="12"/>
        <v>56.011000000000003</v>
      </c>
      <c r="J78" s="128">
        <f t="shared" si="12"/>
        <v>64.762</v>
      </c>
      <c r="K78" s="128">
        <f t="shared" si="12"/>
        <v>62.931399999999996</v>
      </c>
      <c r="L78" s="128">
        <f t="shared" si="12"/>
        <v>68.7988</v>
      </c>
      <c r="M78" s="128">
        <f t="shared" si="12"/>
        <v>71.349999999999994</v>
      </c>
      <c r="N78" s="128">
        <f t="shared" si="12"/>
        <v>73.215599999999995</v>
      </c>
      <c r="O78" s="128">
        <f t="shared" si="12"/>
        <v>87.906400000000005</v>
      </c>
      <c r="P78" s="128">
        <f t="shared" si="12"/>
        <v>91.569699999999997</v>
      </c>
      <c r="Q78" s="128">
        <f t="shared" si="12"/>
        <v>96.819100000000006</v>
      </c>
      <c r="R78" s="128">
        <f t="shared" si="12"/>
        <v>102.651</v>
      </c>
      <c r="S78" s="128">
        <f t="shared" si="12"/>
        <v>108.1555</v>
      </c>
      <c r="T78" s="128">
        <f t="shared" si="12"/>
        <v>111.93980000000001</v>
      </c>
      <c r="U78" s="128">
        <f t="shared" si="12"/>
        <v>119.3841</v>
      </c>
      <c r="V78" s="128">
        <f t="shared" si="12"/>
        <v>125.7539</v>
      </c>
      <c r="W78" s="128">
        <f t="shared" si="12"/>
        <v>132.95140000000001</v>
      </c>
      <c r="X78" s="128">
        <f t="shared" si="12"/>
        <v>140.30500000000001</v>
      </c>
      <c r="Y78" s="128">
        <f t="shared" si="12"/>
        <v>147.78460000000001</v>
      </c>
      <c r="Z78" s="128">
        <f t="shared" si="12"/>
        <v>156.25720000000001</v>
      </c>
      <c r="AA78" s="128">
        <f t="shared" si="12"/>
        <v>164.8982</v>
      </c>
      <c r="AB78" s="128">
        <f t="shared" si="12"/>
        <v>173.66370000000001</v>
      </c>
      <c r="AC78" s="128">
        <f t="shared" si="12"/>
        <v>136.8356</v>
      </c>
      <c r="AD78" s="128">
        <f t="shared" si="12"/>
        <v>136.8356</v>
      </c>
      <c r="AE78" s="128">
        <f t="shared" si="12"/>
        <v>136.8356</v>
      </c>
      <c r="AF78" s="128">
        <f t="shared" si="12"/>
        <v>136.8356</v>
      </c>
      <c r="AG78" s="128">
        <f t="shared" si="12"/>
        <v>136.8356</v>
      </c>
      <c r="AH78" s="128">
        <f t="shared" si="12"/>
        <v>136.8356</v>
      </c>
      <c r="AI78" s="128">
        <f t="shared" si="12"/>
        <v>136.8356</v>
      </c>
      <c r="AJ78" s="128">
        <f t="shared" si="12"/>
        <v>136.8356</v>
      </c>
      <c r="AK78" s="128">
        <f t="shared" si="12"/>
        <v>136.8356</v>
      </c>
      <c r="AL78" s="128">
        <f t="shared" si="12"/>
        <v>136.8356</v>
      </c>
      <c r="AM78" s="128">
        <f t="shared" si="12"/>
        <v>136.8356</v>
      </c>
      <c r="AN78" s="128">
        <f t="shared" si="12"/>
        <v>136.8356</v>
      </c>
      <c r="AO78" s="128">
        <f t="shared" si="12"/>
        <v>136.8356</v>
      </c>
      <c r="AP78" s="128">
        <f t="shared" si="12"/>
        <v>136.8356</v>
      </c>
      <c r="AQ78" s="128">
        <f t="shared" si="12"/>
        <v>136.8356</v>
      </c>
      <c r="AR78" s="128">
        <f t="shared" si="12"/>
        <v>136.8356</v>
      </c>
      <c r="AS78" s="128">
        <f t="shared" si="12"/>
        <v>136.8356</v>
      </c>
      <c r="AT78" s="128">
        <f t="shared" si="12"/>
        <v>136.8356</v>
      </c>
      <c r="AU78" s="128">
        <f t="shared" si="12"/>
        <v>274.9511</v>
      </c>
      <c r="AV78" s="128">
        <f t="shared" si="12"/>
        <v>200</v>
      </c>
    </row>
    <row r="79" spans="1:48">
      <c r="A79" s="745" t="s">
        <v>105</v>
      </c>
      <c r="B79" s="745"/>
      <c r="C79" s="129" cm="1">
        <f t="array" ref="C79">SUMPRODUCT(C$82:C$114,IF(_xlfn.XLOOKUP($B$82:$B$114,Definitions!$K$17:$K$49,Definitions!$M$17:$M$49,"")=$A79,1,0))</f>
        <v>0</v>
      </c>
      <c r="D79" s="129" cm="1">
        <f t="array" ref="D79">SUMPRODUCT(D$82:D$114,IF(_xlfn.XLOOKUP($B$82:$B$114,Definitions!$K$17:$K$49,Definitions!$M$17:$M$49,"")=$A79,1,0))</f>
        <v>0</v>
      </c>
      <c r="E79" s="129" cm="1">
        <f t="array" ref="E79">SUMPRODUCT(E$82:E$114,IF(_xlfn.XLOOKUP($B$82:$B$114,Definitions!$K$17:$K$49,Definitions!$M$17:$M$49,"")=$A79,1,0))</f>
        <v>0</v>
      </c>
      <c r="F79" s="129" cm="1">
        <f t="array" ref="F79">SUMPRODUCT(F$82:F$114,IF(_xlfn.XLOOKUP($B$82:$B$114,Definitions!$K$17:$K$49,Definitions!$M$17:$M$49,"")=$A79,1,0))</f>
        <v>0</v>
      </c>
      <c r="G79" s="129" cm="1">
        <f t="array" ref="G79">SUMPRODUCT(G$82:G$114,IF(_xlfn.XLOOKUP($B$82:$B$114,Definitions!$K$17:$K$49,Definitions!$M$17:$M$49,"")=$A79,1,0))</f>
        <v>0</v>
      </c>
      <c r="H79" s="129" cm="1">
        <f t="array" ref="H79">SUMPRODUCT(H$82:H$114,IF(_xlfn.XLOOKUP($B$82:$B$114,Definitions!$K$17:$K$49,Definitions!$M$17:$M$49,"")=$A79,1,0))</f>
        <v>0</v>
      </c>
      <c r="I79" s="129" cm="1">
        <f t="array" ref="I79">SUMPRODUCT(I$82:I$114,IF(_xlfn.XLOOKUP($B$82:$B$114,Definitions!$K$17:$K$49,Definitions!$M$17:$M$49,"")=$A79,1,0))</f>
        <v>0</v>
      </c>
      <c r="J79" s="129" cm="1">
        <f t="array" ref="J79">SUMPRODUCT(J$82:J$114,IF(_xlfn.XLOOKUP($B$82:$B$114,Definitions!$K$17:$K$49,Definitions!$M$17:$M$49,"")=$A79,1,0))</f>
        <v>0</v>
      </c>
      <c r="K79" s="129" cm="1">
        <f t="array" ref="K79">SUMPRODUCT(K$82:K$114,IF(_xlfn.XLOOKUP($B$82:$B$114,Definitions!$K$17:$K$49,Definitions!$M$17:$M$49,"")=$A79,1,0))</f>
        <v>0</v>
      </c>
      <c r="L79" s="129" cm="1">
        <f t="array" ref="L79">SUMPRODUCT(L$82:L$114,IF(_xlfn.XLOOKUP($B$82:$B$114,Definitions!$K$17:$K$49,Definitions!$M$17:$M$49,"")=$A79,1,0))</f>
        <v>0</v>
      </c>
      <c r="M79" s="129" cm="1">
        <f t="array" ref="M79">SUMPRODUCT(M$82:M$114,IF(_xlfn.XLOOKUP($B$82:$B$114,Definitions!$K$17:$K$49,Definitions!$M$17:$M$49,"")=$A79,1,0))</f>
        <v>0</v>
      </c>
      <c r="N79" s="129" cm="1">
        <f t="array" ref="N79">SUMPRODUCT(N$82:N$114,IF(_xlfn.XLOOKUP($B$82:$B$114,Definitions!$K$17:$K$49,Definitions!$M$17:$M$49,"")=$A79,1,0))</f>
        <v>0</v>
      </c>
      <c r="O79" s="129" cm="1">
        <f t="array" ref="O79">SUMPRODUCT(O$82:O$114,IF(_xlfn.XLOOKUP($B$82:$B$114,Definitions!$K$17:$K$49,Definitions!$M$17:$M$49,"")=$A79,1,0))</f>
        <v>0</v>
      </c>
      <c r="P79" s="129" cm="1">
        <f t="array" ref="P79">SUMPRODUCT(P$82:P$114,IF(_xlfn.XLOOKUP($B$82:$B$114,Definitions!$K$17:$K$49,Definitions!$M$17:$M$49,"")=$A79,1,0))</f>
        <v>0</v>
      </c>
      <c r="Q79" s="129" cm="1">
        <f t="array" ref="Q79">SUMPRODUCT(Q$82:Q$114,IF(_xlfn.XLOOKUP($B$82:$B$114,Definitions!$K$17:$K$49,Definitions!$M$17:$M$49,"")=$A79,1,0))</f>
        <v>0</v>
      </c>
      <c r="R79" s="129" cm="1">
        <f t="array" ref="R79">SUMPRODUCT(R$82:R$114,IF(_xlfn.XLOOKUP($B$82:$B$114,Definitions!$K$17:$K$49,Definitions!$M$17:$M$49,"")=$A79,1,0))</f>
        <v>0</v>
      </c>
      <c r="S79" s="129" cm="1">
        <f t="array" ref="S79">SUMPRODUCT(S$82:S$114,IF(_xlfn.XLOOKUP($B$82:$B$114,Definitions!$K$17:$K$49,Definitions!$M$17:$M$49,"")=$A79,1,0))</f>
        <v>0</v>
      </c>
      <c r="T79" s="129" cm="1">
        <f t="array" ref="T79">SUMPRODUCT(T$82:T$114,IF(_xlfn.XLOOKUP($B$82:$B$114,Definitions!$K$17:$K$49,Definitions!$M$17:$M$49,"")=$A79,1,0))</f>
        <v>0</v>
      </c>
      <c r="U79" s="129" cm="1">
        <f t="array" ref="U79">SUMPRODUCT(U$82:U$114,IF(_xlfn.XLOOKUP($B$82:$B$114,Definitions!$K$17:$K$49,Definitions!$M$17:$M$49,"")=$A79,1,0))</f>
        <v>0</v>
      </c>
      <c r="V79" s="129" cm="1">
        <f t="array" ref="V79">SUMPRODUCT(V$82:V$114,IF(_xlfn.XLOOKUP($B$82:$B$114,Definitions!$K$17:$K$49,Definitions!$M$17:$M$49,"")=$A79,1,0))</f>
        <v>0</v>
      </c>
      <c r="W79" s="129" cm="1">
        <f t="array" ref="W79">SUMPRODUCT(W$82:W$114,IF(_xlfn.XLOOKUP($B$82:$B$114,Definitions!$K$17:$K$49,Definitions!$M$17:$M$49,"")=$A79,1,0))</f>
        <v>0</v>
      </c>
      <c r="X79" s="129" cm="1">
        <f t="array" ref="X79">SUMPRODUCT(X$82:X$114,IF(_xlfn.XLOOKUP($B$82:$B$114,Definitions!$K$17:$K$49,Definitions!$M$17:$M$49,"")=$A79,1,0))</f>
        <v>0</v>
      </c>
      <c r="Y79" s="129" cm="1">
        <f t="array" ref="Y79">SUMPRODUCT(Y$82:Y$114,IF(_xlfn.XLOOKUP($B$82:$B$114,Definitions!$K$17:$K$49,Definitions!$M$17:$M$49,"")=$A79,1,0))</f>
        <v>0</v>
      </c>
      <c r="Z79" s="129" cm="1">
        <f t="array" ref="Z79">SUMPRODUCT(Z$82:Z$114,IF(_xlfn.XLOOKUP($B$82:$B$114,Definitions!$K$17:$K$49,Definitions!$M$17:$M$49,"")=$A79,1,0))</f>
        <v>0</v>
      </c>
      <c r="AA79" s="129" cm="1">
        <f t="array" ref="AA79">SUMPRODUCT(AA$82:AA$114,IF(_xlfn.XLOOKUP($B$82:$B$114,Definitions!$K$17:$K$49,Definitions!$M$17:$M$49,"")=$A79,1,0))</f>
        <v>0</v>
      </c>
      <c r="AB79" s="129" cm="1">
        <f t="array" ref="AB79">SUMPRODUCT(AB$82:AB$114,IF(_xlfn.XLOOKUP($B$82:$B$114,Definitions!$K$17:$K$49,Definitions!$M$17:$M$49,"")=$A79,1,0))</f>
        <v>0</v>
      </c>
      <c r="AC79" s="129" cm="1">
        <f t="array" ref="AC79">SUMPRODUCT(AC$82:AC$114,IF(_xlfn.XLOOKUP($B$82:$B$114,Definitions!$K$17:$K$49,Definitions!$M$17:$M$49,"")=$A79,1,0))</f>
        <v>0</v>
      </c>
      <c r="AD79" s="129" cm="1">
        <f t="array" ref="AD79">SUMPRODUCT(AD$82:AD$114,IF(_xlfn.XLOOKUP($B$82:$B$114,Definitions!$K$17:$K$49,Definitions!$M$17:$M$49,"")=$A79,1,0))</f>
        <v>0</v>
      </c>
      <c r="AE79" s="129" cm="1">
        <f t="array" ref="AE79">SUMPRODUCT(AE$82:AE$114,IF(_xlfn.XLOOKUP($B$82:$B$114,Definitions!$K$17:$K$49,Definitions!$M$17:$M$49,"")=$A79,1,0))</f>
        <v>0</v>
      </c>
      <c r="AF79" s="129" cm="1">
        <f t="array" ref="AF79">SUMPRODUCT(AF$82:AF$114,IF(_xlfn.XLOOKUP($B$82:$B$114,Definitions!$K$17:$K$49,Definitions!$M$17:$M$49,"")=$A79,1,0))</f>
        <v>0</v>
      </c>
      <c r="AG79" s="129" cm="1">
        <f t="array" ref="AG79">SUMPRODUCT(AG$82:AG$114,IF(_xlfn.XLOOKUP($B$82:$B$114,Definitions!$K$17:$K$49,Definitions!$M$17:$M$49,"")=$A79,1,0))</f>
        <v>0</v>
      </c>
      <c r="AH79" s="129" cm="1">
        <f t="array" ref="AH79">SUMPRODUCT(AH$82:AH$114,IF(_xlfn.XLOOKUP($B$82:$B$114,Definitions!$K$17:$K$49,Definitions!$M$17:$M$49,"")=$A79,1,0))</f>
        <v>0</v>
      </c>
      <c r="AI79" s="129" cm="1">
        <f t="array" ref="AI79">SUMPRODUCT(AI$82:AI$114,IF(_xlfn.XLOOKUP($B$82:$B$114,Definitions!$K$17:$K$49,Definitions!$M$17:$M$49,"")=$A79,1,0))</f>
        <v>0</v>
      </c>
      <c r="AJ79" s="129" cm="1">
        <f t="array" ref="AJ79">SUMPRODUCT(AJ$82:AJ$114,IF(_xlfn.XLOOKUP($B$82:$B$114,Definitions!$K$17:$K$49,Definitions!$M$17:$M$49,"")=$A79,1,0))</f>
        <v>0</v>
      </c>
      <c r="AK79" s="129" cm="1">
        <f t="array" ref="AK79">SUMPRODUCT(AK$82:AK$114,IF(_xlfn.XLOOKUP($B$82:$B$114,Definitions!$K$17:$K$49,Definitions!$M$17:$M$49,"")=$A79,1,0))</f>
        <v>0</v>
      </c>
      <c r="AL79" s="129" cm="1">
        <f t="array" ref="AL79">SUMPRODUCT(AL$82:AL$114,IF(_xlfn.XLOOKUP($B$82:$B$114,Definitions!$K$17:$K$49,Definitions!$M$17:$M$49,"")=$A79,1,0))</f>
        <v>0</v>
      </c>
      <c r="AM79" s="129" cm="1">
        <f t="array" ref="AM79">SUMPRODUCT(AM$82:AM$114,IF(_xlfn.XLOOKUP($B$82:$B$114,Definitions!$K$17:$K$49,Definitions!$M$17:$M$49,"")=$A79,1,0))</f>
        <v>0</v>
      </c>
      <c r="AN79" s="129" cm="1">
        <f t="array" ref="AN79">SUMPRODUCT(AN$82:AN$114,IF(_xlfn.XLOOKUP($B$82:$B$114,Definitions!$K$17:$K$49,Definitions!$M$17:$M$49,"")=$A79,1,0))</f>
        <v>0</v>
      </c>
      <c r="AO79" s="129" cm="1">
        <f t="array" ref="AO79">SUMPRODUCT(AO$82:AO$114,IF(_xlfn.XLOOKUP($B$82:$B$114,Definitions!$K$17:$K$49,Definitions!$M$17:$M$49,"")=$A79,1,0))</f>
        <v>0</v>
      </c>
      <c r="AP79" s="129" cm="1">
        <f t="array" ref="AP79">SUMPRODUCT(AP$82:AP$114,IF(_xlfn.XLOOKUP($B$82:$B$114,Definitions!$K$17:$K$49,Definitions!$M$17:$M$49,"")=$A79,1,0))</f>
        <v>0</v>
      </c>
      <c r="AQ79" s="129" cm="1">
        <f t="array" ref="AQ79">SUMPRODUCT(AQ$82:AQ$114,IF(_xlfn.XLOOKUP($B$82:$B$114,Definitions!$K$17:$K$49,Definitions!$M$17:$M$49,"")=$A79,1,0))</f>
        <v>0</v>
      </c>
      <c r="AR79" s="129" cm="1">
        <f t="array" ref="AR79">SUMPRODUCT(AR$82:AR$114,IF(_xlfn.XLOOKUP($B$82:$B$114,Definitions!$K$17:$K$49,Definitions!$M$17:$M$49,"")=$A79,1,0))</f>
        <v>0</v>
      </c>
      <c r="AS79" s="129" cm="1">
        <f t="array" ref="AS79">SUMPRODUCT(AS$82:AS$114,IF(_xlfn.XLOOKUP($B$82:$B$114,Definitions!$K$17:$K$49,Definitions!$M$17:$M$49,"")=$A79,1,0))</f>
        <v>0</v>
      </c>
      <c r="AT79" s="129" cm="1">
        <f t="array" ref="AT79">SUMPRODUCT(AT$82:AT$114,IF(_xlfn.XLOOKUP($B$82:$B$114,Definitions!$K$17:$K$49,Definitions!$M$17:$M$49,"")=$A79,1,0))</f>
        <v>0</v>
      </c>
      <c r="AU79" s="129" cm="1">
        <f t="array" ref="AU79">SUMPRODUCT(AU$82:AU$114,IF(_xlfn.XLOOKUP($B$82:$B$114,Definitions!$K$17:$K$49,Definitions!$M$17:$M$49,"")=$A79,1,0))</f>
        <v>0</v>
      </c>
      <c r="AV79" s="129" cm="1">
        <f t="array" ref="AV79">SUMPRODUCT(AV$82:AV$114,IF(_xlfn.XLOOKUP($B$82:$B$114,Definitions!$K$17:$K$49,Definitions!$M$17:$M$49,"")=$A79,1,0))</f>
        <v>0</v>
      </c>
    </row>
    <row r="80" spans="1:48">
      <c r="A80" s="745" t="s">
        <v>109</v>
      </c>
      <c r="B80" s="745"/>
      <c r="C80" s="129" cm="1">
        <f t="array" ref="C80">SUMPRODUCT(C$82:C$114,IF(_xlfn.XLOOKUP($B$82:$B$114,Definitions!$K$17:$K$49,Definitions!$M$17:$M$49,"")=$A80,1,0))</f>
        <v>29.242000000000001</v>
      </c>
      <c r="D80" s="129" cm="1">
        <f t="array" ref="D80">SUMPRODUCT(D$82:D$114,IF(_xlfn.XLOOKUP($B$82:$B$114,Definitions!$K$17:$K$49,Definitions!$M$17:$M$49,"")=$A80,1,0))</f>
        <v>25.7349</v>
      </c>
      <c r="E80" s="129" cm="1">
        <f t="array" ref="E80">SUMPRODUCT(E$82:E$114,IF(_xlfn.XLOOKUP($B$82:$B$114,Definitions!$K$17:$K$49,Definitions!$M$17:$M$49,"")=$A80,1,0))</f>
        <v>48.560299999999998</v>
      </c>
      <c r="F80" s="129" cm="1">
        <f t="array" ref="F80">SUMPRODUCT(F$82:F$114,IF(_xlfn.XLOOKUP($B$82:$B$114,Definitions!$K$17:$K$49,Definitions!$M$17:$M$49,"")=$A80,1,0))</f>
        <v>53.113199999999999</v>
      </c>
      <c r="G80" s="129" cm="1">
        <f t="array" ref="G80">SUMPRODUCT(G$82:G$114,IF(_xlfn.XLOOKUP($B$82:$B$114,Definitions!$K$17:$K$49,Definitions!$M$17:$M$49,"")=$A80,1,0))</f>
        <v>59.975700000000003</v>
      </c>
      <c r="H80" s="129" cm="1">
        <f t="array" ref="H80">SUMPRODUCT(H$82:H$114,IF(_xlfn.XLOOKUP($B$82:$B$114,Definitions!$K$17:$K$49,Definitions!$M$17:$M$49,"")=$A80,1,0))</f>
        <v>58.653599999999997</v>
      </c>
      <c r="I80" s="129" cm="1">
        <f t="array" ref="I80">SUMPRODUCT(I$82:I$114,IF(_xlfn.XLOOKUP($B$82:$B$114,Definitions!$K$17:$K$49,Definitions!$M$17:$M$49,"")=$A80,1,0))</f>
        <v>56.011000000000003</v>
      </c>
      <c r="J80" s="129" cm="1">
        <f t="array" ref="J80">SUMPRODUCT(J$82:J$114,IF(_xlfn.XLOOKUP($B$82:$B$114,Definitions!$K$17:$K$49,Definitions!$M$17:$M$49,"")=$A80,1,0))</f>
        <v>64.762</v>
      </c>
      <c r="K80" s="129" cm="1">
        <f t="array" ref="K80">SUMPRODUCT(K$82:K$114,IF(_xlfn.XLOOKUP($B$82:$B$114,Definitions!$K$17:$K$49,Definitions!$M$17:$M$49,"")=$A80,1,0))</f>
        <v>62.931399999999996</v>
      </c>
      <c r="L80" s="129" cm="1">
        <f t="array" ref="L80">SUMPRODUCT(L$82:L$114,IF(_xlfn.XLOOKUP($B$82:$B$114,Definitions!$K$17:$K$49,Definitions!$M$17:$M$49,"")=$A80,1,0))</f>
        <v>68.7988</v>
      </c>
      <c r="M80" s="129" cm="1">
        <f t="array" ref="M80">SUMPRODUCT(M$82:M$114,IF(_xlfn.XLOOKUP($B$82:$B$114,Definitions!$K$17:$K$49,Definitions!$M$17:$M$49,"")=$A80,1,0))</f>
        <v>71.349999999999994</v>
      </c>
      <c r="N80" s="129" cm="1">
        <f t="array" ref="N80">SUMPRODUCT(N$82:N$114,IF(_xlfn.XLOOKUP($B$82:$B$114,Definitions!$K$17:$K$49,Definitions!$M$17:$M$49,"")=$A80,1,0))</f>
        <v>73.215599999999995</v>
      </c>
      <c r="O80" s="129" cm="1">
        <f t="array" ref="O80">SUMPRODUCT(O$82:O$114,IF(_xlfn.XLOOKUP($B$82:$B$114,Definitions!$K$17:$K$49,Definitions!$M$17:$M$49,"")=$A80,1,0))</f>
        <v>87.906400000000005</v>
      </c>
      <c r="P80" s="129" cm="1">
        <f t="array" ref="P80">SUMPRODUCT(P$82:P$114,IF(_xlfn.XLOOKUP($B$82:$B$114,Definitions!$K$17:$K$49,Definitions!$M$17:$M$49,"")=$A80,1,0))</f>
        <v>91.569699999999997</v>
      </c>
      <c r="Q80" s="129" cm="1">
        <f t="array" ref="Q80">SUMPRODUCT(Q$82:Q$114,IF(_xlfn.XLOOKUP($B$82:$B$114,Definitions!$K$17:$K$49,Definitions!$M$17:$M$49,"")=$A80,1,0))</f>
        <v>96.819100000000006</v>
      </c>
      <c r="R80" s="129" cm="1">
        <f t="array" ref="R80">SUMPRODUCT(R$82:R$114,IF(_xlfn.XLOOKUP($B$82:$B$114,Definitions!$K$17:$K$49,Definitions!$M$17:$M$49,"")=$A80,1,0))</f>
        <v>102.651</v>
      </c>
      <c r="S80" s="129" cm="1">
        <f t="array" ref="S80">SUMPRODUCT(S$82:S$114,IF(_xlfn.XLOOKUP($B$82:$B$114,Definitions!$K$17:$K$49,Definitions!$M$17:$M$49,"")=$A80,1,0))</f>
        <v>108.1555</v>
      </c>
      <c r="T80" s="129" cm="1">
        <f t="array" ref="T80">SUMPRODUCT(T$82:T$114,IF(_xlfn.XLOOKUP($B$82:$B$114,Definitions!$K$17:$K$49,Definitions!$M$17:$M$49,"")=$A80,1,0))</f>
        <v>111.93980000000001</v>
      </c>
      <c r="U80" s="129" cm="1">
        <f t="array" ref="U80">SUMPRODUCT(U$82:U$114,IF(_xlfn.XLOOKUP($B$82:$B$114,Definitions!$K$17:$K$49,Definitions!$M$17:$M$49,"")=$A80,1,0))</f>
        <v>119.3841</v>
      </c>
      <c r="V80" s="129" cm="1">
        <f t="array" ref="V80">SUMPRODUCT(V$82:V$114,IF(_xlfn.XLOOKUP($B$82:$B$114,Definitions!$K$17:$K$49,Definitions!$M$17:$M$49,"")=$A80,1,0))</f>
        <v>125.7539</v>
      </c>
      <c r="W80" s="129" cm="1">
        <f t="array" ref="W80">SUMPRODUCT(W$82:W$114,IF(_xlfn.XLOOKUP($B$82:$B$114,Definitions!$K$17:$K$49,Definitions!$M$17:$M$49,"")=$A80,1,0))</f>
        <v>132.95140000000001</v>
      </c>
      <c r="X80" s="129" cm="1">
        <f t="array" ref="X80">SUMPRODUCT(X$82:X$114,IF(_xlfn.XLOOKUP($B$82:$B$114,Definitions!$K$17:$K$49,Definitions!$M$17:$M$49,"")=$A80,1,0))</f>
        <v>140.30500000000001</v>
      </c>
      <c r="Y80" s="129" cm="1">
        <f t="array" ref="Y80">SUMPRODUCT(Y$82:Y$114,IF(_xlfn.XLOOKUP($B$82:$B$114,Definitions!$K$17:$K$49,Definitions!$M$17:$M$49,"")=$A80,1,0))</f>
        <v>147.78460000000001</v>
      </c>
      <c r="Z80" s="129" cm="1">
        <f t="array" ref="Z80">SUMPRODUCT(Z$82:Z$114,IF(_xlfn.XLOOKUP($B$82:$B$114,Definitions!$K$17:$K$49,Definitions!$M$17:$M$49,"")=$A80,1,0))</f>
        <v>156.25720000000001</v>
      </c>
      <c r="AA80" s="129" cm="1">
        <f t="array" ref="AA80">SUMPRODUCT(AA$82:AA$114,IF(_xlfn.XLOOKUP($B$82:$B$114,Definitions!$K$17:$K$49,Definitions!$M$17:$M$49,"")=$A80,1,0))</f>
        <v>164.8982</v>
      </c>
      <c r="AB80" s="129" cm="1">
        <f t="array" ref="AB80">SUMPRODUCT(AB$82:AB$114,IF(_xlfn.XLOOKUP($B$82:$B$114,Definitions!$K$17:$K$49,Definitions!$M$17:$M$49,"")=$A80,1,0))</f>
        <v>173.66370000000001</v>
      </c>
      <c r="AC80" s="129" cm="1">
        <f t="array" ref="AC80">SUMPRODUCT(AC$82:AC$114,IF(_xlfn.XLOOKUP($B$82:$B$114,Definitions!$K$17:$K$49,Definitions!$M$17:$M$49,"")=$A80,1,0))</f>
        <v>136.8356</v>
      </c>
      <c r="AD80" s="129" cm="1">
        <f t="array" ref="AD80">SUMPRODUCT(AD$82:AD$114,IF(_xlfn.XLOOKUP($B$82:$B$114,Definitions!$K$17:$K$49,Definitions!$M$17:$M$49,"")=$A80,1,0))</f>
        <v>136.8356</v>
      </c>
      <c r="AE80" s="129" cm="1">
        <f t="array" ref="AE80">SUMPRODUCT(AE$82:AE$114,IF(_xlfn.XLOOKUP($B$82:$B$114,Definitions!$K$17:$K$49,Definitions!$M$17:$M$49,"")=$A80,1,0))</f>
        <v>136.8356</v>
      </c>
      <c r="AF80" s="129" cm="1">
        <f t="array" ref="AF80">SUMPRODUCT(AF$82:AF$114,IF(_xlfn.XLOOKUP($B$82:$B$114,Definitions!$K$17:$K$49,Definitions!$M$17:$M$49,"")=$A80,1,0))</f>
        <v>136.8356</v>
      </c>
      <c r="AG80" s="129" cm="1">
        <f t="array" ref="AG80">SUMPRODUCT(AG$82:AG$114,IF(_xlfn.XLOOKUP($B$82:$B$114,Definitions!$K$17:$K$49,Definitions!$M$17:$M$49,"")=$A80,1,0))</f>
        <v>136.8356</v>
      </c>
      <c r="AH80" s="129" cm="1">
        <f t="array" ref="AH80">SUMPRODUCT(AH$82:AH$114,IF(_xlfn.XLOOKUP($B$82:$B$114,Definitions!$K$17:$K$49,Definitions!$M$17:$M$49,"")=$A80,1,0))</f>
        <v>136.8356</v>
      </c>
      <c r="AI80" s="129" cm="1">
        <f t="array" ref="AI80">SUMPRODUCT(AI$82:AI$114,IF(_xlfn.XLOOKUP($B$82:$B$114,Definitions!$K$17:$K$49,Definitions!$M$17:$M$49,"")=$A80,1,0))</f>
        <v>136.8356</v>
      </c>
      <c r="AJ80" s="129" cm="1">
        <f t="array" ref="AJ80">SUMPRODUCT(AJ$82:AJ$114,IF(_xlfn.XLOOKUP($B$82:$B$114,Definitions!$K$17:$K$49,Definitions!$M$17:$M$49,"")=$A80,1,0))</f>
        <v>136.8356</v>
      </c>
      <c r="AK80" s="129" cm="1">
        <f t="array" ref="AK80">SUMPRODUCT(AK$82:AK$114,IF(_xlfn.XLOOKUP($B$82:$B$114,Definitions!$K$17:$K$49,Definitions!$M$17:$M$49,"")=$A80,1,0))</f>
        <v>136.8356</v>
      </c>
      <c r="AL80" s="129" cm="1">
        <f t="array" ref="AL80">SUMPRODUCT(AL$82:AL$114,IF(_xlfn.XLOOKUP($B$82:$B$114,Definitions!$K$17:$K$49,Definitions!$M$17:$M$49,"")=$A80,1,0))</f>
        <v>136.8356</v>
      </c>
      <c r="AM80" s="129" cm="1">
        <f t="array" ref="AM80">SUMPRODUCT(AM$82:AM$114,IF(_xlfn.XLOOKUP($B$82:$B$114,Definitions!$K$17:$K$49,Definitions!$M$17:$M$49,"")=$A80,1,0))</f>
        <v>136.8356</v>
      </c>
      <c r="AN80" s="129" cm="1">
        <f t="array" ref="AN80">SUMPRODUCT(AN$82:AN$114,IF(_xlfn.XLOOKUP($B$82:$B$114,Definitions!$K$17:$K$49,Definitions!$M$17:$M$49,"")=$A80,1,0))</f>
        <v>136.8356</v>
      </c>
      <c r="AO80" s="129" cm="1">
        <f t="array" ref="AO80">SUMPRODUCT(AO$82:AO$114,IF(_xlfn.XLOOKUP($B$82:$B$114,Definitions!$K$17:$K$49,Definitions!$M$17:$M$49,"")=$A80,1,0))</f>
        <v>136.8356</v>
      </c>
      <c r="AP80" s="129" cm="1">
        <f t="array" ref="AP80">SUMPRODUCT(AP$82:AP$114,IF(_xlfn.XLOOKUP($B$82:$B$114,Definitions!$K$17:$K$49,Definitions!$M$17:$M$49,"")=$A80,1,0))</f>
        <v>136.8356</v>
      </c>
      <c r="AQ80" s="129" cm="1">
        <f t="array" ref="AQ80">SUMPRODUCT(AQ$82:AQ$114,IF(_xlfn.XLOOKUP($B$82:$B$114,Definitions!$K$17:$K$49,Definitions!$M$17:$M$49,"")=$A80,1,0))</f>
        <v>136.8356</v>
      </c>
      <c r="AR80" s="129" cm="1">
        <f t="array" ref="AR80">SUMPRODUCT(AR$82:AR$114,IF(_xlfn.XLOOKUP($B$82:$B$114,Definitions!$K$17:$K$49,Definitions!$M$17:$M$49,"")=$A80,1,0))</f>
        <v>136.8356</v>
      </c>
      <c r="AS80" s="129" cm="1">
        <f t="array" ref="AS80">SUMPRODUCT(AS$82:AS$114,IF(_xlfn.XLOOKUP($B$82:$B$114,Definitions!$K$17:$K$49,Definitions!$M$17:$M$49,"")=$A80,1,0))</f>
        <v>136.8356</v>
      </c>
      <c r="AT80" s="129" cm="1">
        <f t="array" ref="AT80">SUMPRODUCT(AT$82:AT$114,IF(_xlfn.XLOOKUP($B$82:$B$114,Definitions!$K$17:$K$49,Definitions!$M$17:$M$49,"")=$A80,1,0))</f>
        <v>136.8356</v>
      </c>
      <c r="AU80" s="129" cm="1">
        <f t="array" ref="AU80">SUMPRODUCT(AU$82:AU$114,IF(_xlfn.XLOOKUP($B$82:$B$114,Definitions!$K$17:$K$49,Definitions!$M$17:$M$49,"")=$A80,1,0))</f>
        <v>274.9511</v>
      </c>
      <c r="AV80" s="129" cm="1">
        <f t="array" ref="AV80">SUMPRODUCT(AV$82:AV$114,IF(_xlfn.XLOOKUP($B$82:$B$114,Definitions!$K$17:$K$49,Definitions!$M$17:$M$49,"")=$A80,1,0))</f>
        <v>200</v>
      </c>
    </row>
    <row r="81" spans="1:48">
      <c r="A81" s="744" t="s">
        <v>624</v>
      </c>
      <c r="B81" s="744"/>
      <c r="C81" s="554" cm="1">
        <f t="array" ref="C81">SUMPRODUCT(C$82:C$114,IF(_xlfn.XLOOKUP($B$82:$B$114,Definitions!$K$17:$K$49,Definitions!$M$17:$M$49,"")=$A81,1,0))</f>
        <v>0</v>
      </c>
      <c r="D81" s="554" cm="1">
        <f t="array" ref="D81">SUMPRODUCT(D$82:D$114,IF(_xlfn.XLOOKUP($B$82:$B$114,Definitions!$K$17:$K$49,Definitions!$M$17:$M$49,"")=$A81,1,0))</f>
        <v>0</v>
      </c>
      <c r="E81" s="554" cm="1">
        <f t="array" ref="E81">SUMPRODUCT(E$82:E$114,IF(_xlfn.XLOOKUP($B$82:$B$114,Definitions!$K$17:$K$49,Definitions!$M$17:$M$49,"")=$A81,1,0))</f>
        <v>0</v>
      </c>
      <c r="F81" s="554" cm="1">
        <f t="array" ref="F81">SUMPRODUCT(F$82:F$114,IF(_xlfn.XLOOKUP($B$82:$B$114,Definitions!$K$17:$K$49,Definitions!$M$17:$M$49,"")=$A81,1,0))</f>
        <v>0</v>
      </c>
      <c r="G81" s="554" cm="1">
        <f t="array" ref="G81">SUMPRODUCT(G$82:G$114,IF(_xlfn.XLOOKUP($B$82:$B$114,Definitions!$K$17:$K$49,Definitions!$M$17:$M$49,"")=$A81,1,0))</f>
        <v>0</v>
      </c>
      <c r="H81" s="554" cm="1">
        <f t="array" ref="H81">SUMPRODUCT(H$82:H$114,IF(_xlfn.XLOOKUP($B$82:$B$114,Definitions!$K$17:$K$49,Definitions!$M$17:$M$49,"")=$A81,1,0))</f>
        <v>0</v>
      </c>
      <c r="I81" s="554" cm="1">
        <f t="array" ref="I81">SUMPRODUCT(I$82:I$114,IF(_xlfn.XLOOKUP($B$82:$B$114,Definitions!$K$17:$K$49,Definitions!$M$17:$M$49,"")=$A81,1,0))</f>
        <v>0</v>
      </c>
      <c r="J81" s="554" cm="1">
        <f t="array" ref="J81">SUMPRODUCT(J$82:J$114,IF(_xlfn.XLOOKUP($B$82:$B$114,Definitions!$K$17:$K$49,Definitions!$M$17:$M$49,"")=$A81,1,0))</f>
        <v>0</v>
      </c>
      <c r="K81" s="554" cm="1">
        <f t="array" ref="K81">SUMPRODUCT(K$82:K$114,IF(_xlfn.XLOOKUP($B$82:$B$114,Definitions!$K$17:$K$49,Definitions!$M$17:$M$49,"")=$A81,1,0))</f>
        <v>0</v>
      </c>
      <c r="L81" s="554" cm="1">
        <f t="array" ref="L81">SUMPRODUCT(L$82:L$114,IF(_xlfn.XLOOKUP($B$82:$B$114,Definitions!$K$17:$K$49,Definitions!$M$17:$M$49,"")=$A81,1,0))</f>
        <v>0</v>
      </c>
      <c r="M81" s="554" cm="1">
        <f t="array" ref="M81">SUMPRODUCT(M$82:M$114,IF(_xlfn.XLOOKUP($B$82:$B$114,Definitions!$K$17:$K$49,Definitions!$M$17:$M$49,"")=$A81,1,0))</f>
        <v>0</v>
      </c>
      <c r="N81" s="554" cm="1">
        <f t="array" ref="N81">SUMPRODUCT(N$82:N$114,IF(_xlfn.XLOOKUP($B$82:$B$114,Definitions!$K$17:$K$49,Definitions!$M$17:$M$49,"")=$A81,1,0))</f>
        <v>0</v>
      </c>
      <c r="O81" s="554" cm="1">
        <f t="array" ref="O81">SUMPRODUCT(O$82:O$114,IF(_xlfn.XLOOKUP($B$82:$B$114,Definitions!$K$17:$K$49,Definitions!$M$17:$M$49,"")=$A81,1,0))</f>
        <v>0</v>
      </c>
      <c r="P81" s="554" cm="1">
        <f t="array" ref="P81">SUMPRODUCT(P$82:P$114,IF(_xlfn.XLOOKUP($B$82:$B$114,Definitions!$K$17:$K$49,Definitions!$M$17:$M$49,"")=$A81,1,0))</f>
        <v>0</v>
      </c>
      <c r="Q81" s="554" cm="1">
        <f t="array" ref="Q81">SUMPRODUCT(Q$82:Q$114,IF(_xlfn.XLOOKUP($B$82:$B$114,Definitions!$K$17:$K$49,Definitions!$M$17:$M$49,"")=$A81,1,0))</f>
        <v>0</v>
      </c>
      <c r="R81" s="554" cm="1">
        <f t="array" ref="R81">SUMPRODUCT(R$82:R$114,IF(_xlfn.XLOOKUP($B$82:$B$114,Definitions!$K$17:$K$49,Definitions!$M$17:$M$49,"")=$A81,1,0))</f>
        <v>0</v>
      </c>
      <c r="S81" s="554" cm="1">
        <f t="array" ref="S81">SUMPRODUCT(S$82:S$114,IF(_xlfn.XLOOKUP($B$82:$B$114,Definitions!$K$17:$K$49,Definitions!$M$17:$M$49,"")=$A81,1,0))</f>
        <v>0</v>
      </c>
      <c r="T81" s="554" cm="1">
        <f t="array" ref="T81">SUMPRODUCT(T$82:T$114,IF(_xlfn.XLOOKUP($B$82:$B$114,Definitions!$K$17:$K$49,Definitions!$M$17:$M$49,"")=$A81,1,0))</f>
        <v>0</v>
      </c>
      <c r="U81" s="554" cm="1">
        <f t="array" ref="U81">SUMPRODUCT(U$82:U$114,IF(_xlfn.XLOOKUP($B$82:$B$114,Definitions!$K$17:$K$49,Definitions!$M$17:$M$49,"")=$A81,1,0))</f>
        <v>0</v>
      </c>
      <c r="V81" s="554" cm="1">
        <f t="array" ref="V81">SUMPRODUCT(V$82:V$114,IF(_xlfn.XLOOKUP($B$82:$B$114,Definitions!$K$17:$K$49,Definitions!$M$17:$M$49,"")=$A81,1,0))</f>
        <v>0</v>
      </c>
      <c r="W81" s="554" cm="1">
        <f t="array" ref="W81">SUMPRODUCT(W$82:W$114,IF(_xlfn.XLOOKUP($B$82:$B$114,Definitions!$K$17:$K$49,Definitions!$M$17:$M$49,"")=$A81,1,0))</f>
        <v>0</v>
      </c>
      <c r="X81" s="554" cm="1">
        <f t="array" ref="X81">SUMPRODUCT(X$82:X$114,IF(_xlfn.XLOOKUP($B$82:$B$114,Definitions!$K$17:$K$49,Definitions!$M$17:$M$49,"")=$A81,1,0))</f>
        <v>0</v>
      </c>
      <c r="Y81" s="554" cm="1">
        <f t="array" ref="Y81">SUMPRODUCT(Y$82:Y$114,IF(_xlfn.XLOOKUP($B$82:$B$114,Definitions!$K$17:$K$49,Definitions!$M$17:$M$49,"")=$A81,1,0))</f>
        <v>0</v>
      </c>
      <c r="Z81" s="554" cm="1">
        <f t="array" ref="Z81">SUMPRODUCT(Z$82:Z$114,IF(_xlfn.XLOOKUP($B$82:$B$114,Definitions!$K$17:$K$49,Definitions!$M$17:$M$49,"")=$A81,1,0))</f>
        <v>0</v>
      </c>
      <c r="AA81" s="554" cm="1">
        <f t="array" ref="AA81">SUMPRODUCT(AA$82:AA$114,IF(_xlfn.XLOOKUP($B$82:$B$114,Definitions!$K$17:$K$49,Definitions!$M$17:$M$49,"")=$A81,1,0))</f>
        <v>0</v>
      </c>
      <c r="AB81" s="554" cm="1">
        <f t="array" ref="AB81">SUMPRODUCT(AB$82:AB$114,IF(_xlfn.XLOOKUP($B$82:$B$114,Definitions!$K$17:$K$49,Definitions!$M$17:$M$49,"")=$A81,1,0))</f>
        <v>0</v>
      </c>
      <c r="AC81" s="554" cm="1">
        <f t="array" ref="AC81">SUMPRODUCT(AC$82:AC$114,IF(_xlfn.XLOOKUP($B$82:$B$114,Definitions!$K$17:$K$49,Definitions!$M$17:$M$49,"")=$A81,1,0))</f>
        <v>0</v>
      </c>
      <c r="AD81" s="554" cm="1">
        <f t="array" ref="AD81">SUMPRODUCT(AD$82:AD$114,IF(_xlfn.XLOOKUP($B$82:$B$114,Definitions!$K$17:$K$49,Definitions!$M$17:$M$49,"")=$A81,1,0))</f>
        <v>0</v>
      </c>
      <c r="AE81" s="554" cm="1">
        <f t="array" ref="AE81">SUMPRODUCT(AE$82:AE$114,IF(_xlfn.XLOOKUP($B$82:$B$114,Definitions!$K$17:$K$49,Definitions!$M$17:$M$49,"")=$A81,1,0))</f>
        <v>0</v>
      </c>
      <c r="AF81" s="554" cm="1">
        <f t="array" ref="AF81">SUMPRODUCT(AF$82:AF$114,IF(_xlfn.XLOOKUP($B$82:$B$114,Definitions!$K$17:$K$49,Definitions!$M$17:$M$49,"")=$A81,1,0))</f>
        <v>0</v>
      </c>
      <c r="AG81" s="554" cm="1">
        <f t="array" ref="AG81">SUMPRODUCT(AG$82:AG$114,IF(_xlfn.XLOOKUP($B$82:$B$114,Definitions!$K$17:$K$49,Definitions!$M$17:$M$49,"")=$A81,1,0))</f>
        <v>0</v>
      </c>
      <c r="AH81" s="554" cm="1">
        <f t="array" ref="AH81">SUMPRODUCT(AH$82:AH$114,IF(_xlfn.XLOOKUP($B$82:$B$114,Definitions!$K$17:$K$49,Definitions!$M$17:$M$49,"")=$A81,1,0))</f>
        <v>0</v>
      </c>
      <c r="AI81" s="554" cm="1">
        <f t="array" ref="AI81">SUMPRODUCT(AI$82:AI$114,IF(_xlfn.XLOOKUP($B$82:$B$114,Definitions!$K$17:$K$49,Definitions!$M$17:$M$49,"")=$A81,1,0))</f>
        <v>0</v>
      </c>
      <c r="AJ81" s="554" cm="1">
        <f t="array" ref="AJ81">SUMPRODUCT(AJ$82:AJ$114,IF(_xlfn.XLOOKUP($B$82:$B$114,Definitions!$K$17:$K$49,Definitions!$M$17:$M$49,"")=$A81,1,0))</f>
        <v>0</v>
      </c>
      <c r="AK81" s="554" cm="1">
        <f t="array" ref="AK81">SUMPRODUCT(AK$82:AK$114,IF(_xlfn.XLOOKUP($B$82:$B$114,Definitions!$K$17:$K$49,Definitions!$M$17:$M$49,"")=$A81,1,0))</f>
        <v>0</v>
      </c>
      <c r="AL81" s="554" cm="1">
        <f t="array" ref="AL81">SUMPRODUCT(AL$82:AL$114,IF(_xlfn.XLOOKUP($B$82:$B$114,Definitions!$K$17:$K$49,Definitions!$M$17:$M$49,"")=$A81,1,0))</f>
        <v>0</v>
      </c>
      <c r="AM81" s="554" cm="1">
        <f t="array" ref="AM81">SUMPRODUCT(AM$82:AM$114,IF(_xlfn.XLOOKUP($B$82:$B$114,Definitions!$K$17:$K$49,Definitions!$M$17:$M$49,"")=$A81,1,0))</f>
        <v>0</v>
      </c>
      <c r="AN81" s="554" cm="1">
        <f t="array" ref="AN81">SUMPRODUCT(AN$82:AN$114,IF(_xlfn.XLOOKUP($B$82:$B$114,Definitions!$K$17:$K$49,Definitions!$M$17:$M$49,"")=$A81,1,0))</f>
        <v>0</v>
      </c>
      <c r="AO81" s="554" cm="1">
        <f t="array" ref="AO81">SUMPRODUCT(AO$82:AO$114,IF(_xlfn.XLOOKUP($B$82:$B$114,Definitions!$K$17:$K$49,Definitions!$M$17:$M$49,"")=$A81,1,0))</f>
        <v>0</v>
      </c>
      <c r="AP81" s="554" cm="1">
        <f t="array" ref="AP81">SUMPRODUCT(AP$82:AP$114,IF(_xlfn.XLOOKUP($B$82:$B$114,Definitions!$K$17:$K$49,Definitions!$M$17:$M$49,"")=$A81,1,0))</f>
        <v>0</v>
      </c>
      <c r="AQ81" s="554" cm="1">
        <f t="array" ref="AQ81">SUMPRODUCT(AQ$82:AQ$114,IF(_xlfn.XLOOKUP($B$82:$B$114,Definitions!$K$17:$K$49,Definitions!$M$17:$M$49,"")=$A81,1,0))</f>
        <v>0</v>
      </c>
      <c r="AR81" s="554" cm="1">
        <f t="array" ref="AR81">SUMPRODUCT(AR$82:AR$114,IF(_xlfn.XLOOKUP($B$82:$B$114,Definitions!$K$17:$K$49,Definitions!$M$17:$M$49,"")=$A81,1,0))</f>
        <v>0</v>
      </c>
      <c r="AS81" s="554" cm="1">
        <f t="array" ref="AS81">SUMPRODUCT(AS$82:AS$114,IF(_xlfn.XLOOKUP($B$82:$B$114,Definitions!$K$17:$K$49,Definitions!$M$17:$M$49,"")=$A81,1,0))</f>
        <v>0</v>
      </c>
      <c r="AT81" s="554" cm="1">
        <f t="array" ref="AT81">SUMPRODUCT(AT$82:AT$114,IF(_xlfn.XLOOKUP($B$82:$B$114,Definitions!$K$17:$K$49,Definitions!$M$17:$M$49,"")=$A81,1,0))</f>
        <v>0</v>
      </c>
      <c r="AU81" s="554" cm="1">
        <f t="array" ref="AU81">SUMPRODUCT(AU$82:AU$114,IF(_xlfn.XLOOKUP($B$82:$B$114,Definitions!$K$17:$K$49,Definitions!$M$17:$M$49,"")=$A81,1,0))</f>
        <v>0</v>
      </c>
      <c r="AV81" s="554" cm="1">
        <f t="array" ref="AV81">SUMPRODUCT(AV$82:AV$114,IF(_xlfn.XLOOKUP($B$82:$B$114,Definitions!$K$17:$K$49,Definitions!$M$17:$M$49,"")=$A81,1,0))</f>
        <v>0</v>
      </c>
    </row>
    <row r="82" spans="1:48" outlineLevel="1">
      <c r="A82" s="565" t="str">
        <f>IF(Definitions!L17&lt;&gt;"", Definitions!L17, "")</f>
        <v>Biomass power plant</v>
      </c>
      <c r="B82" s="565" t="str">
        <f>IF(Definitions!K17&lt;&gt;"", Definitions!K17, "")</f>
        <v>PWRBIO001</v>
      </c>
      <c r="C82" s="565" cm="1">
        <f t="array" ref="C82:AV82">IF(B82="", "",
   TRANSPOSE(
       INDEX('OSeMOSYS (Input)'!$B$21:$AA$66, , MATCH(TRUE, ISNUMBER(SEARCH(B29, 'OSeMOSYS (Input)'!$B$10:$AB$10)), 0))
   )
   *
   IF('High Level Dashboard'!$B$5="Local Currency",
      INDEX('Financing Baseline'!$S$39:$BL$39, , MATCH(TRUE, ISNUMBER(SEARCH(B29, 'OSeMOSYS (Input)'!$B$10:$AB10)), 0)) /
      INDEX('Financing Baseline'!$S$38:$BL$38, , MATCH(TRUE, ISNUMBER(SEARCH(B29, 'OSeMOSYS (Input)'!$B$10:$AB10)), 0)),
      INDEX('Financing Baseline'!$S$38:$BL$38, , MATCH(TRUE, ISNUMBER(SEARCH(B29, 'OSeMOSYS (Input)'!$B$10:$AB$10)), 0))
   )
)</f>
        <v>100</v>
      </c>
      <c r="D82" s="565">
        <v>25</v>
      </c>
      <c r="E82" s="565">
        <v>0</v>
      </c>
      <c r="F82" s="565">
        <v>20</v>
      </c>
      <c r="G82" s="565">
        <v>0</v>
      </c>
      <c r="H82" s="565">
        <v>120.5</v>
      </c>
      <c r="I82" s="565">
        <v>50</v>
      </c>
      <c r="J82" s="565">
        <v>27</v>
      </c>
      <c r="K82" s="565">
        <v>7.5</v>
      </c>
      <c r="L82" s="565">
        <v>15</v>
      </c>
      <c r="M82" s="565">
        <v>0.75</v>
      </c>
      <c r="N82" s="565">
        <v>0</v>
      </c>
      <c r="O82" s="565">
        <v>0</v>
      </c>
      <c r="P82" s="565">
        <v>0</v>
      </c>
      <c r="Q82" s="565">
        <v>0</v>
      </c>
      <c r="R82" s="565">
        <v>0</v>
      </c>
      <c r="S82" s="565">
        <v>0</v>
      </c>
      <c r="T82" s="565">
        <v>0</v>
      </c>
      <c r="U82" s="565">
        <v>0</v>
      </c>
      <c r="V82" s="565">
        <v>0</v>
      </c>
      <c r="W82" s="565">
        <v>0</v>
      </c>
      <c r="X82" s="565">
        <v>0</v>
      </c>
      <c r="Y82" s="565">
        <v>0</v>
      </c>
      <c r="Z82" s="565">
        <v>0</v>
      </c>
      <c r="AA82" s="565">
        <v>0</v>
      </c>
      <c r="AB82" s="565">
        <v>0</v>
      </c>
      <c r="AC82" s="565">
        <v>0</v>
      </c>
      <c r="AD82" s="565">
        <v>0</v>
      </c>
      <c r="AE82" s="565">
        <v>0</v>
      </c>
      <c r="AF82" s="565">
        <v>0</v>
      </c>
      <c r="AG82" s="565">
        <v>0</v>
      </c>
      <c r="AH82" s="565">
        <v>0</v>
      </c>
      <c r="AI82" s="565">
        <v>0</v>
      </c>
      <c r="AJ82" s="565">
        <v>0</v>
      </c>
      <c r="AK82" s="565">
        <v>0</v>
      </c>
      <c r="AL82" s="565">
        <v>0</v>
      </c>
      <c r="AM82" s="565">
        <v>0</v>
      </c>
      <c r="AN82" s="565">
        <v>0</v>
      </c>
      <c r="AO82" s="565">
        <v>0</v>
      </c>
      <c r="AP82" s="565">
        <v>0</v>
      </c>
      <c r="AQ82" s="565">
        <v>0</v>
      </c>
      <c r="AR82" s="565">
        <v>0</v>
      </c>
      <c r="AS82" s="565">
        <v>0</v>
      </c>
      <c r="AT82" s="565">
        <v>0</v>
      </c>
      <c r="AU82" s="565">
        <v>0</v>
      </c>
      <c r="AV82" s="565">
        <v>0</v>
      </c>
    </row>
    <row r="83" spans="1:48" outlineLevel="1">
      <c r="A83" s="565" t="str">
        <f>IF(Definitions!L18&lt;&gt;"", Definitions!L18, "")</f>
        <v>Coal power plant</v>
      </c>
      <c r="B83" s="565" t="str">
        <f>IF(Definitions!K18&lt;&gt;"", Definitions!K18, "")</f>
        <v>PWRCOA001</v>
      </c>
      <c r="C83" s="565" cm="1">
        <f t="array" ref="C83:AV83">IF(B83="", "",
   TRANSPOSE(
       INDEX('OSeMOSYS (Input)'!$B$21:$AA$66, , MATCH(TRUE, ISNUMBER(SEARCH(B30, 'OSeMOSYS (Input)'!$B$10:$AB$10)), 0))
   )
   *
   IF('High Level Dashboard'!$B$5="Local Currency",
      INDEX('Financing Baseline'!$S$39:$BL$39, , MATCH(TRUE, ISNUMBER(SEARCH(B30, 'OSeMOSYS (Input)'!$B$10:$AB11)), 0)) /
      INDEX('Financing Baseline'!$S$38:$BL$38, , MATCH(TRUE, ISNUMBER(SEARCH(B30, 'OSeMOSYS (Input)'!$B$10:$AB11)), 0)),
      INDEX('Financing Baseline'!$S$38:$BL$38, , MATCH(TRUE, ISNUMBER(SEARCH(B30, 'OSeMOSYS (Input)'!$B$10:$AB$10)), 0))
   )
)</f>
        <v>0</v>
      </c>
      <c r="D83" s="565">
        <v>0</v>
      </c>
      <c r="E83" s="565">
        <v>0</v>
      </c>
      <c r="F83" s="565">
        <v>0</v>
      </c>
      <c r="G83" s="565">
        <v>0</v>
      </c>
      <c r="H83" s="565">
        <v>0</v>
      </c>
      <c r="I83" s="565">
        <v>0</v>
      </c>
      <c r="J83" s="565">
        <v>0</v>
      </c>
      <c r="K83" s="565">
        <v>0</v>
      </c>
      <c r="L83" s="565">
        <v>0</v>
      </c>
      <c r="M83" s="565">
        <v>0</v>
      </c>
      <c r="N83" s="565">
        <v>0</v>
      </c>
      <c r="O83" s="565">
        <v>0</v>
      </c>
      <c r="P83" s="565">
        <v>0</v>
      </c>
      <c r="Q83" s="565">
        <v>0</v>
      </c>
      <c r="R83" s="565">
        <v>0</v>
      </c>
      <c r="S83" s="565">
        <v>0</v>
      </c>
      <c r="T83" s="565">
        <v>0</v>
      </c>
      <c r="U83" s="565">
        <v>0</v>
      </c>
      <c r="V83" s="565">
        <v>0</v>
      </c>
      <c r="W83" s="565">
        <v>0</v>
      </c>
      <c r="X83" s="565">
        <v>0</v>
      </c>
      <c r="Y83" s="565">
        <v>0</v>
      </c>
      <c r="Z83" s="565">
        <v>0</v>
      </c>
      <c r="AA83" s="565">
        <v>0</v>
      </c>
      <c r="AB83" s="565">
        <v>0</v>
      </c>
      <c r="AC83" s="565">
        <v>0</v>
      </c>
      <c r="AD83" s="565">
        <v>0</v>
      </c>
      <c r="AE83" s="565">
        <v>0</v>
      </c>
      <c r="AF83" s="565">
        <v>0</v>
      </c>
      <c r="AG83" s="565">
        <v>0</v>
      </c>
      <c r="AH83" s="565">
        <v>0</v>
      </c>
      <c r="AI83" s="565">
        <v>0</v>
      </c>
      <c r="AJ83" s="565">
        <v>0</v>
      </c>
      <c r="AK83" s="565">
        <v>0</v>
      </c>
      <c r="AL83" s="565">
        <v>0</v>
      </c>
      <c r="AM83" s="565">
        <v>0</v>
      </c>
      <c r="AN83" s="565">
        <v>0</v>
      </c>
      <c r="AO83" s="565">
        <v>0</v>
      </c>
      <c r="AP83" s="565">
        <v>0</v>
      </c>
      <c r="AQ83" s="565">
        <v>0</v>
      </c>
      <c r="AR83" s="565">
        <v>0</v>
      </c>
      <c r="AS83" s="565">
        <v>0</v>
      </c>
      <c r="AT83" s="565">
        <v>0</v>
      </c>
      <c r="AU83" s="565">
        <v>0</v>
      </c>
      <c r="AV83" s="565">
        <v>0</v>
      </c>
    </row>
    <row r="84" spans="1:48" outlineLevel="1">
      <c r="A84" s="565" t="str">
        <f>IF(Definitions!L19&lt;&gt;"", Definitions!L19, "")</f>
        <v>Geothermal power plant</v>
      </c>
      <c r="B84" s="565" t="str">
        <f>IF(Definitions!K19&lt;&gt;"", Definitions!K19, "")</f>
        <v>PWRGEO</v>
      </c>
      <c r="C84" s="565" cm="1">
        <f t="array" ref="C84:AV84">IF(B84="", "",
   TRANSPOSE(
       INDEX('OSeMOSYS (Input)'!$B$21:$AA$66, , MATCH(TRUE, ISNUMBER(SEARCH(B31, 'OSeMOSYS (Input)'!$B$10:$AB$10)), 0))
   )
   *
   IF('High Level Dashboard'!$B$5="Local Currency",
      INDEX('Financing Baseline'!$S$39:$BL$39, , MATCH(TRUE, ISNUMBER(SEARCH(B31, 'OSeMOSYS (Input)'!$B$10:$AB12)), 0)) /
      INDEX('Financing Baseline'!$S$38:$BL$38, , MATCH(TRUE, ISNUMBER(SEARCH(B31, 'OSeMOSYS (Input)'!$B$10:$AB12)), 0)),
      INDEX('Financing Baseline'!$S$38:$BL$38, , MATCH(TRUE, ISNUMBER(SEARCH(B31, 'OSeMOSYS (Input)'!$B$10:$AB$10)), 0))
   )
)</f>
        <v>278.24730000000005</v>
      </c>
      <c r="D84" s="565">
        <v>544.25279999999998</v>
      </c>
      <c r="E84" s="565">
        <v>403.99560000000002</v>
      </c>
      <c r="F84" s="565">
        <v>331.83539999999999</v>
      </c>
      <c r="G84" s="565">
        <v>1158.2438999999999</v>
      </c>
      <c r="H84" s="565">
        <v>217.36670000000001</v>
      </c>
      <c r="I84" s="565">
        <v>529.49990000000003</v>
      </c>
      <c r="J84" s="565">
        <v>212.75110000000001</v>
      </c>
      <c r="K84" s="565">
        <v>163.4556</v>
      </c>
      <c r="L84" s="565">
        <v>599.66459999999995</v>
      </c>
      <c r="M84" s="565">
        <v>313.40140000000002</v>
      </c>
      <c r="N84" s="565">
        <v>737.85129999999992</v>
      </c>
      <c r="O84" s="565">
        <v>628.08510000000001</v>
      </c>
      <c r="P84" s="565">
        <v>561.84079999999994</v>
      </c>
      <c r="Q84" s="565">
        <v>1012.8712</v>
      </c>
      <c r="R84" s="565">
        <v>1488.0749000000001</v>
      </c>
      <c r="S84" s="565">
        <v>1011.1725</v>
      </c>
      <c r="T84" s="565">
        <v>435.88159999999999</v>
      </c>
      <c r="U84" s="565">
        <v>435.88159999999999</v>
      </c>
      <c r="V84" s="565">
        <v>490.36680000000001</v>
      </c>
      <c r="W84" s="565">
        <v>544.85199999999998</v>
      </c>
      <c r="X84" s="565">
        <v>599.33720000000005</v>
      </c>
      <c r="Y84" s="565">
        <v>653.82240000000002</v>
      </c>
      <c r="Z84" s="565">
        <v>708.30759999999998</v>
      </c>
      <c r="AA84" s="565">
        <v>817.27800000000002</v>
      </c>
      <c r="AB84" s="565">
        <v>1007.6455</v>
      </c>
      <c r="AC84" s="565">
        <v>1089.1048000000001</v>
      </c>
      <c r="AD84" s="565">
        <v>948.84760000000006</v>
      </c>
      <c r="AE84" s="565">
        <v>876.68740000000003</v>
      </c>
      <c r="AF84" s="565">
        <v>1703.0958999999998</v>
      </c>
      <c r="AG84" s="565">
        <v>762.21870000000001</v>
      </c>
      <c r="AH84" s="565">
        <v>1074.3518999999999</v>
      </c>
      <c r="AI84" s="565">
        <v>757.60310000000004</v>
      </c>
      <c r="AJ84" s="565">
        <v>708.30759999999998</v>
      </c>
      <c r="AK84" s="565">
        <v>1144.5165999999999</v>
      </c>
      <c r="AL84" s="565">
        <v>858.25340000000006</v>
      </c>
      <c r="AM84" s="565">
        <v>1282.7032999999999</v>
      </c>
      <c r="AN84" s="565">
        <v>1172.9371000000001</v>
      </c>
      <c r="AO84" s="565">
        <v>1106.6928</v>
      </c>
      <c r="AP84" s="565">
        <v>1557.7231999999999</v>
      </c>
      <c r="AQ84" s="565">
        <v>2032.9268999999999</v>
      </c>
      <c r="AR84" s="565">
        <v>1556.0245</v>
      </c>
      <c r="AS84" s="565">
        <v>980.73360000000002</v>
      </c>
      <c r="AT84" s="565">
        <v>980.73360000000002</v>
      </c>
      <c r="AU84" s="565">
        <v>1035.2188000000001</v>
      </c>
      <c r="AV84" s="565">
        <v>1089.704</v>
      </c>
    </row>
    <row r="85" spans="1:48" outlineLevel="1">
      <c r="A85" s="565" t="str">
        <f>IF(Definitions!L20&lt;&gt;"", Definitions!L20, "")</f>
        <v>Light fuel oil power plant</v>
      </c>
      <c r="B85" s="565" t="str">
        <f>IF(Definitions!K20&lt;&gt;"", Definitions!K20, "")</f>
        <v>PWROHC001</v>
      </c>
      <c r="C85" s="565" cm="1">
        <f t="array" ref="C85:AV85">IF(B85="", "",
   TRANSPOSE(
       INDEX('OSeMOSYS (Input)'!$B$21:$AA$66, , MATCH(TRUE, ISNUMBER(SEARCH(B32, 'OSeMOSYS (Input)'!$B$10:$AB$10)), 0))
   )
   *
   IF('High Level Dashboard'!$B$5="Local Currency",
      INDEX('Financing Baseline'!$S$39:$BL$39, , MATCH(TRUE, ISNUMBER(SEARCH(B32, 'OSeMOSYS (Input)'!$B$10:$AB13)), 0)) /
      INDEX('Financing Baseline'!$S$38:$BL$38, , MATCH(TRUE, ISNUMBER(SEARCH(B32, 'OSeMOSYS (Input)'!$B$10:$AB13)), 0)),
      INDEX('Financing Baseline'!$S$38:$BL$38, , MATCH(TRUE, ISNUMBER(SEARCH(B32, 'OSeMOSYS (Input)'!$B$10:$AB$10)), 0))
   )
)</f>
        <v>0</v>
      </c>
      <c r="D85" s="565">
        <v>0</v>
      </c>
      <c r="E85" s="565">
        <v>0</v>
      </c>
      <c r="F85" s="565">
        <v>0</v>
      </c>
      <c r="G85" s="565">
        <v>0</v>
      </c>
      <c r="H85" s="565">
        <v>0</v>
      </c>
      <c r="I85" s="565">
        <v>0</v>
      </c>
      <c r="J85" s="565">
        <v>0</v>
      </c>
      <c r="K85" s="565">
        <v>0</v>
      </c>
      <c r="L85" s="565">
        <v>0</v>
      </c>
      <c r="M85" s="565">
        <v>0</v>
      </c>
      <c r="N85" s="565">
        <v>0</v>
      </c>
      <c r="O85" s="565">
        <v>0</v>
      </c>
      <c r="P85" s="565">
        <v>0</v>
      </c>
      <c r="Q85" s="565">
        <v>0</v>
      </c>
      <c r="R85" s="565">
        <v>0</v>
      </c>
      <c r="S85" s="565">
        <v>0</v>
      </c>
      <c r="T85" s="565">
        <v>0</v>
      </c>
      <c r="U85" s="565">
        <v>0</v>
      </c>
      <c r="V85" s="565">
        <v>0</v>
      </c>
      <c r="W85" s="565">
        <v>0</v>
      </c>
      <c r="X85" s="565">
        <v>0</v>
      </c>
      <c r="Y85" s="565">
        <v>0</v>
      </c>
      <c r="Z85" s="565">
        <v>0</v>
      </c>
      <c r="AA85" s="565">
        <v>0</v>
      </c>
      <c r="AB85" s="565">
        <v>0</v>
      </c>
      <c r="AC85" s="565">
        <v>0</v>
      </c>
      <c r="AD85" s="565">
        <v>0</v>
      </c>
      <c r="AE85" s="565">
        <v>0</v>
      </c>
      <c r="AF85" s="565">
        <v>0</v>
      </c>
      <c r="AG85" s="565">
        <v>0</v>
      </c>
      <c r="AH85" s="565">
        <v>0</v>
      </c>
      <c r="AI85" s="565">
        <v>0</v>
      </c>
      <c r="AJ85" s="565">
        <v>0</v>
      </c>
      <c r="AK85" s="565">
        <v>0</v>
      </c>
      <c r="AL85" s="565">
        <v>0</v>
      </c>
      <c r="AM85" s="565">
        <v>0</v>
      </c>
      <c r="AN85" s="565">
        <v>0</v>
      </c>
      <c r="AO85" s="565">
        <v>0</v>
      </c>
      <c r="AP85" s="565">
        <v>0</v>
      </c>
      <c r="AQ85" s="565">
        <v>0</v>
      </c>
      <c r="AR85" s="565">
        <v>0</v>
      </c>
      <c r="AS85" s="565">
        <v>0</v>
      </c>
      <c r="AT85" s="565">
        <v>0</v>
      </c>
      <c r="AU85" s="565">
        <v>0</v>
      </c>
      <c r="AV85" s="565">
        <v>0</v>
      </c>
    </row>
    <row r="86" spans="1:48" outlineLevel="1">
      <c r="A86" s="565" t="str">
        <f>IF(Definitions!L21&lt;&gt;"", Definitions!L21, "")</f>
        <v>Oil fired gas turbine - SCGT</v>
      </c>
      <c r="B86" s="565" t="str">
        <f>IF(Definitions!K21&lt;&gt;"", Definitions!K21, "")</f>
        <v>PWROHC002</v>
      </c>
      <c r="C86" s="565" cm="1">
        <f t="array" ref="C86:AV86">IF(B86="", "",
   TRANSPOSE(
       INDEX('OSeMOSYS (Input)'!$B$21:$AA$66, , MATCH(TRUE, ISNUMBER(SEARCH(B33, 'OSeMOSYS (Input)'!$B$10:$AB$10)), 0))
   )
   *
   IF('High Level Dashboard'!$B$5="Local Currency",
      INDEX('Financing Baseline'!$S$39:$BL$39, , MATCH(TRUE, ISNUMBER(SEARCH(B33, 'OSeMOSYS (Input)'!$B$10:$AB14)), 0)) /
      INDEX('Financing Baseline'!$S$38:$BL$38, , MATCH(TRUE, ISNUMBER(SEARCH(B33, 'OSeMOSYS (Input)'!$B$10:$AB14)), 0)),
      INDEX('Financing Baseline'!$S$38:$BL$38, , MATCH(TRUE, ISNUMBER(SEARCH(B33, 'OSeMOSYS (Input)'!$B$10:$AB$10)), 0))
   )
)</f>
        <v>0</v>
      </c>
      <c r="D86" s="565">
        <v>0</v>
      </c>
      <c r="E86" s="565">
        <v>0</v>
      </c>
      <c r="F86" s="565">
        <v>0</v>
      </c>
      <c r="G86" s="565">
        <v>0</v>
      </c>
      <c r="H86" s="565">
        <v>0</v>
      </c>
      <c r="I86" s="565">
        <v>0</v>
      </c>
      <c r="J86" s="565">
        <v>0</v>
      </c>
      <c r="K86" s="565">
        <v>0</v>
      </c>
      <c r="L86" s="565">
        <v>0</v>
      </c>
      <c r="M86" s="565">
        <v>0</v>
      </c>
      <c r="N86" s="565">
        <v>0</v>
      </c>
      <c r="O86" s="565">
        <v>0</v>
      </c>
      <c r="P86" s="565">
        <v>0</v>
      </c>
      <c r="Q86" s="565">
        <v>0</v>
      </c>
      <c r="R86" s="565">
        <v>0</v>
      </c>
      <c r="S86" s="565">
        <v>0</v>
      </c>
      <c r="T86" s="565">
        <v>0</v>
      </c>
      <c r="U86" s="565">
        <v>0</v>
      </c>
      <c r="V86" s="565">
        <v>0</v>
      </c>
      <c r="W86" s="565">
        <v>0</v>
      </c>
      <c r="X86" s="565">
        <v>0</v>
      </c>
      <c r="Y86" s="565">
        <v>0</v>
      </c>
      <c r="Z86" s="565">
        <v>0</v>
      </c>
      <c r="AA86" s="565">
        <v>0</v>
      </c>
      <c r="AB86" s="565">
        <v>0</v>
      </c>
      <c r="AC86" s="565">
        <v>0</v>
      </c>
      <c r="AD86" s="565">
        <v>0</v>
      </c>
      <c r="AE86" s="565">
        <v>0</v>
      </c>
      <c r="AF86" s="565">
        <v>0</v>
      </c>
      <c r="AG86" s="565">
        <v>0</v>
      </c>
      <c r="AH86" s="565">
        <v>0</v>
      </c>
      <c r="AI86" s="565">
        <v>0</v>
      </c>
      <c r="AJ86" s="565">
        <v>0</v>
      </c>
      <c r="AK86" s="565">
        <v>0</v>
      </c>
      <c r="AL86" s="565">
        <v>0</v>
      </c>
      <c r="AM86" s="565">
        <v>0</v>
      </c>
      <c r="AN86" s="565">
        <v>0</v>
      </c>
      <c r="AO86" s="565">
        <v>0</v>
      </c>
      <c r="AP86" s="565">
        <v>0</v>
      </c>
      <c r="AQ86" s="565">
        <v>0</v>
      </c>
      <c r="AR86" s="565">
        <v>0</v>
      </c>
      <c r="AS86" s="565">
        <v>0</v>
      </c>
      <c r="AT86" s="565">
        <v>0</v>
      </c>
      <c r="AU86" s="565">
        <v>0</v>
      </c>
      <c r="AV86" s="565">
        <v>0</v>
      </c>
    </row>
    <row r="87" spans="1:48" outlineLevel="1">
      <c r="A87" s="565" t="str">
        <f>IF(Definitions!L22&lt;&gt;"", Definitions!L22, "")</f>
        <v>Natural gas power plant - CCGT</v>
      </c>
      <c r="B87" s="565" t="str">
        <f>IF(Definitions!K22&lt;&gt;"", Definitions!K22, "")</f>
        <v>PWRNGS001</v>
      </c>
      <c r="C87" s="565" cm="1">
        <f t="array" ref="C87:AV87">IF(B87="", "",
   TRANSPOSE(
       INDEX('OSeMOSYS (Input)'!$B$21:$AA$66, , MATCH(TRUE, ISNUMBER(SEARCH(B34, 'OSeMOSYS (Input)'!$B$10:$AB$10)), 0))
   )
   *
   IF('High Level Dashboard'!$B$5="Local Currency",
      INDEX('Financing Baseline'!$S$39:$BL$39, , MATCH(TRUE, ISNUMBER(SEARCH(B34, 'OSeMOSYS (Input)'!$B$10:$AB15)), 0)) /
      INDEX('Financing Baseline'!$S$38:$BL$38, , MATCH(TRUE, ISNUMBER(SEARCH(B34, 'OSeMOSYS (Input)'!$B$10:$AB15)), 0)),
      INDEX('Financing Baseline'!$S$38:$BL$38, , MATCH(TRUE, ISNUMBER(SEARCH(B34, 'OSeMOSYS (Input)'!$B$10:$AB$10)), 0))
   )
)</f>
        <v>0</v>
      </c>
      <c r="D87" s="565">
        <v>0</v>
      </c>
      <c r="E87" s="565">
        <v>0</v>
      </c>
      <c r="F87" s="565">
        <v>0</v>
      </c>
      <c r="G87" s="565">
        <v>0</v>
      </c>
      <c r="H87" s="565">
        <v>0</v>
      </c>
      <c r="I87" s="565">
        <v>0</v>
      </c>
      <c r="J87" s="565">
        <v>0</v>
      </c>
      <c r="K87" s="565">
        <v>0</v>
      </c>
      <c r="L87" s="565">
        <v>0</v>
      </c>
      <c r="M87" s="565">
        <v>0</v>
      </c>
      <c r="N87" s="565">
        <v>0</v>
      </c>
      <c r="O87" s="565">
        <v>0</v>
      </c>
      <c r="P87" s="565">
        <v>0</v>
      </c>
      <c r="Q87" s="565">
        <v>0</v>
      </c>
      <c r="R87" s="565">
        <v>0</v>
      </c>
      <c r="S87" s="565">
        <v>0</v>
      </c>
      <c r="T87" s="565">
        <v>0</v>
      </c>
      <c r="U87" s="565">
        <v>0</v>
      </c>
      <c r="V87" s="565">
        <v>0</v>
      </c>
      <c r="W87" s="565">
        <v>0</v>
      </c>
      <c r="X87" s="565">
        <v>0</v>
      </c>
      <c r="Y87" s="565">
        <v>0</v>
      </c>
      <c r="Z87" s="565">
        <v>0</v>
      </c>
      <c r="AA87" s="565">
        <v>0</v>
      </c>
      <c r="AB87" s="565">
        <v>0</v>
      </c>
      <c r="AC87" s="565">
        <v>0</v>
      </c>
      <c r="AD87" s="565">
        <v>0</v>
      </c>
      <c r="AE87" s="565">
        <v>0</v>
      </c>
      <c r="AF87" s="565">
        <v>0</v>
      </c>
      <c r="AG87" s="565">
        <v>0</v>
      </c>
      <c r="AH87" s="565">
        <v>0</v>
      </c>
      <c r="AI87" s="565">
        <v>0</v>
      </c>
      <c r="AJ87" s="565">
        <v>0</v>
      </c>
      <c r="AK87" s="565">
        <v>0</v>
      </c>
      <c r="AL87" s="565">
        <v>0</v>
      </c>
      <c r="AM87" s="565">
        <v>0</v>
      </c>
      <c r="AN87" s="565">
        <v>0</v>
      </c>
      <c r="AO87" s="565">
        <v>0</v>
      </c>
      <c r="AP87" s="565">
        <v>0</v>
      </c>
      <c r="AQ87" s="565">
        <v>0</v>
      </c>
      <c r="AR87" s="565">
        <v>0</v>
      </c>
      <c r="AS87" s="565">
        <v>0</v>
      </c>
      <c r="AT87" s="565">
        <v>0</v>
      </c>
      <c r="AU87" s="565">
        <v>0</v>
      </c>
      <c r="AV87" s="565">
        <v>0</v>
      </c>
    </row>
    <row r="88" spans="1:48" outlineLevel="1">
      <c r="A88" s="565" t="str">
        <f>IF(Definitions!L23&lt;&gt;"", Definitions!L23, "")</f>
        <v>Nautral gas power plant - SCGT</v>
      </c>
      <c r="B88" s="565" t="str">
        <f>IF(Definitions!K23&lt;&gt;"", Definitions!K23, "")</f>
        <v>PWRNGS002</v>
      </c>
      <c r="C88" s="565" cm="1">
        <f t="array" ref="C88:AV88">IF(B88="", "",
   TRANSPOSE(
       INDEX('OSeMOSYS (Input)'!$B$21:$AA$66, , MATCH(TRUE, ISNUMBER(SEARCH(B35, 'OSeMOSYS (Input)'!$B$10:$AB$10)), 0))
   )
   *
   IF('High Level Dashboard'!$B$5="Local Currency",
      INDEX('Financing Baseline'!$S$39:$BL$39, , MATCH(TRUE, ISNUMBER(SEARCH(B35, 'OSeMOSYS (Input)'!$B$10:$AB16)), 0)) /
      INDEX('Financing Baseline'!$S$38:$BL$38, , MATCH(TRUE, ISNUMBER(SEARCH(B35, 'OSeMOSYS (Input)'!$B$10:$AB16)), 0)),
      INDEX('Financing Baseline'!$S$38:$BL$38, , MATCH(TRUE, ISNUMBER(SEARCH(B35, 'OSeMOSYS (Input)'!$B$10:$AB$10)), 0))
   )
)</f>
        <v>0</v>
      </c>
      <c r="D88" s="565">
        <v>0</v>
      </c>
      <c r="E88" s="565">
        <v>83.003699999999995</v>
      </c>
      <c r="F88" s="565">
        <v>19.853100000000001</v>
      </c>
      <c r="G88" s="565">
        <v>0</v>
      </c>
      <c r="H88" s="565">
        <v>58.285499999999999</v>
      </c>
      <c r="I88" s="565">
        <v>0</v>
      </c>
      <c r="J88" s="565">
        <v>0</v>
      </c>
      <c r="K88" s="565">
        <v>0</v>
      </c>
      <c r="L88" s="565">
        <v>0</v>
      </c>
      <c r="M88" s="565">
        <v>0</v>
      </c>
      <c r="N88" s="565">
        <v>0</v>
      </c>
      <c r="O88" s="565">
        <v>0</v>
      </c>
      <c r="P88" s="565">
        <v>0</v>
      </c>
      <c r="Q88" s="565">
        <v>0</v>
      </c>
      <c r="R88" s="565">
        <v>0</v>
      </c>
      <c r="S88" s="565">
        <v>0</v>
      </c>
      <c r="T88" s="565">
        <v>0</v>
      </c>
      <c r="U88" s="565">
        <v>0</v>
      </c>
      <c r="V88" s="565">
        <v>0</v>
      </c>
      <c r="W88" s="565">
        <v>0</v>
      </c>
      <c r="X88" s="565">
        <v>0</v>
      </c>
      <c r="Y88" s="565">
        <v>0</v>
      </c>
      <c r="Z88" s="565">
        <v>0</v>
      </c>
      <c r="AA88" s="565">
        <v>0</v>
      </c>
      <c r="AB88" s="565">
        <v>0</v>
      </c>
      <c r="AC88" s="565">
        <v>0</v>
      </c>
      <c r="AD88" s="565">
        <v>0</v>
      </c>
      <c r="AE88" s="565">
        <v>0</v>
      </c>
      <c r="AF88" s="565">
        <v>0</v>
      </c>
      <c r="AG88" s="565">
        <v>0</v>
      </c>
      <c r="AH88" s="565">
        <v>0</v>
      </c>
      <c r="AI88" s="565">
        <v>0</v>
      </c>
      <c r="AJ88" s="565">
        <v>0</v>
      </c>
      <c r="AK88" s="565">
        <v>0</v>
      </c>
      <c r="AL88" s="565">
        <v>0</v>
      </c>
      <c r="AM88" s="565">
        <v>0</v>
      </c>
      <c r="AN88" s="565">
        <v>0</v>
      </c>
      <c r="AO88" s="565">
        <v>0</v>
      </c>
      <c r="AP88" s="565">
        <v>0</v>
      </c>
      <c r="AQ88" s="565">
        <v>0</v>
      </c>
      <c r="AR88" s="565">
        <v>0</v>
      </c>
      <c r="AS88" s="565">
        <v>0</v>
      </c>
      <c r="AT88" s="565">
        <v>0</v>
      </c>
      <c r="AU88" s="565">
        <v>0</v>
      </c>
      <c r="AV88" s="565">
        <v>0</v>
      </c>
    </row>
    <row r="89" spans="1:48" outlineLevel="1">
      <c r="A89" s="565" t="str">
        <f>IF(Definitions!L24&lt;&gt;"", Definitions!L24, "")</f>
        <v xml:space="preserve">Solar PV - Utility scale  </v>
      </c>
      <c r="B89" s="565" t="str">
        <f>IF(Definitions!K24&lt;&gt;"", Definitions!K24, "")</f>
        <v>PWRSOL001</v>
      </c>
      <c r="C89" s="565" cm="1">
        <f t="array" ref="C89:AV89">IF(B89="", "",
   TRANSPOSE(
       INDEX('OSeMOSYS (Input)'!$B$21:$AA$66, , MATCH(TRUE, ISNUMBER(SEARCH(B36, 'OSeMOSYS (Input)'!$B$10:$AB$10)), 0))
   )
   *
   IF('High Level Dashboard'!$B$5="Local Currency",
      INDEX('Financing Baseline'!$S$39:$BL$39, , MATCH(TRUE, ISNUMBER(SEARCH(B36, 'OSeMOSYS (Input)'!$B$10:$AB17)), 0)) /
      INDEX('Financing Baseline'!$S$38:$BL$38, , MATCH(TRUE, ISNUMBER(SEARCH(B36, 'OSeMOSYS (Input)'!$B$10:$AB17)), 0)),
      INDEX('Financing Baseline'!$S$38:$BL$38, , MATCH(TRUE, ISNUMBER(SEARCH(B36, 'OSeMOSYS (Input)'!$B$10:$AB$10)), 0))
   )
)</f>
        <v>0</v>
      </c>
      <c r="D89" s="565">
        <v>41.154000000000003</v>
      </c>
      <c r="E89" s="565">
        <v>0</v>
      </c>
      <c r="F89" s="565">
        <v>0</v>
      </c>
      <c r="G89" s="565">
        <v>0</v>
      </c>
      <c r="H89" s="565">
        <v>0</v>
      </c>
      <c r="I89" s="565">
        <v>0</v>
      </c>
      <c r="J89" s="565">
        <v>0</v>
      </c>
      <c r="K89" s="565">
        <v>0</v>
      </c>
      <c r="L89" s="565">
        <v>0</v>
      </c>
      <c r="M89" s="565">
        <v>0</v>
      </c>
      <c r="N89" s="565">
        <v>0</v>
      </c>
      <c r="O89" s="565">
        <v>0</v>
      </c>
      <c r="P89" s="565">
        <v>0</v>
      </c>
      <c r="Q89" s="565">
        <v>0</v>
      </c>
      <c r="R89" s="565">
        <v>0</v>
      </c>
      <c r="S89" s="565">
        <v>110.3518</v>
      </c>
      <c r="T89" s="565">
        <v>0</v>
      </c>
      <c r="U89" s="565">
        <v>0</v>
      </c>
      <c r="V89" s="565">
        <v>0</v>
      </c>
      <c r="W89" s="565">
        <v>0</v>
      </c>
      <c r="X89" s="565">
        <v>0</v>
      </c>
      <c r="Y89" s="565">
        <v>0</v>
      </c>
      <c r="Z89" s="565">
        <v>0</v>
      </c>
      <c r="AA89" s="565">
        <v>0</v>
      </c>
      <c r="AB89" s="565">
        <v>70.561300000000003</v>
      </c>
      <c r="AC89" s="565">
        <v>218.37479999999999</v>
      </c>
      <c r="AD89" s="565">
        <v>198.4828</v>
      </c>
      <c r="AE89" s="565">
        <v>206.02189999999999</v>
      </c>
      <c r="AF89" s="565">
        <v>23.941500000000001</v>
      </c>
      <c r="AG89" s="565">
        <v>63.821399999999997</v>
      </c>
      <c r="AH89" s="565">
        <v>87.122100000000003</v>
      </c>
      <c r="AI89" s="565">
        <v>15.0672</v>
      </c>
      <c r="AJ89" s="565">
        <v>14.5138</v>
      </c>
      <c r="AK89" s="565">
        <v>20.973199999999999</v>
      </c>
      <c r="AL89" s="565">
        <v>3.9983</v>
      </c>
      <c r="AM89" s="565">
        <v>124.9059</v>
      </c>
      <c r="AN89" s="565">
        <v>17.169699999999999</v>
      </c>
      <c r="AO89" s="565">
        <v>19.916599999999999</v>
      </c>
      <c r="AP89" s="565">
        <v>18.860099999999999</v>
      </c>
      <c r="AQ89" s="565">
        <v>20.8675</v>
      </c>
      <c r="AR89" s="565">
        <v>20.973199999999999</v>
      </c>
      <c r="AS89" s="565">
        <v>20.973199999999999</v>
      </c>
      <c r="AT89" s="565">
        <v>20.973199999999999</v>
      </c>
      <c r="AU89" s="565">
        <v>20.973199999999999</v>
      </c>
      <c r="AV89" s="565">
        <v>91.849100000000007</v>
      </c>
    </row>
    <row r="90" spans="1:48" outlineLevel="1">
      <c r="A90" s="565" t="str">
        <f>IF(Definitions!L25&lt;&gt;"", Definitions!L25, "")</f>
        <v>CSP - Without storage</v>
      </c>
      <c r="B90" s="565" t="str">
        <f>IF(Definitions!K25&lt;&gt;"", Definitions!K25, "")</f>
        <v>PWRCSP001</v>
      </c>
      <c r="C90" s="565" cm="1">
        <f t="array" ref="C90:AV90">IF(B90="", "",
   TRANSPOSE(
       INDEX('OSeMOSYS (Input)'!$B$21:$AA$66, , MATCH(TRUE, ISNUMBER(SEARCH(B37, 'OSeMOSYS (Input)'!$B$10:$AB$10)), 0))
   )
   *
   IF('High Level Dashboard'!$B$5="Local Currency",
      INDEX('Financing Baseline'!$S$39:$BL$39, , MATCH(TRUE, ISNUMBER(SEARCH(B37, 'OSeMOSYS (Input)'!$B$10:$AB18)), 0)) /
      INDEX('Financing Baseline'!$S$38:$BL$38, , MATCH(TRUE, ISNUMBER(SEARCH(B37, 'OSeMOSYS (Input)'!$B$10:$AB18)), 0)),
      INDEX('Financing Baseline'!$S$38:$BL$38, , MATCH(TRUE, ISNUMBER(SEARCH(B37, 'OSeMOSYS (Input)'!$B$10:$AB$10)), 0))
   )
)</f>
        <v>200</v>
      </c>
      <c r="D90" s="565">
        <v>0</v>
      </c>
      <c r="E90" s="565">
        <v>0</v>
      </c>
      <c r="F90" s="565">
        <v>0</v>
      </c>
      <c r="G90" s="565">
        <v>0</v>
      </c>
      <c r="H90" s="565">
        <v>0</v>
      </c>
      <c r="I90" s="565">
        <v>0</v>
      </c>
      <c r="J90" s="565">
        <v>0</v>
      </c>
      <c r="K90" s="565">
        <v>0</v>
      </c>
      <c r="L90" s="565">
        <v>0</v>
      </c>
      <c r="M90" s="565">
        <v>0</v>
      </c>
      <c r="N90" s="565">
        <v>0</v>
      </c>
      <c r="O90" s="565">
        <v>0</v>
      </c>
      <c r="P90" s="565">
        <v>0</v>
      </c>
      <c r="Q90" s="565">
        <v>0</v>
      </c>
      <c r="R90" s="565">
        <v>0</v>
      </c>
      <c r="S90" s="565">
        <v>0</v>
      </c>
      <c r="T90" s="565">
        <v>0</v>
      </c>
      <c r="U90" s="565">
        <v>0</v>
      </c>
      <c r="V90" s="565">
        <v>0</v>
      </c>
      <c r="W90" s="565">
        <v>0</v>
      </c>
      <c r="X90" s="565">
        <v>0</v>
      </c>
      <c r="Y90" s="565">
        <v>0</v>
      </c>
      <c r="Z90" s="565">
        <v>0</v>
      </c>
      <c r="AA90" s="565">
        <v>0</v>
      </c>
      <c r="AB90" s="565">
        <v>0</v>
      </c>
      <c r="AC90" s="565">
        <v>0</v>
      </c>
      <c r="AD90" s="565">
        <v>0</v>
      </c>
      <c r="AE90" s="565">
        <v>0</v>
      </c>
      <c r="AF90" s="565">
        <v>0</v>
      </c>
      <c r="AG90" s="565">
        <v>0</v>
      </c>
      <c r="AH90" s="565">
        <v>0</v>
      </c>
      <c r="AI90" s="565">
        <v>0</v>
      </c>
      <c r="AJ90" s="565">
        <v>0</v>
      </c>
      <c r="AK90" s="565">
        <v>0</v>
      </c>
      <c r="AL90" s="565">
        <v>0</v>
      </c>
      <c r="AM90" s="565">
        <v>0</v>
      </c>
      <c r="AN90" s="565">
        <v>0</v>
      </c>
      <c r="AO90" s="565">
        <v>0</v>
      </c>
      <c r="AP90" s="565">
        <v>0</v>
      </c>
      <c r="AQ90" s="565">
        <v>0</v>
      </c>
      <c r="AR90" s="565">
        <v>0</v>
      </c>
      <c r="AS90" s="565">
        <v>0</v>
      </c>
      <c r="AT90" s="565">
        <v>0</v>
      </c>
      <c r="AU90" s="565">
        <v>0</v>
      </c>
      <c r="AV90" s="565">
        <v>0</v>
      </c>
    </row>
    <row r="91" spans="1:48" outlineLevel="1">
      <c r="A91" s="565" t="str">
        <f>IF(Definitions!L26&lt;&gt;"", Definitions!L26, "")</f>
        <v>CSP - With storage</v>
      </c>
      <c r="B91" s="565" t="str">
        <f>IF(Definitions!K26&lt;&gt;"", Definitions!K26, "")</f>
        <v>PWRCSP002</v>
      </c>
      <c r="C91" s="565" cm="1">
        <f t="array" ref="C91:AV91">IF(B91="", "",
   TRANSPOSE(
       INDEX('OSeMOSYS (Input)'!$B$21:$AA$66, , MATCH(TRUE, ISNUMBER(SEARCH(B38, 'OSeMOSYS (Input)'!$B$10:$AB$10)), 0))
   )
   *
   IF('High Level Dashboard'!$B$5="Local Currency",
      INDEX('Financing Baseline'!$S$39:$BL$39, , MATCH(TRUE, ISNUMBER(SEARCH(B38, 'OSeMOSYS (Input)'!$B$10:$AB19)), 0)) /
      INDEX('Financing Baseline'!$S$38:$BL$38, , MATCH(TRUE, ISNUMBER(SEARCH(B38, 'OSeMOSYS (Input)'!$B$10:$AB19)), 0)),
      INDEX('Financing Baseline'!$S$38:$BL$38, , MATCH(TRUE, ISNUMBER(SEARCH(B38, 'OSeMOSYS (Input)'!$B$10:$AB$10)), 0))
   )
)</f>
        <v>50</v>
      </c>
      <c r="D91" s="565">
        <v>0</v>
      </c>
      <c r="E91" s="565">
        <v>0</v>
      </c>
      <c r="F91" s="565">
        <v>0</v>
      </c>
      <c r="G91" s="565">
        <v>0</v>
      </c>
      <c r="H91" s="565">
        <v>0</v>
      </c>
      <c r="I91" s="565">
        <v>0</v>
      </c>
      <c r="J91" s="565">
        <v>0</v>
      </c>
      <c r="K91" s="565">
        <v>0</v>
      </c>
      <c r="L91" s="565">
        <v>0</v>
      </c>
      <c r="M91" s="565">
        <v>0</v>
      </c>
      <c r="N91" s="565">
        <v>0</v>
      </c>
      <c r="O91" s="565">
        <v>0</v>
      </c>
      <c r="P91" s="565">
        <v>0</v>
      </c>
      <c r="Q91" s="565">
        <v>0</v>
      </c>
      <c r="R91" s="565">
        <v>0</v>
      </c>
      <c r="S91" s="565">
        <v>0</v>
      </c>
      <c r="T91" s="565">
        <v>0</v>
      </c>
      <c r="U91" s="565">
        <v>0</v>
      </c>
      <c r="V91" s="565">
        <v>0</v>
      </c>
      <c r="W91" s="565">
        <v>0</v>
      </c>
      <c r="X91" s="565">
        <v>0</v>
      </c>
      <c r="Y91" s="565">
        <v>0</v>
      </c>
      <c r="Z91" s="565">
        <v>0</v>
      </c>
      <c r="AA91" s="565">
        <v>0</v>
      </c>
      <c r="AB91" s="565">
        <v>0</v>
      </c>
      <c r="AC91" s="565">
        <v>0</v>
      </c>
      <c r="AD91" s="565">
        <v>0</v>
      </c>
      <c r="AE91" s="565">
        <v>0</v>
      </c>
      <c r="AF91" s="565">
        <v>0</v>
      </c>
      <c r="AG91" s="565">
        <v>0</v>
      </c>
      <c r="AH91" s="565">
        <v>0</v>
      </c>
      <c r="AI91" s="565">
        <v>0</v>
      </c>
      <c r="AJ91" s="565">
        <v>0</v>
      </c>
      <c r="AK91" s="565">
        <v>0</v>
      </c>
      <c r="AL91" s="565">
        <v>0</v>
      </c>
      <c r="AM91" s="565">
        <v>0</v>
      </c>
      <c r="AN91" s="565">
        <v>0</v>
      </c>
      <c r="AO91" s="565">
        <v>0</v>
      </c>
      <c r="AP91" s="565">
        <v>0</v>
      </c>
      <c r="AQ91" s="565">
        <v>0</v>
      </c>
      <c r="AR91" s="565">
        <v>0</v>
      </c>
      <c r="AS91" s="565">
        <v>0</v>
      </c>
      <c r="AT91" s="565">
        <v>0</v>
      </c>
      <c r="AU91" s="565">
        <v>0</v>
      </c>
      <c r="AV91" s="565">
        <v>0</v>
      </c>
    </row>
    <row r="92" spans="1:48" outlineLevel="1">
      <c r="A92" s="565" t="str">
        <f>IF(Definitions!L27&lt;&gt;"", Definitions!L27, "")</f>
        <v>Hydropower plant - Large dam (&gt;100MW)</v>
      </c>
      <c r="B92" s="565" t="str">
        <f>IF(Definitions!K27&lt;&gt;"", Definitions!K27, "")</f>
        <v>PWRHYD001</v>
      </c>
      <c r="C92" s="565" cm="1">
        <f t="array" ref="C92:AV92">IF(B92="", "",
   TRANSPOSE(
       INDEX('OSeMOSYS (Input)'!$B$21:$AA$66, , MATCH(TRUE, ISNUMBER(SEARCH(B39, 'OSeMOSYS (Input)'!$B$10:$AB$10)), 0))
   )
   *
   IF('High Level Dashboard'!$B$5="Local Currency",
      INDEX('Financing Baseline'!$S$39:$BL$39, , MATCH(TRUE, ISNUMBER(SEARCH(B39, 'OSeMOSYS (Input)'!$B$10:$AB20)), 0)) /
      INDEX('Financing Baseline'!$S$38:$BL$38, , MATCH(TRUE, ISNUMBER(SEARCH(B39, 'OSeMOSYS (Input)'!$B$10:$AB20)), 0)),
      INDEX('Financing Baseline'!$S$38:$BL$38, , MATCH(TRUE, ISNUMBER(SEARCH(B39, 'OSeMOSYS (Input)'!$B$10:$AB$10)), 0))
   )
)</f>
        <v>0</v>
      </c>
      <c r="D92" s="565">
        <v>0</v>
      </c>
      <c r="E92" s="565">
        <v>0</v>
      </c>
      <c r="F92" s="565">
        <v>0</v>
      </c>
      <c r="G92" s="565">
        <v>0</v>
      </c>
      <c r="H92" s="565">
        <v>0</v>
      </c>
      <c r="I92" s="565">
        <v>0</v>
      </c>
      <c r="J92" s="565">
        <v>0</v>
      </c>
      <c r="K92" s="565">
        <v>0</v>
      </c>
      <c r="L92" s="565">
        <v>0</v>
      </c>
      <c r="M92" s="565">
        <v>0</v>
      </c>
      <c r="N92" s="565">
        <v>0</v>
      </c>
      <c r="O92" s="565">
        <v>0</v>
      </c>
      <c r="P92" s="565">
        <v>0</v>
      </c>
      <c r="Q92" s="565">
        <v>0</v>
      </c>
      <c r="R92" s="565">
        <v>0</v>
      </c>
      <c r="S92" s="565">
        <v>0</v>
      </c>
      <c r="T92" s="565">
        <v>0</v>
      </c>
      <c r="U92" s="565">
        <v>0</v>
      </c>
      <c r="V92" s="565">
        <v>0</v>
      </c>
      <c r="W92" s="565">
        <v>0</v>
      </c>
      <c r="X92" s="565">
        <v>0</v>
      </c>
      <c r="Y92" s="565">
        <v>0</v>
      </c>
      <c r="Z92" s="565">
        <v>0</v>
      </c>
      <c r="AA92" s="565">
        <v>0</v>
      </c>
      <c r="AB92" s="565">
        <v>0</v>
      </c>
      <c r="AC92" s="565">
        <v>0</v>
      </c>
      <c r="AD92" s="565">
        <v>0</v>
      </c>
      <c r="AE92" s="565">
        <v>0</v>
      </c>
      <c r="AF92" s="565">
        <v>0</v>
      </c>
      <c r="AG92" s="565">
        <v>0</v>
      </c>
      <c r="AH92" s="565">
        <v>0</v>
      </c>
      <c r="AI92" s="565">
        <v>0</v>
      </c>
      <c r="AJ92" s="565">
        <v>0</v>
      </c>
      <c r="AK92" s="565">
        <v>0</v>
      </c>
      <c r="AL92" s="565">
        <v>0</v>
      </c>
      <c r="AM92" s="565">
        <v>0</v>
      </c>
      <c r="AN92" s="565">
        <v>0</v>
      </c>
      <c r="AO92" s="565">
        <v>0</v>
      </c>
      <c r="AP92" s="565">
        <v>0</v>
      </c>
      <c r="AQ92" s="565">
        <v>0</v>
      </c>
      <c r="AR92" s="565">
        <v>0</v>
      </c>
      <c r="AS92" s="565">
        <v>0</v>
      </c>
      <c r="AT92" s="565">
        <v>0</v>
      </c>
      <c r="AU92" s="565">
        <v>0</v>
      </c>
      <c r="AV92" s="565">
        <v>0</v>
      </c>
    </row>
    <row r="93" spans="1:48" outlineLevel="1">
      <c r="A93" s="565" t="str">
        <f>IF(Definitions!L28&lt;&gt;"", Definitions!L28, "")</f>
        <v>Hydropower plant - Medium (10-100MW)</v>
      </c>
      <c r="B93" s="565" t="str">
        <f>IF(Definitions!K28&lt;&gt;"", Definitions!K28, "")</f>
        <v>PWRHYD002</v>
      </c>
      <c r="C93" s="565" cm="1">
        <f t="array" ref="C93:AV93">IF(B93="", "",
   TRANSPOSE(
       INDEX('OSeMOSYS (Input)'!$B$21:$AA$66, , MATCH(TRUE, ISNUMBER(SEARCH(B40, 'OSeMOSYS (Input)'!$B$10:$AB$10)), 0))
   )
   *
   IF('High Level Dashboard'!$B$5="Local Currency",
      INDEX('Financing Baseline'!$S$39:$BL$39, , MATCH(TRUE, ISNUMBER(SEARCH(B40, 'OSeMOSYS (Input)'!$B$10:$AB21)), 0)) /
      INDEX('Financing Baseline'!$S$38:$BL$38, , MATCH(TRUE, ISNUMBER(SEARCH(B40, 'OSeMOSYS (Input)'!$B$10:$AB21)), 0)),
      INDEX('Financing Baseline'!$S$38:$BL$38, , MATCH(TRUE, ISNUMBER(SEARCH(B40, 'OSeMOSYS (Input)'!$B$10:$AB$10)), 0))
   )
)</f>
        <v>1.0452999999999999</v>
      </c>
      <c r="D93" s="565">
        <v>86.409599999999998</v>
      </c>
      <c r="E93" s="565">
        <v>38.326900000000002</v>
      </c>
      <c r="F93" s="565">
        <v>10.8012</v>
      </c>
      <c r="G93" s="565">
        <v>25.7835</v>
      </c>
      <c r="H93" s="565">
        <v>127.5239</v>
      </c>
      <c r="I93" s="565">
        <v>97.907700000000006</v>
      </c>
      <c r="J93" s="565">
        <v>63.413499999999999</v>
      </c>
      <c r="K93" s="565">
        <v>112.1932</v>
      </c>
      <c r="L93" s="565">
        <v>87.454899999999995</v>
      </c>
      <c r="M93" s="565">
        <v>110.45099999999999</v>
      </c>
      <c r="N93" s="565">
        <v>97.210899999999995</v>
      </c>
      <c r="O93" s="565">
        <v>12.5433</v>
      </c>
      <c r="P93" s="565">
        <v>13.5886</v>
      </c>
      <c r="Q93" s="565">
        <v>14.633900000000001</v>
      </c>
      <c r="R93" s="565">
        <v>16.376000000000001</v>
      </c>
      <c r="S93" s="565">
        <v>17.7697</v>
      </c>
      <c r="T93" s="565">
        <v>19.511900000000001</v>
      </c>
      <c r="U93" s="565">
        <v>21.254000000000001</v>
      </c>
      <c r="V93" s="565">
        <v>22.996099999999998</v>
      </c>
      <c r="W93" s="565">
        <v>25.435099999999998</v>
      </c>
      <c r="X93" s="565">
        <v>27.874099999999999</v>
      </c>
      <c r="Y93" s="565">
        <v>30.313099999999999</v>
      </c>
      <c r="Z93" s="565">
        <v>33.100499999999997</v>
      </c>
      <c r="AA93" s="565">
        <v>36.2363</v>
      </c>
      <c r="AB93" s="565">
        <v>39.720599999999997</v>
      </c>
      <c r="AC93" s="565">
        <v>26.480399999999999</v>
      </c>
      <c r="AD93" s="565">
        <v>26.480399999999999</v>
      </c>
      <c r="AE93" s="565">
        <v>26.480399999999999</v>
      </c>
      <c r="AF93" s="565">
        <v>26.480399999999999</v>
      </c>
      <c r="AG93" s="565">
        <v>26.480399999999999</v>
      </c>
      <c r="AH93" s="565">
        <v>26.480399999999999</v>
      </c>
      <c r="AI93" s="565">
        <v>26.480399999999999</v>
      </c>
      <c r="AJ93" s="565">
        <v>26.480399999999999</v>
      </c>
      <c r="AK93" s="565">
        <v>26.480399999999999</v>
      </c>
      <c r="AL93" s="565">
        <v>26.480399999999999</v>
      </c>
      <c r="AM93" s="565">
        <v>26.480399999999999</v>
      </c>
      <c r="AN93" s="565">
        <v>26.480399999999999</v>
      </c>
      <c r="AO93" s="565">
        <v>51.915500000000002</v>
      </c>
      <c r="AP93" s="565">
        <v>35.191000000000003</v>
      </c>
      <c r="AQ93" s="565">
        <v>27.525700000000001</v>
      </c>
      <c r="AR93" s="565">
        <v>112.89</v>
      </c>
      <c r="AS93" s="565">
        <v>64.807199999999995</v>
      </c>
      <c r="AT93" s="565">
        <v>37.281599999999997</v>
      </c>
      <c r="AU93" s="565">
        <v>52.2639</v>
      </c>
      <c r="AV93" s="565">
        <v>154.0043</v>
      </c>
    </row>
    <row r="94" spans="1:48" outlineLevel="1">
      <c r="A94" s="565" t="str">
        <f>IF(Definitions!L29&lt;&gt;"", Definitions!L29, "")</f>
        <v>Hydropower plant - Small (&lt;10MW)</v>
      </c>
      <c r="B94" s="565" t="str">
        <f>IF(Definitions!K29&lt;&gt;"", Definitions!K29, "")</f>
        <v>PWRHYD003</v>
      </c>
      <c r="C94" s="565" cm="1">
        <f t="array" ref="C94:AV94">IF(B94="", "",
   TRANSPOSE(
       INDEX('OSeMOSYS (Input)'!$B$21:$AA$66, , MATCH(TRUE, ISNUMBER(SEARCH(B41, 'OSeMOSYS (Input)'!$B$10:$AB$10)), 0))
   )
   *
   IF('High Level Dashboard'!$B$5="Local Currency",
      INDEX('Financing Baseline'!$S$39:$BL$39, , MATCH(TRUE, ISNUMBER(SEARCH(B41, 'OSeMOSYS (Input)'!$B$10:$AB22)), 0)) /
      INDEX('Financing Baseline'!$S$38:$BL$38, , MATCH(TRUE, ISNUMBER(SEARCH(B41, 'OSeMOSYS (Input)'!$B$10:$AB22)), 0)),
      INDEX('Financing Baseline'!$S$38:$BL$38, , MATCH(TRUE, ISNUMBER(SEARCH(B41, 'OSeMOSYS (Input)'!$B$10:$AB$10)), 0))
   )
)</f>
        <v>0</v>
      </c>
      <c r="D94" s="565">
        <v>0</v>
      </c>
      <c r="E94" s="565">
        <v>0</v>
      </c>
      <c r="F94" s="565">
        <v>0</v>
      </c>
      <c r="G94" s="565">
        <v>0</v>
      </c>
      <c r="H94" s="565">
        <v>0</v>
      </c>
      <c r="I94" s="565">
        <v>0</v>
      </c>
      <c r="J94" s="565">
        <v>0</v>
      </c>
      <c r="K94" s="565">
        <v>0</v>
      </c>
      <c r="L94" s="565">
        <v>0</v>
      </c>
      <c r="M94" s="565">
        <v>0</v>
      </c>
      <c r="N94" s="565">
        <v>0</v>
      </c>
      <c r="O94" s="565">
        <v>0</v>
      </c>
      <c r="P94" s="565">
        <v>0</v>
      </c>
      <c r="Q94" s="565">
        <v>0</v>
      </c>
      <c r="R94" s="565">
        <v>0</v>
      </c>
      <c r="S94" s="565">
        <v>0</v>
      </c>
      <c r="T94" s="565">
        <v>0</v>
      </c>
      <c r="U94" s="565">
        <v>0</v>
      </c>
      <c r="V94" s="565">
        <v>0</v>
      </c>
      <c r="W94" s="565">
        <v>0</v>
      </c>
      <c r="X94" s="565">
        <v>0</v>
      </c>
      <c r="Y94" s="565">
        <v>0</v>
      </c>
      <c r="Z94" s="565">
        <v>0</v>
      </c>
      <c r="AA94" s="565">
        <v>0</v>
      </c>
      <c r="AB94" s="565">
        <v>0</v>
      </c>
      <c r="AC94" s="565">
        <v>0</v>
      </c>
      <c r="AD94" s="565">
        <v>0</v>
      </c>
      <c r="AE94" s="565">
        <v>0</v>
      </c>
      <c r="AF94" s="565">
        <v>0</v>
      </c>
      <c r="AG94" s="565">
        <v>0</v>
      </c>
      <c r="AH94" s="565">
        <v>0</v>
      </c>
      <c r="AI94" s="565">
        <v>0</v>
      </c>
      <c r="AJ94" s="565">
        <v>0</v>
      </c>
      <c r="AK94" s="565">
        <v>0</v>
      </c>
      <c r="AL94" s="565">
        <v>0</v>
      </c>
      <c r="AM94" s="565">
        <v>0</v>
      </c>
      <c r="AN94" s="565">
        <v>0</v>
      </c>
      <c r="AO94" s="565">
        <v>0</v>
      </c>
      <c r="AP94" s="565">
        <v>0</v>
      </c>
      <c r="AQ94" s="565">
        <v>0</v>
      </c>
      <c r="AR94" s="565">
        <v>0</v>
      </c>
      <c r="AS94" s="565">
        <v>0</v>
      </c>
      <c r="AT94" s="565">
        <v>0</v>
      </c>
      <c r="AU94" s="565">
        <v>0</v>
      </c>
      <c r="AV94" s="565">
        <v>0</v>
      </c>
    </row>
    <row r="95" spans="1:48" outlineLevel="1">
      <c r="A95" s="565" t="str">
        <f>IF(Definitions!L30&lt;&gt;"", Definitions!L30, "")</f>
        <v>Wind farm - Onshore</v>
      </c>
      <c r="B95" s="565" t="str">
        <f>IF(Definitions!K30&lt;&gt;"", Definitions!K30, "")</f>
        <v>PWRWND001</v>
      </c>
      <c r="C95" s="565" cm="1">
        <f t="array" ref="C95:AV95">IF(B95="", "",
   TRANSPOSE(
       INDEX('OSeMOSYS (Input)'!$B$21:$AA$66, , MATCH(TRUE, ISNUMBER(SEARCH(B42, 'OSeMOSYS (Input)'!$B$10:$AB$10)), 0))
   )
   *
   IF('High Level Dashboard'!$B$5="Local Currency",
      INDEX('Financing Baseline'!$S$39:$BL$39, , MATCH(TRUE, ISNUMBER(SEARCH(B42, 'OSeMOSYS (Input)'!$B$10:$AB23)), 0)) /
      INDEX('Financing Baseline'!$S$38:$BL$38, , MATCH(TRUE, ISNUMBER(SEARCH(B42, 'OSeMOSYS (Input)'!$B$10:$AB23)), 0)),
      INDEX('Financing Baseline'!$S$38:$BL$38, , MATCH(TRUE, ISNUMBER(SEARCH(B42, 'OSeMOSYS (Input)'!$B$10:$AB$10)), 0))
   )
)</f>
        <v>19.0608</v>
      </c>
      <c r="D95" s="565">
        <v>86.871499999999997</v>
      </c>
      <c r="E95" s="565">
        <v>74.468299999999999</v>
      </c>
      <c r="F95" s="565">
        <v>170.52600000000001</v>
      </c>
      <c r="G95" s="565">
        <v>0</v>
      </c>
      <c r="H95" s="565">
        <v>426.06470000000002</v>
      </c>
      <c r="I95" s="565">
        <v>0</v>
      </c>
      <c r="J95" s="565">
        <v>442.69909999999999</v>
      </c>
      <c r="K95" s="565">
        <v>596.6576</v>
      </c>
      <c r="L95" s="565">
        <v>0</v>
      </c>
      <c r="M95" s="565">
        <v>435.42489999999998</v>
      </c>
      <c r="N95" s="565">
        <v>0</v>
      </c>
      <c r="O95" s="565">
        <v>157.82919999999999</v>
      </c>
      <c r="P95" s="565">
        <v>1052.1194</v>
      </c>
      <c r="Q95" s="565">
        <v>0</v>
      </c>
      <c r="R95" s="565">
        <v>0</v>
      </c>
      <c r="S95" s="565">
        <v>956.11609999999996</v>
      </c>
      <c r="T95" s="565">
        <v>1023.2414</v>
      </c>
      <c r="U95" s="565">
        <v>1153.4401</v>
      </c>
      <c r="V95" s="565">
        <v>876.85069999999996</v>
      </c>
      <c r="W95" s="565">
        <v>1580.9829</v>
      </c>
      <c r="X95" s="565">
        <v>1012.8425999999999</v>
      </c>
      <c r="Y95" s="565">
        <v>1421.1332</v>
      </c>
      <c r="Z95" s="565">
        <v>1309.4591999999998</v>
      </c>
      <c r="AA95" s="565">
        <v>932.86249999999995</v>
      </c>
      <c r="AB95" s="565">
        <v>1870.4236000000001</v>
      </c>
      <c r="AC95" s="565">
        <v>632.12840000000006</v>
      </c>
      <c r="AD95" s="565">
        <v>1024.8539000000001</v>
      </c>
      <c r="AE95" s="565">
        <v>1057.6007</v>
      </c>
      <c r="AF95" s="565">
        <v>770.17070000000001</v>
      </c>
      <c r="AG95" s="565">
        <v>1132.069</v>
      </c>
      <c r="AH95" s="565">
        <v>795.10299999999995</v>
      </c>
      <c r="AI95" s="565">
        <v>1000.0284</v>
      </c>
      <c r="AJ95" s="565">
        <v>1890.4747</v>
      </c>
      <c r="AK95" s="565">
        <v>839.66010000000006</v>
      </c>
      <c r="AL95" s="565">
        <v>858.68780000000004</v>
      </c>
      <c r="AM95" s="565">
        <v>1863.2175999999999</v>
      </c>
      <c r="AN95" s="565">
        <v>1867.1649</v>
      </c>
      <c r="AO95" s="565">
        <v>1994.2845</v>
      </c>
      <c r="AP95" s="565">
        <v>1718.8794</v>
      </c>
      <c r="AQ95" s="565">
        <v>2420.7613999999999</v>
      </c>
      <c r="AR95" s="565">
        <v>1852.5027</v>
      </c>
      <c r="AS95" s="565">
        <v>2260.7932999999998</v>
      </c>
      <c r="AT95" s="565">
        <v>2149.1192999999998</v>
      </c>
      <c r="AU95" s="565">
        <v>1772.5226</v>
      </c>
      <c r="AV95" s="565">
        <v>2705.9398999999999</v>
      </c>
    </row>
    <row r="96" spans="1:48" outlineLevel="1">
      <c r="A96" s="565" t="str">
        <f>IF(Definitions!L31&lt;&gt;"", Definitions!L31, "")</f>
        <v>Wind farm - Offshore</v>
      </c>
      <c r="B96" s="565" t="str">
        <f>IF(Definitions!K31&lt;&gt;"", Definitions!K31, "")</f>
        <v>PWRWND002</v>
      </c>
      <c r="C96" s="565" cm="1">
        <f t="array" ref="C96:AV96">IF(B96="", "",
   TRANSPOSE(
       INDEX('OSeMOSYS (Input)'!$B$21:$AA$66, , MATCH(TRUE, ISNUMBER(SEARCH(B43, 'OSeMOSYS (Input)'!$B$10:$AB$10)), 0))
   )
   *
   IF('High Level Dashboard'!$B$5="Local Currency",
      INDEX('Financing Baseline'!$S$39:$BL$39, , MATCH(TRUE, ISNUMBER(SEARCH(B43, 'OSeMOSYS (Input)'!$B$10:$AB24)), 0)) /
      INDEX('Financing Baseline'!$S$38:$BL$38, , MATCH(TRUE, ISNUMBER(SEARCH(B43, 'OSeMOSYS (Input)'!$B$10:$AB24)), 0)),
      INDEX('Financing Baseline'!$S$38:$BL$38, , MATCH(TRUE, ISNUMBER(SEARCH(B43, 'OSeMOSYS (Input)'!$B$10:$AB$10)), 0))
   )
)</f>
        <v>0</v>
      </c>
      <c r="D96" s="565">
        <v>0</v>
      </c>
      <c r="E96" s="565">
        <v>0</v>
      </c>
      <c r="F96" s="565">
        <v>0</v>
      </c>
      <c r="G96" s="565">
        <v>0</v>
      </c>
      <c r="H96" s="565">
        <v>0</v>
      </c>
      <c r="I96" s="565">
        <v>0</v>
      </c>
      <c r="J96" s="565">
        <v>0</v>
      </c>
      <c r="K96" s="565">
        <v>0</v>
      </c>
      <c r="L96" s="565">
        <v>0</v>
      </c>
      <c r="M96" s="565">
        <v>0</v>
      </c>
      <c r="N96" s="565">
        <v>0</v>
      </c>
      <c r="O96" s="565">
        <v>0</v>
      </c>
      <c r="P96" s="565">
        <v>0</v>
      </c>
      <c r="Q96" s="565">
        <v>0</v>
      </c>
      <c r="R96" s="565">
        <v>0</v>
      </c>
      <c r="S96" s="565">
        <v>0</v>
      </c>
      <c r="T96" s="565">
        <v>0</v>
      </c>
      <c r="U96" s="565">
        <v>0</v>
      </c>
      <c r="V96" s="565">
        <v>0</v>
      </c>
      <c r="W96" s="565">
        <v>0</v>
      </c>
      <c r="X96" s="565">
        <v>0</v>
      </c>
      <c r="Y96" s="565">
        <v>0</v>
      </c>
      <c r="Z96" s="565">
        <v>0</v>
      </c>
      <c r="AA96" s="565">
        <v>0</v>
      </c>
      <c r="AB96" s="565">
        <v>0</v>
      </c>
      <c r="AC96" s="565">
        <v>0</v>
      </c>
      <c r="AD96" s="565">
        <v>0</v>
      </c>
      <c r="AE96" s="565">
        <v>0</v>
      </c>
      <c r="AF96" s="565">
        <v>0</v>
      </c>
      <c r="AG96" s="565">
        <v>0</v>
      </c>
      <c r="AH96" s="565">
        <v>0</v>
      </c>
      <c r="AI96" s="565">
        <v>0</v>
      </c>
      <c r="AJ96" s="565">
        <v>0</v>
      </c>
      <c r="AK96" s="565">
        <v>0</v>
      </c>
      <c r="AL96" s="565">
        <v>0</v>
      </c>
      <c r="AM96" s="565">
        <v>0</v>
      </c>
      <c r="AN96" s="565">
        <v>0</v>
      </c>
      <c r="AO96" s="565">
        <v>0</v>
      </c>
      <c r="AP96" s="565">
        <v>0</v>
      </c>
      <c r="AQ96" s="565">
        <v>0</v>
      </c>
      <c r="AR96" s="565">
        <v>0</v>
      </c>
      <c r="AS96" s="565">
        <v>0</v>
      </c>
      <c r="AT96" s="565">
        <v>0</v>
      </c>
      <c r="AU96" s="565">
        <v>0</v>
      </c>
      <c r="AV96" s="565">
        <v>0</v>
      </c>
    </row>
    <row r="97" spans="1:48" outlineLevel="1">
      <c r="A97" s="565" t="str">
        <f>IF(Definitions!L32&lt;&gt;"", Definitions!L32, "")</f>
        <v>Nuclear power plant</v>
      </c>
      <c r="B97" s="565" t="str">
        <f>IF(Definitions!K32&lt;&gt;"", Definitions!K32, "")</f>
        <v>PWRNUC</v>
      </c>
      <c r="C97" s="565" cm="1">
        <f t="array" ref="C97:AV97">IF(B97="", "",
   TRANSPOSE(
       INDEX('OSeMOSYS (Input)'!$B$21:$AA$66, , MATCH(TRUE, ISNUMBER(SEARCH(B44, 'OSeMOSYS (Input)'!$B$10:$AB$10)), 0))
   )
   *
   IF('High Level Dashboard'!$B$5="Local Currency",
      INDEX('Financing Baseline'!$S$39:$BL$39, , MATCH(TRUE, ISNUMBER(SEARCH(B44, 'OSeMOSYS (Input)'!$B$10:$AB25)), 0)) /
      INDEX('Financing Baseline'!$S$38:$BL$38, , MATCH(TRUE, ISNUMBER(SEARCH(B44, 'OSeMOSYS (Input)'!$B$10:$AB25)), 0)),
      INDEX('Financing Baseline'!$S$38:$BL$38, , MATCH(TRUE, ISNUMBER(SEARCH(B44, 'OSeMOSYS (Input)'!$B$10:$AB$10)), 0))
   )
)</f>
        <v>0</v>
      </c>
      <c r="D97" s="565">
        <v>0</v>
      </c>
      <c r="E97" s="565">
        <v>0</v>
      </c>
      <c r="F97" s="565">
        <v>0</v>
      </c>
      <c r="G97" s="565">
        <v>0</v>
      </c>
      <c r="H97" s="565">
        <v>0</v>
      </c>
      <c r="I97" s="565">
        <v>0</v>
      </c>
      <c r="J97" s="565">
        <v>0</v>
      </c>
      <c r="K97" s="565">
        <v>0</v>
      </c>
      <c r="L97" s="565">
        <v>0</v>
      </c>
      <c r="M97" s="565">
        <v>0</v>
      </c>
      <c r="N97" s="565">
        <v>0</v>
      </c>
      <c r="O97" s="565">
        <v>0</v>
      </c>
      <c r="P97" s="565">
        <v>0</v>
      </c>
      <c r="Q97" s="565">
        <v>0</v>
      </c>
      <c r="R97" s="565">
        <v>0</v>
      </c>
      <c r="S97" s="565">
        <v>0</v>
      </c>
      <c r="T97" s="565">
        <v>0</v>
      </c>
      <c r="U97" s="565">
        <v>0</v>
      </c>
      <c r="V97" s="565">
        <v>0</v>
      </c>
      <c r="W97" s="565">
        <v>0</v>
      </c>
      <c r="X97" s="565">
        <v>0</v>
      </c>
      <c r="Y97" s="565">
        <v>0</v>
      </c>
      <c r="Z97" s="565">
        <v>0</v>
      </c>
      <c r="AA97" s="565">
        <v>0</v>
      </c>
      <c r="AB97" s="565">
        <v>0</v>
      </c>
      <c r="AC97" s="565">
        <v>0</v>
      </c>
      <c r="AD97" s="565">
        <v>0</v>
      </c>
      <c r="AE97" s="565">
        <v>82.478899999999996</v>
      </c>
      <c r="AF97" s="565">
        <v>216.51509999999999</v>
      </c>
      <c r="AG97" s="565">
        <v>193.4906</v>
      </c>
      <c r="AH97" s="565">
        <v>58.627299999999998</v>
      </c>
      <c r="AI97" s="565">
        <v>176.16909999999999</v>
      </c>
      <c r="AJ97" s="565">
        <v>171.6943</v>
      </c>
      <c r="AK97" s="565">
        <v>167.0805</v>
      </c>
      <c r="AL97" s="565">
        <v>161.11089999999999</v>
      </c>
      <c r="AM97" s="565">
        <v>74.842299999999994</v>
      </c>
      <c r="AN97" s="565">
        <v>165.74289999999999</v>
      </c>
      <c r="AO97" s="565">
        <v>166.709</v>
      </c>
      <c r="AP97" s="565">
        <v>166.3374</v>
      </c>
      <c r="AQ97" s="565">
        <v>167.04339999999999</v>
      </c>
      <c r="AR97" s="565">
        <v>167.0805</v>
      </c>
      <c r="AS97" s="565">
        <v>167.0805</v>
      </c>
      <c r="AT97" s="565">
        <v>167.0805</v>
      </c>
      <c r="AU97" s="565">
        <v>167.0805</v>
      </c>
      <c r="AV97" s="565">
        <v>166.0471</v>
      </c>
    </row>
    <row r="98" spans="1:48" outlineLevel="1">
      <c r="A98" s="565" t="str">
        <f>IF(Definitions!L33&lt;&gt;"", Definitions!L33, "")</f>
        <v>Electricity transmission</v>
      </c>
      <c r="B98" s="565" t="str">
        <f>IF(Definitions!K33&lt;&gt;"", Definitions!K33, "")</f>
        <v>PWRTRN</v>
      </c>
      <c r="C98" s="565" cm="1">
        <f t="array" ref="C98:AV98">IF(B98="", "",
   TRANSPOSE(
       INDEX('OSeMOSYS (Input)'!$B$21:$AA$66, , MATCH(TRUE, ISNUMBER(SEARCH(B45, 'OSeMOSYS (Input)'!$B$10:$AB$10)), 0))
   )
   *
   IF('High Level Dashboard'!$B$5="Local Currency",
      INDEX('Financing Baseline'!$S$39:$BL$39, , MATCH(TRUE, ISNUMBER(SEARCH(B45, 'OSeMOSYS (Input)'!$B$10:$AB26)), 0)) /
      INDEX('Financing Baseline'!$S$38:$BL$38, , MATCH(TRUE, ISNUMBER(SEARCH(B45, 'OSeMOSYS (Input)'!$B$10:$AB26)), 0)),
      INDEX('Financing Baseline'!$S$38:$BL$38, , MATCH(TRUE, ISNUMBER(SEARCH(B45, 'OSeMOSYS (Input)'!$B$10:$AB$10)), 0))
   )
)</f>
        <v>0</v>
      </c>
      <c r="D98" s="565">
        <v>0</v>
      </c>
      <c r="E98" s="565">
        <v>0</v>
      </c>
      <c r="F98" s="565">
        <v>0</v>
      </c>
      <c r="G98" s="565">
        <v>0</v>
      </c>
      <c r="H98" s="565">
        <v>0</v>
      </c>
      <c r="I98" s="565">
        <v>0</v>
      </c>
      <c r="J98" s="565">
        <v>0</v>
      </c>
      <c r="K98" s="565">
        <v>0</v>
      </c>
      <c r="L98" s="565">
        <v>0</v>
      </c>
      <c r="M98" s="565">
        <v>0</v>
      </c>
      <c r="N98" s="565">
        <v>0</v>
      </c>
      <c r="O98" s="565">
        <v>0</v>
      </c>
      <c r="P98" s="565">
        <v>0</v>
      </c>
      <c r="Q98" s="565">
        <v>0</v>
      </c>
      <c r="R98" s="565">
        <v>0</v>
      </c>
      <c r="S98" s="565">
        <v>0</v>
      </c>
      <c r="T98" s="565">
        <v>0</v>
      </c>
      <c r="U98" s="565">
        <v>0</v>
      </c>
      <c r="V98" s="565">
        <v>0</v>
      </c>
      <c r="W98" s="565">
        <v>0</v>
      </c>
      <c r="X98" s="565">
        <v>0</v>
      </c>
      <c r="Y98" s="565">
        <v>0</v>
      </c>
      <c r="Z98" s="565">
        <v>0</v>
      </c>
      <c r="AA98" s="565">
        <v>0</v>
      </c>
      <c r="AB98" s="565">
        <v>0</v>
      </c>
      <c r="AC98" s="565">
        <v>0</v>
      </c>
      <c r="AD98" s="565">
        <v>0</v>
      </c>
      <c r="AE98" s="565">
        <v>0</v>
      </c>
      <c r="AF98" s="565">
        <v>0</v>
      </c>
      <c r="AG98" s="565">
        <v>0</v>
      </c>
      <c r="AH98" s="565">
        <v>0</v>
      </c>
      <c r="AI98" s="565">
        <v>0</v>
      </c>
      <c r="AJ98" s="565">
        <v>0</v>
      </c>
      <c r="AK98" s="565">
        <v>0</v>
      </c>
      <c r="AL98" s="565">
        <v>0</v>
      </c>
      <c r="AM98" s="565">
        <v>0</v>
      </c>
      <c r="AN98" s="565">
        <v>0</v>
      </c>
      <c r="AO98" s="565">
        <v>0</v>
      </c>
      <c r="AP98" s="565">
        <v>0</v>
      </c>
      <c r="AQ98" s="565">
        <v>0</v>
      </c>
      <c r="AR98" s="565">
        <v>0</v>
      </c>
      <c r="AS98" s="565">
        <v>0</v>
      </c>
      <c r="AT98" s="565">
        <v>0</v>
      </c>
      <c r="AU98" s="565">
        <v>0</v>
      </c>
      <c r="AV98" s="565">
        <v>0</v>
      </c>
    </row>
    <row r="99" spans="1:48" outlineLevel="1">
      <c r="A99" s="565" t="str">
        <f>IF(Definitions!L34&lt;&gt;"", Definitions!L34, "")</f>
        <v>Electricity distribution</v>
      </c>
      <c r="B99" s="565" t="str">
        <f>IF(Definitions!K34&lt;&gt;"", Definitions!K34, "")</f>
        <v>PWRDIST</v>
      </c>
      <c r="C99" s="565" cm="1">
        <f t="array" ref="C99:AV99">IF(B99="", "",
   TRANSPOSE(
       INDEX('OSeMOSYS (Input)'!$B$21:$AA$66, , MATCH(TRUE, ISNUMBER(SEARCH(B46, 'OSeMOSYS (Input)'!$B$10:$AB$10)), 0))
   )
   *
   IF('High Level Dashboard'!$B$5="Local Currency",
      INDEX('Financing Baseline'!$S$39:$BL$39, , MATCH(TRUE, ISNUMBER(SEARCH(B46, 'OSeMOSYS (Input)'!$B$10:$AB27)), 0)) /
      INDEX('Financing Baseline'!$S$38:$BL$38, , MATCH(TRUE, ISNUMBER(SEARCH(B46, 'OSeMOSYS (Input)'!$B$10:$AB27)), 0)),
      INDEX('Financing Baseline'!$S$38:$BL$38, , MATCH(TRUE, ISNUMBER(SEARCH(B46, 'OSeMOSYS (Input)'!$B$10:$AB$10)), 0))
   )
)</f>
        <v>29.242000000000001</v>
      </c>
      <c r="D99" s="565">
        <v>25.7349</v>
      </c>
      <c r="E99" s="565">
        <v>48.560299999999998</v>
      </c>
      <c r="F99" s="565">
        <v>53.113199999999999</v>
      </c>
      <c r="G99" s="565">
        <v>59.975700000000003</v>
      </c>
      <c r="H99" s="565">
        <v>58.653599999999997</v>
      </c>
      <c r="I99" s="565">
        <v>56.011000000000003</v>
      </c>
      <c r="J99" s="565">
        <v>64.762</v>
      </c>
      <c r="K99" s="565">
        <v>62.931399999999996</v>
      </c>
      <c r="L99" s="565">
        <v>68.7988</v>
      </c>
      <c r="M99" s="565">
        <v>71.349999999999994</v>
      </c>
      <c r="N99" s="565">
        <v>73.215599999999995</v>
      </c>
      <c r="O99" s="565">
        <v>87.906400000000005</v>
      </c>
      <c r="P99" s="565">
        <v>91.569699999999997</v>
      </c>
      <c r="Q99" s="565">
        <v>96.819100000000006</v>
      </c>
      <c r="R99" s="565">
        <v>102.651</v>
      </c>
      <c r="S99" s="565">
        <v>108.1555</v>
      </c>
      <c r="T99" s="565">
        <v>111.93980000000001</v>
      </c>
      <c r="U99" s="565">
        <v>119.3841</v>
      </c>
      <c r="V99" s="565">
        <v>125.7539</v>
      </c>
      <c r="W99" s="565">
        <v>132.95140000000001</v>
      </c>
      <c r="X99" s="565">
        <v>140.30500000000001</v>
      </c>
      <c r="Y99" s="565">
        <v>147.78460000000001</v>
      </c>
      <c r="Z99" s="565">
        <v>156.25720000000001</v>
      </c>
      <c r="AA99" s="565">
        <v>164.8982</v>
      </c>
      <c r="AB99" s="565">
        <v>173.66370000000001</v>
      </c>
      <c r="AC99" s="565">
        <v>136.8356</v>
      </c>
      <c r="AD99" s="565">
        <v>136.8356</v>
      </c>
      <c r="AE99" s="565">
        <v>136.8356</v>
      </c>
      <c r="AF99" s="565">
        <v>136.8356</v>
      </c>
      <c r="AG99" s="565">
        <v>136.8356</v>
      </c>
      <c r="AH99" s="565">
        <v>136.8356</v>
      </c>
      <c r="AI99" s="565">
        <v>136.8356</v>
      </c>
      <c r="AJ99" s="565">
        <v>136.8356</v>
      </c>
      <c r="AK99" s="565">
        <v>136.8356</v>
      </c>
      <c r="AL99" s="565">
        <v>136.8356</v>
      </c>
      <c r="AM99" s="565">
        <v>136.8356</v>
      </c>
      <c r="AN99" s="565">
        <v>136.8356</v>
      </c>
      <c r="AO99" s="565">
        <v>136.8356</v>
      </c>
      <c r="AP99" s="565">
        <v>136.8356</v>
      </c>
      <c r="AQ99" s="565">
        <v>136.8356</v>
      </c>
      <c r="AR99" s="565">
        <v>136.8356</v>
      </c>
      <c r="AS99" s="565">
        <v>136.8356</v>
      </c>
      <c r="AT99" s="565">
        <v>136.8356</v>
      </c>
      <c r="AU99" s="565">
        <v>274.9511</v>
      </c>
      <c r="AV99" s="565">
        <v>200</v>
      </c>
    </row>
    <row r="100" spans="1:48" outlineLevel="1">
      <c r="A100" s="565" t="str">
        <f>IF(Definitions!L35&lt;&gt;"", Definitions!L35, "")</f>
        <v>Light fuel oil standalone generator (1kW)</v>
      </c>
      <c r="B100" s="565" t="str">
        <f>IF(Definitions!K35&lt;&gt;"", Definitions!K35, "")</f>
        <v>PWROHC003</v>
      </c>
      <c r="C100" s="565" cm="1">
        <f t="array" ref="C100:AV100">IF(B100="", "",
   TRANSPOSE(
       INDEX('OSeMOSYS (Input)'!$B$21:$AA$66, , MATCH(TRUE, ISNUMBER(SEARCH(B47, 'OSeMOSYS (Input)'!$B$10:$AB$10)), 0))
   )
   *
   IF('High Level Dashboard'!$B$5="Local Currency",
      INDEX('Financing Baseline'!$S$39:$BL$39, , MATCH(TRUE, ISNUMBER(SEARCH(B47, 'OSeMOSYS (Input)'!$B$10:$AB28)), 0)) /
      INDEX('Financing Baseline'!$S$38:$BL$38, , MATCH(TRUE, ISNUMBER(SEARCH(B47, 'OSeMOSYS (Input)'!$B$10:$AB28)), 0)),
      INDEX('Financing Baseline'!$S$38:$BL$38, , MATCH(TRUE, ISNUMBER(SEARCH(B47, 'OSeMOSYS (Input)'!$B$10:$AB$10)), 0))
   )
)</f>
        <v>191.74850000000001</v>
      </c>
      <c r="D100" s="565">
        <v>168.75149999999999</v>
      </c>
      <c r="E100" s="565">
        <v>318.42430000000002</v>
      </c>
      <c r="F100" s="565">
        <v>348.27910000000003</v>
      </c>
      <c r="G100" s="565">
        <v>393.27809999999999</v>
      </c>
      <c r="H100" s="565">
        <v>384.60899999999998</v>
      </c>
      <c r="I100" s="565">
        <v>367.28100000000001</v>
      </c>
      <c r="J100" s="565">
        <v>424.66340000000002</v>
      </c>
      <c r="K100" s="565">
        <v>412.65969999999999</v>
      </c>
      <c r="L100" s="565">
        <v>451.13389999999998</v>
      </c>
      <c r="M100" s="565">
        <v>467.86290000000002</v>
      </c>
      <c r="N100" s="565">
        <v>480.09649999999999</v>
      </c>
      <c r="O100" s="565">
        <v>576.42809999999997</v>
      </c>
      <c r="P100" s="565">
        <v>600.44949999999994</v>
      </c>
      <c r="Q100" s="565">
        <v>634.87180000000001</v>
      </c>
      <c r="R100" s="565">
        <v>673.11329999999998</v>
      </c>
      <c r="S100" s="565">
        <v>709.20740000000001</v>
      </c>
      <c r="T100" s="565">
        <v>734.02239999999995</v>
      </c>
      <c r="U100" s="565">
        <v>782.83709999999996</v>
      </c>
      <c r="V100" s="565">
        <v>824.60590000000002</v>
      </c>
      <c r="W100" s="565">
        <v>871.80160000000001</v>
      </c>
      <c r="X100" s="565">
        <v>920.02179999999998</v>
      </c>
      <c r="Y100" s="565">
        <v>969.0675</v>
      </c>
      <c r="Z100" s="565">
        <v>1024.625</v>
      </c>
      <c r="AA100" s="565">
        <v>1081.2863</v>
      </c>
      <c r="AB100" s="565">
        <v>1138.7645</v>
      </c>
      <c r="AC100" s="565">
        <v>897.2713</v>
      </c>
      <c r="AD100" s="565">
        <v>897.2713</v>
      </c>
      <c r="AE100" s="565">
        <v>897.2713</v>
      </c>
      <c r="AF100" s="565">
        <v>897.2713</v>
      </c>
      <c r="AG100" s="565">
        <v>897.2713</v>
      </c>
      <c r="AH100" s="565">
        <v>897.2713</v>
      </c>
      <c r="AI100" s="565">
        <v>897.2713</v>
      </c>
      <c r="AJ100" s="565">
        <v>897.2713</v>
      </c>
      <c r="AK100" s="565">
        <v>897.2713</v>
      </c>
      <c r="AL100" s="565">
        <v>897.2713</v>
      </c>
      <c r="AM100" s="565">
        <v>897.2713</v>
      </c>
      <c r="AN100" s="565">
        <v>897.2713</v>
      </c>
      <c r="AO100" s="565">
        <v>897.2713</v>
      </c>
      <c r="AP100" s="565">
        <v>897.2713</v>
      </c>
      <c r="AQ100" s="565">
        <v>897.2713</v>
      </c>
      <c r="AR100" s="565">
        <v>897.2713</v>
      </c>
      <c r="AS100" s="565">
        <v>897.2713</v>
      </c>
      <c r="AT100" s="565">
        <v>897.2713</v>
      </c>
      <c r="AU100" s="565">
        <v>897.2713</v>
      </c>
      <c r="AV100" s="565">
        <v>897.2713</v>
      </c>
    </row>
    <row r="101" spans="1:48" outlineLevel="1">
      <c r="A101" s="565" t="str">
        <f>IF(Definitions!L36&lt;&gt;"", Definitions!L36, "")</f>
        <v>Solar PV - distributed with storage</v>
      </c>
      <c r="B101" s="565" t="str">
        <f>IF(Definitions!K36&lt;&gt;"", Definitions!K36, "")</f>
        <v>PWRSOL002</v>
      </c>
      <c r="C101" s="565" cm="1">
        <f t="array" ref="C101:AV101">IF(B101="", "",
   TRANSPOSE(
       INDEX('OSeMOSYS (Input)'!$B$21:$AA$66, , MATCH(TRUE, ISNUMBER(SEARCH(B48, 'OSeMOSYS (Input)'!$B$10:$AB$10)), 0))
   )
   *
   IF('High Level Dashboard'!$B$5="Local Currency",
      INDEX('Financing Baseline'!$S$39:$BL$39, , MATCH(TRUE, ISNUMBER(SEARCH(B48, 'OSeMOSYS (Input)'!$B$10:$AB29)), 0)) /
      INDEX('Financing Baseline'!$S$38:$BL$38, , MATCH(TRUE, ISNUMBER(SEARCH(B48, 'OSeMOSYS (Input)'!$B$10:$AB29)), 0)),
      INDEX('Financing Baseline'!$S$38:$BL$38, , MATCH(TRUE, ISNUMBER(SEARCH(B48, 'OSeMOSYS (Input)'!$B$10:$AB$10)), 0))
   )
)</f>
        <v>0</v>
      </c>
      <c r="D101" s="565">
        <v>0</v>
      </c>
      <c r="E101" s="565">
        <v>0</v>
      </c>
      <c r="F101" s="565">
        <v>0</v>
      </c>
      <c r="G101" s="565">
        <v>0</v>
      </c>
      <c r="H101" s="565">
        <v>0</v>
      </c>
      <c r="I101" s="565">
        <v>0</v>
      </c>
      <c r="J101" s="565">
        <v>0</v>
      </c>
      <c r="K101" s="565">
        <v>0</v>
      </c>
      <c r="L101" s="565">
        <v>0</v>
      </c>
      <c r="M101" s="565">
        <v>0</v>
      </c>
      <c r="N101" s="565">
        <v>0</v>
      </c>
      <c r="O101" s="565">
        <v>0</v>
      </c>
      <c r="P101" s="565">
        <v>0</v>
      </c>
      <c r="Q101" s="565">
        <v>0</v>
      </c>
      <c r="R101" s="565">
        <v>0</v>
      </c>
      <c r="S101" s="565">
        <v>0</v>
      </c>
      <c r="T101" s="565">
        <v>0</v>
      </c>
      <c r="U101" s="565">
        <v>0</v>
      </c>
      <c r="V101" s="565">
        <v>0</v>
      </c>
      <c r="W101" s="565">
        <v>0</v>
      </c>
      <c r="X101" s="565">
        <v>0</v>
      </c>
      <c r="Y101" s="565">
        <v>0</v>
      </c>
      <c r="Z101" s="565">
        <v>0</v>
      </c>
      <c r="AA101" s="565">
        <v>0</v>
      </c>
      <c r="AB101" s="565">
        <v>0</v>
      </c>
      <c r="AC101" s="565">
        <v>0</v>
      </c>
      <c r="AD101" s="565">
        <v>0</v>
      </c>
      <c r="AE101" s="565">
        <v>0</v>
      </c>
      <c r="AF101" s="565">
        <v>0</v>
      </c>
      <c r="AG101" s="565">
        <v>0</v>
      </c>
      <c r="AH101" s="565">
        <v>0</v>
      </c>
      <c r="AI101" s="565">
        <v>0</v>
      </c>
      <c r="AJ101" s="565">
        <v>0</v>
      </c>
      <c r="AK101" s="565">
        <v>0</v>
      </c>
      <c r="AL101" s="565">
        <v>0</v>
      </c>
      <c r="AM101" s="565">
        <v>0</v>
      </c>
      <c r="AN101" s="565">
        <v>0</v>
      </c>
      <c r="AO101" s="565">
        <v>0</v>
      </c>
      <c r="AP101" s="565">
        <v>0</v>
      </c>
      <c r="AQ101" s="565">
        <v>0</v>
      </c>
      <c r="AR101" s="565">
        <v>0</v>
      </c>
      <c r="AS101" s="565">
        <v>0</v>
      </c>
      <c r="AT101" s="565">
        <v>0</v>
      </c>
      <c r="AU101" s="565">
        <v>0</v>
      </c>
      <c r="AV101" s="565">
        <v>0</v>
      </c>
    </row>
    <row r="102" spans="1:48" outlineLevel="1">
      <c r="A102" s="565" t="str">
        <f>IF(Definitions!L37&lt;&gt;"", Definitions!L37, "")</f>
        <v>Hydropower plant - Off-grid</v>
      </c>
      <c r="B102" s="565" t="str">
        <f>IF(Definitions!K37&lt;&gt;"", Definitions!K37, "")</f>
        <v>PWRHYD004</v>
      </c>
      <c r="C102" s="565" cm="1">
        <f t="array" ref="C102:AV102">IF(B102="", "",
   TRANSPOSE(
       INDEX('OSeMOSYS (Input)'!$B$21:$AA$66, , MATCH(TRUE, ISNUMBER(SEARCH(B49, 'OSeMOSYS (Input)'!$B$10:$AB$10)), 0))
   )
   *
   IF('High Level Dashboard'!$B$5="Local Currency",
      INDEX('Financing Baseline'!$S$39:$BL$39, , MATCH(TRUE, ISNUMBER(SEARCH(B49, 'OSeMOSYS (Input)'!$B$10:$AB30)), 0)) /
      INDEX('Financing Baseline'!$S$38:$BL$38, , MATCH(TRUE, ISNUMBER(SEARCH(B49, 'OSeMOSYS (Input)'!$B$10:$AB30)), 0)),
      INDEX('Financing Baseline'!$S$38:$BL$38, , MATCH(TRUE, ISNUMBER(SEARCH(B49, 'OSeMOSYS (Input)'!$B$10:$AB$10)), 0))
   )
)</f>
        <v>0</v>
      </c>
      <c r="D102" s="565">
        <v>0</v>
      </c>
      <c r="E102" s="565">
        <v>0</v>
      </c>
      <c r="F102" s="565">
        <v>0</v>
      </c>
      <c r="G102" s="565">
        <v>0</v>
      </c>
      <c r="H102" s="565">
        <v>0</v>
      </c>
      <c r="I102" s="565">
        <v>0</v>
      </c>
      <c r="J102" s="565">
        <v>0</v>
      </c>
      <c r="K102" s="565">
        <v>0</v>
      </c>
      <c r="L102" s="565">
        <v>0</v>
      </c>
      <c r="M102" s="565">
        <v>0</v>
      </c>
      <c r="N102" s="565">
        <v>0</v>
      </c>
      <c r="O102" s="565">
        <v>0</v>
      </c>
      <c r="P102" s="565">
        <v>0</v>
      </c>
      <c r="Q102" s="565">
        <v>0</v>
      </c>
      <c r="R102" s="565">
        <v>0</v>
      </c>
      <c r="S102" s="565">
        <v>0</v>
      </c>
      <c r="T102" s="565">
        <v>0</v>
      </c>
      <c r="U102" s="565">
        <v>0</v>
      </c>
      <c r="V102" s="565">
        <v>0</v>
      </c>
      <c r="W102" s="565">
        <v>0</v>
      </c>
      <c r="X102" s="565">
        <v>0</v>
      </c>
      <c r="Y102" s="565">
        <v>0</v>
      </c>
      <c r="Z102" s="565">
        <v>0</v>
      </c>
      <c r="AA102" s="565">
        <v>0</v>
      </c>
      <c r="AB102" s="565">
        <v>0</v>
      </c>
      <c r="AC102" s="565">
        <v>0</v>
      </c>
      <c r="AD102" s="565">
        <v>0</v>
      </c>
      <c r="AE102" s="565">
        <v>0</v>
      </c>
      <c r="AF102" s="565">
        <v>0</v>
      </c>
      <c r="AG102" s="565">
        <v>0</v>
      </c>
      <c r="AH102" s="565">
        <v>0</v>
      </c>
      <c r="AI102" s="565">
        <v>0</v>
      </c>
      <c r="AJ102" s="565">
        <v>0</v>
      </c>
      <c r="AK102" s="565">
        <v>0</v>
      </c>
      <c r="AL102" s="565">
        <v>0</v>
      </c>
      <c r="AM102" s="565">
        <v>0</v>
      </c>
      <c r="AN102" s="565">
        <v>0</v>
      </c>
      <c r="AO102" s="565">
        <v>0</v>
      </c>
      <c r="AP102" s="565">
        <v>0</v>
      </c>
      <c r="AQ102" s="565">
        <v>0</v>
      </c>
      <c r="AR102" s="565">
        <v>0</v>
      </c>
      <c r="AS102" s="565">
        <v>0</v>
      </c>
      <c r="AT102" s="565">
        <v>0</v>
      </c>
      <c r="AU102" s="565">
        <v>0</v>
      </c>
      <c r="AV102" s="565">
        <v>0</v>
      </c>
    </row>
    <row r="103" spans="1:48" outlineLevel="1">
      <c r="A103" s="565" t="str">
        <f>IF(Definitions!L38&lt;&gt;"", Definitions!L38, "")</f>
        <v>Solar PV - Utility with 2-hour storage</v>
      </c>
      <c r="B103" s="565" t="str">
        <f>IF(Definitions!K38&lt;&gt;"", Definitions!K38, "")</f>
        <v>PWRSOL001S</v>
      </c>
      <c r="C103" s="565" cm="1">
        <f t="array" ref="C103:AV103">IF(B103="", "",
   TRANSPOSE(
       INDEX('OSeMOSYS (Input)'!$B$21:$AA$66, , MATCH(TRUE, ISNUMBER(SEARCH(B50, 'OSeMOSYS (Input)'!$B$10:$AB$10)), 0))
   )
   *
   IF('High Level Dashboard'!$B$5="Local Currency",
      INDEX('Financing Baseline'!$S$39:$BL$39, , MATCH(TRUE, ISNUMBER(SEARCH(B50, 'OSeMOSYS (Input)'!$B$10:$AB31)), 0)) /
      INDEX('Financing Baseline'!$S$38:$BL$38, , MATCH(TRUE, ISNUMBER(SEARCH(B50, 'OSeMOSYS (Input)'!$B$10:$AB31)), 0)),
      INDEX('Financing Baseline'!$S$38:$BL$38, , MATCH(TRUE, ISNUMBER(SEARCH(B50, 'OSeMOSYS (Input)'!$B$10:$AB$10)), 0))
   )
)</f>
        <v>0</v>
      </c>
      <c r="D103" s="565">
        <v>0</v>
      </c>
      <c r="E103" s="565">
        <v>0</v>
      </c>
      <c r="F103" s="565">
        <v>0</v>
      </c>
      <c r="G103" s="565">
        <v>0</v>
      </c>
      <c r="H103" s="565">
        <v>0</v>
      </c>
      <c r="I103" s="565">
        <v>0</v>
      </c>
      <c r="J103" s="565">
        <v>0</v>
      </c>
      <c r="K103" s="565">
        <v>0</v>
      </c>
      <c r="L103" s="565">
        <v>0</v>
      </c>
      <c r="M103" s="565">
        <v>0</v>
      </c>
      <c r="N103" s="565">
        <v>0</v>
      </c>
      <c r="O103" s="565">
        <v>0</v>
      </c>
      <c r="P103" s="565">
        <v>0</v>
      </c>
      <c r="Q103" s="565">
        <v>0</v>
      </c>
      <c r="R103" s="565">
        <v>0</v>
      </c>
      <c r="S103" s="565">
        <v>0</v>
      </c>
      <c r="T103" s="565">
        <v>0</v>
      </c>
      <c r="U103" s="565">
        <v>0</v>
      </c>
      <c r="V103" s="565">
        <v>0</v>
      </c>
      <c r="W103" s="565">
        <v>0</v>
      </c>
      <c r="X103" s="565">
        <v>0</v>
      </c>
      <c r="Y103" s="565">
        <v>0</v>
      </c>
      <c r="Z103" s="565">
        <v>0</v>
      </c>
      <c r="AA103" s="565">
        <v>0</v>
      </c>
      <c r="AB103" s="565">
        <v>0</v>
      </c>
      <c r="AC103" s="565">
        <v>0</v>
      </c>
      <c r="AD103" s="565">
        <v>0</v>
      </c>
      <c r="AE103" s="565">
        <v>0</v>
      </c>
      <c r="AF103" s="565">
        <v>0</v>
      </c>
      <c r="AG103" s="565">
        <v>0</v>
      </c>
      <c r="AH103" s="565">
        <v>0</v>
      </c>
      <c r="AI103" s="565">
        <v>0</v>
      </c>
      <c r="AJ103" s="565">
        <v>0</v>
      </c>
      <c r="AK103" s="565">
        <v>0</v>
      </c>
      <c r="AL103" s="565">
        <v>0</v>
      </c>
      <c r="AM103" s="565">
        <v>0</v>
      </c>
      <c r="AN103" s="565">
        <v>0</v>
      </c>
      <c r="AO103" s="565">
        <v>0</v>
      </c>
      <c r="AP103" s="565">
        <v>0</v>
      </c>
      <c r="AQ103" s="565">
        <v>0</v>
      </c>
      <c r="AR103" s="565">
        <v>0</v>
      </c>
      <c r="AS103" s="565">
        <v>0</v>
      </c>
      <c r="AT103" s="565">
        <v>0</v>
      </c>
      <c r="AU103" s="565">
        <v>0</v>
      </c>
      <c r="AV103" s="565">
        <v>0</v>
      </c>
    </row>
    <row r="104" spans="1:48" outlineLevel="1">
      <c r="A104" s="565" t="str">
        <f>IF(Definitions!L39&lt;&gt;"", Definitions!L39, "")</f>
        <v>Onshore wind with storage</v>
      </c>
      <c r="B104" s="565" t="str">
        <f>IF(Definitions!K39&lt;&gt;"", Definitions!K39, "")</f>
        <v>PWRWND001S</v>
      </c>
      <c r="C104" s="565" cm="1">
        <f t="array" ref="C104:AV104">IF(B104="", "",
   TRANSPOSE(
       INDEX('OSeMOSYS (Input)'!$B$21:$AA$66, , MATCH(TRUE, ISNUMBER(SEARCH(B51, 'OSeMOSYS (Input)'!$B$10:$AB$10)), 0))
   )
   *
   IF('High Level Dashboard'!$B$5="Local Currency",
      INDEX('Financing Baseline'!$S$39:$BL$39, , MATCH(TRUE, ISNUMBER(SEARCH(B51, 'OSeMOSYS (Input)'!$B$10:$AB32)), 0)) /
      INDEX('Financing Baseline'!$S$38:$BL$38, , MATCH(TRUE, ISNUMBER(SEARCH(B51, 'OSeMOSYS (Input)'!$B$10:$AB32)), 0)),
      INDEX('Financing Baseline'!$S$38:$BL$38, , MATCH(TRUE, ISNUMBER(SEARCH(B51, 'OSeMOSYS (Input)'!$B$10:$AB$10)), 0))
   )
)</f>
        <v>0</v>
      </c>
      <c r="D104" s="565">
        <v>0</v>
      </c>
      <c r="E104" s="565">
        <v>0</v>
      </c>
      <c r="F104" s="565">
        <v>0</v>
      </c>
      <c r="G104" s="565">
        <v>0</v>
      </c>
      <c r="H104" s="565">
        <v>0</v>
      </c>
      <c r="I104" s="565">
        <v>0</v>
      </c>
      <c r="J104" s="565">
        <v>0</v>
      </c>
      <c r="K104" s="565">
        <v>0</v>
      </c>
      <c r="L104" s="565">
        <v>0</v>
      </c>
      <c r="M104" s="565">
        <v>0</v>
      </c>
      <c r="N104" s="565">
        <v>0</v>
      </c>
      <c r="O104" s="565">
        <v>0</v>
      </c>
      <c r="P104" s="565">
        <v>0</v>
      </c>
      <c r="Q104" s="565">
        <v>0</v>
      </c>
      <c r="R104" s="565">
        <v>0</v>
      </c>
      <c r="S104" s="565">
        <v>0</v>
      </c>
      <c r="T104" s="565">
        <v>0</v>
      </c>
      <c r="U104" s="565">
        <v>0</v>
      </c>
      <c r="V104" s="565">
        <v>0</v>
      </c>
      <c r="W104" s="565">
        <v>0</v>
      </c>
      <c r="X104" s="565">
        <v>0</v>
      </c>
      <c r="Y104" s="565">
        <v>0</v>
      </c>
      <c r="Z104" s="565">
        <v>0</v>
      </c>
      <c r="AA104" s="565">
        <v>0</v>
      </c>
      <c r="AB104" s="565">
        <v>0</v>
      </c>
      <c r="AC104" s="565">
        <v>0</v>
      </c>
      <c r="AD104" s="565">
        <v>0</v>
      </c>
      <c r="AE104" s="565">
        <v>0</v>
      </c>
      <c r="AF104" s="565">
        <v>0</v>
      </c>
      <c r="AG104" s="565">
        <v>0</v>
      </c>
      <c r="AH104" s="565">
        <v>0</v>
      </c>
      <c r="AI104" s="565">
        <v>0</v>
      </c>
      <c r="AJ104" s="565">
        <v>0</v>
      </c>
      <c r="AK104" s="565">
        <v>0</v>
      </c>
      <c r="AL104" s="565">
        <v>0</v>
      </c>
      <c r="AM104" s="565">
        <v>0</v>
      </c>
      <c r="AN104" s="565">
        <v>0</v>
      </c>
      <c r="AO104" s="565">
        <v>0</v>
      </c>
      <c r="AP104" s="565">
        <v>0</v>
      </c>
      <c r="AQ104" s="565">
        <v>0</v>
      </c>
      <c r="AR104" s="565">
        <v>0</v>
      </c>
      <c r="AS104" s="565">
        <v>0</v>
      </c>
      <c r="AT104" s="565">
        <v>0</v>
      </c>
      <c r="AU104" s="565">
        <v>0</v>
      </c>
      <c r="AV104" s="565">
        <v>0</v>
      </c>
    </row>
    <row r="105" spans="1:48" outlineLevel="1">
      <c r="A105" s="565" t="str">
        <f>IF(Definitions!L40&lt;&gt;"", Definitions!L40, "")</f>
        <v>Battery</v>
      </c>
      <c r="B105" s="565" t="str">
        <f>IF(Definitions!K40&lt;&gt;"", Definitions!K40, "")</f>
        <v>BESS</v>
      </c>
      <c r="C105" s="565" cm="1">
        <f t="array" ref="C105:AV105">IF(B105="", "",
   TRANSPOSE(
       INDEX('OSeMOSYS (Input)'!$B$21:$AA$66, , MATCH(TRUE, ISNUMBER(SEARCH(B52, 'OSeMOSYS (Input)'!$B$10:$AB$10)), 0))
   )
   *
   IF('High Level Dashboard'!$B$5="Local Currency",
      INDEX('Financing Baseline'!$S$39:$BL$39, , MATCH(TRUE, ISNUMBER(SEARCH(B52, 'OSeMOSYS (Input)'!$B$10:$AB33)), 0)) /
      INDEX('Financing Baseline'!$S$38:$BL$38, , MATCH(TRUE, ISNUMBER(SEARCH(B52, 'OSeMOSYS (Input)'!$B$10:$AB33)), 0)),
      INDEX('Financing Baseline'!$S$38:$BL$38, , MATCH(TRUE, ISNUMBER(SEARCH(B52, 'OSeMOSYS (Input)'!$B$10:$AB$10)), 0))
   )
)</f>
        <v>0</v>
      </c>
      <c r="D105" s="565">
        <v>0</v>
      </c>
      <c r="E105" s="565">
        <v>0</v>
      </c>
      <c r="F105" s="565">
        <v>0</v>
      </c>
      <c r="G105" s="565">
        <v>0</v>
      </c>
      <c r="H105" s="565">
        <v>0</v>
      </c>
      <c r="I105" s="565">
        <v>0</v>
      </c>
      <c r="J105" s="565">
        <v>0</v>
      </c>
      <c r="K105" s="565">
        <v>0</v>
      </c>
      <c r="L105" s="565">
        <v>0</v>
      </c>
      <c r="M105" s="565">
        <v>0</v>
      </c>
      <c r="N105" s="565">
        <v>0</v>
      </c>
      <c r="O105" s="565">
        <v>0</v>
      </c>
      <c r="P105" s="565">
        <v>0</v>
      </c>
      <c r="Q105" s="565">
        <v>0</v>
      </c>
      <c r="R105" s="565">
        <v>0</v>
      </c>
      <c r="S105" s="565">
        <v>0</v>
      </c>
      <c r="T105" s="565">
        <v>0</v>
      </c>
      <c r="U105" s="565">
        <v>0</v>
      </c>
      <c r="V105" s="565">
        <v>0</v>
      </c>
      <c r="W105" s="565">
        <v>0</v>
      </c>
      <c r="X105" s="565">
        <v>0</v>
      </c>
      <c r="Y105" s="565">
        <v>0</v>
      </c>
      <c r="Z105" s="565">
        <v>0</v>
      </c>
      <c r="AA105" s="565">
        <v>0</v>
      </c>
      <c r="AB105" s="565">
        <v>0</v>
      </c>
      <c r="AC105" s="565">
        <v>0</v>
      </c>
      <c r="AD105" s="565">
        <v>0</v>
      </c>
      <c r="AE105" s="565">
        <v>0</v>
      </c>
      <c r="AF105" s="565">
        <v>0</v>
      </c>
      <c r="AG105" s="565">
        <v>0</v>
      </c>
      <c r="AH105" s="565">
        <v>0</v>
      </c>
      <c r="AI105" s="565">
        <v>0</v>
      </c>
      <c r="AJ105" s="565">
        <v>0</v>
      </c>
      <c r="AK105" s="565">
        <v>0</v>
      </c>
      <c r="AL105" s="565">
        <v>0</v>
      </c>
      <c r="AM105" s="565">
        <v>0</v>
      </c>
      <c r="AN105" s="565">
        <v>0</v>
      </c>
      <c r="AO105" s="565">
        <v>0</v>
      </c>
      <c r="AP105" s="565">
        <v>0</v>
      </c>
      <c r="AQ105" s="565">
        <v>0</v>
      </c>
      <c r="AR105" s="565">
        <v>0</v>
      </c>
      <c r="AS105" s="565">
        <v>0</v>
      </c>
      <c r="AT105" s="565">
        <v>0</v>
      </c>
      <c r="AU105" s="565">
        <v>0</v>
      </c>
      <c r="AV105" s="565">
        <v>0</v>
      </c>
    </row>
    <row r="106" spans="1:48" outlineLevel="1">
      <c r="A106" s="565" t="str">
        <f>IF(Definitions!L41&lt;&gt;"", Definitions!L41, "")</f>
        <v/>
      </c>
      <c r="B106" s="565" t="str">
        <f>IF(Definitions!K41&lt;&gt;"", Definitions!K41, "")</f>
        <v/>
      </c>
      <c r="C106" s="565" t="str" cm="1">
        <f t="array" ref="C106">IF(B106="", "",
   TRANSPOSE(
       INDEX('OSeMOSYS (Input)'!$B$21:$AA$66, , MATCH(TRUE, ISNUMBER(SEARCH(B53, 'OSeMOSYS (Input)'!$B$10:$AB$10)), 0))
   )
   *
   IF('High Level Dashboard'!$B$5="Local Currency",
      INDEX('Financing Baseline'!$S$39:$BL$39, , MATCH(TRUE, ISNUMBER(SEARCH(B53, 'OSeMOSYS (Input)'!$B$10:$AB34)), 0)) /
      INDEX('Financing Baseline'!$S$38:$BL$38, , MATCH(TRUE, ISNUMBER(SEARCH(B53, 'OSeMOSYS (Input)'!$B$10:$AB34)), 0)),
      INDEX('Financing Baseline'!$S$38:$BL$38, , MATCH(TRUE, ISNUMBER(SEARCH(B53, 'OSeMOSYS (Input)'!$B$10:$AB$10)), 0))
   )
)</f>
        <v/>
      </c>
      <c r="D106" s="565"/>
      <c r="E106" s="565"/>
      <c r="F106" s="565"/>
      <c r="G106" s="565"/>
      <c r="H106" s="565"/>
      <c r="I106" s="565"/>
      <c r="J106" s="565"/>
      <c r="K106" s="565"/>
      <c r="L106" s="565"/>
      <c r="M106" s="565"/>
      <c r="N106" s="565"/>
      <c r="O106" s="565"/>
      <c r="P106" s="565"/>
      <c r="Q106" s="565"/>
      <c r="R106" s="565"/>
      <c r="S106" s="565"/>
      <c r="T106" s="565"/>
      <c r="U106" s="565"/>
      <c r="V106" s="565"/>
      <c r="W106" s="565"/>
      <c r="X106" s="565"/>
      <c r="Y106" s="565"/>
      <c r="Z106" s="565"/>
      <c r="AA106" s="565"/>
      <c r="AB106" s="565"/>
      <c r="AC106" s="565"/>
      <c r="AD106" s="565"/>
      <c r="AE106" s="565"/>
      <c r="AF106" s="565"/>
      <c r="AG106" s="565"/>
      <c r="AH106" s="565"/>
      <c r="AI106" s="565"/>
      <c r="AJ106" s="565"/>
      <c r="AK106" s="565"/>
      <c r="AL106" s="565"/>
      <c r="AM106" s="565"/>
      <c r="AN106" s="565"/>
      <c r="AO106" s="565"/>
      <c r="AP106" s="565"/>
      <c r="AQ106" s="565"/>
      <c r="AR106" s="565"/>
      <c r="AS106" s="565"/>
      <c r="AT106" s="565"/>
      <c r="AU106" s="565"/>
      <c r="AV106" s="565"/>
    </row>
    <row r="107" spans="1:48" outlineLevel="1">
      <c r="A107" s="565" t="str">
        <f>IF(Definitions!L42&lt;&gt;"", Definitions!L42, "")</f>
        <v/>
      </c>
      <c r="B107" s="565" t="str">
        <f>IF(Definitions!K42&lt;&gt;"", Definitions!K42, "")</f>
        <v/>
      </c>
      <c r="C107" s="565" t="str" cm="1">
        <f t="array" ref="C107">IF(B107="", "",
   TRANSPOSE(
       INDEX('OSeMOSYS (Input)'!$B$21:$AA$66, , MATCH(TRUE, ISNUMBER(SEARCH(B54, 'OSeMOSYS (Input)'!$B$10:$AB$10)), 0))
   )
   *
   IF('High Level Dashboard'!$B$5="Local Currency",
      INDEX('Financing Baseline'!$S$39:$BL$39, , MATCH(TRUE, ISNUMBER(SEARCH(B54, 'OSeMOSYS (Input)'!$B$10:$AB35)), 0)) /
      INDEX('Financing Baseline'!$S$38:$BL$38, , MATCH(TRUE, ISNUMBER(SEARCH(B54, 'OSeMOSYS (Input)'!$B$10:$AB35)), 0)),
      INDEX('Financing Baseline'!$S$38:$BL$38, , MATCH(TRUE, ISNUMBER(SEARCH(B54, 'OSeMOSYS (Input)'!$B$10:$AB$10)), 0))
   )
)</f>
        <v/>
      </c>
      <c r="D107" s="565"/>
      <c r="E107" s="565"/>
      <c r="F107" s="565"/>
      <c r="G107" s="565"/>
      <c r="H107" s="565"/>
      <c r="I107" s="565"/>
      <c r="J107" s="565"/>
      <c r="K107" s="565"/>
      <c r="L107" s="565"/>
      <c r="M107" s="565"/>
      <c r="N107" s="565"/>
      <c r="O107" s="565"/>
      <c r="P107" s="565"/>
      <c r="Q107" s="565"/>
      <c r="R107" s="565"/>
      <c r="S107" s="565"/>
      <c r="T107" s="565"/>
      <c r="U107" s="565"/>
      <c r="V107" s="565"/>
      <c r="W107" s="565"/>
      <c r="X107" s="565"/>
      <c r="Y107" s="565"/>
      <c r="Z107" s="565"/>
      <c r="AA107" s="565"/>
      <c r="AB107" s="565"/>
      <c r="AC107" s="565"/>
      <c r="AD107" s="565"/>
      <c r="AE107" s="565"/>
      <c r="AF107" s="565"/>
      <c r="AG107" s="565"/>
      <c r="AH107" s="565"/>
      <c r="AI107" s="565"/>
      <c r="AJ107" s="565"/>
      <c r="AK107" s="565"/>
      <c r="AL107" s="565"/>
      <c r="AM107" s="565"/>
      <c r="AN107" s="565"/>
      <c r="AO107" s="565"/>
      <c r="AP107" s="565"/>
      <c r="AQ107" s="565"/>
      <c r="AR107" s="565"/>
      <c r="AS107" s="565"/>
      <c r="AT107" s="565"/>
      <c r="AU107" s="565"/>
      <c r="AV107" s="565"/>
    </row>
    <row r="108" spans="1:48" outlineLevel="1">
      <c r="A108" s="565" t="str">
        <f>IF(Definitions!L43&lt;&gt;"", Definitions!L43, "")</f>
        <v/>
      </c>
      <c r="B108" s="565" t="str">
        <f>IF(Definitions!K43&lt;&gt;"", Definitions!K43, "")</f>
        <v/>
      </c>
      <c r="C108" s="565" t="str" cm="1">
        <f t="array" ref="C108">IF(B108="", "",
   TRANSPOSE(
       INDEX('OSeMOSYS (Input)'!$B$21:$AA$66, , MATCH(TRUE, ISNUMBER(SEARCH(B55, 'OSeMOSYS (Input)'!$B$10:$AB$10)), 0))
   )
   *
   IF('High Level Dashboard'!$B$5="Local Currency",
      INDEX('Financing Baseline'!$S$39:$BL$39, , MATCH(TRUE, ISNUMBER(SEARCH(B55, 'OSeMOSYS (Input)'!$B$10:$AB36)), 0)) /
      INDEX('Financing Baseline'!$S$38:$BL$38, , MATCH(TRUE, ISNUMBER(SEARCH(B55, 'OSeMOSYS (Input)'!$B$10:$AB36)), 0)),
      INDEX('Financing Baseline'!$S$38:$BL$38, , MATCH(TRUE, ISNUMBER(SEARCH(B55, 'OSeMOSYS (Input)'!$B$10:$AB$10)), 0))
   )
)</f>
        <v/>
      </c>
      <c r="D108" s="565"/>
      <c r="E108" s="565"/>
      <c r="F108" s="565"/>
      <c r="G108" s="565"/>
      <c r="H108" s="565"/>
      <c r="I108" s="565"/>
      <c r="J108" s="565"/>
      <c r="K108" s="565"/>
      <c r="L108" s="565"/>
      <c r="M108" s="565"/>
      <c r="N108" s="565"/>
      <c r="O108" s="565"/>
      <c r="P108" s="565"/>
      <c r="Q108" s="565"/>
      <c r="R108" s="565"/>
      <c r="S108" s="565"/>
      <c r="T108" s="565"/>
      <c r="U108" s="565"/>
      <c r="V108" s="565"/>
      <c r="W108" s="565"/>
      <c r="X108" s="565"/>
      <c r="Y108" s="565"/>
      <c r="Z108" s="565"/>
      <c r="AA108" s="565"/>
      <c r="AB108" s="565"/>
      <c r="AC108" s="565"/>
      <c r="AD108" s="565"/>
      <c r="AE108" s="565"/>
      <c r="AF108" s="565"/>
      <c r="AG108" s="565"/>
      <c r="AH108" s="565"/>
      <c r="AI108" s="565"/>
      <c r="AJ108" s="565"/>
      <c r="AK108" s="565"/>
      <c r="AL108" s="565"/>
      <c r="AM108" s="565"/>
      <c r="AN108" s="565"/>
      <c r="AO108" s="565"/>
      <c r="AP108" s="565"/>
      <c r="AQ108" s="565"/>
      <c r="AR108" s="565"/>
      <c r="AS108" s="565"/>
      <c r="AT108" s="565"/>
      <c r="AU108" s="565"/>
      <c r="AV108" s="565"/>
    </row>
    <row r="109" spans="1:48" outlineLevel="1">
      <c r="A109" s="565" t="str">
        <f>IF(Definitions!L44&lt;&gt;"", Definitions!L44, "")</f>
        <v/>
      </c>
      <c r="B109" s="565" t="str">
        <f>IF(Definitions!K44&lt;&gt;"", Definitions!K44, "")</f>
        <v/>
      </c>
      <c r="C109" s="565" t="str" cm="1">
        <f t="array" ref="C109">IF(B109="", "",
   TRANSPOSE(
       INDEX('OSeMOSYS (Input)'!$B$21:$AA$66, , MATCH(TRUE, ISNUMBER(SEARCH(B56, 'OSeMOSYS (Input)'!$B$10:$AB$10)), 0))
   )
   *
   IF('High Level Dashboard'!$B$5="Local Currency",
      INDEX('Financing Baseline'!$S$39:$BL$39, , MATCH(TRUE, ISNUMBER(SEARCH(B56, 'OSeMOSYS (Input)'!$B$10:$AB37)), 0)) /
      INDEX('Financing Baseline'!$S$38:$BL$38, , MATCH(TRUE, ISNUMBER(SEARCH(B56, 'OSeMOSYS (Input)'!$B$10:$AB37)), 0)),
      INDEX('Financing Baseline'!$S$38:$BL$38, , MATCH(TRUE, ISNUMBER(SEARCH(B56, 'OSeMOSYS (Input)'!$B$10:$AB$10)), 0))
   )
)</f>
        <v/>
      </c>
      <c r="D109" s="565"/>
      <c r="E109" s="565"/>
      <c r="F109" s="565"/>
      <c r="G109" s="565"/>
      <c r="H109" s="565"/>
      <c r="I109" s="565"/>
      <c r="J109" s="565"/>
      <c r="K109" s="565"/>
      <c r="L109" s="565"/>
      <c r="M109" s="565"/>
      <c r="N109" s="565"/>
      <c r="O109" s="565"/>
      <c r="P109" s="565"/>
      <c r="Q109" s="565"/>
      <c r="R109" s="565"/>
      <c r="S109" s="565"/>
      <c r="T109" s="565"/>
      <c r="U109" s="565"/>
      <c r="V109" s="565"/>
      <c r="W109" s="565"/>
      <c r="X109" s="565"/>
      <c r="Y109" s="565"/>
      <c r="Z109" s="565"/>
      <c r="AA109" s="565"/>
      <c r="AB109" s="565"/>
      <c r="AC109" s="565"/>
      <c r="AD109" s="565"/>
      <c r="AE109" s="565"/>
      <c r="AF109" s="565"/>
      <c r="AG109" s="565"/>
      <c r="AH109" s="565"/>
      <c r="AI109" s="565"/>
      <c r="AJ109" s="565"/>
      <c r="AK109" s="565"/>
      <c r="AL109" s="565"/>
      <c r="AM109" s="565"/>
      <c r="AN109" s="565"/>
      <c r="AO109" s="565"/>
      <c r="AP109" s="565"/>
      <c r="AQ109" s="565"/>
      <c r="AR109" s="565"/>
      <c r="AS109" s="565"/>
      <c r="AT109" s="565"/>
      <c r="AU109" s="565"/>
      <c r="AV109" s="565"/>
    </row>
    <row r="110" spans="1:48" outlineLevel="1">
      <c r="A110" s="565" t="str">
        <f>IF(Definitions!L45&lt;&gt;"", Definitions!L45, "")</f>
        <v/>
      </c>
      <c r="B110" s="565" t="str">
        <f>IF(Definitions!K45&lt;&gt;"", Definitions!K45, "")</f>
        <v/>
      </c>
      <c r="C110" s="565" t="str" cm="1">
        <f t="array" ref="C110">IF(B110="", "",
   TRANSPOSE(
       INDEX('OSeMOSYS (Input)'!$B$21:$AA$66, , MATCH(TRUE, ISNUMBER(SEARCH(B57, 'OSeMOSYS (Input)'!$B$10:$AB$10)), 0))
   )
   *
   IF('High Level Dashboard'!$B$5="Local Currency",
      INDEX('Financing Baseline'!$S$39:$BL$39, , MATCH(TRUE, ISNUMBER(SEARCH(B57, 'OSeMOSYS (Input)'!$B$10:$AB38)), 0)) /
      INDEX('Financing Baseline'!$S$38:$BL$38, , MATCH(TRUE, ISNUMBER(SEARCH(B57, 'OSeMOSYS (Input)'!$B$10:$AB38)), 0)),
      INDEX('Financing Baseline'!$S$38:$BL$38, , MATCH(TRUE, ISNUMBER(SEARCH(B57, 'OSeMOSYS (Input)'!$B$10:$AB$10)), 0))
   )
)</f>
        <v/>
      </c>
      <c r="D110" s="565"/>
      <c r="E110" s="565"/>
      <c r="F110" s="565"/>
      <c r="G110" s="565"/>
      <c r="H110" s="565"/>
      <c r="I110" s="565"/>
      <c r="J110" s="565"/>
      <c r="K110" s="565"/>
      <c r="L110" s="565"/>
      <c r="M110" s="565"/>
      <c r="N110" s="565"/>
      <c r="O110" s="565"/>
      <c r="P110" s="565"/>
      <c r="Q110" s="565"/>
      <c r="R110" s="565"/>
      <c r="S110" s="565"/>
      <c r="T110" s="565"/>
      <c r="U110" s="565"/>
      <c r="V110" s="565"/>
      <c r="W110" s="565"/>
      <c r="X110" s="565"/>
      <c r="Y110" s="565"/>
      <c r="Z110" s="565"/>
      <c r="AA110" s="565"/>
      <c r="AB110" s="565"/>
      <c r="AC110" s="565"/>
      <c r="AD110" s="565"/>
      <c r="AE110" s="565"/>
      <c r="AF110" s="565"/>
      <c r="AG110" s="565"/>
      <c r="AH110" s="565"/>
      <c r="AI110" s="565"/>
      <c r="AJ110" s="565"/>
      <c r="AK110" s="565"/>
      <c r="AL110" s="565"/>
      <c r="AM110" s="565"/>
      <c r="AN110" s="565"/>
      <c r="AO110" s="565"/>
      <c r="AP110" s="565"/>
      <c r="AQ110" s="565"/>
      <c r="AR110" s="565"/>
      <c r="AS110" s="565"/>
      <c r="AT110" s="565"/>
      <c r="AU110" s="565"/>
      <c r="AV110" s="565"/>
    </row>
    <row r="111" spans="1:48" outlineLevel="1">
      <c r="A111" s="565" t="str">
        <f>IF(Definitions!L46&lt;&gt;"", Definitions!L46, "")</f>
        <v/>
      </c>
      <c r="B111" s="565" t="str">
        <f>IF(Definitions!K46&lt;&gt;"", Definitions!K46, "")</f>
        <v/>
      </c>
      <c r="C111" s="565" t="str" cm="1">
        <f t="array" ref="C111">IF(B111="", "",
   TRANSPOSE(
       INDEX('OSeMOSYS (Input)'!$B$21:$AA$66, , MATCH(TRUE, ISNUMBER(SEARCH(B58, 'OSeMOSYS (Input)'!$B$10:$AB$10)), 0))
   )
   *
   IF('High Level Dashboard'!$B$5="Local Currency",
      INDEX('Financing Baseline'!$S$39:$BL$39, , MATCH(TRUE, ISNUMBER(SEARCH(B58, 'OSeMOSYS (Input)'!$B$10:$AB39)), 0)) /
      INDEX('Financing Baseline'!$S$38:$BL$38, , MATCH(TRUE, ISNUMBER(SEARCH(B58, 'OSeMOSYS (Input)'!$B$10:$AB39)), 0)),
      INDEX('Financing Baseline'!$S$38:$BL$38, , MATCH(TRUE, ISNUMBER(SEARCH(B58, 'OSeMOSYS (Input)'!$B$10:$AB$10)), 0))
   )
)</f>
        <v/>
      </c>
      <c r="D111" s="565"/>
      <c r="E111" s="565"/>
      <c r="F111" s="565"/>
      <c r="G111" s="565"/>
      <c r="H111" s="565"/>
      <c r="I111" s="565"/>
      <c r="J111" s="565"/>
      <c r="K111" s="565"/>
      <c r="L111" s="565"/>
      <c r="M111" s="565"/>
      <c r="N111" s="565"/>
      <c r="O111" s="565"/>
      <c r="P111" s="565"/>
      <c r="Q111" s="565"/>
      <c r="R111" s="565"/>
      <c r="S111" s="565"/>
      <c r="T111" s="565"/>
      <c r="U111" s="565"/>
      <c r="V111" s="565"/>
      <c r="W111" s="565"/>
      <c r="X111" s="565"/>
      <c r="Y111" s="565"/>
      <c r="Z111" s="565"/>
      <c r="AA111" s="565"/>
      <c r="AB111" s="565"/>
      <c r="AC111" s="565"/>
      <c r="AD111" s="565"/>
      <c r="AE111" s="565"/>
      <c r="AF111" s="565"/>
      <c r="AG111" s="565"/>
      <c r="AH111" s="565"/>
      <c r="AI111" s="565"/>
      <c r="AJ111" s="565"/>
      <c r="AK111" s="565"/>
      <c r="AL111" s="565"/>
      <c r="AM111" s="565"/>
      <c r="AN111" s="565"/>
      <c r="AO111" s="565"/>
      <c r="AP111" s="565"/>
      <c r="AQ111" s="565"/>
      <c r="AR111" s="565"/>
      <c r="AS111" s="565"/>
      <c r="AT111" s="565"/>
      <c r="AU111" s="565"/>
      <c r="AV111" s="565"/>
    </row>
    <row r="112" spans="1:48" outlineLevel="1">
      <c r="A112" s="565" t="str">
        <f>IF(Definitions!L47&lt;&gt;"", Definitions!L47, "")</f>
        <v/>
      </c>
      <c r="B112" s="565" t="str">
        <f>IF(Definitions!K47&lt;&gt;"", Definitions!K47, "")</f>
        <v/>
      </c>
      <c r="C112" s="565" t="str" cm="1">
        <f t="array" ref="C112">IF(B112="", "",
   TRANSPOSE(
       INDEX('OSeMOSYS (Input)'!$B$21:$AA$66, , MATCH(TRUE, ISNUMBER(SEARCH(B59, 'OSeMOSYS (Input)'!$B$10:$AB$10)), 0))
   )
   *
   IF('High Level Dashboard'!$B$5="Local Currency",
      INDEX('Financing Baseline'!$S$39:$BL$39, , MATCH(TRUE, ISNUMBER(SEARCH(B59, 'OSeMOSYS (Input)'!$B$10:$AB40)), 0)) /
      INDEX('Financing Baseline'!$S$38:$BL$38, , MATCH(TRUE, ISNUMBER(SEARCH(B59, 'OSeMOSYS (Input)'!$B$10:$AB40)), 0)),
      INDEX('Financing Baseline'!$S$38:$BL$38, , MATCH(TRUE, ISNUMBER(SEARCH(B59, 'OSeMOSYS (Input)'!$B$10:$AB$10)), 0))
   )
)</f>
        <v/>
      </c>
      <c r="D112" s="565"/>
      <c r="E112" s="565"/>
      <c r="F112" s="565"/>
      <c r="G112" s="565"/>
      <c r="H112" s="565"/>
      <c r="I112" s="565"/>
      <c r="J112" s="565"/>
      <c r="K112" s="565"/>
      <c r="L112" s="565"/>
      <c r="M112" s="565"/>
      <c r="N112" s="565"/>
      <c r="O112" s="565"/>
      <c r="P112" s="565"/>
      <c r="Q112" s="565"/>
      <c r="R112" s="565"/>
      <c r="S112" s="565"/>
      <c r="T112" s="565"/>
      <c r="U112" s="565"/>
      <c r="V112" s="565"/>
      <c r="W112" s="565"/>
      <c r="X112" s="565"/>
      <c r="Y112" s="565"/>
      <c r="Z112" s="565"/>
      <c r="AA112" s="565"/>
      <c r="AB112" s="565"/>
      <c r="AC112" s="565"/>
      <c r="AD112" s="565"/>
      <c r="AE112" s="565"/>
      <c r="AF112" s="565"/>
      <c r="AG112" s="565"/>
      <c r="AH112" s="565"/>
      <c r="AI112" s="565"/>
      <c r="AJ112" s="565"/>
      <c r="AK112" s="565"/>
      <c r="AL112" s="565"/>
      <c r="AM112" s="565"/>
      <c r="AN112" s="565"/>
      <c r="AO112" s="565"/>
      <c r="AP112" s="565"/>
      <c r="AQ112" s="565"/>
      <c r="AR112" s="565"/>
      <c r="AS112" s="565"/>
      <c r="AT112" s="565"/>
      <c r="AU112" s="565"/>
      <c r="AV112" s="565"/>
    </row>
    <row r="113" spans="1:48" outlineLevel="1">
      <c r="A113" s="565" t="str">
        <f>IF(Definitions!L48&lt;&gt;"", Definitions!L48, "")</f>
        <v/>
      </c>
      <c r="B113" s="565" t="str">
        <f>IF(Definitions!K48&lt;&gt;"", Definitions!K48, "")</f>
        <v/>
      </c>
      <c r="C113" s="565" t="str" cm="1">
        <f t="array" ref="C113">IF(B113="", "",
   TRANSPOSE(
       INDEX('OSeMOSYS (Input)'!$B$21:$AA$66, , MATCH(TRUE, ISNUMBER(SEARCH(B60, 'OSeMOSYS (Input)'!$B$10:$AB$10)), 0))
   )
   *
   IF('High Level Dashboard'!$B$5="Local Currency",
      INDEX('Financing Baseline'!$S$39:$BL$39, , MATCH(TRUE, ISNUMBER(SEARCH(B60, 'OSeMOSYS (Input)'!$B$10:$AB41)), 0)) /
      INDEX('Financing Baseline'!$S$38:$BL$38, , MATCH(TRUE, ISNUMBER(SEARCH(B60, 'OSeMOSYS (Input)'!$B$10:$AB41)), 0)),
      INDEX('Financing Baseline'!$S$38:$BL$38, , MATCH(TRUE, ISNUMBER(SEARCH(B60, 'OSeMOSYS (Input)'!$B$10:$AB$10)), 0))
   )
)</f>
        <v/>
      </c>
      <c r="D113" s="565"/>
      <c r="E113" s="565"/>
      <c r="F113" s="565"/>
      <c r="G113" s="565"/>
      <c r="H113" s="565"/>
      <c r="I113" s="565"/>
      <c r="J113" s="565"/>
      <c r="K113" s="565"/>
      <c r="L113" s="565"/>
      <c r="M113" s="565"/>
      <c r="N113" s="565"/>
      <c r="O113" s="565"/>
      <c r="P113" s="565"/>
      <c r="Q113" s="565"/>
      <c r="R113" s="565"/>
      <c r="S113" s="565"/>
      <c r="T113" s="565"/>
      <c r="U113" s="565"/>
      <c r="V113" s="565"/>
      <c r="W113" s="565"/>
      <c r="X113" s="565"/>
      <c r="Y113" s="565"/>
      <c r="Z113" s="565"/>
      <c r="AA113" s="565"/>
      <c r="AB113" s="565"/>
      <c r="AC113" s="565"/>
      <c r="AD113" s="565"/>
      <c r="AE113" s="565"/>
      <c r="AF113" s="565"/>
      <c r="AG113" s="565"/>
      <c r="AH113" s="565"/>
      <c r="AI113" s="565"/>
      <c r="AJ113" s="565"/>
      <c r="AK113" s="565"/>
      <c r="AL113" s="565"/>
      <c r="AM113" s="565"/>
      <c r="AN113" s="565"/>
      <c r="AO113" s="565"/>
      <c r="AP113" s="565"/>
      <c r="AQ113" s="565"/>
      <c r="AR113" s="565"/>
      <c r="AS113" s="565"/>
      <c r="AT113" s="565"/>
      <c r="AU113" s="565"/>
      <c r="AV113" s="565"/>
    </row>
    <row r="114" spans="1:48" outlineLevel="1">
      <c r="A114" s="565" t="str">
        <f>IF(Definitions!L49&lt;&gt;"", Definitions!L49, "")</f>
        <v/>
      </c>
      <c r="B114" s="565" t="str">
        <f>IF(Definitions!K49&lt;&gt;"", Definitions!K49, "")</f>
        <v/>
      </c>
      <c r="C114" s="565" t="str" cm="1">
        <f t="array" ref="C114">IF(B114="", "",
   TRANSPOSE(
       INDEX('OSeMOSYS (Input)'!$B$21:$AA$66, , MATCH(TRUE, ISNUMBER(SEARCH(B61, 'OSeMOSYS (Input)'!$B$10:$AB$10)), 0))
   )
   *
   IF('High Level Dashboard'!$B$5="Local Currency",
      INDEX('Financing Baseline'!$S$39:$BL$39, , MATCH(TRUE, ISNUMBER(SEARCH(B61, 'OSeMOSYS (Input)'!$B$10:$AB42)), 0)) /
      INDEX('Financing Baseline'!$S$38:$BL$38, , MATCH(TRUE, ISNUMBER(SEARCH(B61, 'OSeMOSYS (Input)'!$B$10:$AB42)), 0)),
      INDEX('Financing Baseline'!$S$38:$BL$38, , MATCH(TRUE, ISNUMBER(SEARCH(B61, 'OSeMOSYS (Input)'!$B$10:$AB$10)), 0))
   )
)</f>
        <v/>
      </c>
      <c r="D114" s="565"/>
      <c r="E114" s="565"/>
      <c r="F114" s="565"/>
      <c r="G114" s="565"/>
      <c r="H114" s="565"/>
      <c r="I114" s="565"/>
      <c r="J114" s="565"/>
      <c r="K114" s="565"/>
      <c r="L114" s="565"/>
      <c r="M114" s="565"/>
      <c r="N114" s="565"/>
      <c r="O114" s="565"/>
      <c r="P114" s="565"/>
      <c r="Q114" s="565"/>
      <c r="R114" s="565"/>
      <c r="S114" s="565"/>
      <c r="T114" s="565"/>
      <c r="U114" s="565"/>
      <c r="V114" s="565"/>
      <c r="W114" s="565"/>
      <c r="X114" s="565"/>
      <c r="Y114" s="565"/>
      <c r="Z114" s="565"/>
      <c r="AA114" s="565"/>
      <c r="AB114" s="565"/>
      <c r="AC114" s="565"/>
      <c r="AD114" s="565"/>
      <c r="AE114" s="565"/>
      <c r="AF114" s="565"/>
      <c r="AG114" s="565"/>
      <c r="AH114" s="565"/>
      <c r="AI114" s="565"/>
      <c r="AJ114" s="565"/>
      <c r="AK114" s="565"/>
      <c r="AL114" s="565"/>
      <c r="AM114" s="565"/>
      <c r="AN114" s="565"/>
      <c r="AO114" s="565"/>
      <c r="AP114" s="565"/>
      <c r="AQ114" s="565"/>
      <c r="AR114" s="565"/>
      <c r="AS114" s="565"/>
      <c r="AT114" s="565"/>
      <c r="AU114" s="565"/>
      <c r="AV114" s="565"/>
    </row>
    <row r="115" spans="1:48">
      <c r="B115" s="13"/>
    </row>
    <row r="116" spans="1:48" ht="42" customHeight="1">
      <c r="A116" s="569" t="str">
        <f>"C) "&amp;'OSeMOSYS (Input)'!C5&amp;" FINANCING NEEDS"</f>
        <v>C) LeastCost FINANCING NEEDS</v>
      </c>
      <c r="B116" s="122"/>
      <c r="C116" s="18"/>
      <c r="D116" s="18"/>
      <c r="E116" s="18"/>
      <c r="F116" s="18"/>
      <c r="G116" s="18"/>
      <c r="H116" s="18"/>
      <c r="I116" s="18"/>
      <c r="J116" s="18"/>
      <c r="K116" s="18"/>
      <c r="L116" s="18"/>
      <c r="M116" s="18"/>
      <c r="N116" s="18"/>
      <c r="O116" s="18"/>
      <c r="P116" s="18"/>
      <c r="Q116" s="18"/>
      <c r="R116" s="18"/>
      <c r="S116" s="18"/>
      <c r="T116" s="18"/>
      <c r="U116" s="18"/>
      <c r="V116" s="18"/>
      <c r="W116" s="18"/>
      <c r="X116" s="18"/>
      <c r="Y116" s="18"/>
      <c r="Z116" s="18"/>
      <c r="AA116" s="18"/>
      <c r="AB116" s="18"/>
      <c r="AC116" s="18"/>
      <c r="AD116" s="18"/>
      <c r="AE116" s="18"/>
      <c r="AF116" s="18"/>
      <c r="AG116" s="18"/>
      <c r="AH116" s="18"/>
      <c r="AI116" s="18"/>
      <c r="AJ116" s="18"/>
      <c r="AK116" s="18"/>
      <c r="AL116" s="18"/>
      <c r="AM116" s="18"/>
      <c r="AN116" s="18"/>
      <c r="AO116" s="18"/>
      <c r="AP116" s="18"/>
      <c r="AQ116" s="18"/>
      <c r="AR116" s="18"/>
      <c r="AS116" s="18"/>
      <c r="AT116" s="18"/>
      <c r="AU116" s="18"/>
      <c r="AV116" s="18"/>
    </row>
    <row r="117" spans="1:48">
      <c r="A117" s="751" t="str">
        <f xml:space="preserve"> "Total "&amp;'OSeMOSYS (Input)'!C5&amp;" Financing Needs Total"</f>
        <v>Total LeastCost Financing Needs Total</v>
      </c>
      <c r="B117" s="751"/>
      <c r="C117" s="130">
        <f t="shared" ref="C117:AV117" si="13">SUM(C118,C126,C130,C133)</f>
        <v>550.28309999999999</v>
      </c>
      <c r="D117" s="18">
        <f t="shared" si="13"/>
        <v>891.30279999999993</v>
      </c>
      <c r="E117" s="18">
        <f t="shared" si="13"/>
        <v>859.85770000000014</v>
      </c>
      <c r="F117" s="18">
        <f t="shared" si="13"/>
        <v>783.88200000000006</v>
      </c>
      <c r="G117" s="18">
        <f t="shared" si="13"/>
        <v>1637.2811999999999</v>
      </c>
      <c r="H117" s="18">
        <f t="shared" si="13"/>
        <v>1023.3453000000001</v>
      </c>
      <c r="I117" s="18">
        <f t="shared" si="13"/>
        <v>1265.5083</v>
      </c>
      <c r="J117" s="18">
        <f t="shared" si="13"/>
        <v>769.26179999999999</v>
      </c>
      <c r="K117" s="18">
        <f t="shared" si="13"/>
        <v>787.60719999999992</v>
      </c>
      <c r="L117" s="18">
        <f t="shared" si="13"/>
        <v>1327.6976</v>
      </c>
      <c r="M117" s="18">
        <f t="shared" si="13"/>
        <v>977.47140000000002</v>
      </c>
      <c r="N117" s="18">
        <f t="shared" si="13"/>
        <v>1422.614</v>
      </c>
      <c r="O117" s="18">
        <f t="shared" si="13"/>
        <v>1388.1181000000001</v>
      </c>
      <c r="P117" s="18">
        <f t="shared" si="13"/>
        <v>1338.3447999999999</v>
      </c>
      <c r="Q117" s="18">
        <f t="shared" si="13"/>
        <v>1759.1960000000001</v>
      </c>
      <c r="R117" s="18">
        <f t="shared" si="13"/>
        <v>2194.2011999999995</v>
      </c>
      <c r="S117" s="18">
        <f t="shared" si="13"/>
        <v>1972.2902000000001</v>
      </c>
      <c r="T117" s="18">
        <f t="shared" si="13"/>
        <v>1328.5142000000001</v>
      </c>
      <c r="U117" s="18">
        <f t="shared" si="13"/>
        <v>1359.3568</v>
      </c>
      <c r="V117" s="18">
        <f t="shared" si="13"/>
        <v>1463.7227</v>
      </c>
      <c r="W117" s="18">
        <f t="shared" si="13"/>
        <v>1575.0400999999999</v>
      </c>
      <c r="X117" s="18">
        <f t="shared" si="13"/>
        <v>1687.5381</v>
      </c>
      <c r="Y117" s="18">
        <f t="shared" si="13"/>
        <v>1845.2716999999998</v>
      </c>
      <c r="Z117" s="18">
        <f t="shared" si="13"/>
        <v>2124.9576999999999</v>
      </c>
      <c r="AA117" s="18">
        <f t="shared" si="13"/>
        <v>2198.3962999999999</v>
      </c>
      <c r="AB117" s="18">
        <f t="shared" si="13"/>
        <v>2514.3019000000004</v>
      </c>
      <c r="AC117" s="18">
        <f t="shared" si="13"/>
        <v>2764.5448999999999</v>
      </c>
      <c r="AD117" s="18">
        <f t="shared" si="13"/>
        <v>2166.1093000000001</v>
      </c>
      <c r="AE117" s="18">
        <f t="shared" si="13"/>
        <v>2026.9261000000001</v>
      </c>
      <c r="AF117" s="18">
        <f t="shared" si="13"/>
        <v>2803.8788</v>
      </c>
      <c r="AG117" s="18">
        <f t="shared" si="13"/>
        <v>1955.2348999999999</v>
      </c>
      <c r="AH117" s="18">
        <f t="shared" si="13"/>
        <v>2339.9332999999997</v>
      </c>
      <c r="AI117" s="18">
        <f t="shared" si="13"/>
        <v>1887.2440000000001</v>
      </c>
      <c r="AJ117" s="18">
        <f t="shared" si="13"/>
        <v>1969.2959000000001</v>
      </c>
      <c r="AK117" s="18">
        <f t="shared" si="13"/>
        <v>2395.5834999999997</v>
      </c>
      <c r="AL117" s="18">
        <f t="shared" si="13"/>
        <v>2030.2130999999999</v>
      </c>
      <c r="AM117" s="18">
        <f t="shared" si="13"/>
        <v>2513.4224999999997</v>
      </c>
      <c r="AN117" s="18">
        <f t="shared" si="13"/>
        <v>2355.2791000000002</v>
      </c>
      <c r="AO117" s="18">
        <f t="shared" si="13"/>
        <v>2286.4155999999998</v>
      </c>
      <c r="AP117" s="18">
        <f t="shared" si="13"/>
        <v>2718.3445999999999</v>
      </c>
      <c r="AQ117" s="18">
        <f t="shared" si="13"/>
        <v>3075.9814000000001</v>
      </c>
      <c r="AR117" s="18">
        <f t="shared" si="13"/>
        <v>2853.1113</v>
      </c>
      <c r="AS117" s="18">
        <f t="shared" si="13"/>
        <v>2238.9319</v>
      </c>
      <c r="AT117" s="18">
        <f t="shared" si="13"/>
        <v>2167.7793000000001</v>
      </c>
      <c r="AU117" s="18">
        <f t="shared" si="13"/>
        <v>2364.3987999999999</v>
      </c>
      <c r="AV117" s="18">
        <f t="shared" si="13"/>
        <v>2501.8254000000002</v>
      </c>
    </row>
    <row r="118" spans="1:48">
      <c r="A118" s="747" t="s">
        <v>621</v>
      </c>
      <c r="B118" s="747"/>
      <c r="C118" s="124">
        <f>SUM(C120,C119,C121,C122,C123,C124,C125,)</f>
        <v>329.29259999999999</v>
      </c>
      <c r="D118" s="124">
        <f t="shared" ref="D118:AV118" si="14">SUM(D120,D119,D121,D122,D123,D124,D125,)</f>
        <v>696.81639999999993</v>
      </c>
      <c r="E118" s="124">
        <f t="shared" si="14"/>
        <v>442.32250000000005</v>
      </c>
      <c r="F118" s="124">
        <f t="shared" si="14"/>
        <v>362.63659999999999</v>
      </c>
      <c r="G118" s="124">
        <f t="shared" si="14"/>
        <v>1184.0273999999999</v>
      </c>
      <c r="H118" s="124">
        <f t="shared" si="14"/>
        <v>465.39060000000006</v>
      </c>
      <c r="I118" s="124">
        <f t="shared" si="14"/>
        <v>726.70309999999995</v>
      </c>
      <c r="J118" s="124">
        <f t="shared" si="14"/>
        <v>253.8691</v>
      </c>
      <c r="K118" s="124">
        <f t="shared" si="14"/>
        <v>283.14879999999999</v>
      </c>
      <c r="L118" s="124">
        <f t="shared" si="14"/>
        <v>797.5800999999999</v>
      </c>
      <c r="M118" s="124">
        <f t="shared" si="14"/>
        <v>329.14179999999999</v>
      </c>
      <c r="N118" s="124">
        <f t="shared" si="14"/>
        <v>846.82130000000006</v>
      </c>
      <c r="O118" s="124">
        <f t="shared" si="14"/>
        <v>673.36930000000007</v>
      </c>
      <c r="P118" s="124">
        <f t="shared" si="14"/>
        <v>646.32560000000001</v>
      </c>
      <c r="Q118" s="124">
        <f t="shared" si="14"/>
        <v>1027.5051000000001</v>
      </c>
      <c r="R118" s="124">
        <f t="shared" si="14"/>
        <v>1418.4368999999999</v>
      </c>
      <c r="S118" s="124">
        <f t="shared" si="14"/>
        <v>1152.0319000000002</v>
      </c>
      <c r="T118" s="124">
        <f t="shared" si="14"/>
        <v>482.55200000000002</v>
      </c>
      <c r="U118" s="124">
        <f t="shared" si="14"/>
        <v>457.13560000000001</v>
      </c>
      <c r="V118" s="124">
        <f t="shared" si="14"/>
        <v>513.36289999999997</v>
      </c>
      <c r="W118" s="124">
        <f t="shared" si="14"/>
        <v>570.28710000000001</v>
      </c>
      <c r="X118" s="124">
        <f t="shared" si="14"/>
        <v>627.21130000000005</v>
      </c>
      <c r="Y118" s="124">
        <f t="shared" si="14"/>
        <v>684.13549999999998</v>
      </c>
      <c r="Z118" s="124">
        <f t="shared" si="14"/>
        <v>917.95589999999993</v>
      </c>
      <c r="AA118" s="124">
        <f t="shared" si="14"/>
        <v>926.7165</v>
      </c>
      <c r="AB118" s="124">
        <f t="shared" si="14"/>
        <v>1069.6161000000002</v>
      </c>
      <c r="AC118" s="124">
        <f t="shared" si="14"/>
        <v>1600.2984999999999</v>
      </c>
      <c r="AD118" s="124">
        <f t="shared" si="14"/>
        <v>1093.0288</v>
      </c>
      <c r="AE118" s="124">
        <f t="shared" si="14"/>
        <v>928.91780000000006</v>
      </c>
      <c r="AF118" s="124">
        <f t="shared" si="14"/>
        <v>1751.8262999999999</v>
      </c>
      <c r="AG118" s="124">
        <f t="shared" si="14"/>
        <v>810.94910000000004</v>
      </c>
      <c r="AH118" s="124">
        <f t="shared" si="14"/>
        <v>1218.3833999999999</v>
      </c>
      <c r="AI118" s="124">
        <f t="shared" si="14"/>
        <v>757.28380000000004</v>
      </c>
      <c r="AJ118" s="124">
        <f t="shared" si="14"/>
        <v>858.79719999999998</v>
      </c>
      <c r="AK118" s="124">
        <f t="shared" si="14"/>
        <v>1288.7076</v>
      </c>
      <c r="AL118" s="124">
        <f t="shared" si="14"/>
        <v>932.02320000000009</v>
      </c>
      <c r="AM118" s="124">
        <f t="shared" si="14"/>
        <v>1430.2684999999999</v>
      </c>
      <c r="AN118" s="124">
        <f t="shared" si="14"/>
        <v>1264.0669</v>
      </c>
      <c r="AO118" s="124">
        <f t="shared" si="14"/>
        <v>1188.3583000000001</v>
      </c>
      <c r="AP118" s="124">
        <f t="shared" si="14"/>
        <v>1630.1641999999999</v>
      </c>
      <c r="AQ118" s="124">
        <f t="shared" si="14"/>
        <v>2003.7728</v>
      </c>
      <c r="AR118" s="124">
        <f t="shared" si="14"/>
        <v>1777.1785000000002</v>
      </c>
      <c r="AS118" s="124">
        <f t="shared" si="14"/>
        <v>1112.2908</v>
      </c>
      <c r="AT118" s="124">
        <f t="shared" si="14"/>
        <v>1062.5152</v>
      </c>
      <c r="AU118" s="124">
        <f t="shared" si="14"/>
        <v>1109.7327</v>
      </c>
      <c r="AV118" s="124">
        <f t="shared" si="14"/>
        <v>1265.9583</v>
      </c>
    </row>
    <row r="119" spans="1:48">
      <c r="A119" s="743" t="s">
        <v>17</v>
      </c>
      <c r="B119" s="743"/>
      <c r="C119" s="125" cm="1">
        <f t="array" ref="C119">SUMPRODUCT(C$134:C$166,IF(_xlfn.XLOOKUP($B$134:$B$166,Definitions!$K$17:$K$49,Definitions!$M$17:$M$49,"")=$A67,1,0))</f>
        <v>50</v>
      </c>
      <c r="D119" s="125" cm="1">
        <f t="array" ref="D119">SUMPRODUCT(D$134:D$166,IF(_xlfn.XLOOKUP($B$134:$B$166,Definitions!$K$17:$K$49,Definitions!$M$17:$M$49,"")=$A67,1,0))</f>
        <v>25</v>
      </c>
      <c r="E119" s="125" cm="1">
        <f t="array" ref="E119">SUMPRODUCT(E$134:E$166,IF(_xlfn.XLOOKUP($B$134:$B$166,Definitions!$K$17:$K$49,Definitions!$M$17:$M$49,"")=$A67,1,0))</f>
        <v>0</v>
      </c>
      <c r="F119" s="125" cm="1">
        <f t="array" ref="F119">SUMPRODUCT(F$134:F$166,IF(_xlfn.XLOOKUP($B$134:$B$166,Definitions!$K$17:$K$49,Definitions!$M$17:$M$49,"")=$A67,1,0))</f>
        <v>20</v>
      </c>
      <c r="G119" s="125" cm="1">
        <f t="array" ref="G119">SUMPRODUCT(G$134:G$166,IF(_xlfn.XLOOKUP($B$134:$B$166,Definitions!$K$17:$K$49,Definitions!$M$17:$M$49,"")=$A67,1,0))</f>
        <v>0</v>
      </c>
      <c r="H119" s="125" cm="1">
        <f t="array" ref="H119">SUMPRODUCT(H$134:H$166,IF(_xlfn.XLOOKUP($B$134:$B$166,Definitions!$K$17:$K$49,Definitions!$M$17:$M$49,"")=$A67,1,0))</f>
        <v>120.5</v>
      </c>
      <c r="I119" s="125" cm="1">
        <f t="array" ref="I119">SUMPRODUCT(I$134:I$166,IF(_xlfn.XLOOKUP($B$134:$B$166,Definitions!$K$17:$K$49,Definitions!$M$17:$M$49,"")=$A67,1,0))</f>
        <v>50</v>
      </c>
      <c r="J119" s="125" cm="1">
        <f t="array" ref="J119">SUMPRODUCT(J$134:J$166,IF(_xlfn.XLOOKUP($B$134:$B$166,Definitions!$K$17:$K$49,Definitions!$M$17:$M$49,"")=$A67,1,0))</f>
        <v>27</v>
      </c>
      <c r="K119" s="125" cm="1">
        <f t="array" ref="K119">SUMPRODUCT(K$134:K$166,IF(_xlfn.XLOOKUP($B$134:$B$166,Definitions!$K$17:$K$49,Definitions!$M$17:$M$49,"")=$A67,1,0))</f>
        <v>7.5</v>
      </c>
      <c r="L119" s="125" cm="1">
        <f t="array" ref="L119">SUMPRODUCT(L$134:L$166,IF(_xlfn.XLOOKUP($B$134:$B$166,Definitions!$K$17:$K$49,Definitions!$M$17:$M$49,"")=$A67,1,0))</f>
        <v>15</v>
      </c>
      <c r="M119" s="125" cm="1">
        <f t="array" ref="M119">SUMPRODUCT(M$134:M$166,IF(_xlfn.XLOOKUP($B$134:$B$166,Definitions!$K$17:$K$49,Definitions!$M$17:$M$49,"")=$A67,1,0))</f>
        <v>0.75</v>
      </c>
      <c r="N119" s="125" cm="1">
        <f t="array" ref="N119">SUMPRODUCT(N$134:N$166,IF(_xlfn.XLOOKUP($B$134:$B$166,Definitions!$K$17:$K$49,Definitions!$M$17:$M$49,"")=$A67,1,0))</f>
        <v>0</v>
      </c>
      <c r="O119" s="125" cm="1">
        <f t="array" ref="O119">SUMPRODUCT(O$134:O$166,IF(_xlfn.XLOOKUP($B$134:$B$166,Definitions!$K$17:$K$49,Definitions!$M$17:$M$49,"")=$A67,1,0))</f>
        <v>44.5</v>
      </c>
      <c r="P119" s="125" cm="1">
        <f t="array" ref="P119">SUMPRODUCT(P$134:P$166,IF(_xlfn.XLOOKUP($B$134:$B$166,Definitions!$K$17:$K$49,Definitions!$M$17:$M$49,"")=$A67,1,0))</f>
        <v>22.25</v>
      </c>
      <c r="Q119" s="125" cm="1">
        <f t="array" ref="Q119">SUMPRODUCT(Q$134:Q$166,IF(_xlfn.XLOOKUP($B$134:$B$166,Definitions!$K$17:$K$49,Definitions!$M$17:$M$49,"")=$A67,1,0))</f>
        <v>0</v>
      </c>
      <c r="R119" s="125" cm="1">
        <f t="array" ref="R119">SUMPRODUCT(R$134:R$166,IF(_xlfn.XLOOKUP($B$134:$B$166,Definitions!$K$17:$K$49,Definitions!$M$17:$M$49,"")=$A67,1,0))</f>
        <v>0</v>
      </c>
      <c r="S119" s="125" cm="1">
        <f t="array" ref="S119">SUMPRODUCT(S$134:S$166,IF(_xlfn.XLOOKUP($B$134:$B$166,Definitions!$K$17:$K$49,Definitions!$M$17:$M$49,"")=$A67,1,0))</f>
        <v>0</v>
      </c>
      <c r="T119" s="125" cm="1">
        <f t="array" ref="T119">SUMPRODUCT(T$134:T$166,IF(_xlfn.XLOOKUP($B$134:$B$166,Definitions!$K$17:$K$49,Definitions!$M$17:$M$49,"")=$A67,1,0))</f>
        <v>0</v>
      </c>
      <c r="U119" s="125" cm="1">
        <f t="array" ref="U119">SUMPRODUCT(U$134:U$166,IF(_xlfn.XLOOKUP($B$134:$B$166,Definitions!$K$17:$K$49,Definitions!$M$17:$M$49,"")=$A67,1,0))</f>
        <v>0</v>
      </c>
      <c r="V119" s="125" cm="1">
        <f t="array" ref="V119">SUMPRODUCT(V$134:V$166,IF(_xlfn.XLOOKUP($B$134:$B$166,Definitions!$K$17:$K$49,Definitions!$M$17:$M$49,"")=$A67,1,0))</f>
        <v>0</v>
      </c>
      <c r="W119" s="125" cm="1">
        <f t="array" ref="W119">SUMPRODUCT(W$134:W$166,IF(_xlfn.XLOOKUP($B$134:$B$166,Definitions!$K$17:$K$49,Definitions!$M$17:$M$49,"")=$A67,1,0))</f>
        <v>0</v>
      </c>
      <c r="X119" s="125" cm="1">
        <f t="array" ref="X119">SUMPRODUCT(X$134:X$166,IF(_xlfn.XLOOKUP($B$134:$B$166,Definitions!$K$17:$K$49,Definitions!$M$17:$M$49,"")=$A67,1,0))</f>
        <v>0</v>
      </c>
      <c r="Y119" s="125" cm="1">
        <f t="array" ref="Y119">SUMPRODUCT(Y$134:Y$166,IF(_xlfn.XLOOKUP($B$134:$B$166,Definitions!$K$17:$K$49,Definitions!$M$17:$M$49,"")=$A67,1,0))</f>
        <v>0</v>
      </c>
      <c r="Z119" s="125" cm="1">
        <f t="array" ref="Z119">SUMPRODUCT(Z$134:Z$166,IF(_xlfn.XLOOKUP($B$134:$B$166,Definitions!$K$17:$K$49,Definitions!$M$17:$M$49,"")=$A67,1,0))</f>
        <v>176.5478</v>
      </c>
      <c r="AA119" s="125" cm="1">
        <f t="array" ref="AA119">SUMPRODUCT(AA$134:AA$166,IF(_xlfn.XLOOKUP($B$134:$B$166,Definitions!$K$17:$K$49,Definitions!$M$17:$M$49,"")=$A67,1,0))</f>
        <v>73.202200000000005</v>
      </c>
      <c r="AB119" s="125" cm="1">
        <f t="array" ref="AB119">SUMPRODUCT(AB$134:AB$166,IF(_xlfn.XLOOKUP($B$134:$B$166,Definitions!$K$17:$K$49,Definitions!$M$17:$M$49,"")=$A67,1,0))</f>
        <v>22.25</v>
      </c>
      <c r="AC119" s="125" cm="1">
        <f t="array" ref="AC119">SUMPRODUCT(AC$134:AC$166,IF(_xlfn.XLOOKUP($B$134:$B$166,Definitions!$K$17:$K$49,Definitions!$M$17:$M$49,"")=$A67,1,0))</f>
        <v>22.25</v>
      </c>
      <c r="AD119" s="125" cm="1">
        <f t="array" ref="AD119">SUMPRODUCT(AD$134:AD$166,IF(_xlfn.XLOOKUP($B$134:$B$166,Definitions!$K$17:$K$49,Definitions!$M$17:$M$49,"")=$A67,1,0))</f>
        <v>22.25</v>
      </c>
      <c r="AE119" s="125" cm="1">
        <f t="array" ref="AE119">SUMPRODUCT(AE$134:AE$166,IF(_xlfn.XLOOKUP($B$134:$B$166,Definitions!$K$17:$K$49,Definitions!$M$17:$M$49,"")=$A67,1,0))</f>
        <v>25.75</v>
      </c>
      <c r="AF119" s="125" cm="1">
        <f t="array" ref="AF119">SUMPRODUCT(AF$134:AF$166,IF(_xlfn.XLOOKUP($B$134:$B$166,Definitions!$K$17:$K$49,Definitions!$M$17:$M$49,"")=$A67,1,0))</f>
        <v>22.25</v>
      </c>
      <c r="AG119" s="125" cm="1">
        <f t="array" ref="AG119">SUMPRODUCT(AG$134:AG$166,IF(_xlfn.XLOOKUP($B$134:$B$166,Definitions!$K$17:$K$49,Definitions!$M$17:$M$49,"")=$A67,1,0))</f>
        <v>22.25</v>
      </c>
      <c r="AH119" s="125" cm="1">
        <f t="array" ref="AH119">SUMPRODUCT(AH$134:AH$166,IF(_xlfn.XLOOKUP($B$134:$B$166,Definitions!$K$17:$K$49,Definitions!$M$17:$M$49,"")=$A67,1,0))</f>
        <v>47.25</v>
      </c>
      <c r="AI119" s="125" cm="1">
        <f t="array" ref="AI119">SUMPRODUCT(AI$134:AI$166,IF(_xlfn.XLOOKUP($B$134:$B$166,Definitions!$K$17:$K$49,Definitions!$M$17:$M$49,"")=$A67,1,0))</f>
        <v>22.25</v>
      </c>
      <c r="AJ119" s="125" cm="1">
        <f t="array" ref="AJ119">SUMPRODUCT(AJ$134:AJ$166,IF(_xlfn.XLOOKUP($B$134:$B$166,Definitions!$K$17:$K$49,Definitions!$M$17:$M$49,"")=$A67,1,0))</f>
        <v>42.25</v>
      </c>
      <c r="AK119" s="125" cm="1">
        <f t="array" ref="AK119">SUMPRODUCT(AK$134:AK$166,IF(_xlfn.XLOOKUP($B$134:$B$166,Definitions!$K$17:$K$49,Definitions!$M$17:$M$49,"")=$A67,1,0))</f>
        <v>22.25</v>
      </c>
      <c r="AL119" s="125" cm="1">
        <f t="array" ref="AL119">SUMPRODUCT(AL$134:AL$166,IF(_xlfn.XLOOKUP($B$134:$B$166,Definitions!$K$17:$K$49,Definitions!$M$17:$M$49,"")=$A67,1,0))</f>
        <v>142.75</v>
      </c>
      <c r="AM119" s="125" cm="1">
        <f t="array" ref="AM119">SUMPRODUCT(AM$134:AM$166,IF(_xlfn.XLOOKUP($B$134:$B$166,Definitions!$K$17:$K$49,Definitions!$M$17:$M$49,"")=$A67,1,0))</f>
        <v>72.25</v>
      </c>
      <c r="AN119" s="125" cm="1">
        <f t="array" ref="AN119">SUMPRODUCT(AN$134:AN$166,IF(_xlfn.XLOOKUP($B$134:$B$166,Definitions!$K$17:$K$49,Definitions!$M$17:$M$49,"")=$A67,1,0))</f>
        <v>49.25</v>
      </c>
      <c r="AO119" s="125" cm="1">
        <f t="array" ref="AO119">SUMPRODUCT(AO$134:AO$166,IF(_xlfn.XLOOKUP($B$134:$B$166,Definitions!$K$17:$K$49,Definitions!$M$17:$M$49,"")=$A67,1,0))</f>
        <v>29.75</v>
      </c>
      <c r="AP119" s="125" cm="1">
        <f t="array" ref="AP119">SUMPRODUCT(AP$134:AP$166,IF(_xlfn.XLOOKUP($B$134:$B$166,Definitions!$K$17:$K$49,Definitions!$M$17:$M$49,"")=$A67,1,0))</f>
        <v>37.25</v>
      </c>
      <c r="AQ119" s="125" cm="1">
        <f t="array" ref="AQ119">SUMPRODUCT(AQ$134:AQ$166,IF(_xlfn.XLOOKUP($B$134:$B$166,Definitions!$K$17:$K$49,Definitions!$M$17:$M$49,"")=$A67,1,0))</f>
        <v>23</v>
      </c>
      <c r="AR119" s="125" cm="1">
        <f t="array" ref="AR119">SUMPRODUCT(AR$134:AR$166,IF(_xlfn.XLOOKUP($B$134:$B$166,Definitions!$K$17:$K$49,Definitions!$M$17:$M$49,"")=$A67,1,0))</f>
        <v>22.25</v>
      </c>
      <c r="AS119" s="125" cm="1">
        <f t="array" ref="AS119">SUMPRODUCT(AS$134:AS$166,IF(_xlfn.XLOOKUP($B$134:$B$166,Definitions!$K$17:$K$49,Definitions!$M$17:$M$49,"")=$A67,1,0))</f>
        <v>66.75</v>
      </c>
      <c r="AT119" s="125" cm="1">
        <f t="array" ref="AT119">SUMPRODUCT(AT$134:AT$166,IF(_xlfn.XLOOKUP($B$134:$B$166,Definitions!$K$17:$K$49,Definitions!$M$17:$M$49,"")=$A67,1,0))</f>
        <v>44.5</v>
      </c>
      <c r="AU119" s="125" cm="1">
        <f t="array" ref="AU119">SUMPRODUCT(AU$134:AU$166,IF(_xlfn.XLOOKUP($B$134:$B$166,Definitions!$K$17:$K$49,Definitions!$M$17:$M$49,"")=$A67,1,0))</f>
        <v>22.25</v>
      </c>
      <c r="AV119" s="125" cm="1">
        <f t="array" ref="AV119">SUMPRODUCT(AV$134:AV$166,IF(_xlfn.XLOOKUP($B$134:$B$166,Definitions!$K$17:$K$49,Definitions!$M$17:$M$49,"")=$A67,1,0))</f>
        <v>22.25</v>
      </c>
    </row>
    <row r="120" spans="1:48">
      <c r="A120" s="743" t="s">
        <v>29</v>
      </c>
      <c r="B120" s="743"/>
      <c r="C120" s="125" cm="1">
        <f t="array" ref="C120">SUMPRODUCT(C$134:C$166,IF(_xlfn.XLOOKUP($B$134:$B$166,Definitions!$K$17:$K$49,Definitions!$M$17:$M$49,"")=$A68,1,0))</f>
        <v>278.2473</v>
      </c>
      <c r="D120" s="125" cm="1">
        <f t="array" ref="D120">SUMPRODUCT(D$134:D$166,IF(_xlfn.XLOOKUP($B$134:$B$166,Definitions!$K$17:$K$49,Definitions!$M$17:$M$49,"")=$A68,1,0))</f>
        <v>544.25279999999998</v>
      </c>
      <c r="E120" s="125" cm="1">
        <f t="array" ref="E120">SUMPRODUCT(E$134:E$166,IF(_xlfn.XLOOKUP($B$134:$B$166,Definitions!$K$17:$K$49,Definitions!$M$17:$M$49,"")=$A68,1,0))</f>
        <v>403.99560000000002</v>
      </c>
      <c r="F120" s="125" cm="1">
        <f t="array" ref="F120">SUMPRODUCT(F$134:F$166,IF(_xlfn.XLOOKUP($B$134:$B$166,Definitions!$K$17:$K$49,Definitions!$M$17:$M$49,"")=$A68,1,0))</f>
        <v>331.83539999999999</v>
      </c>
      <c r="G120" s="125" cm="1">
        <f t="array" ref="G120">SUMPRODUCT(G$134:G$166,IF(_xlfn.XLOOKUP($B$134:$B$166,Definitions!$K$17:$K$49,Definitions!$M$17:$M$49,"")=$A68,1,0))</f>
        <v>1158.2438999999999</v>
      </c>
      <c r="H120" s="125" cm="1">
        <f t="array" ref="H120">SUMPRODUCT(H$134:H$166,IF(_xlfn.XLOOKUP($B$134:$B$166,Definitions!$K$17:$K$49,Definitions!$M$17:$M$49,"")=$A68,1,0))</f>
        <v>217.36670000000001</v>
      </c>
      <c r="I120" s="125" cm="1">
        <f t="array" ref="I120">SUMPRODUCT(I$134:I$166,IF(_xlfn.XLOOKUP($B$134:$B$166,Definitions!$K$17:$K$49,Definitions!$M$17:$M$49,"")=$A68,1,0))</f>
        <v>578.79539999999997</v>
      </c>
      <c r="J120" s="125" cm="1">
        <f t="array" ref="J120">SUMPRODUCT(J$134:J$166,IF(_xlfn.XLOOKUP($B$134:$B$166,Definitions!$K$17:$K$49,Definitions!$M$17:$M$49,"")=$A68,1,0))</f>
        <v>163.4556</v>
      </c>
      <c r="K120" s="125" cm="1">
        <f t="array" ref="K120">SUMPRODUCT(K$134:K$166,IF(_xlfn.XLOOKUP($B$134:$B$166,Definitions!$K$17:$K$49,Definitions!$M$17:$M$49,"")=$A68,1,0))</f>
        <v>163.4556</v>
      </c>
      <c r="L120" s="125" cm="1">
        <f t="array" ref="L120">SUMPRODUCT(L$134:L$166,IF(_xlfn.XLOOKUP($B$134:$B$166,Definitions!$K$17:$K$49,Definitions!$M$17:$M$49,"")=$A68,1,0))</f>
        <v>695.12519999999995</v>
      </c>
      <c r="M120" s="125" cm="1">
        <f t="array" ref="M120">SUMPRODUCT(M$134:M$166,IF(_xlfn.XLOOKUP($B$134:$B$166,Definitions!$K$17:$K$49,Definitions!$M$17:$M$49,"")=$A68,1,0))</f>
        <v>217.9408</v>
      </c>
      <c r="N120" s="125" cm="1">
        <f t="array" ref="N120">SUMPRODUCT(N$134:N$166,IF(_xlfn.XLOOKUP($B$134:$B$166,Definitions!$K$17:$K$49,Definitions!$M$17:$M$49,"")=$A68,1,0))</f>
        <v>749.61040000000003</v>
      </c>
      <c r="O120" s="125" cm="1">
        <f t="array" ref="O120">SUMPRODUCT(O$134:O$166,IF(_xlfn.XLOOKUP($B$134:$B$166,Definitions!$K$17:$K$49,Definitions!$M$17:$M$49,"")=$A68,1,0))</f>
        <v>616.32600000000002</v>
      </c>
      <c r="P120" s="125" cm="1">
        <f t="array" ref="P120">SUMPRODUCT(P$134:P$166,IF(_xlfn.XLOOKUP($B$134:$B$166,Definitions!$K$17:$K$49,Definitions!$M$17:$M$49,"")=$A68,1,0))</f>
        <v>561.84079999999994</v>
      </c>
      <c r="Q120" s="125" cm="1">
        <f t="array" ref="Q120">SUMPRODUCT(Q$134:Q$166,IF(_xlfn.XLOOKUP($B$134:$B$166,Definitions!$K$17:$K$49,Definitions!$M$17:$M$49,"")=$A68,1,0))</f>
        <v>1012.8712</v>
      </c>
      <c r="R120" s="125" cm="1">
        <f t="array" ref="R120">SUMPRODUCT(R$134:R$166,IF(_xlfn.XLOOKUP($B$134:$B$166,Definitions!$K$17:$K$49,Definitions!$M$17:$M$49,"")=$A68,1,0))</f>
        <v>1402.0608999999999</v>
      </c>
      <c r="S120" s="125" cm="1">
        <f t="array" ref="S120">SUMPRODUCT(S$134:S$166,IF(_xlfn.XLOOKUP($B$134:$B$166,Definitions!$K$17:$K$49,Definitions!$M$17:$M$49,"")=$A68,1,0))</f>
        <v>1097.1865</v>
      </c>
      <c r="T120" s="125" cm="1">
        <f t="array" ref="T120">SUMPRODUCT(T$134:T$166,IF(_xlfn.XLOOKUP($B$134:$B$166,Definitions!$K$17:$K$49,Definitions!$M$17:$M$49,"")=$A68,1,0))</f>
        <v>435.88159999999999</v>
      </c>
      <c r="U120" s="125" cm="1">
        <f t="array" ref="U120">SUMPRODUCT(U$134:U$166,IF(_xlfn.XLOOKUP($B$134:$B$166,Definitions!$K$17:$K$49,Definitions!$M$17:$M$49,"")=$A68,1,0))</f>
        <v>435.88159999999999</v>
      </c>
      <c r="V120" s="125" cm="1">
        <f t="array" ref="V120">SUMPRODUCT(V$134:V$166,IF(_xlfn.XLOOKUP($B$134:$B$166,Definitions!$K$17:$K$49,Definitions!$M$17:$M$49,"")=$A68,1,0))</f>
        <v>490.36680000000001</v>
      </c>
      <c r="W120" s="125" cm="1">
        <f t="array" ref="W120">SUMPRODUCT(W$134:W$166,IF(_xlfn.XLOOKUP($B$134:$B$166,Definitions!$K$17:$K$49,Definitions!$M$17:$M$49,"")=$A68,1,0))</f>
        <v>544.85199999999998</v>
      </c>
      <c r="X120" s="125" cm="1">
        <f t="array" ref="X120">SUMPRODUCT(X$134:X$166,IF(_xlfn.XLOOKUP($B$134:$B$166,Definitions!$K$17:$K$49,Definitions!$M$17:$M$49,"")=$A68,1,0))</f>
        <v>599.33720000000005</v>
      </c>
      <c r="Y120" s="125" cm="1">
        <f t="array" ref="Y120">SUMPRODUCT(Y$134:Y$166,IF(_xlfn.XLOOKUP($B$134:$B$166,Definitions!$K$17:$K$49,Definitions!$M$17:$M$49,"")=$A68,1,0))</f>
        <v>653.82240000000002</v>
      </c>
      <c r="Z120" s="125" cm="1">
        <f t="array" ref="Z120">SUMPRODUCT(Z$134:Z$166,IF(_xlfn.XLOOKUP($B$134:$B$166,Definitions!$K$17:$K$49,Definitions!$M$17:$M$49,"")=$A68,1,0))</f>
        <v>708.30759999999998</v>
      </c>
      <c r="AA120" s="125" cm="1">
        <f t="array" ref="AA120">SUMPRODUCT(AA$134:AA$166,IF(_xlfn.XLOOKUP($B$134:$B$166,Definitions!$K$17:$K$49,Definitions!$M$17:$M$49,"")=$A68,1,0))</f>
        <v>817.27800000000002</v>
      </c>
      <c r="AB120" s="125" cm="1">
        <f t="array" ref="AB120">SUMPRODUCT(AB$134:AB$166,IF(_xlfn.XLOOKUP($B$134:$B$166,Definitions!$K$17:$K$49,Definitions!$M$17:$M$49,"")=$A68,1,0))</f>
        <v>1007.6455</v>
      </c>
      <c r="AC120" s="125" cm="1">
        <f t="array" ref="AC120">SUMPRODUCT(AC$134:AC$166,IF(_xlfn.XLOOKUP($B$134:$B$166,Definitions!$K$17:$K$49,Definitions!$M$17:$M$49,"")=$A68,1,0))</f>
        <v>1089.1048000000001</v>
      </c>
      <c r="AD120" s="125" cm="1">
        <f t="array" ref="AD120">SUMPRODUCT(AD$134:AD$166,IF(_xlfn.XLOOKUP($B$134:$B$166,Definitions!$K$17:$K$49,Definitions!$M$17:$M$49,"")=$A68,1,0))</f>
        <v>948.84760000000006</v>
      </c>
      <c r="AE120" s="125" cm="1">
        <f t="array" ref="AE120">SUMPRODUCT(AE$134:AE$166,IF(_xlfn.XLOOKUP($B$134:$B$166,Definitions!$K$17:$K$49,Definitions!$M$17:$M$49,"")=$A68,1,0))</f>
        <v>876.68740000000003</v>
      </c>
      <c r="AF120" s="125" cm="1">
        <f t="array" ref="AF120">SUMPRODUCT(AF$134:AF$166,IF(_xlfn.XLOOKUP($B$134:$B$166,Definitions!$K$17:$K$49,Definitions!$M$17:$M$49,"")=$A68,1,0))</f>
        <v>1703.0959</v>
      </c>
      <c r="AG120" s="125" cm="1">
        <f t="array" ref="AG120">SUMPRODUCT(AG$134:AG$166,IF(_xlfn.XLOOKUP($B$134:$B$166,Definitions!$K$17:$K$49,Definitions!$M$17:$M$49,"")=$A68,1,0))</f>
        <v>762.21870000000001</v>
      </c>
      <c r="AH120" s="125" cm="1">
        <f t="array" ref="AH120">SUMPRODUCT(AH$134:AH$166,IF(_xlfn.XLOOKUP($B$134:$B$166,Definitions!$K$17:$K$49,Definitions!$M$17:$M$49,"")=$A68,1,0))</f>
        <v>1123.6474000000001</v>
      </c>
      <c r="AI120" s="125" cm="1">
        <f t="array" ref="AI120">SUMPRODUCT(AI$134:AI$166,IF(_xlfn.XLOOKUP($B$134:$B$166,Definitions!$K$17:$K$49,Definitions!$M$17:$M$49,"")=$A68,1,0))</f>
        <v>708.30759999999998</v>
      </c>
      <c r="AJ120" s="125" cm="1">
        <f t="array" ref="AJ120">SUMPRODUCT(AJ$134:AJ$166,IF(_xlfn.XLOOKUP($B$134:$B$166,Definitions!$K$17:$K$49,Definitions!$M$17:$M$49,"")=$A68,1,0))</f>
        <v>708.30759999999998</v>
      </c>
      <c r="AK120" s="125" cm="1">
        <f t="array" ref="AK120">SUMPRODUCT(AK$134:AK$166,IF(_xlfn.XLOOKUP($B$134:$B$166,Definitions!$K$17:$K$49,Definitions!$M$17:$M$49,"")=$A68,1,0))</f>
        <v>1239.9772</v>
      </c>
      <c r="AL120" s="125" cm="1">
        <f t="array" ref="AL120">SUMPRODUCT(AL$134:AL$166,IF(_xlfn.XLOOKUP($B$134:$B$166,Definitions!$K$17:$K$49,Definitions!$M$17:$M$49,"")=$A68,1,0))</f>
        <v>762.79280000000006</v>
      </c>
      <c r="AM120" s="125" cm="1">
        <f t="array" ref="AM120">SUMPRODUCT(AM$134:AM$166,IF(_xlfn.XLOOKUP($B$134:$B$166,Definitions!$K$17:$K$49,Definitions!$M$17:$M$49,"")=$A68,1,0))</f>
        <v>1294.4623999999999</v>
      </c>
      <c r="AN120" s="125" cm="1">
        <f t="array" ref="AN120">SUMPRODUCT(AN$134:AN$166,IF(_xlfn.XLOOKUP($B$134:$B$166,Definitions!$K$17:$K$49,Definitions!$M$17:$M$49,"")=$A68,1,0))</f>
        <v>1161.1780000000001</v>
      </c>
      <c r="AO120" s="125" cm="1">
        <f t="array" ref="AO120">SUMPRODUCT(AO$134:AO$166,IF(_xlfn.XLOOKUP($B$134:$B$166,Definitions!$K$17:$K$49,Definitions!$M$17:$M$49,"")=$A68,1,0))</f>
        <v>1106.6928</v>
      </c>
      <c r="AP120" s="125" cm="1">
        <f t="array" ref="AP120">SUMPRODUCT(AP$134:AP$166,IF(_xlfn.XLOOKUP($B$134:$B$166,Definitions!$K$17:$K$49,Definitions!$M$17:$M$49,"")=$A68,1,0))</f>
        <v>1557.7231999999999</v>
      </c>
      <c r="AQ120" s="125" cm="1">
        <f t="array" ref="AQ120">SUMPRODUCT(AQ$134:AQ$166,IF(_xlfn.XLOOKUP($B$134:$B$166,Definitions!$K$17:$K$49,Definitions!$M$17:$M$49,"")=$A68,1,0))</f>
        <v>1946.9129</v>
      </c>
      <c r="AR120" s="125" cm="1">
        <f t="array" ref="AR120">SUMPRODUCT(AR$134:AR$166,IF(_xlfn.XLOOKUP($B$134:$B$166,Definitions!$K$17:$K$49,Definitions!$M$17:$M$49,"")=$A68,1,0))</f>
        <v>1642.0385000000001</v>
      </c>
      <c r="AS120" s="125" cm="1">
        <f t="array" ref="AS120">SUMPRODUCT(AS$134:AS$166,IF(_xlfn.XLOOKUP($B$134:$B$166,Definitions!$K$17:$K$49,Definitions!$M$17:$M$49,"")=$A68,1,0))</f>
        <v>980.73360000000002</v>
      </c>
      <c r="AT120" s="125" cm="1">
        <f t="array" ref="AT120">SUMPRODUCT(AT$134:AT$166,IF(_xlfn.XLOOKUP($B$134:$B$166,Definitions!$K$17:$K$49,Definitions!$M$17:$M$49,"")=$A68,1,0))</f>
        <v>980.73360000000002</v>
      </c>
      <c r="AU120" s="125" cm="1">
        <f t="array" ref="AU120">SUMPRODUCT(AU$134:AU$166,IF(_xlfn.XLOOKUP($B$134:$B$166,Definitions!$K$17:$K$49,Definitions!$M$17:$M$49,"")=$A68,1,0))</f>
        <v>1035.2188000000001</v>
      </c>
      <c r="AV120" s="125" cm="1">
        <f t="array" ref="AV120">SUMPRODUCT(AV$134:AV$166,IF(_xlfn.XLOOKUP($B$134:$B$166,Definitions!$K$17:$K$49,Definitions!$M$17:$M$49,"")=$A68,1,0))</f>
        <v>1089.704</v>
      </c>
    </row>
    <row r="121" spans="1:48">
      <c r="A121" s="743" t="s">
        <v>59</v>
      </c>
      <c r="B121" s="743"/>
      <c r="C121" s="125" cm="1">
        <f t="array" ref="C121">SUMPRODUCT(C$134:C$166,IF(_xlfn.XLOOKUP($B$134:$B$166,Definitions!$K$17:$K$49,Definitions!$M$17:$M$49,"")=$A69,1,0))</f>
        <v>0</v>
      </c>
      <c r="D121" s="125" cm="1">
        <f t="array" ref="D121">SUMPRODUCT(D$134:D$166,IF(_xlfn.XLOOKUP($B$134:$B$166,Definitions!$K$17:$K$49,Definitions!$M$17:$M$49,"")=$A69,1,0))</f>
        <v>41.154000000000003</v>
      </c>
      <c r="E121" s="125" cm="1">
        <f t="array" ref="E121">SUMPRODUCT(E$134:E$166,IF(_xlfn.XLOOKUP($B$134:$B$166,Definitions!$K$17:$K$49,Definitions!$M$17:$M$49,"")=$A69,1,0))</f>
        <v>0</v>
      </c>
      <c r="F121" s="125" cm="1">
        <f t="array" ref="F121">SUMPRODUCT(F$134:F$166,IF(_xlfn.XLOOKUP($B$134:$B$166,Definitions!$K$17:$K$49,Definitions!$M$17:$M$49,"")=$A69,1,0))</f>
        <v>0</v>
      </c>
      <c r="G121" s="125" cm="1">
        <f t="array" ref="G121">SUMPRODUCT(G$134:G$166,IF(_xlfn.XLOOKUP($B$134:$B$166,Definitions!$K$17:$K$49,Definitions!$M$17:$M$49,"")=$A69,1,0))</f>
        <v>0</v>
      </c>
      <c r="H121" s="125" cm="1">
        <f t="array" ref="H121">SUMPRODUCT(H$134:H$166,IF(_xlfn.XLOOKUP($B$134:$B$166,Definitions!$K$17:$K$49,Definitions!$M$17:$M$49,"")=$A69,1,0))</f>
        <v>0</v>
      </c>
      <c r="I121" s="125" cm="1">
        <f t="array" ref="I121">SUMPRODUCT(I$134:I$166,IF(_xlfn.XLOOKUP($B$134:$B$166,Definitions!$K$17:$K$49,Definitions!$M$17:$M$49,"")=$A69,1,0))</f>
        <v>0</v>
      </c>
      <c r="J121" s="125" cm="1">
        <f t="array" ref="J121">SUMPRODUCT(J$134:J$166,IF(_xlfn.XLOOKUP($B$134:$B$166,Definitions!$K$17:$K$49,Definitions!$M$17:$M$49,"")=$A69,1,0))</f>
        <v>0</v>
      </c>
      <c r="K121" s="125" cm="1">
        <f t="array" ref="K121">SUMPRODUCT(K$134:K$166,IF(_xlfn.XLOOKUP($B$134:$B$166,Definitions!$K$17:$K$49,Definitions!$M$17:$M$49,"")=$A69,1,0))</f>
        <v>0</v>
      </c>
      <c r="L121" s="125" cm="1">
        <f t="array" ref="L121">SUMPRODUCT(L$134:L$166,IF(_xlfn.XLOOKUP($B$134:$B$166,Definitions!$K$17:$K$49,Definitions!$M$17:$M$49,"")=$A69,1,0))</f>
        <v>0</v>
      </c>
      <c r="M121" s="125" cm="1">
        <f t="array" ref="M121">SUMPRODUCT(M$134:M$166,IF(_xlfn.XLOOKUP($B$134:$B$166,Definitions!$K$17:$K$49,Definitions!$M$17:$M$49,"")=$A69,1,0))</f>
        <v>0</v>
      </c>
      <c r="N121" s="125" cm="1">
        <f t="array" ref="N121">SUMPRODUCT(N$134:N$166,IF(_xlfn.XLOOKUP($B$134:$B$166,Definitions!$K$17:$K$49,Definitions!$M$17:$M$49,"")=$A69,1,0))</f>
        <v>0</v>
      </c>
      <c r="O121" s="125" cm="1">
        <f t="array" ref="O121">SUMPRODUCT(O$134:O$166,IF(_xlfn.XLOOKUP($B$134:$B$166,Definitions!$K$17:$K$49,Definitions!$M$17:$M$49,"")=$A69,1,0))</f>
        <v>0</v>
      </c>
      <c r="P121" s="125" cm="1">
        <f t="array" ref="P121">SUMPRODUCT(P$134:P$166,IF(_xlfn.XLOOKUP($B$134:$B$166,Definitions!$K$17:$K$49,Definitions!$M$17:$M$49,"")=$A69,1,0))</f>
        <v>48.6462</v>
      </c>
      <c r="Q121" s="125" cm="1">
        <f t="array" ref="Q121">SUMPRODUCT(Q$134:Q$166,IF(_xlfn.XLOOKUP($B$134:$B$166,Definitions!$K$17:$K$49,Definitions!$M$17:$M$49,"")=$A69,1,0))</f>
        <v>0</v>
      </c>
      <c r="R121" s="125" cm="1">
        <f t="array" ref="R121">SUMPRODUCT(R$134:R$166,IF(_xlfn.XLOOKUP($B$134:$B$166,Definitions!$K$17:$K$49,Definitions!$M$17:$M$49,"")=$A69,1,0))</f>
        <v>0</v>
      </c>
      <c r="S121" s="125" cm="1">
        <f t="array" ref="S121">SUMPRODUCT(S$134:S$166,IF(_xlfn.XLOOKUP($B$134:$B$166,Definitions!$K$17:$K$49,Definitions!$M$17:$M$49,"")=$A69,1,0))</f>
        <v>37.075699999999998</v>
      </c>
      <c r="T121" s="125" cm="1">
        <f t="array" ref="T121">SUMPRODUCT(T$134:T$166,IF(_xlfn.XLOOKUP($B$134:$B$166,Definitions!$K$17:$K$49,Definitions!$M$17:$M$49,"")=$A69,1,0))</f>
        <v>27.1585</v>
      </c>
      <c r="U121" s="125" cm="1">
        <f t="array" ref="U121">SUMPRODUCT(U$134:U$166,IF(_xlfn.XLOOKUP($B$134:$B$166,Definitions!$K$17:$K$49,Definitions!$M$17:$M$49,"")=$A69,1,0))</f>
        <v>0</v>
      </c>
      <c r="V121" s="125" cm="1">
        <f t="array" ref="V121">SUMPRODUCT(V$134:V$166,IF(_xlfn.XLOOKUP($B$134:$B$166,Definitions!$K$17:$K$49,Definitions!$M$17:$M$49,"")=$A69,1,0))</f>
        <v>0</v>
      </c>
      <c r="W121" s="125" cm="1">
        <f t="array" ref="W121">SUMPRODUCT(W$134:W$166,IF(_xlfn.XLOOKUP($B$134:$B$166,Definitions!$K$17:$K$49,Definitions!$M$17:$M$49,"")=$A69,1,0))</f>
        <v>0</v>
      </c>
      <c r="X121" s="125" cm="1">
        <f t="array" ref="X121">SUMPRODUCT(X$134:X$166,IF(_xlfn.XLOOKUP($B$134:$B$166,Definitions!$K$17:$K$49,Definitions!$M$17:$M$49,"")=$A69,1,0))</f>
        <v>0</v>
      </c>
      <c r="Y121" s="125" cm="1">
        <f t="array" ref="Y121">SUMPRODUCT(Y$134:Y$166,IF(_xlfn.XLOOKUP($B$134:$B$166,Definitions!$K$17:$K$49,Definitions!$M$17:$M$49,"")=$A69,1,0))</f>
        <v>0</v>
      </c>
      <c r="Z121" s="125" cm="1">
        <f t="array" ref="Z121">SUMPRODUCT(Z$134:Z$166,IF(_xlfn.XLOOKUP($B$134:$B$166,Definitions!$K$17:$K$49,Definitions!$M$17:$M$49,"")=$A69,1,0))</f>
        <v>0</v>
      </c>
      <c r="AA121" s="125" cm="1">
        <f t="array" ref="AA121">SUMPRODUCT(AA$134:AA$166,IF(_xlfn.XLOOKUP($B$134:$B$166,Definitions!$K$17:$K$49,Definitions!$M$17:$M$49,"")=$A69,1,0))</f>
        <v>0</v>
      </c>
      <c r="AB121" s="125" cm="1">
        <f t="array" ref="AB121">SUMPRODUCT(AB$134:AB$166,IF(_xlfn.XLOOKUP($B$134:$B$166,Definitions!$K$17:$K$49,Definitions!$M$17:$M$49,"")=$A69,1,0))</f>
        <v>0</v>
      </c>
      <c r="AC121" s="125" cm="1">
        <f t="array" ref="AC121">SUMPRODUCT(AC$134:AC$166,IF(_xlfn.XLOOKUP($B$134:$B$166,Definitions!$K$17:$K$49,Definitions!$M$17:$M$49,"")=$A69,1,0))</f>
        <v>462.4633</v>
      </c>
      <c r="AD121" s="125" cm="1">
        <f t="array" ref="AD121">SUMPRODUCT(AD$134:AD$166,IF(_xlfn.XLOOKUP($B$134:$B$166,Definitions!$K$17:$K$49,Definitions!$M$17:$M$49,"")=$A69,1,0))</f>
        <v>95.450800000000001</v>
      </c>
      <c r="AE121" s="125" cm="1">
        <f t="array" ref="AE121">SUMPRODUCT(AE$134:AE$166,IF(_xlfn.XLOOKUP($B$134:$B$166,Definitions!$K$17:$K$49,Definitions!$M$17:$M$49,"")=$A69,1,0))</f>
        <v>0</v>
      </c>
      <c r="AF121" s="125" cm="1">
        <f t="array" ref="AF121">SUMPRODUCT(AF$134:AF$166,IF(_xlfn.XLOOKUP($B$134:$B$166,Definitions!$K$17:$K$49,Definitions!$M$17:$M$49,"")=$A69,1,0))</f>
        <v>0</v>
      </c>
      <c r="AG121" s="125" cm="1">
        <f t="array" ref="AG121">SUMPRODUCT(AG$134:AG$166,IF(_xlfn.XLOOKUP($B$134:$B$166,Definitions!$K$17:$K$49,Definitions!$M$17:$M$49,"")=$A69,1,0))</f>
        <v>0</v>
      </c>
      <c r="AH121" s="125" cm="1">
        <f t="array" ref="AH121">SUMPRODUCT(AH$134:AH$166,IF(_xlfn.XLOOKUP($B$134:$B$166,Definitions!$K$17:$K$49,Definitions!$M$17:$M$49,"")=$A69,1,0))</f>
        <v>21.005600000000001</v>
      </c>
      <c r="AI121" s="125" cm="1">
        <f t="array" ref="AI121">SUMPRODUCT(AI$134:AI$166,IF(_xlfn.XLOOKUP($B$134:$B$166,Definitions!$K$17:$K$49,Definitions!$M$17:$M$49,"")=$A69,1,0))</f>
        <v>0.24579999999999999</v>
      </c>
      <c r="AJ121" s="125" cm="1">
        <f t="array" ref="AJ121">SUMPRODUCT(AJ$134:AJ$166,IF(_xlfn.XLOOKUP($B$134:$B$166,Definitions!$K$17:$K$49,Definitions!$M$17:$M$49,"")=$A69,1,0))</f>
        <v>81.759200000000007</v>
      </c>
      <c r="AK121" s="125" cm="1">
        <f t="array" ref="AK121">SUMPRODUCT(AK$134:AK$166,IF(_xlfn.XLOOKUP($B$134:$B$166,Definitions!$K$17:$K$49,Definitions!$M$17:$M$49,"")=$A69,1,0))</f>
        <v>0</v>
      </c>
      <c r="AL121" s="125" cm="1">
        <f t="array" ref="AL121">SUMPRODUCT(AL$134:AL$166,IF(_xlfn.XLOOKUP($B$134:$B$166,Definitions!$K$17:$K$49,Definitions!$M$17:$M$49,"")=$A69,1,0))</f>
        <v>0</v>
      </c>
      <c r="AM121" s="125" cm="1">
        <f t="array" ref="AM121">SUMPRODUCT(AM$134:AM$166,IF(_xlfn.XLOOKUP($B$134:$B$166,Definitions!$K$17:$K$49,Definitions!$M$17:$M$49,"")=$A69,1,0))</f>
        <v>37.075699999999998</v>
      </c>
      <c r="AN121" s="125" cm="1">
        <f t="array" ref="AN121">SUMPRODUCT(AN$134:AN$166,IF(_xlfn.XLOOKUP($B$134:$B$166,Definitions!$K$17:$K$49,Definitions!$M$17:$M$49,"")=$A69,1,0))</f>
        <v>27.1585</v>
      </c>
      <c r="AO121" s="125" cm="1">
        <f t="array" ref="AO121">SUMPRODUCT(AO$134:AO$166,IF(_xlfn.XLOOKUP($B$134:$B$166,Definitions!$K$17:$K$49,Definitions!$M$17:$M$49,"")=$A69,1,0))</f>
        <v>0</v>
      </c>
      <c r="AP121" s="125" cm="1">
        <f t="array" ref="AP121">SUMPRODUCT(AP$134:AP$166,IF(_xlfn.XLOOKUP($B$134:$B$166,Definitions!$K$17:$K$49,Definitions!$M$17:$M$49,"")=$A69,1,0))</f>
        <v>0</v>
      </c>
      <c r="AQ121" s="125" cm="1">
        <f t="array" ref="AQ121">SUMPRODUCT(AQ$134:AQ$166,IF(_xlfn.XLOOKUP($B$134:$B$166,Definitions!$K$17:$K$49,Definitions!$M$17:$M$49,"")=$A69,1,0))</f>
        <v>6.3342000000000001</v>
      </c>
      <c r="AR121" s="125" cm="1">
        <f t="array" ref="AR121">SUMPRODUCT(AR$134:AR$166,IF(_xlfn.XLOOKUP($B$134:$B$166,Definitions!$K$17:$K$49,Definitions!$M$17:$M$49,"")=$A69,1,0))</f>
        <v>0</v>
      </c>
      <c r="AS121" s="125" cm="1">
        <f t="array" ref="AS121">SUMPRODUCT(AS$134:AS$166,IF(_xlfn.XLOOKUP($B$134:$B$166,Definitions!$K$17:$K$49,Definitions!$M$17:$M$49,"")=$A69,1,0))</f>
        <v>0</v>
      </c>
      <c r="AT121" s="125" cm="1">
        <f t="array" ref="AT121">SUMPRODUCT(AT$134:AT$166,IF(_xlfn.XLOOKUP($B$134:$B$166,Definitions!$K$17:$K$49,Definitions!$M$17:$M$49,"")=$A69,1,0))</f>
        <v>0</v>
      </c>
      <c r="AU121" s="125" cm="1">
        <f t="array" ref="AU121">SUMPRODUCT(AU$134:AU$166,IF(_xlfn.XLOOKUP($B$134:$B$166,Definitions!$K$17:$K$49,Definitions!$M$17:$M$49,"")=$A69,1,0))</f>
        <v>0</v>
      </c>
      <c r="AV121" s="125" cm="1">
        <f t="array" ref="AV121">SUMPRODUCT(AV$134:AV$166,IF(_xlfn.XLOOKUP($B$134:$B$166,Definitions!$K$17:$K$49,Definitions!$M$17:$M$49,"")=$A69,1,0))</f>
        <v>0</v>
      </c>
    </row>
    <row r="122" spans="1:48">
      <c r="A122" s="743" t="s">
        <v>65</v>
      </c>
      <c r="B122" s="743"/>
      <c r="C122" s="125" cm="1">
        <f t="array" ref="C122">SUMPRODUCT(C$134:C$166,IF(_xlfn.XLOOKUP($B$134:$B$166,Definitions!$K$17:$K$49,Definitions!$M$17:$M$49,"")=$A70,1,0))</f>
        <v>0</v>
      </c>
      <c r="D122" s="125" cm="1">
        <f t="array" ref="D122">SUMPRODUCT(D$134:D$166,IF(_xlfn.XLOOKUP($B$134:$B$166,Definitions!$K$17:$K$49,Definitions!$M$17:$M$49,"")=$A70,1,0))</f>
        <v>0</v>
      </c>
      <c r="E122" s="125" cm="1">
        <f t="array" ref="E122">SUMPRODUCT(E$134:E$166,IF(_xlfn.XLOOKUP($B$134:$B$166,Definitions!$K$17:$K$49,Definitions!$M$17:$M$49,"")=$A70,1,0))</f>
        <v>0</v>
      </c>
      <c r="F122" s="125" cm="1">
        <f t="array" ref="F122">SUMPRODUCT(F$134:F$166,IF(_xlfn.XLOOKUP($B$134:$B$166,Definitions!$K$17:$K$49,Definitions!$M$17:$M$49,"")=$A70,1,0))</f>
        <v>0</v>
      </c>
      <c r="G122" s="125" cm="1">
        <f t="array" ref="G122">SUMPRODUCT(G$134:G$166,IF(_xlfn.XLOOKUP($B$134:$B$166,Definitions!$K$17:$K$49,Definitions!$M$17:$M$49,"")=$A70,1,0))</f>
        <v>0</v>
      </c>
      <c r="H122" s="125" cm="1">
        <f t="array" ref="H122">SUMPRODUCT(H$134:H$166,IF(_xlfn.XLOOKUP($B$134:$B$166,Definitions!$K$17:$K$49,Definitions!$M$17:$M$49,"")=$A70,1,0))</f>
        <v>0</v>
      </c>
      <c r="I122" s="125" cm="1">
        <f t="array" ref="I122">SUMPRODUCT(I$134:I$166,IF(_xlfn.XLOOKUP($B$134:$B$166,Definitions!$K$17:$K$49,Definitions!$M$17:$M$49,"")=$A70,1,0))</f>
        <v>0</v>
      </c>
      <c r="J122" s="125" cm="1">
        <f t="array" ref="J122">SUMPRODUCT(J$134:J$166,IF(_xlfn.XLOOKUP($B$134:$B$166,Definitions!$K$17:$K$49,Definitions!$M$17:$M$49,"")=$A70,1,0))</f>
        <v>0</v>
      </c>
      <c r="K122" s="125" cm="1">
        <f t="array" ref="K122">SUMPRODUCT(K$134:K$166,IF(_xlfn.XLOOKUP($B$134:$B$166,Definitions!$K$17:$K$49,Definitions!$M$17:$M$49,"")=$A70,1,0))</f>
        <v>0</v>
      </c>
      <c r="L122" s="125" cm="1">
        <f t="array" ref="L122">SUMPRODUCT(L$134:L$166,IF(_xlfn.XLOOKUP($B$134:$B$166,Definitions!$K$17:$K$49,Definitions!$M$17:$M$49,"")=$A70,1,0))</f>
        <v>0</v>
      </c>
      <c r="M122" s="125" cm="1">
        <f t="array" ref="M122">SUMPRODUCT(M$134:M$166,IF(_xlfn.XLOOKUP($B$134:$B$166,Definitions!$K$17:$K$49,Definitions!$M$17:$M$49,"")=$A70,1,0))</f>
        <v>0</v>
      </c>
      <c r="N122" s="125" cm="1">
        <f t="array" ref="N122">SUMPRODUCT(N$134:N$166,IF(_xlfn.XLOOKUP($B$134:$B$166,Definitions!$K$17:$K$49,Definitions!$M$17:$M$49,"")=$A70,1,0))</f>
        <v>0</v>
      </c>
      <c r="O122" s="125" cm="1">
        <f t="array" ref="O122">SUMPRODUCT(O$134:O$166,IF(_xlfn.XLOOKUP($B$134:$B$166,Definitions!$K$17:$K$49,Definitions!$M$17:$M$49,"")=$A70,1,0))</f>
        <v>0</v>
      </c>
      <c r="P122" s="125" cm="1">
        <f t="array" ref="P122">SUMPRODUCT(P$134:P$166,IF(_xlfn.XLOOKUP($B$134:$B$166,Definitions!$K$17:$K$49,Definitions!$M$17:$M$49,"")=$A70,1,0))</f>
        <v>0</v>
      </c>
      <c r="Q122" s="125" cm="1">
        <f t="array" ref="Q122">SUMPRODUCT(Q$134:Q$166,IF(_xlfn.XLOOKUP($B$134:$B$166,Definitions!$K$17:$K$49,Definitions!$M$17:$M$49,"")=$A70,1,0))</f>
        <v>0</v>
      </c>
      <c r="R122" s="125" cm="1">
        <f t="array" ref="R122">SUMPRODUCT(R$134:R$166,IF(_xlfn.XLOOKUP($B$134:$B$166,Definitions!$K$17:$K$49,Definitions!$M$17:$M$49,"")=$A70,1,0))</f>
        <v>0</v>
      </c>
      <c r="S122" s="125" cm="1">
        <f t="array" ref="S122">SUMPRODUCT(S$134:S$166,IF(_xlfn.XLOOKUP($B$134:$B$166,Definitions!$K$17:$K$49,Definitions!$M$17:$M$49,"")=$A70,1,0))</f>
        <v>0</v>
      </c>
      <c r="T122" s="125" cm="1">
        <f t="array" ref="T122">SUMPRODUCT(T$134:T$166,IF(_xlfn.XLOOKUP($B$134:$B$166,Definitions!$K$17:$K$49,Definitions!$M$17:$M$49,"")=$A70,1,0))</f>
        <v>0</v>
      </c>
      <c r="U122" s="125" cm="1">
        <f t="array" ref="U122">SUMPRODUCT(U$134:U$166,IF(_xlfn.XLOOKUP($B$134:$B$166,Definitions!$K$17:$K$49,Definitions!$M$17:$M$49,"")=$A70,1,0))</f>
        <v>0</v>
      </c>
      <c r="V122" s="125" cm="1">
        <f t="array" ref="V122">SUMPRODUCT(V$134:V$166,IF(_xlfn.XLOOKUP($B$134:$B$166,Definitions!$K$17:$K$49,Definitions!$M$17:$M$49,"")=$A70,1,0))</f>
        <v>0</v>
      </c>
      <c r="W122" s="125" cm="1">
        <f t="array" ref="W122">SUMPRODUCT(W$134:W$166,IF(_xlfn.XLOOKUP($B$134:$B$166,Definitions!$K$17:$K$49,Definitions!$M$17:$M$49,"")=$A70,1,0))</f>
        <v>0</v>
      </c>
      <c r="X122" s="125" cm="1">
        <f t="array" ref="X122">SUMPRODUCT(X$134:X$166,IF(_xlfn.XLOOKUP($B$134:$B$166,Definitions!$K$17:$K$49,Definitions!$M$17:$M$49,"")=$A70,1,0))</f>
        <v>0</v>
      </c>
      <c r="Y122" s="125" cm="1">
        <f t="array" ref="Y122">SUMPRODUCT(Y$134:Y$166,IF(_xlfn.XLOOKUP($B$134:$B$166,Definitions!$K$17:$K$49,Definitions!$M$17:$M$49,"")=$A70,1,0))</f>
        <v>0</v>
      </c>
      <c r="Z122" s="125" cm="1">
        <f t="array" ref="Z122">SUMPRODUCT(Z$134:Z$166,IF(_xlfn.XLOOKUP($B$134:$B$166,Definitions!$K$17:$K$49,Definitions!$M$17:$M$49,"")=$A70,1,0))</f>
        <v>0</v>
      </c>
      <c r="AA122" s="125" cm="1">
        <f t="array" ref="AA122">SUMPRODUCT(AA$134:AA$166,IF(_xlfn.XLOOKUP($B$134:$B$166,Definitions!$K$17:$K$49,Definitions!$M$17:$M$49,"")=$A70,1,0))</f>
        <v>0</v>
      </c>
      <c r="AB122" s="125" cm="1">
        <f t="array" ref="AB122">SUMPRODUCT(AB$134:AB$166,IF(_xlfn.XLOOKUP($B$134:$B$166,Definitions!$K$17:$K$49,Definitions!$M$17:$M$49,"")=$A70,1,0))</f>
        <v>0</v>
      </c>
      <c r="AC122" s="125" cm="1">
        <f t="array" ref="AC122">SUMPRODUCT(AC$134:AC$166,IF(_xlfn.XLOOKUP($B$134:$B$166,Definitions!$K$17:$K$49,Definitions!$M$17:$M$49,"")=$A70,1,0))</f>
        <v>0</v>
      </c>
      <c r="AD122" s="125" cm="1">
        <f t="array" ref="AD122">SUMPRODUCT(AD$134:AD$166,IF(_xlfn.XLOOKUP($B$134:$B$166,Definitions!$K$17:$K$49,Definitions!$M$17:$M$49,"")=$A70,1,0))</f>
        <v>0</v>
      </c>
      <c r="AE122" s="125" cm="1">
        <f t="array" ref="AE122">SUMPRODUCT(AE$134:AE$166,IF(_xlfn.XLOOKUP($B$134:$B$166,Definitions!$K$17:$K$49,Definitions!$M$17:$M$49,"")=$A70,1,0))</f>
        <v>0</v>
      </c>
      <c r="AF122" s="125" cm="1">
        <f t="array" ref="AF122">SUMPRODUCT(AF$134:AF$166,IF(_xlfn.XLOOKUP($B$134:$B$166,Definitions!$K$17:$K$49,Definitions!$M$17:$M$49,"")=$A70,1,0))</f>
        <v>0</v>
      </c>
      <c r="AG122" s="125" cm="1">
        <f t="array" ref="AG122">SUMPRODUCT(AG$134:AG$166,IF(_xlfn.XLOOKUP($B$134:$B$166,Definitions!$K$17:$K$49,Definitions!$M$17:$M$49,"")=$A70,1,0))</f>
        <v>0</v>
      </c>
      <c r="AH122" s="125" cm="1">
        <f t="array" ref="AH122">SUMPRODUCT(AH$134:AH$166,IF(_xlfn.XLOOKUP($B$134:$B$166,Definitions!$K$17:$K$49,Definitions!$M$17:$M$49,"")=$A70,1,0))</f>
        <v>0</v>
      </c>
      <c r="AI122" s="125" cm="1">
        <f t="array" ref="AI122">SUMPRODUCT(AI$134:AI$166,IF(_xlfn.XLOOKUP($B$134:$B$166,Definitions!$K$17:$K$49,Definitions!$M$17:$M$49,"")=$A70,1,0))</f>
        <v>0</v>
      </c>
      <c r="AJ122" s="125" cm="1">
        <f t="array" ref="AJ122">SUMPRODUCT(AJ$134:AJ$166,IF(_xlfn.XLOOKUP($B$134:$B$166,Definitions!$K$17:$K$49,Definitions!$M$17:$M$49,"")=$A70,1,0))</f>
        <v>0</v>
      </c>
      <c r="AK122" s="125" cm="1">
        <f t="array" ref="AK122">SUMPRODUCT(AK$134:AK$166,IF(_xlfn.XLOOKUP($B$134:$B$166,Definitions!$K$17:$K$49,Definitions!$M$17:$M$49,"")=$A70,1,0))</f>
        <v>0</v>
      </c>
      <c r="AL122" s="125" cm="1">
        <f t="array" ref="AL122">SUMPRODUCT(AL$134:AL$166,IF(_xlfn.XLOOKUP($B$134:$B$166,Definitions!$K$17:$K$49,Definitions!$M$17:$M$49,"")=$A70,1,0))</f>
        <v>0</v>
      </c>
      <c r="AM122" s="125" cm="1">
        <f t="array" ref="AM122">SUMPRODUCT(AM$134:AM$166,IF(_xlfn.XLOOKUP($B$134:$B$166,Definitions!$K$17:$K$49,Definitions!$M$17:$M$49,"")=$A70,1,0))</f>
        <v>0</v>
      </c>
      <c r="AN122" s="125" cm="1">
        <f t="array" ref="AN122">SUMPRODUCT(AN$134:AN$166,IF(_xlfn.XLOOKUP($B$134:$B$166,Definitions!$K$17:$K$49,Definitions!$M$17:$M$49,"")=$A70,1,0))</f>
        <v>0</v>
      </c>
      <c r="AO122" s="125" cm="1">
        <f t="array" ref="AO122">SUMPRODUCT(AO$134:AO$166,IF(_xlfn.XLOOKUP($B$134:$B$166,Definitions!$K$17:$K$49,Definitions!$M$17:$M$49,"")=$A70,1,0))</f>
        <v>0</v>
      </c>
      <c r="AP122" s="125" cm="1">
        <f t="array" ref="AP122">SUMPRODUCT(AP$134:AP$166,IF(_xlfn.XLOOKUP($B$134:$B$166,Definitions!$K$17:$K$49,Definitions!$M$17:$M$49,"")=$A70,1,0))</f>
        <v>0</v>
      </c>
      <c r="AQ122" s="125" cm="1">
        <f t="array" ref="AQ122">SUMPRODUCT(AQ$134:AQ$166,IF(_xlfn.XLOOKUP($B$134:$B$166,Definitions!$K$17:$K$49,Definitions!$M$17:$M$49,"")=$A70,1,0))</f>
        <v>0</v>
      </c>
      <c r="AR122" s="125" cm="1">
        <f t="array" ref="AR122">SUMPRODUCT(AR$134:AR$166,IF(_xlfn.XLOOKUP($B$134:$B$166,Definitions!$K$17:$K$49,Definitions!$M$17:$M$49,"")=$A70,1,0))</f>
        <v>0</v>
      </c>
      <c r="AS122" s="125" cm="1">
        <f t="array" ref="AS122">SUMPRODUCT(AS$134:AS$166,IF(_xlfn.XLOOKUP($B$134:$B$166,Definitions!$K$17:$K$49,Definitions!$M$17:$M$49,"")=$A70,1,0))</f>
        <v>0</v>
      </c>
      <c r="AT122" s="125" cm="1">
        <f t="array" ref="AT122">SUMPRODUCT(AT$134:AT$166,IF(_xlfn.XLOOKUP($B$134:$B$166,Definitions!$K$17:$K$49,Definitions!$M$17:$M$49,"")=$A70,1,0))</f>
        <v>0</v>
      </c>
      <c r="AU122" s="125" cm="1">
        <f t="array" ref="AU122">SUMPRODUCT(AU$134:AU$166,IF(_xlfn.XLOOKUP($B$134:$B$166,Definitions!$K$17:$K$49,Definitions!$M$17:$M$49,"")=$A70,1,0))</f>
        <v>0</v>
      </c>
      <c r="AV122" s="125" cm="1">
        <f t="array" ref="AV122">SUMPRODUCT(AV$134:AV$166,IF(_xlfn.XLOOKUP($B$134:$B$166,Definitions!$K$17:$K$49,Definitions!$M$17:$M$49,"")=$A70,1,0))</f>
        <v>0</v>
      </c>
    </row>
    <row r="123" spans="1:48">
      <c r="A123" s="743" t="s">
        <v>75</v>
      </c>
      <c r="B123" s="743"/>
      <c r="C123" s="125" cm="1">
        <f t="array" ref="C123">SUMPRODUCT(C$134:C$166,IF(_xlfn.XLOOKUP($B$134:$B$166,Definitions!$K$17:$K$49,Definitions!$M$17:$M$49,"")=$A71,1,0))</f>
        <v>1.0452999999999999</v>
      </c>
      <c r="D123" s="125" cm="1">
        <f t="array" ref="D123">SUMPRODUCT(D$134:D$166,IF(_xlfn.XLOOKUP($B$134:$B$166,Definitions!$K$17:$K$49,Definitions!$M$17:$M$49,"")=$A71,1,0))</f>
        <v>86.409599999999998</v>
      </c>
      <c r="E123" s="125" cm="1">
        <f t="array" ref="E123">SUMPRODUCT(E$134:E$166,IF(_xlfn.XLOOKUP($B$134:$B$166,Definitions!$K$17:$K$49,Definitions!$M$17:$M$49,"")=$A71,1,0))</f>
        <v>38.326900000000002</v>
      </c>
      <c r="F123" s="125" cm="1">
        <f t="array" ref="F123">SUMPRODUCT(F$134:F$166,IF(_xlfn.XLOOKUP($B$134:$B$166,Definitions!$K$17:$K$49,Definitions!$M$17:$M$49,"")=$A71,1,0))</f>
        <v>10.8012</v>
      </c>
      <c r="G123" s="125" cm="1">
        <f t="array" ref="G123">SUMPRODUCT(G$134:G$166,IF(_xlfn.XLOOKUP($B$134:$B$166,Definitions!$K$17:$K$49,Definitions!$M$17:$M$49,"")=$A71,1,0))</f>
        <v>25.7835</v>
      </c>
      <c r="H123" s="125" cm="1">
        <f t="array" ref="H123">SUMPRODUCT(H$134:H$166,IF(_xlfn.XLOOKUP($B$134:$B$166,Definitions!$K$17:$K$49,Definitions!$M$17:$M$49,"")=$A71,1,0))</f>
        <v>127.5239</v>
      </c>
      <c r="I123" s="125" cm="1">
        <f t="array" ref="I123">SUMPRODUCT(I$134:I$166,IF(_xlfn.XLOOKUP($B$134:$B$166,Definitions!$K$17:$K$49,Definitions!$M$17:$M$49,"")=$A71,1,0))</f>
        <v>97.907700000000006</v>
      </c>
      <c r="J123" s="125" cm="1">
        <f t="array" ref="J123">SUMPRODUCT(J$134:J$166,IF(_xlfn.XLOOKUP($B$134:$B$166,Definitions!$K$17:$K$49,Definitions!$M$17:$M$49,"")=$A71,1,0))</f>
        <v>63.413499999999999</v>
      </c>
      <c r="K123" s="125" cm="1">
        <f t="array" ref="K123">SUMPRODUCT(K$134:K$166,IF(_xlfn.XLOOKUP($B$134:$B$166,Definitions!$K$17:$K$49,Definitions!$M$17:$M$49,"")=$A71,1,0))</f>
        <v>112.1932</v>
      </c>
      <c r="L123" s="125" cm="1">
        <f t="array" ref="L123">SUMPRODUCT(L$134:L$166,IF(_xlfn.XLOOKUP($B$134:$B$166,Definitions!$K$17:$K$49,Definitions!$M$17:$M$49,"")=$A71,1,0))</f>
        <v>87.454899999999995</v>
      </c>
      <c r="M123" s="125" cm="1">
        <f t="array" ref="M123">SUMPRODUCT(M$134:M$166,IF(_xlfn.XLOOKUP($B$134:$B$166,Definitions!$K$17:$K$49,Definitions!$M$17:$M$49,"")=$A71,1,0))</f>
        <v>110.45099999999999</v>
      </c>
      <c r="N123" s="125" cm="1">
        <f t="array" ref="N123">SUMPRODUCT(N$134:N$166,IF(_xlfn.XLOOKUP($B$134:$B$166,Definitions!$K$17:$K$49,Definitions!$M$17:$M$49,"")=$A71,1,0))</f>
        <v>97.210899999999995</v>
      </c>
      <c r="O123" s="125" cm="1">
        <f t="array" ref="O123">SUMPRODUCT(O$134:O$166,IF(_xlfn.XLOOKUP($B$134:$B$166,Definitions!$K$17:$K$49,Definitions!$M$17:$M$49,"")=$A71,1,0))</f>
        <v>12.5433</v>
      </c>
      <c r="P123" s="125" cm="1">
        <f t="array" ref="P123">SUMPRODUCT(P$134:P$166,IF(_xlfn.XLOOKUP($B$134:$B$166,Definitions!$K$17:$K$49,Definitions!$M$17:$M$49,"")=$A71,1,0))</f>
        <v>13.5886</v>
      </c>
      <c r="Q123" s="125" cm="1">
        <f t="array" ref="Q123">SUMPRODUCT(Q$134:Q$166,IF(_xlfn.XLOOKUP($B$134:$B$166,Definitions!$K$17:$K$49,Definitions!$M$17:$M$49,"")=$A71,1,0))</f>
        <v>14.633900000000001</v>
      </c>
      <c r="R123" s="125" cm="1">
        <f t="array" ref="R123">SUMPRODUCT(R$134:R$166,IF(_xlfn.XLOOKUP($B$134:$B$166,Definitions!$K$17:$K$49,Definitions!$M$17:$M$49,"")=$A71,1,0))</f>
        <v>16.376000000000001</v>
      </c>
      <c r="S123" s="125" cm="1">
        <f t="array" ref="S123">SUMPRODUCT(S$134:S$166,IF(_xlfn.XLOOKUP($B$134:$B$166,Definitions!$K$17:$K$49,Definitions!$M$17:$M$49,"")=$A71,1,0))</f>
        <v>17.7697</v>
      </c>
      <c r="T123" s="125" cm="1">
        <f t="array" ref="T123">SUMPRODUCT(T$134:T$166,IF(_xlfn.XLOOKUP($B$134:$B$166,Definitions!$K$17:$K$49,Definitions!$M$17:$M$49,"")=$A71,1,0))</f>
        <v>19.511900000000001</v>
      </c>
      <c r="U123" s="125" cm="1">
        <f t="array" ref="U123">SUMPRODUCT(U$134:U$166,IF(_xlfn.XLOOKUP($B$134:$B$166,Definitions!$K$17:$K$49,Definitions!$M$17:$M$49,"")=$A71,1,0))</f>
        <v>21.254000000000001</v>
      </c>
      <c r="V123" s="125" cm="1">
        <f t="array" ref="V123">SUMPRODUCT(V$134:V$166,IF(_xlfn.XLOOKUP($B$134:$B$166,Definitions!$K$17:$K$49,Definitions!$M$17:$M$49,"")=$A71,1,0))</f>
        <v>22.996099999999998</v>
      </c>
      <c r="W123" s="125" cm="1">
        <f t="array" ref="W123">SUMPRODUCT(W$134:W$166,IF(_xlfn.XLOOKUP($B$134:$B$166,Definitions!$K$17:$K$49,Definitions!$M$17:$M$49,"")=$A71,1,0))</f>
        <v>25.435099999999998</v>
      </c>
      <c r="X123" s="125" cm="1">
        <f t="array" ref="X123">SUMPRODUCT(X$134:X$166,IF(_xlfn.XLOOKUP($B$134:$B$166,Definitions!$K$17:$K$49,Definitions!$M$17:$M$49,"")=$A71,1,0))</f>
        <v>27.874099999999999</v>
      </c>
      <c r="Y123" s="125" cm="1">
        <f t="array" ref="Y123">SUMPRODUCT(Y$134:Y$166,IF(_xlfn.XLOOKUP($B$134:$B$166,Definitions!$K$17:$K$49,Definitions!$M$17:$M$49,"")=$A71,1,0))</f>
        <v>30.313099999999999</v>
      </c>
      <c r="Z123" s="125" cm="1">
        <f t="array" ref="Z123">SUMPRODUCT(Z$134:Z$166,IF(_xlfn.XLOOKUP($B$134:$B$166,Definitions!$K$17:$K$49,Definitions!$M$17:$M$49,"")=$A71,1,0))</f>
        <v>33.100499999999997</v>
      </c>
      <c r="AA123" s="125" cm="1">
        <f t="array" ref="AA123">SUMPRODUCT(AA$134:AA$166,IF(_xlfn.XLOOKUP($B$134:$B$166,Definitions!$K$17:$K$49,Definitions!$M$17:$M$49,"")=$A71,1,0))</f>
        <v>36.2363</v>
      </c>
      <c r="AB123" s="125" cm="1">
        <f t="array" ref="AB123">SUMPRODUCT(AB$134:AB$166,IF(_xlfn.XLOOKUP($B$134:$B$166,Definitions!$K$17:$K$49,Definitions!$M$17:$M$49,"")=$A71,1,0))</f>
        <v>39.720599999999997</v>
      </c>
      <c r="AC123" s="125" cm="1">
        <f t="array" ref="AC123">SUMPRODUCT(AC$134:AC$166,IF(_xlfn.XLOOKUP($B$134:$B$166,Definitions!$K$17:$K$49,Definitions!$M$17:$M$49,"")=$A71,1,0))</f>
        <v>26.480399999999999</v>
      </c>
      <c r="AD123" s="125" cm="1">
        <f t="array" ref="AD123">SUMPRODUCT(AD$134:AD$166,IF(_xlfn.XLOOKUP($B$134:$B$166,Definitions!$K$17:$K$49,Definitions!$M$17:$M$49,"")=$A71,1,0))</f>
        <v>26.480399999999999</v>
      </c>
      <c r="AE123" s="125" cm="1">
        <f t="array" ref="AE123">SUMPRODUCT(AE$134:AE$166,IF(_xlfn.XLOOKUP($B$134:$B$166,Definitions!$K$17:$K$49,Definitions!$M$17:$M$49,"")=$A71,1,0))</f>
        <v>26.480399999999999</v>
      </c>
      <c r="AF123" s="125" cm="1">
        <f t="array" ref="AF123">SUMPRODUCT(AF$134:AF$166,IF(_xlfn.XLOOKUP($B$134:$B$166,Definitions!$K$17:$K$49,Definitions!$M$17:$M$49,"")=$A71,1,0))</f>
        <v>26.480399999999999</v>
      </c>
      <c r="AG123" s="125" cm="1">
        <f t="array" ref="AG123">SUMPRODUCT(AG$134:AG$166,IF(_xlfn.XLOOKUP($B$134:$B$166,Definitions!$K$17:$K$49,Definitions!$M$17:$M$49,"")=$A71,1,0))</f>
        <v>26.480399999999999</v>
      </c>
      <c r="AH123" s="125" cm="1">
        <f t="array" ref="AH123">SUMPRODUCT(AH$134:AH$166,IF(_xlfn.XLOOKUP($B$134:$B$166,Definitions!$K$17:$K$49,Definitions!$M$17:$M$49,"")=$A71,1,0))</f>
        <v>26.480399999999999</v>
      </c>
      <c r="AI123" s="125" cm="1">
        <f t="array" ref="AI123">SUMPRODUCT(AI$134:AI$166,IF(_xlfn.XLOOKUP($B$134:$B$166,Definitions!$K$17:$K$49,Definitions!$M$17:$M$49,"")=$A71,1,0))</f>
        <v>26.480399999999999</v>
      </c>
      <c r="AJ123" s="125" cm="1">
        <f t="array" ref="AJ123">SUMPRODUCT(AJ$134:AJ$166,IF(_xlfn.XLOOKUP($B$134:$B$166,Definitions!$K$17:$K$49,Definitions!$M$17:$M$49,"")=$A71,1,0))</f>
        <v>26.480399999999999</v>
      </c>
      <c r="AK123" s="125" cm="1">
        <f t="array" ref="AK123">SUMPRODUCT(AK$134:AK$166,IF(_xlfn.XLOOKUP($B$134:$B$166,Definitions!$K$17:$K$49,Definitions!$M$17:$M$49,"")=$A71,1,0))</f>
        <v>26.480399999999999</v>
      </c>
      <c r="AL123" s="125" cm="1">
        <f t="array" ref="AL123">SUMPRODUCT(AL$134:AL$166,IF(_xlfn.XLOOKUP($B$134:$B$166,Definitions!$K$17:$K$49,Definitions!$M$17:$M$49,"")=$A71,1,0))</f>
        <v>26.480399999999999</v>
      </c>
      <c r="AM123" s="125" cm="1">
        <f t="array" ref="AM123">SUMPRODUCT(AM$134:AM$166,IF(_xlfn.XLOOKUP($B$134:$B$166,Definitions!$K$17:$K$49,Definitions!$M$17:$M$49,"")=$A71,1,0))</f>
        <v>26.480399999999999</v>
      </c>
      <c r="AN123" s="125" cm="1">
        <f t="array" ref="AN123">SUMPRODUCT(AN$134:AN$166,IF(_xlfn.XLOOKUP($B$134:$B$166,Definitions!$K$17:$K$49,Definitions!$M$17:$M$49,"")=$A71,1,0))</f>
        <v>26.480399999999999</v>
      </c>
      <c r="AO123" s="125" cm="1">
        <f t="array" ref="AO123">SUMPRODUCT(AO$134:AO$166,IF(_xlfn.XLOOKUP($B$134:$B$166,Definitions!$K$17:$K$49,Definitions!$M$17:$M$49,"")=$A71,1,0))</f>
        <v>51.915500000000002</v>
      </c>
      <c r="AP123" s="125" cm="1">
        <f t="array" ref="AP123">SUMPRODUCT(AP$134:AP$166,IF(_xlfn.XLOOKUP($B$134:$B$166,Definitions!$K$17:$K$49,Definitions!$M$17:$M$49,"")=$A71,1,0))</f>
        <v>35.191000000000003</v>
      </c>
      <c r="AQ123" s="125" cm="1">
        <f t="array" ref="AQ123">SUMPRODUCT(AQ$134:AQ$166,IF(_xlfn.XLOOKUP($B$134:$B$166,Definitions!$K$17:$K$49,Definitions!$M$17:$M$49,"")=$A71,1,0))</f>
        <v>27.525700000000001</v>
      </c>
      <c r="AR123" s="125" cm="1">
        <f t="array" ref="AR123">SUMPRODUCT(AR$134:AR$166,IF(_xlfn.XLOOKUP($B$134:$B$166,Definitions!$K$17:$K$49,Definitions!$M$17:$M$49,"")=$A71,1,0))</f>
        <v>112.89</v>
      </c>
      <c r="AS123" s="125" cm="1">
        <f t="array" ref="AS123">SUMPRODUCT(AS$134:AS$166,IF(_xlfn.XLOOKUP($B$134:$B$166,Definitions!$K$17:$K$49,Definitions!$M$17:$M$49,"")=$A71,1,0))</f>
        <v>64.807199999999995</v>
      </c>
      <c r="AT123" s="125" cm="1">
        <f t="array" ref="AT123">SUMPRODUCT(AT$134:AT$166,IF(_xlfn.XLOOKUP($B$134:$B$166,Definitions!$K$17:$K$49,Definitions!$M$17:$M$49,"")=$A71,1,0))</f>
        <v>37.281599999999997</v>
      </c>
      <c r="AU123" s="125" cm="1">
        <f t="array" ref="AU123">SUMPRODUCT(AU$134:AU$166,IF(_xlfn.XLOOKUP($B$134:$B$166,Definitions!$K$17:$K$49,Definitions!$M$17:$M$49,"")=$A71,1,0))</f>
        <v>52.2639</v>
      </c>
      <c r="AV123" s="125" cm="1">
        <f t="array" ref="AV123">SUMPRODUCT(AV$134:AV$166,IF(_xlfn.XLOOKUP($B$134:$B$166,Definitions!$K$17:$K$49,Definitions!$M$17:$M$49,"")=$A71,1,0))</f>
        <v>154.0043</v>
      </c>
    </row>
    <row r="124" spans="1:48">
      <c r="A124" s="743" t="s">
        <v>460</v>
      </c>
      <c r="B124" s="743"/>
      <c r="C124" s="125" cm="1">
        <f t="array" ref="C124">SUMPRODUCT(C$134:C$166,IF(_xlfn.XLOOKUP($B$134:$B$166,Definitions!$K$17:$K$49,Definitions!$M$17:$M$49,"")=$A72,1,0))</f>
        <v>0</v>
      </c>
      <c r="D124" s="125" cm="1">
        <f t="array" ref="D124">SUMPRODUCT(D$134:D$166,IF(_xlfn.XLOOKUP($B$134:$B$166,Definitions!$K$17:$K$49,Definitions!$M$17:$M$49,"")=$A72,1,0))</f>
        <v>0</v>
      </c>
      <c r="E124" s="125" cm="1">
        <f t="array" ref="E124">SUMPRODUCT(E$134:E$166,IF(_xlfn.XLOOKUP($B$134:$B$166,Definitions!$K$17:$K$49,Definitions!$M$17:$M$49,"")=$A72,1,0))</f>
        <v>0</v>
      </c>
      <c r="F124" s="125" cm="1">
        <f t="array" ref="F124">SUMPRODUCT(F$134:F$166,IF(_xlfn.XLOOKUP($B$134:$B$166,Definitions!$K$17:$K$49,Definitions!$M$17:$M$49,"")=$A72,1,0))</f>
        <v>0</v>
      </c>
      <c r="G124" s="125" cm="1">
        <f t="array" ref="G124">SUMPRODUCT(G$134:G$166,IF(_xlfn.XLOOKUP($B$134:$B$166,Definitions!$K$17:$K$49,Definitions!$M$17:$M$49,"")=$A72,1,0))</f>
        <v>0</v>
      </c>
      <c r="H124" s="125" cm="1">
        <f t="array" ref="H124">SUMPRODUCT(H$134:H$166,IF(_xlfn.XLOOKUP($B$134:$B$166,Definitions!$K$17:$K$49,Definitions!$M$17:$M$49,"")=$A72,1,0))</f>
        <v>0</v>
      </c>
      <c r="I124" s="125" cm="1">
        <f t="array" ref="I124">SUMPRODUCT(I$134:I$166,IF(_xlfn.XLOOKUP($B$134:$B$166,Definitions!$K$17:$K$49,Definitions!$M$17:$M$49,"")=$A72,1,0))</f>
        <v>0</v>
      </c>
      <c r="J124" s="125" cm="1">
        <f t="array" ref="J124">SUMPRODUCT(J$134:J$166,IF(_xlfn.XLOOKUP($B$134:$B$166,Definitions!$K$17:$K$49,Definitions!$M$17:$M$49,"")=$A72,1,0))</f>
        <v>0</v>
      </c>
      <c r="K124" s="125" cm="1">
        <f t="array" ref="K124">SUMPRODUCT(K$134:K$166,IF(_xlfn.XLOOKUP($B$134:$B$166,Definitions!$K$17:$K$49,Definitions!$M$17:$M$49,"")=$A72,1,0))</f>
        <v>0</v>
      </c>
      <c r="L124" s="125" cm="1">
        <f t="array" ref="L124">SUMPRODUCT(L$134:L$166,IF(_xlfn.XLOOKUP($B$134:$B$166,Definitions!$K$17:$K$49,Definitions!$M$17:$M$49,"")=$A72,1,0))</f>
        <v>0</v>
      </c>
      <c r="M124" s="125" cm="1">
        <f t="array" ref="M124">SUMPRODUCT(M$134:M$166,IF(_xlfn.XLOOKUP($B$134:$B$166,Definitions!$K$17:$K$49,Definitions!$M$17:$M$49,"")=$A72,1,0))</f>
        <v>0</v>
      </c>
      <c r="N124" s="125" cm="1">
        <f t="array" ref="N124">SUMPRODUCT(N$134:N$166,IF(_xlfn.XLOOKUP($B$134:$B$166,Definitions!$K$17:$K$49,Definitions!$M$17:$M$49,"")=$A72,1,0))</f>
        <v>0</v>
      </c>
      <c r="O124" s="125" cm="1">
        <f t="array" ref="O124">SUMPRODUCT(O$134:O$166,IF(_xlfn.XLOOKUP($B$134:$B$166,Definitions!$K$17:$K$49,Definitions!$M$17:$M$49,"")=$A72,1,0))</f>
        <v>0</v>
      </c>
      <c r="P124" s="125" cm="1">
        <f t="array" ref="P124">SUMPRODUCT(P$134:P$166,IF(_xlfn.XLOOKUP($B$134:$B$166,Definitions!$K$17:$K$49,Definitions!$M$17:$M$49,"")=$A72,1,0))</f>
        <v>0</v>
      </c>
      <c r="Q124" s="125" cm="1">
        <f t="array" ref="Q124">SUMPRODUCT(Q$134:Q$166,IF(_xlfn.XLOOKUP($B$134:$B$166,Definitions!$K$17:$K$49,Definitions!$M$17:$M$49,"")=$A72,1,0))</f>
        <v>0</v>
      </c>
      <c r="R124" s="125" cm="1">
        <f t="array" ref="R124">SUMPRODUCT(R$134:R$166,IF(_xlfn.XLOOKUP($B$134:$B$166,Definitions!$K$17:$K$49,Definitions!$M$17:$M$49,"")=$A72,1,0))</f>
        <v>0</v>
      </c>
      <c r="S124" s="125" cm="1">
        <f t="array" ref="S124">SUMPRODUCT(S$134:S$166,IF(_xlfn.XLOOKUP($B$134:$B$166,Definitions!$K$17:$K$49,Definitions!$M$17:$M$49,"")=$A72,1,0))</f>
        <v>0</v>
      </c>
      <c r="T124" s="125" cm="1">
        <f t="array" ref="T124">SUMPRODUCT(T$134:T$166,IF(_xlfn.XLOOKUP($B$134:$B$166,Definitions!$K$17:$K$49,Definitions!$M$17:$M$49,"")=$A72,1,0))</f>
        <v>0</v>
      </c>
      <c r="U124" s="125" cm="1">
        <f t="array" ref="U124">SUMPRODUCT(U$134:U$166,IF(_xlfn.XLOOKUP($B$134:$B$166,Definitions!$K$17:$K$49,Definitions!$M$17:$M$49,"")=$A72,1,0))</f>
        <v>0</v>
      </c>
      <c r="V124" s="125" cm="1">
        <f t="array" ref="V124">SUMPRODUCT(V$134:V$166,IF(_xlfn.XLOOKUP($B$134:$B$166,Definitions!$K$17:$K$49,Definitions!$M$17:$M$49,"")=$A72,1,0))</f>
        <v>0</v>
      </c>
      <c r="W124" s="125" cm="1">
        <f t="array" ref="W124">SUMPRODUCT(W$134:W$166,IF(_xlfn.XLOOKUP($B$134:$B$166,Definitions!$K$17:$K$49,Definitions!$M$17:$M$49,"")=$A72,1,0))</f>
        <v>0</v>
      </c>
      <c r="X124" s="125" cm="1">
        <f t="array" ref="X124">SUMPRODUCT(X$134:X$166,IF(_xlfn.XLOOKUP($B$134:$B$166,Definitions!$K$17:$K$49,Definitions!$M$17:$M$49,"")=$A72,1,0))</f>
        <v>0</v>
      </c>
      <c r="Y124" s="125" cm="1">
        <f t="array" ref="Y124">SUMPRODUCT(Y$134:Y$166,IF(_xlfn.XLOOKUP($B$134:$B$166,Definitions!$K$17:$K$49,Definitions!$M$17:$M$49,"")=$A72,1,0))</f>
        <v>0</v>
      </c>
      <c r="Z124" s="125" cm="1">
        <f t="array" ref="Z124">SUMPRODUCT(Z$134:Z$166,IF(_xlfn.XLOOKUP($B$134:$B$166,Definitions!$K$17:$K$49,Definitions!$M$17:$M$49,"")=$A72,1,0))</f>
        <v>0</v>
      </c>
      <c r="AA124" s="125" cm="1">
        <f t="array" ref="AA124">SUMPRODUCT(AA$134:AA$166,IF(_xlfn.XLOOKUP($B$134:$B$166,Definitions!$K$17:$K$49,Definitions!$M$17:$M$49,"")=$A72,1,0))</f>
        <v>0</v>
      </c>
      <c r="AB124" s="125" cm="1">
        <f t="array" ref="AB124">SUMPRODUCT(AB$134:AB$166,IF(_xlfn.XLOOKUP($B$134:$B$166,Definitions!$K$17:$K$49,Definitions!$M$17:$M$49,"")=$A72,1,0))</f>
        <v>0</v>
      </c>
      <c r="AC124" s="125" cm="1">
        <f t="array" ref="AC124">SUMPRODUCT(AC$134:AC$166,IF(_xlfn.XLOOKUP($B$134:$B$166,Definitions!$K$17:$K$49,Definitions!$M$17:$M$49,"")=$A72,1,0))</f>
        <v>0</v>
      </c>
      <c r="AD124" s="125" cm="1">
        <f t="array" ref="AD124">SUMPRODUCT(AD$134:AD$166,IF(_xlfn.XLOOKUP($B$134:$B$166,Definitions!$K$17:$K$49,Definitions!$M$17:$M$49,"")=$A72,1,0))</f>
        <v>0</v>
      </c>
      <c r="AE124" s="125" cm="1">
        <f t="array" ref="AE124">SUMPRODUCT(AE$134:AE$166,IF(_xlfn.XLOOKUP($B$134:$B$166,Definitions!$K$17:$K$49,Definitions!$M$17:$M$49,"")=$A72,1,0))</f>
        <v>0</v>
      </c>
      <c r="AF124" s="125" cm="1">
        <f t="array" ref="AF124">SUMPRODUCT(AF$134:AF$166,IF(_xlfn.XLOOKUP($B$134:$B$166,Definitions!$K$17:$K$49,Definitions!$M$17:$M$49,"")=$A72,1,0))</f>
        <v>0</v>
      </c>
      <c r="AG124" s="125" cm="1">
        <f t="array" ref="AG124">SUMPRODUCT(AG$134:AG$166,IF(_xlfn.XLOOKUP($B$134:$B$166,Definitions!$K$17:$K$49,Definitions!$M$17:$M$49,"")=$A72,1,0))</f>
        <v>0</v>
      </c>
      <c r="AH124" s="125" cm="1">
        <f t="array" ref="AH124">SUMPRODUCT(AH$134:AH$166,IF(_xlfn.XLOOKUP($B$134:$B$166,Definitions!$K$17:$K$49,Definitions!$M$17:$M$49,"")=$A72,1,0))</f>
        <v>0</v>
      </c>
      <c r="AI124" s="125" cm="1">
        <f t="array" ref="AI124">SUMPRODUCT(AI$134:AI$166,IF(_xlfn.XLOOKUP($B$134:$B$166,Definitions!$K$17:$K$49,Definitions!$M$17:$M$49,"")=$A72,1,0))</f>
        <v>0</v>
      </c>
      <c r="AJ124" s="125" cm="1">
        <f t="array" ref="AJ124">SUMPRODUCT(AJ$134:AJ$166,IF(_xlfn.XLOOKUP($B$134:$B$166,Definitions!$K$17:$K$49,Definitions!$M$17:$M$49,"")=$A72,1,0))</f>
        <v>0</v>
      </c>
      <c r="AK124" s="125" cm="1">
        <f t="array" ref="AK124">SUMPRODUCT(AK$134:AK$166,IF(_xlfn.XLOOKUP($B$134:$B$166,Definitions!$K$17:$K$49,Definitions!$M$17:$M$49,"")=$A72,1,0))</f>
        <v>0</v>
      </c>
      <c r="AL124" s="125" cm="1">
        <f t="array" ref="AL124">SUMPRODUCT(AL$134:AL$166,IF(_xlfn.XLOOKUP($B$134:$B$166,Definitions!$K$17:$K$49,Definitions!$M$17:$M$49,"")=$A72,1,0))</f>
        <v>0</v>
      </c>
      <c r="AM124" s="125" cm="1">
        <f t="array" ref="AM124">SUMPRODUCT(AM$134:AM$166,IF(_xlfn.XLOOKUP($B$134:$B$166,Definitions!$K$17:$K$49,Definitions!$M$17:$M$49,"")=$A72,1,0))</f>
        <v>0</v>
      </c>
      <c r="AN124" s="125" cm="1">
        <f t="array" ref="AN124">SUMPRODUCT(AN$134:AN$166,IF(_xlfn.XLOOKUP($B$134:$B$166,Definitions!$K$17:$K$49,Definitions!$M$17:$M$49,"")=$A72,1,0))</f>
        <v>0</v>
      </c>
      <c r="AO124" s="125" cm="1">
        <f t="array" ref="AO124">SUMPRODUCT(AO$134:AO$166,IF(_xlfn.XLOOKUP($B$134:$B$166,Definitions!$K$17:$K$49,Definitions!$M$17:$M$49,"")=$A72,1,0))</f>
        <v>0</v>
      </c>
      <c r="AP124" s="125" cm="1">
        <f t="array" ref="AP124">SUMPRODUCT(AP$134:AP$166,IF(_xlfn.XLOOKUP($B$134:$B$166,Definitions!$K$17:$K$49,Definitions!$M$17:$M$49,"")=$A72,1,0))</f>
        <v>0</v>
      </c>
      <c r="AQ124" s="125" cm="1">
        <f t="array" ref="AQ124">SUMPRODUCT(AQ$134:AQ$166,IF(_xlfn.XLOOKUP($B$134:$B$166,Definitions!$K$17:$K$49,Definitions!$M$17:$M$49,"")=$A72,1,0))</f>
        <v>0</v>
      </c>
      <c r="AR124" s="125" cm="1">
        <f t="array" ref="AR124">SUMPRODUCT(AR$134:AR$166,IF(_xlfn.XLOOKUP($B$134:$B$166,Definitions!$K$17:$K$49,Definitions!$M$17:$M$49,"")=$A72,1,0))</f>
        <v>0</v>
      </c>
      <c r="AS124" s="125" cm="1">
        <f t="array" ref="AS124">SUMPRODUCT(AS$134:AS$166,IF(_xlfn.XLOOKUP($B$134:$B$166,Definitions!$K$17:$K$49,Definitions!$M$17:$M$49,"")=$A72,1,0))</f>
        <v>0</v>
      </c>
      <c r="AT124" s="125" cm="1">
        <f t="array" ref="AT124">SUMPRODUCT(AT$134:AT$166,IF(_xlfn.XLOOKUP($B$134:$B$166,Definitions!$K$17:$K$49,Definitions!$M$17:$M$49,"")=$A72,1,0))</f>
        <v>0</v>
      </c>
      <c r="AU124" s="125" cm="1">
        <f t="array" ref="AU124">SUMPRODUCT(AU$134:AU$166,IF(_xlfn.XLOOKUP($B$134:$B$166,Definitions!$K$17:$K$49,Definitions!$M$17:$M$49,"")=$A72,1,0))</f>
        <v>0</v>
      </c>
      <c r="AV124" s="125" cm="1">
        <f t="array" ref="AV124">SUMPRODUCT(AV$134:AV$166,IF(_xlfn.XLOOKUP($B$134:$B$166,Definitions!$K$17:$K$49,Definitions!$M$17:$M$49,"")=$A72,1,0))</f>
        <v>0</v>
      </c>
    </row>
    <row r="125" spans="1:48">
      <c r="A125" s="743" t="s">
        <v>101</v>
      </c>
      <c r="B125" s="743"/>
      <c r="C125" s="125" cm="1">
        <f t="array" ref="C125">SUMPRODUCT(C$134:C$166,IF(_xlfn.XLOOKUP($B$134:$B$166,Definitions!$K$17:$K$49,Definitions!$M$17:$M$49,"")=$A73,1,0))</f>
        <v>0</v>
      </c>
      <c r="D125" s="125" cm="1">
        <f t="array" ref="D125">SUMPRODUCT(D$134:D$166,IF(_xlfn.XLOOKUP($B$134:$B$166,Definitions!$K$17:$K$49,Definitions!$M$17:$M$49,"")=$A73,1,0))</f>
        <v>0</v>
      </c>
      <c r="E125" s="125" cm="1">
        <f t="array" ref="E125">SUMPRODUCT(E$134:E$166,IF(_xlfn.XLOOKUP($B$134:$B$166,Definitions!$K$17:$K$49,Definitions!$M$17:$M$49,"")=$A73,1,0))</f>
        <v>0</v>
      </c>
      <c r="F125" s="125" cm="1">
        <f t="array" ref="F125">SUMPRODUCT(F$134:F$166,IF(_xlfn.XLOOKUP($B$134:$B$166,Definitions!$K$17:$K$49,Definitions!$M$17:$M$49,"")=$A73,1,0))</f>
        <v>0</v>
      </c>
      <c r="G125" s="125" cm="1">
        <f t="array" ref="G125">SUMPRODUCT(G$134:G$166,IF(_xlfn.XLOOKUP($B$134:$B$166,Definitions!$K$17:$K$49,Definitions!$M$17:$M$49,"")=$A73,1,0))</f>
        <v>0</v>
      </c>
      <c r="H125" s="125" cm="1">
        <f t="array" ref="H125">SUMPRODUCT(H$134:H$166,IF(_xlfn.XLOOKUP($B$134:$B$166,Definitions!$K$17:$K$49,Definitions!$M$17:$M$49,"")=$A73,1,0))</f>
        <v>0</v>
      </c>
      <c r="I125" s="125" cm="1">
        <f t="array" ref="I125">SUMPRODUCT(I$134:I$166,IF(_xlfn.XLOOKUP($B$134:$B$166,Definitions!$K$17:$K$49,Definitions!$M$17:$M$49,"")=$A73,1,0))</f>
        <v>0</v>
      </c>
      <c r="J125" s="125" cm="1">
        <f t="array" ref="J125">SUMPRODUCT(J$134:J$166,IF(_xlfn.XLOOKUP($B$134:$B$166,Definitions!$K$17:$K$49,Definitions!$M$17:$M$49,"")=$A73,1,0))</f>
        <v>0</v>
      </c>
      <c r="K125" s="125" cm="1">
        <f t="array" ref="K125">SUMPRODUCT(K$134:K$166,IF(_xlfn.XLOOKUP($B$134:$B$166,Definitions!$K$17:$K$49,Definitions!$M$17:$M$49,"")=$A73,1,0))</f>
        <v>0</v>
      </c>
      <c r="L125" s="125" cm="1">
        <f t="array" ref="L125">SUMPRODUCT(L$134:L$166,IF(_xlfn.XLOOKUP($B$134:$B$166,Definitions!$K$17:$K$49,Definitions!$M$17:$M$49,"")=$A73,1,0))</f>
        <v>0</v>
      </c>
      <c r="M125" s="125" cm="1">
        <f t="array" ref="M125">SUMPRODUCT(M$134:M$166,IF(_xlfn.XLOOKUP($B$134:$B$166,Definitions!$K$17:$K$49,Definitions!$M$17:$M$49,"")=$A73,1,0))</f>
        <v>0</v>
      </c>
      <c r="N125" s="125" cm="1">
        <f t="array" ref="N125">SUMPRODUCT(N$134:N$166,IF(_xlfn.XLOOKUP($B$134:$B$166,Definitions!$K$17:$K$49,Definitions!$M$17:$M$49,"")=$A73,1,0))</f>
        <v>0</v>
      </c>
      <c r="O125" s="125" cm="1">
        <f t="array" ref="O125">SUMPRODUCT(O$134:O$166,IF(_xlfn.XLOOKUP($B$134:$B$166,Definitions!$K$17:$K$49,Definitions!$M$17:$M$49,"")=$A73,1,0))</f>
        <v>0</v>
      </c>
      <c r="P125" s="125" cm="1">
        <f t="array" ref="P125">SUMPRODUCT(P$134:P$166,IF(_xlfn.XLOOKUP($B$134:$B$166,Definitions!$K$17:$K$49,Definitions!$M$17:$M$49,"")=$A73,1,0))</f>
        <v>0</v>
      </c>
      <c r="Q125" s="125" cm="1">
        <f t="array" ref="Q125">SUMPRODUCT(Q$134:Q$166,IF(_xlfn.XLOOKUP($B$134:$B$166,Definitions!$K$17:$K$49,Definitions!$M$17:$M$49,"")=$A73,1,0))</f>
        <v>0</v>
      </c>
      <c r="R125" s="125" cm="1">
        <f t="array" ref="R125">SUMPRODUCT(R$134:R$166,IF(_xlfn.XLOOKUP($B$134:$B$166,Definitions!$K$17:$K$49,Definitions!$M$17:$M$49,"")=$A73,1,0))</f>
        <v>0</v>
      </c>
      <c r="S125" s="125" cm="1">
        <f t="array" ref="S125">SUMPRODUCT(S$134:S$166,IF(_xlfn.XLOOKUP($B$134:$B$166,Definitions!$K$17:$K$49,Definitions!$M$17:$M$49,"")=$A73,1,0))</f>
        <v>0</v>
      </c>
      <c r="T125" s="125" cm="1">
        <f t="array" ref="T125">SUMPRODUCT(T$134:T$166,IF(_xlfn.XLOOKUP($B$134:$B$166,Definitions!$K$17:$K$49,Definitions!$M$17:$M$49,"")=$A73,1,0))</f>
        <v>0</v>
      </c>
      <c r="U125" s="125" cm="1">
        <f t="array" ref="U125">SUMPRODUCT(U$134:U$166,IF(_xlfn.XLOOKUP($B$134:$B$166,Definitions!$K$17:$K$49,Definitions!$M$17:$M$49,"")=$A73,1,0))</f>
        <v>0</v>
      </c>
      <c r="V125" s="125" cm="1">
        <f t="array" ref="V125">SUMPRODUCT(V$134:V$166,IF(_xlfn.XLOOKUP($B$134:$B$166,Definitions!$K$17:$K$49,Definitions!$M$17:$M$49,"")=$A73,1,0))</f>
        <v>0</v>
      </c>
      <c r="W125" s="125" cm="1">
        <f t="array" ref="W125">SUMPRODUCT(W$134:W$166,IF(_xlfn.XLOOKUP($B$134:$B$166,Definitions!$K$17:$K$49,Definitions!$M$17:$M$49,"")=$A73,1,0))</f>
        <v>0</v>
      </c>
      <c r="X125" s="125" cm="1">
        <f t="array" ref="X125">SUMPRODUCT(X$134:X$166,IF(_xlfn.XLOOKUP($B$134:$B$166,Definitions!$K$17:$K$49,Definitions!$M$17:$M$49,"")=$A73,1,0))</f>
        <v>0</v>
      </c>
      <c r="Y125" s="125" cm="1">
        <f t="array" ref="Y125">SUMPRODUCT(Y$134:Y$166,IF(_xlfn.XLOOKUP($B$134:$B$166,Definitions!$K$17:$K$49,Definitions!$M$17:$M$49,"")=$A73,1,0))</f>
        <v>0</v>
      </c>
      <c r="Z125" s="125" cm="1">
        <f t="array" ref="Z125">SUMPRODUCT(Z$134:Z$166,IF(_xlfn.XLOOKUP($B$134:$B$166,Definitions!$K$17:$K$49,Definitions!$M$17:$M$49,"")=$A73,1,0))</f>
        <v>0</v>
      </c>
      <c r="AA125" s="125" cm="1">
        <f t="array" ref="AA125">SUMPRODUCT(AA$134:AA$166,IF(_xlfn.XLOOKUP($B$134:$B$166,Definitions!$K$17:$K$49,Definitions!$M$17:$M$49,"")=$A73,1,0))</f>
        <v>0</v>
      </c>
      <c r="AB125" s="125" cm="1">
        <f t="array" ref="AB125">SUMPRODUCT(AB$134:AB$166,IF(_xlfn.XLOOKUP($B$134:$B$166,Definitions!$K$17:$K$49,Definitions!$M$17:$M$49,"")=$A73,1,0))</f>
        <v>0</v>
      </c>
      <c r="AC125" s="125" cm="1">
        <f t="array" ref="AC125">SUMPRODUCT(AC$134:AC$166,IF(_xlfn.XLOOKUP($B$134:$B$166,Definitions!$K$17:$K$49,Definitions!$M$17:$M$49,"")=$A73,1,0))</f>
        <v>0</v>
      </c>
      <c r="AD125" s="125" cm="1">
        <f t="array" ref="AD125">SUMPRODUCT(AD$134:AD$166,IF(_xlfn.XLOOKUP($B$134:$B$166,Definitions!$K$17:$K$49,Definitions!$M$17:$M$49,"")=$A73,1,0))</f>
        <v>0</v>
      </c>
      <c r="AE125" s="125" cm="1">
        <f t="array" ref="AE125">SUMPRODUCT(AE$134:AE$166,IF(_xlfn.XLOOKUP($B$134:$B$166,Definitions!$K$17:$K$49,Definitions!$M$17:$M$49,"")=$A73,1,0))</f>
        <v>0</v>
      </c>
      <c r="AF125" s="125" cm="1">
        <f t="array" ref="AF125">SUMPRODUCT(AF$134:AF$166,IF(_xlfn.XLOOKUP($B$134:$B$166,Definitions!$K$17:$K$49,Definitions!$M$17:$M$49,"")=$A73,1,0))</f>
        <v>0</v>
      </c>
      <c r="AG125" s="125" cm="1">
        <f t="array" ref="AG125">SUMPRODUCT(AG$134:AG$166,IF(_xlfn.XLOOKUP($B$134:$B$166,Definitions!$K$17:$K$49,Definitions!$M$17:$M$49,"")=$A73,1,0))</f>
        <v>0</v>
      </c>
      <c r="AH125" s="125" cm="1">
        <f t="array" ref="AH125">SUMPRODUCT(AH$134:AH$166,IF(_xlfn.XLOOKUP($B$134:$B$166,Definitions!$K$17:$K$49,Definitions!$M$17:$M$49,"")=$A73,1,0))</f>
        <v>0</v>
      </c>
      <c r="AI125" s="125" cm="1">
        <f t="array" ref="AI125">SUMPRODUCT(AI$134:AI$166,IF(_xlfn.XLOOKUP($B$134:$B$166,Definitions!$K$17:$K$49,Definitions!$M$17:$M$49,"")=$A73,1,0))</f>
        <v>0</v>
      </c>
      <c r="AJ125" s="125" cm="1">
        <f t="array" ref="AJ125">SUMPRODUCT(AJ$134:AJ$166,IF(_xlfn.XLOOKUP($B$134:$B$166,Definitions!$K$17:$K$49,Definitions!$M$17:$M$49,"")=$A73,1,0))</f>
        <v>0</v>
      </c>
      <c r="AK125" s="125" cm="1">
        <f t="array" ref="AK125">SUMPRODUCT(AK$134:AK$166,IF(_xlfn.XLOOKUP($B$134:$B$166,Definitions!$K$17:$K$49,Definitions!$M$17:$M$49,"")=$A73,1,0))</f>
        <v>0</v>
      </c>
      <c r="AL125" s="125" cm="1">
        <f t="array" ref="AL125">SUMPRODUCT(AL$134:AL$166,IF(_xlfn.XLOOKUP($B$134:$B$166,Definitions!$K$17:$K$49,Definitions!$M$17:$M$49,"")=$A73,1,0))</f>
        <v>0</v>
      </c>
      <c r="AM125" s="125" cm="1">
        <f t="array" ref="AM125">SUMPRODUCT(AM$134:AM$166,IF(_xlfn.XLOOKUP($B$134:$B$166,Definitions!$K$17:$K$49,Definitions!$M$17:$M$49,"")=$A73,1,0))</f>
        <v>0</v>
      </c>
      <c r="AN125" s="125" cm="1">
        <f t="array" ref="AN125">SUMPRODUCT(AN$134:AN$166,IF(_xlfn.XLOOKUP($B$134:$B$166,Definitions!$K$17:$K$49,Definitions!$M$17:$M$49,"")=$A73,1,0))</f>
        <v>0</v>
      </c>
      <c r="AO125" s="125" cm="1">
        <f t="array" ref="AO125">SUMPRODUCT(AO$134:AO$166,IF(_xlfn.XLOOKUP($B$134:$B$166,Definitions!$K$17:$K$49,Definitions!$M$17:$M$49,"")=$A73,1,0))</f>
        <v>0</v>
      </c>
      <c r="AP125" s="125" cm="1">
        <f t="array" ref="AP125">SUMPRODUCT(AP$134:AP$166,IF(_xlfn.XLOOKUP($B$134:$B$166,Definitions!$K$17:$K$49,Definitions!$M$17:$M$49,"")=$A73,1,0))</f>
        <v>0</v>
      </c>
      <c r="AQ125" s="125" cm="1">
        <f t="array" ref="AQ125">SUMPRODUCT(AQ$134:AQ$166,IF(_xlfn.XLOOKUP($B$134:$B$166,Definitions!$K$17:$K$49,Definitions!$M$17:$M$49,"")=$A73,1,0))</f>
        <v>0</v>
      </c>
      <c r="AR125" s="125" cm="1">
        <f t="array" ref="AR125">SUMPRODUCT(AR$134:AR$166,IF(_xlfn.XLOOKUP($B$134:$B$166,Definitions!$K$17:$K$49,Definitions!$M$17:$M$49,"")=$A73,1,0))</f>
        <v>0</v>
      </c>
      <c r="AS125" s="125" cm="1">
        <f t="array" ref="AS125">SUMPRODUCT(AS$134:AS$166,IF(_xlfn.XLOOKUP($B$134:$B$166,Definitions!$K$17:$K$49,Definitions!$M$17:$M$49,"")=$A73,1,0))</f>
        <v>0</v>
      </c>
      <c r="AT125" s="125" cm="1">
        <f t="array" ref="AT125">SUMPRODUCT(AT$134:AT$166,IF(_xlfn.XLOOKUP($B$134:$B$166,Definitions!$K$17:$K$49,Definitions!$M$17:$M$49,"")=$A73,1,0))</f>
        <v>0</v>
      </c>
      <c r="AU125" s="125" cm="1">
        <f t="array" ref="AU125">SUMPRODUCT(AU$134:AU$166,IF(_xlfn.XLOOKUP($B$134:$B$166,Definitions!$K$17:$K$49,Definitions!$M$17:$M$49,"")=$A73,1,0))</f>
        <v>0</v>
      </c>
      <c r="AV125" s="125" cm="1">
        <f t="array" ref="AV125">SUMPRODUCT(AV$134:AV$166,IF(_xlfn.XLOOKUP($B$134:$B$166,Definitions!$K$17:$K$49,Definitions!$M$17:$M$49,"")=$A73,1,0))</f>
        <v>0</v>
      </c>
    </row>
    <row r="126" spans="1:48">
      <c r="A126" s="753" t="s">
        <v>622</v>
      </c>
      <c r="B126" s="753"/>
      <c r="C126" s="126">
        <f>SUM(C127,C128,C129)</f>
        <v>191.74850000000001</v>
      </c>
      <c r="D126" s="126">
        <f t="shared" ref="D126:AV126" si="15">SUM(D127,D128,D129)</f>
        <v>168.75149999999999</v>
      </c>
      <c r="E126" s="126">
        <f t="shared" si="15"/>
        <v>368.97490000000005</v>
      </c>
      <c r="F126" s="126">
        <f t="shared" si="15"/>
        <v>368.13220000000001</v>
      </c>
      <c r="G126" s="126">
        <f t="shared" si="15"/>
        <v>393.27809999999999</v>
      </c>
      <c r="H126" s="126">
        <f t="shared" si="15"/>
        <v>499.30109999999996</v>
      </c>
      <c r="I126" s="126">
        <f t="shared" si="15"/>
        <v>482.79419999999999</v>
      </c>
      <c r="J126" s="126">
        <f t="shared" si="15"/>
        <v>450.63070000000005</v>
      </c>
      <c r="K126" s="126">
        <f t="shared" si="15"/>
        <v>441.52699999999999</v>
      </c>
      <c r="L126" s="126">
        <f t="shared" si="15"/>
        <v>461.31869999999998</v>
      </c>
      <c r="M126" s="126">
        <f t="shared" si="15"/>
        <v>576.9796</v>
      </c>
      <c r="N126" s="126">
        <f t="shared" si="15"/>
        <v>502.57709999999997</v>
      </c>
      <c r="O126" s="126">
        <f t="shared" si="15"/>
        <v>626.8424</v>
      </c>
      <c r="P126" s="126">
        <f t="shared" si="15"/>
        <v>600.44949999999994</v>
      </c>
      <c r="Q126" s="126">
        <f t="shared" si="15"/>
        <v>634.87180000000001</v>
      </c>
      <c r="R126" s="126">
        <f t="shared" si="15"/>
        <v>673.11329999999998</v>
      </c>
      <c r="S126" s="126">
        <f t="shared" si="15"/>
        <v>712.1028</v>
      </c>
      <c r="T126" s="126">
        <f t="shared" si="15"/>
        <v>734.02239999999995</v>
      </c>
      <c r="U126" s="126">
        <f t="shared" si="15"/>
        <v>782.83709999999996</v>
      </c>
      <c r="V126" s="126">
        <f t="shared" si="15"/>
        <v>824.60590000000002</v>
      </c>
      <c r="W126" s="126">
        <f t="shared" si="15"/>
        <v>871.80160000000001</v>
      </c>
      <c r="X126" s="126">
        <f t="shared" si="15"/>
        <v>920.02179999999998</v>
      </c>
      <c r="Y126" s="126">
        <f t="shared" si="15"/>
        <v>1013.3516</v>
      </c>
      <c r="Z126" s="126">
        <f t="shared" si="15"/>
        <v>1050.7446</v>
      </c>
      <c r="AA126" s="126">
        <f t="shared" si="15"/>
        <v>1106.7816</v>
      </c>
      <c r="AB126" s="126">
        <f t="shared" si="15"/>
        <v>1271.0220999999999</v>
      </c>
      <c r="AC126" s="126">
        <f t="shared" si="15"/>
        <v>1027.4108000000001</v>
      </c>
      <c r="AD126" s="126">
        <f t="shared" si="15"/>
        <v>936.24490000000003</v>
      </c>
      <c r="AE126" s="126">
        <f t="shared" si="15"/>
        <v>961.17269999999996</v>
      </c>
      <c r="AF126" s="126">
        <f t="shared" si="15"/>
        <v>915.21690000000001</v>
      </c>
      <c r="AG126" s="126">
        <f t="shared" si="15"/>
        <v>1007.4502</v>
      </c>
      <c r="AH126" s="126">
        <f t="shared" si="15"/>
        <v>984.71429999999998</v>
      </c>
      <c r="AI126" s="126">
        <f t="shared" si="15"/>
        <v>993.12459999999999</v>
      </c>
      <c r="AJ126" s="126">
        <f t="shared" si="15"/>
        <v>973.66309999999999</v>
      </c>
      <c r="AK126" s="126">
        <f t="shared" si="15"/>
        <v>970.0403</v>
      </c>
      <c r="AL126" s="126">
        <f t="shared" si="15"/>
        <v>961.35429999999997</v>
      </c>
      <c r="AM126" s="126">
        <f t="shared" si="15"/>
        <v>946.3184</v>
      </c>
      <c r="AN126" s="126">
        <f t="shared" si="15"/>
        <v>954.37660000000005</v>
      </c>
      <c r="AO126" s="126">
        <f t="shared" si="15"/>
        <v>961.22170000000006</v>
      </c>
      <c r="AP126" s="126">
        <f t="shared" si="15"/>
        <v>951.34479999999996</v>
      </c>
      <c r="AQ126" s="126">
        <f t="shared" si="15"/>
        <v>935.37300000000005</v>
      </c>
      <c r="AR126" s="126">
        <f t="shared" si="15"/>
        <v>939.09720000000004</v>
      </c>
      <c r="AS126" s="126">
        <f t="shared" si="15"/>
        <v>989.80549999999994</v>
      </c>
      <c r="AT126" s="126">
        <f t="shared" si="15"/>
        <v>968.42849999999999</v>
      </c>
      <c r="AU126" s="126">
        <f t="shared" si="15"/>
        <v>979.71500000000003</v>
      </c>
      <c r="AV126" s="126">
        <f t="shared" si="15"/>
        <v>1086.4771000000001</v>
      </c>
    </row>
    <row r="127" spans="1:48">
      <c r="A127" s="748" t="s">
        <v>23</v>
      </c>
      <c r="B127" s="748"/>
      <c r="C127" s="127" cm="1">
        <f t="array" ref="C127">SUMPRODUCT(C$134:C$166,IF(_xlfn.XLOOKUP($B$134:$B$166,Definitions!$K$17:$K$49,Definitions!$M$17:$M$49,"")=$A75,1,0))</f>
        <v>0</v>
      </c>
      <c r="D127" s="127" cm="1">
        <f t="array" ref="D127">SUMPRODUCT(D$134:D$166,IF(_xlfn.XLOOKUP($B$134:$B$166,Definitions!$K$17:$K$49,Definitions!$M$17:$M$49,"")=$A75,1,0))</f>
        <v>0</v>
      </c>
      <c r="E127" s="127" cm="1">
        <f t="array" ref="E127">SUMPRODUCT(E$134:E$166,IF(_xlfn.XLOOKUP($B$134:$B$166,Definitions!$K$17:$K$49,Definitions!$M$17:$M$49,"")=$A75,1,0))</f>
        <v>0</v>
      </c>
      <c r="F127" s="127" cm="1">
        <f t="array" ref="F127">SUMPRODUCT(F$134:F$166,IF(_xlfn.XLOOKUP($B$134:$B$166,Definitions!$K$17:$K$49,Definitions!$M$17:$M$49,"")=$A75,1,0))</f>
        <v>0</v>
      </c>
      <c r="G127" s="127" cm="1">
        <f t="array" ref="G127">SUMPRODUCT(G$134:G$166,IF(_xlfn.XLOOKUP($B$134:$B$166,Definitions!$K$17:$K$49,Definitions!$M$17:$M$49,"")=$A75,1,0))</f>
        <v>0</v>
      </c>
      <c r="H127" s="127" cm="1">
        <f t="array" ref="H127">SUMPRODUCT(H$134:H$166,IF(_xlfn.XLOOKUP($B$134:$B$166,Definitions!$K$17:$K$49,Definitions!$M$17:$M$49,"")=$A75,1,0))</f>
        <v>0</v>
      </c>
      <c r="I127" s="127" cm="1">
        <f t="array" ref="I127">SUMPRODUCT(I$134:I$166,IF(_xlfn.XLOOKUP($B$134:$B$166,Definitions!$K$17:$K$49,Definitions!$M$17:$M$49,"")=$A75,1,0))</f>
        <v>0</v>
      </c>
      <c r="J127" s="127" cm="1">
        <f t="array" ref="J127">SUMPRODUCT(J$134:J$166,IF(_xlfn.XLOOKUP($B$134:$B$166,Definitions!$K$17:$K$49,Definitions!$M$17:$M$49,"")=$A75,1,0))</f>
        <v>0</v>
      </c>
      <c r="K127" s="127" cm="1">
        <f t="array" ref="K127">SUMPRODUCT(K$134:K$166,IF(_xlfn.XLOOKUP($B$134:$B$166,Definitions!$K$17:$K$49,Definitions!$M$17:$M$49,"")=$A75,1,0))</f>
        <v>0</v>
      </c>
      <c r="L127" s="127" cm="1">
        <f t="array" ref="L127">SUMPRODUCT(L$134:L$166,IF(_xlfn.XLOOKUP($B$134:$B$166,Definitions!$K$17:$K$49,Definitions!$M$17:$M$49,"")=$A75,1,0))</f>
        <v>0</v>
      </c>
      <c r="M127" s="127" cm="1">
        <f t="array" ref="M127">SUMPRODUCT(M$134:M$166,IF(_xlfn.XLOOKUP($B$134:$B$166,Definitions!$K$17:$K$49,Definitions!$M$17:$M$49,"")=$A75,1,0))</f>
        <v>0</v>
      </c>
      <c r="N127" s="127" cm="1">
        <f t="array" ref="N127">SUMPRODUCT(N$134:N$166,IF(_xlfn.XLOOKUP($B$134:$B$166,Definitions!$K$17:$K$49,Definitions!$M$17:$M$49,"")=$A75,1,0))</f>
        <v>0</v>
      </c>
      <c r="O127" s="127" cm="1">
        <f t="array" ref="O127">SUMPRODUCT(O$134:O$166,IF(_xlfn.XLOOKUP($B$134:$B$166,Definitions!$K$17:$K$49,Definitions!$M$17:$M$49,"")=$A75,1,0))</f>
        <v>0</v>
      </c>
      <c r="P127" s="127" cm="1">
        <f t="array" ref="P127">SUMPRODUCT(P$134:P$166,IF(_xlfn.XLOOKUP($B$134:$B$166,Definitions!$K$17:$K$49,Definitions!$M$17:$M$49,"")=$A75,1,0))</f>
        <v>0</v>
      </c>
      <c r="Q127" s="127" cm="1">
        <f t="array" ref="Q127">SUMPRODUCT(Q$134:Q$166,IF(_xlfn.XLOOKUP($B$134:$B$166,Definitions!$K$17:$K$49,Definitions!$M$17:$M$49,"")=$A75,1,0))</f>
        <v>0</v>
      </c>
      <c r="R127" s="127" cm="1">
        <f t="array" ref="R127">SUMPRODUCT(R$134:R$166,IF(_xlfn.XLOOKUP($B$134:$B$166,Definitions!$K$17:$K$49,Definitions!$M$17:$M$49,"")=$A75,1,0))</f>
        <v>0</v>
      </c>
      <c r="S127" s="127" cm="1">
        <f t="array" ref="S127">SUMPRODUCT(S$134:S$166,IF(_xlfn.XLOOKUP($B$134:$B$166,Definitions!$K$17:$K$49,Definitions!$M$17:$M$49,"")=$A75,1,0))</f>
        <v>0</v>
      </c>
      <c r="T127" s="127" cm="1">
        <f t="array" ref="T127">SUMPRODUCT(T$134:T$166,IF(_xlfn.XLOOKUP($B$134:$B$166,Definitions!$K$17:$K$49,Definitions!$M$17:$M$49,"")=$A75,1,0))</f>
        <v>0</v>
      </c>
      <c r="U127" s="127" cm="1">
        <f t="array" ref="U127">SUMPRODUCT(U$134:U$166,IF(_xlfn.XLOOKUP($B$134:$B$166,Definitions!$K$17:$K$49,Definitions!$M$17:$M$49,"")=$A75,1,0))</f>
        <v>0</v>
      </c>
      <c r="V127" s="127" cm="1">
        <f t="array" ref="V127">SUMPRODUCT(V$134:V$166,IF(_xlfn.XLOOKUP($B$134:$B$166,Definitions!$K$17:$K$49,Definitions!$M$17:$M$49,"")=$A75,1,0))</f>
        <v>0</v>
      </c>
      <c r="W127" s="127" cm="1">
        <f t="array" ref="W127">SUMPRODUCT(W$134:W$166,IF(_xlfn.XLOOKUP($B$134:$B$166,Definitions!$K$17:$K$49,Definitions!$M$17:$M$49,"")=$A75,1,0))</f>
        <v>0</v>
      </c>
      <c r="X127" s="127" cm="1">
        <f t="array" ref="X127">SUMPRODUCT(X$134:X$166,IF(_xlfn.XLOOKUP($B$134:$B$166,Definitions!$K$17:$K$49,Definitions!$M$17:$M$49,"")=$A75,1,0))</f>
        <v>0</v>
      </c>
      <c r="Y127" s="127" cm="1">
        <f t="array" ref="Y127">SUMPRODUCT(Y$134:Y$166,IF(_xlfn.XLOOKUP($B$134:$B$166,Definitions!$K$17:$K$49,Definitions!$M$17:$M$49,"")=$A75,1,0))</f>
        <v>0</v>
      </c>
      <c r="Z127" s="127" cm="1">
        <f t="array" ref="Z127">SUMPRODUCT(Z$134:Z$166,IF(_xlfn.XLOOKUP($B$134:$B$166,Definitions!$K$17:$K$49,Definitions!$M$17:$M$49,"")=$A75,1,0))</f>
        <v>0</v>
      </c>
      <c r="AA127" s="127" cm="1">
        <f t="array" ref="AA127">SUMPRODUCT(AA$134:AA$166,IF(_xlfn.XLOOKUP($B$134:$B$166,Definitions!$K$17:$K$49,Definitions!$M$17:$M$49,"")=$A75,1,0))</f>
        <v>0</v>
      </c>
      <c r="AB127" s="127" cm="1">
        <f t="array" ref="AB127">SUMPRODUCT(AB$134:AB$166,IF(_xlfn.XLOOKUP($B$134:$B$166,Definitions!$K$17:$K$49,Definitions!$M$17:$M$49,"")=$A75,1,0))</f>
        <v>0</v>
      </c>
      <c r="AC127" s="127" cm="1">
        <f t="array" ref="AC127">SUMPRODUCT(AC$134:AC$166,IF(_xlfn.XLOOKUP($B$134:$B$166,Definitions!$K$17:$K$49,Definitions!$M$17:$M$49,"")=$A75,1,0))</f>
        <v>0</v>
      </c>
      <c r="AD127" s="127" cm="1">
        <f t="array" ref="AD127">SUMPRODUCT(AD$134:AD$166,IF(_xlfn.XLOOKUP($B$134:$B$166,Definitions!$K$17:$K$49,Definitions!$M$17:$M$49,"")=$A75,1,0))</f>
        <v>0</v>
      </c>
      <c r="AE127" s="127" cm="1">
        <f t="array" ref="AE127">SUMPRODUCT(AE$134:AE$166,IF(_xlfn.XLOOKUP($B$134:$B$166,Definitions!$K$17:$K$49,Definitions!$M$17:$M$49,"")=$A75,1,0))</f>
        <v>0</v>
      </c>
      <c r="AF127" s="127" cm="1">
        <f t="array" ref="AF127">SUMPRODUCT(AF$134:AF$166,IF(_xlfn.XLOOKUP($B$134:$B$166,Definitions!$K$17:$K$49,Definitions!$M$17:$M$49,"")=$A75,1,0))</f>
        <v>0</v>
      </c>
      <c r="AG127" s="127" cm="1">
        <f t="array" ref="AG127">SUMPRODUCT(AG$134:AG$166,IF(_xlfn.XLOOKUP($B$134:$B$166,Definitions!$K$17:$K$49,Definitions!$M$17:$M$49,"")=$A75,1,0))</f>
        <v>0</v>
      </c>
      <c r="AH127" s="127" cm="1">
        <f t="array" ref="AH127">SUMPRODUCT(AH$134:AH$166,IF(_xlfn.XLOOKUP($B$134:$B$166,Definitions!$K$17:$K$49,Definitions!$M$17:$M$49,"")=$A75,1,0))</f>
        <v>0</v>
      </c>
      <c r="AI127" s="127" cm="1">
        <f t="array" ref="AI127">SUMPRODUCT(AI$134:AI$166,IF(_xlfn.XLOOKUP($B$134:$B$166,Definitions!$K$17:$K$49,Definitions!$M$17:$M$49,"")=$A75,1,0))</f>
        <v>0</v>
      </c>
      <c r="AJ127" s="127" cm="1">
        <f t="array" ref="AJ127">SUMPRODUCT(AJ$134:AJ$166,IF(_xlfn.XLOOKUP($B$134:$B$166,Definitions!$K$17:$K$49,Definitions!$M$17:$M$49,"")=$A75,1,0))</f>
        <v>0</v>
      </c>
      <c r="AK127" s="127" cm="1">
        <f t="array" ref="AK127">SUMPRODUCT(AK$134:AK$166,IF(_xlfn.XLOOKUP($B$134:$B$166,Definitions!$K$17:$K$49,Definitions!$M$17:$M$49,"")=$A75,1,0))</f>
        <v>0</v>
      </c>
      <c r="AL127" s="127" cm="1">
        <f t="array" ref="AL127">SUMPRODUCT(AL$134:AL$166,IF(_xlfn.XLOOKUP($B$134:$B$166,Definitions!$K$17:$K$49,Definitions!$M$17:$M$49,"")=$A75,1,0))</f>
        <v>0</v>
      </c>
      <c r="AM127" s="127" cm="1">
        <f t="array" ref="AM127">SUMPRODUCT(AM$134:AM$166,IF(_xlfn.XLOOKUP($B$134:$B$166,Definitions!$K$17:$K$49,Definitions!$M$17:$M$49,"")=$A75,1,0))</f>
        <v>0</v>
      </c>
      <c r="AN127" s="127" cm="1">
        <f t="array" ref="AN127">SUMPRODUCT(AN$134:AN$166,IF(_xlfn.XLOOKUP($B$134:$B$166,Definitions!$K$17:$K$49,Definitions!$M$17:$M$49,"")=$A75,1,0))</f>
        <v>0</v>
      </c>
      <c r="AO127" s="127" cm="1">
        <f t="array" ref="AO127">SUMPRODUCT(AO$134:AO$166,IF(_xlfn.XLOOKUP($B$134:$B$166,Definitions!$K$17:$K$49,Definitions!$M$17:$M$49,"")=$A75,1,0))</f>
        <v>0</v>
      </c>
      <c r="AP127" s="127" cm="1">
        <f t="array" ref="AP127">SUMPRODUCT(AP$134:AP$166,IF(_xlfn.XLOOKUP($B$134:$B$166,Definitions!$K$17:$K$49,Definitions!$M$17:$M$49,"")=$A75,1,0))</f>
        <v>0</v>
      </c>
      <c r="AQ127" s="127" cm="1">
        <f t="array" ref="AQ127">SUMPRODUCT(AQ$134:AQ$166,IF(_xlfn.XLOOKUP($B$134:$B$166,Definitions!$K$17:$K$49,Definitions!$M$17:$M$49,"")=$A75,1,0))</f>
        <v>0</v>
      </c>
      <c r="AR127" s="127" cm="1">
        <f t="array" ref="AR127">SUMPRODUCT(AR$134:AR$166,IF(_xlfn.XLOOKUP($B$134:$B$166,Definitions!$K$17:$K$49,Definitions!$M$17:$M$49,"")=$A75,1,0))</f>
        <v>0</v>
      </c>
      <c r="AS127" s="127" cm="1">
        <f t="array" ref="AS127">SUMPRODUCT(AS$134:AS$166,IF(_xlfn.XLOOKUP($B$134:$B$166,Definitions!$K$17:$K$49,Definitions!$M$17:$M$49,"")=$A75,1,0))</f>
        <v>0</v>
      </c>
      <c r="AT127" s="127" cm="1">
        <f t="array" ref="AT127">SUMPRODUCT(AT$134:AT$166,IF(_xlfn.XLOOKUP($B$134:$B$166,Definitions!$K$17:$K$49,Definitions!$M$17:$M$49,"")=$A75,1,0))</f>
        <v>0</v>
      </c>
      <c r="AU127" s="127" cm="1">
        <f t="array" ref="AU127">SUMPRODUCT(AU$134:AU$166,IF(_xlfn.XLOOKUP($B$134:$B$166,Definitions!$K$17:$K$49,Definitions!$M$17:$M$49,"")=$A75,1,0))</f>
        <v>0</v>
      </c>
      <c r="AV127" s="127" cm="1">
        <f t="array" ref="AV127">SUMPRODUCT(AV$134:AV$166,IF(_xlfn.XLOOKUP($B$134:$B$166,Definitions!$K$17:$K$49,Definitions!$M$17:$M$49,"")=$A75,1,0))</f>
        <v>0</v>
      </c>
    </row>
    <row r="128" spans="1:48">
      <c r="A128" s="748" t="s">
        <v>47</v>
      </c>
      <c r="B128" s="748"/>
      <c r="C128" s="127" cm="1">
        <f t="array" ref="C128">SUMPRODUCT(C$134:C$166,IF(_xlfn.XLOOKUP($B$134:$B$166,Definitions!$K$17:$K$49,Definitions!$M$17:$M$49,"")=$A76,1,0))</f>
        <v>0</v>
      </c>
      <c r="D128" s="127" cm="1">
        <f t="array" ref="D128">SUMPRODUCT(D$134:D$166,IF(_xlfn.XLOOKUP($B$134:$B$166,Definitions!$K$17:$K$49,Definitions!$M$17:$M$49,"")=$A76,1,0))</f>
        <v>0</v>
      </c>
      <c r="E128" s="127" cm="1">
        <f t="array" ref="E128">SUMPRODUCT(E$134:E$166,IF(_xlfn.XLOOKUP($B$134:$B$166,Definitions!$K$17:$K$49,Definitions!$M$17:$M$49,"")=$A76,1,0))</f>
        <v>50.550600000000003</v>
      </c>
      <c r="F128" s="127" cm="1">
        <f t="array" ref="F128">SUMPRODUCT(F$134:F$166,IF(_xlfn.XLOOKUP($B$134:$B$166,Definitions!$K$17:$K$49,Definitions!$M$17:$M$49,"")=$A76,1,0))</f>
        <v>19.853100000000001</v>
      </c>
      <c r="G128" s="127" cm="1">
        <f t="array" ref="G128">SUMPRODUCT(G$134:G$166,IF(_xlfn.XLOOKUP($B$134:$B$166,Definitions!$K$17:$K$49,Definitions!$M$17:$M$49,"")=$A76,1,0))</f>
        <v>0</v>
      </c>
      <c r="H128" s="127" cm="1">
        <f t="array" ref="H128">SUMPRODUCT(H$134:H$166,IF(_xlfn.XLOOKUP($B$134:$B$166,Definitions!$K$17:$K$49,Definitions!$M$17:$M$49,"")=$A76,1,0))</f>
        <v>114.6921</v>
      </c>
      <c r="I128" s="127" cm="1">
        <f t="array" ref="I128">SUMPRODUCT(I$134:I$166,IF(_xlfn.XLOOKUP($B$134:$B$166,Definitions!$K$17:$K$49,Definitions!$M$17:$M$49,"")=$A76,1,0))</f>
        <v>115.5132</v>
      </c>
      <c r="J128" s="127" cm="1">
        <f t="array" ref="J128">SUMPRODUCT(J$134:J$166,IF(_xlfn.XLOOKUP($B$134:$B$166,Definitions!$K$17:$K$49,Definitions!$M$17:$M$49,"")=$A76,1,0))</f>
        <v>25.967300000000002</v>
      </c>
      <c r="K128" s="127" cm="1">
        <f t="array" ref="K128">SUMPRODUCT(K$134:K$166,IF(_xlfn.XLOOKUP($B$134:$B$166,Definitions!$K$17:$K$49,Definitions!$M$17:$M$49,"")=$A76,1,0))</f>
        <v>28.8673</v>
      </c>
      <c r="L128" s="127" cm="1">
        <f t="array" ref="L128">SUMPRODUCT(L$134:L$166,IF(_xlfn.XLOOKUP($B$134:$B$166,Definitions!$K$17:$K$49,Definitions!$M$17:$M$49,"")=$A76,1,0))</f>
        <v>10.184799999999999</v>
      </c>
      <c r="M128" s="127" cm="1">
        <f t="array" ref="M128">SUMPRODUCT(M$134:M$166,IF(_xlfn.XLOOKUP($B$134:$B$166,Definitions!$K$17:$K$49,Definitions!$M$17:$M$49,"")=$A76,1,0))</f>
        <v>109.11669999999999</v>
      </c>
      <c r="N128" s="127" cm="1">
        <f t="array" ref="N128">SUMPRODUCT(N$134:N$166,IF(_xlfn.XLOOKUP($B$134:$B$166,Definitions!$K$17:$K$49,Definitions!$M$17:$M$49,"")=$A76,1,0))</f>
        <v>22.480599999999999</v>
      </c>
      <c r="O128" s="127" cm="1">
        <f t="array" ref="O128">SUMPRODUCT(O$134:O$166,IF(_xlfn.XLOOKUP($B$134:$B$166,Definitions!$K$17:$K$49,Definitions!$M$17:$M$49,"")=$A76,1,0))</f>
        <v>50.414299999999997</v>
      </c>
      <c r="P128" s="127" cm="1">
        <f t="array" ref="P128">SUMPRODUCT(P$134:P$166,IF(_xlfn.XLOOKUP($B$134:$B$166,Definitions!$K$17:$K$49,Definitions!$M$17:$M$49,"")=$A76,1,0))</f>
        <v>0</v>
      </c>
      <c r="Q128" s="127" cm="1">
        <f t="array" ref="Q128">SUMPRODUCT(Q$134:Q$166,IF(_xlfn.XLOOKUP($B$134:$B$166,Definitions!$K$17:$K$49,Definitions!$M$17:$M$49,"")=$A76,1,0))</f>
        <v>0</v>
      </c>
      <c r="R128" s="127" cm="1">
        <f t="array" ref="R128">SUMPRODUCT(R$134:R$166,IF(_xlfn.XLOOKUP($B$134:$B$166,Definitions!$K$17:$K$49,Definitions!$M$17:$M$49,"")=$A76,1,0))</f>
        <v>0</v>
      </c>
      <c r="S128" s="127" cm="1">
        <f t="array" ref="S128">SUMPRODUCT(S$134:S$166,IF(_xlfn.XLOOKUP($B$134:$B$166,Definitions!$K$17:$K$49,Definitions!$M$17:$M$49,"")=$A76,1,0))</f>
        <v>2.8954</v>
      </c>
      <c r="T128" s="127" cm="1">
        <f t="array" ref="T128">SUMPRODUCT(T$134:T$166,IF(_xlfn.XLOOKUP($B$134:$B$166,Definitions!$K$17:$K$49,Definitions!$M$17:$M$49,"")=$A76,1,0))</f>
        <v>0</v>
      </c>
      <c r="U128" s="127" cm="1">
        <f t="array" ref="U128">SUMPRODUCT(U$134:U$166,IF(_xlfn.XLOOKUP($B$134:$B$166,Definitions!$K$17:$K$49,Definitions!$M$17:$M$49,"")=$A76,1,0))</f>
        <v>0</v>
      </c>
      <c r="V128" s="127" cm="1">
        <f t="array" ref="V128">SUMPRODUCT(V$134:V$166,IF(_xlfn.XLOOKUP($B$134:$B$166,Definitions!$K$17:$K$49,Definitions!$M$17:$M$49,"")=$A76,1,0))</f>
        <v>0</v>
      </c>
      <c r="W128" s="127" cm="1">
        <f t="array" ref="W128">SUMPRODUCT(W$134:W$166,IF(_xlfn.XLOOKUP($B$134:$B$166,Definitions!$K$17:$K$49,Definitions!$M$17:$M$49,"")=$A76,1,0))</f>
        <v>0</v>
      </c>
      <c r="X128" s="127" cm="1">
        <f t="array" ref="X128">SUMPRODUCT(X$134:X$166,IF(_xlfn.XLOOKUP($B$134:$B$166,Definitions!$K$17:$K$49,Definitions!$M$17:$M$49,"")=$A76,1,0))</f>
        <v>0</v>
      </c>
      <c r="Y128" s="127" cm="1">
        <f t="array" ref="Y128">SUMPRODUCT(Y$134:Y$166,IF(_xlfn.XLOOKUP($B$134:$B$166,Definitions!$K$17:$K$49,Definitions!$M$17:$M$49,"")=$A76,1,0))</f>
        <v>44.284100000000002</v>
      </c>
      <c r="Z128" s="127" cm="1">
        <f t="array" ref="Z128">SUMPRODUCT(Z$134:Z$166,IF(_xlfn.XLOOKUP($B$134:$B$166,Definitions!$K$17:$K$49,Definitions!$M$17:$M$49,"")=$A76,1,0))</f>
        <v>26.119599999999998</v>
      </c>
      <c r="AA128" s="127" cm="1">
        <f t="array" ref="AA128">SUMPRODUCT(AA$134:AA$166,IF(_xlfn.XLOOKUP($B$134:$B$166,Definitions!$K$17:$K$49,Definitions!$M$17:$M$49,"")=$A76,1,0))</f>
        <v>25.4953</v>
      </c>
      <c r="AB128" s="127" cm="1">
        <f t="array" ref="AB128">SUMPRODUCT(AB$134:AB$166,IF(_xlfn.XLOOKUP($B$134:$B$166,Definitions!$K$17:$K$49,Definitions!$M$17:$M$49,"")=$A76,1,0))</f>
        <v>132.2576</v>
      </c>
      <c r="AC128" s="127" cm="1">
        <f t="array" ref="AC128">SUMPRODUCT(AC$134:AC$166,IF(_xlfn.XLOOKUP($B$134:$B$166,Definitions!$K$17:$K$49,Definitions!$M$17:$M$49,"")=$A76,1,0))</f>
        <v>130.1395</v>
      </c>
      <c r="AD128" s="127" cm="1">
        <f t="array" ref="AD128">SUMPRODUCT(AD$134:AD$166,IF(_xlfn.XLOOKUP($B$134:$B$166,Definitions!$K$17:$K$49,Definitions!$M$17:$M$49,"")=$A76,1,0))</f>
        <v>38.973599999999998</v>
      </c>
      <c r="AE128" s="127" cm="1">
        <f t="array" ref="AE128">SUMPRODUCT(AE$134:AE$166,IF(_xlfn.XLOOKUP($B$134:$B$166,Definitions!$K$17:$K$49,Definitions!$M$17:$M$49,"")=$A76,1,0))</f>
        <v>63.901400000000002</v>
      </c>
      <c r="AF128" s="127" cm="1">
        <f t="array" ref="AF128">SUMPRODUCT(AF$134:AF$166,IF(_xlfn.XLOOKUP($B$134:$B$166,Definitions!$K$17:$K$49,Definitions!$M$17:$M$49,"")=$A76,1,0))</f>
        <v>17.945599999999999</v>
      </c>
      <c r="AG128" s="127" cm="1">
        <f t="array" ref="AG128">SUMPRODUCT(AG$134:AG$166,IF(_xlfn.XLOOKUP($B$134:$B$166,Definitions!$K$17:$K$49,Definitions!$M$17:$M$49,"")=$A76,1,0))</f>
        <v>110.1789</v>
      </c>
      <c r="AH128" s="127" cm="1">
        <f t="array" ref="AH128">SUMPRODUCT(AH$134:AH$166,IF(_xlfn.XLOOKUP($B$134:$B$166,Definitions!$K$17:$K$49,Definitions!$M$17:$M$49,"")=$A76,1,0))</f>
        <v>87.442999999999998</v>
      </c>
      <c r="AI128" s="127" cm="1">
        <f t="array" ref="AI128">SUMPRODUCT(AI$134:AI$166,IF(_xlfn.XLOOKUP($B$134:$B$166,Definitions!$K$17:$K$49,Definitions!$M$17:$M$49,"")=$A76,1,0))</f>
        <v>95.853300000000004</v>
      </c>
      <c r="AJ128" s="127" cm="1">
        <f t="array" ref="AJ128">SUMPRODUCT(AJ$134:AJ$166,IF(_xlfn.XLOOKUP($B$134:$B$166,Definitions!$K$17:$K$49,Definitions!$M$17:$M$49,"")=$A76,1,0))</f>
        <v>76.391800000000003</v>
      </c>
      <c r="AK128" s="127" cm="1">
        <f t="array" ref="AK128">SUMPRODUCT(AK$134:AK$166,IF(_xlfn.XLOOKUP($B$134:$B$166,Definitions!$K$17:$K$49,Definitions!$M$17:$M$49,"")=$A76,1,0))</f>
        <v>72.769000000000005</v>
      </c>
      <c r="AL128" s="127" cm="1">
        <f t="array" ref="AL128">SUMPRODUCT(AL$134:AL$166,IF(_xlfn.XLOOKUP($B$134:$B$166,Definitions!$K$17:$K$49,Definitions!$M$17:$M$49,"")=$A76,1,0))</f>
        <v>64.082999999999998</v>
      </c>
      <c r="AM128" s="127" cm="1">
        <f t="array" ref="AM128">SUMPRODUCT(AM$134:AM$166,IF(_xlfn.XLOOKUP($B$134:$B$166,Definitions!$K$17:$K$49,Definitions!$M$17:$M$49,"")=$A76,1,0))</f>
        <v>49.0471</v>
      </c>
      <c r="AN128" s="127" cm="1">
        <f t="array" ref="AN128">SUMPRODUCT(AN$134:AN$166,IF(_xlfn.XLOOKUP($B$134:$B$166,Definitions!$K$17:$K$49,Definitions!$M$17:$M$49,"")=$A76,1,0))</f>
        <v>57.1053</v>
      </c>
      <c r="AO128" s="127" cm="1">
        <f t="array" ref="AO128">SUMPRODUCT(AO$134:AO$166,IF(_xlfn.XLOOKUP($B$134:$B$166,Definitions!$K$17:$K$49,Definitions!$M$17:$M$49,"")=$A76,1,0))</f>
        <v>63.950400000000002</v>
      </c>
      <c r="AP128" s="127" cm="1">
        <f t="array" ref="AP128">SUMPRODUCT(AP$134:AP$166,IF(_xlfn.XLOOKUP($B$134:$B$166,Definitions!$K$17:$K$49,Definitions!$M$17:$M$49,"")=$A76,1,0))</f>
        <v>54.073500000000003</v>
      </c>
      <c r="AQ128" s="127" cm="1">
        <f t="array" ref="AQ128">SUMPRODUCT(AQ$134:AQ$166,IF(_xlfn.XLOOKUP($B$134:$B$166,Definitions!$K$17:$K$49,Definitions!$M$17:$M$49,"")=$A76,1,0))</f>
        <v>38.101700000000001</v>
      </c>
      <c r="AR128" s="127" cm="1">
        <f t="array" ref="AR128">SUMPRODUCT(AR$134:AR$166,IF(_xlfn.XLOOKUP($B$134:$B$166,Definitions!$K$17:$K$49,Definitions!$M$17:$M$49,"")=$A76,1,0))</f>
        <v>41.825899999999997</v>
      </c>
      <c r="AS128" s="127" cm="1">
        <f t="array" ref="AS128">SUMPRODUCT(AS$134:AS$166,IF(_xlfn.XLOOKUP($B$134:$B$166,Definitions!$K$17:$K$49,Definitions!$M$17:$M$49,"")=$A76,1,0))</f>
        <v>92.534199999999998</v>
      </c>
      <c r="AT128" s="127" cm="1">
        <f t="array" ref="AT128">SUMPRODUCT(AT$134:AT$166,IF(_xlfn.XLOOKUP($B$134:$B$166,Definitions!$K$17:$K$49,Definitions!$M$17:$M$49,"")=$A76,1,0))</f>
        <v>71.157200000000003</v>
      </c>
      <c r="AU128" s="127" cm="1">
        <f t="array" ref="AU128">SUMPRODUCT(AU$134:AU$166,IF(_xlfn.XLOOKUP($B$134:$B$166,Definitions!$K$17:$K$49,Definitions!$M$17:$M$49,"")=$A76,1,0))</f>
        <v>82.443700000000007</v>
      </c>
      <c r="AV128" s="127" cm="1">
        <f t="array" ref="AV128">SUMPRODUCT(AV$134:AV$166,IF(_xlfn.XLOOKUP($B$134:$B$166,Definitions!$K$17:$K$49,Definitions!$M$17:$M$49,"")=$A76,1,0))</f>
        <v>189.20580000000001</v>
      </c>
    </row>
    <row r="129" spans="1:48">
      <c r="A129" s="748" t="s">
        <v>34</v>
      </c>
      <c r="B129" s="748"/>
      <c r="C129" s="127" cm="1">
        <f t="array" ref="C129">SUMPRODUCT(C$134:C$166,IF(_xlfn.XLOOKUP($B$134:$B$166,Definitions!$K$17:$K$49,Definitions!$M$17:$M$49,"")=$A77,1,0))</f>
        <v>191.74850000000001</v>
      </c>
      <c r="D129" s="127" cm="1">
        <f t="array" ref="D129">SUMPRODUCT(D$134:D$166,IF(_xlfn.XLOOKUP($B$134:$B$166,Definitions!$K$17:$K$49,Definitions!$M$17:$M$49,"")=$A77,1,0))</f>
        <v>168.75149999999999</v>
      </c>
      <c r="E129" s="127" cm="1">
        <f t="array" ref="E129">SUMPRODUCT(E$134:E$166,IF(_xlfn.XLOOKUP($B$134:$B$166,Definitions!$K$17:$K$49,Definitions!$M$17:$M$49,"")=$A77,1,0))</f>
        <v>318.42430000000002</v>
      </c>
      <c r="F129" s="127" cm="1">
        <f t="array" ref="F129">SUMPRODUCT(F$134:F$166,IF(_xlfn.XLOOKUP($B$134:$B$166,Definitions!$K$17:$K$49,Definitions!$M$17:$M$49,"")=$A77,1,0))</f>
        <v>348.27910000000003</v>
      </c>
      <c r="G129" s="127" cm="1">
        <f t="array" ref="G129">SUMPRODUCT(G$134:G$166,IF(_xlfn.XLOOKUP($B$134:$B$166,Definitions!$K$17:$K$49,Definitions!$M$17:$M$49,"")=$A77,1,0))</f>
        <v>393.27809999999999</v>
      </c>
      <c r="H129" s="127" cm="1">
        <f t="array" ref="H129">SUMPRODUCT(H$134:H$166,IF(_xlfn.XLOOKUP($B$134:$B$166,Definitions!$K$17:$K$49,Definitions!$M$17:$M$49,"")=$A77,1,0))</f>
        <v>384.60899999999998</v>
      </c>
      <c r="I129" s="127" cm="1">
        <f t="array" ref="I129">SUMPRODUCT(I$134:I$166,IF(_xlfn.XLOOKUP($B$134:$B$166,Definitions!$K$17:$K$49,Definitions!$M$17:$M$49,"")=$A77,1,0))</f>
        <v>367.28100000000001</v>
      </c>
      <c r="J129" s="127" cm="1">
        <f t="array" ref="J129">SUMPRODUCT(J$134:J$166,IF(_xlfn.XLOOKUP($B$134:$B$166,Definitions!$K$17:$K$49,Definitions!$M$17:$M$49,"")=$A77,1,0))</f>
        <v>424.66340000000002</v>
      </c>
      <c r="K129" s="127" cm="1">
        <f t="array" ref="K129">SUMPRODUCT(K$134:K$166,IF(_xlfn.XLOOKUP($B$134:$B$166,Definitions!$K$17:$K$49,Definitions!$M$17:$M$49,"")=$A77,1,0))</f>
        <v>412.65969999999999</v>
      </c>
      <c r="L129" s="127" cm="1">
        <f t="array" ref="L129">SUMPRODUCT(L$134:L$166,IF(_xlfn.XLOOKUP($B$134:$B$166,Definitions!$K$17:$K$49,Definitions!$M$17:$M$49,"")=$A77,1,0))</f>
        <v>451.13389999999998</v>
      </c>
      <c r="M129" s="127" cm="1">
        <f t="array" ref="M129">SUMPRODUCT(M$134:M$166,IF(_xlfn.XLOOKUP($B$134:$B$166,Definitions!$K$17:$K$49,Definitions!$M$17:$M$49,"")=$A77,1,0))</f>
        <v>467.86290000000002</v>
      </c>
      <c r="N129" s="127" cm="1">
        <f t="array" ref="N129">SUMPRODUCT(N$134:N$166,IF(_xlfn.XLOOKUP($B$134:$B$166,Definitions!$K$17:$K$49,Definitions!$M$17:$M$49,"")=$A77,1,0))</f>
        <v>480.09649999999999</v>
      </c>
      <c r="O129" s="127" cm="1">
        <f t="array" ref="O129">SUMPRODUCT(O$134:O$166,IF(_xlfn.XLOOKUP($B$134:$B$166,Definitions!$K$17:$K$49,Definitions!$M$17:$M$49,"")=$A77,1,0))</f>
        <v>576.42809999999997</v>
      </c>
      <c r="P129" s="127" cm="1">
        <f t="array" ref="P129">SUMPRODUCT(P$134:P$166,IF(_xlfn.XLOOKUP($B$134:$B$166,Definitions!$K$17:$K$49,Definitions!$M$17:$M$49,"")=$A77,1,0))</f>
        <v>600.44949999999994</v>
      </c>
      <c r="Q129" s="127" cm="1">
        <f t="array" ref="Q129">SUMPRODUCT(Q$134:Q$166,IF(_xlfn.XLOOKUP($B$134:$B$166,Definitions!$K$17:$K$49,Definitions!$M$17:$M$49,"")=$A77,1,0))</f>
        <v>634.87180000000001</v>
      </c>
      <c r="R129" s="127" cm="1">
        <f t="array" ref="R129">SUMPRODUCT(R$134:R$166,IF(_xlfn.XLOOKUP($B$134:$B$166,Definitions!$K$17:$K$49,Definitions!$M$17:$M$49,"")=$A77,1,0))</f>
        <v>673.11329999999998</v>
      </c>
      <c r="S129" s="127" cm="1">
        <f t="array" ref="S129">SUMPRODUCT(S$134:S$166,IF(_xlfn.XLOOKUP($B$134:$B$166,Definitions!$K$17:$K$49,Definitions!$M$17:$M$49,"")=$A77,1,0))</f>
        <v>709.20740000000001</v>
      </c>
      <c r="T129" s="127" cm="1">
        <f t="array" ref="T129">SUMPRODUCT(T$134:T$166,IF(_xlfn.XLOOKUP($B$134:$B$166,Definitions!$K$17:$K$49,Definitions!$M$17:$M$49,"")=$A77,1,0))</f>
        <v>734.02239999999995</v>
      </c>
      <c r="U129" s="127" cm="1">
        <f t="array" ref="U129">SUMPRODUCT(U$134:U$166,IF(_xlfn.XLOOKUP($B$134:$B$166,Definitions!$K$17:$K$49,Definitions!$M$17:$M$49,"")=$A77,1,0))</f>
        <v>782.83709999999996</v>
      </c>
      <c r="V129" s="127" cm="1">
        <f t="array" ref="V129">SUMPRODUCT(V$134:V$166,IF(_xlfn.XLOOKUP($B$134:$B$166,Definitions!$K$17:$K$49,Definitions!$M$17:$M$49,"")=$A77,1,0))</f>
        <v>824.60590000000002</v>
      </c>
      <c r="W129" s="127" cm="1">
        <f t="array" ref="W129">SUMPRODUCT(W$134:W$166,IF(_xlfn.XLOOKUP($B$134:$B$166,Definitions!$K$17:$K$49,Definitions!$M$17:$M$49,"")=$A77,1,0))</f>
        <v>871.80160000000001</v>
      </c>
      <c r="X129" s="127" cm="1">
        <f t="array" ref="X129">SUMPRODUCT(X$134:X$166,IF(_xlfn.XLOOKUP($B$134:$B$166,Definitions!$K$17:$K$49,Definitions!$M$17:$M$49,"")=$A77,1,0))</f>
        <v>920.02179999999998</v>
      </c>
      <c r="Y129" s="127" cm="1">
        <f t="array" ref="Y129">SUMPRODUCT(Y$134:Y$166,IF(_xlfn.XLOOKUP($B$134:$B$166,Definitions!$K$17:$K$49,Definitions!$M$17:$M$49,"")=$A77,1,0))</f>
        <v>969.0675</v>
      </c>
      <c r="Z129" s="127" cm="1">
        <f t="array" ref="Z129">SUMPRODUCT(Z$134:Z$166,IF(_xlfn.XLOOKUP($B$134:$B$166,Definitions!$K$17:$K$49,Definitions!$M$17:$M$49,"")=$A77,1,0))</f>
        <v>1024.625</v>
      </c>
      <c r="AA129" s="127" cm="1">
        <f t="array" ref="AA129">SUMPRODUCT(AA$134:AA$166,IF(_xlfn.XLOOKUP($B$134:$B$166,Definitions!$K$17:$K$49,Definitions!$M$17:$M$49,"")=$A77,1,0))</f>
        <v>1081.2863</v>
      </c>
      <c r="AB129" s="127" cm="1">
        <f t="array" ref="AB129">SUMPRODUCT(AB$134:AB$166,IF(_xlfn.XLOOKUP($B$134:$B$166,Definitions!$K$17:$K$49,Definitions!$M$17:$M$49,"")=$A77,1,0))</f>
        <v>1138.7645</v>
      </c>
      <c r="AC129" s="127" cm="1">
        <f t="array" ref="AC129">SUMPRODUCT(AC$134:AC$166,IF(_xlfn.XLOOKUP($B$134:$B$166,Definitions!$K$17:$K$49,Definitions!$M$17:$M$49,"")=$A77,1,0))</f>
        <v>897.2713</v>
      </c>
      <c r="AD129" s="127" cm="1">
        <f t="array" ref="AD129">SUMPRODUCT(AD$134:AD$166,IF(_xlfn.XLOOKUP($B$134:$B$166,Definitions!$K$17:$K$49,Definitions!$M$17:$M$49,"")=$A77,1,0))</f>
        <v>897.2713</v>
      </c>
      <c r="AE129" s="127" cm="1">
        <f t="array" ref="AE129">SUMPRODUCT(AE$134:AE$166,IF(_xlfn.XLOOKUP($B$134:$B$166,Definitions!$K$17:$K$49,Definitions!$M$17:$M$49,"")=$A77,1,0))</f>
        <v>897.2713</v>
      </c>
      <c r="AF129" s="127" cm="1">
        <f t="array" ref="AF129">SUMPRODUCT(AF$134:AF$166,IF(_xlfn.XLOOKUP($B$134:$B$166,Definitions!$K$17:$K$49,Definitions!$M$17:$M$49,"")=$A77,1,0))</f>
        <v>897.2713</v>
      </c>
      <c r="AG129" s="127" cm="1">
        <f t="array" ref="AG129">SUMPRODUCT(AG$134:AG$166,IF(_xlfn.XLOOKUP($B$134:$B$166,Definitions!$K$17:$K$49,Definitions!$M$17:$M$49,"")=$A77,1,0))</f>
        <v>897.2713</v>
      </c>
      <c r="AH129" s="127" cm="1">
        <f t="array" ref="AH129">SUMPRODUCT(AH$134:AH$166,IF(_xlfn.XLOOKUP($B$134:$B$166,Definitions!$K$17:$K$49,Definitions!$M$17:$M$49,"")=$A77,1,0))</f>
        <v>897.2713</v>
      </c>
      <c r="AI129" s="127" cm="1">
        <f t="array" ref="AI129">SUMPRODUCT(AI$134:AI$166,IF(_xlfn.XLOOKUP($B$134:$B$166,Definitions!$K$17:$K$49,Definitions!$M$17:$M$49,"")=$A77,1,0))</f>
        <v>897.2713</v>
      </c>
      <c r="AJ129" s="127" cm="1">
        <f t="array" ref="AJ129">SUMPRODUCT(AJ$134:AJ$166,IF(_xlfn.XLOOKUP($B$134:$B$166,Definitions!$K$17:$K$49,Definitions!$M$17:$M$49,"")=$A77,1,0))</f>
        <v>897.2713</v>
      </c>
      <c r="AK129" s="127" cm="1">
        <f t="array" ref="AK129">SUMPRODUCT(AK$134:AK$166,IF(_xlfn.XLOOKUP($B$134:$B$166,Definitions!$K$17:$K$49,Definitions!$M$17:$M$49,"")=$A77,1,0))</f>
        <v>897.2713</v>
      </c>
      <c r="AL129" s="127" cm="1">
        <f t="array" ref="AL129">SUMPRODUCT(AL$134:AL$166,IF(_xlfn.XLOOKUP($B$134:$B$166,Definitions!$K$17:$K$49,Definitions!$M$17:$M$49,"")=$A77,1,0))</f>
        <v>897.2713</v>
      </c>
      <c r="AM129" s="127" cm="1">
        <f t="array" ref="AM129">SUMPRODUCT(AM$134:AM$166,IF(_xlfn.XLOOKUP($B$134:$B$166,Definitions!$K$17:$K$49,Definitions!$M$17:$M$49,"")=$A77,1,0))</f>
        <v>897.2713</v>
      </c>
      <c r="AN129" s="127" cm="1">
        <f t="array" ref="AN129">SUMPRODUCT(AN$134:AN$166,IF(_xlfn.XLOOKUP($B$134:$B$166,Definitions!$K$17:$K$49,Definitions!$M$17:$M$49,"")=$A77,1,0))</f>
        <v>897.2713</v>
      </c>
      <c r="AO129" s="127" cm="1">
        <f t="array" ref="AO129">SUMPRODUCT(AO$134:AO$166,IF(_xlfn.XLOOKUP($B$134:$B$166,Definitions!$K$17:$K$49,Definitions!$M$17:$M$49,"")=$A77,1,0))</f>
        <v>897.2713</v>
      </c>
      <c r="AP129" s="127" cm="1">
        <f t="array" ref="AP129">SUMPRODUCT(AP$134:AP$166,IF(_xlfn.XLOOKUP($B$134:$B$166,Definitions!$K$17:$K$49,Definitions!$M$17:$M$49,"")=$A77,1,0))</f>
        <v>897.2713</v>
      </c>
      <c r="AQ129" s="127" cm="1">
        <f t="array" ref="AQ129">SUMPRODUCT(AQ$134:AQ$166,IF(_xlfn.XLOOKUP($B$134:$B$166,Definitions!$K$17:$K$49,Definitions!$M$17:$M$49,"")=$A77,1,0))</f>
        <v>897.2713</v>
      </c>
      <c r="AR129" s="127" cm="1">
        <f t="array" ref="AR129">SUMPRODUCT(AR$134:AR$166,IF(_xlfn.XLOOKUP($B$134:$B$166,Definitions!$K$17:$K$49,Definitions!$M$17:$M$49,"")=$A77,1,0))</f>
        <v>897.2713</v>
      </c>
      <c r="AS129" s="127" cm="1">
        <f t="array" ref="AS129">SUMPRODUCT(AS$134:AS$166,IF(_xlfn.XLOOKUP($B$134:$B$166,Definitions!$K$17:$K$49,Definitions!$M$17:$M$49,"")=$A77,1,0))</f>
        <v>897.2713</v>
      </c>
      <c r="AT129" s="127" cm="1">
        <f t="array" ref="AT129">SUMPRODUCT(AT$134:AT$166,IF(_xlfn.XLOOKUP($B$134:$B$166,Definitions!$K$17:$K$49,Definitions!$M$17:$M$49,"")=$A77,1,0))</f>
        <v>897.2713</v>
      </c>
      <c r="AU129" s="127" cm="1">
        <f t="array" ref="AU129">SUMPRODUCT(AU$134:AU$166,IF(_xlfn.XLOOKUP($B$134:$B$166,Definitions!$K$17:$K$49,Definitions!$M$17:$M$49,"")=$A77,1,0))</f>
        <v>897.2713</v>
      </c>
      <c r="AV129" s="127" cm="1">
        <f t="array" ref="AV129">SUMPRODUCT(AV$134:AV$166,IF(_xlfn.XLOOKUP($B$134:$B$166,Definitions!$K$17:$K$49,Definitions!$M$17:$M$49,"")=$A77,1,0))</f>
        <v>897.2713</v>
      </c>
    </row>
    <row r="130" spans="1:48">
      <c r="A130" s="746" t="s">
        <v>623</v>
      </c>
      <c r="B130" s="746"/>
      <c r="C130" s="128">
        <f t="shared" ref="C130:AV130" si="16">SUM(C131,C132)</f>
        <v>29.242000000000001</v>
      </c>
      <c r="D130" s="128">
        <f t="shared" si="16"/>
        <v>25.7349</v>
      </c>
      <c r="E130" s="128">
        <f t="shared" si="16"/>
        <v>48.560299999999998</v>
      </c>
      <c r="F130" s="128">
        <f t="shared" si="16"/>
        <v>53.113199999999999</v>
      </c>
      <c r="G130" s="128">
        <f t="shared" si="16"/>
        <v>59.975700000000003</v>
      </c>
      <c r="H130" s="128">
        <f t="shared" si="16"/>
        <v>58.653599999999997</v>
      </c>
      <c r="I130" s="128">
        <f t="shared" si="16"/>
        <v>56.011000000000003</v>
      </c>
      <c r="J130" s="128">
        <f t="shared" si="16"/>
        <v>64.762</v>
      </c>
      <c r="K130" s="128">
        <f t="shared" si="16"/>
        <v>62.931399999999996</v>
      </c>
      <c r="L130" s="128">
        <f t="shared" si="16"/>
        <v>68.7988</v>
      </c>
      <c r="M130" s="128">
        <f t="shared" si="16"/>
        <v>71.349999999999994</v>
      </c>
      <c r="N130" s="128">
        <f t="shared" si="16"/>
        <v>73.215599999999995</v>
      </c>
      <c r="O130" s="128">
        <f t="shared" si="16"/>
        <v>87.906400000000005</v>
      </c>
      <c r="P130" s="128">
        <f t="shared" si="16"/>
        <v>91.569699999999997</v>
      </c>
      <c r="Q130" s="128">
        <f t="shared" si="16"/>
        <v>96.819100000000006</v>
      </c>
      <c r="R130" s="128">
        <f t="shared" si="16"/>
        <v>102.651</v>
      </c>
      <c r="S130" s="128">
        <f t="shared" si="16"/>
        <v>108.1555</v>
      </c>
      <c r="T130" s="128">
        <f t="shared" si="16"/>
        <v>111.93980000000001</v>
      </c>
      <c r="U130" s="128">
        <f t="shared" si="16"/>
        <v>119.3841</v>
      </c>
      <c r="V130" s="128">
        <f t="shared" si="16"/>
        <v>125.7539</v>
      </c>
      <c r="W130" s="128">
        <f t="shared" si="16"/>
        <v>132.95140000000001</v>
      </c>
      <c r="X130" s="128">
        <f t="shared" si="16"/>
        <v>140.30500000000001</v>
      </c>
      <c r="Y130" s="128">
        <f t="shared" si="16"/>
        <v>147.78460000000001</v>
      </c>
      <c r="Z130" s="128">
        <f t="shared" si="16"/>
        <v>156.25720000000001</v>
      </c>
      <c r="AA130" s="128">
        <f t="shared" si="16"/>
        <v>164.8982</v>
      </c>
      <c r="AB130" s="128">
        <f t="shared" si="16"/>
        <v>173.66370000000001</v>
      </c>
      <c r="AC130" s="128">
        <f t="shared" si="16"/>
        <v>136.8356</v>
      </c>
      <c r="AD130" s="128">
        <f t="shared" si="16"/>
        <v>136.8356</v>
      </c>
      <c r="AE130" s="128">
        <f t="shared" si="16"/>
        <v>136.8356</v>
      </c>
      <c r="AF130" s="128">
        <f t="shared" si="16"/>
        <v>136.8356</v>
      </c>
      <c r="AG130" s="128">
        <f t="shared" si="16"/>
        <v>136.8356</v>
      </c>
      <c r="AH130" s="128">
        <f t="shared" si="16"/>
        <v>136.8356</v>
      </c>
      <c r="AI130" s="128">
        <f t="shared" si="16"/>
        <v>136.8356</v>
      </c>
      <c r="AJ130" s="128">
        <f t="shared" si="16"/>
        <v>136.8356</v>
      </c>
      <c r="AK130" s="128">
        <f t="shared" si="16"/>
        <v>136.8356</v>
      </c>
      <c r="AL130" s="128">
        <f t="shared" si="16"/>
        <v>136.8356</v>
      </c>
      <c r="AM130" s="128">
        <f t="shared" si="16"/>
        <v>136.8356</v>
      </c>
      <c r="AN130" s="128">
        <f t="shared" si="16"/>
        <v>136.8356</v>
      </c>
      <c r="AO130" s="128">
        <f t="shared" si="16"/>
        <v>136.8356</v>
      </c>
      <c r="AP130" s="128">
        <f t="shared" si="16"/>
        <v>136.8356</v>
      </c>
      <c r="AQ130" s="128">
        <f t="shared" si="16"/>
        <v>136.8356</v>
      </c>
      <c r="AR130" s="128">
        <f t="shared" si="16"/>
        <v>136.8356</v>
      </c>
      <c r="AS130" s="128">
        <f t="shared" si="16"/>
        <v>136.8356</v>
      </c>
      <c r="AT130" s="128">
        <f t="shared" si="16"/>
        <v>136.8356</v>
      </c>
      <c r="AU130" s="128">
        <f t="shared" si="16"/>
        <v>274.9511</v>
      </c>
      <c r="AV130" s="128">
        <f t="shared" si="16"/>
        <v>149.38999999999999</v>
      </c>
    </row>
    <row r="131" spans="1:48">
      <c r="A131" s="745" t="s">
        <v>105</v>
      </c>
      <c r="B131" s="745"/>
      <c r="C131" s="129" cm="1">
        <f t="array" ref="C131">SUMPRODUCT(C$134:C$166,IF(_xlfn.XLOOKUP($B$134:$B$166,Definitions!$K$17:$K$49,Definitions!$M$17:$M$49,"")=$A79,1,0))</f>
        <v>0</v>
      </c>
      <c r="D131" s="129" cm="1">
        <f t="array" ref="D131">SUMPRODUCT(D$134:D$166,IF(_xlfn.XLOOKUP($B$134:$B$166,Definitions!$K$17:$K$49,Definitions!$M$17:$M$49,"")=$A79,1,0))</f>
        <v>0</v>
      </c>
      <c r="E131" s="129" cm="1">
        <f t="array" ref="E131">SUMPRODUCT(E$134:E$166,IF(_xlfn.XLOOKUP($B$134:$B$166,Definitions!$K$17:$K$49,Definitions!$M$17:$M$49,"")=$A79,1,0))</f>
        <v>0</v>
      </c>
      <c r="F131" s="129" cm="1">
        <f t="array" ref="F131">SUMPRODUCT(F$134:F$166,IF(_xlfn.XLOOKUP($B$134:$B$166,Definitions!$K$17:$K$49,Definitions!$M$17:$M$49,"")=$A79,1,0))</f>
        <v>0</v>
      </c>
      <c r="G131" s="129" cm="1">
        <f t="array" ref="G131">SUMPRODUCT(G$134:G$166,IF(_xlfn.XLOOKUP($B$134:$B$166,Definitions!$K$17:$K$49,Definitions!$M$17:$M$49,"")=$A79,1,0))</f>
        <v>0</v>
      </c>
      <c r="H131" s="129" cm="1">
        <f t="array" ref="H131">SUMPRODUCT(H$134:H$166,IF(_xlfn.XLOOKUP($B$134:$B$166,Definitions!$K$17:$K$49,Definitions!$M$17:$M$49,"")=$A79,1,0))</f>
        <v>0</v>
      </c>
      <c r="I131" s="129" cm="1">
        <f t="array" ref="I131">SUMPRODUCT(I$134:I$166,IF(_xlfn.XLOOKUP($B$134:$B$166,Definitions!$K$17:$K$49,Definitions!$M$17:$M$49,"")=$A79,1,0))</f>
        <v>0</v>
      </c>
      <c r="J131" s="129" cm="1">
        <f t="array" ref="J131">SUMPRODUCT(J$134:J$166,IF(_xlfn.XLOOKUP($B$134:$B$166,Definitions!$K$17:$K$49,Definitions!$M$17:$M$49,"")=$A79,1,0))</f>
        <v>0</v>
      </c>
      <c r="K131" s="129" cm="1">
        <f t="array" ref="K131">SUMPRODUCT(K$134:K$166,IF(_xlfn.XLOOKUP($B$134:$B$166,Definitions!$K$17:$K$49,Definitions!$M$17:$M$49,"")=$A79,1,0))</f>
        <v>0</v>
      </c>
      <c r="L131" s="129" cm="1">
        <f t="array" ref="L131">SUMPRODUCT(L$134:L$166,IF(_xlfn.XLOOKUP($B$134:$B$166,Definitions!$K$17:$K$49,Definitions!$M$17:$M$49,"")=$A79,1,0))</f>
        <v>0</v>
      </c>
      <c r="M131" s="129" cm="1">
        <f t="array" ref="M131">SUMPRODUCT(M$134:M$166,IF(_xlfn.XLOOKUP($B$134:$B$166,Definitions!$K$17:$K$49,Definitions!$M$17:$M$49,"")=$A79,1,0))</f>
        <v>0</v>
      </c>
      <c r="N131" s="129" cm="1">
        <f t="array" ref="N131">SUMPRODUCT(N$134:N$166,IF(_xlfn.XLOOKUP($B$134:$B$166,Definitions!$K$17:$K$49,Definitions!$M$17:$M$49,"")=$A79,1,0))</f>
        <v>0</v>
      </c>
      <c r="O131" s="129" cm="1">
        <f t="array" ref="O131">SUMPRODUCT(O$134:O$166,IF(_xlfn.XLOOKUP($B$134:$B$166,Definitions!$K$17:$K$49,Definitions!$M$17:$M$49,"")=$A79,1,0))</f>
        <v>0</v>
      </c>
      <c r="P131" s="129" cm="1">
        <f t="array" ref="P131">SUMPRODUCT(P$134:P$166,IF(_xlfn.XLOOKUP($B$134:$B$166,Definitions!$K$17:$K$49,Definitions!$M$17:$M$49,"")=$A79,1,0))</f>
        <v>0</v>
      </c>
      <c r="Q131" s="129" cm="1">
        <f t="array" ref="Q131">SUMPRODUCT(Q$134:Q$166,IF(_xlfn.XLOOKUP($B$134:$B$166,Definitions!$K$17:$K$49,Definitions!$M$17:$M$49,"")=$A79,1,0))</f>
        <v>0</v>
      </c>
      <c r="R131" s="129" cm="1">
        <f t="array" ref="R131">SUMPRODUCT(R$134:R$166,IF(_xlfn.XLOOKUP($B$134:$B$166,Definitions!$K$17:$K$49,Definitions!$M$17:$M$49,"")=$A79,1,0))</f>
        <v>0</v>
      </c>
      <c r="S131" s="129" cm="1">
        <f t="array" ref="S131">SUMPRODUCT(S$134:S$166,IF(_xlfn.XLOOKUP($B$134:$B$166,Definitions!$K$17:$K$49,Definitions!$M$17:$M$49,"")=$A79,1,0))</f>
        <v>0</v>
      </c>
      <c r="T131" s="129" cm="1">
        <f t="array" ref="T131">SUMPRODUCT(T$134:T$166,IF(_xlfn.XLOOKUP($B$134:$B$166,Definitions!$K$17:$K$49,Definitions!$M$17:$M$49,"")=$A79,1,0))</f>
        <v>0</v>
      </c>
      <c r="U131" s="129" cm="1">
        <f t="array" ref="U131">SUMPRODUCT(U$134:U$166,IF(_xlfn.XLOOKUP($B$134:$B$166,Definitions!$K$17:$K$49,Definitions!$M$17:$M$49,"")=$A79,1,0))</f>
        <v>0</v>
      </c>
      <c r="V131" s="129" cm="1">
        <f t="array" ref="V131">SUMPRODUCT(V$134:V$166,IF(_xlfn.XLOOKUP($B$134:$B$166,Definitions!$K$17:$K$49,Definitions!$M$17:$M$49,"")=$A79,1,0))</f>
        <v>0</v>
      </c>
      <c r="W131" s="129" cm="1">
        <f t="array" ref="W131">SUMPRODUCT(W$134:W$166,IF(_xlfn.XLOOKUP($B$134:$B$166,Definitions!$K$17:$K$49,Definitions!$M$17:$M$49,"")=$A79,1,0))</f>
        <v>0</v>
      </c>
      <c r="X131" s="129" cm="1">
        <f t="array" ref="X131">SUMPRODUCT(X$134:X$166,IF(_xlfn.XLOOKUP($B$134:$B$166,Definitions!$K$17:$K$49,Definitions!$M$17:$M$49,"")=$A79,1,0))</f>
        <v>0</v>
      </c>
      <c r="Y131" s="129" cm="1">
        <f t="array" ref="Y131">SUMPRODUCT(Y$134:Y$166,IF(_xlfn.XLOOKUP($B$134:$B$166,Definitions!$K$17:$K$49,Definitions!$M$17:$M$49,"")=$A79,1,0))</f>
        <v>0</v>
      </c>
      <c r="Z131" s="129" cm="1">
        <f t="array" ref="Z131">SUMPRODUCT(Z$134:Z$166,IF(_xlfn.XLOOKUP($B$134:$B$166,Definitions!$K$17:$K$49,Definitions!$M$17:$M$49,"")=$A79,1,0))</f>
        <v>0</v>
      </c>
      <c r="AA131" s="129" cm="1">
        <f t="array" ref="AA131">SUMPRODUCT(AA$134:AA$166,IF(_xlfn.XLOOKUP($B$134:$B$166,Definitions!$K$17:$K$49,Definitions!$M$17:$M$49,"")=$A79,1,0))</f>
        <v>0</v>
      </c>
      <c r="AB131" s="129" cm="1">
        <f t="array" ref="AB131">SUMPRODUCT(AB$134:AB$166,IF(_xlfn.XLOOKUP($B$134:$B$166,Definitions!$K$17:$K$49,Definitions!$M$17:$M$49,"")=$A79,1,0))</f>
        <v>0</v>
      </c>
      <c r="AC131" s="129" cm="1">
        <f t="array" ref="AC131">SUMPRODUCT(AC$134:AC$166,IF(_xlfn.XLOOKUP($B$134:$B$166,Definitions!$K$17:$K$49,Definitions!$M$17:$M$49,"")=$A79,1,0))</f>
        <v>0</v>
      </c>
      <c r="AD131" s="129" cm="1">
        <f t="array" ref="AD131">SUMPRODUCT(AD$134:AD$166,IF(_xlfn.XLOOKUP($B$134:$B$166,Definitions!$K$17:$K$49,Definitions!$M$17:$M$49,"")=$A79,1,0))</f>
        <v>0</v>
      </c>
      <c r="AE131" s="129" cm="1">
        <f t="array" ref="AE131">SUMPRODUCT(AE$134:AE$166,IF(_xlfn.XLOOKUP($B$134:$B$166,Definitions!$K$17:$K$49,Definitions!$M$17:$M$49,"")=$A79,1,0))</f>
        <v>0</v>
      </c>
      <c r="AF131" s="129" cm="1">
        <f t="array" ref="AF131">SUMPRODUCT(AF$134:AF$166,IF(_xlfn.XLOOKUP($B$134:$B$166,Definitions!$K$17:$K$49,Definitions!$M$17:$M$49,"")=$A79,1,0))</f>
        <v>0</v>
      </c>
      <c r="AG131" s="129" cm="1">
        <f t="array" ref="AG131">SUMPRODUCT(AG$134:AG$166,IF(_xlfn.XLOOKUP($B$134:$B$166,Definitions!$K$17:$K$49,Definitions!$M$17:$M$49,"")=$A79,1,0))</f>
        <v>0</v>
      </c>
      <c r="AH131" s="129" cm="1">
        <f t="array" ref="AH131">SUMPRODUCT(AH$134:AH$166,IF(_xlfn.XLOOKUP($B$134:$B$166,Definitions!$K$17:$K$49,Definitions!$M$17:$M$49,"")=$A79,1,0))</f>
        <v>0</v>
      </c>
      <c r="AI131" s="129" cm="1">
        <f t="array" ref="AI131">SUMPRODUCT(AI$134:AI$166,IF(_xlfn.XLOOKUP($B$134:$B$166,Definitions!$K$17:$K$49,Definitions!$M$17:$M$49,"")=$A79,1,0))</f>
        <v>0</v>
      </c>
      <c r="AJ131" s="129" cm="1">
        <f t="array" ref="AJ131">SUMPRODUCT(AJ$134:AJ$166,IF(_xlfn.XLOOKUP($B$134:$B$166,Definitions!$K$17:$K$49,Definitions!$M$17:$M$49,"")=$A79,1,0))</f>
        <v>0</v>
      </c>
      <c r="AK131" s="129" cm="1">
        <f t="array" ref="AK131">SUMPRODUCT(AK$134:AK$166,IF(_xlfn.XLOOKUP($B$134:$B$166,Definitions!$K$17:$K$49,Definitions!$M$17:$M$49,"")=$A79,1,0))</f>
        <v>0</v>
      </c>
      <c r="AL131" s="129" cm="1">
        <f t="array" ref="AL131">SUMPRODUCT(AL$134:AL$166,IF(_xlfn.XLOOKUP($B$134:$B$166,Definitions!$K$17:$K$49,Definitions!$M$17:$M$49,"")=$A79,1,0))</f>
        <v>0</v>
      </c>
      <c r="AM131" s="129" cm="1">
        <f t="array" ref="AM131">SUMPRODUCT(AM$134:AM$166,IF(_xlfn.XLOOKUP($B$134:$B$166,Definitions!$K$17:$K$49,Definitions!$M$17:$M$49,"")=$A79,1,0))</f>
        <v>0</v>
      </c>
      <c r="AN131" s="129" cm="1">
        <f t="array" ref="AN131">SUMPRODUCT(AN$134:AN$166,IF(_xlfn.XLOOKUP($B$134:$B$166,Definitions!$K$17:$K$49,Definitions!$M$17:$M$49,"")=$A79,1,0))</f>
        <v>0</v>
      </c>
      <c r="AO131" s="129" cm="1">
        <f t="array" ref="AO131">SUMPRODUCT(AO$134:AO$166,IF(_xlfn.XLOOKUP($B$134:$B$166,Definitions!$K$17:$K$49,Definitions!$M$17:$M$49,"")=$A79,1,0))</f>
        <v>0</v>
      </c>
      <c r="AP131" s="129" cm="1">
        <f t="array" ref="AP131">SUMPRODUCT(AP$134:AP$166,IF(_xlfn.XLOOKUP($B$134:$B$166,Definitions!$K$17:$K$49,Definitions!$M$17:$M$49,"")=$A79,1,0))</f>
        <v>0</v>
      </c>
      <c r="AQ131" s="129" cm="1">
        <f t="array" ref="AQ131">SUMPRODUCT(AQ$134:AQ$166,IF(_xlfn.XLOOKUP($B$134:$B$166,Definitions!$K$17:$K$49,Definitions!$M$17:$M$49,"")=$A79,1,0))</f>
        <v>0</v>
      </c>
      <c r="AR131" s="129" cm="1">
        <f t="array" ref="AR131">SUMPRODUCT(AR$134:AR$166,IF(_xlfn.XLOOKUP($B$134:$B$166,Definitions!$K$17:$K$49,Definitions!$M$17:$M$49,"")=$A79,1,0))</f>
        <v>0</v>
      </c>
      <c r="AS131" s="129" cm="1">
        <f t="array" ref="AS131">SUMPRODUCT(AS$134:AS$166,IF(_xlfn.XLOOKUP($B$134:$B$166,Definitions!$K$17:$K$49,Definitions!$M$17:$M$49,"")=$A79,1,0))</f>
        <v>0</v>
      </c>
      <c r="AT131" s="129" cm="1">
        <f t="array" ref="AT131">SUMPRODUCT(AT$134:AT$166,IF(_xlfn.XLOOKUP($B$134:$B$166,Definitions!$K$17:$K$49,Definitions!$M$17:$M$49,"")=$A79,1,0))</f>
        <v>0</v>
      </c>
      <c r="AU131" s="129" cm="1">
        <f t="array" ref="AU131">SUMPRODUCT(AU$134:AU$166,IF(_xlfn.XLOOKUP($B$134:$B$166,Definitions!$K$17:$K$49,Definitions!$M$17:$M$49,"")=$A79,1,0))</f>
        <v>0</v>
      </c>
      <c r="AV131" s="129" cm="1">
        <f t="array" ref="AV131">SUMPRODUCT(AV$134:AV$166,IF(_xlfn.XLOOKUP($B$134:$B$166,Definitions!$K$17:$K$49,Definitions!$M$17:$M$49,"")=$A79,1,0))</f>
        <v>0</v>
      </c>
    </row>
    <row r="132" spans="1:48">
      <c r="A132" s="745" t="s">
        <v>109</v>
      </c>
      <c r="B132" s="745"/>
      <c r="C132" s="129" cm="1">
        <f t="array" ref="C132">SUMPRODUCT(C$134:C$166,IF(_xlfn.XLOOKUP($B$134:$B$166,Definitions!$K$17:$K$49,Definitions!$M$17:$M$49,"")=$A80,1,0))</f>
        <v>29.242000000000001</v>
      </c>
      <c r="D132" s="129" cm="1">
        <f t="array" ref="D132">SUMPRODUCT(D$134:D$166,IF(_xlfn.XLOOKUP($B$134:$B$166,Definitions!$K$17:$K$49,Definitions!$M$17:$M$49,"")=$A80,1,0))</f>
        <v>25.7349</v>
      </c>
      <c r="E132" s="129" cm="1">
        <f t="array" ref="E132">SUMPRODUCT(E$134:E$166,IF(_xlfn.XLOOKUP($B$134:$B$166,Definitions!$K$17:$K$49,Definitions!$M$17:$M$49,"")=$A80,1,0))</f>
        <v>48.560299999999998</v>
      </c>
      <c r="F132" s="129" cm="1">
        <f t="array" ref="F132">SUMPRODUCT(F$134:F$166,IF(_xlfn.XLOOKUP($B$134:$B$166,Definitions!$K$17:$K$49,Definitions!$M$17:$M$49,"")=$A80,1,0))</f>
        <v>53.113199999999999</v>
      </c>
      <c r="G132" s="129" cm="1">
        <f t="array" ref="G132">SUMPRODUCT(G$134:G$166,IF(_xlfn.XLOOKUP($B$134:$B$166,Definitions!$K$17:$K$49,Definitions!$M$17:$M$49,"")=$A80,1,0))</f>
        <v>59.975700000000003</v>
      </c>
      <c r="H132" s="129" cm="1">
        <f t="array" ref="H132">SUMPRODUCT(H$134:H$166,IF(_xlfn.XLOOKUP($B$134:$B$166,Definitions!$K$17:$K$49,Definitions!$M$17:$M$49,"")=$A80,1,0))</f>
        <v>58.653599999999997</v>
      </c>
      <c r="I132" s="129" cm="1">
        <f t="array" ref="I132">SUMPRODUCT(I$134:I$166,IF(_xlfn.XLOOKUP($B$134:$B$166,Definitions!$K$17:$K$49,Definitions!$M$17:$M$49,"")=$A80,1,0))</f>
        <v>56.011000000000003</v>
      </c>
      <c r="J132" s="129" cm="1">
        <f t="array" ref="J132">SUMPRODUCT(J$134:J$166,IF(_xlfn.XLOOKUP($B$134:$B$166,Definitions!$K$17:$K$49,Definitions!$M$17:$M$49,"")=$A80,1,0))</f>
        <v>64.762</v>
      </c>
      <c r="K132" s="129" cm="1">
        <f t="array" ref="K132">SUMPRODUCT(K$134:K$166,IF(_xlfn.XLOOKUP($B$134:$B$166,Definitions!$K$17:$K$49,Definitions!$M$17:$M$49,"")=$A80,1,0))</f>
        <v>62.931399999999996</v>
      </c>
      <c r="L132" s="129" cm="1">
        <f t="array" ref="L132">SUMPRODUCT(L$134:L$166,IF(_xlfn.XLOOKUP($B$134:$B$166,Definitions!$K$17:$K$49,Definitions!$M$17:$M$49,"")=$A80,1,0))</f>
        <v>68.7988</v>
      </c>
      <c r="M132" s="129" cm="1">
        <f t="array" ref="M132">SUMPRODUCT(M$134:M$166,IF(_xlfn.XLOOKUP($B$134:$B$166,Definitions!$K$17:$K$49,Definitions!$M$17:$M$49,"")=$A80,1,0))</f>
        <v>71.349999999999994</v>
      </c>
      <c r="N132" s="129" cm="1">
        <f t="array" ref="N132">SUMPRODUCT(N$134:N$166,IF(_xlfn.XLOOKUP($B$134:$B$166,Definitions!$K$17:$K$49,Definitions!$M$17:$M$49,"")=$A80,1,0))</f>
        <v>73.215599999999995</v>
      </c>
      <c r="O132" s="129" cm="1">
        <f t="array" ref="O132">SUMPRODUCT(O$134:O$166,IF(_xlfn.XLOOKUP($B$134:$B$166,Definitions!$K$17:$K$49,Definitions!$M$17:$M$49,"")=$A80,1,0))</f>
        <v>87.906400000000005</v>
      </c>
      <c r="P132" s="129" cm="1">
        <f t="array" ref="P132">SUMPRODUCT(P$134:P$166,IF(_xlfn.XLOOKUP($B$134:$B$166,Definitions!$K$17:$K$49,Definitions!$M$17:$M$49,"")=$A80,1,0))</f>
        <v>91.569699999999997</v>
      </c>
      <c r="Q132" s="129" cm="1">
        <f t="array" ref="Q132">SUMPRODUCT(Q$134:Q$166,IF(_xlfn.XLOOKUP($B$134:$B$166,Definitions!$K$17:$K$49,Definitions!$M$17:$M$49,"")=$A80,1,0))</f>
        <v>96.819100000000006</v>
      </c>
      <c r="R132" s="129" cm="1">
        <f t="array" ref="R132">SUMPRODUCT(R$134:R$166,IF(_xlfn.XLOOKUP($B$134:$B$166,Definitions!$K$17:$K$49,Definitions!$M$17:$M$49,"")=$A80,1,0))</f>
        <v>102.651</v>
      </c>
      <c r="S132" s="129" cm="1">
        <f t="array" ref="S132">SUMPRODUCT(S$134:S$166,IF(_xlfn.XLOOKUP($B$134:$B$166,Definitions!$K$17:$K$49,Definitions!$M$17:$M$49,"")=$A80,1,0))</f>
        <v>108.1555</v>
      </c>
      <c r="T132" s="129" cm="1">
        <f t="array" ref="T132">SUMPRODUCT(T$134:T$166,IF(_xlfn.XLOOKUP($B$134:$B$166,Definitions!$K$17:$K$49,Definitions!$M$17:$M$49,"")=$A80,1,0))</f>
        <v>111.93980000000001</v>
      </c>
      <c r="U132" s="129" cm="1">
        <f t="array" ref="U132">SUMPRODUCT(U$134:U$166,IF(_xlfn.XLOOKUP($B$134:$B$166,Definitions!$K$17:$K$49,Definitions!$M$17:$M$49,"")=$A80,1,0))</f>
        <v>119.3841</v>
      </c>
      <c r="V132" s="129" cm="1">
        <f t="array" ref="V132">SUMPRODUCT(V$134:V$166,IF(_xlfn.XLOOKUP($B$134:$B$166,Definitions!$K$17:$K$49,Definitions!$M$17:$M$49,"")=$A80,1,0))</f>
        <v>125.7539</v>
      </c>
      <c r="W132" s="129" cm="1">
        <f t="array" ref="W132">SUMPRODUCT(W$134:W$166,IF(_xlfn.XLOOKUP($B$134:$B$166,Definitions!$K$17:$K$49,Definitions!$M$17:$M$49,"")=$A80,1,0))</f>
        <v>132.95140000000001</v>
      </c>
      <c r="X132" s="129" cm="1">
        <f t="array" ref="X132">SUMPRODUCT(X$134:X$166,IF(_xlfn.XLOOKUP($B$134:$B$166,Definitions!$K$17:$K$49,Definitions!$M$17:$M$49,"")=$A80,1,0))</f>
        <v>140.30500000000001</v>
      </c>
      <c r="Y132" s="129" cm="1">
        <f t="array" ref="Y132">SUMPRODUCT(Y$134:Y$166,IF(_xlfn.XLOOKUP($B$134:$B$166,Definitions!$K$17:$K$49,Definitions!$M$17:$M$49,"")=$A80,1,0))</f>
        <v>147.78460000000001</v>
      </c>
      <c r="Z132" s="129" cm="1">
        <f t="array" ref="Z132">SUMPRODUCT(Z$134:Z$166,IF(_xlfn.XLOOKUP($B$134:$B$166,Definitions!$K$17:$K$49,Definitions!$M$17:$M$49,"")=$A80,1,0))</f>
        <v>156.25720000000001</v>
      </c>
      <c r="AA132" s="129" cm="1">
        <f t="array" ref="AA132">SUMPRODUCT(AA$134:AA$166,IF(_xlfn.XLOOKUP($B$134:$B$166,Definitions!$K$17:$K$49,Definitions!$M$17:$M$49,"")=$A80,1,0))</f>
        <v>164.8982</v>
      </c>
      <c r="AB132" s="129" cm="1">
        <f t="array" ref="AB132">SUMPRODUCT(AB$134:AB$166,IF(_xlfn.XLOOKUP($B$134:$B$166,Definitions!$K$17:$K$49,Definitions!$M$17:$M$49,"")=$A80,1,0))</f>
        <v>173.66370000000001</v>
      </c>
      <c r="AC132" s="129" cm="1">
        <f t="array" ref="AC132">SUMPRODUCT(AC$134:AC$166,IF(_xlfn.XLOOKUP($B$134:$B$166,Definitions!$K$17:$K$49,Definitions!$M$17:$M$49,"")=$A80,1,0))</f>
        <v>136.8356</v>
      </c>
      <c r="AD132" s="129" cm="1">
        <f t="array" ref="AD132">SUMPRODUCT(AD$134:AD$166,IF(_xlfn.XLOOKUP($B$134:$B$166,Definitions!$K$17:$K$49,Definitions!$M$17:$M$49,"")=$A80,1,0))</f>
        <v>136.8356</v>
      </c>
      <c r="AE132" s="129" cm="1">
        <f t="array" ref="AE132">SUMPRODUCT(AE$134:AE$166,IF(_xlfn.XLOOKUP($B$134:$B$166,Definitions!$K$17:$K$49,Definitions!$M$17:$M$49,"")=$A80,1,0))</f>
        <v>136.8356</v>
      </c>
      <c r="AF132" s="129" cm="1">
        <f t="array" ref="AF132">SUMPRODUCT(AF$134:AF$166,IF(_xlfn.XLOOKUP($B$134:$B$166,Definitions!$K$17:$K$49,Definitions!$M$17:$M$49,"")=$A80,1,0))</f>
        <v>136.8356</v>
      </c>
      <c r="AG132" s="129" cm="1">
        <f t="array" ref="AG132">SUMPRODUCT(AG$134:AG$166,IF(_xlfn.XLOOKUP($B$134:$B$166,Definitions!$K$17:$K$49,Definitions!$M$17:$M$49,"")=$A80,1,0))</f>
        <v>136.8356</v>
      </c>
      <c r="AH132" s="129" cm="1">
        <f t="array" ref="AH132">SUMPRODUCT(AH$134:AH$166,IF(_xlfn.XLOOKUP($B$134:$B$166,Definitions!$K$17:$K$49,Definitions!$M$17:$M$49,"")=$A80,1,0))</f>
        <v>136.8356</v>
      </c>
      <c r="AI132" s="129" cm="1">
        <f t="array" ref="AI132">SUMPRODUCT(AI$134:AI$166,IF(_xlfn.XLOOKUP($B$134:$B$166,Definitions!$K$17:$K$49,Definitions!$M$17:$M$49,"")=$A80,1,0))</f>
        <v>136.8356</v>
      </c>
      <c r="AJ132" s="129" cm="1">
        <f t="array" ref="AJ132">SUMPRODUCT(AJ$134:AJ$166,IF(_xlfn.XLOOKUP($B$134:$B$166,Definitions!$K$17:$K$49,Definitions!$M$17:$M$49,"")=$A80,1,0))</f>
        <v>136.8356</v>
      </c>
      <c r="AK132" s="129" cm="1">
        <f t="array" ref="AK132">SUMPRODUCT(AK$134:AK$166,IF(_xlfn.XLOOKUP($B$134:$B$166,Definitions!$K$17:$K$49,Definitions!$M$17:$M$49,"")=$A80,1,0))</f>
        <v>136.8356</v>
      </c>
      <c r="AL132" s="129" cm="1">
        <f t="array" ref="AL132">SUMPRODUCT(AL$134:AL$166,IF(_xlfn.XLOOKUP($B$134:$B$166,Definitions!$K$17:$K$49,Definitions!$M$17:$M$49,"")=$A80,1,0))</f>
        <v>136.8356</v>
      </c>
      <c r="AM132" s="129" cm="1">
        <f t="array" ref="AM132">SUMPRODUCT(AM$134:AM$166,IF(_xlfn.XLOOKUP($B$134:$B$166,Definitions!$K$17:$K$49,Definitions!$M$17:$M$49,"")=$A80,1,0))</f>
        <v>136.8356</v>
      </c>
      <c r="AN132" s="129" cm="1">
        <f t="array" ref="AN132">SUMPRODUCT(AN$134:AN$166,IF(_xlfn.XLOOKUP($B$134:$B$166,Definitions!$K$17:$K$49,Definitions!$M$17:$M$49,"")=$A80,1,0))</f>
        <v>136.8356</v>
      </c>
      <c r="AO132" s="129" cm="1">
        <f t="array" ref="AO132">SUMPRODUCT(AO$134:AO$166,IF(_xlfn.XLOOKUP($B$134:$B$166,Definitions!$K$17:$K$49,Definitions!$M$17:$M$49,"")=$A80,1,0))</f>
        <v>136.8356</v>
      </c>
      <c r="AP132" s="129" cm="1">
        <f t="array" ref="AP132">SUMPRODUCT(AP$134:AP$166,IF(_xlfn.XLOOKUP($B$134:$B$166,Definitions!$K$17:$K$49,Definitions!$M$17:$M$49,"")=$A80,1,0))</f>
        <v>136.8356</v>
      </c>
      <c r="AQ132" s="129" cm="1">
        <f t="array" ref="AQ132">SUMPRODUCT(AQ$134:AQ$166,IF(_xlfn.XLOOKUP($B$134:$B$166,Definitions!$K$17:$K$49,Definitions!$M$17:$M$49,"")=$A80,1,0))</f>
        <v>136.8356</v>
      </c>
      <c r="AR132" s="129" cm="1">
        <f t="array" ref="AR132">SUMPRODUCT(AR$134:AR$166,IF(_xlfn.XLOOKUP($B$134:$B$166,Definitions!$K$17:$K$49,Definitions!$M$17:$M$49,"")=$A80,1,0))</f>
        <v>136.8356</v>
      </c>
      <c r="AS132" s="129" cm="1">
        <f t="array" ref="AS132">SUMPRODUCT(AS$134:AS$166,IF(_xlfn.XLOOKUP($B$134:$B$166,Definitions!$K$17:$K$49,Definitions!$M$17:$M$49,"")=$A80,1,0))</f>
        <v>136.8356</v>
      </c>
      <c r="AT132" s="129" cm="1">
        <f t="array" ref="AT132">SUMPRODUCT(AT$134:AT$166,IF(_xlfn.XLOOKUP($B$134:$B$166,Definitions!$K$17:$K$49,Definitions!$M$17:$M$49,"")=$A80,1,0))</f>
        <v>136.8356</v>
      </c>
      <c r="AU132" s="129" cm="1">
        <f t="array" ref="AU132">SUMPRODUCT(AU$134:AU$166,IF(_xlfn.XLOOKUP($B$134:$B$166,Definitions!$K$17:$K$49,Definitions!$M$17:$M$49,"")=$A80,1,0))</f>
        <v>274.9511</v>
      </c>
      <c r="AV132" s="129" cm="1">
        <f t="array" ref="AV132">SUMPRODUCT(AV$134:AV$166,IF(_xlfn.XLOOKUP($B$134:$B$166,Definitions!$K$17:$K$49,Definitions!$M$17:$M$49,"")=$A80,1,0))</f>
        <v>149.38999999999999</v>
      </c>
    </row>
    <row r="133" spans="1:48">
      <c r="A133" s="744" t="s">
        <v>624</v>
      </c>
      <c r="B133" s="744"/>
      <c r="C133" s="554" cm="1">
        <f t="array" ref="C133">SUMPRODUCT(C$134:C$166,IF(_xlfn.XLOOKUP($B$134:$B$166,Definitions!$K$17:$K$49,Definitions!$M$17:$M$49,"")=$A81,1,0))</f>
        <v>0</v>
      </c>
      <c r="D133" s="554" cm="1">
        <f t="array" ref="D133">SUMPRODUCT(D$134:D$166,IF(_xlfn.XLOOKUP($B$134:$B$166,Definitions!$K$17:$K$49,Definitions!$M$17:$M$49,"")=$A81,1,0))</f>
        <v>0</v>
      </c>
      <c r="E133" s="554" cm="1">
        <f t="array" ref="E133">SUMPRODUCT(E$134:E$166,IF(_xlfn.XLOOKUP($B$134:$B$166,Definitions!$K$17:$K$49,Definitions!$M$17:$M$49,"")=$A81,1,0))</f>
        <v>0</v>
      </c>
      <c r="F133" s="554" cm="1">
        <f t="array" ref="F133">SUMPRODUCT(F$134:F$166,IF(_xlfn.XLOOKUP($B$134:$B$166,Definitions!$K$17:$K$49,Definitions!$M$17:$M$49,"")=$A81,1,0))</f>
        <v>0</v>
      </c>
      <c r="G133" s="554" cm="1">
        <f t="array" ref="G133">SUMPRODUCT(G$134:G$166,IF(_xlfn.XLOOKUP($B$134:$B$166,Definitions!$K$17:$K$49,Definitions!$M$17:$M$49,"")=$A81,1,0))</f>
        <v>0</v>
      </c>
      <c r="H133" s="554" cm="1">
        <f t="array" ref="H133">SUMPRODUCT(H$134:H$166,IF(_xlfn.XLOOKUP($B$134:$B$166,Definitions!$K$17:$K$49,Definitions!$M$17:$M$49,"")=$A81,1,0))</f>
        <v>0</v>
      </c>
      <c r="I133" s="554" cm="1">
        <f t="array" ref="I133">SUMPRODUCT(I$134:I$166,IF(_xlfn.XLOOKUP($B$134:$B$166,Definitions!$K$17:$K$49,Definitions!$M$17:$M$49,"")=$A81,1,0))</f>
        <v>0</v>
      </c>
      <c r="J133" s="554" cm="1">
        <f t="array" ref="J133">SUMPRODUCT(J$134:J$166,IF(_xlfn.XLOOKUP($B$134:$B$166,Definitions!$K$17:$K$49,Definitions!$M$17:$M$49,"")=$A81,1,0))</f>
        <v>0</v>
      </c>
      <c r="K133" s="554" cm="1">
        <f t="array" ref="K133">SUMPRODUCT(K$134:K$166,IF(_xlfn.XLOOKUP($B$134:$B$166,Definitions!$K$17:$K$49,Definitions!$M$17:$M$49,"")=$A81,1,0))</f>
        <v>0</v>
      </c>
      <c r="L133" s="554" cm="1">
        <f t="array" ref="L133">SUMPRODUCT(L$134:L$166,IF(_xlfn.XLOOKUP($B$134:$B$166,Definitions!$K$17:$K$49,Definitions!$M$17:$M$49,"")=$A81,1,0))</f>
        <v>0</v>
      </c>
      <c r="M133" s="554" cm="1">
        <f t="array" ref="M133">SUMPRODUCT(M$134:M$166,IF(_xlfn.XLOOKUP($B$134:$B$166,Definitions!$K$17:$K$49,Definitions!$M$17:$M$49,"")=$A81,1,0))</f>
        <v>0</v>
      </c>
      <c r="N133" s="554" cm="1">
        <f t="array" ref="N133">SUMPRODUCT(N$134:N$166,IF(_xlfn.XLOOKUP($B$134:$B$166,Definitions!$K$17:$K$49,Definitions!$M$17:$M$49,"")=$A81,1,0))</f>
        <v>0</v>
      </c>
      <c r="O133" s="554" cm="1">
        <f t="array" ref="O133">SUMPRODUCT(O$134:O$166,IF(_xlfn.XLOOKUP($B$134:$B$166,Definitions!$K$17:$K$49,Definitions!$M$17:$M$49,"")=$A81,1,0))</f>
        <v>0</v>
      </c>
      <c r="P133" s="554" cm="1">
        <f t="array" ref="P133">SUMPRODUCT(P$134:P$166,IF(_xlfn.XLOOKUP($B$134:$B$166,Definitions!$K$17:$K$49,Definitions!$M$17:$M$49,"")=$A81,1,0))</f>
        <v>0</v>
      </c>
      <c r="Q133" s="554" cm="1">
        <f t="array" ref="Q133">SUMPRODUCT(Q$134:Q$166,IF(_xlfn.XLOOKUP($B$134:$B$166,Definitions!$K$17:$K$49,Definitions!$M$17:$M$49,"")=$A81,1,0))</f>
        <v>0</v>
      </c>
      <c r="R133" s="554" cm="1">
        <f t="array" ref="R133">SUMPRODUCT(R$134:R$166,IF(_xlfn.XLOOKUP($B$134:$B$166,Definitions!$K$17:$K$49,Definitions!$M$17:$M$49,"")=$A81,1,0))</f>
        <v>0</v>
      </c>
      <c r="S133" s="554" cm="1">
        <f t="array" ref="S133">SUMPRODUCT(S$134:S$166,IF(_xlfn.XLOOKUP($B$134:$B$166,Definitions!$K$17:$K$49,Definitions!$M$17:$M$49,"")=$A81,1,0))</f>
        <v>0</v>
      </c>
      <c r="T133" s="554" cm="1">
        <f t="array" ref="T133">SUMPRODUCT(T$134:T$166,IF(_xlfn.XLOOKUP($B$134:$B$166,Definitions!$K$17:$K$49,Definitions!$M$17:$M$49,"")=$A81,1,0))</f>
        <v>0</v>
      </c>
      <c r="U133" s="554" cm="1">
        <f t="array" ref="U133">SUMPRODUCT(U$134:U$166,IF(_xlfn.XLOOKUP($B$134:$B$166,Definitions!$K$17:$K$49,Definitions!$M$17:$M$49,"")=$A81,1,0))</f>
        <v>0</v>
      </c>
      <c r="V133" s="554" cm="1">
        <f t="array" ref="V133">SUMPRODUCT(V$134:V$166,IF(_xlfn.XLOOKUP($B$134:$B$166,Definitions!$K$17:$K$49,Definitions!$M$17:$M$49,"")=$A81,1,0))</f>
        <v>0</v>
      </c>
      <c r="W133" s="554" cm="1">
        <f t="array" ref="W133">SUMPRODUCT(W$134:W$166,IF(_xlfn.XLOOKUP($B$134:$B$166,Definitions!$K$17:$K$49,Definitions!$M$17:$M$49,"")=$A81,1,0))</f>
        <v>0</v>
      </c>
      <c r="X133" s="554" cm="1">
        <f t="array" ref="X133">SUMPRODUCT(X$134:X$166,IF(_xlfn.XLOOKUP($B$134:$B$166,Definitions!$K$17:$K$49,Definitions!$M$17:$M$49,"")=$A81,1,0))</f>
        <v>0</v>
      </c>
      <c r="Y133" s="554" cm="1">
        <f t="array" ref="Y133">SUMPRODUCT(Y$134:Y$166,IF(_xlfn.XLOOKUP($B$134:$B$166,Definitions!$K$17:$K$49,Definitions!$M$17:$M$49,"")=$A81,1,0))</f>
        <v>0</v>
      </c>
      <c r="Z133" s="554" cm="1">
        <f t="array" ref="Z133">SUMPRODUCT(Z$134:Z$166,IF(_xlfn.XLOOKUP($B$134:$B$166,Definitions!$K$17:$K$49,Definitions!$M$17:$M$49,"")=$A81,1,0))</f>
        <v>0</v>
      </c>
      <c r="AA133" s="554" cm="1">
        <f t="array" ref="AA133">SUMPRODUCT(AA$134:AA$166,IF(_xlfn.XLOOKUP($B$134:$B$166,Definitions!$K$17:$K$49,Definitions!$M$17:$M$49,"")=$A81,1,0))</f>
        <v>0</v>
      </c>
      <c r="AB133" s="554" cm="1">
        <f t="array" ref="AB133">SUMPRODUCT(AB$134:AB$166,IF(_xlfn.XLOOKUP($B$134:$B$166,Definitions!$K$17:$K$49,Definitions!$M$17:$M$49,"")=$A81,1,0))</f>
        <v>0</v>
      </c>
      <c r="AC133" s="554" cm="1">
        <f t="array" ref="AC133">SUMPRODUCT(AC$134:AC$166,IF(_xlfn.XLOOKUP($B$134:$B$166,Definitions!$K$17:$K$49,Definitions!$M$17:$M$49,"")=$A81,1,0))</f>
        <v>0</v>
      </c>
      <c r="AD133" s="554" cm="1">
        <f t="array" ref="AD133">SUMPRODUCT(AD$134:AD$166,IF(_xlfn.XLOOKUP($B$134:$B$166,Definitions!$K$17:$K$49,Definitions!$M$17:$M$49,"")=$A81,1,0))</f>
        <v>0</v>
      </c>
      <c r="AE133" s="554" cm="1">
        <f t="array" ref="AE133">SUMPRODUCT(AE$134:AE$166,IF(_xlfn.XLOOKUP($B$134:$B$166,Definitions!$K$17:$K$49,Definitions!$M$17:$M$49,"")=$A81,1,0))</f>
        <v>0</v>
      </c>
      <c r="AF133" s="554" cm="1">
        <f t="array" ref="AF133">SUMPRODUCT(AF$134:AF$166,IF(_xlfn.XLOOKUP($B$134:$B$166,Definitions!$K$17:$K$49,Definitions!$M$17:$M$49,"")=$A81,1,0))</f>
        <v>0</v>
      </c>
      <c r="AG133" s="554" cm="1">
        <f t="array" ref="AG133">SUMPRODUCT(AG$134:AG$166,IF(_xlfn.XLOOKUP($B$134:$B$166,Definitions!$K$17:$K$49,Definitions!$M$17:$M$49,"")=$A81,1,0))</f>
        <v>0</v>
      </c>
      <c r="AH133" s="554" cm="1">
        <f t="array" ref="AH133">SUMPRODUCT(AH$134:AH$166,IF(_xlfn.XLOOKUP($B$134:$B$166,Definitions!$K$17:$K$49,Definitions!$M$17:$M$49,"")=$A81,1,0))</f>
        <v>0</v>
      </c>
      <c r="AI133" s="554" cm="1">
        <f t="array" ref="AI133">SUMPRODUCT(AI$134:AI$166,IF(_xlfn.XLOOKUP($B$134:$B$166,Definitions!$K$17:$K$49,Definitions!$M$17:$M$49,"")=$A81,1,0))</f>
        <v>0</v>
      </c>
      <c r="AJ133" s="554" cm="1">
        <f t="array" ref="AJ133">SUMPRODUCT(AJ$134:AJ$166,IF(_xlfn.XLOOKUP($B$134:$B$166,Definitions!$K$17:$K$49,Definitions!$M$17:$M$49,"")=$A81,1,0))</f>
        <v>0</v>
      </c>
      <c r="AK133" s="554" cm="1">
        <f t="array" ref="AK133">SUMPRODUCT(AK$134:AK$166,IF(_xlfn.XLOOKUP($B$134:$B$166,Definitions!$K$17:$K$49,Definitions!$M$17:$M$49,"")=$A81,1,0))</f>
        <v>0</v>
      </c>
      <c r="AL133" s="554" cm="1">
        <f t="array" ref="AL133">SUMPRODUCT(AL$134:AL$166,IF(_xlfn.XLOOKUP($B$134:$B$166,Definitions!$K$17:$K$49,Definitions!$M$17:$M$49,"")=$A81,1,0))</f>
        <v>0</v>
      </c>
      <c r="AM133" s="554" cm="1">
        <f t="array" ref="AM133">SUMPRODUCT(AM$134:AM$166,IF(_xlfn.XLOOKUP($B$134:$B$166,Definitions!$K$17:$K$49,Definitions!$M$17:$M$49,"")=$A81,1,0))</f>
        <v>0</v>
      </c>
      <c r="AN133" s="554" cm="1">
        <f t="array" ref="AN133">SUMPRODUCT(AN$134:AN$166,IF(_xlfn.XLOOKUP($B$134:$B$166,Definitions!$K$17:$K$49,Definitions!$M$17:$M$49,"")=$A81,1,0))</f>
        <v>0</v>
      </c>
      <c r="AO133" s="554" cm="1">
        <f t="array" ref="AO133">SUMPRODUCT(AO$134:AO$166,IF(_xlfn.XLOOKUP($B$134:$B$166,Definitions!$K$17:$K$49,Definitions!$M$17:$M$49,"")=$A81,1,0))</f>
        <v>0</v>
      </c>
      <c r="AP133" s="554" cm="1">
        <f t="array" ref="AP133">SUMPRODUCT(AP$134:AP$166,IF(_xlfn.XLOOKUP($B$134:$B$166,Definitions!$K$17:$K$49,Definitions!$M$17:$M$49,"")=$A81,1,0))</f>
        <v>0</v>
      </c>
      <c r="AQ133" s="554" cm="1">
        <f t="array" ref="AQ133">SUMPRODUCT(AQ$134:AQ$166,IF(_xlfn.XLOOKUP($B$134:$B$166,Definitions!$K$17:$K$49,Definitions!$M$17:$M$49,"")=$A81,1,0))</f>
        <v>0</v>
      </c>
      <c r="AR133" s="554" cm="1">
        <f t="array" ref="AR133">SUMPRODUCT(AR$134:AR$166,IF(_xlfn.XLOOKUP($B$134:$B$166,Definitions!$K$17:$K$49,Definitions!$M$17:$M$49,"")=$A81,1,0))</f>
        <v>0</v>
      </c>
      <c r="AS133" s="554" cm="1">
        <f t="array" ref="AS133">SUMPRODUCT(AS$134:AS$166,IF(_xlfn.XLOOKUP($B$134:$B$166,Definitions!$K$17:$K$49,Definitions!$M$17:$M$49,"")=$A81,1,0))</f>
        <v>0</v>
      </c>
      <c r="AT133" s="554" cm="1">
        <f t="array" ref="AT133">SUMPRODUCT(AT$134:AT$166,IF(_xlfn.XLOOKUP($B$134:$B$166,Definitions!$K$17:$K$49,Definitions!$M$17:$M$49,"")=$A81,1,0))</f>
        <v>0</v>
      </c>
      <c r="AU133" s="554" cm="1">
        <f t="array" ref="AU133">SUMPRODUCT(AU$134:AU$166,IF(_xlfn.XLOOKUP($B$134:$B$166,Definitions!$K$17:$K$49,Definitions!$M$17:$M$49,"")=$A81,1,0))</f>
        <v>0</v>
      </c>
      <c r="AV133" s="554" cm="1">
        <f t="array" ref="AV133">SUMPRODUCT(AV$134:AV$166,IF(_xlfn.XLOOKUP($B$134:$B$166,Definitions!$K$17:$K$49,Definitions!$M$17:$M$49,"")=$A81,1,0))</f>
        <v>0</v>
      </c>
    </row>
    <row r="134" spans="1:48" outlineLevel="1">
      <c r="A134" s="565" t="str">
        <f>IF(Definitions!L17&lt;&gt;"", Definitions!L17, "")</f>
        <v>Biomass power plant</v>
      </c>
      <c r="B134" s="565" t="str">
        <f>IF(Definitions!K17&lt;&gt;"", Definitions!K17, "")</f>
        <v>PWRBIO001</v>
      </c>
      <c r="C134" s="566" cm="1">
        <f t="array" ref="C134:AV134">IF(B134="", "",
   TRANSPOSE(
INDEX('OSeMOSYS (Input)'!$B$85:$AA$130, , MATCH(TRUE, ISNUMBER(SEARCH(B29, 'OSeMOSYS (Input)'!$B$74:$AA$74)), 0))
   )
   *
   IF('High Level Dashboard'!$B$5="Local Currency",
      INDEX('Financing Baseline'!$S$39:$BL$39, , MATCH(TRUE, ISNUMBER(SEARCH(B29, 'OSeMOSYS (Input)'!$B$10:$AB10)), 0)) /
      INDEX('Financing Baseline'!$S$38:$BL$38, , MATCH(TRUE, ISNUMBER(SEARCH(B29, 'OSeMOSYS (Input)'!$B$10:$AB10)), 0)),
      INDEX('Financing Baseline'!$S$38:$BL$38, , MATCH(TRUE, ISNUMBER(SEARCH(B29, 'OSeMOSYS (Input)'!$B$10:$AB$10)), 0))
   )
)</f>
        <v>50</v>
      </c>
      <c r="D134" s="566">
        <v>25</v>
      </c>
      <c r="E134" s="566">
        <v>0</v>
      </c>
      <c r="F134" s="566">
        <v>20</v>
      </c>
      <c r="G134" s="566">
        <v>0</v>
      </c>
      <c r="H134" s="566">
        <v>120.5</v>
      </c>
      <c r="I134" s="566">
        <v>50</v>
      </c>
      <c r="J134" s="566">
        <v>27</v>
      </c>
      <c r="K134" s="566">
        <v>7.5</v>
      </c>
      <c r="L134" s="566">
        <v>15</v>
      </c>
      <c r="M134" s="566">
        <v>0.75</v>
      </c>
      <c r="N134" s="566">
        <v>0</v>
      </c>
      <c r="O134" s="566">
        <v>44.5</v>
      </c>
      <c r="P134" s="566">
        <v>22.25</v>
      </c>
      <c r="Q134" s="566">
        <v>0</v>
      </c>
      <c r="R134" s="566">
        <v>0</v>
      </c>
      <c r="S134" s="566">
        <v>0</v>
      </c>
      <c r="T134" s="566">
        <v>0</v>
      </c>
      <c r="U134" s="566">
        <v>0</v>
      </c>
      <c r="V134" s="566">
        <v>0</v>
      </c>
      <c r="W134" s="566">
        <v>0</v>
      </c>
      <c r="X134" s="566">
        <v>0</v>
      </c>
      <c r="Y134" s="566">
        <v>0</v>
      </c>
      <c r="Z134" s="566">
        <v>176.5478</v>
      </c>
      <c r="AA134" s="566">
        <v>73.202200000000005</v>
      </c>
      <c r="AB134" s="566">
        <v>22.25</v>
      </c>
      <c r="AC134" s="566">
        <v>22.25</v>
      </c>
      <c r="AD134" s="566">
        <v>22.25</v>
      </c>
      <c r="AE134" s="566">
        <v>25.75</v>
      </c>
      <c r="AF134" s="566">
        <v>22.25</v>
      </c>
      <c r="AG134" s="566">
        <v>22.25</v>
      </c>
      <c r="AH134" s="566">
        <v>47.25</v>
      </c>
      <c r="AI134" s="566">
        <v>22.25</v>
      </c>
      <c r="AJ134" s="566">
        <v>42.25</v>
      </c>
      <c r="AK134" s="566">
        <v>22.25</v>
      </c>
      <c r="AL134" s="566">
        <v>142.75</v>
      </c>
      <c r="AM134" s="566">
        <v>72.25</v>
      </c>
      <c r="AN134" s="566">
        <v>49.25</v>
      </c>
      <c r="AO134" s="566">
        <v>29.75</v>
      </c>
      <c r="AP134" s="566">
        <v>37.25</v>
      </c>
      <c r="AQ134" s="566">
        <v>23</v>
      </c>
      <c r="AR134" s="566">
        <v>22.25</v>
      </c>
      <c r="AS134" s="566">
        <v>66.75</v>
      </c>
      <c r="AT134" s="566">
        <v>44.5</v>
      </c>
      <c r="AU134" s="566">
        <v>22.25</v>
      </c>
      <c r="AV134" s="566">
        <v>22.25</v>
      </c>
    </row>
    <row r="135" spans="1:48" outlineLevel="1">
      <c r="A135" s="565" t="str">
        <f>IF(Definitions!L18&lt;&gt;"", Definitions!L18, "")</f>
        <v>Coal power plant</v>
      </c>
      <c r="B135" s="565" t="str">
        <f>IF(Definitions!K18&lt;&gt;"", Definitions!K18, "")</f>
        <v>PWRCOA001</v>
      </c>
      <c r="C135" s="566" cm="1">
        <f t="array" ref="C135:AV135">IF(B135="", "",
   TRANSPOSE(
INDEX('OSeMOSYS (Input)'!$B$85:$AA$130, , MATCH(TRUE, ISNUMBER(SEARCH(B30, 'OSeMOSYS (Input)'!$B$74:$AA$74)), 0))
   )
   *
   IF('High Level Dashboard'!$B$5="Local Currency",
      INDEX('Financing Baseline'!$S$39:$BL$39, , MATCH(TRUE, ISNUMBER(SEARCH(B30, 'OSeMOSYS (Input)'!$B$10:$AB11)), 0)) /
      INDEX('Financing Baseline'!$S$38:$BL$38, , MATCH(TRUE, ISNUMBER(SEARCH(B30, 'OSeMOSYS (Input)'!$B$10:$AB11)), 0)),
      INDEX('Financing Baseline'!$S$38:$BL$38, , MATCH(TRUE, ISNUMBER(SEARCH(B30, 'OSeMOSYS (Input)'!$B$10:$AB$10)), 0))
   )
)</f>
        <v>0</v>
      </c>
      <c r="D135" s="566">
        <v>0</v>
      </c>
      <c r="E135" s="566">
        <v>0</v>
      </c>
      <c r="F135" s="566">
        <v>0</v>
      </c>
      <c r="G135" s="566">
        <v>0</v>
      </c>
      <c r="H135" s="566">
        <v>0</v>
      </c>
      <c r="I135" s="566">
        <v>0</v>
      </c>
      <c r="J135" s="566">
        <v>0</v>
      </c>
      <c r="K135" s="566">
        <v>0</v>
      </c>
      <c r="L135" s="566">
        <v>0</v>
      </c>
      <c r="M135" s="566">
        <v>0</v>
      </c>
      <c r="N135" s="566">
        <v>0</v>
      </c>
      <c r="O135" s="566">
        <v>0</v>
      </c>
      <c r="P135" s="566">
        <v>0</v>
      </c>
      <c r="Q135" s="566">
        <v>0</v>
      </c>
      <c r="R135" s="566">
        <v>0</v>
      </c>
      <c r="S135" s="566">
        <v>0</v>
      </c>
      <c r="T135" s="566">
        <v>0</v>
      </c>
      <c r="U135" s="566">
        <v>0</v>
      </c>
      <c r="V135" s="566">
        <v>0</v>
      </c>
      <c r="W135" s="566">
        <v>0</v>
      </c>
      <c r="X135" s="566">
        <v>0</v>
      </c>
      <c r="Y135" s="566">
        <v>0</v>
      </c>
      <c r="Z135" s="566">
        <v>0</v>
      </c>
      <c r="AA135" s="566">
        <v>0</v>
      </c>
      <c r="AB135" s="566">
        <v>0</v>
      </c>
      <c r="AC135" s="566">
        <v>0</v>
      </c>
      <c r="AD135" s="566">
        <v>0</v>
      </c>
      <c r="AE135" s="566">
        <v>0</v>
      </c>
      <c r="AF135" s="566">
        <v>0</v>
      </c>
      <c r="AG135" s="566">
        <v>0</v>
      </c>
      <c r="AH135" s="566">
        <v>0</v>
      </c>
      <c r="AI135" s="566">
        <v>0</v>
      </c>
      <c r="AJ135" s="566">
        <v>0</v>
      </c>
      <c r="AK135" s="566">
        <v>0</v>
      </c>
      <c r="AL135" s="566">
        <v>0</v>
      </c>
      <c r="AM135" s="566">
        <v>0</v>
      </c>
      <c r="AN135" s="566">
        <v>0</v>
      </c>
      <c r="AO135" s="566">
        <v>0</v>
      </c>
      <c r="AP135" s="566">
        <v>0</v>
      </c>
      <c r="AQ135" s="566">
        <v>0</v>
      </c>
      <c r="AR135" s="566">
        <v>0</v>
      </c>
      <c r="AS135" s="566">
        <v>0</v>
      </c>
      <c r="AT135" s="566">
        <v>0</v>
      </c>
      <c r="AU135" s="566">
        <v>0</v>
      </c>
      <c r="AV135" s="566">
        <v>0</v>
      </c>
    </row>
    <row r="136" spans="1:48" outlineLevel="1">
      <c r="A136" s="565" t="str">
        <f>IF(Definitions!L19&lt;&gt;"", Definitions!L19, "")</f>
        <v>Geothermal power plant</v>
      </c>
      <c r="B136" s="565" t="str">
        <f>IF(Definitions!K19&lt;&gt;"", Definitions!K19, "")</f>
        <v>PWRGEO</v>
      </c>
      <c r="C136" s="566" cm="1">
        <f t="array" ref="C136:AV136">IF(B136="", "",
   TRANSPOSE(
INDEX('OSeMOSYS (Input)'!$B$85:$AA$130, , MATCH(TRUE, ISNUMBER(SEARCH(B31, 'OSeMOSYS (Input)'!$B$74:$AA$74)), 0))
   )
   *
   IF('High Level Dashboard'!$B$5="Local Currency",
      INDEX('Financing Baseline'!$S$39:$BL$39, , MATCH(TRUE, ISNUMBER(SEARCH(B31, 'OSeMOSYS (Input)'!$B$10:$AB12)), 0)) /
      INDEX('Financing Baseline'!$S$38:$BL$38, , MATCH(TRUE, ISNUMBER(SEARCH(B31, 'OSeMOSYS (Input)'!$B$10:$AB12)), 0)),
      INDEX('Financing Baseline'!$S$38:$BL$38, , MATCH(TRUE, ISNUMBER(SEARCH(B31, 'OSeMOSYS (Input)'!$B$10:$AB$10)), 0))
   )
)</f>
        <v>278.2473</v>
      </c>
      <c r="D136" s="566">
        <v>544.25279999999998</v>
      </c>
      <c r="E136" s="566">
        <v>403.99560000000002</v>
      </c>
      <c r="F136" s="566">
        <v>331.83539999999999</v>
      </c>
      <c r="G136" s="566">
        <v>1158.2438999999999</v>
      </c>
      <c r="H136" s="566">
        <v>217.36670000000001</v>
      </c>
      <c r="I136" s="566">
        <v>578.79539999999997</v>
      </c>
      <c r="J136" s="566">
        <v>163.4556</v>
      </c>
      <c r="K136" s="566">
        <v>163.4556</v>
      </c>
      <c r="L136" s="566">
        <v>695.12519999999995</v>
      </c>
      <c r="M136" s="566">
        <v>217.9408</v>
      </c>
      <c r="N136" s="566">
        <v>749.61040000000003</v>
      </c>
      <c r="O136" s="566">
        <v>616.32600000000002</v>
      </c>
      <c r="P136" s="566">
        <v>561.84079999999994</v>
      </c>
      <c r="Q136" s="566">
        <v>1012.8712</v>
      </c>
      <c r="R136" s="566">
        <v>1402.0608999999999</v>
      </c>
      <c r="S136" s="566">
        <v>1097.1865</v>
      </c>
      <c r="T136" s="566">
        <v>435.88159999999999</v>
      </c>
      <c r="U136" s="566">
        <v>435.88159999999999</v>
      </c>
      <c r="V136" s="566">
        <v>490.36680000000001</v>
      </c>
      <c r="W136" s="566">
        <v>544.85199999999998</v>
      </c>
      <c r="X136" s="566">
        <v>599.33720000000005</v>
      </c>
      <c r="Y136" s="566">
        <v>653.82240000000002</v>
      </c>
      <c r="Z136" s="566">
        <v>708.30759999999998</v>
      </c>
      <c r="AA136" s="566">
        <v>817.27800000000002</v>
      </c>
      <c r="AB136" s="566">
        <v>1007.6455</v>
      </c>
      <c r="AC136" s="566">
        <v>1089.1048000000001</v>
      </c>
      <c r="AD136" s="566">
        <v>948.84760000000006</v>
      </c>
      <c r="AE136" s="566">
        <v>876.68740000000003</v>
      </c>
      <c r="AF136" s="566">
        <v>1703.0959</v>
      </c>
      <c r="AG136" s="566">
        <v>762.21870000000001</v>
      </c>
      <c r="AH136" s="566">
        <v>1123.6474000000001</v>
      </c>
      <c r="AI136" s="566">
        <v>708.30759999999998</v>
      </c>
      <c r="AJ136" s="566">
        <v>708.30759999999998</v>
      </c>
      <c r="AK136" s="566">
        <v>1239.9772</v>
      </c>
      <c r="AL136" s="566">
        <v>762.79280000000006</v>
      </c>
      <c r="AM136" s="566">
        <v>1294.4623999999999</v>
      </c>
      <c r="AN136" s="566">
        <v>1161.1780000000001</v>
      </c>
      <c r="AO136" s="566">
        <v>1106.6928</v>
      </c>
      <c r="AP136" s="566">
        <v>1557.7231999999999</v>
      </c>
      <c r="AQ136" s="566">
        <v>1946.9129</v>
      </c>
      <c r="AR136" s="566">
        <v>1642.0385000000001</v>
      </c>
      <c r="AS136" s="566">
        <v>980.73360000000002</v>
      </c>
      <c r="AT136" s="566">
        <v>980.73360000000002</v>
      </c>
      <c r="AU136" s="566">
        <v>1035.2188000000001</v>
      </c>
      <c r="AV136" s="566">
        <v>1089.704</v>
      </c>
    </row>
    <row r="137" spans="1:48" outlineLevel="1">
      <c r="A137" s="565" t="str">
        <f>IF(Definitions!L20&lt;&gt;"", Definitions!L20, "")</f>
        <v>Light fuel oil power plant</v>
      </c>
      <c r="B137" s="565" t="str">
        <f>IF(Definitions!K20&lt;&gt;"", Definitions!K20, "")</f>
        <v>PWROHC001</v>
      </c>
      <c r="C137" s="566" cm="1">
        <f t="array" ref="C137:AV137">IF(B137="", "",
   TRANSPOSE(
INDEX('OSeMOSYS (Input)'!$B$85:$AA$130, , MATCH(TRUE, ISNUMBER(SEARCH(B32, 'OSeMOSYS (Input)'!$B$74:$AA$74)), 0))
   )
   *
   IF('High Level Dashboard'!$B$5="Local Currency",
      INDEX('Financing Baseline'!$S$39:$BL$39, , MATCH(TRUE, ISNUMBER(SEARCH(B32, 'OSeMOSYS (Input)'!$B$10:$AB13)), 0)) /
      INDEX('Financing Baseline'!$S$38:$BL$38, , MATCH(TRUE, ISNUMBER(SEARCH(B32, 'OSeMOSYS (Input)'!$B$10:$AB13)), 0)),
      INDEX('Financing Baseline'!$S$38:$BL$38, , MATCH(TRUE, ISNUMBER(SEARCH(B32, 'OSeMOSYS (Input)'!$B$10:$AB$10)), 0))
   )
)</f>
        <v>0</v>
      </c>
      <c r="D137" s="566">
        <v>0</v>
      </c>
      <c r="E137" s="566">
        <v>0</v>
      </c>
      <c r="F137" s="566">
        <v>0</v>
      </c>
      <c r="G137" s="566">
        <v>0</v>
      </c>
      <c r="H137" s="566">
        <v>0</v>
      </c>
      <c r="I137" s="566">
        <v>0</v>
      </c>
      <c r="J137" s="566">
        <v>0</v>
      </c>
      <c r="K137" s="566">
        <v>0</v>
      </c>
      <c r="L137" s="566">
        <v>0</v>
      </c>
      <c r="M137" s="566">
        <v>0</v>
      </c>
      <c r="N137" s="566">
        <v>0</v>
      </c>
      <c r="O137" s="566">
        <v>0</v>
      </c>
      <c r="P137" s="566">
        <v>0</v>
      </c>
      <c r="Q137" s="566">
        <v>0</v>
      </c>
      <c r="R137" s="566">
        <v>0</v>
      </c>
      <c r="S137" s="566">
        <v>0</v>
      </c>
      <c r="T137" s="566">
        <v>0</v>
      </c>
      <c r="U137" s="566">
        <v>0</v>
      </c>
      <c r="V137" s="566">
        <v>0</v>
      </c>
      <c r="W137" s="566">
        <v>0</v>
      </c>
      <c r="X137" s="566">
        <v>0</v>
      </c>
      <c r="Y137" s="566">
        <v>0</v>
      </c>
      <c r="Z137" s="566">
        <v>0</v>
      </c>
      <c r="AA137" s="566">
        <v>0</v>
      </c>
      <c r="AB137" s="566">
        <v>0</v>
      </c>
      <c r="AC137" s="566">
        <v>0</v>
      </c>
      <c r="AD137" s="566">
        <v>0</v>
      </c>
      <c r="AE137" s="566">
        <v>0</v>
      </c>
      <c r="AF137" s="566">
        <v>0</v>
      </c>
      <c r="AG137" s="566">
        <v>0</v>
      </c>
      <c r="AH137" s="566">
        <v>0</v>
      </c>
      <c r="AI137" s="566">
        <v>0</v>
      </c>
      <c r="AJ137" s="566">
        <v>0</v>
      </c>
      <c r="AK137" s="566">
        <v>0</v>
      </c>
      <c r="AL137" s="566">
        <v>0</v>
      </c>
      <c r="AM137" s="566">
        <v>0</v>
      </c>
      <c r="AN137" s="566">
        <v>0</v>
      </c>
      <c r="AO137" s="566">
        <v>0</v>
      </c>
      <c r="AP137" s="566">
        <v>0</v>
      </c>
      <c r="AQ137" s="566">
        <v>0</v>
      </c>
      <c r="AR137" s="566">
        <v>0</v>
      </c>
      <c r="AS137" s="566">
        <v>0</v>
      </c>
      <c r="AT137" s="566">
        <v>0</v>
      </c>
      <c r="AU137" s="566">
        <v>0</v>
      </c>
      <c r="AV137" s="566">
        <v>0</v>
      </c>
    </row>
    <row r="138" spans="1:48" outlineLevel="1">
      <c r="A138" s="565" t="str">
        <f>IF(Definitions!L21&lt;&gt;"", Definitions!L21, "")</f>
        <v>Oil fired gas turbine - SCGT</v>
      </c>
      <c r="B138" s="565" t="str">
        <f>IF(Definitions!K21&lt;&gt;"", Definitions!K21, "")</f>
        <v>PWROHC002</v>
      </c>
      <c r="C138" s="566" cm="1">
        <f t="array" ref="C138:AV138">IF(B138="", "",
   TRANSPOSE(
INDEX('OSeMOSYS (Input)'!$B$85:$AA$130, , MATCH(TRUE, ISNUMBER(SEARCH(B33, 'OSeMOSYS (Input)'!$B$74:$AA$74)), 0))
   )
   *
   IF('High Level Dashboard'!$B$5="Local Currency",
      INDEX('Financing Baseline'!$S$39:$BL$39, , MATCH(TRUE, ISNUMBER(SEARCH(B33, 'OSeMOSYS (Input)'!$B$10:$AB14)), 0)) /
      INDEX('Financing Baseline'!$S$38:$BL$38, , MATCH(TRUE, ISNUMBER(SEARCH(B33, 'OSeMOSYS (Input)'!$B$10:$AB14)), 0)),
      INDEX('Financing Baseline'!$S$38:$BL$38, , MATCH(TRUE, ISNUMBER(SEARCH(B33, 'OSeMOSYS (Input)'!$B$10:$AB$10)), 0))
   )
)</f>
        <v>0</v>
      </c>
      <c r="D138" s="566">
        <v>0</v>
      </c>
      <c r="E138" s="566">
        <v>0</v>
      </c>
      <c r="F138" s="566">
        <v>0</v>
      </c>
      <c r="G138" s="566">
        <v>0</v>
      </c>
      <c r="H138" s="566">
        <v>0</v>
      </c>
      <c r="I138" s="566">
        <v>0</v>
      </c>
      <c r="J138" s="566">
        <v>0</v>
      </c>
      <c r="K138" s="566">
        <v>0</v>
      </c>
      <c r="L138" s="566">
        <v>0</v>
      </c>
      <c r="M138" s="566">
        <v>0</v>
      </c>
      <c r="N138" s="566">
        <v>0</v>
      </c>
      <c r="O138" s="566">
        <v>0</v>
      </c>
      <c r="P138" s="566">
        <v>0</v>
      </c>
      <c r="Q138" s="566">
        <v>0</v>
      </c>
      <c r="R138" s="566">
        <v>0</v>
      </c>
      <c r="S138" s="566">
        <v>0</v>
      </c>
      <c r="T138" s="566">
        <v>0</v>
      </c>
      <c r="U138" s="566">
        <v>0</v>
      </c>
      <c r="V138" s="566">
        <v>0</v>
      </c>
      <c r="W138" s="566">
        <v>0</v>
      </c>
      <c r="X138" s="566">
        <v>0</v>
      </c>
      <c r="Y138" s="566">
        <v>0</v>
      </c>
      <c r="Z138" s="566">
        <v>0</v>
      </c>
      <c r="AA138" s="566">
        <v>0</v>
      </c>
      <c r="AB138" s="566">
        <v>0</v>
      </c>
      <c r="AC138" s="566">
        <v>0</v>
      </c>
      <c r="AD138" s="566">
        <v>0</v>
      </c>
      <c r="AE138" s="566">
        <v>0</v>
      </c>
      <c r="AF138" s="566">
        <v>0</v>
      </c>
      <c r="AG138" s="566">
        <v>0</v>
      </c>
      <c r="AH138" s="566">
        <v>0</v>
      </c>
      <c r="AI138" s="566">
        <v>0</v>
      </c>
      <c r="AJ138" s="566">
        <v>0</v>
      </c>
      <c r="AK138" s="566">
        <v>0</v>
      </c>
      <c r="AL138" s="566">
        <v>0</v>
      </c>
      <c r="AM138" s="566">
        <v>0</v>
      </c>
      <c r="AN138" s="566">
        <v>0</v>
      </c>
      <c r="AO138" s="566">
        <v>0</v>
      </c>
      <c r="AP138" s="566">
        <v>0</v>
      </c>
      <c r="AQ138" s="566">
        <v>0</v>
      </c>
      <c r="AR138" s="566">
        <v>0</v>
      </c>
      <c r="AS138" s="566">
        <v>0</v>
      </c>
      <c r="AT138" s="566">
        <v>0</v>
      </c>
      <c r="AU138" s="566">
        <v>0</v>
      </c>
      <c r="AV138" s="566">
        <v>0</v>
      </c>
    </row>
    <row r="139" spans="1:48" outlineLevel="1">
      <c r="A139" s="565" t="str">
        <f>IF(Definitions!L22&lt;&gt;"", Definitions!L22, "")</f>
        <v>Natural gas power plant - CCGT</v>
      </c>
      <c r="B139" s="565" t="str">
        <f>IF(Definitions!K22&lt;&gt;"", Definitions!K22, "")</f>
        <v>PWRNGS001</v>
      </c>
      <c r="C139" s="566" cm="1">
        <f t="array" ref="C139:AV139">IF(B139="", "",
   TRANSPOSE(
INDEX('OSeMOSYS (Input)'!$B$85:$AA$130, , MATCH(TRUE, ISNUMBER(SEARCH(B34, 'OSeMOSYS (Input)'!$B$74:$AA$74)), 0))
   )
   *
   IF('High Level Dashboard'!$B$5="Local Currency",
      INDEX('Financing Baseline'!$S$39:$BL$39, , MATCH(TRUE, ISNUMBER(SEARCH(B34, 'OSeMOSYS (Input)'!$B$10:$AB15)), 0)) /
      INDEX('Financing Baseline'!$S$38:$BL$38, , MATCH(TRUE, ISNUMBER(SEARCH(B34, 'OSeMOSYS (Input)'!$B$10:$AB15)), 0)),
      INDEX('Financing Baseline'!$S$38:$BL$38, , MATCH(TRUE, ISNUMBER(SEARCH(B34, 'OSeMOSYS (Input)'!$B$10:$AB$10)), 0))
   )
)</f>
        <v>0</v>
      </c>
      <c r="D139" s="566">
        <v>0</v>
      </c>
      <c r="E139" s="566">
        <v>0</v>
      </c>
      <c r="F139" s="566">
        <v>0</v>
      </c>
      <c r="G139" s="566">
        <v>0</v>
      </c>
      <c r="H139" s="566">
        <v>0</v>
      </c>
      <c r="I139" s="566">
        <v>0</v>
      </c>
      <c r="J139" s="566">
        <v>0</v>
      </c>
      <c r="K139" s="566">
        <v>0</v>
      </c>
      <c r="L139" s="566">
        <v>0</v>
      </c>
      <c r="M139" s="566">
        <v>0</v>
      </c>
      <c r="N139" s="566">
        <v>0</v>
      </c>
      <c r="O139" s="566">
        <v>0</v>
      </c>
      <c r="P139" s="566">
        <v>0</v>
      </c>
      <c r="Q139" s="566">
        <v>0</v>
      </c>
      <c r="R139" s="566">
        <v>0</v>
      </c>
      <c r="S139" s="566">
        <v>0</v>
      </c>
      <c r="T139" s="566">
        <v>0</v>
      </c>
      <c r="U139" s="566">
        <v>0</v>
      </c>
      <c r="V139" s="566">
        <v>0</v>
      </c>
      <c r="W139" s="566">
        <v>0</v>
      </c>
      <c r="X139" s="566">
        <v>0</v>
      </c>
      <c r="Y139" s="566">
        <v>0</v>
      </c>
      <c r="Z139" s="566">
        <v>0</v>
      </c>
      <c r="AA139" s="566">
        <v>0</v>
      </c>
      <c r="AB139" s="566">
        <v>0</v>
      </c>
      <c r="AC139" s="566">
        <v>0</v>
      </c>
      <c r="AD139" s="566">
        <v>0</v>
      </c>
      <c r="AE139" s="566">
        <v>0</v>
      </c>
      <c r="AF139" s="566">
        <v>0</v>
      </c>
      <c r="AG139" s="566">
        <v>0</v>
      </c>
      <c r="AH139" s="566">
        <v>0</v>
      </c>
      <c r="AI139" s="566">
        <v>0</v>
      </c>
      <c r="AJ139" s="566">
        <v>0</v>
      </c>
      <c r="AK139" s="566">
        <v>0</v>
      </c>
      <c r="AL139" s="566">
        <v>0</v>
      </c>
      <c r="AM139" s="566">
        <v>0</v>
      </c>
      <c r="AN139" s="566">
        <v>0</v>
      </c>
      <c r="AO139" s="566">
        <v>0</v>
      </c>
      <c r="AP139" s="566">
        <v>0</v>
      </c>
      <c r="AQ139" s="566">
        <v>0</v>
      </c>
      <c r="AR139" s="566">
        <v>0</v>
      </c>
      <c r="AS139" s="566">
        <v>0</v>
      </c>
      <c r="AT139" s="566">
        <v>0</v>
      </c>
      <c r="AU139" s="566">
        <v>0</v>
      </c>
      <c r="AV139" s="566">
        <v>0</v>
      </c>
    </row>
    <row r="140" spans="1:48" outlineLevel="1">
      <c r="A140" s="565" t="str">
        <f>IF(Definitions!L23&lt;&gt;"", Definitions!L23, "")</f>
        <v>Nautral gas power plant - SCGT</v>
      </c>
      <c r="B140" s="565" t="str">
        <f>IF(Definitions!K23&lt;&gt;"", Definitions!K23, "")</f>
        <v>PWRNGS002</v>
      </c>
      <c r="C140" s="566" cm="1">
        <f t="array" ref="C140:AV140">IF(B140="", "",
   TRANSPOSE(
INDEX('OSeMOSYS (Input)'!$B$85:$AA$130, , MATCH(TRUE, ISNUMBER(SEARCH(B35, 'OSeMOSYS (Input)'!$B$74:$AA$74)), 0))
   )
   *
   IF('High Level Dashboard'!$B$5="Local Currency",
      INDEX('Financing Baseline'!$S$39:$BL$39, , MATCH(TRUE, ISNUMBER(SEARCH(B35, 'OSeMOSYS (Input)'!$B$10:$AB16)), 0)) /
      INDEX('Financing Baseline'!$S$38:$BL$38, , MATCH(TRUE, ISNUMBER(SEARCH(B35, 'OSeMOSYS (Input)'!$B$10:$AB16)), 0)),
      INDEX('Financing Baseline'!$S$38:$BL$38, , MATCH(TRUE, ISNUMBER(SEARCH(B35, 'OSeMOSYS (Input)'!$B$10:$AB$10)), 0))
   )
)</f>
        <v>0</v>
      </c>
      <c r="D140" s="566">
        <v>0</v>
      </c>
      <c r="E140" s="566">
        <v>50.550600000000003</v>
      </c>
      <c r="F140" s="566">
        <v>19.853100000000001</v>
      </c>
      <c r="G140" s="566">
        <v>0</v>
      </c>
      <c r="H140" s="566">
        <v>114.6921</v>
      </c>
      <c r="I140" s="566">
        <v>115.5132</v>
      </c>
      <c r="J140" s="566">
        <v>25.967300000000002</v>
      </c>
      <c r="K140" s="566">
        <v>28.8673</v>
      </c>
      <c r="L140" s="566">
        <v>10.184799999999999</v>
      </c>
      <c r="M140" s="566">
        <v>109.11669999999999</v>
      </c>
      <c r="N140" s="566">
        <v>22.480599999999999</v>
      </c>
      <c r="O140" s="566">
        <v>50.414299999999997</v>
      </c>
      <c r="P140" s="566">
        <v>0</v>
      </c>
      <c r="Q140" s="566">
        <v>0</v>
      </c>
      <c r="R140" s="566">
        <v>0</v>
      </c>
      <c r="S140" s="566">
        <v>2.8954</v>
      </c>
      <c r="T140" s="566">
        <v>0</v>
      </c>
      <c r="U140" s="566">
        <v>0</v>
      </c>
      <c r="V140" s="566">
        <v>0</v>
      </c>
      <c r="W140" s="566">
        <v>0</v>
      </c>
      <c r="X140" s="566">
        <v>0</v>
      </c>
      <c r="Y140" s="566">
        <v>44.284100000000002</v>
      </c>
      <c r="Z140" s="566">
        <v>26.119599999999998</v>
      </c>
      <c r="AA140" s="566">
        <v>25.4953</v>
      </c>
      <c r="AB140" s="566">
        <v>132.2576</v>
      </c>
      <c r="AC140" s="566">
        <v>130.1395</v>
      </c>
      <c r="AD140" s="566">
        <v>38.973599999999998</v>
      </c>
      <c r="AE140" s="566">
        <v>63.901400000000002</v>
      </c>
      <c r="AF140" s="566">
        <v>17.945599999999999</v>
      </c>
      <c r="AG140" s="566">
        <v>110.1789</v>
      </c>
      <c r="AH140" s="566">
        <v>87.442999999999998</v>
      </c>
      <c r="AI140" s="566">
        <v>95.853300000000004</v>
      </c>
      <c r="AJ140" s="566">
        <v>76.391800000000003</v>
      </c>
      <c r="AK140" s="566">
        <v>72.769000000000005</v>
      </c>
      <c r="AL140" s="566">
        <v>64.082999999999998</v>
      </c>
      <c r="AM140" s="566">
        <v>49.0471</v>
      </c>
      <c r="AN140" s="566">
        <v>57.1053</v>
      </c>
      <c r="AO140" s="566">
        <v>63.950400000000002</v>
      </c>
      <c r="AP140" s="566">
        <v>54.073500000000003</v>
      </c>
      <c r="AQ140" s="566">
        <v>38.101700000000001</v>
      </c>
      <c r="AR140" s="566">
        <v>41.825899999999997</v>
      </c>
      <c r="AS140" s="566">
        <v>92.534199999999998</v>
      </c>
      <c r="AT140" s="566">
        <v>71.157200000000003</v>
      </c>
      <c r="AU140" s="566">
        <v>82.443700000000007</v>
      </c>
      <c r="AV140" s="566">
        <v>189.20580000000001</v>
      </c>
    </row>
    <row r="141" spans="1:48" outlineLevel="1">
      <c r="A141" s="565" t="str">
        <f>IF(Definitions!L24&lt;&gt;"", Definitions!L24, "")</f>
        <v xml:space="preserve">Solar PV - Utility scale  </v>
      </c>
      <c r="B141" s="565" t="str">
        <f>IF(Definitions!K24&lt;&gt;"", Definitions!K24, "")</f>
        <v>PWRSOL001</v>
      </c>
      <c r="C141" s="566" cm="1">
        <f t="array" ref="C141:AV141">IF(B141="", "",
   TRANSPOSE(
INDEX('OSeMOSYS (Input)'!$B$85:$AA$130, , MATCH(TRUE, ISNUMBER(SEARCH(B36, 'OSeMOSYS (Input)'!$B$74:$AA$74)), 0))
   )
   *
   IF('High Level Dashboard'!$B$5="Local Currency",
      INDEX('Financing Baseline'!$S$39:$BL$39, , MATCH(TRUE, ISNUMBER(SEARCH(B36, 'OSeMOSYS (Input)'!$B$10:$AB17)), 0)) /
      INDEX('Financing Baseline'!$S$38:$BL$38, , MATCH(TRUE, ISNUMBER(SEARCH(B36, 'OSeMOSYS (Input)'!$B$10:$AB17)), 0)),
      INDEX('Financing Baseline'!$S$38:$BL$38, , MATCH(TRUE, ISNUMBER(SEARCH(B36, 'OSeMOSYS (Input)'!$B$10:$AB$10)), 0))
   )
)</f>
        <v>0</v>
      </c>
      <c r="D141" s="566">
        <v>41.154000000000003</v>
      </c>
      <c r="E141" s="566">
        <v>0</v>
      </c>
      <c r="F141" s="566">
        <v>0</v>
      </c>
      <c r="G141" s="566">
        <v>0</v>
      </c>
      <c r="H141" s="566">
        <v>0</v>
      </c>
      <c r="I141" s="566">
        <v>0</v>
      </c>
      <c r="J141" s="566">
        <v>0</v>
      </c>
      <c r="K141" s="566">
        <v>0</v>
      </c>
      <c r="L141" s="566">
        <v>0</v>
      </c>
      <c r="M141" s="566">
        <v>0</v>
      </c>
      <c r="N141" s="566">
        <v>0</v>
      </c>
      <c r="O141" s="566">
        <v>0</v>
      </c>
      <c r="P141" s="566">
        <v>48.6462</v>
      </c>
      <c r="Q141" s="566">
        <v>0</v>
      </c>
      <c r="R141" s="566">
        <v>0</v>
      </c>
      <c r="S141" s="566">
        <v>37.075699999999998</v>
      </c>
      <c r="T141" s="566">
        <v>27.1585</v>
      </c>
      <c r="U141" s="566">
        <v>0</v>
      </c>
      <c r="V141" s="566">
        <v>0</v>
      </c>
      <c r="W141" s="566">
        <v>0</v>
      </c>
      <c r="X141" s="566">
        <v>0</v>
      </c>
      <c r="Y141" s="566">
        <v>0</v>
      </c>
      <c r="Z141" s="566">
        <v>0</v>
      </c>
      <c r="AA141" s="566">
        <v>0</v>
      </c>
      <c r="AB141" s="566">
        <v>0</v>
      </c>
      <c r="AC141" s="566">
        <v>462.4633</v>
      </c>
      <c r="AD141" s="566">
        <v>95.450800000000001</v>
      </c>
      <c r="AE141" s="566">
        <v>0</v>
      </c>
      <c r="AF141" s="566">
        <v>0</v>
      </c>
      <c r="AG141" s="566">
        <v>0</v>
      </c>
      <c r="AH141" s="566">
        <v>21.005600000000001</v>
      </c>
      <c r="AI141" s="566">
        <v>0.24579999999999999</v>
      </c>
      <c r="AJ141" s="566">
        <v>81.759200000000007</v>
      </c>
      <c r="AK141" s="566">
        <v>0</v>
      </c>
      <c r="AL141" s="566">
        <v>0</v>
      </c>
      <c r="AM141" s="566">
        <v>37.075699999999998</v>
      </c>
      <c r="AN141" s="566">
        <v>27.1585</v>
      </c>
      <c r="AO141" s="566">
        <v>0</v>
      </c>
      <c r="AP141" s="566">
        <v>0</v>
      </c>
      <c r="AQ141" s="566">
        <v>6.3342000000000001</v>
      </c>
      <c r="AR141" s="566">
        <v>0</v>
      </c>
      <c r="AS141" s="566">
        <v>0</v>
      </c>
      <c r="AT141" s="566">
        <v>0</v>
      </c>
      <c r="AU141" s="566">
        <v>0</v>
      </c>
      <c r="AV141" s="566">
        <v>0</v>
      </c>
    </row>
    <row r="142" spans="1:48" outlineLevel="1">
      <c r="A142" s="565" t="str">
        <f>IF(Definitions!L25&lt;&gt;"", Definitions!L25, "")</f>
        <v>CSP - Without storage</v>
      </c>
      <c r="B142" s="565" t="str">
        <f>IF(Definitions!K25&lt;&gt;"", Definitions!K25, "")</f>
        <v>PWRCSP001</v>
      </c>
      <c r="C142" s="566" cm="1">
        <f t="array" ref="C142:AV142">IF(B142="", "",
   TRANSPOSE(
INDEX('OSeMOSYS (Input)'!$B$85:$AA$130, , MATCH(TRUE, ISNUMBER(SEARCH(B37, 'OSeMOSYS (Input)'!$B$74:$AA$74)), 0))
   )
   *
   IF('High Level Dashboard'!$B$5="Local Currency",
      INDEX('Financing Baseline'!$S$39:$BL$39, , MATCH(TRUE, ISNUMBER(SEARCH(B37, 'OSeMOSYS (Input)'!$B$10:$AB18)), 0)) /
      INDEX('Financing Baseline'!$S$38:$BL$38, , MATCH(TRUE, ISNUMBER(SEARCH(B37, 'OSeMOSYS (Input)'!$B$10:$AB18)), 0)),
      INDEX('Financing Baseline'!$S$38:$BL$38, , MATCH(TRUE, ISNUMBER(SEARCH(B37, 'OSeMOSYS (Input)'!$B$10:$AB$10)), 0))
   )
)</f>
        <v>0</v>
      </c>
      <c r="D142" s="566">
        <v>0</v>
      </c>
      <c r="E142" s="566">
        <v>0</v>
      </c>
      <c r="F142" s="566">
        <v>0</v>
      </c>
      <c r="G142" s="566">
        <v>0</v>
      </c>
      <c r="H142" s="566">
        <v>0</v>
      </c>
      <c r="I142" s="566">
        <v>0</v>
      </c>
      <c r="J142" s="566">
        <v>0</v>
      </c>
      <c r="K142" s="566">
        <v>0</v>
      </c>
      <c r="L142" s="566">
        <v>0</v>
      </c>
      <c r="M142" s="566">
        <v>0</v>
      </c>
      <c r="N142" s="566">
        <v>0</v>
      </c>
      <c r="O142" s="566">
        <v>0</v>
      </c>
      <c r="P142" s="566">
        <v>0</v>
      </c>
      <c r="Q142" s="566">
        <v>0</v>
      </c>
      <c r="R142" s="566">
        <v>0</v>
      </c>
      <c r="S142" s="566">
        <v>0</v>
      </c>
      <c r="T142" s="566">
        <v>0</v>
      </c>
      <c r="U142" s="566">
        <v>0</v>
      </c>
      <c r="V142" s="566">
        <v>0</v>
      </c>
      <c r="W142" s="566">
        <v>0</v>
      </c>
      <c r="X142" s="566">
        <v>0</v>
      </c>
      <c r="Y142" s="566">
        <v>0</v>
      </c>
      <c r="Z142" s="566">
        <v>0</v>
      </c>
      <c r="AA142" s="566">
        <v>0</v>
      </c>
      <c r="AB142" s="566">
        <v>0</v>
      </c>
      <c r="AC142" s="566">
        <v>0</v>
      </c>
      <c r="AD142" s="566">
        <v>0</v>
      </c>
      <c r="AE142" s="566">
        <v>0</v>
      </c>
      <c r="AF142" s="566">
        <v>0</v>
      </c>
      <c r="AG142" s="566">
        <v>0</v>
      </c>
      <c r="AH142" s="566">
        <v>0</v>
      </c>
      <c r="AI142" s="566">
        <v>0</v>
      </c>
      <c r="AJ142" s="566">
        <v>0</v>
      </c>
      <c r="AK142" s="566">
        <v>0</v>
      </c>
      <c r="AL142" s="566">
        <v>0</v>
      </c>
      <c r="AM142" s="566">
        <v>0</v>
      </c>
      <c r="AN142" s="566">
        <v>0</v>
      </c>
      <c r="AO142" s="566">
        <v>0</v>
      </c>
      <c r="AP142" s="566">
        <v>0</v>
      </c>
      <c r="AQ142" s="566">
        <v>0</v>
      </c>
      <c r="AR142" s="566">
        <v>0</v>
      </c>
      <c r="AS142" s="566">
        <v>0</v>
      </c>
      <c r="AT142" s="566">
        <v>0</v>
      </c>
      <c r="AU142" s="566">
        <v>0</v>
      </c>
      <c r="AV142" s="566">
        <v>0</v>
      </c>
    </row>
    <row r="143" spans="1:48" outlineLevel="1">
      <c r="A143" s="565" t="str">
        <f>IF(Definitions!L26&lt;&gt;"", Definitions!L26, "")</f>
        <v>CSP - With storage</v>
      </c>
      <c r="B143" s="565" t="str">
        <f>IF(Definitions!K26&lt;&gt;"", Definitions!K26, "")</f>
        <v>PWRCSP002</v>
      </c>
      <c r="C143" s="566" cm="1">
        <f t="array" ref="C143:AV143">IF(B143="", "",
   TRANSPOSE(
INDEX('OSeMOSYS (Input)'!$B$85:$AA$130, , MATCH(TRUE, ISNUMBER(SEARCH(B38, 'OSeMOSYS (Input)'!$B$74:$AA$74)), 0))
   )
   *
   IF('High Level Dashboard'!$B$5="Local Currency",
      INDEX('Financing Baseline'!$S$39:$BL$39, , MATCH(TRUE, ISNUMBER(SEARCH(B38, 'OSeMOSYS (Input)'!$B$10:$AB19)), 0)) /
      INDEX('Financing Baseline'!$S$38:$BL$38, , MATCH(TRUE, ISNUMBER(SEARCH(B38, 'OSeMOSYS (Input)'!$B$10:$AB19)), 0)),
      INDEX('Financing Baseline'!$S$38:$BL$38, , MATCH(TRUE, ISNUMBER(SEARCH(B38, 'OSeMOSYS (Input)'!$B$10:$AB$10)), 0))
   )
)</f>
        <v>0</v>
      </c>
      <c r="D143" s="566">
        <v>0</v>
      </c>
      <c r="E143" s="566">
        <v>0</v>
      </c>
      <c r="F143" s="566">
        <v>0</v>
      </c>
      <c r="G143" s="566">
        <v>0</v>
      </c>
      <c r="H143" s="566">
        <v>0</v>
      </c>
      <c r="I143" s="566">
        <v>0</v>
      </c>
      <c r="J143" s="566">
        <v>0</v>
      </c>
      <c r="K143" s="566">
        <v>0</v>
      </c>
      <c r="L143" s="566">
        <v>0</v>
      </c>
      <c r="M143" s="566">
        <v>0</v>
      </c>
      <c r="N143" s="566">
        <v>0</v>
      </c>
      <c r="O143" s="566">
        <v>0</v>
      </c>
      <c r="P143" s="566">
        <v>0</v>
      </c>
      <c r="Q143" s="566">
        <v>0</v>
      </c>
      <c r="R143" s="566">
        <v>0</v>
      </c>
      <c r="S143" s="566">
        <v>0</v>
      </c>
      <c r="T143" s="566">
        <v>0</v>
      </c>
      <c r="U143" s="566">
        <v>0</v>
      </c>
      <c r="V143" s="566">
        <v>0</v>
      </c>
      <c r="W143" s="566">
        <v>0</v>
      </c>
      <c r="X143" s="566">
        <v>0</v>
      </c>
      <c r="Y143" s="566">
        <v>0</v>
      </c>
      <c r="Z143" s="566">
        <v>0</v>
      </c>
      <c r="AA143" s="566">
        <v>0</v>
      </c>
      <c r="AB143" s="566">
        <v>0</v>
      </c>
      <c r="AC143" s="566">
        <v>0</v>
      </c>
      <c r="AD143" s="566">
        <v>0</v>
      </c>
      <c r="AE143" s="566">
        <v>0</v>
      </c>
      <c r="AF143" s="566">
        <v>0</v>
      </c>
      <c r="AG143" s="566">
        <v>0</v>
      </c>
      <c r="AH143" s="566">
        <v>0</v>
      </c>
      <c r="AI143" s="566">
        <v>0</v>
      </c>
      <c r="AJ143" s="566">
        <v>0</v>
      </c>
      <c r="AK143" s="566">
        <v>0</v>
      </c>
      <c r="AL143" s="566">
        <v>0</v>
      </c>
      <c r="AM143" s="566">
        <v>0</v>
      </c>
      <c r="AN143" s="566">
        <v>0</v>
      </c>
      <c r="AO143" s="566">
        <v>0</v>
      </c>
      <c r="AP143" s="566">
        <v>0</v>
      </c>
      <c r="AQ143" s="566">
        <v>0</v>
      </c>
      <c r="AR143" s="566">
        <v>0</v>
      </c>
      <c r="AS143" s="566">
        <v>0</v>
      </c>
      <c r="AT143" s="566">
        <v>0</v>
      </c>
      <c r="AU143" s="566">
        <v>0</v>
      </c>
      <c r="AV143" s="566">
        <v>0</v>
      </c>
    </row>
    <row r="144" spans="1:48" outlineLevel="1">
      <c r="A144" s="565" t="str">
        <f>IF(Definitions!L27&lt;&gt;"", Definitions!L27, "")</f>
        <v>Hydropower plant - Large dam (&gt;100MW)</v>
      </c>
      <c r="B144" s="565" t="str">
        <f>IF(Definitions!K27&lt;&gt;"", Definitions!K27, "")</f>
        <v>PWRHYD001</v>
      </c>
      <c r="C144" s="566" cm="1">
        <f t="array" ref="C144:AV144">IF(B144="", "",
   TRANSPOSE(
INDEX('OSeMOSYS (Input)'!$B$85:$AA$130, , MATCH(TRUE, ISNUMBER(SEARCH(B39, 'OSeMOSYS (Input)'!$B$74:$AA$74)), 0))
   )
   *
   IF('High Level Dashboard'!$B$5="Local Currency",
      INDEX('Financing Baseline'!$S$39:$BL$39, , MATCH(TRUE, ISNUMBER(SEARCH(B39, 'OSeMOSYS (Input)'!$B$10:$AB20)), 0)) /
      INDEX('Financing Baseline'!$S$38:$BL$38, , MATCH(TRUE, ISNUMBER(SEARCH(B39, 'OSeMOSYS (Input)'!$B$10:$AB20)), 0)),
      INDEX('Financing Baseline'!$S$38:$BL$38, , MATCH(TRUE, ISNUMBER(SEARCH(B39, 'OSeMOSYS (Input)'!$B$10:$AB$10)), 0))
   )
)</f>
        <v>0</v>
      </c>
      <c r="D144" s="566">
        <v>0</v>
      </c>
      <c r="E144" s="566">
        <v>0</v>
      </c>
      <c r="F144" s="566">
        <v>0</v>
      </c>
      <c r="G144" s="566">
        <v>0</v>
      </c>
      <c r="H144" s="566">
        <v>0</v>
      </c>
      <c r="I144" s="566">
        <v>0</v>
      </c>
      <c r="J144" s="566">
        <v>0</v>
      </c>
      <c r="K144" s="566">
        <v>0</v>
      </c>
      <c r="L144" s="566">
        <v>0</v>
      </c>
      <c r="M144" s="566">
        <v>0</v>
      </c>
      <c r="N144" s="566">
        <v>0</v>
      </c>
      <c r="O144" s="566">
        <v>0</v>
      </c>
      <c r="P144" s="566">
        <v>0</v>
      </c>
      <c r="Q144" s="566">
        <v>0</v>
      </c>
      <c r="R144" s="566">
        <v>0</v>
      </c>
      <c r="S144" s="566">
        <v>0</v>
      </c>
      <c r="T144" s="566">
        <v>0</v>
      </c>
      <c r="U144" s="566">
        <v>0</v>
      </c>
      <c r="V144" s="566">
        <v>0</v>
      </c>
      <c r="W144" s="566">
        <v>0</v>
      </c>
      <c r="X144" s="566">
        <v>0</v>
      </c>
      <c r="Y144" s="566">
        <v>0</v>
      </c>
      <c r="Z144" s="566">
        <v>0</v>
      </c>
      <c r="AA144" s="566">
        <v>0</v>
      </c>
      <c r="AB144" s="566">
        <v>0</v>
      </c>
      <c r="AC144" s="566">
        <v>0</v>
      </c>
      <c r="AD144" s="566">
        <v>0</v>
      </c>
      <c r="AE144" s="566">
        <v>0</v>
      </c>
      <c r="AF144" s="566">
        <v>0</v>
      </c>
      <c r="AG144" s="566">
        <v>0</v>
      </c>
      <c r="AH144" s="566">
        <v>0</v>
      </c>
      <c r="AI144" s="566">
        <v>0</v>
      </c>
      <c r="AJ144" s="566">
        <v>0</v>
      </c>
      <c r="AK144" s="566">
        <v>0</v>
      </c>
      <c r="AL144" s="566">
        <v>0</v>
      </c>
      <c r="AM144" s="566">
        <v>0</v>
      </c>
      <c r="AN144" s="566">
        <v>0</v>
      </c>
      <c r="AO144" s="566">
        <v>0</v>
      </c>
      <c r="AP144" s="566">
        <v>0</v>
      </c>
      <c r="AQ144" s="566">
        <v>0</v>
      </c>
      <c r="AR144" s="566">
        <v>0</v>
      </c>
      <c r="AS144" s="566">
        <v>0</v>
      </c>
      <c r="AT144" s="566">
        <v>0</v>
      </c>
      <c r="AU144" s="566">
        <v>0</v>
      </c>
      <c r="AV144" s="566">
        <v>0</v>
      </c>
    </row>
    <row r="145" spans="1:48" outlineLevel="1">
      <c r="A145" s="565" t="str">
        <f>IF(Definitions!L28&lt;&gt;"", Definitions!L28, "")</f>
        <v>Hydropower plant - Medium (10-100MW)</v>
      </c>
      <c r="B145" s="565" t="str">
        <f>IF(Definitions!K28&lt;&gt;"", Definitions!K28, "")</f>
        <v>PWRHYD002</v>
      </c>
      <c r="C145" s="566" cm="1">
        <f t="array" ref="C145:AV145">IF(B145="", "",
   TRANSPOSE(
INDEX('OSeMOSYS (Input)'!$B$85:$AA$130, , MATCH(TRUE, ISNUMBER(SEARCH(B40, 'OSeMOSYS (Input)'!$B$74:$AA$74)), 0))
   )
   *
   IF('High Level Dashboard'!$B$5="Local Currency",
      INDEX('Financing Baseline'!$S$39:$BL$39, , MATCH(TRUE, ISNUMBER(SEARCH(B40, 'OSeMOSYS (Input)'!$B$10:$AB21)), 0)) /
      INDEX('Financing Baseline'!$S$38:$BL$38, , MATCH(TRUE, ISNUMBER(SEARCH(B40, 'OSeMOSYS (Input)'!$B$10:$AB21)), 0)),
      INDEX('Financing Baseline'!$S$38:$BL$38, , MATCH(TRUE, ISNUMBER(SEARCH(B40, 'OSeMOSYS (Input)'!$B$10:$AB$10)), 0))
   )
)</f>
        <v>1.0452999999999999</v>
      </c>
      <c r="D145" s="566">
        <v>86.409599999999998</v>
      </c>
      <c r="E145" s="566">
        <v>38.326900000000002</v>
      </c>
      <c r="F145" s="566">
        <v>10.8012</v>
      </c>
      <c r="G145" s="566">
        <v>25.7835</v>
      </c>
      <c r="H145" s="566">
        <v>127.5239</v>
      </c>
      <c r="I145" s="566">
        <v>97.907700000000006</v>
      </c>
      <c r="J145" s="566">
        <v>63.413499999999999</v>
      </c>
      <c r="K145" s="566">
        <v>112.1932</v>
      </c>
      <c r="L145" s="566">
        <v>87.454899999999995</v>
      </c>
      <c r="M145" s="566">
        <v>110.45099999999999</v>
      </c>
      <c r="N145" s="566">
        <v>97.210899999999995</v>
      </c>
      <c r="O145" s="566">
        <v>12.5433</v>
      </c>
      <c r="P145" s="566">
        <v>13.5886</v>
      </c>
      <c r="Q145" s="566">
        <v>14.633900000000001</v>
      </c>
      <c r="R145" s="566">
        <v>16.376000000000001</v>
      </c>
      <c r="S145" s="566">
        <v>17.7697</v>
      </c>
      <c r="T145" s="566">
        <v>19.511900000000001</v>
      </c>
      <c r="U145" s="566">
        <v>21.254000000000001</v>
      </c>
      <c r="V145" s="566">
        <v>22.996099999999998</v>
      </c>
      <c r="W145" s="566">
        <v>25.435099999999998</v>
      </c>
      <c r="X145" s="566">
        <v>27.874099999999999</v>
      </c>
      <c r="Y145" s="566">
        <v>30.313099999999999</v>
      </c>
      <c r="Z145" s="566">
        <v>33.100499999999997</v>
      </c>
      <c r="AA145" s="566">
        <v>36.2363</v>
      </c>
      <c r="AB145" s="566">
        <v>39.720599999999997</v>
      </c>
      <c r="AC145" s="566">
        <v>26.480399999999999</v>
      </c>
      <c r="AD145" s="566">
        <v>26.480399999999999</v>
      </c>
      <c r="AE145" s="566">
        <v>26.480399999999999</v>
      </c>
      <c r="AF145" s="566">
        <v>26.480399999999999</v>
      </c>
      <c r="AG145" s="566">
        <v>26.480399999999999</v>
      </c>
      <c r="AH145" s="566">
        <v>26.480399999999999</v>
      </c>
      <c r="AI145" s="566">
        <v>26.480399999999999</v>
      </c>
      <c r="AJ145" s="566">
        <v>26.480399999999999</v>
      </c>
      <c r="AK145" s="566">
        <v>26.480399999999999</v>
      </c>
      <c r="AL145" s="566">
        <v>26.480399999999999</v>
      </c>
      <c r="AM145" s="566">
        <v>26.480399999999999</v>
      </c>
      <c r="AN145" s="566">
        <v>26.480399999999999</v>
      </c>
      <c r="AO145" s="566">
        <v>51.915500000000002</v>
      </c>
      <c r="AP145" s="566">
        <v>35.191000000000003</v>
      </c>
      <c r="AQ145" s="566">
        <v>27.525700000000001</v>
      </c>
      <c r="AR145" s="566">
        <v>112.89</v>
      </c>
      <c r="AS145" s="566">
        <v>64.807199999999995</v>
      </c>
      <c r="AT145" s="566">
        <v>37.281599999999997</v>
      </c>
      <c r="AU145" s="566">
        <v>52.2639</v>
      </c>
      <c r="AV145" s="566">
        <v>154.0043</v>
      </c>
    </row>
    <row r="146" spans="1:48" outlineLevel="1">
      <c r="A146" s="565" t="str">
        <f>IF(Definitions!L29&lt;&gt;"", Definitions!L29, "")</f>
        <v>Hydropower plant - Small (&lt;10MW)</v>
      </c>
      <c r="B146" s="565" t="str">
        <f>IF(Definitions!K29&lt;&gt;"", Definitions!K29, "")</f>
        <v>PWRHYD003</v>
      </c>
      <c r="C146" s="566" cm="1">
        <f t="array" ref="C146:AV146">IF(B146="", "",
   TRANSPOSE(
INDEX('OSeMOSYS (Input)'!$B$85:$AA$130, , MATCH(TRUE, ISNUMBER(SEARCH(B41, 'OSeMOSYS (Input)'!$B$74:$AA$74)), 0))
   )
   *
   IF('High Level Dashboard'!$B$5="Local Currency",
      INDEX('Financing Baseline'!$S$39:$BL$39, , MATCH(TRUE, ISNUMBER(SEARCH(B41, 'OSeMOSYS (Input)'!$B$10:$AB22)), 0)) /
      INDEX('Financing Baseline'!$S$38:$BL$38, , MATCH(TRUE, ISNUMBER(SEARCH(B41, 'OSeMOSYS (Input)'!$B$10:$AB22)), 0)),
      INDEX('Financing Baseline'!$S$38:$BL$38, , MATCH(TRUE, ISNUMBER(SEARCH(B41, 'OSeMOSYS (Input)'!$B$10:$AB$10)), 0))
   )
)</f>
        <v>0</v>
      </c>
      <c r="D146" s="566">
        <v>0</v>
      </c>
      <c r="E146" s="566">
        <v>0</v>
      </c>
      <c r="F146" s="566">
        <v>0</v>
      </c>
      <c r="G146" s="566">
        <v>0</v>
      </c>
      <c r="H146" s="566">
        <v>0</v>
      </c>
      <c r="I146" s="566">
        <v>0</v>
      </c>
      <c r="J146" s="566">
        <v>0</v>
      </c>
      <c r="K146" s="566">
        <v>0</v>
      </c>
      <c r="L146" s="566">
        <v>0</v>
      </c>
      <c r="M146" s="566">
        <v>0</v>
      </c>
      <c r="N146" s="566">
        <v>0</v>
      </c>
      <c r="O146" s="566">
        <v>0</v>
      </c>
      <c r="P146" s="566">
        <v>0</v>
      </c>
      <c r="Q146" s="566">
        <v>0</v>
      </c>
      <c r="R146" s="566">
        <v>0</v>
      </c>
      <c r="S146" s="566">
        <v>0</v>
      </c>
      <c r="T146" s="566">
        <v>0</v>
      </c>
      <c r="U146" s="566">
        <v>0</v>
      </c>
      <c r="V146" s="566">
        <v>0</v>
      </c>
      <c r="W146" s="566">
        <v>0</v>
      </c>
      <c r="X146" s="566">
        <v>0</v>
      </c>
      <c r="Y146" s="566">
        <v>0</v>
      </c>
      <c r="Z146" s="566">
        <v>0</v>
      </c>
      <c r="AA146" s="566">
        <v>0</v>
      </c>
      <c r="AB146" s="566">
        <v>0</v>
      </c>
      <c r="AC146" s="566">
        <v>0</v>
      </c>
      <c r="AD146" s="566">
        <v>0</v>
      </c>
      <c r="AE146" s="566">
        <v>0</v>
      </c>
      <c r="AF146" s="566">
        <v>0</v>
      </c>
      <c r="AG146" s="566">
        <v>0</v>
      </c>
      <c r="AH146" s="566">
        <v>0</v>
      </c>
      <c r="AI146" s="566">
        <v>0</v>
      </c>
      <c r="AJ146" s="566">
        <v>0</v>
      </c>
      <c r="AK146" s="566">
        <v>0</v>
      </c>
      <c r="AL146" s="566">
        <v>0</v>
      </c>
      <c r="AM146" s="566">
        <v>0</v>
      </c>
      <c r="AN146" s="566">
        <v>0</v>
      </c>
      <c r="AO146" s="566">
        <v>0</v>
      </c>
      <c r="AP146" s="566">
        <v>0</v>
      </c>
      <c r="AQ146" s="566">
        <v>0</v>
      </c>
      <c r="AR146" s="566">
        <v>0</v>
      </c>
      <c r="AS146" s="566">
        <v>0</v>
      </c>
      <c r="AT146" s="566">
        <v>0</v>
      </c>
      <c r="AU146" s="566">
        <v>0</v>
      </c>
      <c r="AV146" s="566">
        <v>0</v>
      </c>
    </row>
    <row r="147" spans="1:48" outlineLevel="1">
      <c r="A147" s="565" t="str">
        <f>IF(Definitions!L30&lt;&gt;"", Definitions!L30, "")</f>
        <v>Wind farm - Onshore</v>
      </c>
      <c r="B147" s="565" t="str">
        <f>IF(Definitions!K30&lt;&gt;"", Definitions!K30, "")</f>
        <v>PWRWND001</v>
      </c>
      <c r="C147" s="566" cm="1">
        <f t="array" ref="C147:AV147">IF(B147="", "",
   TRANSPOSE(
INDEX('OSeMOSYS (Input)'!$B$85:$AA$130, , MATCH(TRUE, ISNUMBER(SEARCH(B42, 'OSeMOSYS (Input)'!$B$74:$AA$74)), 0))
   )
   *
   IF('High Level Dashboard'!$B$5="Local Currency",
      INDEX('Financing Baseline'!$S$39:$BL$39, , MATCH(TRUE, ISNUMBER(SEARCH(B42, 'OSeMOSYS (Input)'!$B$10:$AB23)), 0)) /
      INDEX('Financing Baseline'!$S$38:$BL$38, , MATCH(TRUE, ISNUMBER(SEARCH(B42, 'OSeMOSYS (Input)'!$B$10:$AB23)), 0)),
      INDEX('Financing Baseline'!$S$38:$BL$38, , MATCH(TRUE, ISNUMBER(SEARCH(B42, 'OSeMOSYS (Input)'!$B$10:$AB$10)), 0))
   )
)</f>
        <v>19.0608</v>
      </c>
      <c r="D147" s="566">
        <v>86.871499999999997</v>
      </c>
      <c r="E147" s="566">
        <v>225.8115</v>
      </c>
      <c r="F147" s="566">
        <v>170.52600000000001</v>
      </c>
      <c r="G147" s="566">
        <v>0</v>
      </c>
      <c r="H147" s="566">
        <v>165.63650000000001</v>
      </c>
      <c r="I147" s="566">
        <v>0</v>
      </c>
      <c r="J147" s="566">
        <v>480.786</v>
      </c>
      <c r="K147" s="566">
        <v>475.0684</v>
      </c>
      <c r="L147" s="566">
        <v>62.561799999999998</v>
      </c>
      <c r="M147" s="566">
        <v>602.62620000000004</v>
      </c>
      <c r="N147" s="566">
        <v>0</v>
      </c>
      <c r="O147" s="566">
        <v>138.78319999999999</v>
      </c>
      <c r="P147" s="566">
        <v>970.18200000000002</v>
      </c>
      <c r="Q147" s="566">
        <v>0</v>
      </c>
      <c r="R147" s="566">
        <v>0</v>
      </c>
      <c r="S147" s="566">
        <v>945.56010000000003</v>
      </c>
      <c r="T147" s="566">
        <v>973.28359999999998</v>
      </c>
      <c r="U147" s="566">
        <v>1189.5337999999999</v>
      </c>
      <c r="V147" s="566">
        <v>892.03549999999996</v>
      </c>
      <c r="W147" s="566">
        <v>1584.1860999999999</v>
      </c>
      <c r="X147" s="566">
        <v>1028.9697000000001</v>
      </c>
      <c r="Y147" s="566">
        <v>1514.9012</v>
      </c>
      <c r="Z147" s="566">
        <v>1084.9802</v>
      </c>
      <c r="AA147" s="566">
        <v>838.73590000000002</v>
      </c>
      <c r="AB147" s="566">
        <v>1280.9717000000001</v>
      </c>
      <c r="AC147" s="566">
        <v>362.7912</v>
      </c>
      <c r="AD147" s="566">
        <v>1238.9149</v>
      </c>
      <c r="AE147" s="566">
        <v>1312.47</v>
      </c>
      <c r="AF147" s="566">
        <v>884.95669999999996</v>
      </c>
      <c r="AG147" s="566">
        <v>1417.8958</v>
      </c>
      <c r="AH147" s="566">
        <v>810.32119999999998</v>
      </c>
      <c r="AI147" s="566">
        <v>969.7192</v>
      </c>
      <c r="AJ147" s="566">
        <v>1772.7402</v>
      </c>
      <c r="AK147" s="566">
        <v>839.55840000000001</v>
      </c>
      <c r="AL147" s="566">
        <v>839.55840000000001</v>
      </c>
      <c r="AM147" s="566">
        <v>1820.3912</v>
      </c>
      <c r="AN147" s="566">
        <v>1826.5678</v>
      </c>
      <c r="AO147" s="566">
        <v>2029.3530000000001</v>
      </c>
      <c r="AP147" s="566">
        <v>1751.2837</v>
      </c>
      <c r="AQ147" s="566">
        <v>2473.1568000000002</v>
      </c>
      <c r="AR147" s="566">
        <v>1918.4347</v>
      </c>
      <c r="AS147" s="566">
        <v>2377.8526000000002</v>
      </c>
      <c r="AT147" s="566">
        <v>1961.1902</v>
      </c>
      <c r="AU147" s="566">
        <v>1692.329</v>
      </c>
      <c r="AV147" s="566">
        <v>2134.5646999999999</v>
      </c>
    </row>
    <row r="148" spans="1:48" outlineLevel="1">
      <c r="A148" s="565" t="str">
        <f>IF(Definitions!L31&lt;&gt;"", Definitions!L31, "")</f>
        <v>Wind farm - Offshore</v>
      </c>
      <c r="B148" s="565" t="str">
        <f>IF(Definitions!K31&lt;&gt;"", Definitions!K31, "")</f>
        <v>PWRWND002</v>
      </c>
      <c r="C148" s="566" cm="1">
        <f t="array" ref="C148:AV148">IF(B148="", "",
   TRANSPOSE(
INDEX('OSeMOSYS (Input)'!$B$85:$AA$130, , MATCH(TRUE, ISNUMBER(SEARCH(B43, 'OSeMOSYS (Input)'!$B$74:$AA$74)), 0))
   )
   *
   IF('High Level Dashboard'!$B$5="Local Currency",
      INDEX('Financing Baseline'!$S$39:$BL$39, , MATCH(TRUE, ISNUMBER(SEARCH(B43, 'OSeMOSYS (Input)'!$B$10:$AB24)), 0)) /
      INDEX('Financing Baseline'!$S$38:$BL$38, , MATCH(TRUE, ISNUMBER(SEARCH(B43, 'OSeMOSYS (Input)'!$B$10:$AB24)), 0)),
      INDEX('Financing Baseline'!$S$38:$BL$38, , MATCH(TRUE, ISNUMBER(SEARCH(B43, 'OSeMOSYS (Input)'!$B$10:$AB$10)), 0))
   )
)</f>
        <v>0</v>
      </c>
      <c r="D148" s="566">
        <v>0</v>
      </c>
      <c r="E148" s="566">
        <v>0</v>
      </c>
      <c r="F148" s="566">
        <v>0</v>
      </c>
      <c r="G148" s="566">
        <v>0</v>
      </c>
      <c r="H148" s="566">
        <v>0</v>
      </c>
      <c r="I148" s="566">
        <v>0</v>
      </c>
      <c r="J148" s="566">
        <v>0</v>
      </c>
      <c r="K148" s="566">
        <v>0</v>
      </c>
      <c r="L148" s="566">
        <v>0</v>
      </c>
      <c r="M148" s="566">
        <v>0</v>
      </c>
      <c r="N148" s="566">
        <v>0</v>
      </c>
      <c r="O148" s="566">
        <v>0</v>
      </c>
      <c r="P148" s="566">
        <v>0</v>
      </c>
      <c r="Q148" s="566">
        <v>0</v>
      </c>
      <c r="R148" s="566">
        <v>0</v>
      </c>
      <c r="S148" s="566">
        <v>0</v>
      </c>
      <c r="T148" s="566">
        <v>0</v>
      </c>
      <c r="U148" s="566">
        <v>0</v>
      </c>
      <c r="V148" s="566">
        <v>0</v>
      </c>
      <c r="W148" s="566">
        <v>0</v>
      </c>
      <c r="X148" s="566">
        <v>0</v>
      </c>
      <c r="Y148" s="566">
        <v>0</v>
      </c>
      <c r="Z148" s="566">
        <v>0</v>
      </c>
      <c r="AA148" s="566">
        <v>0</v>
      </c>
      <c r="AB148" s="566">
        <v>0</v>
      </c>
      <c r="AC148" s="566">
        <v>0</v>
      </c>
      <c r="AD148" s="566">
        <v>0</v>
      </c>
      <c r="AE148" s="566">
        <v>0</v>
      </c>
      <c r="AF148" s="566">
        <v>0</v>
      </c>
      <c r="AG148" s="566">
        <v>0</v>
      </c>
      <c r="AH148" s="566">
        <v>0</v>
      </c>
      <c r="AI148" s="566">
        <v>0</v>
      </c>
      <c r="AJ148" s="566">
        <v>0</v>
      </c>
      <c r="AK148" s="566">
        <v>0</v>
      </c>
      <c r="AL148" s="566">
        <v>0</v>
      </c>
      <c r="AM148" s="566">
        <v>0</v>
      </c>
      <c r="AN148" s="566">
        <v>0</v>
      </c>
      <c r="AO148" s="566">
        <v>0</v>
      </c>
      <c r="AP148" s="566">
        <v>0</v>
      </c>
      <c r="AQ148" s="566">
        <v>0</v>
      </c>
      <c r="AR148" s="566">
        <v>0</v>
      </c>
      <c r="AS148" s="566">
        <v>0</v>
      </c>
      <c r="AT148" s="566">
        <v>0</v>
      </c>
      <c r="AU148" s="566">
        <v>0</v>
      </c>
      <c r="AV148" s="566">
        <v>0</v>
      </c>
    </row>
    <row r="149" spans="1:48" outlineLevel="1">
      <c r="A149" s="565" t="str">
        <f>IF(Definitions!L32&lt;&gt;"", Definitions!L32, "")</f>
        <v>Nuclear power plant</v>
      </c>
      <c r="B149" s="565" t="str">
        <f>IF(Definitions!K32&lt;&gt;"", Definitions!K32, "")</f>
        <v>PWRNUC</v>
      </c>
      <c r="C149" s="566" cm="1">
        <f t="array" ref="C149:AV149">IF(B149="", "",
   TRANSPOSE(
INDEX('OSeMOSYS (Input)'!$B$85:$AA$130, , MATCH(TRUE, ISNUMBER(SEARCH(B44, 'OSeMOSYS (Input)'!$B$74:$AA$74)), 0))
   )
   *
   IF('High Level Dashboard'!$B$5="Local Currency",
      INDEX('Financing Baseline'!$S$39:$BL$39, , MATCH(TRUE, ISNUMBER(SEARCH(B44, 'OSeMOSYS (Input)'!$B$10:$AB25)), 0)) /
      INDEX('Financing Baseline'!$S$38:$BL$38, , MATCH(TRUE, ISNUMBER(SEARCH(B44, 'OSeMOSYS (Input)'!$B$10:$AB25)), 0)),
      INDEX('Financing Baseline'!$S$38:$BL$38, , MATCH(TRUE, ISNUMBER(SEARCH(B44, 'OSeMOSYS (Input)'!$B$10:$AB$10)), 0))
   )
)</f>
        <v>0</v>
      </c>
      <c r="D149" s="566">
        <v>0</v>
      </c>
      <c r="E149" s="566">
        <v>0</v>
      </c>
      <c r="F149" s="566">
        <v>0</v>
      </c>
      <c r="G149" s="566">
        <v>0</v>
      </c>
      <c r="H149" s="566">
        <v>0</v>
      </c>
      <c r="I149" s="566">
        <v>0</v>
      </c>
      <c r="J149" s="566">
        <v>0</v>
      </c>
      <c r="K149" s="566">
        <v>0</v>
      </c>
      <c r="L149" s="566">
        <v>0</v>
      </c>
      <c r="M149" s="566">
        <v>0</v>
      </c>
      <c r="N149" s="566">
        <v>0</v>
      </c>
      <c r="O149" s="566">
        <v>0</v>
      </c>
      <c r="P149" s="566">
        <v>0</v>
      </c>
      <c r="Q149" s="566">
        <v>0</v>
      </c>
      <c r="R149" s="566">
        <v>0</v>
      </c>
      <c r="S149" s="566">
        <v>0</v>
      </c>
      <c r="T149" s="566">
        <v>0</v>
      </c>
      <c r="U149" s="566">
        <v>0</v>
      </c>
      <c r="V149" s="566">
        <v>0</v>
      </c>
      <c r="W149" s="566">
        <v>0</v>
      </c>
      <c r="X149" s="566">
        <v>0</v>
      </c>
      <c r="Y149" s="566">
        <v>0</v>
      </c>
      <c r="Z149" s="566">
        <v>0</v>
      </c>
      <c r="AA149" s="566">
        <v>0</v>
      </c>
      <c r="AB149" s="566">
        <v>0</v>
      </c>
      <c r="AC149" s="566">
        <v>0</v>
      </c>
      <c r="AD149" s="566">
        <v>0</v>
      </c>
      <c r="AE149" s="566">
        <v>0</v>
      </c>
      <c r="AF149" s="566">
        <v>0</v>
      </c>
      <c r="AG149" s="566">
        <v>0</v>
      </c>
      <c r="AH149" s="566">
        <v>0</v>
      </c>
      <c r="AI149" s="566">
        <v>0</v>
      </c>
      <c r="AJ149" s="566">
        <v>0</v>
      </c>
      <c r="AK149" s="566">
        <v>0</v>
      </c>
      <c r="AL149" s="566">
        <v>0</v>
      </c>
      <c r="AM149" s="566">
        <v>0</v>
      </c>
      <c r="AN149" s="566">
        <v>0</v>
      </c>
      <c r="AO149" s="566">
        <v>0</v>
      </c>
      <c r="AP149" s="566">
        <v>0</v>
      </c>
      <c r="AQ149" s="566">
        <v>0</v>
      </c>
      <c r="AR149" s="566">
        <v>0</v>
      </c>
      <c r="AS149" s="566">
        <v>0</v>
      </c>
      <c r="AT149" s="566">
        <v>0</v>
      </c>
      <c r="AU149" s="566">
        <v>0</v>
      </c>
      <c r="AV149" s="566">
        <v>0</v>
      </c>
    </row>
    <row r="150" spans="1:48" outlineLevel="1">
      <c r="A150" s="565" t="str">
        <f>IF(Definitions!L33&lt;&gt;"", Definitions!L33, "")</f>
        <v>Electricity transmission</v>
      </c>
      <c r="B150" s="565" t="str">
        <f>IF(Definitions!K33&lt;&gt;"", Definitions!K33, "")</f>
        <v>PWRTRN</v>
      </c>
      <c r="C150" s="566" cm="1">
        <f t="array" ref="C150:AV150">IF(B150="", "",
   TRANSPOSE(
INDEX('OSeMOSYS (Input)'!$B$85:$AA$130, , MATCH(TRUE, ISNUMBER(SEARCH(B45, 'OSeMOSYS (Input)'!$B$74:$AA$74)), 0))
   )
   *
   IF('High Level Dashboard'!$B$5="Local Currency",
      INDEX('Financing Baseline'!$S$39:$BL$39, , MATCH(TRUE, ISNUMBER(SEARCH(B45, 'OSeMOSYS (Input)'!$B$10:$AB26)), 0)) /
      INDEX('Financing Baseline'!$S$38:$BL$38, , MATCH(TRUE, ISNUMBER(SEARCH(B45, 'OSeMOSYS (Input)'!$B$10:$AB26)), 0)),
      INDEX('Financing Baseline'!$S$38:$BL$38, , MATCH(TRUE, ISNUMBER(SEARCH(B45, 'OSeMOSYS (Input)'!$B$10:$AB$10)), 0))
   )
)</f>
        <v>0</v>
      </c>
      <c r="D150" s="566">
        <v>0</v>
      </c>
      <c r="E150" s="566">
        <v>0</v>
      </c>
      <c r="F150" s="566">
        <v>0</v>
      </c>
      <c r="G150" s="566">
        <v>0</v>
      </c>
      <c r="H150" s="566">
        <v>0</v>
      </c>
      <c r="I150" s="566">
        <v>0</v>
      </c>
      <c r="J150" s="566">
        <v>0</v>
      </c>
      <c r="K150" s="566">
        <v>0</v>
      </c>
      <c r="L150" s="566">
        <v>0</v>
      </c>
      <c r="M150" s="566">
        <v>0</v>
      </c>
      <c r="N150" s="566">
        <v>0</v>
      </c>
      <c r="O150" s="566">
        <v>0</v>
      </c>
      <c r="P150" s="566">
        <v>0</v>
      </c>
      <c r="Q150" s="566">
        <v>0</v>
      </c>
      <c r="R150" s="566">
        <v>0</v>
      </c>
      <c r="S150" s="566">
        <v>0</v>
      </c>
      <c r="T150" s="566">
        <v>0</v>
      </c>
      <c r="U150" s="566">
        <v>0</v>
      </c>
      <c r="V150" s="566">
        <v>0</v>
      </c>
      <c r="W150" s="566">
        <v>0</v>
      </c>
      <c r="X150" s="566">
        <v>0</v>
      </c>
      <c r="Y150" s="566">
        <v>0</v>
      </c>
      <c r="Z150" s="566">
        <v>0</v>
      </c>
      <c r="AA150" s="566">
        <v>0</v>
      </c>
      <c r="AB150" s="566">
        <v>0</v>
      </c>
      <c r="AC150" s="566">
        <v>0</v>
      </c>
      <c r="AD150" s="566">
        <v>0</v>
      </c>
      <c r="AE150" s="566">
        <v>0</v>
      </c>
      <c r="AF150" s="566">
        <v>0</v>
      </c>
      <c r="AG150" s="566">
        <v>0</v>
      </c>
      <c r="AH150" s="566">
        <v>0</v>
      </c>
      <c r="AI150" s="566">
        <v>0</v>
      </c>
      <c r="AJ150" s="566">
        <v>0</v>
      </c>
      <c r="AK150" s="566">
        <v>0</v>
      </c>
      <c r="AL150" s="566">
        <v>0</v>
      </c>
      <c r="AM150" s="566">
        <v>0</v>
      </c>
      <c r="AN150" s="566">
        <v>0</v>
      </c>
      <c r="AO150" s="566">
        <v>0</v>
      </c>
      <c r="AP150" s="566">
        <v>0</v>
      </c>
      <c r="AQ150" s="566">
        <v>0</v>
      </c>
      <c r="AR150" s="566">
        <v>0</v>
      </c>
      <c r="AS150" s="566">
        <v>0</v>
      </c>
      <c r="AT150" s="566">
        <v>0</v>
      </c>
      <c r="AU150" s="566">
        <v>0</v>
      </c>
      <c r="AV150" s="566">
        <v>0</v>
      </c>
    </row>
    <row r="151" spans="1:48" outlineLevel="1">
      <c r="A151" s="565" t="str">
        <f>IF(Definitions!L34&lt;&gt;"", Definitions!L34, "")</f>
        <v>Electricity distribution</v>
      </c>
      <c r="B151" s="565" t="str">
        <f>IF(Definitions!K34&lt;&gt;"", Definitions!K34, "")</f>
        <v>PWRDIST</v>
      </c>
      <c r="C151" s="566" cm="1">
        <f t="array" ref="C151:AV151">IF(B151="", "",
   TRANSPOSE(
INDEX('OSeMOSYS (Input)'!$B$85:$AA$130, , MATCH(TRUE, ISNUMBER(SEARCH(B46, 'OSeMOSYS (Input)'!$B$74:$AA$74)), 0))
   )
   *
   IF('High Level Dashboard'!$B$5="Local Currency",
      INDEX('Financing Baseline'!$S$39:$BL$39, , MATCH(TRUE, ISNUMBER(SEARCH(B46, 'OSeMOSYS (Input)'!$B$10:$AB27)), 0)) /
      INDEX('Financing Baseline'!$S$38:$BL$38, , MATCH(TRUE, ISNUMBER(SEARCH(B46, 'OSeMOSYS (Input)'!$B$10:$AB27)), 0)),
      INDEX('Financing Baseline'!$S$38:$BL$38, , MATCH(TRUE, ISNUMBER(SEARCH(B46, 'OSeMOSYS (Input)'!$B$10:$AB$10)), 0))
   )
)</f>
        <v>29.242000000000001</v>
      </c>
      <c r="D151" s="566">
        <v>25.7349</v>
      </c>
      <c r="E151" s="566">
        <v>48.560299999999998</v>
      </c>
      <c r="F151" s="566">
        <v>53.113199999999999</v>
      </c>
      <c r="G151" s="566">
        <v>59.975700000000003</v>
      </c>
      <c r="H151" s="566">
        <v>58.653599999999997</v>
      </c>
      <c r="I151" s="566">
        <v>56.011000000000003</v>
      </c>
      <c r="J151" s="566">
        <v>64.762</v>
      </c>
      <c r="K151" s="566">
        <v>62.931399999999996</v>
      </c>
      <c r="L151" s="566">
        <v>68.7988</v>
      </c>
      <c r="M151" s="566">
        <v>71.349999999999994</v>
      </c>
      <c r="N151" s="566">
        <v>73.215599999999995</v>
      </c>
      <c r="O151" s="566">
        <v>87.906400000000005</v>
      </c>
      <c r="P151" s="566">
        <v>91.569699999999997</v>
      </c>
      <c r="Q151" s="566">
        <v>96.819100000000006</v>
      </c>
      <c r="R151" s="566">
        <v>102.651</v>
      </c>
      <c r="S151" s="566">
        <v>108.1555</v>
      </c>
      <c r="T151" s="566">
        <v>111.93980000000001</v>
      </c>
      <c r="U151" s="566">
        <v>119.3841</v>
      </c>
      <c r="V151" s="566">
        <v>125.7539</v>
      </c>
      <c r="W151" s="566">
        <v>132.95140000000001</v>
      </c>
      <c r="X151" s="566">
        <v>140.30500000000001</v>
      </c>
      <c r="Y151" s="566">
        <v>147.78460000000001</v>
      </c>
      <c r="Z151" s="566">
        <v>156.25720000000001</v>
      </c>
      <c r="AA151" s="566">
        <v>164.8982</v>
      </c>
      <c r="AB151" s="566">
        <v>173.66370000000001</v>
      </c>
      <c r="AC151" s="566">
        <v>136.8356</v>
      </c>
      <c r="AD151" s="566">
        <v>136.8356</v>
      </c>
      <c r="AE151" s="566">
        <v>136.8356</v>
      </c>
      <c r="AF151" s="566">
        <v>136.8356</v>
      </c>
      <c r="AG151" s="566">
        <v>136.8356</v>
      </c>
      <c r="AH151" s="566">
        <v>136.8356</v>
      </c>
      <c r="AI151" s="566">
        <v>136.8356</v>
      </c>
      <c r="AJ151" s="566">
        <v>136.8356</v>
      </c>
      <c r="AK151" s="566">
        <v>136.8356</v>
      </c>
      <c r="AL151" s="566">
        <v>136.8356</v>
      </c>
      <c r="AM151" s="566">
        <v>136.8356</v>
      </c>
      <c r="AN151" s="566">
        <v>136.8356</v>
      </c>
      <c r="AO151" s="566">
        <v>136.8356</v>
      </c>
      <c r="AP151" s="566">
        <v>136.8356</v>
      </c>
      <c r="AQ151" s="566">
        <v>136.8356</v>
      </c>
      <c r="AR151" s="566">
        <v>136.8356</v>
      </c>
      <c r="AS151" s="566">
        <v>136.8356</v>
      </c>
      <c r="AT151" s="566">
        <v>136.8356</v>
      </c>
      <c r="AU151" s="566">
        <v>274.9511</v>
      </c>
      <c r="AV151" s="566">
        <v>149.38999999999999</v>
      </c>
    </row>
    <row r="152" spans="1:48" outlineLevel="1">
      <c r="A152" s="565" t="str">
        <f>IF(Definitions!L35&lt;&gt;"", Definitions!L35, "")</f>
        <v>Light fuel oil standalone generator (1kW)</v>
      </c>
      <c r="B152" s="565" t="str">
        <f>IF(Definitions!K35&lt;&gt;"", Definitions!K35, "")</f>
        <v>PWROHC003</v>
      </c>
      <c r="C152" s="566" cm="1">
        <f t="array" ref="C152:AV152">IF(B152="", "",
   TRANSPOSE(
INDEX('OSeMOSYS (Input)'!$B$85:$AA$130, , MATCH(TRUE, ISNUMBER(SEARCH(B47, 'OSeMOSYS (Input)'!$B$74:$AA$74)), 0))
   )
   *
   IF('High Level Dashboard'!$B$5="Local Currency",
      INDEX('Financing Baseline'!$S$39:$BL$39, , MATCH(TRUE, ISNUMBER(SEARCH(B47, 'OSeMOSYS (Input)'!$B$10:$AB28)), 0)) /
      INDEX('Financing Baseline'!$S$38:$BL$38, , MATCH(TRUE, ISNUMBER(SEARCH(B47, 'OSeMOSYS (Input)'!$B$10:$AB28)), 0)),
      INDEX('Financing Baseline'!$S$38:$BL$38, , MATCH(TRUE, ISNUMBER(SEARCH(B47, 'OSeMOSYS (Input)'!$B$10:$AB$10)), 0))
   )
)</f>
        <v>191.74850000000001</v>
      </c>
      <c r="D152" s="566">
        <v>168.75149999999999</v>
      </c>
      <c r="E152" s="566">
        <v>318.42430000000002</v>
      </c>
      <c r="F152" s="566">
        <v>348.27910000000003</v>
      </c>
      <c r="G152" s="566">
        <v>393.27809999999999</v>
      </c>
      <c r="H152" s="566">
        <v>384.60899999999998</v>
      </c>
      <c r="I152" s="566">
        <v>367.28100000000001</v>
      </c>
      <c r="J152" s="566">
        <v>424.66340000000002</v>
      </c>
      <c r="K152" s="566">
        <v>412.65969999999999</v>
      </c>
      <c r="L152" s="566">
        <v>451.13389999999998</v>
      </c>
      <c r="M152" s="566">
        <v>467.86290000000002</v>
      </c>
      <c r="N152" s="566">
        <v>480.09649999999999</v>
      </c>
      <c r="O152" s="566">
        <v>576.42809999999997</v>
      </c>
      <c r="P152" s="566">
        <v>600.44949999999994</v>
      </c>
      <c r="Q152" s="566">
        <v>634.87180000000001</v>
      </c>
      <c r="R152" s="566">
        <v>673.11329999999998</v>
      </c>
      <c r="S152" s="566">
        <v>709.20740000000001</v>
      </c>
      <c r="T152" s="566">
        <v>734.02239999999995</v>
      </c>
      <c r="U152" s="566">
        <v>782.83709999999996</v>
      </c>
      <c r="V152" s="566">
        <v>824.60590000000002</v>
      </c>
      <c r="W152" s="566">
        <v>871.80160000000001</v>
      </c>
      <c r="X152" s="566">
        <v>920.02179999999998</v>
      </c>
      <c r="Y152" s="566">
        <v>969.0675</v>
      </c>
      <c r="Z152" s="566">
        <v>1024.625</v>
      </c>
      <c r="AA152" s="566">
        <v>1081.2863</v>
      </c>
      <c r="AB152" s="566">
        <v>1138.7645</v>
      </c>
      <c r="AC152" s="566">
        <v>897.2713</v>
      </c>
      <c r="AD152" s="566">
        <v>897.2713</v>
      </c>
      <c r="AE152" s="566">
        <v>897.2713</v>
      </c>
      <c r="AF152" s="566">
        <v>897.2713</v>
      </c>
      <c r="AG152" s="566">
        <v>897.2713</v>
      </c>
      <c r="AH152" s="566">
        <v>897.2713</v>
      </c>
      <c r="AI152" s="566">
        <v>897.2713</v>
      </c>
      <c r="AJ152" s="566">
        <v>897.2713</v>
      </c>
      <c r="AK152" s="566">
        <v>897.2713</v>
      </c>
      <c r="AL152" s="566">
        <v>897.2713</v>
      </c>
      <c r="AM152" s="566">
        <v>897.2713</v>
      </c>
      <c r="AN152" s="566">
        <v>897.2713</v>
      </c>
      <c r="AO152" s="566">
        <v>897.2713</v>
      </c>
      <c r="AP152" s="566">
        <v>897.2713</v>
      </c>
      <c r="AQ152" s="566">
        <v>897.2713</v>
      </c>
      <c r="AR152" s="566">
        <v>897.2713</v>
      </c>
      <c r="AS152" s="566">
        <v>897.2713</v>
      </c>
      <c r="AT152" s="566">
        <v>897.2713</v>
      </c>
      <c r="AU152" s="566">
        <v>897.2713</v>
      </c>
      <c r="AV152" s="566">
        <v>897.2713</v>
      </c>
    </row>
    <row r="153" spans="1:48" outlineLevel="1">
      <c r="A153" s="565" t="str">
        <f>IF(Definitions!L36&lt;&gt;"", Definitions!L36, "")</f>
        <v>Solar PV - distributed with storage</v>
      </c>
      <c r="B153" s="565" t="str">
        <f>IF(Definitions!K36&lt;&gt;"", Definitions!K36, "")</f>
        <v>PWRSOL002</v>
      </c>
      <c r="C153" s="566" cm="1">
        <f t="array" ref="C153:AV153">IF(B153="", "",
   TRANSPOSE(
INDEX('OSeMOSYS (Input)'!$B$85:$AA$130, , MATCH(TRUE, ISNUMBER(SEARCH(B48, 'OSeMOSYS (Input)'!$B$74:$AA$74)), 0))
   )
   *
   IF('High Level Dashboard'!$B$5="Local Currency",
      INDEX('Financing Baseline'!$S$39:$BL$39, , MATCH(TRUE, ISNUMBER(SEARCH(B48, 'OSeMOSYS (Input)'!$B$10:$AB29)), 0)) /
      INDEX('Financing Baseline'!$S$38:$BL$38, , MATCH(TRUE, ISNUMBER(SEARCH(B48, 'OSeMOSYS (Input)'!$B$10:$AB29)), 0)),
      INDEX('Financing Baseline'!$S$38:$BL$38, , MATCH(TRUE, ISNUMBER(SEARCH(B48, 'OSeMOSYS (Input)'!$B$10:$AB$10)), 0))
   )
)</f>
        <v>0</v>
      </c>
      <c r="D153" s="566">
        <v>0</v>
      </c>
      <c r="E153" s="566">
        <v>0</v>
      </c>
      <c r="F153" s="566">
        <v>0</v>
      </c>
      <c r="G153" s="566">
        <v>0</v>
      </c>
      <c r="H153" s="566">
        <v>0</v>
      </c>
      <c r="I153" s="566">
        <v>0</v>
      </c>
      <c r="J153" s="566">
        <v>0</v>
      </c>
      <c r="K153" s="566">
        <v>0</v>
      </c>
      <c r="L153" s="566">
        <v>0</v>
      </c>
      <c r="M153" s="566">
        <v>0</v>
      </c>
      <c r="N153" s="566">
        <v>0</v>
      </c>
      <c r="O153" s="566">
        <v>0</v>
      </c>
      <c r="P153" s="566">
        <v>0</v>
      </c>
      <c r="Q153" s="566">
        <v>0</v>
      </c>
      <c r="R153" s="566">
        <v>0</v>
      </c>
      <c r="S153" s="566">
        <v>0</v>
      </c>
      <c r="T153" s="566">
        <v>0</v>
      </c>
      <c r="U153" s="566">
        <v>0</v>
      </c>
      <c r="V153" s="566">
        <v>0</v>
      </c>
      <c r="W153" s="566">
        <v>0</v>
      </c>
      <c r="X153" s="566">
        <v>0</v>
      </c>
      <c r="Y153" s="566">
        <v>0</v>
      </c>
      <c r="Z153" s="566">
        <v>0</v>
      </c>
      <c r="AA153" s="566">
        <v>0</v>
      </c>
      <c r="AB153" s="566">
        <v>0</v>
      </c>
      <c r="AC153" s="566">
        <v>0</v>
      </c>
      <c r="AD153" s="566">
        <v>0</v>
      </c>
      <c r="AE153" s="566">
        <v>0</v>
      </c>
      <c r="AF153" s="566">
        <v>0</v>
      </c>
      <c r="AG153" s="566">
        <v>0</v>
      </c>
      <c r="AH153" s="566">
        <v>0</v>
      </c>
      <c r="AI153" s="566">
        <v>0</v>
      </c>
      <c r="AJ153" s="566">
        <v>0</v>
      </c>
      <c r="AK153" s="566">
        <v>0</v>
      </c>
      <c r="AL153" s="566">
        <v>0</v>
      </c>
      <c r="AM153" s="566">
        <v>0</v>
      </c>
      <c r="AN153" s="566">
        <v>0</v>
      </c>
      <c r="AO153" s="566">
        <v>0</v>
      </c>
      <c r="AP153" s="566">
        <v>0</v>
      </c>
      <c r="AQ153" s="566">
        <v>0</v>
      </c>
      <c r="AR153" s="566">
        <v>0</v>
      </c>
      <c r="AS153" s="566">
        <v>0</v>
      </c>
      <c r="AT153" s="566">
        <v>0</v>
      </c>
      <c r="AU153" s="566">
        <v>0</v>
      </c>
      <c r="AV153" s="566">
        <v>0</v>
      </c>
    </row>
    <row r="154" spans="1:48" outlineLevel="1">
      <c r="A154" s="565" t="str">
        <f>IF(Definitions!L37&lt;&gt;"", Definitions!L37, "")</f>
        <v>Hydropower plant - Off-grid</v>
      </c>
      <c r="B154" s="565" t="str">
        <f>IF(Definitions!K37&lt;&gt;"", Definitions!K37, "")</f>
        <v>PWRHYD004</v>
      </c>
      <c r="C154" s="566" cm="1">
        <f t="array" ref="C154:AV154">IF(B154="", "",
   TRANSPOSE(
INDEX('OSeMOSYS (Input)'!$B$85:$AA$130, , MATCH(TRUE, ISNUMBER(SEARCH(B49, 'OSeMOSYS (Input)'!$B$74:$AA$74)), 0))
   )
   *
   IF('High Level Dashboard'!$B$5="Local Currency",
      INDEX('Financing Baseline'!$S$39:$BL$39, , MATCH(TRUE, ISNUMBER(SEARCH(B49, 'OSeMOSYS (Input)'!$B$10:$AB30)), 0)) /
      INDEX('Financing Baseline'!$S$38:$BL$38, , MATCH(TRUE, ISNUMBER(SEARCH(B49, 'OSeMOSYS (Input)'!$B$10:$AB30)), 0)),
      INDEX('Financing Baseline'!$S$38:$BL$38, , MATCH(TRUE, ISNUMBER(SEARCH(B49, 'OSeMOSYS (Input)'!$B$10:$AB$10)), 0))
   )
)</f>
        <v>0</v>
      </c>
      <c r="D154" s="566">
        <v>0</v>
      </c>
      <c r="E154" s="566">
        <v>0</v>
      </c>
      <c r="F154" s="566">
        <v>0</v>
      </c>
      <c r="G154" s="566">
        <v>0</v>
      </c>
      <c r="H154" s="566">
        <v>0</v>
      </c>
      <c r="I154" s="566">
        <v>0</v>
      </c>
      <c r="J154" s="566">
        <v>0</v>
      </c>
      <c r="K154" s="566">
        <v>0</v>
      </c>
      <c r="L154" s="566">
        <v>0</v>
      </c>
      <c r="M154" s="566">
        <v>0</v>
      </c>
      <c r="N154" s="566">
        <v>0</v>
      </c>
      <c r="O154" s="566">
        <v>0</v>
      </c>
      <c r="P154" s="566">
        <v>0</v>
      </c>
      <c r="Q154" s="566">
        <v>0</v>
      </c>
      <c r="R154" s="566">
        <v>0</v>
      </c>
      <c r="S154" s="566">
        <v>0</v>
      </c>
      <c r="T154" s="566">
        <v>0</v>
      </c>
      <c r="U154" s="566">
        <v>0</v>
      </c>
      <c r="V154" s="566">
        <v>0</v>
      </c>
      <c r="W154" s="566">
        <v>0</v>
      </c>
      <c r="X154" s="566">
        <v>0</v>
      </c>
      <c r="Y154" s="566">
        <v>0</v>
      </c>
      <c r="Z154" s="566">
        <v>0</v>
      </c>
      <c r="AA154" s="566">
        <v>0</v>
      </c>
      <c r="AB154" s="566">
        <v>0</v>
      </c>
      <c r="AC154" s="566">
        <v>0</v>
      </c>
      <c r="AD154" s="566">
        <v>0</v>
      </c>
      <c r="AE154" s="566">
        <v>0</v>
      </c>
      <c r="AF154" s="566">
        <v>0</v>
      </c>
      <c r="AG154" s="566">
        <v>0</v>
      </c>
      <c r="AH154" s="566">
        <v>0</v>
      </c>
      <c r="AI154" s="566">
        <v>0</v>
      </c>
      <c r="AJ154" s="566">
        <v>0</v>
      </c>
      <c r="AK154" s="566">
        <v>0</v>
      </c>
      <c r="AL154" s="566">
        <v>0</v>
      </c>
      <c r="AM154" s="566">
        <v>0</v>
      </c>
      <c r="AN154" s="566">
        <v>0</v>
      </c>
      <c r="AO154" s="566">
        <v>0</v>
      </c>
      <c r="AP154" s="566">
        <v>0</v>
      </c>
      <c r="AQ154" s="566">
        <v>0</v>
      </c>
      <c r="AR154" s="566">
        <v>0</v>
      </c>
      <c r="AS154" s="566">
        <v>0</v>
      </c>
      <c r="AT154" s="566">
        <v>0</v>
      </c>
      <c r="AU154" s="566">
        <v>0</v>
      </c>
      <c r="AV154" s="566">
        <v>0</v>
      </c>
    </row>
    <row r="155" spans="1:48" outlineLevel="1">
      <c r="A155" s="565" t="str">
        <f>IF(Definitions!L38&lt;&gt;"", Definitions!L38, "")</f>
        <v>Solar PV - Utility with 2-hour storage</v>
      </c>
      <c r="B155" s="565" t="str">
        <f>IF(Definitions!K38&lt;&gt;"", Definitions!K38, "")</f>
        <v>PWRSOL001S</v>
      </c>
      <c r="C155" s="566" cm="1">
        <f t="array" ref="C155:AV155">IF(B155="", "",
   TRANSPOSE(
INDEX('OSeMOSYS (Input)'!$B$85:$AA$130, , MATCH(TRUE, ISNUMBER(SEARCH(B50, 'OSeMOSYS (Input)'!$B$74:$AA$74)), 0))
   )
   *
   IF('High Level Dashboard'!$B$5="Local Currency",
      INDEX('Financing Baseline'!$S$39:$BL$39, , MATCH(TRUE, ISNUMBER(SEARCH(B50, 'OSeMOSYS (Input)'!$B$10:$AB31)), 0)) /
      INDEX('Financing Baseline'!$S$38:$BL$38, , MATCH(TRUE, ISNUMBER(SEARCH(B50, 'OSeMOSYS (Input)'!$B$10:$AB31)), 0)),
      INDEX('Financing Baseline'!$S$38:$BL$38, , MATCH(TRUE, ISNUMBER(SEARCH(B50, 'OSeMOSYS (Input)'!$B$10:$AB$10)), 0))
   )
)</f>
        <v>0</v>
      </c>
      <c r="D155" s="566">
        <v>0</v>
      </c>
      <c r="E155" s="566">
        <v>0</v>
      </c>
      <c r="F155" s="566">
        <v>0</v>
      </c>
      <c r="G155" s="566">
        <v>0</v>
      </c>
      <c r="H155" s="566">
        <v>0</v>
      </c>
      <c r="I155" s="566">
        <v>0</v>
      </c>
      <c r="J155" s="566">
        <v>0</v>
      </c>
      <c r="K155" s="566">
        <v>0</v>
      </c>
      <c r="L155" s="566">
        <v>0</v>
      </c>
      <c r="M155" s="566">
        <v>0</v>
      </c>
      <c r="N155" s="566">
        <v>0</v>
      </c>
      <c r="O155" s="566">
        <v>0</v>
      </c>
      <c r="P155" s="566">
        <v>0</v>
      </c>
      <c r="Q155" s="566">
        <v>0</v>
      </c>
      <c r="R155" s="566">
        <v>0</v>
      </c>
      <c r="S155" s="566">
        <v>0</v>
      </c>
      <c r="T155" s="566">
        <v>0</v>
      </c>
      <c r="U155" s="566">
        <v>0</v>
      </c>
      <c r="V155" s="566">
        <v>0</v>
      </c>
      <c r="W155" s="566">
        <v>0</v>
      </c>
      <c r="X155" s="566">
        <v>0</v>
      </c>
      <c r="Y155" s="566">
        <v>0</v>
      </c>
      <c r="Z155" s="566">
        <v>0</v>
      </c>
      <c r="AA155" s="566">
        <v>0</v>
      </c>
      <c r="AB155" s="566">
        <v>0</v>
      </c>
      <c r="AC155" s="566">
        <v>0</v>
      </c>
      <c r="AD155" s="566">
        <v>0</v>
      </c>
      <c r="AE155" s="566">
        <v>0</v>
      </c>
      <c r="AF155" s="566">
        <v>0</v>
      </c>
      <c r="AG155" s="566">
        <v>0</v>
      </c>
      <c r="AH155" s="566">
        <v>0</v>
      </c>
      <c r="AI155" s="566">
        <v>0</v>
      </c>
      <c r="AJ155" s="566">
        <v>0</v>
      </c>
      <c r="AK155" s="566">
        <v>0</v>
      </c>
      <c r="AL155" s="566">
        <v>0</v>
      </c>
      <c r="AM155" s="566">
        <v>0</v>
      </c>
      <c r="AN155" s="566">
        <v>0</v>
      </c>
      <c r="AO155" s="566">
        <v>0</v>
      </c>
      <c r="AP155" s="566">
        <v>0</v>
      </c>
      <c r="AQ155" s="566">
        <v>0</v>
      </c>
      <c r="AR155" s="566">
        <v>0</v>
      </c>
      <c r="AS155" s="566">
        <v>0</v>
      </c>
      <c r="AT155" s="566">
        <v>0</v>
      </c>
      <c r="AU155" s="566">
        <v>0</v>
      </c>
      <c r="AV155" s="566">
        <v>0</v>
      </c>
    </row>
    <row r="156" spans="1:48" outlineLevel="1">
      <c r="A156" s="565" t="str">
        <f>IF(Definitions!L39&lt;&gt;"", Definitions!L39, "")</f>
        <v>Onshore wind with storage</v>
      </c>
      <c r="B156" s="565" t="str">
        <f>IF(Definitions!K39&lt;&gt;"", Definitions!K39, "")</f>
        <v>PWRWND001S</v>
      </c>
      <c r="C156" s="566" cm="1">
        <f t="array" ref="C156:AV156">IF(B156="", "",
   TRANSPOSE(
INDEX('OSeMOSYS (Input)'!$B$85:$AA$130, , MATCH(TRUE, ISNUMBER(SEARCH(B51, 'OSeMOSYS (Input)'!$B$74:$AA$74)), 0))
   )
   *
   IF('High Level Dashboard'!$B$5="Local Currency",
      INDEX('Financing Baseline'!$S$39:$BL$39, , MATCH(TRUE, ISNUMBER(SEARCH(B51, 'OSeMOSYS (Input)'!$B$10:$AB32)), 0)) /
      INDEX('Financing Baseline'!$S$38:$BL$38, , MATCH(TRUE, ISNUMBER(SEARCH(B51, 'OSeMOSYS (Input)'!$B$10:$AB32)), 0)),
      INDEX('Financing Baseline'!$S$38:$BL$38, , MATCH(TRUE, ISNUMBER(SEARCH(B51, 'OSeMOSYS (Input)'!$B$10:$AB$10)), 0))
   )
)</f>
        <v>0</v>
      </c>
      <c r="D156" s="566">
        <v>0</v>
      </c>
      <c r="E156" s="566">
        <v>0</v>
      </c>
      <c r="F156" s="566">
        <v>0</v>
      </c>
      <c r="G156" s="566">
        <v>0</v>
      </c>
      <c r="H156" s="566">
        <v>0</v>
      </c>
      <c r="I156" s="566">
        <v>0</v>
      </c>
      <c r="J156" s="566">
        <v>0</v>
      </c>
      <c r="K156" s="566">
        <v>0</v>
      </c>
      <c r="L156" s="566">
        <v>0</v>
      </c>
      <c r="M156" s="566">
        <v>0</v>
      </c>
      <c r="N156" s="566">
        <v>0</v>
      </c>
      <c r="O156" s="566">
        <v>0</v>
      </c>
      <c r="P156" s="566">
        <v>0</v>
      </c>
      <c r="Q156" s="566">
        <v>0</v>
      </c>
      <c r="R156" s="566">
        <v>0</v>
      </c>
      <c r="S156" s="566">
        <v>0</v>
      </c>
      <c r="T156" s="566">
        <v>0</v>
      </c>
      <c r="U156" s="566">
        <v>0</v>
      </c>
      <c r="V156" s="566">
        <v>0</v>
      </c>
      <c r="W156" s="566">
        <v>0</v>
      </c>
      <c r="X156" s="566">
        <v>0</v>
      </c>
      <c r="Y156" s="566">
        <v>0</v>
      </c>
      <c r="Z156" s="566">
        <v>0</v>
      </c>
      <c r="AA156" s="566">
        <v>0</v>
      </c>
      <c r="AB156" s="566">
        <v>0</v>
      </c>
      <c r="AC156" s="566">
        <v>0</v>
      </c>
      <c r="AD156" s="566">
        <v>0</v>
      </c>
      <c r="AE156" s="566">
        <v>0</v>
      </c>
      <c r="AF156" s="566">
        <v>0</v>
      </c>
      <c r="AG156" s="566">
        <v>0</v>
      </c>
      <c r="AH156" s="566">
        <v>0</v>
      </c>
      <c r="AI156" s="566">
        <v>0</v>
      </c>
      <c r="AJ156" s="566">
        <v>0</v>
      </c>
      <c r="AK156" s="566">
        <v>0</v>
      </c>
      <c r="AL156" s="566">
        <v>0</v>
      </c>
      <c r="AM156" s="566">
        <v>0</v>
      </c>
      <c r="AN156" s="566">
        <v>0</v>
      </c>
      <c r="AO156" s="566">
        <v>0</v>
      </c>
      <c r="AP156" s="566">
        <v>0</v>
      </c>
      <c r="AQ156" s="566">
        <v>0</v>
      </c>
      <c r="AR156" s="566">
        <v>0</v>
      </c>
      <c r="AS156" s="566">
        <v>0</v>
      </c>
      <c r="AT156" s="566">
        <v>0</v>
      </c>
      <c r="AU156" s="566">
        <v>0</v>
      </c>
      <c r="AV156" s="566">
        <v>0</v>
      </c>
    </row>
    <row r="157" spans="1:48" outlineLevel="1">
      <c r="A157" s="565" t="str">
        <f>IF(Definitions!L40&lt;&gt;"", Definitions!L40, "")</f>
        <v>Battery</v>
      </c>
      <c r="B157" s="565" t="str">
        <f>IF(Definitions!K40&lt;&gt;"", Definitions!K40, "")</f>
        <v>BESS</v>
      </c>
      <c r="C157" s="566" cm="1">
        <f t="array" ref="C157:AV157">IF(B157="", "",
   TRANSPOSE(
INDEX('OSeMOSYS (Input)'!$B$85:$AA$130, , MATCH(TRUE, ISNUMBER(SEARCH(B52, 'OSeMOSYS (Input)'!$B$74:$AA$74)), 0))
   )
   *
   IF('High Level Dashboard'!$B$5="Local Currency",
      INDEX('Financing Baseline'!$S$39:$BL$39, , MATCH(TRUE, ISNUMBER(SEARCH(B52, 'OSeMOSYS (Input)'!$B$10:$AB33)), 0)) /
      INDEX('Financing Baseline'!$S$38:$BL$38, , MATCH(TRUE, ISNUMBER(SEARCH(B52, 'OSeMOSYS (Input)'!$B$10:$AB33)), 0)),
      INDEX('Financing Baseline'!$S$38:$BL$38, , MATCH(TRUE, ISNUMBER(SEARCH(B52, 'OSeMOSYS (Input)'!$B$10:$AB$10)), 0))
   )
)</f>
        <v>0</v>
      </c>
      <c r="D157" s="566">
        <v>0</v>
      </c>
      <c r="E157" s="566">
        <v>0</v>
      </c>
      <c r="F157" s="566">
        <v>0</v>
      </c>
      <c r="G157" s="566">
        <v>0</v>
      </c>
      <c r="H157" s="566">
        <v>0</v>
      </c>
      <c r="I157" s="566">
        <v>0</v>
      </c>
      <c r="J157" s="566">
        <v>0</v>
      </c>
      <c r="K157" s="566">
        <v>0</v>
      </c>
      <c r="L157" s="566">
        <v>0</v>
      </c>
      <c r="M157" s="566">
        <v>0</v>
      </c>
      <c r="N157" s="566">
        <v>0</v>
      </c>
      <c r="O157" s="566">
        <v>0</v>
      </c>
      <c r="P157" s="566">
        <v>0</v>
      </c>
      <c r="Q157" s="566">
        <v>0</v>
      </c>
      <c r="R157" s="566">
        <v>0</v>
      </c>
      <c r="S157" s="566">
        <v>0</v>
      </c>
      <c r="T157" s="566">
        <v>0</v>
      </c>
      <c r="U157" s="566">
        <v>0</v>
      </c>
      <c r="V157" s="566">
        <v>0</v>
      </c>
      <c r="W157" s="566">
        <v>0</v>
      </c>
      <c r="X157" s="566">
        <v>0</v>
      </c>
      <c r="Y157" s="566">
        <v>0</v>
      </c>
      <c r="Z157" s="566">
        <v>0</v>
      </c>
      <c r="AA157" s="566">
        <v>0</v>
      </c>
      <c r="AB157" s="566">
        <v>0</v>
      </c>
      <c r="AC157" s="566">
        <v>0</v>
      </c>
      <c r="AD157" s="566">
        <v>0</v>
      </c>
      <c r="AE157" s="566">
        <v>0</v>
      </c>
      <c r="AF157" s="566">
        <v>0</v>
      </c>
      <c r="AG157" s="566">
        <v>0</v>
      </c>
      <c r="AH157" s="566">
        <v>0</v>
      </c>
      <c r="AI157" s="566">
        <v>0</v>
      </c>
      <c r="AJ157" s="566">
        <v>0</v>
      </c>
      <c r="AK157" s="566">
        <v>0</v>
      </c>
      <c r="AL157" s="566">
        <v>0</v>
      </c>
      <c r="AM157" s="566">
        <v>0</v>
      </c>
      <c r="AN157" s="566">
        <v>0</v>
      </c>
      <c r="AO157" s="566">
        <v>0</v>
      </c>
      <c r="AP157" s="566">
        <v>0</v>
      </c>
      <c r="AQ157" s="566">
        <v>0</v>
      </c>
      <c r="AR157" s="566">
        <v>0</v>
      </c>
      <c r="AS157" s="566">
        <v>0</v>
      </c>
      <c r="AT157" s="566">
        <v>0</v>
      </c>
      <c r="AU157" s="566">
        <v>0</v>
      </c>
      <c r="AV157" s="566">
        <v>0</v>
      </c>
    </row>
    <row r="158" spans="1:48" outlineLevel="1">
      <c r="A158" s="565" t="str">
        <f>IF(Definitions!L41&lt;&gt;"", Definitions!L41, "")</f>
        <v/>
      </c>
      <c r="B158" s="565" t="str">
        <f>IF(Definitions!K41&lt;&gt;"", Definitions!K41, "")</f>
        <v/>
      </c>
      <c r="C158" s="566" t="str" cm="1">
        <f t="array" ref="C158">IF(B158="", "",
   TRANSPOSE(
INDEX('OSeMOSYS (Input)'!$B$85:$AA$130, , MATCH(TRUE, ISNUMBER(SEARCH(B53, 'OSeMOSYS (Input)'!$B$74:$AA$74)), 0))
   )
   *
   IF('High Level Dashboard'!$B$5="Local Currency",
      INDEX('Financing Baseline'!$S$39:$BL$39, , MATCH(TRUE, ISNUMBER(SEARCH(B53, 'OSeMOSYS (Input)'!$B$10:$AB34)), 0)) /
      INDEX('Financing Baseline'!$S$38:$BL$38, , MATCH(TRUE, ISNUMBER(SEARCH(B53, 'OSeMOSYS (Input)'!$B$10:$AB34)), 0)),
      INDEX('Financing Baseline'!$S$38:$BL$38, , MATCH(TRUE, ISNUMBER(SEARCH(B53, 'OSeMOSYS (Input)'!$B$10:$AB$10)), 0))
   )
)</f>
        <v/>
      </c>
      <c r="D158" s="566"/>
      <c r="E158" s="566"/>
      <c r="F158" s="566"/>
      <c r="G158" s="566"/>
      <c r="H158" s="566"/>
      <c r="I158" s="566"/>
      <c r="J158" s="566"/>
      <c r="K158" s="566"/>
      <c r="L158" s="566"/>
      <c r="M158" s="566"/>
      <c r="N158" s="566"/>
      <c r="O158" s="566"/>
      <c r="P158" s="566"/>
      <c r="Q158" s="566"/>
      <c r="R158" s="566"/>
      <c r="S158" s="566"/>
      <c r="T158" s="566"/>
      <c r="U158" s="566"/>
      <c r="V158" s="566"/>
      <c r="W158" s="566"/>
      <c r="X158" s="566"/>
      <c r="Y158" s="566"/>
      <c r="Z158" s="566"/>
      <c r="AA158" s="566"/>
      <c r="AB158" s="566"/>
      <c r="AC158" s="566"/>
      <c r="AD158" s="566"/>
      <c r="AE158" s="566"/>
      <c r="AF158" s="566"/>
      <c r="AG158" s="566"/>
      <c r="AH158" s="566"/>
      <c r="AI158" s="566"/>
      <c r="AJ158" s="566"/>
      <c r="AK158" s="566"/>
      <c r="AL158" s="566"/>
      <c r="AM158" s="566"/>
      <c r="AN158" s="566"/>
      <c r="AO158" s="566"/>
      <c r="AP158" s="566"/>
      <c r="AQ158" s="566"/>
      <c r="AR158" s="566"/>
      <c r="AS158" s="566"/>
      <c r="AT158" s="566"/>
      <c r="AU158" s="566"/>
      <c r="AV158" s="566"/>
    </row>
    <row r="159" spans="1:48" outlineLevel="1">
      <c r="A159" s="565" t="str">
        <f>IF(Definitions!L42&lt;&gt;"", Definitions!L42, "")</f>
        <v/>
      </c>
      <c r="B159" s="565" t="str">
        <f>IF(Definitions!K42&lt;&gt;"", Definitions!K42, "")</f>
        <v/>
      </c>
      <c r="C159" s="566" t="str" cm="1">
        <f t="array" ref="C159">IF(B159="", "",
   TRANSPOSE(
INDEX('OSeMOSYS (Input)'!$B$85:$AA$130, , MATCH(TRUE, ISNUMBER(SEARCH(B54, 'OSeMOSYS (Input)'!$B$74:$AA$74)), 0))
   )
   *
   IF('High Level Dashboard'!$B$5="Local Currency",
      INDEX('Financing Baseline'!$S$39:$BL$39, , MATCH(TRUE, ISNUMBER(SEARCH(B54, 'OSeMOSYS (Input)'!$B$10:$AB35)), 0)) /
      INDEX('Financing Baseline'!$S$38:$BL$38, , MATCH(TRUE, ISNUMBER(SEARCH(B54, 'OSeMOSYS (Input)'!$B$10:$AB35)), 0)),
      INDEX('Financing Baseline'!$S$38:$BL$38, , MATCH(TRUE, ISNUMBER(SEARCH(B54, 'OSeMOSYS (Input)'!$B$10:$AB$10)), 0))
   )
)</f>
        <v/>
      </c>
      <c r="D159" s="566"/>
      <c r="E159" s="566"/>
      <c r="F159" s="566"/>
      <c r="G159" s="566"/>
      <c r="H159" s="566"/>
      <c r="I159" s="566"/>
      <c r="J159" s="566"/>
      <c r="K159" s="566"/>
      <c r="L159" s="566"/>
      <c r="M159" s="566"/>
      <c r="N159" s="566"/>
      <c r="O159" s="566"/>
      <c r="P159" s="566"/>
      <c r="Q159" s="566"/>
      <c r="R159" s="566"/>
      <c r="S159" s="566"/>
      <c r="T159" s="566"/>
      <c r="U159" s="566"/>
      <c r="V159" s="566"/>
      <c r="W159" s="566"/>
      <c r="X159" s="566"/>
      <c r="Y159" s="566"/>
      <c r="Z159" s="566"/>
      <c r="AA159" s="566"/>
      <c r="AB159" s="566"/>
      <c r="AC159" s="566"/>
      <c r="AD159" s="566"/>
      <c r="AE159" s="566"/>
      <c r="AF159" s="566"/>
      <c r="AG159" s="566"/>
      <c r="AH159" s="566"/>
      <c r="AI159" s="566"/>
      <c r="AJ159" s="566"/>
      <c r="AK159" s="566"/>
      <c r="AL159" s="566"/>
      <c r="AM159" s="566"/>
      <c r="AN159" s="566"/>
      <c r="AO159" s="566"/>
      <c r="AP159" s="566"/>
      <c r="AQ159" s="566"/>
      <c r="AR159" s="566"/>
      <c r="AS159" s="566"/>
      <c r="AT159" s="566"/>
      <c r="AU159" s="566"/>
      <c r="AV159" s="566"/>
    </row>
    <row r="160" spans="1:48" outlineLevel="1">
      <c r="A160" s="565" t="str">
        <f>IF(Definitions!L43&lt;&gt;"", Definitions!L43, "")</f>
        <v/>
      </c>
      <c r="B160" s="565" t="str">
        <f>IF(Definitions!K43&lt;&gt;"", Definitions!K43, "")</f>
        <v/>
      </c>
      <c r="C160" s="566" t="str" cm="1">
        <f t="array" ref="C160">IF(B160="", "",
   TRANSPOSE(
INDEX('OSeMOSYS (Input)'!$B$85:$AA$130, , MATCH(TRUE, ISNUMBER(SEARCH(B55, 'OSeMOSYS (Input)'!$B$74:$AA$74)), 0))
   )
   *
   IF('High Level Dashboard'!$B$5="Local Currency",
      INDEX('Financing Baseline'!$S$39:$BL$39, , MATCH(TRUE, ISNUMBER(SEARCH(B55, 'OSeMOSYS (Input)'!$B$10:$AB36)), 0)) /
      INDEX('Financing Baseline'!$S$38:$BL$38, , MATCH(TRUE, ISNUMBER(SEARCH(B55, 'OSeMOSYS (Input)'!$B$10:$AB36)), 0)),
      INDEX('Financing Baseline'!$S$38:$BL$38, , MATCH(TRUE, ISNUMBER(SEARCH(B55, 'OSeMOSYS (Input)'!$B$10:$AB$10)), 0))
   )
)</f>
        <v/>
      </c>
      <c r="D160" s="566"/>
      <c r="E160" s="566"/>
      <c r="F160" s="566"/>
      <c r="G160" s="566"/>
      <c r="H160" s="566"/>
      <c r="I160" s="566"/>
      <c r="J160" s="566"/>
      <c r="K160" s="566"/>
      <c r="L160" s="566"/>
      <c r="M160" s="566"/>
      <c r="N160" s="566"/>
      <c r="O160" s="566"/>
      <c r="P160" s="566"/>
      <c r="Q160" s="566"/>
      <c r="R160" s="566"/>
      <c r="S160" s="566"/>
      <c r="T160" s="566"/>
      <c r="U160" s="566"/>
      <c r="V160" s="566"/>
      <c r="W160" s="566"/>
      <c r="X160" s="566"/>
      <c r="Y160" s="566"/>
      <c r="Z160" s="566"/>
      <c r="AA160" s="566"/>
      <c r="AB160" s="566"/>
      <c r="AC160" s="566"/>
      <c r="AD160" s="566"/>
      <c r="AE160" s="566"/>
      <c r="AF160" s="566"/>
      <c r="AG160" s="566"/>
      <c r="AH160" s="566"/>
      <c r="AI160" s="566"/>
      <c r="AJ160" s="566"/>
      <c r="AK160" s="566"/>
      <c r="AL160" s="566"/>
      <c r="AM160" s="566"/>
      <c r="AN160" s="566"/>
      <c r="AO160" s="566"/>
      <c r="AP160" s="566"/>
      <c r="AQ160" s="566"/>
      <c r="AR160" s="566"/>
      <c r="AS160" s="566"/>
      <c r="AT160" s="566"/>
      <c r="AU160" s="566"/>
      <c r="AV160" s="566"/>
    </row>
    <row r="161" spans="1:48" outlineLevel="1">
      <c r="A161" s="565" t="str">
        <f>IF(Definitions!L44&lt;&gt;"", Definitions!L44, "")</f>
        <v/>
      </c>
      <c r="B161" s="565" t="str">
        <f>IF(Definitions!K44&lt;&gt;"", Definitions!K44, "")</f>
        <v/>
      </c>
      <c r="C161" s="566" t="str" cm="1">
        <f t="array" ref="C161">IF(B161="", "",
   TRANSPOSE(
INDEX('OSeMOSYS (Input)'!$B$85:$AA$130, , MATCH(TRUE, ISNUMBER(SEARCH(B56, 'OSeMOSYS (Input)'!$B$74:$AA$74)), 0))
   )
   *
   IF('High Level Dashboard'!$B$5="Local Currency",
      INDEX('Financing Baseline'!$S$39:$BL$39, , MATCH(TRUE, ISNUMBER(SEARCH(B56, 'OSeMOSYS (Input)'!$B$10:$AB37)), 0)) /
      INDEX('Financing Baseline'!$S$38:$BL$38, , MATCH(TRUE, ISNUMBER(SEARCH(B56, 'OSeMOSYS (Input)'!$B$10:$AB37)), 0)),
      INDEX('Financing Baseline'!$S$38:$BL$38, , MATCH(TRUE, ISNUMBER(SEARCH(B56, 'OSeMOSYS (Input)'!$B$10:$AB$10)), 0))
   )
)</f>
        <v/>
      </c>
      <c r="D161" s="566"/>
      <c r="E161" s="566"/>
      <c r="F161" s="566"/>
      <c r="G161" s="566"/>
      <c r="H161" s="566"/>
      <c r="I161" s="566"/>
      <c r="J161" s="566"/>
      <c r="K161" s="566"/>
      <c r="L161" s="566"/>
      <c r="M161" s="566"/>
      <c r="N161" s="566"/>
      <c r="O161" s="566"/>
      <c r="P161" s="566"/>
      <c r="Q161" s="566"/>
      <c r="R161" s="566"/>
      <c r="S161" s="566"/>
      <c r="T161" s="566"/>
      <c r="U161" s="566"/>
      <c r="V161" s="566"/>
      <c r="W161" s="566"/>
      <c r="X161" s="566"/>
      <c r="Y161" s="566"/>
      <c r="Z161" s="566"/>
      <c r="AA161" s="566"/>
      <c r="AB161" s="566"/>
      <c r="AC161" s="566"/>
      <c r="AD161" s="566"/>
      <c r="AE161" s="566"/>
      <c r="AF161" s="566"/>
      <c r="AG161" s="566"/>
      <c r="AH161" s="566"/>
      <c r="AI161" s="566"/>
      <c r="AJ161" s="566"/>
      <c r="AK161" s="566"/>
      <c r="AL161" s="566"/>
      <c r="AM161" s="566"/>
      <c r="AN161" s="566"/>
      <c r="AO161" s="566"/>
      <c r="AP161" s="566"/>
      <c r="AQ161" s="566"/>
      <c r="AR161" s="566"/>
      <c r="AS161" s="566"/>
      <c r="AT161" s="566"/>
      <c r="AU161" s="566"/>
      <c r="AV161" s="566"/>
    </row>
    <row r="162" spans="1:48" outlineLevel="1">
      <c r="A162" s="565" t="str">
        <f>IF(Definitions!L45&lt;&gt;"", Definitions!L45, "")</f>
        <v/>
      </c>
      <c r="B162" s="565" t="str">
        <f>IF(Definitions!K45&lt;&gt;"", Definitions!K45, "")</f>
        <v/>
      </c>
      <c r="C162" s="566" t="str" cm="1">
        <f t="array" ref="C162">IF(B162="", "",
   TRANSPOSE(
INDEX('OSeMOSYS (Input)'!$B$85:$AA$130, , MATCH(TRUE, ISNUMBER(SEARCH(B57, 'OSeMOSYS (Input)'!$B$74:$AA$74)), 0))
   )
   *
   IF('High Level Dashboard'!$B$5="Local Currency",
      INDEX('Financing Baseline'!$S$39:$BL$39, , MATCH(TRUE, ISNUMBER(SEARCH(B57, 'OSeMOSYS (Input)'!$B$10:$AB38)), 0)) /
      INDEX('Financing Baseline'!$S$38:$BL$38, , MATCH(TRUE, ISNUMBER(SEARCH(B57, 'OSeMOSYS (Input)'!$B$10:$AB38)), 0)),
      INDEX('Financing Baseline'!$S$38:$BL$38, , MATCH(TRUE, ISNUMBER(SEARCH(B57, 'OSeMOSYS (Input)'!$B$10:$AB$10)), 0))
   )
)</f>
        <v/>
      </c>
      <c r="D162" s="566"/>
      <c r="E162" s="566"/>
      <c r="F162" s="566"/>
      <c r="G162" s="566"/>
      <c r="H162" s="566"/>
      <c r="I162" s="566"/>
      <c r="J162" s="566"/>
      <c r="K162" s="566"/>
      <c r="L162" s="566"/>
      <c r="M162" s="566"/>
      <c r="N162" s="566"/>
      <c r="O162" s="566"/>
      <c r="P162" s="566"/>
      <c r="Q162" s="566"/>
      <c r="R162" s="566"/>
      <c r="S162" s="566"/>
      <c r="T162" s="566"/>
      <c r="U162" s="566"/>
      <c r="V162" s="566"/>
      <c r="W162" s="566"/>
      <c r="X162" s="566"/>
      <c r="Y162" s="566"/>
      <c r="Z162" s="566"/>
      <c r="AA162" s="566"/>
      <c r="AB162" s="566"/>
      <c r="AC162" s="566"/>
      <c r="AD162" s="566"/>
      <c r="AE162" s="566"/>
      <c r="AF162" s="566"/>
      <c r="AG162" s="566"/>
      <c r="AH162" s="566"/>
      <c r="AI162" s="566"/>
      <c r="AJ162" s="566"/>
      <c r="AK162" s="566"/>
      <c r="AL162" s="566"/>
      <c r="AM162" s="566"/>
      <c r="AN162" s="566"/>
      <c r="AO162" s="566"/>
      <c r="AP162" s="566"/>
      <c r="AQ162" s="566"/>
      <c r="AR162" s="566"/>
      <c r="AS162" s="566"/>
      <c r="AT162" s="566"/>
      <c r="AU162" s="566"/>
      <c r="AV162" s="566"/>
    </row>
    <row r="163" spans="1:48" outlineLevel="1">
      <c r="A163" s="565" t="str">
        <f>IF(Definitions!L46&lt;&gt;"", Definitions!L46, "")</f>
        <v/>
      </c>
      <c r="B163" s="565" t="str">
        <f>IF(Definitions!K46&lt;&gt;"", Definitions!K46, "")</f>
        <v/>
      </c>
      <c r="C163" s="566" t="str" cm="1">
        <f t="array" ref="C163">IF(B163="", "",
   TRANSPOSE(
INDEX('OSeMOSYS (Input)'!$B$85:$AA$130, , MATCH(TRUE, ISNUMBER(SEARCH(B58, 'OSeMOSYS (Input)'!$B$74:$AA$74)), 0))
   )
   *
   IF('High Level Dashboard'!$B$5="Local Currency",
      INDEX('Financing Baseline'!$S$39:$BL$39, , MATCH(TRUE, ISNUMBER(SEARCH(B58, 'OSeMOSYS (Input)'!$B$10:$AB39)), 0)) /
      INDEX('Financing Baseline'!$S$38:$BL$38, , MATCH(TRUE, ISNUMBER(SEARCH(B58, 'OSeMOSYS (Input)'!$B$10:$AB39)), 0)),
      INDEX('Financing Baseline'!$S$38:$BL$38, , MATCH(TRUE, ISNUMBER(SEARCH(B58, 'OSeMOSYS (Input)'!$B$10:$AB$10)), 0))
   )
)</f>
        <v/>
      </c>
      <c r="D163" s="566"/>
      <c r="E163" s="566"/>
      <c r="F163" s="566"/>
      <c r="G163" s="566"/>
      <c r="H163" s="566"/>
      <c r="I163" s="566"/>
      <c r="J163" s="566"/>
      <c r="K163" s="566"/>
      <c r="L163" s="566"/>
      <c r="M163" s="566"/>
      <c r="N163" s="566"/>
      <c r="O163" s="566"/>
      <c r="P163" s="566"/>
      <c r="Q163" s="566"/>
      <c r="R163" s="566"/>
      <c r="S163" s="566"/>
      <c r="T163" s="566"/>
      <c r="U163" s="566"/>
      <c r="V163" s="566"/>
      <c r="W163" s="566"/>
      <c r="X163" s="566"/>
      <c r="Y163" s="566"/>
      <c r="Z163" s="566"/>
      <c r="AA163" s="566"/>
      <c r="AB163" s="566"/>
      <c r="AC163" s="566"/>
      <c r="AD163" s="566"/>
      <c r="AE163" s="566"/>
      <c r="AF163" s="566"/>
      <c r="AG163" s="566"/>
      <c r="AH163" s="566"/>
      <c r="AI163" s="566"/>
      <c r="AJ163" s="566"/>
      <c r="AK163" s="566"/>
      <c r="AL163" s="566"/>
      <c r="AM163" s="566"/>
      <c r="AN163" s="566"/>
      <c r="AO163" s="566"/>
      <c r="AP163" s="566"/>
      <c r="AQ163" s="566"/>
      <c r="AR163" s="566"/>
      <c r="AS163" s="566"/>
      <c r="AT163" s="566"/>
      <c r="AU163" s="566"/>
      <c r="AV163" s="566"/>
    </row>
    <row r="164" spans="1:48" outlineLevel="1">
      <c r="A164" s="565" t="str">
        <f>IF(Definitions!L47&lt;&gt;"", Definitions!L47, "")</f>
        <v/>
      </c>
      <c r="B164" s="565" t="str">
        <f>IF(Definitions!K47&lt;&gt;"", Definitions!K47, "")</f>
        <v/>
      </c>
      <c r="C164" s="566" t="str" cm="1">
        <f t="array" ref="C164">IF(B164="", "",
   TRANSPOSE(
INDEX('OSeMOSYS (Input)'!$B$85:$AA$130, , MATCH(TRUE, ISNUMBER(SEARCH(B59, 'OSeMOSYS (Input)'!$B$74:$AA$74)), 0))
   )
   *
   IF('High Level Dashboard'!$B$5="Local Currency",
      INDEX('Financing Baseline'!$S$39:$BL$39, , MATCH(TRUE, ISNUMBER(SEARCH(B59, 'OSeMOSYS (Input)'!$B$10:$AB40)), 0)) /
      INDEX('Financing Baseline'!$S$38:$BL$38, , MATCH(TRUE, ISNUMBER(SEARCH(B59, 'OSeMOSYS (Input)'!$B$10:$AB40)), 0)),
      INDEX('Financing Baseline'!$S$38:$BL$38, , MATCH(TRUE, ISNUMBER(SEARCH(B59, 'OSeMOSYS (Input)'!$B$10:$AB$10)), 0))
   )
)</f>
        <v/>
      </c>
      <c r="D164" s="566"/>
      <c r="E164" s="566"/>
      <c r="F164" s="566"/>
      <c r="G164" s="566"/>
      <c r="H164" s="566"/>
      <c r="I164" s="566"/>
      <c r="J164" s="566"/>
      <c r="K164" s="566"/>
      <c r="L164" s="566"/>
      <c r="M164" s="566"/>
      <c r="N164" s="566"/>
      <c r="O164" s="566"/>
      <c r="P164" s="566"/>
      <c r="Q164" s="566"/>
      <c r="R164" s="566"/>
      <c r="S164" s="566"/>
      <c r="T164" s="566"/>
      <c r="U164" s="566"/>
      <c r="V164" s="566"/>
      <c r="W164" s="566"/>
      <c r="X164" s="566"/>
      <c r="Y164" s="566"/>
      <c r="Z164" s="566"/>
      <c r="AA164" s="566"/>
      <c r="AB164" s="566"/>
      <c r="AC164" s="566"/>
      <c r="AD164" s="566"/>
      <c r="AE164" s="566"/>
      <c r="AF164" s="566"/>
      <c r="AG164" s="566"/>
      <c r="AH164" s="566"/>
      <c r="AI164" s="566"/>
      <c r="AJ164" s="566"/>
      <c r="AK164" s="566"/>
      <c r="AL164" s="566"/>
      <c r="AM164" s="566"/>
      <c r="AN164" s="566"/>
      <c r="AO164" s="566"/>
      <c r="AP164" s="566"/>
      <c r="AQ164" s="566"/>
      <c r="AR164" s="566"/>
      <c r="AS164" s="566"/>
      <c r="AT164" s="566"/>
      <c r="AU164" s="566"/>
      <c r="AV164" s="566"/>
    </row>
    <row r="165" spans="1:48" outlineLevel="1">
      <c r="A165" s="565" t="str">
        <f>IF(Definitions!L48&lt;&gt;"", Definitions!L48, "")</f>
        <v/>
      </c>
      <c r="B165" s="565" t="str">
        <f>IF(Definitions!K48&lt;&gt;"", Definitions!K48, "")</f>
        <v/>
      </c>
      <c r="C165" s="566" t="str" cm="1">
        <f t="array" ref="C165">IF(B165="", "",
   TRANSPOSE(
INDEX('OSeMOSYS (Input)'!$B$85:$AA$130, , MATCH(TRUE, ISNUMBER(SEARCH(B60, 'OSeMOSYS (Input)'!$B$74:$AA$74)), 0))
   )
   *
   IF('High Level Dashboard'!$B$5="Local Currency",
      INDEX('Financing Baseline'!$S$39:$BL$39, , MATCH(TRUE, ISNUMBER(SEARCH(B60, 'OSeMOSYS (Input)'!$B$10:$AB41)), 0)) /
      INDEX('Financing Baseline'!$S$38:$BL$38, , MATCH(TRUE, ISNUMBER(SEARCH(B60, 'OSeMOSYS (Input)'!$B$10:$AB41)), 0)),
      INDEX('Financing Baseline'!$S$38:$BL$38, , MATCH(TRUE, ISNUMBER(SEARCH(B60, 'OSeMOSYS (Input)'!$B$10:$AB$10)), 0))
   )
)</f>
        <v/>
      </c>
      <c r="D165" s="566"/>
      <c r="E165" s="566"/>
      <c r="F165" s="566"/>
      <c r="G165" s="566"/>
      <c r="H165" s="566"/>
      <c r="I165" s="566"/>
      <c r="J165" s="566"/>
      <c r="K165" s="566"/>
      <c r="L165" s="566"/>
      <c r="M165" s="566"/>
      <c r="N165" s="566"/>
      <c r="O165" s="566"/>
      <c r="P165" s="566"/>
      <c r="Q165" s="566"/>
      <c r="R165" s="566"/>
      <c r="S165" s="566"/>
      <c r="T165" s="566"/>
      <c r="U165" s="566"/>
      <c r="V165" s="566"/>
      <c r="W165" s="566"/>
      <c r="X165" s="566"/>
      <c r="Y165" s="566"/>
      <c r="Z165" s="566"/>
      <c r="AA165" s="566"/>
      <c r="AB165" s="566"/>
      <c r="AC165" s="566"/>
      <c r="AD165" s="566"/>
      <c r="AE165" s="566"/>
      <c r="AF165" s="566"/>
      <c r="AG165" s="566"/>
      <c r="AH165" s="566"/>
      <c r="AI165" s="566"/>
      <c r="AJ165" s="566"/>
      <c r="AK165" s="566"/>
      <c r="AL165" s="566"/>
      <c r="AM165" s="566"/>
      <c r="AN165" s="566"/>
      <c r="AO165" s="566"/>
      <c r="AP165" s="566"/>
      <c r="AQ165" s="566"/>
      <c r="AR165" s="566"/>
      <c r="AS165" s="566"/>
      <c r="AT165" s="566"/>
      <c r="AU165" s="566"/>
      <c r="AV165" s="566"/>
    </row>
    <row r="166" spans="1:48" outlineLevel="1">
      <c r="A166" s="565" t="str">
        <f>IF(Definitions!L49&lt;&gt;"", Definitions!L49, "")</f>
        <v/>
      </c>
      <c r="B166" s="565" t="str">
        <f>IF(Definitions!K49&lt;&gt;"", Definitions!K49, "")</f>
        <v/>
      </c>
      <c r="C166" s="566" t="str" cm="1">
        <f t="array" ref="C166">IF(B166="", "",
   TRANSPOSE(
INDEX('OSeMOSYS (Input)'!$B$85:$AA$130, , MATCH(TRUE, ISNUMBER(SEARCH(B61, 'OSeMOSYS (Input)'!$B$74:$AA$74)), 0))
   )
   *
   IF('High Level Dashboard'!$B$5="Local Currency",
      INDEX('Financing Baseline'!$S$39:$BL$39, , MATCH(TRUE, ISNUMBER(SEARCH(B61, 'OSeMOSYS (Input)'!$B$10:$AB42)), 0)) /
      INDEX('Financing Baseline'!$S$38:$BL$38, , MATCH(TRUE, ISNUMBER(SEARCH(B61, 'OSeMOSYS (Input)'!$B$10:$AB42)), 0)),
      INDEX('Financing Baseline'!$S$38:$BL$38, , MATCH(TRUE, ISNUMBER(SEARCH(B61, 'OSeMOSYS (Input)'!$B$10:$AB$10)), 0))
   )
)</f>
        <v/>
      </c>
      <c r="D166" s="566"/>
      <c r="E166" s="566"/>
      <c r="F166" s="566"/>
      <c r="G166" s="566"/>
      <c r="H166" s="566"/>
      <c r="I166" s="566"/>
      <c r="J166" s="566"/>
      <c r="K166" s="566"/>
      <c r="L166" s="566"/>
      <c r="M166" s="566"/>
      <c r="N166" s="566"/>
      <c r="O166" s="566"/>
      <c r="P166" s="566"/>
      <c r="Q166" s="566"/>
      <c r="R166" s="566"/>
      <c r="S166" s="566"/>
      <c r="T166" s="566"/>
      <c r="U166" s="566"/>
      <c r="V166" s="566"/>
      <c r="W166" s="566"/>
      <c r="X166" s="566"/>
      <c r="Y166" s="566"/>
      <c r="Z166" s="566"/>
      <c r="AA166" s="566"/>
      <c r="AB166" s="566"/>
      <c r="AC166" s="566"/>
      <c r="AD166" s="566"/>
      <c r="AE166" s="566"/>
      <c r="AF166" s="566"/>
      <c r="AG166" s="566"/>
      <c r="AH166" s="566"/>
      <c r="AI166" s="566"/>
      <c r="AJ166" s="566"/>
      <c r="AK166" s="566"/>
      <c r="AL166" s="566"/>
      <c r="AM166" s="566"/>
      <c r="AN166" s="566"/>
      <c r="AO166" s="566"/>
      <c r="AP166" s="566"/>
      <c r="AQ166" s="566"/>
      <c r="AR166" s="566"/>
      <c r="AS166" s="566"/>
      <c r="AT166" s="566"/>
      <c r="AU166" s="566"/>
      <c r="AV166" s="566"/>
    </row>
    <row r="167" spans="1:48">
      <c r="A167" s="571"/>
      <c r="B167" s="13"/>
      <c r="C167" s="16"/>
      <c r="D167" s="16"/>
      <c r="E167" s="16"/>
      <c r="F167" s="16"/>
      <c r="G167" s="16"/>
      <c r="H167" s="16"/>
      <c r="I167" s="16"/>
      <c r="J167" s="16"/>
      <c r="K167" s="16"/>
      <c r="L167" s="16"/>
      <c r="M167" s="16"/>
      <c r="N167" s="16"/>
      <c r="O167" s="16"/>
      <c r="P167" s="16"/>
      <c r="Q167" s="16"/>
      <c r="R167" s="16"/>
      <c r="S167" s="16"/>
      <c r="T167" s="16"/>
      <c r="U167" s="16"/>
      <c r="V167" s="16"/>
      <c r="W167" s="16"/>
      <c r="X167" s="16"/>
      <c r="Y167" s="16"/>
      <c r="Z167" s="16"/>
      <c r="AA167" s="16"/>
      <c r="AB167" s="16"/>
      <c r="AC167" s="16"/>
      <c r="AD167" s="16"/>
      <c r="AE167" s="16"/>
      <c r="AF167" s="16"/>
      <c r="AG167" s="16"/>
      <c r="AH167" s="16"/>
      <c r="AI167" s="16"/>
      <c r="AJ167" s="16"/>
      <c r="AK167" s="16"/>
      <c r="AL167" s="16"/>
      <c r="AM167" s="16"/>
      <c r="AN167" s="16"/>
      <c r="AO167" s="16"/>
      <c r="AP167" s="16"/>
      <c r="AQ167" s="16"/>
      <c r="AR167" s="16"/>
      <c r="AS167" s="16"/>
      <c r="AT167" s="16"/>
      <c r="AU167" s="16"/>
      <c r="AV167" s="16"/>
    </row>
    <row r="168" spans="1:48">
      <c r="A168" s="21"/>
      <c r="B168" s="27"/>
      <c r="C168" s="21"/>
      <c r="D168" s="21"/>
      <c r="E168" s="21"/>
      <c r="F168" s="21"/>
      <c r="G168" s="21"/>
      <c r="H168" s="21"/>
      <c r="I168" s="21"/>
      <c r="J168" s="21"/>
      <c r="K168" s="21"/>
      <c r="L168" s="21"/>
      <c r="M168" s="21"/>
      <c r="N168" s="21"/>
      <c r="O168" s="21"/>
      <c r="P168" s="21"/>
      <c r="Q168" s="21"/>
      <c r="R168" s="21"/>
      <c r="S168" s="21"/>
      <c r="T168" s="21"/>
      <c r="U168" s="21"/>
      <c r="V168" s="21"/>
      <c r="W168" s="21"/>
      <c r="X168" s="21"/>
      <c r="Y168" s="21"/>
      <c r="Z168" s="21"/>
      <c r="AA168" s="21"/>
      <c r="AB168" s="21"/>
      <c r="AC168" s="21"/>
      <c r="AD168" s="21"/>
      <c r="AE168" s="21"/>
      <c r="AF168" s="21"/>
      <c r="AG168" s="21"/>
      <c r="AH168" s="21"/>
      <c r="AI168" s="21"/>
      <c r="AJ168" s="21"/>
      <c r="AK168" s="21"/>
      <c r="AL168" s="21"/>
      <c r="AM168" s="21"/>
      <c r="AN168" s="21"/>
      <c r="AO168" s="21"/>
      <c r="AP168" s="21"/>
      <c r="AQ168" s="21"/>
      <c r="AR168" s="21"/>
      <c r="AS168" s="21"/>
      <c r="AT168" s="21"/>
      <c r="AU168" s="21"/>
      <c r="AV168" s="21"/>
    </row>
    <row r="169" spans="1:48">
      <c r="B169" s="13"/>
    </row>
    <row r="170" spans="1:48" ht="42" customHeight="1">
      <c r="A170" s="569" t="s">
        <v>625</v>
      </c>
      <c r="B170" s="121"/>
      <c r="C170" s="121"/>
      <c r="D170" s="121"/>
      <c r="E170" s="121"/>
      <c r="F170" s="121"/>
      <c r="G170" s="121"/>
      <c r="H170" s="121"/>
      <c r="I170" s="121"/>
      <c r="J170" s="121"/>
      <c r="K170" s="121"/>
      <c r="L170" s="121"/>
      <c r="M170" s="121"/>
      <c r="N170" s="121"/>
      <c r="O170" s="121"/>
      <c r="P170" s="121"/>
      <c r="Q170" s="121"/>
      <c r="R170" s="121"/>
      <c r="S170" s="121"/>
      <c r="T170" s="121"/>
      <c r="U170" s="121"/>
      <c r="V170" s="121"/>
      <c r="W170" s="121"/>
      <c r="X170" s="121"/>
      <c r="Y170" s="121"/>
      <c r="Z170" s="121"/>
      <c r="AA170" s="121"/>
      <c r="AB170" s="121"/>
      <c r="AC170" s="121"/>
      <c r="AD170" s="121"/>
      <c r="AE170" s="121"/>
      <c r="AF170" s="121"/>
      <c r="AG170" s="121"/>
      <c r="AH170" s="121"/>
      <c r="AI170" s="121"/>
      <c r="AJ170" s="121"/>
      <c r="AK170" s="121"/>
      <c r="AL170" s="121"/>
      <c r="AM170" s="121"/>
      <c r="AN170" s="121"/>
      <c r="AO170" s="121"/>
      <c r="AP170" s="121"/>
      <c r="AQ170" s="121"/>
      <c r="AR170" s="121"/>
      <c r="AS170" s="121"/>
      <c r="AT170" s="121"/>
      <c r="AU170" s="121"/>
      <c r="AV170" s="121"/>
    </row>
    <row r="171" spans="1:48">
      <c r="A171" s="753" t="s">
        <v>208</v>
      </c>
      <c r="B171" s="753"/>
      <c r="C171" s="126">
        <f>SUM(C172,C175,C178)</f>
        <v>0</v>
      </c>
      <c r="D171" s="126">
        <f t="shared" ref="D171:AV171" si="17">SUM(D172,D175,D178)</f>
        <v>0</v>
      </c>
      <c r="E171" s="126">
        <f t="shared" si="17"/>
        <v>0</v>
      </c>
      <c r="F171" s="126">
        <f t="shared" si="17"/>
        <v>0</v>
      </c>
      <c r="G171" s="126">
        <f t="shared" si="17"/>
        <v>0</v>
      </c>
      <c r="H171" s="126">
        <f t="shared" si="17"/>
        <v>0</v>
      </c>
      <c r="I171" s="126">
        <f t="shared" si="17"/>
        <v>0</v>
      </c>
      <c r="J171" s="126">
        <f t="shared" si="17"/>
        <v>0</v>
      </c>
      <c r="K171" s="126">
        <f t="shared" si="17"/>
        <v>0</v>
      </c>
      <c r="L171" s="126">
        <f t="shared" si="17"/>
        <v>0</v>
      </c>
      <c r="M171" s="126">
        <f t="shared" si="17"/>
        <v>0</v>
      </c>
      <c r="N171" s="126">
        <f t="shared" si="17"/>
        <v>0</v>
      </c>
      <c r="O171" s="126">
        <f t="shared" si="17"/>
        <v>0</v>
      </c>
      <c r="P171" s="126">
        <f t="shared" si="17"/>
        <v>0</v>
      </c>
      <c r="Q171" s="126">
        <f t="shared" si="17"/>
        <v>0</v>
      </c>
      <c r="R171" s="126">
        <f t="shared" si="17"/>
        <v>0</v>
      </c>
      <c r="S171" s="126">
        <f t="shared" si="17"/>
        <v>0</v>
      </c>
      <c r="T171" s="126">
        <f t="shared" si="17"/>
        <v>0</v>
      </c>
      <c r="U171" s="126">
        <f t="shared" si="17"/>
        <v>0</v>
      </c>
      <c r="V171" s="126">
        <f t="shared" si="17"/>
        <v>0</v>
      </c>
      <c r="W171" s="126">
        <f t="shared" si="17"/>
        <v>0</v>
      </c>
      <c r="X171" s="126">
        <f t="shared" si="17"/>
        <v>0</v>
      </c>
      <c r="Y171" s="126">
        <f t="shared" si="17"/>
        <v>0</v>
      </c>
      <c r="Z171" s="126">
        <f t="shared" si="17"/>
        <v>0</v>
      </c>
      <c r="AA171" s="126">
        <f t="shared" si="17"/>
        <v>0</v>
      </c>
      <c r="AB171" s="126">
        <f t="shared" si="17"/>
        <v>0</v>
      </c>
      <c r="AC171" s="126">
        <f t="shared" si="17"/>
        <v>0</v>
      </c>
      <c r="AD171" s="126">
        <f t="shared" si="17"/>
        <v>0</v>
      </c>
      <c r="AE171" s="126">
        <f t="shared" si="17"/>
        <v>0</v>
      </c>
      <c r="AF171" s="126">
        <f t="shared" si="17"/>
        <v>0</v>
      </c>
      <c r="AG171" s="126">
        <f t="shared" si="17"/>
        <v>0</v>
      </c>
      <c r="AH171" s="126">
        <f t="shared" si="17"/>
        <v>0</v>
      </c>
      <c r="AI171" s="126">
        <f t="shared" si="17"/>
        <v>0</v>
      </c>
      <c r="AJ171" s="126">
        <f t="shared" si="17"/>
        <v>0</v>
      </c>
      <c r="AK171" s="126">
        <f t="shared" si="17"/>
        <v>0</v>
      </c>
      <c r="AL171" s="126">
        <f t="shared" si="17"/>
        <v>0</v>
      </c>
      <c r="AM171" s="126">
        <f t="shared" si="17"/>
        <v>0</v>
      </c>
      <c r="AN171" s="126">
        <f t="shared" si="17"/>
        <v>0</v>
      </c>
      <c r="AO171" s="126">
        <f t="shared" si="17"/>
        <v>0</v>
      </c>
      <c r="AP171" s="126">
        <f t="shared" si="17"/>
        <v>0</v>
      </c>
      <c r="AQ171" s="126">
        <f t="shared" si="17"/>
        <v>0</v>
      </c>
      <c r="AR171" s="126">
        <f t="shared" si="17"/>
        <v>0</v>
      </c>
      <c r="AS171" s="126">
        <f t="shared" si="17"/>
        <v>0</v>
      </c>
      <c r="AT171" s="126">
        <f t="shared" si="17"/>
        <v>0</v>
      </c>
      <c r="AU171" s="126">
        <f t="shared" si="17"/>
        <v>0</v>
      </c>
      <c r="AV171" s="126">
        <f t="shared" si="17"/>
        <v>0</v>
      </c>
    </row>
    <row r="172" spans="1:48">
      <c r="A172" s="754" t="s">
        <v>23</v>
      </c>
      <c r="B172" s="754"/>
      <c r="C172" s="127">
        <f>MAX(0,C174-C173)</f>
        <v>0</v>
      </c>
      <c r="D172" s="127">
        <f t="shared" ref="D172:AV172" si="18">MAX(0,D174-D173)</f>
        <v>0</v>
      </c>
      <c r="E172" s="127">
        <f t="shared" si="18"/>
        <v>0</v>
      </c>
      <c r="F172" s="127">
        <f t="shared" si="18"/>
        <v>0</v>
      </c>
      <c r="G172" s="127">
        <f t="shared" si="18"/>
        <v>0</v>
      </c>
      <c r="H172" s="127">
        <f t="shared" si="18"/>
        <v>0</v>
      </c>
      <c r="I172" s="127">
        <f t="shared" si="18"/>
        <v>0</v>
      </c>
      <c r="J172" s="127">
        <f t="shared" si="18"/>
        <v>0</v>
      </c>
      <c r="K172" s="127">
        <f t="shared" si="18"/>
        <v>0</v>
      </c>
      <c r="L172" s="127">
        <f t="shared" si="18"/>
        <v>0</v>
      </c>
      <c r="M172" s="127">
        <f t="shared" si="18"/>
        <v>0</v>
      </c>
      <c r="N172" s="127">
        <f t="shared" si="18"/>
        <v>0</v>
      </c>
      <c r="O172" s="127">
        <f t="shared" si="18"/>
        <v>0</v>
      </c>
      <c r="P172" s="127">
        <f t="shared" si="18"/>
        <v>0</v>
      </c>
      <c r="Q172" s="127">
        <f t="shared" si="18"/>
        <v>0</v>
      </c>
      <c r="R172" s="127">
        <f t="shared" si="18"/>
        <v>0</v>
      </c>
      <c r="S172" s="127">
        <f t="shared" si="18"/>
        <v>0</v>
      </c>
      <c r="T172" s="127">
        <f t="shared" si="18"/>
        <v>0</v>
      </c>
      <c r="U172" s="127">
        <f t="shared" si="18"/>
        <v>0</v>
      </c>
      <c r="V172" s="127">
        <f t="shared" si="18"/>
        <v>0</v>
      </c>
      <c r="W172" s="127">
        <f t="shared" si="18"/>
        <v>0</v>
      </c>
      <c r="X172" s="127">
        <f t="shared" si="18"/>
        <v>0</v>
      </c>
      <c r="Y172" s="127">
        <f t="shared" si="18"/>
        <v>0</v>
      </c>
      <c r="Z172" s="127">
        <f t="shared" si="18"/>
        <v>0</v>
      </c>
      <c r="AA172" s="127">
        <f t="shared" si="18"/>
        <v>0</v>
      </c>
      <c r="AB172" s="127">
        <f t="shared" si="18"/>
        <v>0</v>
      </c>
      <c r="AC172" s="127">
        <f t="shared" si="18"/>
        <v>0</v>
      </c>
      <c r="AD172" s="127">
        <f t="shared" si="18"/>
        <v>0</v>
      </c>
      <c r="AE172" s="127">
        <f t="shared" si="18"/>
        <v>0</v>
      </c>
      <c r="AF172" s="127">
        <f t="shared" si="18"/>
        <v>0</v>
      </c>
      <c r="AG172" s="127">
        <f t="shared" si="18"/>
        <v>0</v>
      </c>
      <c r="AH172" s="127">
        <f t="shared" si="18"/>
        <v>0</v>
      </c>
      <c r="AI172" s="127">
        <f t="shared" si="18"/>
        <v>0</v>
      </c>
      <c r="AJ172" s="127">
        <f t="shared" si="18"/>
        <v>0</v>
      </c>
      <c r="AK172" s="127">
        <f t="shared" si="18"/>
        <v>0</v>
      </c>
      <c r="AL172" s="127">
        <f t="shared" si="18"/>
        <v>0</v>
      </c>
      <c r="AM172" s="127">
        <f t="shared" si="18"/>
        <v>0</v>
      </c>
      <c r="AN172" s="127">
        <f t="shared" si="18"/>
        <v>0</v>
      </c>
      <c r="AO172" s="127">
        <f t="shared" si="18"/>
        <v>0</v>
      </c>
      <c r="AP172" s="127">
        <f t="shared" si="18"/>
        <v>0</v>
      </c>
      <c r="AQ172" s="127">
        <f t="shared" si="18"/>
        <v>0</v>
      </c>
      <c r="AR172" s="127">
        <f t="shared" si="18"/>
        <v>0</v>
      </c>
      <c r="AS172" s="127">
        <f t="shared" si="18"/>
        <v>0</v>
      </c>
      <c r="AT172" s="127">
        <f t="shared" si="18"/>
        <v>0</v>
      </c>
      <c r="AU172" s="127">
        <f t="shared" si="18"/>
        <v>0</v>
      </c>
      <c r="AV172" s="127">
        <f t="shared" si="18"/>
        <v>0</v>
      </c>
    </row>
    <row r="173" spans="1:48">
      <c r="A173" s="752" t="str">
        <f>'OSeMOSYS (Input)'!C4</f>
        <v>NetZero</v>
      </c>
      <c r="B173" s="752"/>
      <c r="C173" s="16" cm="1">
        <f t="array" ref="C173:AV173">(TRANSPOSE('FFRM (Input)'!H9:H54))
*IF('High Level Dashboard'!$B$5="Local Currency",'Financing Baseline'!$S$39:$BL$39/'Financing Baseline'!$S$38:$BL$38,'Financing Baseline'!$S$38:$BL$38)</f>
        <v>0</v>
      </c>
      <c r="D173" s="16">
        <v>0</v>
      </c>
      <c r="E173" s="16">
        <v>0</v>
      </c>
      <c r="F173" s="16">
        <v>0</v>
      </c>
      <c r="G173" s="16">
        <v>0</v>
      </c>
      <c r="H173" s="16">
        <v>0</v>
      </c>
      <c r="I173" s="16">
        <v>0</v>
      </c>
      <c r="J173" s="16">
        <v>0</v>
      </c>
      <c r="K173" s="16">
        <v>0</v>
      </c>
      <c r="L173" s="16">
        <v>0</v>
      </c>
      <c r="M173" s="16">
        <v>0</v>
      </c>
      <c r="N173" s="16">
        <v>0</v>
      </c>
      <c r="O173" s="16">
        <v>0</v>
      </c>
      <c r="P173" s="16">
        <v>0</v>
      </c>
      <c r="Q173" s="16">
        <v>0</v>
      </c>
      <c r="R173" s="16">
        <v>0</v>
      </c>
      <c r="S173" s="16">
        <v>0</v>
      </c>
      <c r="T173" s="16">
        <v>0</v>
      </c>
      <c r="U173" s="16">
        <v>0</v>
      </c>
      <c r="V173" s="16">
        <v>0</v>
      </c>
      <c r="W173" s="16">
        <v>0</v>
      </c>
      <c r="X173" s="16">
        <v>0</v>
      </c>
      <c r="Y173" s="16">
        <v>0</v>
      </c>
      <c r="Z173" s="16">
        <v>0</v>
      </c>
      <c r="AA173" s="16">
        <v>0</v>
      </c>
      <c r="AB173" s="16">
        <v>0</v>
      </c>
      <c r="AC173" s="16">
        <v>0</v>
      </c>
      <c r="AD173" s="16">
        <v>0</v>
      </c>
      <c r="AE173" s="16">
        <v>0</v>
      </c>
      <c r="AF173" s="16">
        <v>0</v>
      </c>
      <c r="AG173" s="16">
        <v>0</v>
      </c>
      <c r="AH173" s="16">
        <v>0</v>
      </c>
      <c r="AI173" s="16">
        <v>0</v>
      </c>
      <c r="AJ173" s="16">
        <v>0</v>
      </c>
      <c r="AK173" s="16">
        <v>0</v>
      </c>
      <c r="AL173" s="16">
        <v>0</v>
      </c>
      <c r="AM173" s="16">
        <v>0</v>
      </c>
      <c r="AN173" s="16">
        <v>0</v>
      </c>
      <c r="AO173" s="16">
        <v>0</v>
      </c>
      <c r="AP173" s="16">
        <v>0</v>
      </c>
      <c r="AQ173" s="16">
        <v>0</v>
      </c>
      <c r="AR173" s="16">
        <v>0</v>
      </c>
      <c r="AS173" s="16">
        <v>0</v>
      </c>
      <c r="AT173" s="16">
        <v>0</v>
      </c>
      <c r="AU173" s="16">
        <v>0</v>
      </c>
      <c r="AV173" s="16">
        <v>0</v>
      </c>
    </row>
    <row r="174" spans="1:48">
      <c r="A174" s="752" t="str">
        <f>'OSeMOSYS (Input)'!C5</f>
        <v>LeastCost</v>
      </c>
      <c r="B174" s="752"/>
      <c r="C174" s="16" cm="1">
        <f t="array" ref="C174:AV174">(TRANSPOSE('FFRM (Input)'!I9:I54))
*IF('High Level Dashboard'!$B$5="Local Currency",'Financing Baseline'!$S$39:$BL$39/'Financing Baseline'!$S$38:$BL$38,'Financing Baseline'!$S$38:$BL$38)</f>
        <v>0</v>
      </c>
      <c r="D174" s="16">
        <v>0</v>
      </c>
      <c r="E174" s="16">
        <v>0</v>
      </c>
      <c r="F174" s="16">
        <v>0</v>
      </c>
      <c r="G174" s="16">
        <v>0</v>
      </c>
      <c r="H174" s="16">
        <v>0</v>
      </c>
      <c r="I174" s="16">
        <v>0</v>
      </c>
      <c r="J174" s="16">
        <v>0</v>
      </c>
      <c r="K174" s="16">
        <v>0</v>
      </c>
      <c r="L174" s="16">
        <v>0</v>
      </c>
      <c r="M174" s="16">
        <v>0</v>
      </c>
      <c r="N174" s="16">
        <v>0</v>
      </c>
      <c r="O174" s="16">
        <v>0</v>
      </c>
      <c r="P174" s="16">
        <v>0</v>
      </c>
      <c r="Q174" s="16">
        <v>0</v>
      </c>
      <c r="R174" s="16">
        <v>0</v>
      </c>
      <c r="S174" s="16">
        <v>0</v>
      </c>
      <c r="T174" s="16">
        <v>0</v>
      </c>
      <c r="U174" s="16">
        <v>0</v>
      </c>
      <c r="V174" s="16">
        <v>0</v>
      </c>
      <c r="W174" s="16">
        <v>0</v>
      </c>
      <c r="X174" s="16">
        <v>0</v>
      </c>
      <c r="Y174" s="16">
        <v>0</v>
      </c>
      <c r="Z174" s="16">
        <v>0</v>
      </c>
      <c r="AA174" s="16">
        <v>0</v>
      </c>
      <c r="AB174" s="16">
        <v>0</v>
      </c>
      <c r="AC174" s="16">
        <v>0</v>
      </c>
      <c r="AD174" s="16">
        <v>0</v>
      </c>
      <c r="AE174" s="16">
        <v>0</v>
      </c>
      <c r="AF174" s="16">
        <v>0</v>
      </c>
      <c r="AG174" s="16">
        <v>0</v>
      </c>
      <c r="AH174" s="16">
        <v>0</v>
      </c>
      <c r="AI174" s="16">
        <v>0</v>
      </c>
      <c r="AJ174" s="16">
        <v>0</v>
      </c>
      <c r="AK174" s="16">
        <v>0</v>
      </c>
      <c r="AL174" s="16">
        <v>0</v>
      </c>
      <c r="AM174" s="16">
        <v>0</v>
      </c>
      <c r="AN174" s="16">
        <v>0</v>
      </c>
      <c r="AO174" s="16">
        <v>0</v>
      </c>
      <c r="AP174" s="16">
        <v>0</v>
      </c>
      <c r="AQ174" s="16">
        <v>0</v>
      </c>
      <c r="AR174" s="16">
        <v>0</v>
      </c>
      <c r="AS174" s="16">
        <v>0</v>
      </c>
      <c r="AT174" s="16">
        <v>0</v>
      </c>
      <c r="AU174" s="16">
        <v>0</v>
      </c>
      <c r="AV174" s="16">
        <v>0</v>
      </c>
    </row>
    <row r="175" spans="1:48">
      <c r="A175" s="754" t="s">
        <v>47</v>
      </c>
      <c r="B175" s="754"/>
      <c r="C175" s="127">
        <f>MAX(0, C177-C176)</f>
        <v>0</v>
      </c>
      <c r="D175" s="127">
        <f t="shared" ref="D175:AV175" si="19">MAX(0, D177-D176)</f>
        <v>0</v>
      </c>
      <c r="E175" s="127">
        <f t="shared" si="19"/>
        <v>0</v>
      </c>
      <c r="F175" s="127">
        <f t="shared" si="19"/>
        <v>0</v>
      </c>
      <c r="G175" s="127">
        <f t="shared" si="19"/>
        <v>0</v>
      </c>
      <c r="H175" s="127">
        <f t="shared" si="19"/>
        <v>0</v>
      </c>
      <c r="I175" s="127">
        <f t="shared" si="19"/>
        <v>0</v>
      </c>
      <c r="J175" s="127">
        <f t="shared" si="19"/>
        <v>0</v>
      </c>
      <c r="K175" s="127">
        <f t="shared" si="19"/>
        <v>0</v>
      </c>
      <c r="L175" s="127">
        <f t="shared" si="19"/>
        <v>0</v>
      </c>
      <c r="M175" s="127">
        <f t="shared" si="19"/>
        <v>0</v>
      </c>
      <c r="N175" s="127">
        <f t="shared" si="19"/>
        <v>0</v>
      </c>
      <c r="O175" s="127">
        <f t="shared" si="19"/>
        <v>0</v>
      </c>
      <c r="P175" s="127">
        <f t="shared" si="19"/>
        <v>0</v>
      </c>
      <c r="Q175" s="127">
        <f t="shared" si="19"/>
        <v>0</v>
      </c>
      <c r="R175" s="127">
        <f t="shared" si="19"/>
        <v>0</v>
      </c>
      <c r="S175" s="127">
        <f t="shared" si="19"/>
        <v>0</v>
      </c>
      <c r="T175" s="127">
        <f t="shared" si="19"/>
        <v>0</v>
      </c>
      <c r="U175" s="127">
        <f t="shared" si="19"/>
        <v>0</v>
      </c>
      <c r="V175" s="127">
        <f t="shared" si="19"/>
        <v>0</v>
      </c>
      <c r="W175" s="127">
        <f t="shared" si="19"/>
        <v>0</v>
      </c>
      <c r="X175" s="127">
        <f t="shared" si="19"/>
        <v>0</v>
      </c>
      <c r="Y175" s="127">
        <f t="shared" si="19"/>
        <v>0</v>
      </c>
      <c r="Z175" s="127">
        <f t="shared" si="19"/>
        <v>0</v>
      </c>
      <c r="AA175" s="127">
        <f t="shared" si="19"/>
        <v>0</v>
      </c>
      <c r="AB175" s="127">
        <f t="shared" si="19"/>
        <v>0</v>
      </c>
      <c r="AC175" s="127">
        <f t="shared" si="19"/>
        <v>0</v>
      </c>
      <c r="AD175" s="127">
        <f t="shared" si="19"/>
        <v>0</v>
      </c>
      <c r="AE175" s="127">
        <f t="shared" si="19"/>
        <v>0</v>
      </c>
      <c r="AF175" s="127">
        <f t="shared" si="19"/>
        <v>0</v>
      </c>
      <c r="AG175" s="127">
        <f t="shared" si="19"/>
        <v>0</v>
      </c>
      <c r="AH175" s="127">
        <f t="shared" si="19"/>
        <v>0</v>
      </c>
      <c r="AI175" s="127">
        <f t="shared" si="19"/>
        <v>0</v>
      </c>
      <c r="AJ175" s="127">
        <f t="shared" si="19"/>
        <v>0</v>
      </c>
      <c r="AK175" s="127">
        <f t="shared" si="19"/>
        <v>0</v>
      </c>
      <c r="AL175" s="127">
        <f t="shared" si="19"/>
        <v>0</v>
      </c>
      <c r="AM175" s="127">
        <f t="shared" si="19"/>
        <v>0</v>
      </c>
      <c r="AN175" s="127">
        <f t="shared" si="19"/>
        <v>0</v>
      </c>
      <c r="AO175" s="127">
        <f t="shared" si="19"/>
        <v>0</v>
      </c>
      <c r="AP175" s="127">
        <f t="shared" si="19"/>
        <v>0</v>
      </c>
      <c r="AQ175" s="127">
        <f t="shared" si="19"/>
        <v>0</v>
      </c>
      <c r="AR175" s="127">
        <f t="shared" si="19"/>
        <v>0</v>
      </c>
      <c r="AS175" s="127">
        <f t="shared" si="19"/>
        <v>0</v>
      </c>
      <c r="AT175" s="127">
        <f t="shared" si="19"/>
        <v>0</v>
      </c>
      <c r="AU175" s="127">
        <f t="shared" si="19"/>
        <v>0</v>
      </c>
      <c r="AV175" s="127">
        <f t="shared" si="19"/>
        <v>0</v>
      </c>
    </row>
    <row r="176" spans="1:48">
      <c r="A176" s="752" t="str">
        <f>'OSeMOSYS (Input)'!C4</f>
        <v>NetZero</v>
      </c>
      <c r="B176" s="752"/>
      <c r="C176" s="16" cm="1">
        <f t="array" ref="C176:AV176">(TRANSPOSE('FFRM (Input)'!E9:E54))
*IF('High Level Dashboard'!$B$5="Local Currency",'Financing Baseline'!$S$39:$BL$39/'Financing Baseline'!$S$38:$BL$38,'Financing Baseline'!$S$38:$BL$38)</f>
        <v>0</v>
      </c>
      <c r="D176" s="16">
        <v>0</v>
      </c>
      <c r="E176" s="16">
        <v>0</v>
      </c>
      <c r="F176" s="16">
        <v>0</v>
      </c>
      <c r="G176" s="16">
        <v>0</v>
      </c>
      <c r="H176" s="16">
        <v>0</v>
      </c>
      <c r="I176" s="16">
        <v>0</v>
      </c>
      <c r="J176" s="16">
        <v>0</v>
      </c>
      <c r="K176" s="16">
        <v>0</v>
      </c>
      <c r="L176" s="16">
        <v>0</v>
      </c>
      <c r="M176" s="16">
        <v>0</v>
      </c>
      <c r="N176" s="16">
        <v>0</v>
      </c>
      <c r="O176" s="16">
        <v>0</v>
      </c>
      <c r="P176" s="16">
        <v>0</v>
      </c>
      <c r="Q176" s="16">
        <v>0</v>
      </c>
      <c r="R176" s="16">
        <v>0</v>
      </c>
      <c r="S176" s="16">
        <v>0</v>
      </c>
      <c r="T176" s="16">
        <v>0</v>
      </c>
      <c r="U176" s="16">
        <v>0</v>
      </c>
      <c r="V176" s="16">
        <v>0</v>
      </c>
      <c r="W176" s="16">
        <v>0</v>
      </c>
      <c r="X176" s="16">
        <v>0</v>
      </c>
      <c r="Y176" s="16">
        <v>0</v>
      </c>
      <c r="Z176" s="16">
        <v>0</v>
      </c>
      <c r="AA176" s="16">
        <v>0</v>
      </c>
      <c r="AB176" s="16">
        <v>0</v>
      </c>
      <c r="AC176" s="16">
        <v>0</v>
      </c>
      <c r="AD176" s="16">
        <v>0</v>
      </c>
      <c r="AE176" s="16">
        <v>0</v>
      </c>
      <c r="AF176" s="16">
        <v>0</v>
      </c>
      <c r="AG176" s="16">
        <v>0</v>
      </c>
      <c r="AH176" s="16">
        <v>0</v>
      </c>
      <c r="AI176" s="16">
        <v>0</v>
      </c>
      <c r="AJ176" s="16">
        <v>0</v>
      </c>
      <c r="AK176" s="16">
        <v>0</v>
      </c>
      <c r="AL176" s="16">
        <v>0</v>
      </c>
      <c r="AM176" s="16">
        <v>0</v>
      </c>
      <c r="AN176" s="16">
        <v>0</v>
      </c>
      <c r="AO176" s="16">
        <v>0</v>
      </c>
      <c r="AP176" s="16">
        <v>0</v>
      </c>
      <c r="AQ176" s="16">
        <v>0</v>
      </c>
      <c r="AR176" s="16">
        <v>0</v>
      </c>
      <c r="AS176" s="16">
        <v>0</v>
      </c>
      <c r="AT176" s="16">
        <v>0</v>
      </c>
      <c r="AU176" s="16">
        <v>0</v>
      </c>
      <c r="AV176" s="16">
        <v>0</v>
      </c>
    </row>
    <row r="177" spans="1:48">
      <c r="A177" s="752" t="str">
        <f>'OSeMOSYS (Input)'!C5</f>
        <v>LeastCost</v>
      </c>
      <c r="B177" s="752"/>
      <c r="C177" s="16" cm="1">
        <f t="array" ref="C177:AV177">(TRANSPOSE('FFRM (Input)'!F9:F54))
*IF('High Level Dashboard'!$B$5="Local Currency",'Financing Baseline'!$S$39:$BL$39/'Financing Baseline'!$S$38:$BL$38,'Financing Baseline'!$S$38:$BL$38)</f>
        <v>0</v>
      </c>
      <c r="D177" s="16">
        <v>0</v>
      </c>
      <c r="E177" s="16">
        <v>0</v>
      </c>
      <c r="F177" s="16">
        <v>0</v>
      </c>
      <c r="G177" s="16">
        <v>0</v>
      </c>
      <c r="H177" s="16">
        <v>0</v>
      </c>
      <c r="I177" s="16">
        <v>0</v>
      </c>
      <c r="J177" s="16">
        <v>0</v>
      </c>
      <c r="K177" s="16">
        <v>0</v>
      </c>
      <c r="L177" s="16">
        <v>0</v>
      </c>
      <c r="M177" s="16">
        <v>0</v>
      </c>
      <c r="N177" s="16">
        <v>0</v>
      </c>
      <c r="O177" s="16">
        <v>0</v>
      </c>
      <c r="P177" s="16">
        <v>0</v>
      </c>
      <c r="Q177" s="16">
        <v>0</v>
      </c>
      <c r="R177" s="16">
        <v>0</v>
      </c>
      <c r="S177" s="16">
        <v>0</v>
      </c>
      <c r="T177" s="16">
        <v>0</v>
      </c>
      <c r="U177" s="16">
        <v>0</v>
      </c>
      <c r="V177" s="16">
        <v>0</v>
      </c>
      <c r="W177" s="16">
        <v>0</v>
      </c>
      <c r="X177" s="16">
        <v>0</v>
      </c>
      <c r="Y177" s="16">
        <v>0</v>
      </c>
      <c r="Z177" s="16">
        <v>0</v>
      </c>
      <c r="AA177" s="16">
        <v>0</v>
      </c>
      <c r="AB177" s="16">
        <v>0</v>
      </c>
      <c r="AC177" s="16">
        <v>0</v>
      </c>
      <c r="AD177" s="16">
        <v>0</v>
      </c>
      <c r="AE177" s="16">
        <v>0</v>
      </c>
      <c r="AF177" s="16">
        <v>0</v>
      </c>
      <c r="AG177" s="16">
        <v>0</v>
      </c>
      <c r="AH177" s="16">
        <v>0</v>
      </c>
      <c r="AI177" s="16">
        <v>0</v>
      </c>
      <c r="AJ177" s="16">
        <v>0</v>
      </c>
      <c r="AK177" s="16">
        <v>0</v>
      </c>
      <c r="AL177" s="16">
        <v>0</v>
      </c>
      <c r="AM177" s="16">
        <v>0</v>
      </c>
      <c r="AN177" s="16">
        <v>0</v>
      </c>
      <c r="AO177" s="16">
        <v>0</v>
      </c>
      <c r="AP177" s="16">
        <v>0</v>
      </c>
      <c r="AQ177" s="16">
        <v>0</v>
      </c>
      <c r="AR177" s="16">
        <v>0</v>
      </c>
      <c r="AS177" s="16">
        <v>0</v>
      </c>
      <c r="AT177" s="16">
        <v>0</v>
      </c>
      <c r="AU177" s="16">
        <v>0</v>
      </c>
      <c r="AV177" s="16">
        <v>0</v>
      </c>
    </row>
    <row r="178" spans="1:48">
      <c r="A178" s="754" t="s">
        <v>34</v>
      </c>
      <c r="B178" s="754"/>
      <c r="C178" s="127">
        <f>MAX(0, C180-C179)</f>
        <v>0</v>
      </c>
      <c r="D178" s="127">
        <f t="shared" ref="D178:AV178" si="20">MAX(0, D180-D179)</f>
        <v>0</v>
      </c>
      <c r="E178" s="127">
        <f t="shared" si="20"/>
        <v>0</v>
      </c>
      <c r="F178" s="127">
        <f t="shared" si="20"/>
        <v>0</v>
      </c>
      <c r="G178" s="127">
        <f t="shared" si="20"/>
        <v>0</v>
      </c>
      <c r="H178" s="127">
        <f t="shared" si="20"/>
        <v>0</v>
      </c>
      <c r="I178" s="127">
        <f t="shared" si="20"/>
        <v>0</v>
      </c>
      <c r="J178" s="127">
        <f t="shared" si="20"/>
        <v>0</v>
      </c>
      <c r="K178" s="127">
        <f t="shared" si="20"/>
        <v>0</v>
      </c>
      <c r="L178" s="127">
        <f t="shared" si="20"/>
        <v>0</v>
      </c>
      <c r="M178" s="127">
        <f t="shared" si="20"/>
        <v>0</v>
      </c>
      <c r="N178" s="127">
        <f t="shared" si="20"/>
        <v>0</v>
      </c>
      <c r="O178" s="127">
        <f t="shared" si="20"/>
        <v>0</v>
      </c>
      <c r="P178" s="127">
        <f t="shared" si="20"/>
        <v>0</v>
      </c>
      <c r="Q178" s="127">
        <f t="shared" si="20"/>
        <v>0</v>
      </c>
      <c r="R178" s="127">
        <f t="shared" si="20"/>
        <v>0</v>
      </c>
      <c r="S178" s="127">
        <f t="shared" si="20"/>
        <v>0</v>
      </c>
      <c r="T178" s="127">
        <f t="shared" si="20"/>
        <v>0</v>
      </c>
      <c r="U178" s="127">
        <f t="shared" si="20"/>
        <v>0</v>
      </c>
      <c r="V178" s="127">
        <f t="shared" si="20"/>
        <v>0</v>
      </c>
      <c r="W178" s="127">
        <f t="shared" si="20"/>
        <v>0</v>
      </c>
      <c r="X178" s="127">
        <f t="shared" si="20"/>
        <v>0</v>
      </c>
      <c r="Y178" s="127">
        <f t="shared" si="20"/>
        <v>0</v>
      </c>
      <c r="Z178" s="127">
        <f t="shared" si="20"/>
        <v>0</v>
      </c>
      <c r="AA178" s="127">
        <f t="shared" si="20"/>
        <v>0</v>
      </c>
      <c r="AB178" s="127">
        <f t="shared" si="20"/>
        <v>0</v>
      </c>
      <c r="AC178" s="127">
        <f t="shared" si="20"/>
        <v>0</v>
      </c>
      <c r="AD178" s="127">
        <f t="shared" si="20"/>
        <v>0</v>
      </c>
      <c r="AE178" s="127">
        <f t="shared" si="20"/>
        <v>0</v>
      </c>
      <c r="AF178" s="127">
        <f t="shared" si="20"/>
        <v>0</v>
      </c>
      <c r="AG178" s="127">
        <f t="shared" si="20"/>
        <v>0</v>
      </c>
      <c r="AH178" s="127">
        <f t="shared" si="20"/>
        <v>0</v>
      </c>
      <c r="AI178" s="127">
        <f t="shared" si="20"/>
        <v>0</v>
      </c>
      <c r="AJ178" s="127">
        <f t="shared" si="20"/>
        <v>0</v>
      </c>
      <c r="AK178" s="127">
        <f t="shared" si="20"/>
        <v>0</v>
      </c>
      <c r="AL178" s="127">
        <f t="shared" si="20"/>
        <v>0</v>
      </c>
      <c r="AM178" s="127">
        <f t="shared" si="20"/>
        <v>0</v>
      </c>
      <c r="AN178" s="127">
        <f t="shared" si="20"/>
        <v>0</v>
      </c>
      <c r="AO178" s="127">
        <f t="shared" si="20"/>
        <v>0</v>
      </c>
      <c r="AP178" s="127">
        <f t="shared" si="20"/>
        <v>0</v>
      </c>
      <c r="AQ178" s="127">
        <f t="shared" si="20"/>
        <v>0</v>
      </c>
      <c r="AR178" s="127">
        <f t="shared" si="20"/>
        <v>0</v>
      </c>
      <c r="AS178" s="127">
        <f t="shared" si="20"/>
        <v>0</v>
      </c>
      <c r="AT178" s="127">
        <f t="shared" si="20"/>
        <v>0</v>
      </c>
      <c r="AU178" s="127">
        <f t="shared" si="20"/>
        <v>0</v>
      </c>
      <c r="AV178" s="127">
        <f t="shared" si="20"/>
        <v>0</v>
      </c>
    </row>
    <row r="179" spans="1:48">
      <c r="A179" s="752" t="str">
        <f>'OSeMOSYS (Input)'!C4</f>
        <v>NetZero</v>
      </c>
      <c r="B179" s="752"/>
      <c r="C179" s="16" cm="1">
        <f t="array" ref="C179:AV179">(TRANSPOSE('FFRM (Input)'!B9:B54))
*IF('High Level Dashboard'!$B$5="Local Currency",'Financing Baseline'!$S$39:$BL$39/'Financing Baseline'!$S$38:$BL$38,'Financing Baseline'!$S$38:$BL$38)</f>
        <v>0</v>
      </c>
      <c r="D179" s="16">
        <v>0</v>
      </c>
      <c r="E179" s="16">
        <v>0</v>
      </c>
      <c r="F179" s="16">
        <v>0</v>
      </c>
      <c r="G179" s="16">
        <v>0</v>
      </c>
      <c r="H179" s="16">
        <v>0</v>
      </c>
      <c r="I179" s="16">
        <v>0</v>
      </c>
      <c r="J179" s="16">
        <v>0</v>
      </c>
      <c r="K179" s="16">
        <v>0</v>
      </c>
      <c r="L179" s="16">
        <v>0</v>
      </c>
      <c r="M179" s="16">
        <v>0</v>
      </c>
      <c r="N179" s="16">
        <v>0</v>
      </c>
      <c r="O179" s="16">
        <v>0</v>
      </c>
      <c r="P179" s="16">
        <v>0</v>
      </c>
      <c r="Q179" s="16">
        <v>0</v>
      </c>
      <c r="R179" s="16">
        <v>0</v>
      </c>
      <c r="S179" s="16">
        <v>0</v>
      </c>
      <c r="T179" s="16">
        <v>0</v>
      </c>
      <c r="U179" s="16">
        <v>0</v>
      </c>
      <c r="V179" s="16">
        <v>0</v>
      </c>
      <c r="W179" s="16">
        <v>0</v>
      </c>
      <c r="X179" s="16">
        <v>0</v>
      </c>
      <c r="Y179" s="16">
        <v>0</v>
      </c>
      <c r="Z179" s="16">
        <v>0</v>
      </c>
      <c r="AA179" s="16">
        <v>0</v>
      </c>
      <c r="AB179" s="16">
        <v>0</v>
      </c>
      <c r="AC179" s="16">
        <v>0</v>
      </c>
      <c r="AD179" s="16">
        <v>0</v>
      </c>
      <c r="AE179" s="16">
        <v>0</v>
      </c>
      <c r="AF179" s="16">
        <v>0</v>
      </c>
      <c r="AG179" s="16">
        <v>0</v>
      </c>
      <c r="AH179" s="16">
        <v>0</v>
      </c>
      <c r="AI179" s="16">
        <v>0</v>
      </c>
      <c r="AJ179" s="16">
        <v>0</v>
      </c>
      <c r="AK179" s="16">
        <v>0</v>
      </c>
      <c r="AL179" s="16">
        <v>0</v>
      </c>
      <c r="AM179" s="16">
        <v>0</v>
      </c>
      <c r="AN179" s="16">
        <v>0</v>
      </c>
      <c r="AO179" s="16">
        <v>0</v>
      </c>
      <c r="AP179" s="16">
        <v>0</v>
      </c>
      <c r="AQ179" s="16">
        <v>0</v>
      </c>
      <c r="AR179" s="16">
        <v>0</v>
      </c>
      <c r="AS179" s="16">
        <v>0</v>
      </c>
      <c r="AT179" s="16">
        <v>0</v>
      </c>
      <c r="AU179" s="16">
        <v>0</v>
      </c>
      <c r="AV179" s="16">
        <v>0</v>
      </c>
    </row>
    <row r="180" spans="1:48">
      <c r="A180" s="752" t="str">
        <f>'OSeMOSYS (Input)'!C5</f>
        <v>LeastCost</v>
      </c>
      <c r="B180" s="752"/>
      <c r="C180" s="16" cm="1">
        <f t="array" ref="C180:AV180">(TRANSPOSE('FFRM (Input)'!C9:C54))
*IF('High Level Dashboard'!$B$5="Local Currency",'Financing Baseline'!$S$39:$BL$39/'Financing Baseline'!$S$38:$BL$38,'Financing Baseline'!$S$38:$BL$38)</f>
        <v>0</v>
      </c>
      <c r="D180" s="16">
        <v>0</v>
      </c>
      <c r="E180" s="16">
        <v>0</v>
      </c>
      <c r="F180" s="16">
        <v>0</v>
      </c>
      <c r="G180" s="16">
        <v>0</v>
      </c>
      <c r="H180" s="16">
        <v>0</v>
      </c>
      <c r="I180" s="16">
        <v>0</v>
      </c>
      <c r="J180" s="16">
        <v>0</v>
      </c>
      <c r="K180" s="16">
        <v>0</v>
      </c>
      <c r="L180" s="16">
        <v>0</v>
      </c>
      <c r="M180" s="16">
        <v>0</v>
      </c>
      <c r="N180" s="16">
        <v>0</v>
      </c>
      <c r="O180" s="16">
        <v>0</v>
      </c>
      <c r="P180" s="16">
        <v>0</v>
      </c>
      <c r="Q180" s="16">
        <v>0</v>
      </c>
      <c r="R180" s="16">
        <v>0</v>
      </c>
      <c r="S180" s="16">
        <v>0</v>
      </c>
      <c r="T180" s="16">
        <v>0</v>
      </c>
      <c r="U180" s="16">
        <v>0</v>
      </c>
      <c r="V180" s="16">
        <v>0</v>
      </c>
      <c r="W180" s="16">
        <v>0</v>
      </c>
      <c r="X180" s="16">
        <v>0</v>
      </c>
      <c r="Y180" s="16">
        <v>0</v>
      </c>
      <c r="Z180" s="16">
        <v>0</v>
      </c>
      <c r="AA180" s="16">
        <v>0</v>
      </c>
      <c r="AB180" s="16">
        <v>0</v>
      </c>
      <c r="AC180" s="16">
        <v>0</v>
      </c>
      <c r="AD180" s="16">
        <v>0</v>
      </c>
      <c r="AE180" s="16">
        <v>0</v>
      </c>
      <c r="AF180" s="16">
        <v>0</v>
      </c>
      <c r="AG180" s="16">
        <v>0</v>
      </c>
      <c r="AH180" s="16">
        <v>0</v>
      </c>
      <c r="AI180" s="16">
        <v>0</v>
      </c>
      <c r="AJ180" s="16">
        <v>0</v>
      </c>
      <c r="AK180" s="16">
        <v>0</v>
      </c>
      <c r="AL180" s="16">
        <v>0</v>
      </c>
      <c r="AM180" s="16">
        <v>0</v>
      </c>
      <c r="AN180" s="16">
        <v>0</v>
      </c>
      <c r="AO180" s="16">
        <v>0</v>
      </c>
      <c r="AP180" s="16">
        <v>0</v>
      </c>
      <c r="AQ180" s="16">
        <v>0</v>
      </c>
      <c r="AR180" s="16">
        <v>0</v>
      </c>
      <c r="AS180" s="16">
        <v>0</v>
      </c>
      <c r="AT180" s="16">
        <v>0</v>
      </c>
      <c r="AU180" s="16">
        <v>0</v>
      </c>
      <c r="AV180" s="16">
        <v>0</v>
      </c>
    </row>
    <row r="181" spans="1:48">
      <c r="A181" s="3"/>
      <c r="B181" s="3"/>
    </row>
    <row r="182" spans="1:48" ht="42" customHeight="1">
      <c r="A182" s="570" t="s">
        <v>626</v>
      </c>
      <c r="B182" s="53"/>
      <c r="C182" s="53"/>
      <c r="D182" s="53"/>
      <c r="E182" s="53"/>
      <c r="F182" s="53"/>
      <c r="G182" s="53"/>
      <c r="H182" s="53"/>
      <c r="I182" s="53"/>
      <c r="J182" s="53"/>
      <c r="K182" s="53"/>
      <c r="L182" s="53"/>
      <c r="M182" s="53"/>
      <c r="N182" s="53"/>
      <c r="O182" s="53"/>
      <c r="P182" s="53"/>
      <c r="Q182" s="53"/>
      <c r="R182" s="53"/>
      <c r="S182" s="53"/>
      <c r="T182" s="53"/>
      <c r="U182" s="53"/>
      <c r="V182" s="53"/>
      <c r="W182" s="53"/>
      <c r="X182" s="53"/>
      <c r="Y182" s="53"/>
      <c r="Z182" s="53"/>
      <c r="AA182" s="53"/>
      <c r="AB182" s="53"/>
      <c r="AC182" s="53"/>
      <c r="AD182" s="53"/>
      <c r="AE182" s="53"/>
      <c r="AF182" s="53"/>
      <c r="AG182" s="53"/>
      <c r="AH182" s="53"/>
      <c r="AI182" s="53"/>
      <c r="AJ182" s="53"/>
      <c r="AK182" s="53"/>
      <c r="AL182" s="53"/>
      <c r="AM182" s="53"/>
      <c r="AN182" s="53"/>
      <c r="AO182" s="53"/>
      <c r="AP182" s="53"/>
      <c r="AQ182" s="53"/>
      <c r="AR182" s="53"/>
      <c r="AS182" s="53"/>
      <c r="AT182" s="53"/>
      <c r="AU182" s="53"/>
      <c r="AV182" s="53"/>
    </row>
    <row r="183" spans="1:48">
      <c r="A183" s="758" t="s">
        <v>627</v>
      </c>
      <c r="B183" s="758"/>
      <c r="C183" s="119">
        <f>SUM(C184,C186,C188,C190)</f>
        <v>0</v>
      </c>
      <c r="D183" s="119">
        <f>SUM(D184,D186,D188,D190)</f>
        <v>0</v>
      </c>
      <c r="E183" s="119">
        <f t="shared" ref="E183:AV183" si="21">SUM(E184,E186,E188,E190)</f>
        <v>0</v>
      </c>
      <c r="F183" s="119">
        <f t="shared" si="21"/>
        <v>0</v>
      </c>
      <c r="G183" s="119">
        <f t="shared" si="21"/>
        <v>0</v>
      </c>
      <c r="H183" s="119">
        <f t="shared" si="21"/>
        <v>2.6294000000000004</v>
      </c>
      <c r="I183" s="119">
        <f t="shared" si="21"/>
        <v>1.9559000000000004</v>
      </c>
      <c r="J183" s="119">
        <f t="shared" si="21"/>
        <v>2.4692999999999987</v>
      </c>
      <c r="K183" s="119">
        <f t="shared" si="21"/>
        <v>9.7174999999999976</v>
      </c>
      <c r="L183" s="119">
        <f>SUM(L184,L186,L188,L190)</f>
        <v>3.7867999999999999</v>
      </c>
      <c r="M183" s="119">
        <f t="shared" si="21"/>
        <v>6.1791</v>
      </c>
      <c r="N183" s="119">
        <f t="shared" si="21"/>
        <v>3.7812000000000001</v>
      </c>
      <c r="O183" s="119">
        <f t="shared" si="21"/>
        <v>5.2467000000000006</v>
      </c>
      <c r="P183" s="119">
        <f t="shared" si="21"/>
        <v>5.8192000000000004</v>
      </c>
      <c r="Q183" s="119">
        <f t="shared" si="21"/>
        <v>7.9206000000000003</v>
      </c>
      <c r="R183" s="119">
        <f t="shared" si="21"/>
        <v>5.5284999999999993</v>
      </c>
      <c r="S183" s="119">
        <f t="shared" si="21"/>
        <v>6.6779999999999999</v>
      </c>
      <c r="T183" s="119">
        <f t="shared" si="21"/>
        <v>8.8511999999999986</v>
      </c>
      <c r="U183" s="119">
        <f t="shared" si="21"/>
        <v>7.974400000000001</v>
      </c>
      <c r="V183" s="119">
        <f t="shared" si="21"/>
        <v>7.9916000000000009</v>
      </c>
      <c r="W183" s="119">
        <f t="shared" si="21"/>
        <v>8.8247</v>
      </c>
      <c r="X183" s="119">
        <f t="shared" si="21"/>
        <v>8.4078000000000017</v>
      </c>
      <c r="Y183" s="119">
        <f t="shared" si="21"/>
        <v>6.9456000000000007</v>
      </c>
      <c r="Z183" s="119">
        <f t="shared" si="21"/>
        <v>12.445800000000002</v>
      </c>
      <c r="AA183" s="119">
        <f t="shared" si="21"/>
        <v>14.672999999999998</v>
      </c>
      <c r="AB183" s="119">
        <f t="shared" si="21"/>
        <v>25.627099999999999</v>
      </c>
      <c r="AC183" s="119">
        <f t="shared" si="21"/>
        <v>21.354499999999998</v>
      </c>
      <c r="AD183" s="119">
        <f t="shared" si="21"/>
        <v>22.675999999999998</v>
      </c>
      <c r="AE183" s="119">
        <f t="shared" si="21"/>
        <v>26.034700000000001</v>
      </c>
      <c r="AF183" s="119">
        <f t="shared" si="21"/>
        <v>30.4391</v>
      </c>
      <c r="AG183" s="119">
        <f t="shared" si="21"/>
        <v>34.941099999999999</v>
      </c>
      <c r="AH183" s="119">
        <f t="shared" si="21"/>
        <v>43.381500000000003</v>
      </c>
      <c r="AI183" s="119">
        <f t="shared" si="21"/>
        <v>52.601500000000001</v>
      </c>
      <c r="AJ183" s="119">
        <f t="shared" si="21"/>
        <v>59.559799999999996</v>
      </c>
      <c r="AK183" s="119">
        <f t="shared" si="21"/>
        <v>67.494500000000002</v>
      </c>
      <c r="AL183" s="119">
        <f t="shared" si="21"/>
        <v>76.245000000000005</v>
      </c>
      <c r="AM183" s="119">
        <f t="shared" si="21"/>
        <v>84.471299999999999</v>
      </c>
      <c r="AN183" s="119">
        <f t="shared" si="21"/>
        <v>93.600799999999992</v>
      </c>
      <c r="AO183" s="119">
        <f t="shared" si="21"/>
        <v>103.1902</v>
      </c>
      <c r="AP183" s="119">
        <f t="shared" si="21"/>
        <v>111.27380000000001</v>
      </c>
      <c r="AQ183" s="119">
        <f>SUM(AQ184,AQ186,AQ188,AQ190)</f>
        <v>116.1024</v>
      </c>
      <c r="AR183" s="119">
        <f t="shared" si="21"/>
        <v>121.4919</v>
      </c>
      <c r="AS183" s="119">
        <f t="shared" si="21"/>
        <v>129.0093</v>
      </c>
      <c r="AT183" s="119">
        <f t="shared" si="21"/>
        <v>135.4324</v>
      </c>
      <c r="AU183" s="119">
        <f t="shared" si="21"/>
        <v>143.98820000000001</v>
      </c>
      <c r="AV183" s="119">
        <f t="shared" si="21"/>
        <v>152.54410000000001</v>
      </c>
    </row>
    <row r="184" spans="1:48">
      <c r="A184" s="759" t="s">
        <v>17</v>
      </c>
      <c r="B184" s="759"/>
      <c r="C184" s="120">
        <f>MAX(0, SUM(C185:C185))</f>
        <v>0</v>
      </c>
      <c r="D184" s="120">
        <f>MAX(0, SUM(D185:D185))</f>
        <v>0</v>
      </c>
      <c r="E184" s="120">
        <f t="shared" ref="E184:AV184" si="22">MAX(0, SUM(E185:E185))</f>
        <v>0</v>
      </c>
      <c r="F184" s="120">
        <f t="shared" si="22"/>
        <v>0</v>
      </c>
      <c r="G184" s="120">
        <f t="shared" si="22"/>
        <v>0</v>
      </c>
      <c r="H184" s="120">
        <f t="shared" si="22"/>
        <v>0</v>
      </c>
      <c r="I184" s="120">
        <f t="shared" si="22"/>
        <v>0</v>
      </c>
      <c r="J184" s="120">
        <f t="shared" si="22"/>
        <v>0</v>
      </c>
      <c r="K184" s="120">
        <f t="shared" si="22"/>
        <v>2.5309999999999997</v>
      </c>
      <c r="L184" s="120">
        <f t="shared" si="22"/>
        <v>0</v>
      </c>
      <c r="M184" s="120">
        <f t="shared" si="22"/>
        <v>0</v>
      </c>
      <c r="N184" s="120">
        <f t="shared" si="22"/>
        <v>0</v>
      </c>
      <c r="O184" s="120">
        <f t="shared" si="22"/>
        <v>1.2840000000000007</v>
      </c>
      <c r="P184" s="120">
        <f t="shared" si="22"/>
        <v>1.9260999999999999</v>
      </c>
      <c r="Q184" s="120">
        <f t="shared" si="22"/>
        <v>1.9260999999999999</v>
      </c>
      <c r="R184" s="120">
        <f t="shared" si="22"/>
        <v>1.9260999999999999</v>
      </c>
      <c r="S184" s="120">
        <f t="shared" si="22"/>
        <v>1.9260999999999999</v>
      </c>
      <c r="T184" s="120">
        <f t="shared" si="22"/>
        <v>1.9260999999999999</v>
      </c>
      <c r="U184" s="120">
        <f t="shared" si="22"/>
        <v>1.9261000000000008</v>
      </c>
      <c r="V184" s="120">
        <f t="shared" si="22"/>
        <v>1.9261000000000008</v>
      </c>
      <c r="W184" s="120">
        <f t="shared" si="22"/>
        <v>1.9261000000000008</v>
      </c>
      <c r="X184" s="120">
        <f t="shared" si="22"/>
        <v>1.9261000000000008</v>
      </c>
      <c r="Y184" s="120">
        <f t="shared" si="22"/>
        <v>1.9261000000000008</v>
      </c>
      <c r="Z184" s="120">
        <f t="shared" si="22"/>
        <v>7.0206000000000008</v>
      </c>
      <c r="AA184" s="120">
        <f t="shared" si="22"/>
        <v>9.1328999999999994</v>
      </c>
      <c r="AB184" s="120">
        <f t="shared" si="22"/>
        <v>17.5444</v>
      </c>
      <c r="AC184" s="120">
        <f t="shared" si="22"/>
        <v>18.186499999999999</v>
      </c>
      <c r="AD184" s="120">
        <f t="shared" si="22"/>
        <v>18.828499999999998</v>
      </c>
      <c r="AE184" s="120">
        <f t="shared" si="22"/>
        <v>19.470600000000001</v>
      </c>
      <c r="AF184" s="120">
        <f t="shared" si="22"/>
        <v>20.1126</v>
      </c>
      <c r="AG184" s="120">
        <f t="shared" si="22"/>
        <v>20.7547</v>
      </c>
      <c r="AH184" s="120">
        <f t="shared" si="22"/>
        <v>21.396699999999999</v>
      </c>
      <c r="AI184" s="120">
        <f t="shared" si="22"/>
        <v>22.038799999999998</v>
      </c>
      <c r="AJ184" s="120">
        <f t="shared" si="22"/>
        <v>22.680800000000001</v>
      </c>
      <c r="AK184" s="120">
        <f t="shared" si="22"/>
        <v>23.322800000000001</v>
      </c>
      <c r="AL184" s="120">
        <f t="shared" si="22"/>
        <v>23.9649</v>
      </c>
      <c r="AM184" s="120">
        <f t="shared" si="22"/>
        <v>24.6069</v>
      </c>
      <c r="AN184" s="120">
        <f t="shared" si="22"/>
        <v>25.248999999999999</v>
      </c>
      <c r="AO184" s="120">
        <f t="shared" si="22"/>
        <v>25.890999999999998</v>
      </c>
      <c r="AP184" s="120">
        <f t="shared" si="22"/>
        <v>26.533100000000001</v>
      </c>
      <c r="AQ184" s="120">
        <f t="shared" si="22"/>
        <v>26.34</v>
      </c>
      <c r="AR184" s="120">
        <f t="shared" si="22"/>
        <v>26.230599999999999</v>
      </c>
      <c r="AS184" s="120">
        <f t="shared" si="22"/>
        <v>26.485099999999999</v>
      </c>
      <c r="AT184" s="120">
        <f t="shared" si="22"/>
        <v>26.509499999999999</v>
      </c>
      <c r="AU184" s="120">
        <f t="shared" si="22"/>
        <v>26.900200000000002</v>
      </c>
      <c r="AV184" s="120">
        <f t="shared" si="22"/>
        <v>27.291</v>
      </c>
    </row>
    <row r="185" spans="1:48">
      <c r="A185" s="2" t="s">
        <v>628</v>
      </c>
      <c r="B185" t="s">
        <v>629</v>
      </c>
      <c r="C185" s="16" cm="1">
        <f t="array" ref="C185:AV185">(TRANSPOSE('OSeMOSYS (Input)'!AJ85:AJ130 - 'OSeMOSYS (Input)'!AJ21:AJ66))
*IF('High Level Dashboard'!$B$5="Local Currency",'Financing Baseline'!$S$39:$BL$39/'Financing Baseline'!$S$38:$BL$38,'Financing Baseline'!$S$38:$BL$38)</f>
        <v>0</v>
      </c>
      <c r="D185" s="16">
        <v>0</v>
      </c>
      <c r="E185" s="16">
        <v>0</v>
      </c>
      <c r="F185" s="16">
        <v>0</v>
      </c>
      <c r="G185" s="16">
        <v>0</v>
      </c>
      <c r="H185" s="16">
        <v>0</v>
      </c>
      <c r="I185" s="16">
        <v>0</v>
      </c>
      <c r="J185" s="16">
        <v>0</v>
      </c>
      <c r="K185" s="16">
        <v>2.5309999999999997</v>
      </c>
      <c r="L185" s="16">
        <v>0</v>
      </c>
      <c r="M185" s="16">
        <v>0</v>
      </c>
      <c r="N185" s="16">
        <v>0</v>
      </c>
      <c r="O185" s="16">
        <v>1.2840000000000007</v>
      </c>
      <c r="P185" s="16">
        <v>1.9260999999999999</v>
      </c>
      <c r="Q185" s="16">
        <v>1.9260999999999999</v>
      </c>
      <c r="R185" s="16">
        <v>1.9260999999999999</v>
      </c>
      <c r="S185" s="16">
        <v>1.9260999999999999</v>
      </c>
      <c r="T185" s="16">
        <v>1.9260999999999999</v>
      </c>
      <c r="U185" s="16">
        <v>1.9261000000000008</v>
      </c>
      <c r="V185" s="16">
        <v>1.9261000000000008</v>
      </c>
      <c r="W185" s="16">
        <v>1.9261000000000008</v>
      </c>
      <c r="X185" s="16">
        <v>1.9261000000000008</v>
      </c>
      <c r="Y185" s="16">
        <v>1.9261000000000008</v>
      </c>
      <c r="Z185" s="16">
        <v>7.0206000000000008</v>
      </c>
      <c r="AA185" s="16">
        <v>9.1328999999999994</v>
      </c>
      <c r="AB185" s="16">
        <v>17.5444</v>
      </c>
      <c r="AC185" s="16">
        <v>18.186499999999999</v>
      </c>
      <c r="AD185" s="16">
        <v>18.828499999999998</v>
      </c>
      <c r="AE185" s="16">
        <v>19.470600000000001</v>
      </c>
      <c r="AF185" s="16">
        <v>20.1126</v>
      </c>
      <c r="AG185" s="16">
        <v>20.7547</v>
      </c>
      <c r="AH185" s="16">
        <v>21.396699999999999</v>
      </c>
      <c r="AI185" s="16">
        <v>22.038799999999998</v>
      </c>
      <c r="AJ185" s="16">
        <v>22.680800000000001</v>
      </c>
      <c r="AK185" s="16">
        <v>23.322800000000001</v>
      </c>
      <c r="AL185" s="16">
        <v>23.9649</v>
      </c>
      <c r="AM185" s="16">
        <v>24.6069</v>
      </c>
      <c r="AN185" s="16">
        <v>25.248999999999999</v>
      </c>
      <c r="AO185" s="16">
        <v>25.890999999999998</v>
      </c>
      <c r="AP185" s="16">
        <v>26.533100000000001</v>
      </c>
      <c r="AQ185" s="16">
        <v>26.34</v>
      </c>
      <c r="AR185" s="16">
        <v>26.230599999999999</v>
      </c>
      <c r="AS185" s="16">
        <v>26.485099999999999</v>
      </c>
      <c r="AT185" s="16">
        <v>26.509499999999999</v>
      </c>
      <c r="AU185" s="16">
        <v>26.900200000000002</v>
      </c>
      <c r="AV185" s="16">
        <v>27.291</v>
      </c>
    </row>
    <row r="186" spans="1:48">
      <c r="A186" s="757" t="s">
        <v>23</v>
      </c>
      <c r="B186" s="757"/>
      <c r="C186" s="120">
        <f>MAX(0,SUM(C187:C187))</f>
        <v>0</v>
      </c>
      <c r="D186" s="120">
        <f t="shared" ref="D186:AV186" si="23">MAX(0,SUM(D187:D187))</f>
        <v>0</v>
      </c>
      <c r="E186" s="120">
        <f t="shared" si="23"/>
        <v>0</v>
      </c>
      <c r="F186" s="120">
        <f t="shared" si="23"/>
        <v>0</v>
      </c>
      <c r="G186" s="120">
        <f t="shared" si="23"/>
        <v>0</v>
      </c>
      <c r="H186" s="120">
        <f t="shared" si="23"/>
        <v>0</v>
      </c>
      <c r="I186" s="120">
        <f t="shared" si="23"/>
        <v>0</v>
      </c>
      <c r="J186" s="120">
        <f t="shared" si="23"/>
        <v>0</v>
      </c>
      <c r="K186" s="120">
        <f t="shared" si="23"/>
        <v>0</v>
      </c>
      <c r="L186" s="120">
        <f t="shared" si="23"/>
        <v>0</v>
      </c>
      <c r="M186" s="120">
        <f t="shared" si="23"/>
        <v>0</v>
      </c>
      <c r="N186" s="120">
        <f t="shared" si="23"/>
        <v>0</v>
      </c>
      <c r="O186" s="120">
        <f t="shared" si="23"/>
        <v>0</v>
      </c>
      <c r="P186" s="120">
        <f t="shared" si="23"/>
        <v>0</v>
      </c>
      <c r="Q186" s="120">
        <f t="shared" si="23"/>
        <v>0</v>
      </c>
      <c r="R186" s="120">
        <f t="shared" si="23"/>
        <v>0</v>
      </c>
      <c r="S186" s="120">
        <f t="shared" si="23"/>
        <v>0</v>
      </c>
      <c r="T186" s="120">
        <f t="shared" si="23"/>
        <v>0</v>
      </c>
      <c r="U186" s="120">
        <f t="shared" si="23"/>
        <v>0</v>
      </c>
      <c r="V186" s="120">
        <f t="shared" si="23"/>
        <v>0</v>
      </c>
      <c r="W186" s="120">
        <f t="shared" si="23"/>
        <v>0</v>
      </c>
      <c r="X186" s="120">
        <f t="shared" si="23"/>
        <v>0</v>
      </c>
      <c r="Y186" s="120">
        <f t="shared" si="23"/>
        <v>0</v>
      </c>
      <c r="Z186" s="120">
        <f t="shared" si="23"/>
        <v>0</v>
      </c>
      <c r="AA186" s="120">
        <f t="shared" si="23"/>
        <v>0</v>
      </c>
      <c r="AB186" s="120">
        <f t="shared" si="23"/>
        <v>0</v>
      </c>
      <c r="AC186" s="120">
        <f t="shared" si="23"/>
        <v>0</v>
      </c>
      <c r="AD186" s="120">
        <f t="shared" si="23"/>
        <v>0</v>
      </c>
      <c r="AE186" s="120">
        <f t="shared" si="23"/>
        <v>0</v>
      </c>
      <c r="AF186" s="120">
        <f t="shared" si="23"/>
        <v>0</v>
      </c>
      <c r="AG186" s="120">
        <f t="shared" si="23"/>
        <v>0</v>
      </c>
      <c r="AH186" s="120">
        <f t="shared" si="23"/>
        <v>0</v>
      </c>
      <c r="AI186" s="120">
        <f t="shared" si="23"/>
        <v>0</v>
      </c>
      <c r="AJ186" s="120">
        <f t="shared" si="23"/>
        <v>0</v>
      </c>
      <c r="AK186" s="120">
        <f t="shared" si="23"/>
        <v>0</v>
      </c>
      <c r="AL186" s="120">
        <f t="shared" si="23"/>
        <v>0</v>
      </c>
      <c r="AM186" s="120">
        <f t="shared" si="23"/>
        <v>0</v>
      </c>
      <c r="AN186" s="120">
        <f t="shared" si="23"/>
        <v>0</v>
      </c>
      <c r="AO186" s="120">
        <f t="shared" si="23"/>
        <v>0</v>
      </c>
      <c r="AP186" s="120">
        <f t="shared" si="23"/>
        <v>0</v>
      </c>
      <c r="AQ186" s="120">
        <f t="shared" si="23"/>
        <v>0</v>
      </c>
      <c r="AR186" s="120">
        <f t="shared" si="23"/>
        <v>0</v>
      </c>
      <c r="AS186" s="120">
        <f t="shared" si="23"/>
        <v>0</v>
      </c>
      <c r="AT186" s="120">
        <f t="shared" si="23"/>
        <v>0</v>
      </c>
      <c r="AU186" s="120">
        <f t="shared" si="23"/>
        <v>0</v>
      </c>
      <c r="AV186" s="120">
        <f t="shared" si="23"/>
        <v>0</v>
      </c>
    </row>
    <row r="187" spans="1:48">
      <c r="A187" s="2" t="s">
        <v>630</v>
      </c>
      <c r="B187" t="s">
        <v>631</v>
      </c>
      <c r="C187" s="16" cm="1">
        <f t="array" ref="C187:AV187">(TRANSPOSE('OSeMOSYS (Input)'!AK85:AK130 - 'OSeMOSYS (Input)'!AK21:AK66))
*IF('High Level Dashboard'!$B$5="Local Currency",'Financing Baseline'!$S$39:$BL$39/'Financing Baseline'!$S$38:$BL$38,'Financing Baseline'!$S$38:$BL$38)</f>
        <v>0</v>
      </c>
      <c r="D187" s="16">
        <v>0</v>
      </c>
      <c r="E187" s="16">
        <v>0</v>
      </c>
      <c r="F187" s="16">
        <v>0</v>
      </c>
      <c r="G187" s="16">
        <v>0</v>
      </c>
      <c r="H187" s="16">
        <v>0</v>
      </c>
      <c r="I187" s="16">
        <v>0</v>
      </c>
      <c r="J187" s="16">
        <v>0</v>
      </c>
      <c r="K187" s="16">
        <v>0</v>
      </c>
      <c r="L187" s="16">
        <v>0</v>
      </c>
      <c r="M187" s="16">
        <v>0</v>
      </c>
      <c r="N187" s="16">
        <v>0</v>
      </c>
      <c r="O187" s="16">
        <v>0</v>
      </c>
      <c r="P187" s="16">
        <v>0</v>
      </c>
      <c r="Q187" s="16">
        <v>0</v>
      </c>
      <c r="R187" s="16">
        <v>0</v>
      </c>
      <c r="S187" s="16">
        <v>0</v>
      </c>
      <c r="T187" s="16">
        <v>0</v>
      </c>
      <c r="U187" s="16">
        <v>0</v>
      </c>
      <c r="V187" s="16">
        <v>0</v>
      </c>
      <c r="W187" s="16">
        <v>0</v>
      </c>
      <c r="X187" s="16">
        <v>0</v>
      </c>
      <c r="Y187" s="16">
        <v>0</v>
      </c>
      <c r="Z187" s="16">
        <v>0</v>
      </c>
      <c r="AA187" s="16">
        <v>0</v>
      </c>
      <c r="AB187" s="16">
        <v>0</v>
      </c>
      <c r="AC187" s="16">
        <v>0</v>
      </c>
      <c r="AD187" s="16">
        <v>0</v>
      </c>
      <c r="AE187" s="16">
        <v>0</v>
      </c>
      <c r="AF187" s="16">
        <v>0</v>
      </c>
      <c r="AG187" s="16">
        <v>0</v>
      </c>
      <c r="AH187" s="16">
        <v>0</v>
      </c>
      <c r="AI187" s="16">
        <v>0</v>
      </c>
      <c r="AJ187" s="16">
        <v>0</v>
      </c>
      <c r="AK187" s="16">
        <v>0</v>
      </c>
      <c r="AL187" s="16">
        <v>0</v>
      </c>
      <c r="AM187" s="16">
        <v>0</v>
      </c>
      <c r="AN187" s="16">
        <v>0</v>
      </c>
      <c r="AO187" s="16">
        <v>0</v>
      </c>
      <c r="AP187" s="16">
        <v>0</v>
      </c>
      <c r="AQ187" s="16">
        <v>0</v>
      </c>
      <c r="AR187" s="16">
        <v>0</v>
      </c>
      <c r="AS187" s="16">
        <v>0</v>
      </c>
      <c r="AT187" s="16">
        <v>0</v>
      </c>
      <c r="AU187" s="16">
        <v>0</v>
      </c>
      <c r="AV187" s="16">
        <v>0</v>
      </c>
    </row>
    <row r="188" spans="1:48">
      <c r="A188" s="757" t="s">
        <v>34</v>
      </c>
      <c r="B188" s="757"/>
      <c r="C188" s="120">
        <f>(MAX(0,SUM(C189:C189)))</f>
        <v>0</v>
      </c>
      <c r="D188" s="120">
        <f t="shared" ref="D188:AV188" si="24">(MAX(0,SUM(D189:D189)))</f>
        <v>0</v>
      </c>
      <c r="E188" s="120">
        <f t="shared" si="24"/>
        <v>0</v>
      </c>
      <c r="F188" s="120">
        <f t="shared" si="24"/>
        <v>0</v>
      </c>
      <c r="G188" s="120">
        <f t="shared" si="24"/>
        <v>0</v>
      </c>
      <c r="H188" s="120">
        <f t="shared" si="24"/>
        <v>2.6294000000000004</v>
      </c>
      <c r="I188" s="120">
        <f t="shared" si="24"/>
        <v>1.8588000000000005</v>
      </c>
      <c r="J188" s="120">
        <f t="shared" si="24"/>
        <v>2.1133999999999986</v>
      </c>
      <c r="K188" s="120">
        <f t="shared" si="24"/>
        <v>6.5702999999999996</v>
      </c>
      <c r="L188" s="120">
        <f t="shared" si="24"/>
        <v>3.2035</v>
      </c>
      <c r="M188" s="120">
        <f t="shared" si="24"/>
        <v>2.8048999999999999</v>
      </c>
      <c r="N188" s="120">
        <f t="shared" si="24"/>
        <v>0</v>
      </c>
      <c r="O188" s="120">
        <f t="shared" si="24"/>
        <v>0</v>
      </c>
      <c r="P188" s="120">
        <f t="shared" si="24"/>
        <v>0</v>
      </c>
      <c r="Q188" s="120">
        <f t="shared" si="24"/>
        <v>0</v>
      </c>
      <c r="R188" s="120">
        <f t="shared" si="24"/>
        <v>0</v>
      </c>
      <c r="S188" s="120">
        <f t="shared" si="24"/>
        <v>0</v>
      </c>
      <c r="T188" s="120">
        <f t="shared" si="24"/>
        <v>0</v>
      </c>
      <c r="U188" s="120">
        <f t="shared" si="24"/>
        <v>0</v>
      </c>
      <c r="V188" s="120">
        <f t="shared" si="24"/>
        <v>0</v>
      </c>
      <c r="W188" s="120">
        <f t="shared" si="24"/>
        <v>0</v>
      </c>
      <c r="X188" s="120">
        <f t="shared" si="24"/>
        <v>0</v>
      </c>
      <c r="Y188" s="120">
        <f t="shared" si="24"/>
        <v>0</v>
      </c>
      <c r="Z188" s="120">
        <f t="shared" si="24"/>
        <v>0</v>
      </c>
      <c r="AA188" s="120">
        <f t="shared" si="24"/>
        <v>0</v>
      </c>
      <c r="AB188" s="120">
        <f t="shared" si="24"/>
        <v>0</v>
      </c>
      <c r="AC188" s="120">
        <f t="shared" si="24"/>
        <v>0</v>
      </c>
      <c r="AD188" s="120">
        <f t="shared" si="24"/>
        <v>0</v>
      </c>
      <c r="AE188" s="120">
        <f t="shared" si="24"/>
        <v>0</v>
      </c>
      <c r="AF188" s="120">
        <f t="shared" si="24"/>
        <v>0</v>
      </c>
      <c r="AG188" s="120">
        <f t="shared" si="24"/>
        <v>0</v>
      </c>
      <c r="AH188" s="120">
        <f t="shared" si="24"/>
        <v>0</v>
      </c>
      <c r="AI188" s="120">
        <f t="shared" si="24"/>
        <v>0</v>
      </c>
      <c r="AJ188" s="120">
        <f t="shared" si="24"/>
        <v>0</v>
      </c>
      <c r="AK188" s="120">
        <f t="shared" si="24"/>
        <v>0</v>
      </c>
      <c r="AL188" s="120">
        <f t="shared" si="24"/>
        <v>0</v>
      </c>
      <c r="AM188" s="120">
        <f t="shared" si="24"/>
        <v>0</v>
      </c>
      <c r="AN188" s="120">
        <f t="shared" si="24"/>
        <v>0</v>
      </c>
      <c r="AO188" s="120">
        <f t="shared" si="24"/>
        <v>0</v>
      </c>
      <c r="AP188" s="120">
        <f t="shared" si="24"/>
        <v>0</v>
      </c>
      <c r="AQ188" s="120">
        <f t="shared" si="24"/>
        <v>0</v>
      </c>
      <c r="AR188" s="120">
        <f t="shared" si="24"/>
        <v>0</v>
      </c>
      <c r="AS188" s="120">
        <f t="shared" si="24"/>
        <v>0</v>
      </c>
      <c r="AT188" s="120">
        <f t="shared" si="24"/>
        <v>0</v>
      </c>
      <c r="AU188" s="120">
        <f t="shared" si="24"/>
        <v>0</v>
      </c>
      <c r="AV188" s="120">
        <f t="shared" si="24"/>
        <v>0</v>
      </c>
    </row>
    <row r="189" spans="1:48">
      <c r="A189" s="2" t="s">
        <v>632</v>
      </c>
      <c r="B189" t="s">
        <v>633</v>
      </c>
      <c r="C189" s="16" cm="1">
        <f t="array" ref="C189:AV189">(TRANSPOSE('OSeMOSYS (Input)'!AL85:AL130 - 'OSeMOSYS (Input)'!AL21:AL66))
*IF('High Level Dashboard'!$B$5="Local Currency",'Financing Baseline'!$S$39:$BL$39/'Financing Baseline'!$S$38:$BL$38,'Financing Baseline'!$S$38:$BL$38)</f>
        <v>0</v>
      </c>
      <c r="D189" s="16">
        <v>0</v>
      </c>
      <c r="E189" s="16">
        <v>-4.6152000000000033</v>
      </c>
      <c r="F189" s="16">
        <v>-4.5099000000000018</v>
      </c>
      <c r="G189" s="16">
        <v>-3.5913000000000004</v>
      </c>
      <c r="H189" s="16">
        <v>2.6294000000000004</v>
      </c>
      <c r="I189" s="16">
        <v>1.8588000000000005</v>
      </c>
      <c r="J189" s="16">
        <v>2.1133999999999986</v>
      </c>
      <c r="K189" s="16">
        <v>6.5702999999999996</v>
      </c>
      <c r="L189" s="16">
        <v>3.2035</v>
      </c>
      <c r="M189" s="16">
        <v>2.8048999999999999</v>
      </c>
      <c r="N189" s="16">
        <v>0</v>
      </c>
      <c r="O189" s="16">
        <v>0</v>
      </c>
      <c r="P189" s="16">
        <v>0</v>
      </c>
      <c r="Q189" s="16">
        <v>0</v>
      </c>
      <c r="R189" s="16">
        <v>0</v>
      </c>
      <c r="S189" s="16">
        <v>0</v>
      </c>
      <c r="T189" s="16">
        <v>0</v>
      </c>
      <c r="U189" s="16">
        <v>0</v>
      </c>
      <c r="V189" s="16">
        <v>0</v>
      </c>
      <c r="W189" s="16">
        <v>0</v>
      </c>
      <c r="X189" s="16">
        <v>0</v>
      </c>
      <c r="Y189" s="16">
        <v>0</v>
      </c>
      <c r="Z189" s="16">
        <v>0</v>
      </c>
      <c r="AA189" s="16">
        <v>0</v>
      </c>
      <c r="AB189" s="16">
        <v>0</v>
      </c>
      <c r="AC189" s="16">
        <v>0</v>
      </c>
      <c r="AD189" s="16">
        <v>0</v>
      </c>
      <c r="AE189" s="16">
        <v>0</v>
      </c>
      <c r="AF189" s="16">
        <v>0</v>
      </c>
      <c r="AG189" s="16">
        <v>0</v>
      </c>
      <c r="AH189" s="16">
        <v>0</v>
      </c>
      <c r="AI189" s="16">
        <v>0</v>
      </c>
      <c r="AJ189" s="16">
        <v>0</v>
      </c>
      <c r="AK189" s="16">
        <v>0</v>
      </c>
      <c r="AL189" s="16">
        <v>0</v>
      </c>
      <c r="AM189" s="16">
        <v>0</v>
      </c>
      <c r="AN189" s="16">
        <v>0</v>
      </c>
      <c r="AO189" s="16">
        <v>0</v>
      </c>
      <c r="AP189" s="16">
        <v>0</v>
      </c>
      <c r="AQ189" s="16">
        <v>0</v>
      </c>
      <c r="AR189" s="16">
        <v>0</v>
      </c>
      <c r="AS189" s="16">
        <v>0</v>
      </c>
      <c r="AT189" s="16">
        <v>0</v>
      </c>
      <c r="AU189" s="16">
        <v>0</v>
      </c>
      <c r="AV189" s="16">
        <v>0</v>
      </c>
    </row>
    <row r="190" spans="1:48">
      <c r="A190" s="757" t="s">
        <v>47</v>
      </c>
      <c r="B190" s="757"/>
      <c r="C190" s="120">
        <f>MAX(0,SUM(C191:C191))</f>
        <v>0</v>
      </c>
      <c r="D190" s="120">
        <f t="shared" ref="D190:AV190" si="25">MAX(0,SUM(D191:D191))</f>
        <v>0</v>
      </c>
      <c r="E190" s="120">
        <f t="shared" si="25"/>
        <v>0</v>
      </c>
      <c r="F190" s="120">
        <f t="shared" si="25"/>
        <v>0</v>
      </c>
      <c r="G190" s="120">
        <f t="shared" si="25"/>
        <v>0</v>
      </c>
      <c r="H190" s="120">
        <f t="shared" si="25"/>
        <v>0</v>
      </c>
      <c r="I190" s="120">
        <f t="shared" si="25"/>
        <v>9.7100000000000006E-2</v>
      </c>
      <c r="J190" s="120">
        <f t="shared" si="25"/>
        <v>0.35589999999999999</v>
      </c>
      <c r="K190" s="120">
        <f t="shared" si="25"/>
        <v>0.61619999999999997</v>
      </c>
      <c r="L190" s="120">
        <f t="shared" si="25"/>
        <v>0.58330000000000004</v>
      </c>
      <c r="M190" s="120">
        <f t="shared" si="25"/>
        <v>3.3742000000000001</v>
      </c>
      <c r="N190" s="120">
        <f t="shared" si="25"/>
        <v>3.7812000000000001</v>
      </c>
      <c r="O190" s="120">
        <f t="shared" si="25"/>
        <v>3.9626999999999999</v>
      </c>
      <c r="P190" s="120">
        <f t="shared" si="25"/>
        <v>3.8931</v>
      </c>
      <c r="Q190" s="120">
        <f t="shared" si="25"/>
        <v>5.9945000000000004</v>
      </c>
      <c r="R190" s="120">
        <f t="shared" si="25"/>
        <v>3.6023999999999998</v>
      </c>
      <c r="S190" s="120">
        <f t="shared" si="25"/>
        <v>4.7519</v>
      </c>
      <c r="T190" s="120">
        <f t="shared" si="25"/>
        <v>6.9250999999999996</v>
      </c>
      <c r="U190" s="120">
        <f t="shared" si="25"/>
        <v>6.0483000000000002</v>
      </c>
      <c r="V190" s="120">
        <f t="shared" si="25"/>
        <v>6.0655000000000001</v>
      </c>
      <c r="W190" s="120">
        <f t="shared" si="25"/>
        <v>6.8986000000000001</v>
      </c>
      <c r="X190" s="120">
        <f t="shared" si="25"/>
        <v>6.4817</v>
      </c>
      <c r="Y190" s="120">
        <f t="shared" si="25"/>
        <v>5.0194999999999999</v>
      </c>
      <c r="Z190" s="120">
        <f t="shared" si="25"/>
        <v>5.4252000000000002</v>
      </c>
      <c r="AA190" s="120">
        <f t="shared" si="25"/>
        <v>5.5400999999999998</v>
      </c>
      <c r="AB190" s="120">
        <f t="shared" si="25"/>
        <v>8.0827000000000009</v>
      </c>
      <c r="AC190" s="120">
        <f t="shared" si="25"/>
        <v>3.1680000000000001</v>
      </c>
      <c r="AD190" s="120">
        <f t="shared" si="25"/>
        <v>3.8475000000000001</v>
      </c>
      <c r="AE190" s="120">
        <f t="shared" si="25"/>
        <v>6.5640999999999998</v>
      </c>
      <c r="AF190" s="120">
        <f t="shared" si="25"/>
        <v>10.326499999999999</v>
      </c>
      <c r="AG190" s="120">
        <f t="shared" si="25"/>
        <v>14.186400000000001</v>
      </c>
      <c r="AH190" s="120">
        <f t="shared" si="25"/>
        <v>21.9848</v>
      </c>
      <c r="AI190" s="120">
        <f t="shared" si="25"/>
        <v>30.5627</v>
      </c>
      <c r="AJ190" s="120">
        <f t="shared" si="25"/>
        <v>36.878999999999998</v>
      </c>
      <c r="AK190" s="120">
        <f t="shared" si="25"/>
        <v>44.171700000000001</v>
      </c>
      <c r="AL190" s="120">
        <f t="shared" si="25"/>
        <v>52.280099999999997</v>
      </c>
      <c r="AM190" s="120">
        <f t="shared" si="25"/>
        <v>59.864400000000003</v>
      </c>
      <c r="AN190" s="120">
        <f t="shared" si="25"/>
        <v>68.351799999999997</v>
      </c>
      <c r="AO190" s="120">
        <f t="shared" si="25"/>
        <v>77.299199999999999</v>
      </c>
      <c r="AP190" s="120">
        <f t="shared" si="25"/>
        <v>84.740700000000004</v>
      </c>
      <c r="AQ190" s="120">
        <f t="shared" si="25"/>
        <v>89.7624</v>
      </c>
      <c r="AR190" s="120">
        <f t="shared" si="25"/>
        <v>95.261300000000006</v>
      </c>
      <c r="AS190" s="120">
        <f t="shared" si="25"/>
        <v>102.52419999999999</v>
      </c>
      <c r="AT190" s="120">
        <f t="shared" si="25"/>
        <v>108.9229</v>
      </c>
      <c r="AU190" s="120">
        <f t="shared" si="25"/>
        <v>117.08799999999999</v>
      </c>
      <c r="AV190" s="120">
        <f t="shared" si="25"/>
        <v>125.2531</v>
      </c>
    </row>
    <row r="191" spans="1:48">
      <c r="A191" s="2" t="s">
        <v>634</v>
      </c>
      <c r="B191" t="s">
        <v>635</v>
      </c>
      <c r="C191" s="16" cm="1">
        <f t="array" ref="C191:AV191">(TRANSPOSE('OSeMOSYS (Input)'!AM85:AM130 - 'OSeMOSYS (Input)'!AM21:AM66))
*IF('High Level Dashboard'!$B$5="Local Currency",'Financing Baseline'!$S$39:$BL$39/'Financing Baseline'!$S$38:$BL$38,'Financing Baseline'!$S$38:$BL$38)</f>
        <v>0</v>
      </c>
      <c r="D191" s="16">
        <v>0</v>
      </c>
      <c r="E191" s="16">
        <v>0</v>
      </c>
      <c r="F191" s="16">
        <v>0</v>
      </c>
      <c r="G191" s="16">
        <v>0</v>
      </c>
      <c r="H191" s="16">
        <v>0</v>
      </c>
      <c r="I191" s="16">
        <v>9.7100000000000006E-2</v>
      </c>
      <c r="J191" s="16">
        <v>0.35589999999999999</v>
      </c>
      <c r="K191" s="16">
        <v>0.61619999999999997</v>
      </c>
      <c r="L191" s="16">
        <v>0.58330000000000004</v>
      </c>
      <c r="M191" s="16">
        <v>3.3742000000000001</v>
      </c>
      <c r="N191" s="16">
        <v>3.7812000000000001</v>
      </c>
      <c r="O191" s="16">
        <v>3.9626999999999999</v>
      </c>
      <c r="P191" s="16">
        <v>3.8931</v>
      </c>
      <c r="Q191" s="16">
        <v>5.9945000000000004</v>
      </c>
      <c r="R191" s="16">
        <v>3.6023999999999998</v>
      </c>
      <c r="S191" s="16">
        <v>4.7519</v>
      </c>
      <c r="T191" s="16">
        <v>6.9250999999999996</v>
      </c>
      <c r="U191" s="16">
        <v>6.0483000000000002</v>
      </c>
      <c r="V191" s="16">
        <v>6.0655000000000001</v>
      </c>
      <c r="W191" s="16">
        <v>6.8986000000000001</v>
      </c>
      <c r="X191" s="16">
        <v>6.4817</v>
      </c>
      <c r="Y191" s="16">
        <v>5.0194999999999999</v>
      </c>
      <c r="Z191" s="16">
        <v>5.4252000000000002</v>
      </c>
      <c r="AA191" s="16">
        <v>5.5400999999999998</v>
      </c>
      <c r="AB191" s="16">
        <v>8.0827000000000009</v>
      </c>
      <c r="AC191" s="16">
        <v>3.1680000000000001</v>
      </c>
      <c r="AD191" s="16">
        <v>3.8475000000000001</v>
      </c>
      <c r="AE191" s="16">
        <v>6.5640999999999998</v>
      </c>
      <c r="AF191" s="16">
        <v>10.326499999999999</v>
      </c>
      <c r="AG191" s="16">
        <v>14.186400000000001</v>
      </c>
      <c r="AH191" s="16">
        <v>21.9848</v>
      </c>
      <c r="AI191" s="16">
        <v>30.5627</v>
      </c>
      <c r="AJ191" s="16">
        <v>36.878999999999998</v>
      </c>
      <c r="AK191" s="16">
        <v>44.171700000000001</v>
      </c>
      <c r="AL191" s="16">
        <v>52.280099999999997</v>
      </c>
      <c r="AM191" s="16">
        <v>59.864400000000003</v>
      </c>
      <c r="AN191" s="16">
        <v>68.351799999999997</v>
      </c>
      <c r="AO191" s="16">
        <v>77.299199999999999</v>
      </c>
      <c r="AP191" s="16">
        <v>84.740700000000004</v>
      </c>
      <c r="AQ191" s="16">
        <v>89.7624</v>
      </c>
      <c r="AR191" s="16">
        <v>95.261300000000006</v>
      </c>
      <c r="AS191" s="16">
        <v>102.52419999999999</v>
      </c>
      <c r="AT191" s="16">
        <v>108.9229</v>
      </c>
      <c r="AU191" s="16">
        <v>117.08799999999999</v>
      </c>
      <c r="AV191" s="16">
        <v>125.2531</v>
      </c>
    </row>
    <row r="193" spans="1:48" ht="42" customHeight="1">
      <c r="A193" s="755" t="s">
        <v>636</v>
      </c>
      <c r="B193" s="755"/>
      <c r="C193" s="755"/>
      <c r="D193" s="755"/>
      <c r="E193" s="755"/>
      <c r="F193" s="755"/>
      <c r="G193" s="755"/>
      <c r="H193" s="755"/>
      <c r="I193" s="755"/>
      <c r="J193" s="755"/>
      <c r="K193" s="755"/>
      <c r="L193" s="755"/>
      <c r="M193" s="755"/>
      <c r="N193" s="755"/>
      <c r="O193" s="755"/>
      <c r="P193" s="755"/>
      <c r="Q193" s="755"/>
      <c r="R193" s="755"/>
      <c r="S193" s="755"/>
      <c r="T193" s="755"/>
      <c r="U193" s="755"/>
      <c r="V193" s="755"/>
      <c r="W193" s="755"/>
      <c r="X193" s="755"/>
      <c r="Y193" s="755"/>
      <c r="Z193" s="755"/>
      <c r="AA193" s="755"/>
      <c r="AB193" s="755"/>
      <c r="AC193" s="755"/>
      <c r="AD193" s="755"/>
      <c r="AE193" s="755"/>
      <c r="AF193" s="755"/>
      <c r="AG193" s="755"/>
      <c r="AH193" s="755"/>
      <c r="AI193" s="755"/>
      <c r="AJ193" s="755"/>
      <c r="AK193" s="755"/>
      <c r="AL193" s="755"/>
      <c r="AM193" s="755"/>
      <c r="AN193" s="755"/>
      <c r="AO193" s="755"/>
      <c r="AP193" s="755"/>
      <c r="AQ193" s="755"/>
      <c r="AR193" s="755"/>
      <c r="AS193" s="755"/>
      <c r="AT193" s="755"/>
      <c r="AU193" s="755"/>
      <c r="AV193" s="755"/>
    </row>
    <row r="194" spans="1:48">
      <c r="A194" s="756" t="s">
        <v>637</v>
      </c>
      <c r="B194" s="756"/>
      <c r="C194" s="553" cm="1">
        <f t="array" ref="C194:AV194">(TRANSPOSE('OSeMOSYS (Input)'!S139:S184)-TRANSPOSE('OSeMOSYS (Input)'!R139:R184))
*IF('High Level Dashboard'!$B$5="Local Currency",'Financing Baseline'!$S$39:$BL$39/'Financing Baseline'!$S$38:$BL$38,'Financing Baseline'!$S$38:$BL$38)</f>
        <v>0</v>
      </c>
      <c r="D194" s="118">
        <v>0</v>
      </c>
      <c r="E194" s="118">
        <v>-4.5999999999999985E-2</v>
      </c>
      <c r="F194" s="118">
        <v>-4.5000000000000012E-2</v>
      </c>
      <c r="G194" s="118">
        <v>-3.5799999999999998E-2</v>
      </c>
      <c r="H194" s="118">
        <v>2.6100000000000012E-2</v>
      </c>
      <c r="I194" s="118">
        <v>1.6500000000000015E-2</v>
      </c>
      <c r="J194" s="118">
        <v>2.0299999999999985E-2</v>
      </c>
      <c r="K194" s="118">
        <v>0.15039999999999998</v>
      </c>
      <c r="L194" s="118">
        <v>2.9799999999999993E-2</v>
      </c>
      <c r="M194" s="118">
        <v>4.3300000000000005E-2</v>
      </c>
      <c r="N194" s="118">
        <v>2.3299999999999987E-2</v>
      </c>
      <c r="O194" s="118">
        <v>7.1000000000000008E-2</v>
      </c>
      <c r="P194" s="118">
        <v>9.369999999999995E-2</v>
      </c>
      <c r="Q194" s="118">
        <v>0.10639999999999999</v>
      </c>
      <c r="R194" s="118">
        <v>9.1799999999999993E-2</v>
      </c>
      <c r="S194" s="118">
        <v>9.8799999999999999E-2</v>
      </c>
      <c r="T194" s="118">
        <v>0.11179999999999995</v>
      </c>
      <c r="U194" s="118">
        <v>0.10639999999999999</v>
      </c>
      <c r="V194" s="118">
        <v>0.10620000000000002</v>
      </c>
      <c r="W194" s="118">
        <v>0.11049999999999999</v>
      </c>
      <c r="X194" s="118">
        <v>0.10770000000000002</v>
      </c>
      <c r="Y194" s="118">
        <v>9.8899999999999988E-2</v>
      </c>
      <c r="Z194" s="118">
        <v>0.28599999999999998</v>
      </c>
      <c r="AA194" s="118">
        <v>0.36310000000000003</v>
      </c>
      <c r="AB194" s="118">
        <v>0.68120000000000003</v>
      </c>
      <c r="AC194" s="118">
        <v>0.67900000000000005</v>
      </c>
      <c r="AD194" s="118">
        <v>0.70599999999999996</v>
      </c>
      <c r="AE194" s="118">
        <v>0.74329999999999996</v>
      </c>
      <c r="AF194" s="118">
        <v>0.78590000000000004</v>
      </c>
      <c r="AG194" s="118">
        <v>0.82899999999999996</v>
      </c>
      <c r="AH194" s="118">
        <v>0.89749999999999996</v>
      </c>
      <c r="AI194" s="118">
        <v>0.97199999999999998</v>
      </c>
      <c r="AJ194" s="118">
        <v>1.0492999999999999</v>
      </c>
      <c r="AK194" s="118">
        <v>1.1368</v>
      </c>
      <c r="AL194" s="118">
        <v>1.2198</v>
      </c>
      <c r="AM194" s="118">
        <v>1.2932999999999999</v>
      </c>
      <c r="AN194" s="118">
        <v>1.3791</v>
      </c>
      <c r="AO194" s="118">
        <v>1.4714</v>
      </c>
      <c r="AP194" s="118">
        <v>1.5426</v>
      </c>
      <c r="AQ194" s="118">
        <v>1.5763</v>
      </c>
      <c r="AR194" s="118">
        <v>1.617</v>
      </c>
      <c r="AS194" s="118">
        <v>1.6862999999999999</v>
      </c>
      <c r="AT194" s="118">
        <v>1.7415</v>
      </c>
      <c r="AU194" s="118">
        <v>1.8198000000000001</v>
      </c>
      <c r="AV194" s="118">
        <v>1.8980999999999999</v>
      </c>
    </row>
    <row r="196" spans="1:48">
      <c r="C196" s="14"/>
    </row>
  </sheetData>
  <mergeCells count="73">
    <mergeCell ref="A193:AV193"/>
    <mergeCell ref="A194:B194"/>
    <mergeCell ref="A118:B118"/>
    <mergeCell ref="A121:B121"/>
    <mergeCell ref="A122:B122"/>
    <mergeCell ref="A123:B123"/>
    <mergeCell ref="A179:B179"/>
    <mergeCell ref="A180:B180"/>
    <mergeCell ref="A190:B190"/>
    <mergeCell ref="A183:B183"/>
    <mergeCell ref="A184:B184"/>
    <mergeCell ref="A186:B186"/>
    <mergeCell ref="A188:B188"/>
    <mergeCell ref="A172:B172"/>
    <mergeCell ref="A178:B178"/>
    <mergeCell ref="A174:B174"/>
    <mergeCell ref="A173:B173"/>
    <mergeCell ref="A124:B124"/>
    <mergeCell ref="A175:B175"/>
    <mergeCell ref="A125:B125"/>
    <mergeCell ref="A127:B127"/>
    <mergeCell ref="A126:B126"/>
    <mergeCell ref="A132:B132"/>
    <mergeCell ref="A171:B171"/>
    <mergeCell ref="A128:B128"/>
    <mergeCell ref="A129:B129"/>
    <mergeCell ref="A130:B130"/>
    <mergeCell ref="A131:B131"/>
    <mergeCell ref="A177:B177"/>
    <mergeCell ref="A176:B176"/>
    <mergeCell ref="A117:B117"/>
    <mergeCell ref="A120:B120"/>
    <mergeCell ref="A21:B21"/>
    <mergeCell ref="A22:B22"/>
    <mergeCell ref="A23:B23"/>
    <mergeCell ref="A24:B24"/>
    <mergeCell ref="A119:B119"/>
    <mergeCell ref="A25:B25"/>
    <mergeCell ref="A26:B26"/>
    <mergeCell ref="A27:B27"/>
    <mergeCell ref="A74:B74"/>
    <mergeCell ref="A75:B75"/>
    <mergeCell ref="A65:B65"/>
    <mergeCell ref="A71:B71"/>
    <mergeCell ref="A5:B5"/>
    <mergeCell ref="A6:B6"/>
    <mergeCell ref="A9:B9"/>
    <mergeCell ref="A12:B12"/>
    <mergeCell ref="A13:B13"/>
    <mergeCell ref="A7:B7"/>
    <mergeCell ref="A8:B8"/>
    <mergeCell ref="A14:B14"/>
    <mergeCell ref="A15:B15"/>
    <mergeCell ref="A16:B16"/>
    <mergeCell ref="A18:B18"/>
    <mergeCell ref="A78:B78"/>
    <mergeCell ref="A66:B66"/>
    <mergeCell ref="A67:B67"/>
    <mergeCell ref="A68:B68"/>
    <mergeCell ref="A76:B76"/>
    <mergeCell ref="A77:B77"/>
    <mergeCell ref="A69:B69"/>
    <mergeCell ref="A70:B70"/>
    <mergeCell ref="A72:B72"/>
    <mergeCell ref="A73:B73"/>
    <mergeCell ref="A28:B28"/>
    <mergeCell ref="A19:B19"/>
    <mergeCell ref="A20:B20"/>
    <mergeCell ref="A81:B81"/>
    <mergeCell ref="A133:B133"/>
    <mergeCell ref="A17:B17"/>
    <mergeCell ref="A79:B79"/>
    <mergeCell ref="A80:B80"/>
  </mergeCells>
  <phoneticPr fontId="24"/>
  <pageMargins left="0.7" right="0.7" top="0.75" bottom="0.75" header="0.3" footer="0.3"/>
  <pageSetup paperSize="9" orientation="portrait" r:id="rId1"/>
  <legacyDrawing r:id="rId2"/>
  <extLst>
    <ext xmlns:x14="http://schemas.microsoft.com/office/spreadsheetml/2009/9/main" uri="{78C0D931-6437-407d-A8EE-F0AAD7539E65}">
      <x14:conditionalFormattings>
        <x14:conditionalFormatting xmlns:xm="http://schemas.microsoft.com/office/excel/2006/main">
          <x14:cfRule type="expression" priority="1" id="{4A5EFF30-B777-4664-97F1-C67FD95A0EC5}">
            <xm:f>AND(ISNA(VLOOKUP($B134,Definitions!$K$17:$M$49,3,FALSE))=FALSE, VLOOKUP($B134,Definitions!$K$17:$M$49,3,FALSE)="Biomass")</xm:f>
            <x14:dxf>
              <font>
                <color theme="1" tint="0.499984740745262"/>
              </font>
              <fill>
                <patternFill>
                  <bgColor rgb="FFFFF9E7"/>
                </patternFill>
              </fill>
            </x14:dxf>
          </x14:cfRule>
          <x14:cfRule type="expression" priority="2" id="{92F4DE2E-6060-4A92-8477-E23D74F2A4EE}">
            <xm:f>AND(ISNA(VLOOKUP($B134,Definitions!$K$17:$M$49,3,FALSE))=FALSE, VLOOKUP($B134,Definitions!$K$17:$M$49,3,FALSE)="Geothermal")</xm:f>
            <x14:dxf>
              <font>
                <color theme="1" tint="0.499984740745262"/>
              </font>
              <fill>
                <patternFill>
                  <bgColor theme="4" tint="0.79998168889431442"/>
                </patternFill>
              </fill>
            </x14:dxf>
          </x14:cfRule>
          <x14:cfRule type="expression" priority="3" id="{BA7C64F7-8D5D-4EC0-9331-271F901F905C}">
            <xm:f>AND(ISNA(VLOOKUP($B134,Definitions!$K$17:$M$49,3,FALSE))=FALSE, VLOOKUP($B134,Definitions!$K$17:$M$49,3,FALSE)="Coal")</xm:f>
            <x14:dxf>
              <font>
                <color theme="1" tint="0.34998626667073579"/>
              </font>
              <fill>
                <patternFill>
                  <bgColor theme="7" tint="0.79998168889431442"/>
                </patternFill>
              </fill>
            </x14:dxf>
          </x14:cfRule>
          <x14:cfRule type="expression" priority="4" id="{1C2855D6-2545-409F-A9C5-45ABF1D51FEF}">
            <xm:f>AND(ISNA(VLOOKUP($B134,Definitions!$K$17:$M$49,3,FALSE))=FALSE, VLOOKUP($B134,Definitions!$K$17:$M$49,3,FALSE)="Oil")</xm:f>
            <x14:dxf>
              <font>
                <color theme="1" tint="0.499984740745262"/>
              </font>
              <fill>
                <patternFill>
                  <bgColor theme="7" tint="0.59996337778862885"/>
                </patternFill>
              </fill>
            </x14:dxf>
          </x14:cfRule>
          <x14:cfRule type="expression" priority="5" id="{BAB1ADFF-9332-431B-B023-18F062B632E6}">
            <xm:f>AND(ISNA(VLOOKUP($B134,Definitions!$K$17:$M$49,3,FALSE))=FALSE, VLOOKUP($B134,Definitions!$K$17:$M$49,3,FALSE)="Gas")</xm:f>
            <x14:dxf>
              <font>
                <color theme="1" tint="0.499984740745262"/>
              </font>
              <fill>
                <patternFill>
                  <bgColor theme="7" tint="0.39994506668294322"/>
                </patternFill>
              </fill>
            </x14:dxf>
          </x14:cfRule>
          <x14:cfRule type="expression" priority="6" id="{171E4371-9E63-4AC5-8C00-574EB02C7621}">
            <xm:f>AND(ISNA(VLOOKUP($B134,Definitions!$K$17:$M$49,3,FALSE))=FALSE, VLOOKUP($B134,Definitions!$K$17:$M$49,3,FALSE)="Solar PV")</xm:f>
            <x14:dxf>
              <font>
                <color theme="1" tint="0.499984740745262"/>
              </font>
              <fill>
                <patternFill>
                  <bgColor theme="4" tint="0.59996337778862885"/>
                </patternFill>
              </fill>
            </x14:dxf>
          </x14:cfRule>
          <x14:cfRule type="expression" priority="7" id="{A8B32328-14A5-4547-AEBD-514B63411143}">
            <xm:f>AND(ISNA(VLOOKUP($B134,Definitions!$K$17:$M$49,3,FALSE))=FALSE, VLOOKUP($B134,Definitions!$K$17:$M$49,3,FALSE)="CSP")</xm:f>
            <x14:dxf>
              <font>
                <color theme="1" tint="0.499984740745262"/>
              </font>
              <fill>
                <patternFill>
                  <bgColor theme="8" tint="0.39994506668294322"/>
                </patternFill>
              </fill>
            </x14:dxf>
          </x14:cfRule>
          <x14:cfRule type="expression" priority="8" id="{C84D1D10-1B18-414E-BF68-F009F7133E15}">
            <xm:f>AND(ISNA(VLOOKUP($B134,Definitions!$K$17:$M$49,3,FALSE))=FALSE, VLOOKUP($B134,Definitions!$K$17:$M$49,3,FALSE)="Hydropower")</xm:f>
            <x14:dxf>
              <font>
                <color theme="1" tint="0.499984740745262"/>
              </font>
              <fill>
                <patternFill>
                  <bgColor theme="8"/>
                </patternFill>
              </fill>
            </x14:dxf>
          </x14:cfRule>
          <x14:cfRule type="expression" priority="9" id="{2A96A315-C2B0-4BD8-A2CF-28C934FA8B69}">
            <xm:f>AND(ISNA(VLOOKUP($B134,Definitions!$K$17:$M$49,3,FALSE))=FALSE, VLOOKUP($B134,Definitions!$K$17:$M$49,3,FALSE)="Offshore Wind")</xm:f>
            <x14:dxf>
              <font>
                <color theme="1" tint="0.499984740745262"/>
              </font>
              <fill>
                <patternFill>
                  <bgColor theme="8" tint="-0.24994659260841701"/>
                </patternFill>
              </fill>
            </x14:dxf>
          </x14:cfRule>
          <x14:cfRule type="expression" priority="10" id="{2065AE60-52A6-408F-8BD7-A08401285E38}">
            <xm:f>AND(ISNA(VLOOKUP($B134,Definitions!$K$17:$M$49,3,FALSE))=FALSE, VLOOKUP($B134,Definitions!$K$17:$M$49,3,FALSE)="Onshore Wind")</xm:f>
            <x14:dxf>
              <font>
                <color theme="1" tint="0.499984740745262"/>
              </font>
              <fill>
                <patternFill>
                  <bgColor theme="8" tint="-0.499984740745262"/>
                </patternFill>
              </fill>
            </x14:dxf>
          </x14:cfRule>
          <x14:cfRule type="expression" priority="11" id="{DEC1C7B1-8E21-4E1B-A422-9AE63DAF6A63}">
            <xm:f>AND(ISNA(VLOOKUP($B134,Definitions!$K$17:$M$49,3,FALSE))=FALSE, VLOOKUP($B134,Definitions!$K$17:$M$49,3,FALSE)="Nuclear")</xm:f>
            <x14:dxf>
              <font>
                <color theme="1" tint="0.499984740745262"/>
              </font>
              <fill>
                <patternFill>
                  <bgColor theme="4" tint="-0.499984740745262"/>
                </patternFill>
              </fill>
            </x14:dxf>
          </x14:cfRule>
          <x14:cfRule type="expression" priority="12" id="{7A9E7637-9F65-419F-894C-53313E56F67A}">
            <xm:f>AND(ISNA(VLOOKUP($B134,Definitions!$K$17:$M$49,3,FALSE))=FALSE, VLOOKUP($B134,Definitions!$K$17:$M$49,3,FALSE)="Transmission")</xm:f>
            <x14:dxf>
              <font>
                <color theme="1" tint="0.499984740745262"/>
              </font>
              <fill>
                <patternFill>
                  <bgColor theme="2" tint="-0.24994659260841701"/>
                </patternFill>
              </fill>
            </x14:dxf>
          </x14:cfRule>
          <x14:cfRule type="expression" priority="13" id="{4BBDEC51-DB85-4D8D-84D2-DB1593D55732}">
            <xm:f>AND(ISNA(VLOOKUP($B134,Definitions!$K$17:$M$49,3,FALSE))=FALSE, VLOOKUP($B134,Definitions!$K$17:$M$49,3,FALSE)="Distribution")</xm:f>
            <x14:dxf>
              <font>
                <color theme="1" tint="0.499984740745262"/>
              </font>
              <fill>
                <patternFill>
                  <bgColor theme="2" tint="-0.499984740745262"/>
                </patternFill>
              </fill>
            </x14:dxf>
          </x14:cfRule>
          <x14:cfRule type="expression" priority="14" id="{2DDC542B-2AE8-4007-BEA0-B9D8792EDA43}">
            <xm:f>AND(ISNA(VLOOKUP($B134,Definitions!$K$17:$M$49,3,FALSE))=FALSE, VLOOKUP($B134,Definitions!$K$17:$M$49,3,FALSE)="Battery")</xm:f>
            <x14:dxf>
              <font>
                <color theme="1" tint="0.499984740745262"/>
              </font>
              <fill>
                <patternFill>
                  <bgColor theme="5" tint="0.39994506668294322"/>
                </patternFill>
              </fill>
            </x14:dxf>
          </x14:cfRule>
          <x14:cfRule type="expression" priority="15" id="{8AD59AD3-1920-47E2-82CB-436207368EF5}">
            <xm:f>AND(ISNA(VLOOKUP($B134,Definitions!$K$17:$M$49,3,FALSE))=FALSE, VLOOKUP($B134,Definitions!$K$17:$M$49,3,FALSE)="Other")</xm:f>
            <x14:dxf>
              <font>
                <color theme="1" tint="0.499984740745262"/>
              </font>
              <fill>
                <patternFill>
                  <bgColor theme="7"/>
                </patternFill>
              </fill>
            </x14:dxf>
          </x14:cfRule>
          <xm:sqref>A134:AV166</xm:sqref>
        </x14:conditionalFormatting>
      </x14:conditionalFormatting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4FE2B2-8285-45FB-B039-9F9D091FA434}">
  <sheetPr codeName="Sheet7">
    <tabColor theme="0" tint="-0.499984740745262"/>
  </sheetPr>
  <dimension ref="A1:BB213"/>
  <sheetViews>
    <sheetView showGridLines="0" topLeftCell="A136" zoomScale="55" zoomScaleNormal="55" workbookViewId="0">
      <selection activeCell="AF158" sqref="AF158"/>
    </sheetView>
  </sheetViews>
  <sheetFormatPr defaultColWidth="8.796875" defaultRowHeight="14.25" outlineLevelRow="1"/>
  <cols>
    <col min="1" max="1" width="14.19921875" customWidth="1"/>
    <col min="2" max="2" width="14.73046875" bestFit="1" customWidth="1"/>
    <col min="3" max="3" width="13.46484375" bestFit="1" customWidth="1"/>
    <col min="4" max="4" width="16.06640625" bestFit="1" customWidth="1"/>
    <col min="5" max="5" width="15.46484375" bestFit="1" customWidth="1"/>
    <col min="6" max="7" width="13.46484375" bestFit="1" customWidth="1"/>
    <col min="8" max="9" width="14.73046875" bestFit="1" customWidth="1"/>
    <col min="10" max="11" width="13.46484375" bestFit="1" customWidth="1"/>
    <col min="12" max="12" width="12.19921875" bestFit="1" customWidth="1"/>
    <col min="13" max="13" width="14.73046875" bestFit="1" customWidth="1"/>
    <col min="14" max="14" width="12" bestFit="1" customWidth="1"/>
    <col min="15" max="15" width="16.06640625" bestFit="1" customWidth="1"/>
    <col min="16" max="16" width="12.46484375" bestFit="1" customWidth="1"/>
    <col min="17" max="17" width="14.53125" bestFit="1" customWidth="1"/>
    <col min="18" max="18" width="12.46484375" bestFit="1" customWidth="1"/>
    <col min="19" max="19" width="14.73046875" bestFit="1" customWidth="1"/>
    <col min="20" max="20" width="16.06640625" bestFit="1" customWidth="1"/>
    <col min="21" max="21" width="16.796875" customWidth="1"/>
    <col min="22" max="22" width="11.46484375" bestFit="1" customWidth="1"/>
    <col min="23" max="23" width="14.19921875" customWidth="1"/>
    <col min="24" max="25" width="12.46484375" bestFit="1" customWidth="1"/>
    <col min="26" max="26" width="13.46484375" bestFit="1" customWidth="1"/>
    <col min="27" max="27" width="12.46484375" bestFit="1" customWidth="1"/>
    <col min="28" max="34" width="12.46484375" customWidth="1"/>
    <col min="35" max="36" width="9" bestFit="1" customWidth="1"/>
    <col min="37" max="37" width="10.46484375" customWidth="1"/>
    <col min="38" max="38" width="9" bestFit="1" customWidth="1"/>
    <col min="39" max="39" width="17.46484375" customWidth="1"/>
    <col min="40" max="40" width="9" bestFit="1" customWidth="1"/>
    <col min="42" max="42" width="13.46484375" customWidth="1"/>
  </cols>
  <sheetData>
    <row r="1" spans="1:54" ht="46.9">
      <c r="A1" s="498" t="s">
        <v>0</v>
      </c>
      <c r="B1" s="497"/>
      <c r="C1" s="497"/>
      <c r="D1" s="497"/>
      <c r="E1" s="497"/>
      <c r="F1" s="481"/>
      <c r="G1" s="481"/>
      <c r="H1" s="481"/>
      <c r="I1" s="481"/>
      <c r="J1" s="481"/>
      <c r="K1" s="481"/>
      <c r="L1" s="481"/>
      <c r="M1" s="481"/>
      <c r="N1" s="481"/>
      <c r="O1" s="481"/>
      <c r="P1" s="481"/>
      <c r="Q1" s="481"/>
      <c r="R1" s="481"/>
      <c r="S1" s="481"/>
      <c r="T1" s="481"/>
      <c r="U1" s="481"/>
      <c r="V1" s="481"/>
      <c r="W1" s="481"/>
      <c r="X1" s="481"/>
      <c r="Y1" s="481"/>
      <c r="Z1" s="481"/>
      <c r="AA1" s="481"/>
      <c r="AB1" s="481"/>
      <c r="AC1" s="481"/>
      <c r="AD1" s="481"/>
      <c r="AE1" s="481"/>
      <c r="AF1" s="481"/>
      <c r="AG1" s="481"/>
      <c r="AH1" s="481"/>
      <c r="AI1" s="481"/>
      <c r="AJ1" s="481"/>
      <c r="AK1" s="481"/>
      <c r="AL1" s="481"/>
      <c r="AM1" s="481"/>
      <c r="AN1" s="481"/>
      <c r="AO1" s="481"/>
      <c r="AP1" s="481"/>
      <c r="AQ1" s="481"/>
      <c r="AR1" s="481"/>
      <c r="AS1" s="481"/>
      <c r="AT1" s="481"/>
      <c r="AU1" s="481"/>
      <c r="AV1" s="481"/>
      <c r="AW1" s="481"/>
      <c r="AX1" s="481"/>
      <c r="AY1" s="481"/>
      <c r="AZ1" s="481"/>
      <c r="BA1" s="481"/>
      <c r="BB1" s="481"/>
    </row>
    <row r="2" spans="1:54" ht="25.5">
      <c r="A2" s="499" t="s">
        <v>638</v>
      </c>
      <c r="B2" s="497"/>
      <c r="C2" s="497"/>
      <c r="D2" s="497"/>
      <c r="E2" s="497"/>
      <c r="F2" s="481"/>
      <c r="G2" s="481"/>
      <c r="H2" s="481"/>
      <c r="I2" s="481"/>
      <c r="J2" s="481"/>
      <c r="K2" s="481"/>
      <c r="L2" s="481"/>
      <c r="M2" s="481"/>
      <c r="N2" s="481"/>
      <c r="O2" s="481"/>
      <c r="P2" s="481"/>
      <c r="Q2" s="481"/>
      <c r="R2" s="481"/>
      <c r="S2" s="481"/>
      <c r="T2" s="481"/>
      <c r="U2" s="481"/>
      <c r="V2" s="481"/>
      <c r="W2" s="481"/>
      <c r="X2" s="481"/>
      <c r="Y2" s="481"/>
      <c r="Z2" s="481"/>
      <c r="AA2" s="481"/>
      <c r="AB2" s="481"/>
      <c r="AC2" s="481"/>
      <c r="AD2" s="481"/>
      <c r="AE2" s="481"/>
      <c r="AF2" s="481"/>
      <c r="AG2" s="481"/>
      <c r="AH2" s="481"/>
      <c r="AI2" s="481"/>
      <c r="AJ2" s="481"/>
      <c r="AK2" s="481"/>
      <c r="AL2" s="481"/>
      <c r="AM2" s="481"/>
      <c r="AN2" s="481"/>
      <c r="AO2" s="481"/>
      <c r="AP2" s="481"/>
      <c r="AQ2" s="481"/>
      <c r="AR2" s="481"/>
      <c r="AS2" s="481"/>
      <c r="AT2" s="481"/>
      <c r="AU2" s="481"/>
      <c r="AV2" s="481"/>
      <c r="AW2" s="481"/>
      <c r="AX2" s="481"/>
      <c r="AY2" s="481"/>
      <c r="AZ2" s="481"/>
      <c r="BA2" s="481"/>
      <c r="BB2" s="481"/>
    </row>
    <row r="3" spans="1:54" ht="14.65" thickBot="1"/>
    <row r="4" spans="1:54">
      <c r="A4" s="760" t="s">
        <v>639</v>
      </c>
      <c r="B4" s="761"/>
      <c r="C4" s="531" t="str">
        <f>Definitions!E38</f>
        <v>NetZero</v>
      </c>
    </row>
    <row r="5" spans="1:54" ht="14.65" thickBot="1">
      <c r="A5" s="762" t="s">
        <v>640</v>
      </c>
      <c r="B5" s="763"/>
      <c r="C5" s="377" t="str">
        <f>Definitions!E39</f>
        <v>LeastCost</v>
      </c>
    </row>
    <row r="6" spans="1:54">
      <c r="A6" s="433"/>
      <c r="B6" s="433"/>
    </row>
    <row r="7" spans="1:54" ht="44.25" customHeight="1">
      <c r="A7" s="755" t="str">
        <f>"1)  "&amp;C4&amp;" OSeMOSYS Inputs"</f>
        <v>1)  NetZero OSeMOSYS Inputs</v>
      </c>
      <c r="B7" s="755"/>
      <c r="C7" s="755"/>
      <c r="D7" s="755"/>
      <c r="E7" s="755"/>
      <c r="F7" s="755"/>
      <c r="G7" s="755"/>
      <c r="H7" s="755"/>
      <c r="I7" s="755"/>
      <c r="J7" s="755"/>
      <c r="K7" s="755"/>
      <c r="L7" s="755"/>
      <c r="M7" s="755"/>
      <c r="N7" s="755"/>
      <c r="O7" s="755"/>
      <c r="P7" s="755"/>
      <c r="Q7" s="755"/>
      <c r="R7" s="755"/>
      <c r="S7" s="755"/>
      <c r="T7" s="755"/>
      <c r="U7" s="755"/>
      <c r="V7" s="755"/>
      <c r="W7" s="755"/>
      <c r="X7" s="755"/>
      <c r="Y7" s="755"/>
      <c r="Z7" s="755"/>
      <c r="AA7" s="755"/>
      <c r="AB7" s="755"/>
      <c r="AC7" s="755"/>
      <c r="AD7" s="755"/>
      <c r="AE7" s="755"/>
      <c r="AF7" s="755"/>
      <c r="AG7" s="755"/>
      <c r="AH7" s="755"/>
      <c r="AI7" s="755"/>
      <c r="AJ7" s="755"/>
      <c r="AK7" s="755"/>
      <c r="AL7" s="755"/>
      <c r="AM7" s="755"/>
      <c r="AN7" s="755"/>
    </row>
    <row r="8" spans="1:54" ht="29.25" customHeight="1">
      <c r="A8" s="94" t="str">
        <f>"From your "&amp;C4&amp;" scenario, copy and paste the results for each technology into the appropiate columns below."</f>
        <v>From your NetZero scenario, copy and paste the results for each technology into the appropiate columns below.</v>
      </c>
      <c r="AP8" s="502"/>
    </row>
    <row r="9" spans="1:54" ht="18">
      <c r="B9" s="765" t="s">
        <v>641</v>
      </c>
      <c r="C9" s="765"/>
      <c r="D9" s="765"/>
      <c r="E9" s="765"/>
      <c r="F9" s="765"/>
      <c r="G9" s="765"/>
      <c r="H9" s="765"/>
      <c r="I9" s="765"/>
      <c r="J9" s="765"/>
      <c r="K9" s="765"/>
      <c r="L9" s="765"/>
      <c r="M9" s="765"/>
      <c r="N9" s="765"/>
      <c r="O9" s="765"/>
      <c r="P9" s="765"/>
      <c r="Q9" s="765"/>
      <c r="R9" s="765"/>
      <c r="S9" s="765"/>
      <c r="T9" s="765"/>
      <c r="U9" s="765"/>
      <c r="V9" s="765"/>
      <c r="W9" s="765"/>
      <c r="X9" s="765"/>
      <c r="Y9" s="765"/>
      <c r="Z9" s="765"/>
      <c r="AA9" s="765"/>
      <c r="AB9" s="765"/>
      <c r="AC9" s="765"/>
      <c r="AD9" s="765"/>
      <c r="AE9" s="765"/>
      <c r="AF9" s="765"/>
      <c r="AG9" s="765"/>
      <c r="AH9" s="529"/>
      <c r="AJ9" s="765" t="s">
        <v>627</v>
      </c>
      <c r="AK9" s="765"/>
      <c r="AL9" s="765"/>
      <c r="AM9" s="765"/>
      <c r="AN9" s="4"/>
    </row>
    <row r="10" spans="1:54" s="2" customFormat="1">
      <c r="B10" s="555" t="str">
        <f>IF(Definitions!K17&lt;&gt;"", Definitions!K17, "")</f>
        <v>PWRBIO001</v>
      </c>
      <c r="C10" s="555" t="str">
        <f>IF(Definitions!K18&lt;&gt;"", Definitions!K18, "")</f>
        <v>PWRCOA001</v>
      </c>
      <c r="D10" s="555" t="str">
        <f>IF(Definitions!K19&lt;&gt;"", Definitions!K19, "")</f>
        <v>PWRGEO</v>
      </c>
      <c r="E10" s="555" t="str">
        <f>IF(Definitions!K20&lt;&gt;"", Definitions!K20, "")</f>
        <v>PWROHC001</v>
      </c>
      <c r="F10" s="555" t="str">
        <f>IF(Definitions!K21&lt;&gt;"", Definitions!K21, "")</f>
        <v>PWROHC002</v>
      </c>
      <c r="G10" s="555" t="str">
        <f>IF(Definitions!K22&lt;&gt;"", Definitions!K22, "")</f>
        <v>PWRNGS001</v>
      </c>
      <c r="H10" s="555" t="str">
        <f>IF(Definitions!K23&lt;&gt;"", Definitions!K23, "")</f>
        <v>PWRNGS002</v>
      </c>
      <c r="I10" s="555" t="str">
        <f>IF(Definitions!K24&lt;&gt;"", Definitions!K24, "")</f>
        <v>PWRSOL001</v>
      </c>
      <c r="J10" s="555" t="str">
        <f>IF(Definitions!K25&lt;&gt;"", Definitions!K25, "")</f>
        <v>PWRCSP001</v>
      </c>
      <c r="K10" s="555" t="str">
        <f>IF(Definitions!K26&lt;&gt;"", Definitions!K26, "")</f>
        <v>PWRCSP002</v>
      </c>
      <c r="L10" s="555" t="str">
        <f>IF(Definitions!K27&lt;&gt;"", Definitions!K27, "")</f>
        <v>PWRHYD001</v>
      </c>
      <c r="M10" s="555" t="str">
        <f>IF(Definitions!K28&lt;&gt;"", Definitions!K28, "")</f>
        <v>PWRHYD002</v>
      </c>
      <c r="N10" s="555" t="str">
        <f>IF(Definitions!K29&lt;&gt;"", Definitions!K29, "")</f>
        <v>PWRHYD003</v>
      </c>
      <c r="O10" s="555" t="str">
        <f>IF(Definitions!K30&lt;&gt;"", Definitions!K30, "")</f>
        <v>PWRWND001</v>
      </c>
      <c r="P10" s="555" t="str">
        <f>IF(Definitions!K31&lt;&gt;"", Definitions!K31, "")</f>
        <v>PWRWND002</v>
      </c>
      <c r="Q10" s="555" t="str">
        <f>IF(Definitions!K32&lt;&gt;"", Definitions!K32, "")</f>
        <v>PWRNUC</v>
      </c>
      <c r="R10" s="555" t="str">
        <f>IF(Definitions!K33&lt;&gt;"", Definitions!K33, "")</f>
        <v>PWRTRN</v>
      </c>
      <c r="S10" s="555" t="str">
        <f>IF(Definitions!K34&lt;&gt;"", Definitions!K34, "")</f>
        <v>PWRDIST</v>
      </c>
      <c r="T10" s="555" t="str">
        <f>IF(Definitions!K35&lt;&gt;"", Definitions!K35, "")</f>
        <v>PWROHC003</v>
      </c>
      <c r="U10" s="555" t="str">
        <f>IF(Definitions!K36&lt;&gt;"", Definitions!K36, "")</f>
        <v>PWRSOL002</v>
      </c>
      <c r="V10" s="555" t="str">
        <f>IF(Definitions!K37&lt;&gt;"", Definitions!K37, "")</f>
        <v>PWRHYD004</v>
      </c>
      <c r="W10" s="555" t="str">
        <f>IF(Definitions!K38&lt;&gt;"", Definitions!K38, "")</f>
        <v>PWRSOL001S</v>
      </c>
      <c r="X10" s="555" t="str">
        <f>IF(Definitions!K39&lt;&gt;"", Definitions!K39, "")</f>
        <v>PWRWND001S</v>
      </c>
      <c r="Y10" s="555" t="str">
        <f>IF(Definitions!K40&lt;&gt;"", Definitions!K40, "")</f>
        <v>BESS</v>
      </c>
      <c r="Z10" s="555" t="str">
        <f>IF(Definitions!K41&lt;&gt;"", Definitions!K41, "")</f>
        <v/>
      </c>
      <c r="AA10" s="555" t="str">
        <f>IF(Definitions!K42&lt;&gt;"", Definitions!K42, "")</f>
        <v/>
      </c>
      <c r="AB10" s="556" t="str">
        <f>IF(Definitions!K43&lt;&gt;"", Definitions!K43, "")</f>
        <v/>
      </c>
      <c r="AC10" s="556" t="str">
        <f>IF(Definitions!K44&lt;&gt;"", Definitions!K44, "")</f>
        <v/>
      </c>
      <c r="AD10" s="556" t="str">
        <f>IF(Definitions!K45&lt;&gt;"", Definitions!K45, "")</f>
        <v/>
      </c>
      <c r="AE10" s="556" t="str">
        <f>IF(Definitions!K46&lt;&gt;"", Definitions!K46, "")</f>
        <v/>
      </c>
      <c r="AF10" s="556" t="str">
        <f>IF(Definitions!K47&lt;&gt;"", Definitions!K47, "")</f>
        <v/>
      </c>
      <c r="AG10" s="556" t="str">
        <f>IF(Definitions!K48&lt;&gt;"", Definitions!K48, "")</f>
        <v/>
      </c>
      <c r="AH10" s="556" t="str">
        <f>IF(Definitions!K49&lt;&gt;"", Definitions!K49, "")</f>
        <v/>
      </c>
      <c r="AI10"/>
      <c r="AJ10" s="557" t="s">
        <v>628</v>
      </c>
      <c r="AK10" s="557" t="s">
        <v>630</v>
      </c>
      <c r="AL10" s="557" t="s">
        <v>632</v>
      </c>
      <c r="AM10" s="557" t="s">
        <v>642</v>
      </c>
      <c r="AN10" s="316" t="s">
        <v>643</v>
      </c>
      <c r="AO10"/>
      <c r="AP10"/>
      <c r="AQ10"/>
      <c r="AR10"/>
      <c r="AS10"/>
      <c r="AT10" s="41"/>
      <c r="AU10"/>
      <c r="AV10"/>
      <c r="AW10"/>
      <c r="AX10"/>
      <c r="AY10"/>
      <c r="AZ10"/>
      <c r="BA10"/>
    </row>
    <row r="11" spans="1:54" ht="15.75" outlineLevel="1">
      <c r="A11" s="559">
        <v>2015</v>
      </c>
      <c r="B11" s="582">
        <v>0</v>
      </c>
      <c r="C11" s="582">
        <v>0</v>
      </c>
      <c r="D11" s="582">
        <v>0</v>
      </c>
      <c r="E11" s="582"/>
      <c r="F11" s="582"/>
      <c r="G11" s="582"/>
      <c r="H11" s="582">
        <v>0</v>
      </c>
      <c r="I11" s="582">
        <v>0</v>
      </c>
      <c r="J11" s="582"/>
      <c r="K11" s="582"/>
      <c r="L11" s="582"/>
      <c r="M11" s="582">
        <v>0</v>
      </c>
      <c r="N11" s="582"/>
      <c r="O11" s="582">
        <v>0</v>
      </c>
      <c r="P11" s="582"/>
      <c r="Q11" s="582">
        <v>0</v>
      </c>
      <c r="R11" s="582"/>
      <c r="S11" s="582">
        <v>0</v>
      </c>
      <c r="T11" s="582">
        <v>0</v>
      </c>
      <c r="U11" s="582"/>
      <c r="V11" s="582"/>
      <c r="W11" s="582"/>
      <c r="X11" s="582"/>
      <c r="Y11" s="582"/>
      <c r="Z11" s="582"/>
      <c r="AA11" s="582"/>
      <c r="AB11" s="582"/>
      <c r="AC11" s="582"/>
      <c r="AD11" s="582"/>
      <c r="AE11" s="582"/>
      <c r="AF11" s="582"/>
      <c r="AG11" s="582"/>
      <c r="AH11" s="582"/>
      <c r="AJ11" s="582">
        <v>0</v>
      </c>
      <c r="AK11" s="582">
        <v>0</v>
      </c>
      <c r="AL11" s="582">
        <v>0</v>
      </c>
      <c r="AM11" s="582">
        <v>0</v>
      </c>
      <c r="AN11" s="4">
        <f>SUM(AJ11:AM11)</f>
        <v>0</v>
      </c>
    </row>
    <row r="12" spans="1:54" ht="15.75" outlineLevel="1">
      <c r="A12" s="559">
        <v>2016</v>
      </c>
      <c r="B12" s="582">
        <v>0</v>
      </c>
      <c r="C12" s="582"/>
      <c r="D12" s="582">
        <v>0</v>
      </c>
      <c r="E12" s="582"/>
      <c r="F12" s="582"/>
      <c r="G12" s="582"/>
      <c r="H12" s="582">
        <v>0</v>
      </c>
      <c r="I12" s="582">
        <v>0</v>
      </c>
      <c r="J12" s="582"/>
      <c r="K12" s="582"/>
      <c r="L12" s="582"/>
      <c r="M12" s="582">
        <v>0</v>
      </c>
      <c r="N12" s="582"/>
      <c r="O12" s="582">
        <v>0</v>
      </c>
      <c r="P12" s="582"/>
      <c r="Q12" s="582">
        <v>0</v>
      </c>
      <c r="R12" s="582"/>
      <c r="S12" s="582">
        <v>0</v>
      </c>
      <c r="T12" s="582">
        <v>0</v>
      </c>
      <c r="U12" s="582"/>
      <c r="V12" s="582"/>
      <c r="W12" s="582"/>
      <c r="X12" s="582"/>
      <c r="Y12" s="582"/>
      <c r="Z12" s="582"/>
      <c r="AA12" s="582"/>
      <c r="AB12" s="582"/>
      <c r="AC12" s="582"/>
      <c r="AD12" s="582"/>
      <c r="AE12" s="582"/>
      <c r="AF12" s="582"/>
      <c r="AG12" s="582"/>
      <c r="AH12" s="582"/>
      <c r="AJ12" s="582">
        <v>0</v>
      </c>
      <c r="AK12" s="582">
        <v>0</v>
      </c>
      <c r="AL12" s="582">
        <v>0</v>
      </c>
      <c r="AM12" s="582">
        <v>0</v>
      </c>
      <c r="AN12" s="4">
        <f t="shared" ref="AN12:AN66" si="0">SUM(AJ12:AM12)</f>
        <v>0</v>
      </c>
    </row>
    <row r="13" spans="1:54" ht="15.75" outlineLevel="1">
      <c r="A13" s="559">
        <v>2017</v>
      </c>
      <c r="B13" s="582">
        <v>0</v>
      </c>
      <c r="C13" s="582"/>
      <c r="D13" s="582">
        <v>0</v>
      </c>
      <c r="E13" s="582"/>
      <c r="F13" s="582"/>
      <c r="G13" s="582"/>
      <c r="H13" s="582">
        <v>0</v>
      </c>
      <c r="I13" s="582">
        <v>0</v>
      </c>
      <c r="J13" s="582"/>
      <c r="K13" s="582"/>
      <c r="L13" s="582"/>
      <c r="M13" s="582">
        <v>0</v>
      </c>
      <c r="N13" s="582"/>
      <c r="O13" s="582">
        <v>0</v>
      </c>
      <c r="P13" s="582"/>
      <c r="Q13" s="582">
        <v>0</v>
      </c>
      <c r="R13" s="582"/>
      <c r="S13" s="582">
        <v>0</v>
      </c>
      <c r="T13" s="582">
        <v>0</v>
      </c>
      <c r="U13" s="582"/>
      <c r="V13" s="582"/>
      <c r="W13" s="582"/>
      <c r="X13" s="582"/>
      <c r="Y13" s="582"/>
      <c r="Z13" s="582"/>
      <c r="AA13" s="582"/>
      <c r="AB13" s="582"/>
      <c r="AC13" s="582"/>
      <c r="AD13" s="582"/>
      <c r="AE13" s="582"/>
      <c r="AF13" s="582"/>
      <c r="AG13" s="582"/>
      <c r="AH13" s="582"/>
      <c r="AJ13" s="582">
        <v>0</v>
      </c>
      <c r="AK13" s="582">
        <v>0</v>
      </c>
      <c r="AL13" s="582">
        <v>0</v>
      </c>
      <c r="AM13" s="582">
        <v>0</v>
      </c>
      <c r="AN13" s="4">
        <f t="shared" si="0"/>
        <v>0</v>
      </c>
      <c r="AQ13" s="2"/>
    </row>
    <row r="14" spans="1:54" ht="15.75" outlineLevel="1">
      <c r="A14" s="559">
        <v>2018</v>
      </c>
      <c r="B14" s="582">
        <v>0</v>
      </c>
      <c r="C14" s="582"/>
      <c r="D14" s="582">
        <v>0</v>
      </c>
      <c r="E14" s="582"/>
      <c r="F14" s="582"/>
      <c r="G14" s="582"/>
      <c r="H14" s="582">
        <v>0</v>
      </c>
      <c r="I14" s="582">
        <v>0</v>
      </c>
      <c r="J14" s="582"/>
      <c r="K14" s="582"/>
      <c r="L14" s="582"/>
      <c r="M14" s="582">
        <v>0</v>
      </c>
      <c r="N14" s="582"/>
      <c r="O14" s="582">
        <v>0</v>
      </c>
      <c r="P14" s="582"/>
      <c r="Q14" s="582">
        <v>0</v>
      </c>
      <c r="R14" s="582"/>
      <c r="S14" s="582">
        <v>0</v>
      </c>
      <c r="T14" s="582">
        <v>0</v>
      </c>
      <c r="U14" s="582"/>
      <c r="V14" s="582"/>
      <c r="W14" s="582"/>
      <c r="X14" s="582"/>
      <c r="Y14" s="582"/>
      <c r="Z14" s="582"/>
      <c r="AA14" s="582"/>
      <c r="AB14" s="582"/>
      <c r="AC14" s="582"/>
      <c r="AD14" s="582"/>
      <c r="AE14" s="582"/>
      <c r="AF14" s="582"/>
      <c r="AG14" s="582"/>
      <c r="AH14" s="582"/>
      <c r="AJ14" s="582">
        <v>0</v>
      </c>
      <c r="AK14" s="582">
        <v>0</v>
      </c>
      <c r="AL14" s="582">
        <v>0</v>
      </c>
      <c r="AM14" s="582">
        <v>0</v>
      </c>
      <c r="AN14" s="4">
        <f t="shared" si="0"/>
        <v>0</v>
      </c>
      <c r="AQ14" s="2"/>
    </row>
    <row r="15" spans="1:54" ht="15.75" outlineLevel="1">
      <c r="A15" s="559">
        <v>2019</v>
      </c>
      <c r="B15" s="582">
        <v>0</v>
      </c>
      <c r="C15" s="582"/>
      <c r="D15" s="582">
        <v>0</v>
      </c>
      <c r="E15" s="582"/>
      <c r="F15" s="582"/>
      <c r="G15" s="582"/>
      <c r="H15" s="582">
        <v>0</v>
      </c>
      <c r="I15" s="582">
        <v>0</v>
      </c>
      <c r="J15" s="582"/>
      <c r="K15" s="582"/>
      <c r="L15" s="582"/>
      <c r="M15" s="582">
        <v>0</v>
      </c>
      <c r="N15" s="582"/>
      <c r="O15" s="582">
        <v>0</v>
      </c>
      <c r="P15" s="582"/>
      <c r="Q15" s="582">
        <v>0</v>
      </c>
      <c r="R15" s="582"/>
      <c r="S15" s="582">
        <v>138.1155</v>
      </c>
      <c r="T15" s="582">
        <v>734.31439999999998</v>
      </c>
      <c r="U15" s="582"/>
      <c r="V15" s="582"/>
      <c r="W15" s="582"/>
      <c r="X15" s="582"/>
      <c r="Y15" s="582"/>
      <c r="Z15" s="582"/>
      <c r="AA15" s="582"/>
      <c r="AB15" s="582"/>
      <c r="AC15" s="582"/>
      <c r="AD15" s="582"/>
      <c r="AE15" s="582"/>
      <c r="AF15" s="582"/>
      <c r="AG15" s="582"/>
      <c r="AH15" s="582"/>
      <c r="AJ15" s="582">
        <v>0.14430000000000001</v>
      </c>
      <c r="AK15" s="582">
        <v>0</v>
      </c>
      <c r="AL15" s="582">
        <v>84.217600000000004</v>
      </c>
      <c r="AM15" s="582">
        <v>0</v>
      </c>
      <c r="AN15" s="4">
        <f t="shared" si="0"/>
        <v>84.361900000000006</v>
      </c>
      <c r="AQ15" s="2"/>
      <c r="AT15" s="41"/>
    </row>
    <row r="16" spans="1:54" ht="15.75" outlineLevel="1">
      <c r="A16" s="559">
        <v>2020</v>
      </c>
      <c r="B16" s="582">
        <v>0</v>
      </c>
      <c r="C16" s="582"/>
      <c r="D16" s="582">
        <v>0</v>
      </c>
      <c r="E16" s="582"/>
      <c r="F16" s="582"/>
      <c r="G16" s="582"/>
      <c r="H16" s="582">
        <v>0</v>
      </c>
      <c r="I16" s="582">
        <v>0</v>
      </c>
      <c r="J16" s="582"/>
      <c r="K16" s="582"/>
      <c r="L16" s="582"/>
      <c r="M16" s="582">
        <v>0</v>
      </c>
      <c r="N16" s="582"/>
      <c r="O16" s="582">
        <v>0</v>
      </c>
      <c r="P16" s="582"/>
      <c r="Q16" s="582">
        <v>0</v>
      </c>
      <c r="R16" s="582"/>
      <c r="S16" s="582">
        <v>12.554500000000001</v>
      </c>
      <c r="T16" s="582">
        <v>82.323400000000007</v>
      </c>
      <c r="U16" s="582"/>
      <c r="V16" s="582"/>
      <c r="W16" s="582"/>
      <c r="X16" s="582"/>
      <c r="Y16" s="582"/>
      <c r="Z16" s="582"/>
      <c r="AA16" s="582"/>
      <c r="AB16" s="582"/>
      <c r="AC16" s="582"/>
      <c r="AD16" s="582"/>
      <c r="AE16" s="582"/>
      <c r="AF16" s="582"/>
      <c r="AG16" s="582"/>
      <c r="AH16" s="582"/>
      <c r="AJ16" s="582">
        <v>0.14430000000000001</v>
      </c>
      <c r="AK16" s="582">
        <v>0</v>
      </c>
      <c r="AL16" s="582">
        <v>96.112399999999994</v>
      </c>
      <c r="AM16" s="582">
        <v>0</v>
      </c>
      <c r="AN16" s="4">
        <f t="shared" si="0"/>
        <v>96.256699999999995</v>
      </c>
      <c r="AQ16" s="2"/>
      <c r="AT16" s="41"/>
    </row>
    <row r="17" spans="1:46" ht="15.75" outlineLevel="1">
      <c r="A17" s="559">
        <v>2021</v>
      </c>
      <c r="B17" s="582">
        <v>0</v>
      </c>
      <c r="C17" s="582"/>
      <c r="D17" s="582">
        <v>0</v>
      </c>
      <c r="E17" s="582"/>
      <c r="F17" s="582"/>
      <c r="G17" s="582"/>
      <c r="H17" s="582">
        <v>0</v>
      </c>
      <c r="I17" s="582">
        <v>101.9736</v>
      </c>
      <c r="J17" s="582"/>
      <c r="K17" s="582"/>
      <c r="L17" s="582"/>
      <c r="M17" s="582">
        <v>0</v>
      </c>
      <c r="N17" s="582"/>
      <c r="O17" s="582">
        <v>178.26599999999999</v>
      </c>
      <c r="P17" s="582"/>
      <c r="Q17" s="582">
        <v>0</v>
      </c>
      <c r="R17" s="582"/>
      <c r="S17" s="582">
        <v>32.344099999999997</v>
      </c>
      <c r="T17" s="582">
        <v>212.0898</v>
      </c>
      <c r="U17" s="582"/>
      <c r="V17" s="582"/>
      <c r="W17" s="582"/>
      <c r="X17" s="582"/>
      <c r="Y17" s="582"/>
      <c r="Z17" s="582"/>
      <c r="AA17" s="582"/>
      <c r="AB17" s="582"/>
      <c r="AC17" s="582"/>
      <c r="AD17" s="582"/>
      <c r="AE17" s="582"/>
      <c r="AF17" s="582"/>
      <c r="AG17" s="582"/>
      <c r="AH17" s="582"/>
      <c r="AJ17" s="582">
        <v>0.14430000000000001</v>
      </c>
      <c r="AK17" s="582">
        <v>0</v>
      </c>
      <c r="AL17" s="582">
        <v>109.65090000000001</v>
      </c>
      <c r="AM17" s="582">
        <v>0</v>
      </c>
      <c r="AN17" s="4">
        <f t="shared" si="0"/>
        <v>109.79520000000001</v>
      </c>
      <c r="AQ17" s="2"/>
      <c r="AT17" s="41"/>
    </row>
    <row r="18" spans="1:46" ht="15.75" outlineLevel="1">
      <c r="A18" s="559">
        <v>2022</v>
      </c>
      <c r="B18" s="582">
        <v>0</v>
      </c>
      <c r="C18" s="582"/>
      <c r="D18" s="582">
        <v>280.30450000000002</v>
      </c>
      <c r="E18" s="582"/>
      <c r="F18" s="582"/>
      <c r="G18" s="582"/>
      <c r="H18" s="582">
        <v>0</v>
      </c>
      <c r="I18" s="582">
        <v>48.651200000000003</v>
      </c>
      <c r="J18" s="582"/>
      <c r="K18" s="582"/>
      <c r="L18" s="582"/>
      <c r="M18" s="582">
        <v>0</v>
      </c>
      <c r="N18" s="582"/>
      <c r="O18" s="582">
        <v>0</v>
      </c>
      <c r="P18" s="582"/>
      <c r="Q18" s="582">
        <v>0</v>
      </c>
      <c r="R18" s="582"/>
      <c r="S18" s="582">
        <v>24.630800000000001</v>
      </c>
      <c r="T18" s="582">
        <v>161.51150000000001</v>
      </c>
      <c r="U18" s="582"/>
      <c r="V18" s="582"/>
      <c r="W18" s="582"/>
      <c r="X18" s="582"/>
      <c r="Y18" s="582"/>
      <c r="Z18" s="582"/>
      <c r="AA18" s="582"/>
      <c r="AB18" s="582"/>
      <c r="AC18" s="582"/>
      <c r="AD18" s="582"/>
      <c r="AE18" s="582"/>
      <c r="AF18" s="582"/>
      <c r="AG18" s="582"/>
      <c r="AH18" s="582"/>
      <c r="AJ18" s="582">
        <v>0.14430000000000001</v>
      </c>
      <c r="AK18" s="582">
        <v>0</v>
      </c>
      <c r="AL18" s="582">
        <v>42.374400000000001</v>
      </c>
      <c r="AM18" s="582">
        <v>0</v>
      </c>
      <c r="AN18" s="4">
        <f t="shared" si="0"/>
        <v>42.518700000000003</v>
      </c>
      <c r="AQ18" s="2"/>
      <c r="AT18" s="41"/>
    </row>
    <row r="19" spans="1:46" ht="15.75" outlineLevel="1">
      <c r="A19" s="559">
        <v>2023</v>
      </c>
      <c r="B19" s="582">
        <v>3.5</v>
      </c>
      <c r="C19" s="582"/>
      <c r="D19" s="582">
        <v>120.36499999999999</v>
      </c>
      <c r="E19" s="582"/>
      <c r="F19" s="582"/>
      <c r="G19" s="582"/>
      <c r="H19" s="582">
        <v>0</v>
      </c>
      <c r="I19" s="582">
        <v>48.094700000000003</v>
      </c>
      <c r="J19" s="582"/>
      <c r="K19" s="582"/>
      <c r="L19" s="582"/>
      <c r="M19" s="582">
        <v>25.435099999999998</v>
      </c>
      <c r="N19" s="582"/>
      <c r="O19" s="582">
        <v>0</v>
      </c>
      <c r="P19" s="582"/>
      <c r="Q19" s="582">
        <v>0</v>
      </c>
      <c r="R19" s="582"/>
      <c r="S19" s="582">
        <v>21.6159</v>
      </c>
      <c r="T19" s="582">
        <v>141.74160000000001</v>
      </c>
      <c r="U19" s="582"/>
      <c r="V19" s="582"/>
      <c r="W19" s="582"/>
      <c r="X19" s="582"/>
      <c r="Y19" s="582"/>
      <c r="Z19" s="582"/>
      <c r="AA19" s="582"/>
      <c r="AB19" s="582"/>
      <c r="AC19" s="582"/>
      <c r="AD19" s="582"/>
      <c r="AE19" s="582"/>
      <c r="AF19" s="582"/>
      <c r="AG19" s="582"/>
      <c r="AH19" s="582"/>
      <c r="AJ19" s="582">
        <v>0.24529999999999999</v>
      </c>
      <c r="AK19" s="582">
        <v>0</v>
      </c>
      <c r="AL19" s="582">
        <v>43.772400000000005</v>
      </c>
      <c r="AM19" s="582">
        <v>0</v>
      </c>
      <c r="AN19" s="4">
        <f t="shared" si="0"/>
        <v>44.017700000000005</v>
      </c>
      <c r="AQ19" s="2"/>
      <c r="AT19" s="41"/>
    </row>
    <row r="20" spans="1:46" ht="15.75" outlineLevel="1">
      <c r="A20" s="559">
        <v>2024</v>
      </c>
      <c r="B20" s="582">
        <v>0</v>
      </c>
      <c r="C20" s="582"/>
      <c r="D20" s="582">
        <v>0</v>
      </c>
      <c r="E20" s="582"/>
      <c r="F20" s="582"/>
      <c r="G20" s="582"/>
      <c r="H20" s="582">
        <v>0</v>
      </c>
      <c r="I20" s="582">
        <v>43.410400000000003</v>
      </c>
      <c r="J20" s="582"/>
      <c r="K20" s="582"/>
      <c r="L20" s="582"/>
      <c r="M20" s="582">
        <v>8.7105999999999995</v>
      </c>
      <c r="N20" s="582"/>
      <c r="O20" s="582">
        <v>0</v>
      </c>
      <c r="P20" s="582"/>
      <c r="Q20" s="582">
        <v>0</v>
      </c>
      <c r="R20" s="582"/>
      <c r="S20" s="582">
        <v>26.380800000000001</v>
      </c>
      <c r="T20" s="582">
        <v>172.98689999999999</v>
      </c>
      <c r="U20" s="582"/>
      <c r="V20" s="582"/>
      <c r="W20" s="582"/>
      <c r="X20" s="582"/>
      <c r="Y20" s="582"/>
      <c r="Z20" s="582"/>
      <c r="AA20" s="582"/>
      <c r="AB20" s="582"/>
      <c r="AC20" s="582"/>
      <c r="AD20" s="582"/>
      <c r="AE20" s="582"/>
      <c r="AF20" s="582"/>
      <c r="AG20" s="582"/>
      <c r="AH20" s="582"/>
      <c r="AJ20" s="582">
        <v>0.24529999999999999</v>
      </c>
      <c r="AK20" s="582">
        <v>0</v>
      </c>
      <c r="AL20" s="582">
        <v>67.939099999999996</v>
      </c>
      <c r="AM20" s="582">
        <v>0</v>
      </c>
      <c r="AN20" s="4">
        <f t="shared" si="0"/>
        <v>68.184399999999997</v>
      </c>
      <c r="AQ20" s="2"/>
      <c r="AT20" s="41"/>
    </row>
    <row r="21" spans="1:46" ht="15.75" outlineLevel="1">
      <c r="A21" s="559">
        <v>2025</v>
      </c>
      <c r="B21" s="582">
        <v>100</v>
      </c>
      <c r="C21" s="582"/>
      <c r="D21" s="582">
        <v>278.24730000000005</v>
      </c>
      <c r="E21" s="582"/>
      <c r="F21" s="582"/>
      <c r="G21" s="582"/>
      <c r="H21" s="582">
        <v>0</v>
      </c>
      <c r="I21" s="582">
        <v>0</v>
      </c>
      <c r="J21" s="582">
        <v>200</v>
      </c>
      <c r="K21" s="582">
        <v>50</v>
      </c>
      <c r="L21" s="582"/>
      <c r="M21" s="582">
        <v>1.0452999999999999</v>
      </c>
      <c r="N21" s="582"/>
      <c r="O21" s="582">
        <v>19.0608</v>
      </c>
      <c r="P21" s="582"/>
      <c r="Q21" s="582">
        <v>0</v>
      </c>
      <c r="R21" s="582"/>
      <c r="S21" s="582">
        <v>29.242000000000001</v>
      </c>
      <c r="T21" s="582">
        <v>191.74850000000001</v>
      </c>
      <c r="U21" s="582"/>
      <c r="V21" s="582"/>
      <c r="W21" s="582"/>
      <c r="X21" s="582"/>
      <c r="Y21" s="582"/>
      <c r="Z21" s="582"/>
      <c r="AA21" s="582"/>
      <c r="AB21" s="582"/>
      <c r="AC21" s="582"/>
      <c r="AD21" s="582"/>
      <c r="AE21" s="582"/>
      <c r="AF21" s="582"/>
      <c r="AG21" s="582"/>
      <c r="AH21" s="582"/>
      <c r="AJ21" s="582">
        <v>0.24529999999999999</v>
      </c>
      <c r="AK21" s="582">
        <v>0</v>
      </c>
      <c r="AL21" s="582">
        <v>44.804900000000004</v>
      </c>
      <c r="AM21" s="582">
        <v>0</v>
      </c>
      <c r="AN21" s="4">
        <f t="shared" si="0"/>
        <v>45.050200000000004</v>
      </c>
      <c r="AQ21" s="2"/>
      <c r="AT21" s="41"/>
    </row>
    <row r="22" spans="1:46" ht="15.75" outlineLevel="1">
      <c r="A22" s="559">
        <v>2026</v>
      </c>
      <c r="B22" s="582">
        <v>25</v>
      </c>
      <c r="C22" s="582"/>
      <c r="D22" s="582">
        <v>544.25279999999998</v>
      </c>
      <c r="E22" s="582"/>
      <c r="F22" s="582"/>
      <c r="G22" s="582"/>
      <c r="H22" s="582">
        <v>0</v>
      </c>
      <c r="I22" s="582">
        <v>41.154000000000003</v>
      </c>
      <c r="J22" s="582"/>
      <c r="K22" s="582"/>
      <c r="L22" s="582"/>
      <c r="M22" s="582">
        <v>86.409599999999998</v>
      </c>
      <c r="N22" s="582"/>
      <c r="O22" s="582">
        <v>86.871499999999997</v>
      </c>
      <c r="P22" s="582"/>
      <c r="Q22" s="582">
        <v>0</v>
      </c>
      <c r="R22" s="582"/>
      <c r="S22" s="582">
        <v>25.7349</v>
      </c>
      <c r="T22" s="582">
        <v>168.75149999999999</v>
      </c>
      <c r="U22" s="582"/>
      <c r="V22" s="582"/>
      <c r="W22" s="582"/>
      <c r="X22" s="582"/>
      <c r="Y22" s="582"/>
      <c r="Z22" s="582"/>
      <c r="AA22" s="582"/>
      <c r="AB22" s="582"/>
      <c r="AC22" s="582"/>
      <c r="AD22" s="582"/>
      <c r="AE22" s="582"/>
      <c r="AF22" s="582"/>
      <c r="AG22" s="582"/>
      <c r="AH22" s="582"/>
      <c r="AI22" s="116"/>
      <c r="AJ22" s="582">
        <v>0.9667</v>
      </c>
      <c r="AK22" s="582">
        <v>0</v>
      </c>
      <c r="AL22" s="582">
        <v>6.9344999999999999</v>
      </c>
      <c r="AM22" s="582">
        <v>0</v>
      </c>
      <c r="AN22" s="4">
        <f t="shared" si="0"/>
        <v>7.9012000000000002</v>
      </c>
      <c r="AQ22" s="2"/>
      <c r="AT22" s="41"/>
    </row>
    <row r="23" spans="1:46" ht="15.75" outlineLevel="1">
      <c r="A23" s="559">
        <v>2027</v>
      </c>
      <c r="B23" s="582">
        <v>0</v>
      </c>
      <c r="C23" s="582"/>
      <c r="D23" s="582">
        <v>403.99560000000002</v>
      </c>
      <c r="E23" s="582"/>
      <c r="F23" s="582"/>
      <c r="G23" s="582"/>
      <c r="H23" s="582">
        <v>83.003699999999995</v>
      </c>
      <c r="I23" s="582">
        <v>0</v>
      </c>
      <c r="J23" s="582"/>
      <c r="K23" s="582"/>
      <c r="L23" s="582"/>
      <c r="M23" s="582">
        <v>38.326900000000002</v>
      </c>
      <c r="N23" s="582"/>
      <c r="O23" s="582">
        <v>74.468299999999999</v>
      </c>
      <c r="P23" s="582"/>
      <c r="Q23" s="582">
        <v>0</v>
      </c>
      <c r="R23" s="582"/>
      <c r="S23" s="582">
        <v>48.560299999999998</v>
      </c>
      <c r="T23" s="582">
        <v>318.42430000000002</v>
      </c>
      <c r="U23" s="582"/>
      <c r="V23" s="582"/>
      <c r="W23" s="582"/>
      <c r="X23" s="582"/>
      <c r="Y23" s="582"/>
      <c r="Z23" s="582"/>
      <c r="AA23" s="582"/>
      <c r="AB23" s="582"/>
      <c r="AC23" s="582"/>
      <c r="AD23" s="582"/>
      <c r="AE23" s="582"/>
      <c r="AF23" s="582"/>
      <c r="AG23" s="582"/>
      <c r="AH23" s="582"/>
      <c r="AI23" s="116"/>
      <c r="AJ23" s="582">
        <v>0.9667</v>
      </c>
      <c r="AK23" s="582">
        <v>0</v>
      </c>
      <c r="AL23" s="582">
        <v>16.291800000000002</v>
      </c>
      <c r="AM23" s="582">
        <v>0</v>
      </c>
      <c r="AN23" s="4">
        <f t="shared" si="0"/>
        <v>17.258500000000002</v>
      </c>
      <c r="AQ23" s="2"/>
      <c r="AT23" s="41"/>
    </row>
    <row r="24" spans="1:46" ht="15.75" outlineLevel="1">
      <c r="A24" s="559">
        <v>2028</v>
      </c>
      <c r="B24" s="582">
        <v>20</v>
      </c>
      <c r="C24" s="582"/>
      <c r="D24" s="582">
        <v>331.83539999999999</v>
      </c>
      <c r="E24" s="582"/>
      <c r="F24" s="582"/>
      <c r="G24" s="582"/>
      <c r="H24" s="582">
        <v>19.853100000000001</v>
      </c>
      <c r="I24" s="582">
        <v>0</v>
      </c>
      <c r="J24" s="582"/>
      <c r="K24" s="582"/>
      <c r="L24" s="582"/>
      <c r="M24" s="582">
        <v>10.8012</v>
      </c>
      <c r="N24" s="582"/>
      <c r="O24" s="582">
        <v>170.52600000000001</v>
      </c>
      <c r="P24" s="582"/>
      <c r="Q24" s="582">
        <v>0</v>
      </c>
      <c r="R24" s="582"/>
      <c r="S24" s="582">
        <v>53.113199999999999</v>
      </c>
      <c r="T24" s="582">
        <v>348.27910000000003</v>
      </c>
      <c r="U24" s="582"/>
      <c r="V24" s="582"/>
      <c r="W24" s="582"/>
      <c r="X24" s="582"/>
      <c r="Y24" s="582"/>
      <c r="Z24" s="582"/>
      <c r="AA24" s="582"/>
      <c r="AB24" s="582"/>
      <c r="AC24" s="582"/>
      <c r="AD24" s="582"/>
      <c r="AE24" s="582"/>
      <c r="AF24" s="582"/>
      <c r="AG24" s="582"/>
      <c r="AH24" s="582"/>
      <c r="AI24" s="116"/>
      <c r="AJ24" s="582">
        <v>1.5438000000000001</v>
      </c>
      <c r="AK24" s="582">
        <v>0</v>
      </c>
      <c r="AL24" s="582">
        <v>18.098600000000001</v>
      </c>
      <c r="AM24" s="582">
        <v>0</v>
      </c>
      <c r="AN24" s="4">
        <f t="shared" si="0"/>
        <v>19.642400000000002</v>
      </c>
      <c r="AQ24" s="2"/>
      <c r="AT24" s="41"/>
    </row>
    <row r="25" spans="1:46" ht="15.75" outlineLevel="1">
      <c r="A25" s="559">
        <v>2029</v>
      </c>
      <c r="B25" s="582">
        <v>0</v>
      </c>
      <c r="C25" s="582"/>
      <c r="D25" s="582">
        <v>1158.2438999999999</v>
      </c>
      <c r="E25" s="582"/>
      <c r="F25" s="582"/>
      <c r="G25" s="582"/>
      <c r="H25" s="582">
        <v>0</v>
      </c>
      <c r="I25" s="582">
        <v>0</v>
      </c>
      <c r="J25" s="582"/>
      <c r="K25" s="582"/>
      <c r="L25" s="582"/>
      <c r="M25" s="582">
        <v>25.7835</v>
      </c>
      <c r="N25" s="582"/>
      <c r="O25" s="582">
        <v>0</v>
      </c>
      <c r="P25" s="582"/>
      <c r="Q25" s="582">
        <v>0</v>
      </c>
      <c r="R25" s="582"/>
      <c r="S25" s="582">
        <v>59.975700000000003</v>
      </c>
      <c r="T25" s="582">
        <v>393.27809999999999</v>
      </c>
      <c r="U25" s="582"/>
      <c r="V25" s="582"/>
      <c r="W25" s="582"/>
      <c r="X25" s="582"/>
      <c r="Y25" s="582"/>
      <c r="Z25" s="582"/>
      <c r="AA25" s="582"/>
      <c r="AB25" s="582"/>
      <c r="AC25" s="582"/>
      <c r="AD25" s="582"/>
      <c r="AE25" s="582"/>
      <c r="AF25" s="582"/>
      <c r="AG25" s="582"/>
      <c r="AH25" s="582"/>
      <c r="AI25" s="116"/>
      <c r="AJ25" s="582">
        <v>1.5438000000000001</v>
      </c>
      <c r="AK25" s="582">
        <v>0</v>
      </c>
      <c r="AL25" s="582">
        <v>14.182600000000001</v>
      </c>
      <c r="AM25" s="582">
        <v>0</v>
      </c>
      <c r="AN25" s="4">
        <f t="shared" si="0"/>
        <v>15.726400000000002</v>
      </c>
      <c r="AQ25" s="2"/>
      <c r="AT25" s="41"/>
    </row>
    <row r="26" spans="1:46" ht="15.75" outlineLevel="1">
      <c r="A26" s="559">
        <v>2030</v>
      </c>
      <c r="B26" s="582">
        <v>120.5</v>
      </c>
      <c r="C26" s="582"/>
      <c r="D26" s="582">
        <v>217.36670000000001</v>
      </c>
      <c r="E26" s="582"/>
      <c r="F26" s="582"/>
      <c r="G26" s="582"/>
      <c r="H26" s="582">
        <v>58.285499999999999</v>
      </c>
      <c r="I26" s="582">
        <v>0</v>
      </c>
      <c r="J26" s="582"/>
      <c r="K26" s="582"/>
      <c r="L26" s="582"/>
      <c r="M26" s="582">
        <v>127.5239</v>
      </c>
      <c r="N26" s="582"/>
      <c r="O26" s="582">
        <v>426.06470000000002</v>
      </c>
      <c r="P26" s="582"/>
      <c r="Q26" s="582">
        <v>0</v>
      </c>
      <c r="R26" s="582"/>
      <c r="S26" s="582">
        <v>58.653599999999997</v>
      </c>
      <c r="T26" s="582">
        <v>384.60899999999998</v>
      </c>
      <c r="U26" s="582"/>
      <c r="V26" s="582"/>
      <c r="W26" s="582"/>
      <c r="X26" s="582"/>
      <c r="Y26" s="582"/>
      <c r="Z26" s="582"/>
      <c r="AA26" s="582"/>
      <c r="AB26" s="582"/>
      <c r="AC26" s="582"/>
      <c r="AD26" s="582"/>
      <c r="AE26" s="582"/>
      <c r="AF26" s="582"/>
      <c r="AG26" s="582"/>
      <c r="AH26" s="582"/>
      <c r="AI26" s="116"/>
      <c r="AJ26" s="582">
        <v>5.0209000000000001</v>
      </c>
      <c r="AK26" s="582">
        <v>0</v>
      </c>
      <c r="AL26" s="582">
        <v>13.4315</v>
      </c>
      <c r="AM26" s="582">
        <v>0</v>
      </c>
      <c r="AN26" s="4">
        <f t="shared" si="0"/>
        <v>18.452400000000001</v>
      </c>
      <c r="AQ26" s="2"/>
      <c r="AT26" s="41"/>
    </row>
    <row r="27" spans="1:46" ht="15.75" outlineLevel="1">
      <c r="A27" s="559">
        <v>2031</v>
      </c>
      <c r="B27" s="582">
        <v>50</v>
      </c>
      <c r="C27" s="582"/>
      <c r="D27" s="582">
        <v>529.49990000000003</v>
      </c>
      <c r="E27" s="582"/>
      <c r="F27" s="582"/>
      <c r="G27" s="582"/>
      <c r="H27" s="582">
        <v>0</v>
      </c>
      <c r="I27" s="582">
        <v>0</v>
      </c>
      <c r="J27" s="582"/>
      <c r="K27" s="582"/>
      <c r="L27" s="582"/>
      <c r="M27" s="582">
        <v>97.907700000000006</v>
      </c>
      <c r="N27" s="582"/>
      <c r="O27" s="582">
        <v>0</v>
      </c>
      <c r="P27" s="582"/>
      <c r="Q27" s="582">
        <v>0</v>
      </c>
      <c r="R27" s="582"/>
      <c r="S27" s="582">
        <v>56.011000000000003</v>
      </c>
      <c r="T27" s="582">
        <v>367.28100000000001</v>
      </c>
      <c r="U27" s="582"/>
      <c r="V27" s="582"/>
      <c r="W27" s="582"/>
      <c r="X27" s="582"/>
      <c r="Y27" s="582"/>
      <c r="Z27" s="582"/>
      <c r="AA27" s="582"/>
      <c r="AB27" s="582"/>
      <c r="AC27" s="582"/>
      <c r="AD27" s="582"/>
      <c r="AE27" s="582"/>
      <c r="AF27" s="582"/>
      <c r="AG27" s="582"/>
      <c r="AH27" s="582"/>
      <c r="AI27" s="116"/>
      <c r="AJ27" s="582">
        <v>6.4637000000000002</v>
      </c>
      <c r="AK27" s="582">
        <v>0</v>
      </c>
      <c r="AL27" s="582">
        <v>15.9107</v>
      </c>
      <c r="AM27" s="582">
        <v>0</v>
      </c>
      <c r="AN27" s="4">
        <f t="shared" si="0"/>
        <v>22.374400000000001</v>
      </c>
      <c r="AQ27" s="2"/>
      <c r="AT27" s="41"/>
    </row>
    <row r="28" spans="1:46" ht="15.75" outlineLevel="1">
      <c r="A28" s="559">
        <v>2032</v>
      </c>
      <c r="B28" s="582">
        <v>27</v>
      </c>
      <c r="C28" s="582"/>
      <c r="D28" s="582">
        <v>212.75110000000001</v>
      </c>
      <c r="E28" s="582"/>
      <c r="F28" s="582"/>
      <c r="G28" s="582"/>
      <c r="H28" s="582">
        <v>0</v>
      </c>
      <c r="I28" s="582">
        <v>0</v>
      </c>
      <c r="J28" s="582"/>
      <c r="K28" s="582"/>
      <c r="L28" s="582"/>
      <c r="M28" s="582">
        <v>63.413499999999999</v>
      </c>
      <c r="N28" s="582"/>
      <c r="O28" s="582">
        <v>442.69909999999999</v>
      </c>
      <c r="P28" s="582"/>
      <c r="Q28" s="582">
        <v>0</v>
      </c>
      <c r="R28" s="582"/>
      <c r="S28" s="582">
        <v>64.762</v>
      </c>
      <c r="T28" s="582">
        <v>424.66340000000002</v>
      </c>
      <c r="U28" s="582"/>
      <c r="V28" s="582"/>
      <c r="W28" s="582"/>
      <c r="X28" s="582"/>
      <c r="Y28" s="582"/>
      <c r="Z28" s="582"/>
      <c r="AA28" s="582"/>
      <c r="AB28" s="582"/>
      <c r="AC28" s="582"/>
      <c r="AD28" s="582"/>
      <c r="AE28" s="582"/>
      <c r="AF28" s="582"/>
      <c r="AG28" s="582"/>
      <c r="AH28" s="582"/>
      <c r="AI28" s="116"/>
      <c r="AJ28" s="582">
        <v>7.2427999999999999</v>
      </c>
      <c r="AK28" s="582">
        <v>0</v>
      </c>
      <c r="AL28" s="582">
        <v>17.427600000000002</v>
      </c>
      <c r="AM28" s="582">
        <v>0</v>
      </c>
      <c r="AN28" s="4">
        <f t="shared" si="0"/>
        <v>24.670400000000001</v>
      </c>
      <c r="AQ28" s="2"/>
      <c r="AT28" s="41"/>
    </row>
    <row r="29" spans="1:46" ht="15.75" outlineLevel="1">
      <c r="A29" s="559">
        <v>2033</v>
      </c>
      <c r="B29" s="582">
        <v>7.5</v>
      </c>
      <c r="C29" s="582"/>
      <c r="D29" s="582">
        <v>163.4556</v>
      </c>
      <c r="E29" s="582"/>
      <c r="F29" s="582"/>
      <c r="G29" s="582"/>
      <c r="H29" s="582">
        <v>0</v>
      </c>
      <c r="I29" s="582">
        <v>0</v>
      </c>
      <c r="J29" s="582"/>
      <c r="K29" s="582"/>
      <c r="L29" s="582"/>
      <c r="M29" s="582">
        <v>112.1932</v>
      </c>
      <c r="N29" s="582"/>
      <c r="O29" s="582">
        <v>596.6576</v>
      </c>
      <c r="P29" s="582"/>
      <c r="Q29" s="582">
        <v>0</v>
      </c>
      <c r="R29" s="582"/>
      <c r="S29" s="582">
        <v>62.931399999999996</v>
      </c>
      <c r="T29" s="582">
        <v>412.65969999999999</v>
      </c>
      <c r="U29" s="582"/>
      <c r="V29" s="582"/>
      <c r="W29" s="582"/>
      <c r="X29" s="582"/>
      <c r="Y29" s="582"/>
      <c r="Z29" s="582"/>
      <c r="AA29" s="582"/>
      <c r="AB29" s="582"/>
      <c r="AC29" s="582"/>
      <c r="AD29" s="582"/>
      <c r="AE29" s="582"/>
      <c r="AF29" s="582"/>
      <c r="AG29" s="582"/>
      <c r="AH29" s="582"/>
      <c r="AI29" s="116"/>
      <c r="AJ29" s="582">
        <v>4.9283000000000001</v>
      </c>
      <c r="AK29" s="582">
        <v>0</v>
      </c>
      <c r="AL29" s="582">
        <v>15.3386</v>
      </c>
      <c r="AM29" s="582">
        <v>0</v>
      </c>
      <c r="AN29" s="4">
        <f t="shared" si="0"/>
        <v>20.2669</v>
      </c>
      <c r="AQ29" s="2"/>
      <c r="AT29" s="41"/>
    </row>
    <row r="30" spans="1:46" ht="15.75" outlineLevel="1">
      <c r="A30" s="559">
        <v>2034</v>
      </c>
      <c r="B30" s="582">
        <v>15</v>
      </c>
      <c r="C30" s="582"/>
      <c r="D30" s="582">
        <v>599.66459999999995</v>
      </c>
      <c r="E30" s="582"/>
      <c r="F30" s="582"/>
      <c r="G30" s="582"/>
      <c r="H30" s="582">
        <v>0</v>
      </c>
      <c r="I30" s="582">
        <v>0</v>
      </c>
      <c r="J30" s="582"/>
      <c r="K30" s="582"/>
      <c r="L30" s="582"/>
      <c r="M30" s="582">
        <v>87.454899999999995</v>
      </c>
      <c r="N30" s="582"/>
      <c r="O30" s="582">
        <v>0</v>
      </c>
      <c r="P30" s="582"/>
      <c r="Q30" s="582">
        <v>0</v>
      </c>
      <c r="R30" s="582"/>
      <c r="S30" s="582">
        <v>68.7988</v>
      </c>
      <c r="T30" s="582">
        <v>451.13389999999998</v>
      </c>
      <c r="U30" s="582"/>
      <c r="V30" s="582"/>
      <c r="W30" s="582"/>
      <c r="X30" s="582"/>
      <c r="Y30" s="582"/>
      <c r="Z30" s="582"/>
      <c r="AA30" s="582"/>
      <c r="AB30" s="582"/>
      <c r="AC30" s="582"/>
      <c r="AD30" s="582"/>
      <c r="AE30" s="582"/>
      <c r="AF30" s="582"/>
      <c r="AG30" s="582"/>
      <c r="AH30" s="582"/>
      <c r="AI30" s="116"/>
      <c r="AJ30" s="582">
        <v>7.8921000000000001</v>
      </c>
      <c r="AK30" s="582">
        <v>0</v>
      </c>
      <c r="AL30" s="582">
        <v>3.7699999999999997E-2</v>
      </c>
      <c r="AM30" s="582">
        <v>0</v>
      </c>
      <c r="AN30" s="4">
        <f t="shared" si="0"/>
        <v>7.9298000000000002</v>
      </c>
      <c r="AQ30" s="2"/>
      <c r="AT30" s="41"/>
    </row>
    <row r="31" spans="1:46" ht="15.75" outlineLevel="1">
      <c r="A31" s="559">
        <v>2035</v>
      </c>
      <c r="B31" s="582">
        <v>0.75</v>
      </c>
      <c r="C31" s="582"/>
      <c r="D31" s="582">
        <v>313.40140000000002</v>
      </c>
      <c r="E31" s="582"/>
      <c r="F31" s="582"/>
      <c r="G31" s="582"/>
      <c r="H31" s="582">
        <v>0</v>
      </c>
      <c r="I31" s="582">
        <v>0</v>
      </c>
      <c r="J31" s="582"/>
      <c r="K31" s="582"/>
      <c r="L31" s="582"/>
      <c r="M31" s="582">
        <v>110.45099999999999</v>
      </c>
      <c r="N31" s="582"/>
      <c r="O31" s="582">
        <v>435.42489999999998</v>
      </c>
      <c r="P31" s="582"/>
      <c r="Q31" s="582">
        <v>0</v>
      </c>
      <c r="R31" s="582"/>
      <c r="S31" s="582">
        <v>71.349999999999994</v>
      </c>
      <c r="T31" s="582">
        <v>467.86290000000002</v>
      </c>
      <c r="U31" s="582"/>
      <c r="V31" s="582"/>
      <c r="W31" s="582"/>
      <c r="X31" s="582"/>
      <c r="Y31" s="582"/>
      <c r="Z31" s="582"/>
      <c r="AA31" s="582"/>
      <c r="AB31" s="582"/>
      <c r="AC31" s="582"/>
      <c r="AD31" s="582"/>
      <c r="AE31" s="582"/>
      <c r="AF31" s="582"/>
      <c r="AG31" s="582"/>
      <c r="AH31" s="582"/>
      <c r="AI31" s="116"/>
      <c r="AJ31" s="582">
        <v>7.9138000000000002</v>
      </c>
      <c r="AK31" s="582">
        <v>0</v>
      </c>
      <c r="AL31" s="582">
        <v>1.41</v>
      </c>
      <c r="AM31" s="582">
        <v>0.31009999999999999</v>
      </c>
      <c r="AN31" s="4">
        <f t="shared" si="0"/>
        <v>9.6339000000000006</v>
      </c>
      <c r="AQ31" s="2"/>
      <c r="AT31" s="41"/>
    </row>
    <row r="32" spans="1:46" ht="15.75" outlineLevel="1">
      <c r="A32" s="559">
        <v>2036</v>
      </c>
      <c r="B32" s="582">
        <v>0</v>
      </c>
      <c r="C32" s="582"/>
      <c r="D32" s="582">
        <v>737.85129999999992</v>
      </c>
      <c r="E32" s="582"/>
      <c r="F32" s="582"/>
      <c r="G32" s="582"/>
      <c r="H32" s="582">
        <v>0</v>
      </c>
      <c r="I32" s="582">
        <v>0</v>
      </c>
      <c r="J32" s="582"/>
      <c r="K32" s="582"/>
      <c r="L32" s="582"/>
      <c r="M32" s="582">
        <v>97.210899999999995</v>
      </c>
      <c r="N32" s="582"/>
      <c r="O32" s="582">
        <v>0</v>
      </c>
      <c r="P32" s="582"/>
      <c r="Q32" s="582">
        <v>0</v>
      </c>
      <c r="R32" s="582"/>
      <c r="S32" s="582">
        <v>73.215599999999995</v>
      </c>
      <c r="T32" s="582">
        <v>480.09649999999999</v>
      </c>
      <c r="U32" s="582"/>
      <c r="V32" s="582"/>
      <c r="W32" s="582"/>
      <c r="X32" s="582"/>
      <c r="Y32" s="582"/>
      <c r="Z32" s="582"/>
      <c r="AA32" s="582"/>
      <c r="AB32" s="582"/>
      <c r="AC32" s="582"/>
      <c r="AD32" s="582"/>
      <c r="AE32" s="582"/>
      <c r="AF32" s="582"/>
      <c r="AG32" s="582"/>
      <c r="AH32" s="582"/>
      <c r="AI32" s="116"/>
      <c r="AJ32" s="582">
        <v>7.9138000000000002</v>
      </c>
      <c r="AK32" s="582">
        <v>0</v>
      </c>
      <c r="AL32" s="582">
        <v>0</v>
      </c>
      <c r="AM32" s="582">
        <v>0.75790000000000002</v>
      </c>
      <c r="AN32" s="4">
        <f t="shared" si="0"/>
        <v>8.6716999999999995</v>
      </c>
      <c r="AQ32" s="2"/>
      <c r="AT32" s="41"/>
    </row>
    <row r="33" spans="1:46" ht="15.75" outlineLevel="1">
      <c r="A33" s="559">
        <v>2037</v>
      </c>
      <c r="B33" s="582">
        <v>0</v>
      </c>
      <c r="C33" s="582"/>
      <c r="D33" s="582">
        <v>628.08510000000001</v>
      </c>
      <c r="E33" s="582"/>
      <c r="F33" s="582"/>
      <c r="G33" s="582"/>
      <c r="H33" s="582">
        <v>0</v>
      </c>
      <c r="I33" s="582">
        <v>0</v>
      </c>
      <c r="J33" s="582"/>
      <c r="K33" s="582"/>
      <c r="L33" s="582"/>
      <c r="M33" s="582">
        <v>12.5433</v>
      </c>
      <c r="N33" s="582"/>
      <c r="O33" s="582">
        <v>157.82919999999999</v>
      </c>
      <c r="P33" s="582"/>
      <c r="Q33" s="582">
        <v>0</v>
      </c>
      <c r="R33" s="582"/>
      <c r="S33" s="582">
        <v>87.906400000000005</v>
      </c>
      <c r="T33" s="582">
        <v>576.42809999999997</v>
      </c>
      <c r="U33" s="582"/>
      <c r="V33" s="582"/>
      <c r="W33" s="582"/>
      <c r="X33" s="582"/>
      <c r="Y33" s="582"/>
      <c r="Z33" s="582"/>
      <c r="AA33" s="582"/>
      <c r="AB33" s="582"/>
      <c r="AC33" s="582"/>
      <c r="AD33" s="582"/>
      <c r="AE33" s="582"/>
      <c r="AF33" s="582"/>
      <c r="AG33" s="582"/>
      <c r="AH33" s="582"/>
      <c r="AI33" s="116"/>
      <c r="AJ33" s="582">
        <v>7.9138000000000002</v>
      </c>
      <c r="AK33" s="582">
        <v>0</v>
      </c>
      <c r="AL33" s="582">
        <v>0</v>
      </c>
      <c r="AM33" s="582">
        <v>2.1665000000000001</v>
      </c>
      <c r="AN33" s="4">
        <f t="shared" si="0"/>
        <v>10.080300000000001</v>
      </c>
      <c r="AQ33" s="2"/>
      <c r="AT33" s="41"/>
    </row>
    <row r="34" spans="1:46" ht="15.75" outlineLevel="1">
      <c r="A34" s="559">
        <v>2038</v>
      </c>
      <c r="B34" s="582">
        <v>0</v>
      </c>
      <c r="C34" s="582"/>
      <c r="D34" s="582">
        <v>561.84079999999994</v>
      </c>
      <c r="E34" s="582"/>
      <c r="F34" s="582"/>
      <c r="G34" s="582"/>
      <c r="H34" s="582">
        <v>0</v>
      </c>
      <c r="I34" s="582">
        <v>0</v>
      </c>
      <c r="J34" s="582"/>
      <c r="K34" s="582"/>
      <c r="L34" s="582"/>
      <c r="M34" s="582">
        <v>13.5886</v>
      </c>
      <c r="N34" s="582"/>
      <c r="O34" s="582">
        <v>1052.1194</v>
      </c>
      <c r="P34" s="582"/>
      <c r="Q34" s="582">
        <v>0</v>
      </c>
      <c r="R34" s="582"/>
      <c r="S34" s="582">
        <v>91.569699999999997</v>
      </c>
      <c r="T34" s="582">
        <v>600.44949999999994</v>
      </c>
      <c r="U34" s="582"/>
      <c r="V34" s="582"/>
      <c r="W34" s="582"/>
      <c r="X34" s="582"/>
      <c r="Y34" s="582"/>
      <c r="Z34" s="582"/>
      <c r="AA34" s="582"/>
      <c r="AB34" s="582"/>
      <c r="AC34" s="582"/>
      <c r="AD34" s="582"/>
      <c r="AE34" s="582"/>
      <c r="AF34" s="582"/>
      <c r="AG34" s="582"/>
      <c r="AH34" s="582"/>
      <c r="AI34" s="116"/>
      <c r="AJ34" s="582">
        <v>7.9138000000000002</v>
      </c>
      <c r="AK34" s="582">
        <v>0</v>
      </c>
      <c r="AL34" s="582">
        <v>0</v>
      </c>
      <c r="AM34" s="582">
        <v>2.1297999999999999</v>
      </c>
      <c r="AN34" s="4">
        <f t="shared" si="0"/>
        <v>10.0436</v>
      </c>
      <c r="AQ34" s="2"/>
      <c r="AT34" s="41"/>
    </row>
    <row r="35" spans="1:46" ht="15.75" outlineLevel="1">
      <c r="A35" s="559">
        <v>2039</v>
      </c>
      <c r="B35" s="582">
        <v>0</v>
      </c>
      <c r="C35" s="582"/>
      <c r="D35" s="582">
        <v>1012.8712</v>
      </c>
      <c r="E35" s="582"/>
      <c r="F35" s="582"/>
      <c r="G35" s="582"/>
      <c r="H35" s="582">
        <v>0</v>
      </c>
      <c r="I35" s="582">
        <v>0</v>
      </c>
      <c r="J35" s="582"/>
      <c r="K35" s="582"/>
      <c r="L35" s="582"/>
      <c r="M35" s="582">
        <v>14.633900000000001</v>
      </c>
      <c r="N35" s="582"/>
      <c r="O35" s="582">
        <v>0</v>
      </c>
      <c r="P35" s="582"/>
      <c r="Q35" s="582">
        <v>0</v>
      </c>
      <c r="R35" s="582"/>
      <c r="S35" s="582">
        <v>96.819100000000006</v>
      </c>
      <c r="T35" s="582">
        <v>634.87180000000001</v>
      </c>
      <c r="U35" s="582"/>
      <c r="V35" s="582"/>
      <c r="W35" s="582"/>
      <c r="X35" s="582"/>
      <c r="Y35" s="582"/>
      <c r="Z35" s="582"/>
      <c r="AA35" s="582"/>
      <c r="AB35" s="582"/>
      <c r="AC35" s="582"/>
      <c r="AD35" s="582"/>
      <c r="AE35" s="582"/>
      <c r="AF35" s="582"/>
      <c r="AG35" s="582"/>
      <c r="AH35" s="582"/>
      <c r="AI35" s="116"/>
      <c r="AJ35" s="582">
        <v>7.9138000000000002</v>
      </c>
      <c r="AK35" s="582">
        <v>0</v>
      </c>
      <c r="AL35" s="582">
        <v>0</v>
      </c>
      <c r="AM35" s="582">
        <v>1.2037</v>
      </c>
      <c r="AN35" s="4">
        <f t="shared" si="0"/>
        <v>9.1174999999999997</v>
      </c>
      <c r="AQ35" s="2"/>
      <c r="AT35" s="41"/>
    </row>
    <row r="36" spans="1:46" ht="15.75" outlineLevel="1">
      <c r="A36" s="559">
        <v>2040</v>
      </c>
      <c r="B36" s="582">
        <v>0</v>
      </c>
      <c r="C36" s="582"/>
      <c r="D36" s="582">
        <v>1488.0749000000001</v>
      </c>
      <c r="E36" s="582"/>
      <c r="F36" s="582"/>
      <c r="G36" s="582"/>
      <c r="H36" s="582">
        <v>0</v>
      </c>
      <c r="I36" s="582">
        <v>0</v>
      </c>
      <c r="J36" s="582"/>
      <c r="K36" s="582"/>
      <c r="L36" s="582"/>
      <c r="M36" s="582">
        <v>16.376000000000001</v>
      </c>
      <c r="N36" s="582"/>
      <c r="O36" s="582">
        <v>0</v>
      </c>
      <c r="P36" s="582"/>
      <c r="Q36" s="582">
        <v>0</v>
      </c>
      <c r="R36" s="582"/>
      <c r="S36" s="582">
        <v>102.651</v>
      </c>
      <c r="T36" s="582">
        <v>673.11329999999998</v>
      </c>
      <c r="U36" s="582"/>
      <c r="V36" s="582"/>
      <c r="W36" s="582"/>
      <c r="X36" s="582"/>
      <c r="Y36" s="582"/>
      <c r="Z36" s="582"/>
      <c r="AA36" s="582"/>
      <c r="AB36" s="582"/>
      <c r="AC36" s="582"/>
      <c r="AD36" s="582"/>
      <c r="AE36" s="582"/>
      <c r="AF36" s="582"/>
      <c r="AG36" s="582"/>
      <c r="AH36" s="582"/>
      <c r="AI36" s="116"/>
      <c r="AJ36" s="582">
        <v>7.9138000000000002</v>
      </c>
      <c r="AK36" s="582">
        <v>0</v>
      </c>
      <c r="AL36" s="582">
        <v>0</v>
      </c>
      <c r="AM36" s="582">
        <v>0</v>
      </c>
      <c r="AN36" s="4">
        <f t="shared" si="0"/>
        <v>7.9138000000000002</v>
      </c>
      <c r="AQ36" s="2"/>
      <c r="AT36" s="41"/>
    </row>
    <row r="37" spans="1:46" ht="15.75" outlineLevel="1">
      <c r="A37" s="559">
        <v>2041</v>
      </c>
      <c r="B37" s="582">
        <v>0</v>
      </c>
      <c r="C37" s="582"/>
      <c r="D37" s="582">
        <v>1011.1725</v>
      </c>
      <c r="E37" s="582"/>
      <c r="F37" s="582"/>
      <c r="G37" s="582"/>
      <c r="H37" s="582">
        <v>0</v>
      </c>
      <c r="I37" s="582">
        <v>110.3518</v>
      </c>
      <c r="J37" s="582"/>
      <c r="K37" s="582"/>
      <c r="L37" s="582"/>
      <c r="M37" s="582">
        <v>17.7697</v>
      </c>
      <c r="N37" s="582"/>
      <c r="O37" s="582">
        <v>956.11609999999996</v>
      </c>
      <c r="P37" s="582"/>
      <c r="Q37" s="582">
        <v>0</v>
      </c>
      <c r="R37" s="582"/>
      <c r="S37" s="582">
        <v>108.1555</v>
      </c>
      <c r="T37" s="582">
        <v>709.20740000000001</v>
      </c>
      <c r="U37" s="582"/>
      <c r="V37" s="582"/>
      <c r="W37" s="582"/>
      <c r="X37" s="582"/>
      <c r="Y37" s="582"/>
      <c r="Z37" s="582"/>
      <c r="AA37" s="582"/>
      <c r="AB37" s="582"/>
      <c r="AC37" s="582"/>
      <c r="AD37" s="582"/>
      <c r="AE37" s="582"/>
      <c r="AF37" s="582"/>
      <c r="AG37" s="582"/>
      <c r="AH37" s="582"/>
      <c r="AI37" s="116"/>
      <c r="AJ37" s="582">
        <v>7.9138000000000002</v>
      </c>
      <c r="AK37" s="582">
        <v>0</v>
      </c>
      <c r="AL37" s="582">
        <v>0</v>
      </c>
      <c r="AM37" s="582">
        <v>0</v>
      </c>
      <c r="AN37" s="4">
        <f t="shared" si="0"/>
        <v>7.9138000000000002</v>
      </c>
      <c r="AQ37" s="2"/>
      <c r="AT37" s="41"/>
    </row>
    <row r="38" spans="1:46" ht="15.75" outlineLevel="1">
      <c r="A38" s="559">
        <v>2042</v>
      </c>
      <c r="B38" s="582">
        <v>0</v>
      </c>
      <c r="C38" s="582"/>
      <c r="D38" s="582">
        <v>435.88159999999999</v>
      </c>
      <c r="E38" s="582"/>
      <c r="F38" s="582"/>
      <c r="G38" s="582"/>
      <c r="H38" s="582">
        <v>0</v>
      </c>
      <c r="I38" s="582">
        <v>0</v>
      </c>
      <c r="J38" s="582"/>
      <c r="K38" s="582"/>
      <c r="L38" s="582"/>
      <c r="M38" s="582">
        <v>19.511900000000001</v>
      </c>
      <c r="N38" s="582"/>
      <c r="O38" s="582">
        <v>1023.2414</v>
      </c>
      <c r="P38" s="582"/>
      <c r="Q38" s="582">
        <v>0</v>
      </c>
      <c r="R38" s="582"/>
      <c r="S38" s="582">
        <v>111.93980000000001</v>
      </c>
      <c r="T38" s="582">
        <v>734.02239999999995</v>
      </c>
      <c r="U38" s="582"/>
      <c r="V38" s="582"/>
      <c r="W38" s="582"/>
      <c r="X38" s="582"/>
      <c r="Y38" s="582"/>
      <c r="Z38" s="582"/>
      <c r="AA38" s="582"/>
      <c r="AB38" s="582"/>
      <c r="AC38" s="582"/>
      <c r="AD38" s="582"/>
      <c r="AE38" s="582"/>
      <c r="AF38" s="582"/>
      <c r="AG38" s="582"/>
      <c r="AH38" s="582"/>
      <c r="AI38" s="116"/>
      <c r="AJ38" s="582">
        <v>7.9138000000000002</v>
      </c>
      <c r="AK38" s="582">
        <v>0</v>
      </c>
      <c r="AL38" s="582">
        <v>0</v>
      </c>
      <c r="AM38" s="582">
        <v>0</v>
      </c>
      <c r="AN38" s="4">
        <f t="shared" si="0"/>
        <v>7.9138000000000002</v>
      </c>
      <c r="AQ38" s="2"/>
      <c r="AT38" s="41"/>
    </row>
    <row r="39" spans="1:46" ht="15.75" outlineLevel="1">
      <c r="A39" s="559">
        <v>2043</v>
      </c>
      <c r="B39" s="582">
        <v>0</v>
      </c>
      <c r="C39" s="582"/>
      <c r="D39" s="582">
        <v>435.88159999999999</v>
      </c>
      <c r="E39" s="582"/>
      <c r="F39" s="582"/>
      <c r="G39" s="582"/>
      <c r="H39" s="582">
        <v>0</v>
      </c>
      <c r="I39" s="582">
        <v>0</v>
      </c>
      <c r="J39" s="582"/>
      <c r="K39" s="582"/>
      <c r="L39" s="582"/>
      <c r="M39" s="582">
        <v>21.254000000000001</v>
      </c>
      <c r="N39" s="582"/>
      <c r="O39" s="582">
        <v>1153.4401</v>
      </c>
      <c r="P39" s="582"/>
      <c r="Q39" s="582">
        <v>0</v>
      </c>
      <c r="R39" s="582"/>
      <c r="S39" s="582">
        <v>119.3841</v>
      </c>
      <c r="T39" s="582">
        <v>782.83709999999996</v>
      </c>
      <c r="U39" s="582"/>
      <c r="V39" s="582"/>
      <c r="W39" s="582"/>
      <c r="X39" s="582"/>
      <c r="Y39" s="582"/>
      <c r="Z39" s="582"/>
      <c r="AA39" s="582"/>
      <c r="AB39" s="582"/>
      <c r="AC39" s="582"/>
      <c r="AD39" s="582"/>
      <c r="AE39" s="582"/>
      <c r="AF39" s="582"/>
      <c r="AG39" s="582"/>
      <c r="AH39" s="582"/>
      <c r="AI39" s="116"/>
      <c r="AJ39" s="582">
        <v>7.7694999999999999</v>
      </c>
      <c r="AK39" s="582">
        <v>0</v>
      </c>
      <c r="AL39" s="582">
        <v>0</v>
      </c>
      <c r="AM39" s="582">
        <v>0</v>
      </c>
      <c r="AN39" s="4">
        <f t="shared" si="0"/>
        <v>7.7694999999999999</v>
      </c>
      <c r="AQ39" s="83"/>
      <c r="AR39" s="41"/>
      <c r="AT39" s="41"/>
    </row>
    <row r="40" spans="1:46" ht="15.75" outlineLevel="1">
      <c r="A40" s="559">
        <v>2044</v>
      </c>
      <c r="B40" s="582">
        <v>0</v>
      </c>
      <c r="C40" s="582"/>
      <c r="D40" s="582">
        <v>490.36680000000001</v>
      </c>
      <c r="E40" s="582"/>
      <c r="F40" s="582"/>
      <c r="G40" s="582"/>
      <c r="H40" s="582">
        <v>0</v>
      </c>
      <c r="I40" s="582">
        <v>0</v>
      </c>
      <c r="J40" s="582"/>
      <c r="K40" s="582"/>
      <c r="L40" s="582"/>
      <c r="M40" s="582">
        <v>22.996099999999998</v>
      </c>
      <c r="N40" s="582"/>
      <c r="O40" s="582">
        <v>876.85069999999996</v>
      </c>
      <c r="P40" s="582"/>
      <c r="Q40" s="582">
        <v>0</v>
      </c>
      <c r="R40" s="582"/>
      <c r="S40" s="582">
        <v>125.7539</v>
      </c>
      <c r="T40" s="582">
        <v>824.60590000000002</v>
      </c>
      <c r="U40" s="582"/>
      <c r="V40" s="582"/>
      <c r="W40" s="582"/>
      <c r="X40" s="582"/>
      <c r="Y40" s="582"/>
      <c r="Z40" s="582"/>
      <c r="AA40" s="582"/>
      <c r="AB40" s="582"/>
      <c r="AC40" s="582"/>
      <c r="AD40" s="582"/>
      <c r="AE40" s="582"/>
      <c r="AF40" s="582"/>
      <c r="AG40" s="582"/>
      <c r="AH40" s="582"/>
      <c r="AI40" s="116"/>
      <c r="AJ40" s="582">
        <v>7.7694999999999999</v>
      </c>
      <c r="AK40" s="582">
        <v>0</v>
      </c>
      <c r="AL40" s="582">
        <v>0</v>
      </c>
      <c r="AM40" s="582">
        <v>0</v>
      </c>
      <c r="AN40" s="4">
        <f t="shared" si="0"/>
        <v>7.7694999999999999</v>
      </c>
      <c r="AQ40" s="83"/>
      <c r="AR40" s="41"/>
      <c r="AT40" s="41"/>
    </row>
    <row r="41" spans="1:46" ht="15.75" outlineLevel="1">
      <c r="A41" s="559">
        <v>2045</v>
      </c>
      <c r="B41" s="582">
        <v>0</v>
      </c>
      <c r="C41" s="582"/>
      <c r="D41" s="582">
        <v>544.85199999999998</v>
      </c>
      <c r="E41" s="582"/>
      <c r="F41" s="582"/>
      <c r="G41" s="582"/>
      <c r="H41" s="582">
        <v>0</v>
      </c>
      <c r="I41" s="582">
        <v>0</v>
      </c>
      <c r="J41" s="582"/>
      <c r="K41" s="582"/>
      <c r="L41" s="582"/>
      <c r="M41" s="582">
        <v>25.435099999999998</v>
      </c>
      <c r="N41" s="582"/>
      <c r="O41" s="582">
        <v>1580.9829</v>
      </c>
      <c r="P41" s="582"/>
      <c r="Q41" s="582">
        <v>0</v>
      </c>
      <c r="R41" s="582"/>
      <c r="S41" s="582">
        <v>132.95140000000001</v>
      </c>
      <c r="T41" s="582">
        <v>871.80160000000001</v>
      </c>
      <c r="U41" s="582"/>
      <c r="V41" s="582"/>
      <c r="W41" s="582"/>
      <c r="X41" s="582"/>
      <c r="Y41" s="582"/>
      <c r="Z41" s="582"/>
      <c r="AA41" s="582"/>
      <c r="AB41" s="582"/>
      <c r="AC41" s="582"/>
      <c r="AD41" s="582"/>
      <c r="AE41" s="582"/>
      <c r="AF41" s="582"/>
      <c r="AG41" s="582"/>
      <c r="AH41" s="582"/>
      <c r="AI41" s="116"/>
      <c r="AJ41" s="582">
        <v>7.7694999999999999</v>
      </c>
      <c r="AK41" s="582">
        <v>0</v>
      </c>
      <c r="AL41" s="582">
        <v>0</v>
      </c>
      <c r="AM41" s="582">
        <v>0</v>
      </c>
      <c r="AN41" s="4">
        <f t="shared" si="0"/>
        <v>7.7694999999999999</v>
      </c>
      <c r="AQ41" s="83"/>
      <c r="AR41" s="41"/>
      <c r="AT41" s="41"/>
    </row>
    <row r="42" spans="1:46" ht="15.75" outlineLevel="1">
      <c r="A42" s="559">
        <v>2046</v>
      </c>
      <c r="B42" s="582">
        <v>0</v>
      </c>
      <c r="C42" s="582"/>
      <c r="D42" s="582">
        <v>599.33720000000005</v>
      </c>
      <c r="E42" s="582"/>
      <c r="F42" s="582"/>
      <c r="G42" s="582"/>
      <c r="H42" s="582">
        <v>0</v>
      </c>
      <c r="I42" s="582">
        <v>0</v>
      </c>
      <c r="J42" s="582"/>
      <c r="K42" s="582"/>
      <c r="L42" s="582"/>
      <c r="M42" s="582">
        <v>27.874099999999999</v>
      </c>
      <c r="N42" s="582"/>
      <c r="O42" s="582">
        <v>1012.8425999999999</v>
      </c>
      <c r="P42" s="582"/>
      <c r="Q42" s="582">
        <v>0</v>
      </c>
      <c r="R42" s="582"/>
      <c r="S42" s="582">
        <v>140.30500000000001</v>
      </c>
      <c r="T42" s="582">
        <v>920.02179999999998</v>
      </c>
      <c r="U42" s="582"/>
      <c r="V42" s="582"/>
      <c r="W42" s="582"/>
      <c r="X42" s="582"/>
      <c r="Y42" s="582"/>
      <c r="Z42" s="582"/>
      <c r="AA42" s="582"/>
      <c r="AB42" s="582"/>
      <c r="AC42" s="582"/>
      <c r="AD42" s="582"/>
      <c r="AE42" s="582"/>
      <c r="AF42" s="582"/>
      <c r="AG42" s="582"/>
      <c r="AH42" s="582"/>
      <c r="AI42" s="116"/>
      <c r="AJ42" s="582">
        <v>7.7694999999999999</v>
      </c>
      <c r="AK42" s="582">
        <v>0</v>
      </c>
      <c r="AL42" s="582">
        <v>0</v>
      </c>
      <c r="AM42" s="582">
        <v>0</v>
      </c>
      <c r="AN42" s="4">
        <f t="shared" si="0"/>
        <v>7.7694999999999999</v>
      </c>
      <c r="AQ42" s="83"/>
      <c r="AR42" s="41"/>
      <c r="AT42" s="41"/>
    </row>
    <row r="43" spans="1:46" ht="15.75" outlineLevel="1">
      <c r="A43" s="559">
        <v>2047</v>
      </c>
      <c r="B43" s="582">
        <v>0</v>
      </c>
      <c r="C43" s="582"/>
      <c r="D43" s="582">
        <v>653.82240000000002</v>
      </c>
      <c r="E43" s="582"/>
      <c r="F43" s="582"/>
      <c r="G43" s="582"/>
      <c r="H43" s="582">
        <v>0</v>
      </c>
      <c r="I43" s="582">
        <v>0</v>
      </c>
      <c r="J43" s="582"/>
      <c r="K43" s="582"/>
      <c r="L43" s="582"/>
      <c r="M43" s="582">
        <v>30.313099999999999</v>
      </c>
      <c r="N43" s="582"/>
      <c r="O43" s="582">
        <v>1421.1332</v>
      </c>
      <c r="P43" s="582"/>
      <c r="Q43" s="582">
        <v>0</v>
      </c>
      <c r="R43" s="582"/>
      <c r="S43" s="582">
        <v>147.78460000000001</v>
      </c>
      <c r="T43" s="582">
        <v>969.0675</v>
      </c>
      <c r="U43" s="582"/>
      <c r="V43" s="582"/>
      <c r="W43" s="582"/>
      <c r="X43" s="582"/>
      <c r="Y43" s="582"/>
      <c r="Z43" s="582"/>
      <c r="AA43" s="582"/>
      <c r="AB43" s="582"/>
      <c r="AC43" s="582"/>
      <c r="AD43" s="582"/>
      <c r="AE43" s="582"/>
      <c r="AF43" s="582"/>
      <c r="AG43" s="582"/>
      <c r="AH43" s="582"/>
      <c r="AI43" s="116"/>
      <c r="AJ43" s="582">
        <v>7.7694999999999999</v>
      </c>
      <c r="AK43" s="582">
        <v>0</v>
      </c>
      <c r="AL43" s="582">
        <v>0</v>
      </c>
      <c r="AM43" s="582">
        <v>0</v>
      </c>
      <c r="AN43" s="4">
        <f t="shared" si="0"/>
        <v>7.7694999999999999</v>
      </c>
      <c r="AQ43" s="83"/>
      <c r="AR43" s="41"/>
      <c r="AT43" s="41"/>
    </row>
    <row r="44" spans="1:46" ht="15.75" outlineLevel="1">
      <c r="A44" s="559">
        <v>2048</v>
      </c>
      <c r="B44" s="582">
        <v>0</v>
      </c>
      <c r="C44" s="582"/>
      <c r="D44" s="582">
        <v>708.30759999999998</v>
      </c>
      <c r="E44" s="582"/>
      <c r="F44" s="582"/>
      <c r="G44" s="582"/>
      <c r="H44" s="582">
        <v>0</v>
      </c>
      <c r="I44" s="582">
        <v>0</v>
      </c>
      <c r="J44" s="582"/>
      <c r="K44" s="582"/>
      <c r="L44" s="582"/>
      <c r="M44" s="582">
        <v>33.100499999999997</v>
      </c>
      <c r="N44" s="582"/>
      <c r="O44" s="582">
        <v>1309.4591999999998</v>
      </c>
      <c r="P44" s="582"/>
      <c r="Q44" s="582">
        <v>0</v>
      </c>
      <c r="R44" s="582"/>
      <c r="S44" s="582">
        <v>156.25720000000001</v>
      </c>
      <c r="T44" s="582">
        <v>1024.625</v>
      </c>
      <c r="U44" s="582"/>
      <c r="V44" s="582"/>
      <c r="W44" s="582"/>
      <c r="X44" s="582"/>
      <c r="Y44" s="582"/>
      <c r="Z44" s="582"/>
      <c r="AA44" s="582"/>
      <c r="AB44" s="582"/>
      <c r="AC44" s="582"/>
      <c r="AD44" s="582"/>
      <c r="AE44" s="582"/>
      <c r="AF44" s="582"/>
      <c r="AG44" s="582"/>
      <c r="AH44" s="582"/>
      <c r="AI44" s="116"/>
      <c r="AJ44" s="582">
        <v>7.7694999999999999</v>
      </c>
      <c r="AK44" s="582">
        <v>0</v>
      </c>
      <c r="AL44" s="582">
        <v>0</v>
      </c>
      <c r="AM44" s="582">
        <v>0</v>
      </c>
      <c r="AN44" s="4">
        <f t="shared" si="0"/>
        <v>7.7694999999999999</v>
      </c>
      <c r="AQ44" s="83"/>
      <c r="AR44" s="41"/>
      <c r="AT44" s="41"/>
    </row>
    <row r="45" spans="1:46" ht="15.75" outlineLevel="1">
      <c r="A45" s="559">
        <v>2049</v>
      </c>
      <c r="B45" s="582">
        <v>0</v>
      </c>
      <c r="C45" s="582"/>
      <c r="D45" s="582">
        <v>817.27800000000002</v>
      </c>
      <c r="E45" s="582"/>
      <c r="F45" s="582"/>
      <c r="G45" s="582"/>
      <c r="H45" s="582">
        <v>0</v>
      </c>
      <c r="I45" s="582">
        <v>0</v>
      </c>
      <c r="J45" s="582"/>
      <c r="K45" s="582"/>
      <c r="L45" s="582"/>
      <c r="M45" s="582">
        <v>36.2363</v>
      </c>
      <c r="N45" s="582"/>
      <c r="O45" s="582">
        <v>932.86249999999995</v>
      </c>
      <c r="P45" s="582"/>
      <c r="Q45" s="582">
        <v>0</v>
      </c>
      <c r="R45" s="582"/>
      <c r="S45" s="582">
        <v>164.8982</v>
      </c>
      <c r="T45" s="582">
        <v>1081.2863</v>
      </c>
      <c r="U45" s="582"/>
      <c r="V45" s="582"/>
      <c r="W45" s="582"/>
      <c r="X45" s="582"/>
      <c r="Y45" s="582"/>
      <c r="Z45" s="582"/>
      <c r="AA45" s="582"/>
      <c r="AB45" s="582"/>
      <c r="AC45" s="582"/>
      <c r="AD45" s="582"/>
      <c r="AE45" s="582"/>
      <c r="AF45" s="582"/>
      <c r="AG45" s="582"/>
      <c r="AH45" s="582"/>
      <c r="AI45" s="116"/>
      <c r="AJ45" s="582">
        <v>7.7694999999999999</v>
      </c>
      <c r="AK45" s="582">
        <v>0</v>
      </c>
      <c r="AL45" s="582">
        <v>0</v>
      </c>
      <c r="AM45" s="582">
        <v>0</v>
      </c>
      <c r="AN45" s="4">
        <f t="shared" si="0"/>
        <v>7.7694999999999999</v>
      </c>
      <c r="AQ45" s="83"/>
      <c r="AR45" s="41"/>
      <c r="AS45" s="41"/>
      <c r="AT45" s="41"/>
    </row>
    <row r="46" spans="1:46" ht="15.75" outlineLevel="1">
      <c r="A46" s="559">
        <v>2050</v>
      </c>
      <c r="B46" s="582">
        <v>0</v>
      </c>
      <c r="C46" s="582"/>
      <c r="D46" s="582">
        <v>1007.6455</v>
      </c>
      <c r="E46" s="582"/>
      <c r="F46" s="582"/>
      <c r="G46" s="582"/>
      <c r="H46" s="582">
        <v>0</v>
      </c>
      <c r="I46" s="582">
        <v>70.561300000000003</v>
      </c>
      <c r="J46" s="582"/>
      <c r="K46" s="582"/>
      <c r="L46" s="582"/>
      <c r="M46" s="582">
        <v>39.720599999999997</v>
      </c>
      <c r="N46" s="582"/>
      <c r="O46" s="582">
        <v>1870.4236000000001</v>
      </c>
      <c r="P46" s="582"/>
      <c r="Q46" s="582">
        <v>0</v>
      </c>
      <c r="R46" s="582"/>
      <c r="S46" s="582">
        <v>173.66370000000001</v>
      </c>
      <c r="T46" s="582">
        <v>1138.7645</v>
      </c>
      <c r="U46" s="582"/>
      <c r="V46" s="582"/>
      <c r="W46" s="582"/>
      <c r="X46" s="582"/>
      <c r="Y46" s="582"/>
      <c r="Z46" s="582"/>
      <c r="AA46" s="582"/>
      <c r="AB46" s="582"/>
      <c r="AC46" s="582"/>
      <c r="AD46" s="582"/>
      <c r="AE46" s="582"/>
      <c r="AF46" s="582"/>
      <c r="AG46" s="582"/>
      <c r="AH46" s="582"/>
      <c r="AI46" s="116"/>
      <c r="AJ46" s="582">
        <v>0</v>
      </c>
      <c r="AK46" s="582">
        <v>0</v>
      </c>
      <c r="AL46" s="582">
        <v>0</v>
      </c>
      <c r="AM46" s="582">
        <v>0</v>
      </c>
      <c r="AN46" s="4">
        <f t="shared" si="0"/>
        <v>0</v>
      </c>
      <c r="AQ46" s="83"/>
      <c r="AR46" s="41"/>
      <c r="AS46" s="41"/>
      <c r="AT46" s="41"/>
    </row>
    <row r="47" spans="1:46" ht="15.75" outlineLevel="1">
      <c r="A47" s="559">
        <v>2051</v>
      </c>
      <c r="B47" s="582">
        <v>0</v>
      </c>
      <c r="C47" s="582"/>
      <c r="D47" s="582">
        <v>1089.1048000000001</v>
      </c>
      <c r="E47" s="582"/>
      <c r="F47" s="582"/>
      <c r="G47" s="582"/>
      <c r="H47" s="582">
        <v>0</v>
      </c>
      <c r="I47" s="582">
        <v>218.37479999999999</v>
      </c>
      <c r="J47" s="582"/>
      <c r="K47" s="582"/>
      <c r="L47" s="582"/>
      <c r="M47" s="582">
        <v>26.480399999999999</v>
      </c>
      <c r="N47" s="582"/>
      <c r="O47" s="582">
        <v>632.12840000000006</v>
      </c>
      <c r="P47" s="582"/>
      <c r="Q47" s="582">
        <v>0</v>
      </c>
      <c r="R47" s="582"/>
      <c r="S47" s="582">
        <v>136.8356</v>
      </c>
      <c r="T47" s="582">
        <v>897.2713</v>
      </c>
      <c r="U47" s="582"/>
      <c r="V47" s="582"/>
      <c r="W47" s="582"/>
      <c r="X47" s="582"/>
      <c r="Y47" s="582"/>
      <c r="Z47" s="582"/>
      <c r="AA47" s="582"/>
      <c r="AB47" s="582"/>
      <c r="AC47" s="582"/>
      <c r="AD47" s="582"/>
      <c r="AE47" s="582"/>
      <c r="AF47" s="582"/>
      <c r="AG47" s="582"/>
      <c r="AH47" s="582"/>
      <c r="AI47" s="116"/>
      <c r="AJ47" s="582">
        <v>0</v>
      </c>
      <c r="AK47" s="582">
        <v>0</v>
      </c>
      <c r="AL47" s="582">
        <v>0</v>
      </c>
      <c r="AM47" s="582">
        <v>0</v>
      </c>
      <c r="AN47" s="4">
        <f t="shared" si="0"/>
        <v>0</v>
      </c>
      <c r="AQ47" s="83"/>
      <c r="AR47" s="41"/>
      <c r="AS47" s="41"/>
      <c r="AT47" s="41"/>
    </row>
    <row r="48" spans="1:46" ht="15.75" outlineLevel="1">
      <c r="A48" s="559">
        <v>2052</v>
      </c>
      <c r="B48" s="582">
        <v>0</v>
      </c>
      <c r="C48" s="582"/>
      <c r="D48" s="582">
        <v>948.84760000000006</v>
      </c>
      <c r="E48" s="582"/>
      <c r="F48" s="582"/>
      <c r="G48" s="582"/>
      <c r="H48" s="582">
        <v>0</v>
      </c>
      <c r="I48" s="582">
        <v>198.4828</v>
      </c>
      <c r="J48" s="582"/>
      <c r="K48" s="582"/>
      <c r="L48" s="582"/>
      <c r="M48" s="582">
        <v>26.480399999999999</v>
      </c>
      <c r="N48" s="582"/>
      <c r="O48" s="582">
        <v>1024.8539000000001</v>
      </c>
      <c r="P48" s="582"/>
      <c r="Q48" s="582">
        <v>0</v>
      </c>
      <c r="R48" s="582"/>
      <c r="S48" s="582">
        <v>136.8356</v>
      </c>
      <c r="T48" s="582">
        <v>897.2713</v>
      </c>
      <c r="U48" s="582"/>
      <c r="V48" s="582"/>
      <c r="W48" s="582"/>
      <c r="X48" s="582"/>
      <c r="Y48" s="582"/>
      <c r="Z48" s="582"/>
      <c r="AA48" s="582"/>
      <c r="AB48" s="582"/>
      <c r="AC48" s="582"/>
      <c r="AD48" s="582"/>
      <c r="AE48" s="582"/>
      <c r="AF48" s="582"/>
      <c r="AG48" s="582"/>
      <c r="AH48" s="582"/>
      <c r="AI48" s="116"/>
      <c r="AJ48" s="582">
        <v>0</v>
      </c>
      <c r="AK48" s="582">
        <v>0</v>
      </c>
      <c r="AL48" s="582">
        <v>0</v>
      </c>
      <c r="AM48" s="582">
        <v>0</v>
      </c>
      <c r="AN48" s="4">
        <f t="shared" si="0"/>
        <v>0</v>
      </c>
      <c r="AQ48" s="83"/>
      <c r="AR48" s="41"/>
      <c r="AS48" s="41"/>
      <c r="AT48" s="41"/>
    </row>
    <row r="49" spans="1:46" ht="15.75" outlineLevel="1">
      <c r="A49" s="559">
        <v>2053</v>
      </c>
      <c r="B49" s="582">
        <v>0</v>
      </c>
      <c r="C49" s="582"/>
      <c r="D49" s="582">
        <v>876.68740000000003</v>
      </c>
      <c r="E49" s="582"/>
      <c r="F49" s="582"/>
      <c r="G49" s="582"/>
      <c r="H49" s="582">
        <v>0</v>
      </c>
      <c r="I49" s="582">
        <v>206.02189999999999</v>
      </c>
      <c r="J49" s="582"/>
      <c r="K49" s="582"/>
      <c r="L49" s="582"/>
      <c r="M49" s="582">
        <v>26.480399999999999</v>
      </c>
      <c r="N49" s="582"/>
      <c r="O49" s="582">
        <v>1057.6007</v>
      </c>
      <c r="P49" s="582"/>
      <c r="Q49" s="582">
        <v>82.478899999999996</v>
      </c>
      <c r="R49" s="582"/>
      <c r="S49" s="582">
        <v>136.8356</v>
      </c>
      <c r="T49" s="582">
        <v>897.2713</v>
      </c>
      <c r="U49" s="582"/>
      <c r="V49" s="582"/>
      <c r="W49" s="582"/>
      <c r="X49" s="582"/>
      <c r="Y49" s="582"/>
      <c r="Z49" s="582"/>
      <c r="AA49" s="582"/>
      <c r="AB49" s="582"/>
      <c r="AC49" s="582"/>
      <c r="AD49" s="582"/>
      <c r="AE49" s="582"/>
      <c r="AF49" s="582"/>
      <c r="AG49" s="582"/>
      <c r="AH49" s="582"/>
      <c r="AI49" s="116"/>
      <c r="AJ49" s="582">
        <v>0</v>
      </c>
      <c r="AK49" s="582">
        <v>0</v>
      </c>
      <c r="AL49" s="582">
        <v>0</v>
      </c>
      <c r="AM49" s="582">
        <v>0</v>
      </c>
      <c r="AN49" s="4">
        <f t="shared" si="0"/>
        <v>0</v>
      </c>
      <c r="AQ49" s="83"/>
      <c r="AR49" s="41"/>
      <c r="AS49" s="41"/>
      <c r="AT49" s="41"/>
    </row>
    <row r="50" spans="1:46" ht="15.75" outlineLevel="1">
      <c r="A50" s="559">
        <v>2054</v>
      </c>
      <c r="B50" s="582">
        <v>0</v>
      </c>
      <c r="C50" s="582"/>
      <c r="D50" s="582">
        <v>1703.0958999999998</v>
      </c>
      <c r="E50" s="582"/>
      <c r="F50" s="582"/>
      <c r="G50" s="582"/>
      <c r="H50" s="582">
        <v>0</v>
      </c>
      <c r="I50" s="582">
        <v>23.941500000000001</v>
      </c>
      <c r="J50" s="582"/>
      <c r="K50" s="582"/>
      <c r="L50" s="582"/>
      <c r="M50" s="582">
        <v>26.480399999999999</v>
      </c>
      <c r="N50" s="582"/>
      <c r="O50" s="582">
        <v>770.17070000000001</v>
      </c>
      <c r="P50" s="582"/>
      <c r="Q50" s="582">
        <v>216.51509999999999</v>
      </c>
      <c r="R50" s="582"/>
      <c r="S50" s="582">
        <v>136.8356</v>
      </c>
      <c r="T50" s="582">
        <v>897.2713</v>
      </c>
      <c r="U50" s="582"/>
      <c r="V50" s="582"/>
      <c r="W50" s="582"/>
      <c r="X50" s="582"/>
      <c r="Y50" s="582"/>
      <c r="Z50" s="582"/>
      <c r="AA50" s="582"/>
      <c r="AB50" s="582"/>
      <c r="AC50" s="582"/>
      <c r="AD50" s="582"/>
      <c r="AE50" s="582"/>
      <c r="AF50" s="582"/>
      <c r="AG50" s="582"/>
      <c r="AH50" s="582"/>
      <c r="AI50" s="116"/>
      <c r="AJ50" s="582">
        <v>0</v>
      </c>
      <c r="AK50" s="582">
        <v>0</v>
      </c>
      <c r="AL50" s="582">
        <v>0</v>
      </c>
      <c r="AM50" s="582">
        <v>0</v>
      </c>
      <c r="AN50" s="4">
        <f t="shared" si="0"/>
        <v>0</v>
      </c>
      <c r="AQ50" s="83"/>
      <c r="AR50" s="41"/>
      <c r="AS50" s="41"/>
      <c r="AT50" s="41"/>
    </row>
    <row r="51" spans="1:46" ht="15.75" outlineLevel="1">
      <c r="A51" s="559">
        <v>2055</v>
      </c>
      <c r="B51" s="582">
        <v>0</v>
      </c>
      <c r="C51" s="582"/>
      <c r="D51" s="582">
        <v>762.21870000000001</v>
      </c>
      <c r="E51" s="582"/>
      <c r="F51" s="582"/>
      <c r="G51" s="582"/>
      <c r="H51" s="582">
        <v>0</v>
      </c>
      <c r="I51" s="582">
        <v>63.821399999999997</v>
      </c>
      <c r="J51" s="582"/>
      <c r="K51" s="582"/>
      <c r="L51" s="582"/>
      <c r="M51" s="582">
        <v>26.480399999999999</v>
      </c>
      <c r="N51" s="582"/>
      <c r="O51" s="582">
        <v>1132.069</v>
      </c>
      <c r="P51" s="582"/>
      <c r="Q51" s="582">
        <v>193.4906</v>
      </c>
      <c r="R51" s="582"/>
      <c r="S51" s="582">
        <v>136.8356</v>
      </c>
      <c r="T51" s="582">
        <v>897.2713</v>
      </c>
      <c r="U51" s="582"/>
      <c r="V51" s="582"/>
      <c r="W51" s="582"/>
      <c r="X51" s="582"/>
      <c r="Y51" s="582"/>
      <c r="Z51" s="582"/>
      <c r="AA51" s="582"/>
      <c r="AB51" s="582"/>
      <c r="AC51" s="582"/>
      <c r="AD51" s="582"/>
      <c r="AE51" s="582"/>
      <c r="AF51" s="582"/>
      <c r="AG51" s="582"/>
      <c r="AH51" s="582"/>
      <c r="AI51" s="116"/>
      <c r="AJ51" s="582">
        <v>0</v>
      </c>
      <c r="AK51" s="582">
        <v>0</v>
      </c>
      <c r="AL51" s="582">
        <v>0</v>
      </c>
      <c r="AM51" s="582">
        <v>0</v>
      </c>
      <c r="AN51" s="4">
        <f t="shared" si="0"/>
        <v>0</v>
      </c>
      <c r="AQ51" s="83"/>
      <c r="AR51" s="41"/>
      <c r="AS51" s="41"/>
      <c r="AT51" s="41"/>
    </row>
    <row r="52" spans="1:46" ht="15.75" outlineLevel="1">
      <c r="A52" s="559">
        <v>2056</v>
      </c>
      <c r="B52" s="582">
        <v>0</v>
      </c>
      <c r="C52" s="582"/>
      <c r="D52" s="582">
        <v>1074.3518999999999</v>
      </c>
      <c r="E52" s="582"/>
      <c r="F52" s="582"/>
      <c r="G52" s="582"/>
      <c r="H52" s="582">
        <v>0</v>
      </c>
      <c r="I52" s="582">
        <v>87.122100000000003</v>
      </c>
      <c r="J52" s="582"/>
      <c r="K52" s="582"/>
      <c r="L52" s="582"/>
      <c r="M52" s="582">
        <v>26.480399999999999</v>
      </c>
      <c r="N52" s="582"/>
      <c r="O52" s="582">
        <v>795.10299999999995</v>
      </c>
      <c r="P52" s="582"/>
      <c r="Q52" s="582">
        <v>58.627299999999998</v>
      </c>
      <c r="R52" s="582"/>
      <c r="S52" s="582">
        <v>136.8356</v>
      </c>
      <c r="T52" s="582">
        <v>897.2713</v>
      </c>
      <c r="U52" s="582"/>
      <c r="V52" s="582"/>
      <c r="W52" s="582"/>
      <c r="X52" s="582"/>
      <c r="Y52" s="582"/>
      <c r="Z52" s="582"/>
      <c r="AA52" s="582"/>
      <c r="AB52" s="582"/>
      <c r="AC52" s="582"/>
      <c r="AD52" s="582"/>
      <c r="AE52" s="582"/>
      <c r="AF52" s="582"/>
      <c r="AG52" s="582"/>
      <c r="AH52" s="582"/>
      <c r="AI52" s="116"/>
      <c r="AJ52" s="582">
        <v>0</v>
      </c>
      <c r="AK52" s="582">
        <v>0</v>
      </c>
      <c r="AL52" s="582">
        <v>0</v>
      </c>
      <c r="AM52" s="582">
        <v>0</v>
      </c>
      <c r="AN52" s="4">
        <f t="shared" si="0"/>
        <v>0</v>
      </c>
      <c r="AQ52" s="83"/>
      <c r="AR52" s="41"/>
      <c r="AS52" s="41"/>
      <c r="AT52" s="41"/>
    </row>
    <row r="53" spans="1:46" ht="15.75" outlineLevel="1">
      <c r="A53" s="559">
        <v>2057</v>
      </c>
      <c r="B53" s="582">
        <v>0</v>
      </c>
      <c r="C53" s="582"/>
      <c r="D53" s="582">
        <v>757.60310000000004</v>
      </c>
      <c r="E53" s="582"/>
      <c r="F53" s="582"/>
      <c r="G53" s="582"/>
      <c r="H53" s="582">
        <v>0</v>
      </c>
      <c r="I53" s="582">
        <v>15.0672</v>
      </c>
      <c r="J53" s="582"/>
      <c r="K53" s="582"/>
      <c r="L53" s="582"/>
      <c r="M53" s="582">
        <v>26.480399999999999</v>
      </c>
      <c r="N53" s="582"/>
      <c r="O53" s="582">
        <v>1000.0284</v>
      </c>
      <c r="P53" s="582"/>
      <c r="Q53" s="582">
        <v>176.16909999999999</v>
      </c>
      <c r="R53" s="582"/>
      <c r="S53" s="582">
        <v>136.8356</v>
      </c>
      <c r="T53" s="582">
        <v>897.2713</v>
      </c>
      <c r="U53" s="582"/>
      <c r="V53" s="582"/>
      <c r="W53" s="582"/>
      <c r="X53" s="582"/>
      <c r="Y53" s="582"/>
      <c r="Z53" s="582"/>
      <c r="AA53" s="582"/>
      <c r="AB53" s="582"/>
      <c r="AC53" s="582"/>
      <c r="AD53" s="582"/>
      <c r="AE53" s="582"/>
      <c r="AF53" s="582"/>
      <c r="AG53" s="582"/>
      <c r="AH53" s="582"/>
      <c r="AI53" s="116"/>
      <c r="AJ53" s="582">
        <v>0</v>
      </c>
      <c r="AK53" s="582">
        <v>0</v>
      </c>
      <c r="AL53" s="582">
        <v>0</v>
      </c>
      <c r="AM53" s="582">
        <v>0</v>
      </c>
      <c r="AN53" s="4">
        <f t="shared" si="0"/>
        <v>0</v>
      </c>
      <c r="AQ53" s="83"/>
      <c r="AR53" s="41"/>
      <c r="AS53" s="41"/>
      <c r="AT53" s="41"/>
    </row>
    <row r="54" spans="1:46" ht="15.75" outlineLevel="1">
      <c r="A54" s="559">
        <v>2058</v>
      </c>
      <c r="B54" s="582">
        <v>0</v>
      </c>
      <c r="C54" s="582"/>
      <c r="D54" s="582">
        <v>708.30759999999998</v>
      </c>
      <c r="E54" s="582"/>
      <c r="F54" s="582"/>
      <c r="G54" s="582"/>
      <c r="H54" s="582">
        <v>0</v>
      </c>
      <c r="I54" s="582">
        <v>14.5138</v>
      </c>
      <c r="J54" s="582"/>
      <c r="K54" s="582"/>
      <c r="L54" s="582"/>
      <c r="M54" s="582">
        <v>26.480399999999999</v>
      </c>
      <c r="N54" s="582"/>
      <c r="O54" s="582">
        <v>1890.4747</v>
      </c>
      <c r="P54" s="582"/>
      <c r="Q54" s="582">
        <v>171.6943</v>
      </c>
      <c r="R54" s="582"/>
      <c r="S54" s="582">
        <v>136.8356</v>
      </c>
      <c r="T54" s="582">
        <v>897.2713</v>
      </c>
      <c r="U54" s="582"/>
      <c r="V54" s="582"/>
      <c r="W54" s="582"/>
      <c r="X54" s="582"/>
      <c r="Y54" s="582"/>
      <c r="Z54" s="582"/>
      <c r="AA54" s="582"/>
      <c r="AB54" s="582"/>
      <c r="AC54" s="582"/>
      <c r="AD54" s="582"/>
      <c r="AE54" s="582"/>
      <c r="AF54" s="582"/>
      <c r="AG54" s="582"/>
      <c r="AH54" s="582"/>
      <c r="AI54" s="116"/>
      <c r="AJ54" s="582">
        <v>0</v>
      </c>
      <c r="AK54" s="582">
        <v>0</v>
      </c>
      <c r="AL54" s="582">
        <v>0</v>
      </c>
      <c r="AM54" s="582">
        <v>0</v>
      </c>
      <c r="AN54" s="4">
        <f t="shared" si="0"/>
        <v>0</v>
      </c>
      <c r="AQ54" s="83"/>
      <c r="AR54" s="41"/>
      <c r="AS54" s="41"/>
      <c r="AT54" s="41"/>
    </row>
    <row r="55" spans="1:46" ht="15.75" outlineLevel="1">
      <c r="A55" s="559">
        <v>2059</v>
      </c>
      <c r="B55" s="582">
        <v>0</v>
      </c>
      <c r="C55" s="582"/>
      <c r="D55" s="582">
        <v>1144.5165999999999</v>
      </c>
      <c r="E55" s="582"/>
      <c r="F55" s="582"/>
      <c r="G55" s="582"/>
      <c r="H55" s="582">
        <v>0</v>
      </c>
      <c r="I55" s="582">
        <v>20.973199999999999</v>
      </c>
      <c r="J55" s="582"/>
      <c r="K55" s="582"/>
      <c r="L55" s="582"/>
      <c r="M55" s="582">
        <v>26.480399999999999</v>
      </c>
      <c r="N55" s="582"/>
      <c r="O55" s="582">
        <v>839.66010000000006</v>
      </c>
      <c r="P55" s="582"/>
      <c r="Q55" s="582">
        <v>167.0805</v>
      </c>
      <c r="R55" s="582"/>
      <c r="S55" s="582">
        <v>136.8356</v>
      </c>
      <c r="T55" s="582">
        <v>897.2713</v>
      </c>
      <c r="U55" s="582"/>
      <c r="V55" s="582"/>
      <c r="W55" s="582"/>
      <c r="X55" s="582"/>
      <c r="Y55" s="582"/>
      <c r="Z55" s="582"/>
      <c r="AA55" s="582"/>
      <c r="AB55" s="582"/>
      <c r="AC55" s="582"/>
      <c r="AD55" s="582"/>
      <c r="AE55" s="582"/>
      <c r="AF55" s="582"/>
      <c r="AG55" s="582"/>
      <c r="AH55" s="582"/>
      <c r="AI55" s="116"/>
      <c r="AJ55" s="582">
        <v>0</v>
      </c>
      <c r="AK55" s="582">
        <v>0</v>
      </c>
      <c r="AL55" s="582">
        <v>0</v>
      </c>
      <c r="AM55" s="582">
        <v>0</v>
      </c>
      <c r="AN55" s="4">
        <f t="shared" si="0"/>
        <v>0</v>
      </c>
      <c r="AQ55" s="83"/>
      <c r="AR55" s="41"/>
      <c r="AS55" s="41"/>
      <c r="AT55" s="41"/>
    </row>
    <row r="56" spans="1:46" ht="15.75" outlineLevel="1">
      <c r="A56" s="559">
        <v>2060</v>
      </c>
      <c r="B56" s="582">
        <v>0</v>
      </c>
      <c r="C56" s="582"/>
      <c r="D56" s="582">
        <v>858.25340000000006</v>
      </c>
      <c r="E56" s="582"/>
      <c r="F56" s="582"/>
      <c r="G56" s="582"/>
      <c r="H56" s="582">
        <v>0</v>
      </c>
      <c r="I56" s="582">
        <v>3.9983</v>
      </c>
      <c r="J56" s="582"/>
      <c r="K56" s="582"/>
      <c r="L56" s="582"/>
      <c r="M56" s="582">
        <v>26.480399999999999</v>
      </c>
      <c r="N56" s="582"/>
      <c r="O56" s="582">
        <v>858.68780000000004</v>
      </c>
      <c r="P56" s="582"/>
      <c r="Q56" s="582">
        <v>161.11089999999999</v>
      </c>
      <c r="R56" s="582"/>
      <c r="S56" s="582">
        <v>136.8356</v>
      </c>
      <c r="T56" s="582">
        <v>897.2713</v>
      </c>
      <c r="U56" s="582"/>
      <c r="V56" s="582"/>
      <c r="W56" s="582"/>
      <c r="X56" s="582"/>
      <c r="Y56" s="582"/>
      <c r="Z56" s="582"/>
      <c r="AA56" s="582"/>
      <c r="AB56" s="582"/>
      <c r="AC56" s="582"/>
      <c r="AD56" s="582"/>
      <c r="AE56" s="582"/>
      <c r="AF56" s="582"/>
      <c r="AG56" s="582"/>
      <c r="AH56" s="582"/>
      <c r="AI56" s="116"/>
      <c r="AJ56" s="582">
        <v>0</v>
      </c>
      <c r="AK56" s="582">
        <v>0</v>
      </c>
      <c r="AL56" s="582">
        <v>0</v>
      </c>
      <c r="AM56" s="582">
        <v>0</v>
      </c>
      <c r="AN56" s="4">
        <f t="shared" si="0"/>
        <v>0</v>
      </c>
      <c r="AQ56" s="83"/>
      <c r="AR56" s="41"/>
      <c r="AS56" s="41"/>
      <c r="AT56" s="41"/>
    </row>
    <row r="57" spans="1:46" ht="15.75" outlineLevel="1">
      <c r="A57" s="559">
        <v>2061</v>
      </c>
      <c r="B57" s="582">
        <v>0</v>
      </c>
      <c r="C57" s="582"/>
      <c r="D57" s="582">
        <v>1282.7032999999999</v>
      </c>
      <c r="E57" s="582"/>
      <c r="F57" s="582"/>
      <c r="G57" s="582"/>
      <c r="H57" s="582">
        <v>0</v>
      </c>
      <c r="I57" s="582">
        <v>124.9059</v>
      </c>
      <c r="J57" s="582"/>
      <c r="K57" s="582"/>
      <c r="L57" s="582"/>
      <c r="M57" s="582">
        <v>26.480399999999999</v>
      </c>
      <c r="N57" s="582"/>
      <c r="O57" s="582">
        <v>1863.2175999999999</v>
      </c>
      <c r="P57" s="582"/>
      <c r="Q57" s="582">
        <v>74.842299999999994</v>
      </c>
      <c r="R57" s="582"/>
      <c r="S57" s="582">
        <v>136.8356</v>
      </c>
      <c r="T57" s="582">
        <v>897.2713</v>
      </c>
      <c r="U57" s="582"/>
      <c r="V57" s="582"/>
      <c r="W57" s="582"/>
      <c r="X57" s="582"/>
      <c r="Y57" s="582"/>
      <c r="Z57" s="582"/>
      <c r="AA57" s="582"/>
      <c r="AB57" s="582"/>
      <c r="AC57" s="582"/>
      <c r="AD57" s="582"/>
      <c r="AE57" s="582"/>
      <c r="AF57" s="582"/>
      <c r="AG57" s="582"/>
      <c r="AH57" s="582"/>
      <c r="AI57" s="116"/>
      <c r="AJ57" s="582">
        <v>0</v>
      </c>
      <c r="AK57" s="582">
        <v>0</v>
      </c>
      <c r="AL57" s="582">
        <v>0</v>
      </c>
      <c r="AM57" s="582">
        <v>0</v>
      </c>
      <c r="AN57" s="4">
        <f t="shared" si="0"/>
        <v>0</v>
      </c>
      <c r="AQ57" s="83"/>
      <c r="AR57" s="41"/>
      <c r="AS57" s="41"/>
      <c r="AT57" s="41"/>
    </row>
    <row r="58" spans="1:46" ht="15.75" outlineLevel="1">
      <c r="A58" s="559">
        <v>2062</v>
      </c>
      <c r="B58" s="582">
        <v>0</v>
      </c>
      <c r="C58" s="582"/>
      <c r="D58" s="582">
        <v>1172.9371000000001</v>
      </c>
      <c r="E58" s="582"/>
      <c r="F58" s="582"/>
      <c r="G58" s="582"/>
      <c r="H58" s="582">
        <v>0</v>
      </c>
      <c r="I58" s="582">
        <v>17.169699999999999</v>
      </c>
      <c r="J58" s="582"/>
      <c r="K58" s="582"/>
      <c r="L58" s="582"/>
      <c r="M58" s="582">
        <v>26.480399999999999</v>
      </c>
      <c r="N58" s="582"/>
      <c r="O58" s="582">
        <v>1867.1649</v>
      </c>
      <c r="P58" s="582"/>
      <c r="Q58" s="582">
        <v>165.74289999999999</v>
      </c>
      <c r="R58" s="582"/>
      <c r="S58" s="582">
        <v>136.8356</v>
      </c>
      <c r="T58" s="582">
        <v>897.2713</v>
      </c>
      <c r="U58" s="582"/>
      <c r="V58" s="582"/>
      <c r="W58" s="582"/>
      <c r="X58" s="582"/>
      <c r="Y58" s="582"/>
      <c r="Z58" s="582"/>
      <c r="AA58" s="582"/>
      <c r="AB58" s="582"/>
      <c r="AC58" s="582"/>
      <c r="AD58" s="582"/>
      <c r="AE58" s="582"/>
      <c r="AF58" s="582"/>
      <c r="AG58" s="582"/>
      <c r="AH58" s="582"/>
      <c r="AI58" s="116"/>
      <c r="AJ58" s="582">
        <v>0</v>
      </c>
      <c r="AK58" s="582">
        <v>0</v>
      </c>
      <c r="AL58" s="582">
        <v>0</v>
      </c>
      <c r="AM58" s="582">
        <v>0</v>
      </c>
      <c r="AN58" s="4">
        <f t="shared" si="0"/>
        <v>0</v>
      </c>
      <c r="AQ58" s="83"/>
      <c r="AR58" s="41"/>
      <c r="AS58" s="41"/>
      <c r="AT58" s="41"/>
    </row>
    <row r="59" spans="1:46" ht="15.75" outlineLevel="1">
      <c r="A59" s="559">
        <v>2063</v>
      </c>
      <c r="B59" s="582">
        <v>0</v>
      </c>
      <c r="C59" s="582"/>
      <c r="D59" s="582">
        <v>1106.6928</v>
      </c>
      <c r="E59" s="582"/>
      <c r="F59" s="582"/>
      <c r="G59" s="582"/>
      <c r="H59" s="582">
        <v>0</v>
      </c>
      <c r="I59" s="582">
        <v>19.916599999999999</v>
      </c>
      <c r="J59" s="582"/>
      <c r="K59" s="582"/>
      <c r="L59" s="582"/>
      <c r="M59" s="582">
        <v>51.915500000000002</v>
      </c>
      <c r="N59" s="582"/>
      <c r="O59" s="582">
        <v>1994.2845</v>
      </c>
      <c r="P59" s="582"/>
      <c r="Q59" s="582">
        <v>166.709</v>
      </c>
      <c r="R59" s="582"/>
      <c r="S59" s="582">
        <v>136.8356</v>
      </c>
      <c r="T59" s="582">
        <v>897.2713</v>
      </c>
      <c r="U59" s="582"/>
      <c r="V59" s="582"/>
      <c r="W59" s="582"/>
      <c r="X59" s="582"/>
      <c r="Y59" s="582"/>
      <c r="Z59" s="582"/>
      <c r="AA59" s="582"/>
      <c r="AB59" s="582"/>
      <c r="AC59" s="582"/>
      <c r="AD59" s="582"/>
      <c r="AE59" s="582"/>
      <c r="AF59" s="582"/>
      <c r="AG59" s="582"/>
      <c r="AH59" s="582"/>
      <c r="AI59" s="116"/>
      <c r="AJ59" s="582">
        <v>0</v>
      </c>
      <c r="AK59" s="582">
        <v>0</v>
      </c>
      <c r="AL59" s="582">
        <v>0</v>
      </c>
      <c r="AM59" s="582">
        <v>0</v>
      </c>
      <c r="AN59" s="4">
        <f t="shared" si="0"/>
        <v>0</v>
      </c>
      <c r="AQ59" s="83"/>
      <c r="AR59" s="41"/>
      <c r="AS59" s="41"/>
      <c r="AT59" s="41"/>
    </row>
    <row r="60" spans="1:46" ht="15.75" outlineLevel="1">
      <c r="A60" s="559">
        <v>2064</v>
      </c>
      <c r="B60" s="582">
        <v>0</v>
      </c>
      <c r="C60" s="582"/>
      <c r="D60" s="582">
        <v>1557.7231999999999</v>
      </c>
      <c r="E60" s="582"/>
      <c r="F60" s="582"/>
      <c r="G60" s="582"/>
      <c r="H60" s="582">
        <v>0</v>
      </c>
      <c r="I60" s="582">
        <v>18.860099999999999</v>
      </c>
      <c r="J60" s="582"/>
      <c r="K60" s="582"/>
      <c r="L60" s="582"/>
      <c r="M60" s="582">
        <v>35.191000000000003</v>
      </c>
      <c r="N60" s="582"/>
      <c r="O60" s="582">
        <v>1718.8794</v>
      </c>
      <c r="P60" s="582"/>
      <c r="Q60" s="582">
        <v>166.3374</v>
      </c>
      <c r="R60" s="582"/>
      <c r="S60" s="582">
        <v>136.8356</v>
      </c>
      <c r="T60" s="582">
        <v>897.2713</v>
      </c>
      <c r="U60" s="582"/>
      <c r="V60" s="582"/>
      <c r="W60" s="582"/>
      <c r="X60" s="582"/>
      <c r="Y60" s="582"/>
      <c r="Z60" s="582"/>
      <c r="AA60" s="582"/>
      <c r="AB60" s="582"/>
      <c r="AC60" s="582"/>
      <c r="AD60" s="582"/>
      <c r="AE60" s="582"/>
      <c r="AF60" s="582"/>
      <c r="AG60" s="582"/>
      <c r="AH60" s="582"/>
      <c r="AI60" s="116"/>
      <c r="AJ60" s="582">
        <v>0</v>
      </c>
      <c r="AK60" s="582">
        <v>0</v>
      </c>
      <c r="AL60" s="582">
        <v>0</v>
      </c>
      <c r="AM60" s="582">
        <v>0</v>
      </c>
      <c r="AN60" s="4">
        <f t="shared" si="0"/>
        <v>0</v>
      </c>
      <c r="AQ60" s="83"/>
      <c r="AR60" s="41"/>
      <c r="AS60" s="41"/>
      <c r="AT60" s="41"/>
    </row>
    <row r="61" spans="1:46" ht="15.75" outlineLevel="1">
      <c r="A61" s="559">
        <v>2065</v>
      </c>
      <c r="B61" s="582">
        <v>0</v>
      </c>
      <c r="C61" s="582"/>
      <c r="D61" s="582">
        <v>2032.9268999999999</v>
      </c>
      <c r="E61" s="582"/>
      <c r="F61" s="582"/>
      <c r="G61" s="582"/>
      <c r="H61" s="582">
        <v>0</v>
      </c>
      <c r="I61" s="582">
        <v>20.8675</v>
      </c>
      <c r="J61" s="582"/>
      <c r="K61" s="582"/>
      <c r="L61" s="582"/>
      <c r="M61" s="582">
        <v>27.525700000000001</v>
      </c>
      <c r="N61" s="582"/>
      <c r="O61" s="582">
        <v>2420.7613999999999</v>
      </c>
      <c r="P61" s="582"/>
      <c r="Q61" s="582">
        <v>167.04339999999999</v>
      </c>
      <c r="R61" s="582"/>
      <c r="S61" s="582">
        <v>136.8356</v>
      </c>
      <c r="T61" s="582">
        <v>897.2713</v>
      </c>
      <c r="U61" s="582"/>
      <c r="V61" s="582"/>
      <c r="W61" s="582"/>
      <c r="X61" s="582"/>
      <c r="Y61" s="582"/>
      <c r="Z61" s="582"/>
      <c r="AA61" s="582"/>
      <c r="AB61" s="582"/>
      <c r="AC61" s="582"/>
      <c r="AD61" s="582"/>
      <c r="AE61" s="582"/>
      <c r="AF61" s="582"/>
      <c r="AG61" s="582"/>
      <c r="AH61" s="582"/>
      <c r="AI61" s="116"/>
      <c r="AJ61" s="582">
        <v>0</v>
      </c>
      <c r="AK61" s="582">
        <v>0</v>
      </c>
      <c r="AL61" s="582">
        <v>0</v>
      </c>
      <c r="AM61" s="582">
        <v>0</v>
      </c>
      <c r="AN61" s="4">
        <f t="shared" si="0"/>
        <v>0</v>
      </c>
      <c r="AQ61" s="83"/>
      <c r="AR61" s="41"/>
      <c r="AS61" s="41"/>
      <c r="AT61" s="41"/>
    </row>
    <row r="62" spans="1:46" ht="15.75" outlineLevel="1">
      <c r="A62" s="559">
        <v>2066</v>
      </c>
      <c r="B62" s="582">
        <v>0</v>
      </c>
      <c r="C62" s="582"/>
      <c r="D62" s="582">
        <v>1556.0245</v>
      </c>
      <c r="E62" s="582"/>
      <c r="F62" s="582"/>
      <c r="G62" s="582"/>
      <c r="H62" s="582">
        <v>0</v>
      </c>
      <c r="I62" s="582">
        <v>20.973199999999999</v>
      </c>
      <c r="J62" s="582"/>
      <c r="K62" s="582"/>
      <c r="L62" s="582"/>
      <c r="M62" s="582">
        <v>112.89</v>
      </c>
      <c r="N62" s="582"/>
      <c r="O62" s="582">
        <v>1852.5027</v>
      </c>
      <c r="P62" s="582"/>
      <c r="Q62" s="582">
        <v>167.0805</v>
      </c>
      <c r="R62" s="582"/>
      <c r="S62" s="582">
        <v>136.8356</v>
      </c>
      <c r="T62" s="582">
        <v>897.2713</v>
      </c>
      <c r="U62" s="582"/>
      <c r="V62" s="582"/>
      <c r="W62" s="582"/>
      <c r="X62" s="582"/>
      <c r="Y62" s="582"/>
      <c r="Z62" s="582"/>
      <c r="AA62" s="582"/>
      <c r="AB62" s="582"/>
      <c r="AC62" s="582"/>
      <c r="AD62" s="582"/>
      <c r="AE62" s="582"/>
      <c r="AF62" s="582"/>
      <c r="AG62" s="582"/>
      <c r="AH62" s="582"/>
      <c r="AI62" s="116"/>
      <c r="AJ62" s="582">
        <v>0</v>
      </c>
      <c r="AK62" s="582">
        <v>0</v>
      </c>
      <c r="AL62" s="582">
        <v>0</v>
      </c>
      <c r="AM62" s="582">
        <v>0</v>
      </c>
      <c r="AN62" s="4">
        <f t="shared" si="0"/>
        <v>0</v>
      </c>
      <c r="AQ62" s="83"/>
      <c r="AR62" s="41"/>
      <c r="AS62" s="41"/>
      <c r="AT62" s="41"/>
    </row>
    <row r="63" spans="1:46" ht="15.75" outlineLevel="1">
      <c r="A63" s="559">
        <v>2067</v>
      </c>
      <c r="B63" s="582">
        <v>0</v>
      </c>
      <c r="C63" s="582"/>
      <c r="D63" s="582">
        <v>980.73360000000002</v>
      </c>
      <c r="E63" s="582"/>
      <c r="F63" s="582"/>
      <c r="G63" s="582"/>
      <c r="H63" s="582">
        <v>0</v>
      </c>
      <c r="I63" s="582">
        <v>20.973199999999999</v>
      </c>
      <c r="J63" s="582"/>
      <c r="K63" s="582"/>
      <c r="L63" s="582"/>
      <c r="M63" s="582">
        <v>64.807199999999995</v>
      </c>
      <c r="N63" s="582"/>
      <c r="O63" s="582">
        <v>2260.7932999999998</v>
      </c>
      <c r="P63" s="582"/>
      <c r="Q63" s="582">
        <v>167.0805</v>
      </c>
      <c r="R63" s="582"/>
      <c r="S63" s="582">
        <v>136.8356</v>
      </c>
      <c r="T63" s="582">
        <v>897.2713</v>
      </c>
      <c r="U63" s="582"/>
      <c r="V63" s="582"/>
      <c r="W63" s="582"/>
      <c r="X63" s="582"/>
      <c r="Y63" s="582"/>
      <c r="Z63" s="582"/>
      <c r="AA63" s="582"/>
      <c r="AB63" s="582"/>
      <c r="AC63" s="582"/>
      <c r="AD63" s="582"/>
      <c r="AE63" s="582"/>
      <c r="AF63" s="582"/>
      <c r="AG63" s="582"/>
      <c r="AH63" s="582"/>
      <c r="AI63" s="116"/>
      <c r="AJ63" s="582">
        <v>0</v>
      </c>
      <c r="AK63" s="582">
        <v>0</v>
      </c>
      <c r="AL63" s="582">
        <v>0</v>
      </c>
      <c r="AM63" s="582">
        <v>0</v>
      </c>
      <c r="AN63" s="4">
        <f t="shared" si="0"/>
        <v>0</v>
      </c>
      <c r="AQ63" s="83"/>
      <c r="AR63" s="41"/>
      <c r="AS63" s="41"/>
      <c r="AT63" s="41"/>
    </row>
    <row r="64" spans="1:46" ht="15.75" outlineLevel="1">
      <c r="A64" s="559">
        <v>2068</v>
      </c>
      <c r="B64" s="582">
        <v>0</v>
      </c>
      <c r="C64" s="582"/>
      <c r="D64" s="582">
        <v>980.73360000000002</v>
      </c>
      <c r="E64" s="582"/>
      <c r="F64" s="582"/>
      <c r="G64" s="582"/>
      <c r="H64" s="582">
        <v>0</v>
      </c>
      <c r="I64" s="582">
        <v>20.973199999999999</v>
      </c>
      <c r="J64" s="582"/>
      <c r="K64" s="582"/>
      <c r="L64" s="582"/>
      <c r="M64" s="582">
        <v>37.281599999999997</v>
      </c>
      <c r="N64" s="582"/>
      <c r="O64" s="582">
        <v>2149.1192999999998</v>
      </c>
      <c r="P64" s="582"/>
      <c r="Q64" s="582">
        <v>167.0805</v>
      </c>
      <c r="R64" s="582"/>
      <c r="S64" s="582">
        <v>136.8356</v>
      </c>
      <c r="T64" s="582">
        <v>897.2713</v>
      </c>
      <c r="U64" s="582"/>
      <c r="V64" s="582"/>
      <c r="W64" s="582"/>
      <c r="X64" s="582"/>
      <c r="Y64" s="582"/>
      <c r="Z64" s="582"/>
      <c r="AA64" s="582"/>
      <c r="AB64" s="582"/>
      <c r="AC64" s="582"/>
      <c r="AD64" s="582"/>
      <c r="AE64" s="582"/>
      <c r="AF64" s="582"/>
      <c r="AG64" s="582"/>
      <c r="AH64" s="582"/>
      <c r="AI64" s="116"/>
      <c r="AJ64" s="582">
        <v>0</v>
      </c>
      <c r="AK64" s="582">
        <v>0</v>
      </c>
      <c r="AL64" s="582">
        <v>0</v>
      </c>
      <c r="AM64" s="582">
        <v>0</v>
      </c>
      <c r="AN64" s="4">
        <f t="shared" si="0"/>
        <v>0</v>
      </c>
      <c r="AQ64" s="83"/>
      <c r="AR64" s="41"/>
      <c r="AS64" s="41"/>
      <c r="AT64" s="41"/>
    </row>
    <row r="65" spans="1:49" ht="15.75" outlineLevel="1">
      <c r="A65" s="559">
        <v>2069</v>
      </c>
      <c r="B65" s="582">
        <v>0</v>
      </c>
      <c r="C65" s="582"/>
      <c r="D65" s="582">
        <v>1035.2188000000001</v>
      </c>
      <c r="E65" s="582"/>
      <c r="F65" s="582"/>
      <c r="G65" s="582"/>
      <c r="H65" s="582">
        <v>0</v>
      </c>
      <c r="I65" s="582">
        <v>20.973199999999999</v>
      </c>
      <c r="J65" s="582"/>
      <c r="K65" s="582"/>
      <c r="L65" s="582"/>
      <c r="M65" s="582">
        <v>52.2639</v>
      </c>
      <c r="N65" s="582"/>
      <c r="O65" s="582">
        <v>1772.5226</v>
      </c>
      <c r="P65" s="582"/>
      <c r="Q65" s="582">
        <v>167.0805</v>
      </c>
      <c r="R65" s="582"/>
      <c r="S65" s="582">
        <v>274.9511</v>
      </c>
      <c r="T65" s="582">
        <v>897.2713</v>
      </c>
      <c r="U65" s="582"/>
      <c r="V65" s="582"/>
      <c r="W65" s="582"/>
      <c r="X65" s="582"/>
      <c r="Y65" s="582"/>
      <c r="Z65" s="582"/>
      <c r="AA65" s="582"/>
      <c r="AB65" s="582"/>
      <c r="AC65" s="582"/>
      <c r="AD65" s="582"/>
      <c r="AE65" s="582"/>
      <c r="AF65" s="582"/>
      <c r="AG65" s="582"/>
      <c r="AH65" s="582"/>
      <c r="AI65" s="116"/>
      <c r="AJ65" s="582">
        <v>0</v>
      </c>
      <c r="AK65" s="582">
        <v>0</v>
      </c>
      <c r="AL65" s="582">
        <v>0</v>
      </c>
      <c r="AM65" s="582">
        <v>0</v>
      </c>
      <c r="AN65" s="4">
        <f t="shared" si="0"/>
        <v>0</v>
      </c>
      <c r="AQ65" s="83"/>
      <c r="AR65" s="41"/>
      <c r="AS65" s="41"/>
      <c r="AT65" s="41"/>
    </row>
    <row r="66" spans="1:49" ht="15.75" outlineLevel="1">
      <c r="A66" s="559">
        <v>2070</v>
      </c>
      <c r="B66" s="582">
        <v>0</v>
      </c>
      <c r="C66" s="582"/>
      <c r="D66" s="582">
        <v>1089.704</v>
      </c>
      <c r="E66" s="582"/>
      <c r="F66" s="582"/>
      <c r="G66" s="582"/>
      <c r="H66" s="582">
        <v>0</v>
      </c>
      <c r="I66" s="582">
        <v>91.849100000000007</v>
      </c>
      <c r="J66" s="582"/>
      <c r="K66" s="582"/>
      <c r="L66" s="582"/>
      <c r="M66" s="582">
        <v>154.0043</v>
      </c>
      <c r="N66" s="582"/>
      <c r="O66" s="582">
        <v>2705.9398999999999</v>
      </c>
      <c r="P66" s="582"/>
      <c r="Q66" s="582">
        <v>166.0471</v>
      </c>
      <c r="R66" s="582"/>
      <c r="S66" s="582">
        <v>200</v>
      </c>
      <c r="T66" s="582">
        <v>897.2713</v>
      </c>
      <c r="U66" s="582"/>
      <c r="V66" s="582"/>
      <c r="W66" s="582"/>
      <c r="X66" s="582"/>
      <c r="Y66" s="582"/>
      <c r="Z66" s="582"/>
      <c r="AA66" s="582"/>
      <c r="AB66" s="582"/>
      <c r="AC66" s="582"/>
      <c r="AD66" s="582"/>
      <c r="AE66" s="582"/>
      <c r="AF66" s="582"/>
      <c r="AG66" s="582"/>
      <c r="AH66" s="582"/>
      <c r="AI66" s="116"/>
      <c r="AJ66" s="582">
        <v>0</v>
      </c>
      <c r="AK66" s="582">
        <v>0</v>
      </c>
      <c r="AL66" s="582">
        <v>0</v>
      </c>
      <c r="AM66" s="582">
        <v>0</v>
      </c>
      <c r="AN66" s="4">
        <f t="shared" si="0"/>
        <v>0</v>
      </c>
      <c r="AQ66" s="83"/>
      <c r="AR66" s="41"/>
      <c r="AS66" s="41"/>
      <c r="AT66" s="41"/>
    </row>
    <row r="67" spans="1:49">
      <c r="A67" s="117" t="s">
        <v>290</v>
      </c>
      <c r="B67" s="585">
        <f>SUM(B11:B66)</f>
        <v>369.25</v>
      </c>
      <c r="C67" s="585">
        <f t="shared" ref="C67:AN67" si="1">SUM(C11:C66)</f>
        <v>0</v>
      </c>
      <c r="D67" s="585">
        <f t="shared" si="1"/>
        <v>39005.037100000009</v>
      </c>
      <c r="E67" s="585">
        <f t="shared" si="1"/>
        <v>0</v>
      </c>
      <c r="F67" s="585">
        <f t="shared" si="1"/>
        <v>0</v>
      </c>
      <c r="G67" s="585">
        <f t="shared" si="1"/>
        <v>0</v>
      </c>
      <c r="H67" s="585">
        <f t="shared" si="1"/>
        <v>161.14229999999998</v>
      </c>
      <c r="I67" s="585">
        <f t="shared" si="1"/>
        <v>1693.9756999999995</v>
      </c>
      <c r="J67" s="585">
        <f t="shared" si="1"/>
        <v>200</v>
      </c>
      <c r="K67" s="585">
        <f t="shared" si="1"/>
        <v>50</v>
      </c>
      <c r="L67" s="585">
        <f t="shared" si="1"/>
        <v>0</v>
      </c>
      <c r="M67" s="585">
        <f t="shared" si="1"/>
        <v>2077.6644999999994</v>
      </c>
      <c r="N67" s="585">
        <f t="shared" si="1"/>
        <v>0</v>
      </c>
      <c r="O67" s="585">
        <f t="shared" si="1"/>
        <v>46383.302099999986</v>
      </c>
      <c r="P67" s="585">
        <f t="shared" si="1"/>
        <v>0</v>
      </c>
      <c r="Q67" s="585">
        <f t="shared" si="1"/>
        <v>2802.2107999999998</v>
      </c>
      <c r="R67" s="585">
        <f t="shared" si="1"/>
        <v>0</v>
      </c>
      <c r="S67" s="585">
        <f t="shared" si="1"/>
        <v>5626.0216000000019</v>
      </c>
      <c r="T67" s="585">
        <f t="shared" si="1"/>
        <v>35400.283700000007</v>
      </c>
      <c r="U67" s="585">
        <f t="shared" si="1"/>
        <v>0</v>
      </c>
      <c r="V67" s="585">
        <f t="shared" si="1"/>
        <v>0</v>
      </c>
      <c r="W67" s="585">
        <f t="shared" si="1"/>
        <v>0</v>
      </c>
      <c r="X67" s="585">
        <f t="shared" si="1"/>
        <v>0</v>
      </c>
      <c r="Y67" s="585">
        <f t="shared" si="1"/>
        <v>0</v>
      </c>
      <c r="Z67" s="585">
        <f t="shared" si="1"/>
        <v>0</v>
      </c>
      <c r="AA67" s="585">
        <f t="shared" si="1"/>
        <v>0</v>
      </c>
      <c r="AB67" s="585">
        <f t="shared" si="1"/>
        <v>0</v>
      </c>
      <c r="AC67" s="585">
        <f t="shared" si="1"/>
        <v>0</v>
      </c>
      <c r="AD67" s="585">
        <f t="shared" si="1"/>
        <v>0</v>
      </c>
      <c r="AE67" s="585">
        <f t="shared" si="1"/>
        <v>0</v>
      </c>
      <c r="AF67" s="585">
        <f t="shared" si="1"/>
        <v>0</v>
      </c>
      <c r="AG67" s="585">
        <f t="shared" si="1"/>
        <v>0</v>
      </c>
      <c r="AH67" s="585">
        <f>SUM(AH11:AH66)</f>
        <v>0</v>
      </c>
      <c r="AI67" s="586"/>
      <c r="AJ67" s="585">
        <f t="shared" si="1"/>
        <v>155.57879999999994</v>
      </c>
      <c r="AK67" s="585">
        <f t="shared" si="1"/>
        <v>0</v>
      </c>
      <c r="AL67" s="585">
        <f t="shared" si="1"/>
        <v>607.9353000000001</v>
      </c>
      <c r="AM67" s="585">
        <f t="shared" si="1"/>
        <v>6.5679999999999996</v>
      </c>
      <c r="AN67" s="585">
        <f t="shared" si="1"/>
        <v>770.08209999999997</v>
      </c>
      <c r="AR67" s="41"/>
      <c r="AT67" s="41"/>
      <c r="AU67" s="41"/>
      <c r="AV67" s="41"/>
      <c r="AW67" s="41"/>
    </row>
    <row r="68" spans="1:49">
      <c r="A68" s="522"/>
      <c r="B68" s="44"/>
      <c r="C68" s="44"/>
      <c r="D68" s="44"/>
      <c r="E68" s="44"/>
      <c r="F68" s="44"/>
      <c r="G68" s="44"/>
      <c r="H68" s="44"/>
      <c r="I68" s="44"/>
      <c r="J68" s="44"/>
      <c r="K68" s="44"/>
      <c r="L68" s="44"/>
      <c r="M68" s="44"/>
      <c r="N68" s="44"/>
      <c r="O68" s="44"/>
      <c r="P68" s="44"/>
      <c r="Q68" s="44"/>
      <c r="R68" s="44"/>
      <c r="S68" s="44"/>
      <c r="T68" s="44"/>
      <c r="U68" s="44"/>
      <c r="V68" s="44"/>
      <c r="W68" s="44"/>
      <c r="X68" s="44"/>
      <c r="Y68" s="44"/>
      <c r="Z68" s="44"/>
      <c r="AA68" s="44"/>
      <c r="AB68" s="44"/>
      <c r="AC68" s="44"/>
      <c r="AD68" s="44"/>
      <c r="AE68" s="44"/>
      <c r="AF68" s="44"/>
      <c r="AG68" s="44"/>
      <c r="AH68" s="44"/>
      <c r="AI68" s="44"/>
      <c r="AJ68" s="44"/>
      <c r="AK68" s="44"/>
      <c r="AL68" s="44"/>
      <c r="AM68" s="44"/>
      <c r="AN68" s="44"/>
      <c r="AR68" s="41"/>
      <c r="AT68" s="41"/>
      <c r="AU68" s="41"/>
      <c r="AV68" s="41"/>
      <c r="AW68" s="41"/>
    </row>
    <row r="69" spans="1:49">
      <c r="A69" s="522"/>
      <c r="B69" s="44"/>
      <c r="C69" s="44"/>
      <c r="D69" s="44"/>
      <c r="E69" s="44"/>
      <c r="F69" s="44"/>
      <c r="G69" s="44"/>
      <c r="H69" s="44"/>
      <c r="I69" s="44"/>
      <c r="J69" s="44"/>
      <c r="K69" s="44"/>
      <c r="L69" s="44"/>
      <c r="M69" s="44"/>
      <c r="N69" s="44"/>
      <c r="O69" s="44"/>
      <c r="P69" s="44"/>
      <c r="Q69" s="44"/>
      <c r="R69" s="44"/>
      <c r="S69" s="44"/>
      <c r="T69" s="44"/>
      <c r="U69" s="44"/>
      <c r="V69" s="44"/>
      <c r="W69" s="44"/>
      <c r="X69" s="44"/>
      <c r="Y69" s="44"/>
      <c r="Z69" s="44"/>
      <c r="AA69" s="44"/>
      <c r="AB69" s="44"/>
      <c r="AC69" s="44"/>
      <c r="AD69" s="44"/>
      <c r="AE69" s="44"/>
      <c r="AF69" s="44"/>
      <c r="AG69" s="44"/>
      <c r="AH69" s="44"/>
      <c r="AI69" s="44"/>
      <c r="AJ69" s="44"/>
      <c r="AK69" s="44"/>
      <c r="AL69" s="44"/>
      <c r="AM69" s="44"/>
      <c r="AN69" s="44"/>
      <c r="AR69" s="41"/>
      <c r="AT69" s="41"/>
      <c r="AU69" s="41"/>
      <c r="AV69" s="41"/>
      <c r="AW69" s="41"/>
    </row>
    <row r="70" spans="1:49">
      <c r="AR70" s="41"/>
      <c r="AT70" s="41"/>
      <c r="AU70" s="41"/>
      <c r="AV70" s="41"/>
      <c r="AW70" s="41"/>
    </row>
    <row r="71" spans="1:49" ht="42" customHeight="1">
      <c r="A71" s="755" t="str">
        <f>"2)  "&amp;C5&amp;" OSeMOSYS Inputs"</f>
        <v>2)  LeastCost OSeMOSYS Inputs</v>
      </c>
      <c r="B71" s="755"/>
      <c r="C71" s="755"/>
      <c r="D71" s="755"/>
      <c r="E71" s="755"/>
      <c r="F71" s="755"/>
      <c r="G71" s="755"/>
      <c r="H71" s="755"/>
      <c r="I71" s="755"/>
      <c r="J71" s="755"/>
      <c r="K71" s="755"/>
      <c r="L71" s="755"/>
      <c r="M71" s="755"/>
      <c r="N71" s="755"/>
      <c r="O71" s="755"/>
      <c r="P71" s="755"/>
      <c r="Q71" s="755"/>
      <c r="R71" s="755"/>
      <c r="S71" s="755"/>
      <c r="T71" s="755"/>
      <c r="U71" s="755"/>
      <c r="V71" s="755"/>
      <c r="W71" s="755"/>
      <c r="X71" s="755"/>
      <c r="Y71" s="755"/>
      <c r="Z71" s="755"/>
      <c r="AA71" s="755"/>
      <c r="AB71" s="755"/>
      <c r="AC71" s="755"/>
      <c r="AD71" s="755"/>
      <c r="AE71" s="755"/>
      <c r="AF71" s="755"/>
      <c r="AG71" s="755"/>
      <c r="AH71" s="755"/>
      <c r="AI71" s="755"/>
      <c r="AJ71" s="755"/>
      <c r="AK71" s="755"/>
      <c r="AL71" s="755"/>
      <c r="AM71" s="755"/>
      <c r="AN71" s="755"/>
      <c r="AP71" s="41"/>
      <c r="AQ71" s="41"/>
      <c r="AR71" s="41"/>
      <c r="AS71" s="41"/>
      <c r="AT71" s="41"/>
      <c r="AU71" s="41"/>
      <c r="AV71" s="41"/>
      <c r="AW71" s="41"/>
    </row>
    <row r="72" spans="1:49" ht="28.05" customHeight="1">
      <c r="A72" s="514" t="str">
        <f>"From your "&amp;C5&amp;" scenario, copy and paste the results for each technology into the appropiate columns below."</f>
        <v>From your LeastCost scenario, copy and paste the results for each technology into the appropiate columns below.</v>
      </c>
      <c r="AI72" s="113"/>
      <c r="AP72" s="41"/>
      <c r="AQ72" s="41"/>
      <c r="AR72" s="41"/>
      <c r="AS72" s="41"/>
      <c r="AT72" s="41"/>
      <c r="AU72" s="41"/>
      <c r="AV72" s="41"/>
      <c r="AW72" s="41"/>
    </row>
    <row r="73" spans="1:49" ht="18">
      <c r="B73" s="766" t="s">
        <v>641</v>
      </c>
      <c r="C73" s="766"/>
      <c r="D73" s="766"/>
      <c r="E73" s="766"/>
      <c r="F73" s="766"/>
      <c r="G73" s="766"/>
      <c r="H73" s="766"/>
      <c r="I73" s="766"/>
      <c r="J73" s="766"/>
      <c r="K73" s="766"/>
      <c r="L73" s="766"/>
      <c r="M73" s="766"/>
      <c r="N73" s="766"/>
      <c r="O73" s="766"/>
      <c r="P73" s="766"/>
      <c r="Q73" s="766"/>
      <c r="R73" s="766"/>
      <c r="S73" s="766"/>
      <c r="T73" s="766"/>
      <c r="U73" s="766"/>
      <c r="V73" s="766"/>
      <c r="W73" s="766"/>
      <c r="X73" s="766"/>
      <c r="Y73" s="766"/>
      <c r="Z73" s="766"/>
      <c r="AA73" s="766"/>
      <c r="AB73" s="766"/>
      <c r="AC73" s="766"/>
      <c r="AD73" s="766"/>
      <c r="AE73" s="766"/>
      <c r="AF73" s="766"/>
      <c r="AG73" s="766"/>
      <c r="AH73" s="530"/>
      <c r="AI73" s="113"/>
      <c r="AJ73" s="766" t="s">
        <v>627</v>
      </c>
      <c r="AK73" s="766"/>
      <c r="AL73" s="766"/>
      <c r="AM73" s="766"/>
      <c r="AN73" s="115"/>
      <c r="AP73" s="41"/>
      <c r="AQ73" s="41"/>
      <c r="AR73" s="41"/>
      <c r="AS73" s="41"/>
      <c r="AT73" s="41"/>
      <c r="AU73" s="41"/>
      <c r="AV73" s="41"/>
      <c r="AW73" s="41"/>
    </row>
    <row r="74" spans="1:49" ht="15.75">
      <c r="A74" s="2"/>
      <c r="B74" s="555" t="str">
        <f>B10</f>
        <v>PWRBIO001</v>
      </c>
      <c r="C74" s="555" t="str">
        <f t="shared" ref="C74:AH74" si="2">C10</f>
        <v>PWRCOA001</v>
      </c>
      <c r="D74" s="555" t="str">
        <f t="shared" si="2"/>
        <v>PWRGEO</v>
      </c>
      <c r="E74" s="555" t="str">
        <f t="shared" si="2"/>
        <v>PWROHC001</v>
      </c>
      <c r="F74" s="555" t="str">
        <f t="shared" si="2"/>
        <v>PWROHC002</v>
      </c>
      <c r="G74" s="555" t="str">
        <f t="shared" si="2"/>
        <v>PWRNGS001</v>
      </c>
      <c r="H74" s="555" t="str">
        <f t="shared" si="2"/>
        <v>PWRNGS002</v>
      </c>
      <c r="I74" s="555" t="str">
        <f t="shared" si="2"/>
        <v>PWRSOL001</v>
      </c>
      <c r="J74" s="555" t="str">
        <f t="shared" si="2"/>
        <v>PWRCSP001</v>
      </c>
      <c r="K74" s="555" t="str">
        <f t="shared" si="2"/>
        <v>PWRCSP002</v>
      </c>
      <c r="L74" s="555" t="str">
        <f t="shared" si="2"/>
        <v>PWRHYD001</v>
      </c>
      <c r="M74" s="555" t="str">
        <f t="shared" si="2"/>
        <v>PWRHYD002</v>
      </c>
      <c r="N74" s="555" t="str">
        <f t="shared" si="2"/>
        <v>PWRHYD003</v>
      </c>
      <c r="O74" s="555" t="str">
        <f t="shared" si="2"/>
        <v>PWRWND001</v>
      </c>
      <c r="P74" s="555" t="str">
        <f t="shared" si="2"/>
        <v>PWRWND002</v>
      </c>
      <c r="Q74" s="555" t="str">
        <f t="shared" si="2"/>
        <v>PWRNUC</v>
      </c>
      <c r="R74" s="555" t="str">
        <f t="shared" si="2"/>
        <v>PWRTRN</v>
      </c>
      <c r="S74" s="555" t="str">
        <f t="shared" si="2"/>
        <v>PWRDIST</v>
      </c>
      <c r="T74" s="555" t="str">
        <f t="shared" si="2"/>
        <v>PWROHC003</v>
      </c>
      <c r="U74" s="555" t="str">
        <f t="shared" si="2"/>
        <v>PWRSOL002</v>
      </c>
      <c r="V74" s="555" t="str">
        <f t="shared" si="2"/>
        <v>PWRHYD004</v>
      </c>
      <c r="W74" s="555" t="str">
        <f t="shared" si="2"/>
        <v>PWRSOL001S</v>
      </c>
      <c r="X74" s="555" t="str">
        <f t="shared" si="2"/>
        <v>PWRWND001S</v>
      </c>
      <c r="Y74" s="555" t="str">
        <f t="shared" si="2"/>
        <v>BESS</v>
      </c>
      <c r="Z74" s="555" t="str">
        <f t="shared" si="2"/>
        <v/>
      </c>
      <c r="AA74" s="555" t="str">
        <f t="shared" si="2"/>
        <v/>
      </c>
      <c r="AB74" s="555" t="str">
        <f t="shared" si="2"/>
        <v/>
      </c>
      <c r="AC74" s="555" t="str">
        <f t="shared" si="2"/>
        <v/>
      </c>
      <c r="AD74" s="555" t="str">
        <f t="shared" si="2"/>
        <v/>
      </c>
      <c r="AE74" s="555" t="str">
        <f t="shared" si="2"/>
        <v/>
      </c>
      <c r="AF74" s="555" t="str">
        <f t="shared" si="2"/>
        <v/>
      </c>
      <c r="AG74" s="555" t="str">
        <f t="shared" si="2"/>
        <v/>
      </c>
      <c r="AH74" s="555" t="str">
        <f t="shared" si="2"/>
        <v/>
      </c>
      <c r="AI74" s="113"/>
      <c r="AJ74" s="558" t="s">
        <v>628</v>
      </c>
      <c r="AK74" s="558" t="s">
        <v>630</v>
      </c>
      <c r="AL74" s="558" t="s">
        <v>632</v>
      </c>
      <c r="AM74" s="558" t="s">
        <v>642</v>
      </c>
      <c r="AN74" s="558" t="s">
        <v>643</v>
      </c>
      <c r="AP74" s="41"/>
      <c r="AQ74" s="41"/>
      <c r="AR74" s="41"/>
      <c r="AS74" s="41"/>
      <c r="AT74" s="41"/>
      <c r="AU74" s="41"/>
    </row>
    <row r="75" spans="1:49" ht="15.75" outlineLevel="1">
      <c r="A75" s="559">
        <v>2015</v>
      </c>
      <c r="B75" s="583">
        <v>0</v>
      </c>
      <c r="C75" s="583"/>
      <c r="D75" s="583">
        <v>0</v>
      </c>
      <c r="E75" s="583"/>
      <c r="F75" s="583"/>
      <c r="G75" s="583"/>
      <c r="H75" s="583">
        <v>0</v>
      </c>
      <c r="I75" s="583">
        <v>0</v>
      </c>
      <c r="J75" s="583"/>
      <c r="K75" s="583"/>
      <c r="L75" s="583"/>
      <c r="M75" s="583">
        <v>0</v>
      </c>
      <c r="N75" s="583"/>
      <c r="O75" s="583">
        <v>0</v>
      </c>
      <c r="P75" s="583"/>
      <c r="Q75" s="583"/>
      <c r="R75" s="583"/>
      <c r="S75" s="583">
        <v>0</v>
      </c>
      <c r="T75" s="583">
        <v>0</v>
      </c>
      <c r="U75" s="583"/>
      <c r="V75" s="583"/>
      <c r="W75" s="583"/>
      <c r="X75" s="583"/>
      <c r="Y75" s="583"/>
      <c r="Z75" s="583"/>
      <c r="AA75" s="584"/>
      <c r="AB75" s="584"/>
      <c r="AC75" s="584"/>
      <c r="AD75" s="584"/>
      <c r="AE75" s="584"/>
      <c r="AF75" s="584"/>
      <c r="AG75" s="584"/>
      <c r="AH75" s="584"/>
      <c r="AI75" s="113"/>
      <c r="AJ75" s="583">
        <v>0</v>
      </c>
      <c r="AK75" s="583">
        <v>0</v>
      </c>
      <c r="AL75" s="583">
        <v>0</v>
      </c>
      <c r="AM75" s="583">
        <v>0</v>
      </c>
      <c r="AN75" s="114">
        <f>SUM(AJ75:AM75)</f>
        <v>0</v>
      </c>
      <c r="AP75" s="41"/>
      <c r="AQ75" s="41"/>
      <c r="AR75" s="41"/>
      <c r="AS75" s="41"/>
      <c r="AT75" s="41"/>
      <c r="AU75" s="41"/>
    </row>
    <row r="76" spans="1:49" ht="15.75" outlineLevel="1">
      <c r="A76" s="559">
        <v>2016</v>
      </c>
      <c r="B76" s="583">
        <v>0</v>
      </c>
      <c r="C76" s="583"/>
      <c r="D76" s="583">
        <v>0</v>
      </c>
      <c r="E76" s="583"/>
      <c r="F76" s="583"/>
      <c r="G76" s="583"/>
      <c r="H76" s="583">
        <v>0</v>
      </c>
      <c r="I76" s="583">
        <v>0</v>
      </c>
      <c r="J76" s="583"/>
      <c r="K76" s="583"/>
      <c r="L76" s="583"/>
      <c r="M76" s="583">
        <v>0</v>
      </c>
      <c r="N76" s="583"/>
      <c r="O76" s="583">
        <v>0</v>
      </c>
      <c r="P76" s="583"/>
      <c r="Q76" s="583"/>
      <c r="R76" s="583"/>
      <c r="S76" s="583">
        <v>0</v>
      </c>
      <c r="T76" s="583">
        <v>0</v>
      </c>
      <c r="U76" s="583"/>
      <c r="V76" s="583"/>
      <c r="W76" s="583"/>
      <c r="X76" s="583"/>
      <c r="Y76" s="583"/>
      <c r="Z76" s="583"/>
      <c r="AA76" s="584"/>
      <c r="AB76" s="584"/>
      <c r="AC76" s="584"/>
      <c r="AD76" s="584"/>
      <c r="AE76" s="584"/>
      <c r="AF76" s="584"/>
      <c r="AG76" s="584"/>
      <c r="AH76" s="584"/>
      <c r="AI76" s="113"/>
      <c r="AJ76" s="583">
        <v>0</v>
      </c>
      <c r="AK76" s="583">
        <v>0</v>
      </c>
      <c r="AL76" s="583">
        <v>0</v>
      </c>
      <c r="AM76" s="583">
        <v>0</v>
      </c>
      <c r="AN76" s="114">
        <f t="shared" ref="AN76:AN130" si="3">SUM(AJ76:AM76)</f>
        <v>0</v>
      </c>
      <c r="AP76" s="41"/>
      <c r="AQ76" s="41"/>
      <c r="AR76" s="41"/>
      <c r="AS76" s="41"/>
      <c r="AT76" s="41"/>
      <c r="AU76" s="41"/>
    </row>
    <row r="77" spans="1:49" ht="15.75" outlineLevel="1">
      <c r="A77" s="559">
        <v>2017</v>
      </c>
      <c r="B77" s="583">
        <v>0</v>
      </c>
      <c r="C77" s="583"/>
      <c r="D77" s="583">
        <v>0</v>
      </c>
      <c r="E77" s="583"/>
      <c r="F77" s="583"/>
      <c r="G77" s="583"/>
      <c r="H77" s="583">
        <v>0</v>
      </c>
      <c r="I77" s="583">
        <v>0</v>
      </c>
      <c r="J77" s="583"/>
      <c r="K77" s="583"/>
      <c r="L77" s="583"/>
      <c r="M77" s="583">
        <v>0</v>
      </c>
      <c r="N77" s="583"/>
      <c r="O77" s="583">
        <v>0</v>
      </c>
      <c r="P77" s="583"/>
      <c r="Q77" s="583"/>
      <c r="R77" s="583"/>
      <c r="S77" s="583">
        <v>0</v>
      </c>
      <c r="T77" s="583">
        <v>0</v>
      </c>
      <c r="U77" s="583"/>
      <c r="V77" s="583"/>
      <c r="W77" s="583"/>
      <c r="X77" s="583"/>
      <c r="Y77" s="583"/>
      <c r="Z77" s="583"/>
      <c r="AA77" s="584"/>
      <c r="AB77" s="584"/>
      <c r="AC77" s="584"/>
      <c r="AD77" s="584"/>
      <c r="AE77" s="584"/>
      <c r="AF77" s="584"/>
      <c r="AG77" s="584"/>
      <c r="AH77" s="584"/>
      <c r="AI77" s="113"/>
      <c r="AJ77" s="583">
        <v>0</v>
      </c>
      <c r="AK77" s="583">
        <v>0</v>
      </c>
      <c r="AL77" s="583">
        <v>0</v>
      </c>
      <c r="AM77" s="583">
        <v>0</v>
      </c>
      <c r="AN77" s="114">
        <f t="shared" si="3"/>
        <v>0</v>
      </c>
      <c r="AP77" s="41"/>
      <c r="AQ77" s="41"/>
      <c r="AR77" s="41"/>
      <c r="AS77" s="41"/>
      <c r="AT77" s="41"/>
      <c r="AU77" s="41"/>
    </row>
    <row r="78" spans="1:49" ht="15.75" outlineLevel="1">
      <c r="A78" s="559">
        <v>2018</v>
      </c>
      <c r="B78" s="583">
        <v>0</v>
      </c>
      <c r="C78" s="583"/>
      <c r="D78" s="583">
        <v>0</v>
      </c>
      <c r="E78" s="583"/>
      <c r="F78" s="583"/>
      <c r="G78" s="583"/>
      <c r="H78" s="583">
        <v>0</v>
      </c>
      <c r="I78" s="583">
        <v>0</v>
      </c>
      <c r="J78" s="583"/>
      <c r="K78" s="583"/>
      <c r="L78" s="583"/>
      <c r="M78" s="583">
        <v>0</v>
      </c>
      <c r="N78" s="583"/>
      <c r="O78" s="583">
        <v>0</v>
      </c>
      <c r="P78" s="583"/>
      <c r="Q78" s="583"/>
      <c r="R78" s="583"/>
      <c r="S78" s="583">
        <v>0</v>
      </c>
      <c r="T78" s="583">
        <v>0</v>
      </c>
      <c r="U78" s="583"/>
      <c r="V78" s="583"/>
      <c r="W78" s="583"/>
      <c r="X78" s="583"/>
      <c r="Y78" s="583"/>
      <c r="Z78" s="583"/>
      <c r="AA78" s="584"/>
      <c r="AB78" s="584"/>
      <c r="AC78" s="584"/>
      <c r="AD78" s="584"/>
      <c r="AE78" s="584"/>
      <c r="AF78" s="584"/>
      <c r="AG78" s="584"/>
      <c r="AH78" s="584"/>
      <c r="AI78" s="113"/>
      <c r="AJ78" s="583">
        <v>0</v>
      </c>
      <c r="AK78" s="583">
        <v>0</v>
      </c>
      <c r="AL78" s="583">
        <v>0</v>
      </c>
      <c r="AM78" s="583">
        <v>0</v>
      </c>
      <c r="AN78" s="114">
        <f t="shared" si="3"/>
        <v>0</v>
      </c>
      <c r="AP78" s="41"/>
      <c r="AQ78" s="41"/>
      <c r="AR78" s="41"/>
      <c r="AS78" s="41"/>
      <c r="AT78" s="41"/>
      <c r="AU78" s="41"/>
    </row>
    <row r="79" spans="1:49" ht="15.75" outlineLevel="1">
      <c r="A79" s="559">
        <v>2019</v>
      </c>
      <c r="B79" s="583">
        <v>0</v>
      </c>
      <c r="C79" s="583"/>
      <c r="D79" s="583">
        <v>0</v>
      </c>
      <c r="E79" s="583"/>
      <c r="F79" s="583"/>
      <c r="G79" s="583"/>
      <c r="H79" s="583">
        <v>0</v>
      </c>
      <c r="I79" s="583">
        <v>0</v>
      </c>
      <c r="J79" s="583"/>
      <c r="K79" s="583"/>
      <c r="L79" s="583"/>
      <c r="M79" s="583">
        <v>0</v>
      </c>
      <c r="N79" s="583"/>
      <c r="O79" s="583">
        <v>0</v>
      </c>
      <c r="P79" s="583"/>
      <c r="Q79" s="583"/>
      <c r="R79" s="583"/>
      <c r="S79" s="583">
        <v>138.1155</v>
      </c>
      <c r="T79" s="583">
        <v>734.31439999999998</v>
      </c>
      <c r="U79" s="583"/>
      <c r="V79" s="583"/>
      <c r="W79" s="583"/>
      <c r="X79" s="583"/>
      <c r="Y79" s="583"/>
      <c r="Z79" s="583"/>
      <c r="AA79" s="584"/>
      <c r="AB79" s="584"/>
      <c r="AC79" s="584"/>
      <c r="AD79" s="584"/>
      <c r="AE79" s="584"/>
      <c r="AF79" s="584"/>
      <c r="AG79" s="584"/>
      <c r="AH79" s="584"/>
      <c r="AI79" s="113"/>
      <c r="AJ79" s="583">
        <v>0.14430000000000001</v>
      </c>
      <c r="AK79" s="583">
        <v>0</v>
      </c>
      <c r="AL79" s="583">
        <v>84.217600000000004</v>
      </c>
      <c r="AM79" s="583">
        <v>0</v>
      </c>
      <c r="AN79" s="114">
        <f t="shared" si="3"/>
        <v>84.361900000000006</v>
      </c>
      <c r="AP79" s="41"/>
      <c r="AQ79" s="41"/>
      <c r="AR79" s="41"/>
      <c r="AS79" s="41"/>
      <c r="AT79" s="41"/>
      <c r="AU79" s="41"/>
    </row>
    <row r="80" spans="1:49" ht="15.75" outlineLevel="1">
      <c r="A80" s="559">
        <v>2020</v>
      </c>
      <c r="B80" s="583">
        <v>0</v>
      </c>
      <c r="C80" s="583"/>
      <c r="D80" s="583">
        <v>0</v>
      </c>
      <c r="E80" s="583"/>
      <c r="F80" s="583"/>
      <c r="G80" s="583"/>
      <c r="H80" s="583">
        <v>0</v>
      </c>
      <c r="I80" s="583">
        <v>0</v>
      </c>
      <c r="J80" s="583"/>
      <c r="K80" s="583"/>
      <c r="L80" s="583"/>
      <c r="M80" s="583">
        <v>0</v>
      </c>
      <c r="N80" s="583"/>
      <c r="O80" s="583">
        <v>0</v>
      </c>
      <c r="P80" s="583"/>
      <c r="Q80" s="583"/>
      <c r="R80" s="583"/>
      <c r="S80" s="583">
        <v>12.554500000000001</v>
      </c>
      <c r="T80" s="583">
        <v>82.323400000000007</v>
      </c>
      <c r="U80" s="583"/>
      <c r="V80" s="583"/>
      <c r="W80" s="583"/>
      <c r="X80" s="583"/>
      <c r="Y80" s="583"/>
      <c r="Z80" s="583"/>
      <c r="AA80" s="584"/>
      <c r="AB80" s="584"/>
      <c r="AC80" s="584"/>
      <c r="AD80" s="584"/>
      <c r="AE80" s="584"/>
      <c r="AF80" s="584"/>
      <c r="AG80" s="584"/>
      <c r="AH80" s="584"/>
      <c r="AI80" s="113"/>
      <c r="AJ80" s="583">
        <v>0.14430000000000001</v>
      </c>
      <c r="AK80" s="583">
        <v>0</v>
      </c>
      <c r="AL80" s="583">
        <v>96.112399999999994</v>
      </c>
      <c r="AM80" s="583">
        <v>0</v>
      </c>
      <c r="AN80" s="114">
        <f t="shared" si="3"/>
        <v>96.256699999999995</v>
      </c>
      <c r="AP80" s="41"/>
      <c r="AQ80" s="41"/>
      <c r="AR80" s="41"/>
      <c r="AS80" s="41"/>
      <c r="AT80" s="41"/>
      <c r="AU80" s="41"/>
    </row>
    <row r="81" spans="1:47" ht="15.75" outlineLevel="1">
      <c r="A81" s="559">
        <v>2021</v>
      </c>
      <c r="B81" s="583">
        <v>0</v>
      </c>
      <c r="C81" s="583"/>
      <c r="D81" s="583">
        <v>0</v>
      </c>
      <c r="E81" s="583"/>
      <c r="F81" s="583"/>
      <c r="G81" s="583"/>
      <c r="H81" s="583">
        <v>0</v>
      </c>
      <c r="I81" s="583">
        <v>101.9736</v>
      </c>
      <c r="J81" s="583"/>
      <c r="K81" s="583"/>
      <c r="L81" s="583"/>
      <c r="M81" s="583">
        <v>0</v>
      </c>
      <c r="N81" s="583"/>
      <c r="O81" s="583">
        <v>178.26599999999999</v>
      </c>
      <c r="P81" s="583"/>
      <c r="Q81" s="583"/>
      <c r="R81" s="583"/>
      <c r="S81" s="583">
        <v>32.344099999999997</v>
      </c>
      <c r="T81" s="583">
        <v>212.0898</v>
      </c>
      <c r="U81" s="583"/>
      <c r="V81" s="583"/>
      <c r="W81" s="583"/>
      <c r="X81" s="583"/>
      <c r="Y81" s="583"/>
      <c r="Z81" s="583"/>
      <c r="AA81" s="584"/>
      <c r="AB81" s="584"/>
      <c r="AC81" s="584"/>
      <c r="AD81" s="584"/>
      <c r="AE81" s="584"/>
      <c r="AF81" s="584"/>
      <c r="AG81" s="584"/>
      <c r="AH81" s="584"/>
      <c r="AI81" s="113"/>
      <c r="AJ81" s="583">
        <v>0.14430000000000001</v>
      </c>
      <c r="AK81" s="583">
        <v>0</v>
      </c>
      <c r="AL81" s="583">
        <v>109.65090000000001</v>
      </c>
      <c r="AM81" s="583">
        <v>0</v>
      </c>
      <c r="AN81" s="114">
        <f t="shared" si="3"/>
        <v>109.79520000000001</v>
      </c>
      <c r="AP81" s="41"/>
      <c r="AQ81" s="41"/>
      <c r="AR81" s="41"/>
      <c r="AS81" s="41"/>
      <c r="AT81" s="41"/>
      <c r="AU81" s="41"/>
    </row>
    <row r="82" spans="1:47" ht="15.75" outlineLevel="1">
      <c r="A82" s="559">
        <v>2022</v>
      </c>
      <c r="B82" s="583">
        <v>0</v>
      </c>
      <c r="C82" s="583"/>
      <c r="D82" s="583">
        <v>280.30450000000002</v>
      </c>
      <c r="E82" s="583"/>
      <c r="F82" s="583"/>
      <c r="G82" s="583"/>
      <c r="H82" s="583">
        <v>0</v>
      </c>
      <c r="I82" s="583">
        <v>48.651200000000003</v>
      </c>
      <c r="J82" s="583"/>
      <c r="K82" s="583"/>
      <c r="L82" s="583"/>
      <c r="M82" s="583">
        <v>0</v>
      </c>
      <c r="N82" s="583"/>
      <c r="O82" s="583">
        <v>0</v>
      </c>
      <c r="P82" s="583"/>
      <c r="Q82" s="583"/>
      <c r="R82" s="583"/>
      <c r="S82" s="583">
        <v>24.630800000000001</v>
      </c>
      <c r="T82" s="583">
        <v>161.51150000000001</v>
      </c>
      <c r="U82" s="583"/>
      <c r="V82" s="583"/>
      <c r="W82" s="583"/>
      <c r="X82" s="583"/>
      <c r="Y82" s="583"/>
      <c r="Z82" s="583"/>
      <c r="AA82" s="584"/>
      <c r="AB82" s="584"/>
      <c r="AC82" s="584"/>
      <c r="AD82" s="584"/>
      <c r="AE82" s="584"/>
      <c r="AF82" s="584"/>
      <c r="AG82" s="584"/>
      <c r="AH82" s="584"/>
      <c r="AI82" s="113"/>
      <c r="AJ82" s="583">
        <v>0.14430000000000001</v>
      </c>
      <c r="AK82" s="583">
        <v>0</v>
      </c>
      <c r="AL82" s="583">
        <v>42.374400000000001</v>
      </c>
      <c r="AM82" s="583">
        <v>0</v>
      </c>
      <c r="AN82" s="114">
        <f t="shared" si="3"/>
        <v>42.518700000000003</v>
      </c>
      <c r="AP82" s="41"/>
      <c r="AQ82" s="41"/>
      <c r="AR82" s="41"/>
      <c r="AS82" s="41"/>
      <c r="AT82" s="41"/>
      <c r="AU82" s="41"/>
    </row>
    <row r="83" spans="1:47" ht="15.75" outlineLevel="1">
      <c r="A83" s="559">
        <v>2023</v>
      </c>
      <c r="B83" s="583">
        <v>3.5</v>
      </c>
      <c r="C83" s="583"/>
      <c r="D83" s="583">
        <v>120.36499999999999</v>
      </c>
      <c r="E83" s="583"/>
      <c r="F83" s="583"/>
      <c r="G83" s="583"/>
      <c r="H83" s="583">
        <v>0</v>
      </c>
      <c r="I83" s="583">
        <v>48.094700000000003</v>
      </c>
      <c r="J83" s="583"/>
      <c r="K83" s="583"/>
      <c r="L83" s="583"/>
      <c r="M83" s="583">
        <v>25.435099999999998</v>
      </c>
      <c r="N83" s="583"/>
      <c r="O83" s="583">
        <v>0</v>
      </c>
      <c r="P83" s="583"/>
      <c r="Q83" s="583"/>
      <c r="R83" s="583"/>
      <c r="S83" s="583">
        <v>21.6159</v>
      </c>
      <c r="T83" s="583">
        <v>141.74160000000001</v>
      </c>
      <c r="U83" s="583"/>
      <c r="V83" s="583"/>
      <c r="W83" s="583"/>
      <c r="X83" s="583"/>
      <c r="Y83" s="583"/>
      <c r="Z83" s="583"/>
      <c r="AA83" s="584"/>
      <c r="AB83" s="584"/>
      <c r="AC83" s="584"/>
      <c r="AD83" s="584"/>
      <c r="AE83" s="584"/>
      <c r="AF83" s="584"/>
      <c r="AG83" s="584"/>
      <c r="AH83" s="584"/>
      <c r="AI83" s="113"/>
      <c r="AJ83" s="583">
        <v>0.24529999999999999</v>
      </c>
      <c r="AK83" s="583">
        <v>0</v>
      </c>
      <c r="AL83" s="583">
        <v>43.772400000000005</v>
      </c>
      <c r="AM83" s="583">
        <v>0</v>
      </c>
      <c r="AN83" s="114">
        <f t="shared" si="3"/>
        <v>44.017700000000005</v>
      </c>
      <c r="AP83" s="41"/>
      <c r="AQ83" s="41"/>
      <c r="AR83" s="41"/>
      <c r="AS83" s="41"/>
      <c r="AT83" s="41"/>
      <c r="AU83" s="41"/>
    </row>
    <row r="84" spans="1:47" ht="15.75" outlineLevel="1">
      <c r="A84" s="559">
        <v>2024</v>
      </c>
      <c r="B84" s="583">
        <v>0</v>
      </c>
      <c r="C84" s="583"/>
      <c r="D84" s="583">
        <v>0</v>
      </c>
      <c r="E84" s="583"/>
      <c r="F84" s="583"/>
      <c r="G84" s="583"/>
      <c r="H84" s="583">
        <v>0</v>
      </c>
      <c r="I84" s="583">
        <v>43.410400000000003</v>
      </c>
      <c r="J84" s="583"/>
      <c r="K84" s="583"/>
      <c r="L84" s="583"/>
      <c r="M84" s="583">
        <v>8.7105999999999995</v>
      </c>
      <c r="N84" s="583"/>
      <c r="O84" s="583">
        <v>0</v>
      </c>
      <c r="P84" s="583"/>
      <c r="Q84" s="583"/>
      <c r="R84" s="583"/>
      <c r="S84" s="583">
        <v>26.380800000000001</v>
      </c>
      <c r="T84" s="583">
        <v>172.98689999999999</v>
      </c>
      <c r="U84" s="583"/>
      <c r="V84" s="583"/>
      <c r="W84" s="583"/>
      <c r="X84" s="583"/>
      <c r="Y84" s="583"/>
      <c r="Z84" s="583"/>
      <c r="AA84" s="584"/>
      <c r="AB84" s="584"/>
      <c r="AC84" s="584"/>
      <c r="AD84" s="584"/>
      <c r="AE84" s="584"/>
      <c r="AF84" s="584"/>
      <c r="AG84" s="584"/>
      <c r="AH84" s="584"/>
      <c r="AI84" s="113"/>
      <c r="AJ84" s="583">
        <v>0.24529999999999999</v>
      </c>
      <c r="AK84" s="583">
        <v>0</v>
      </c>
      <c r="AL84" s="583">
        <v>67.939099999999996</v>
      </c>
      <c r="AM84" s="583">
        <v>0</v>
      </c>
      <c r="AN84" s="114">
        <f t="shared" si="3"/>
        <v>68.184399999999997</v>
      </c>
      <c r="AP84" s="41"/>
      <c r="AQ84" s="41"/>
      <c r="AR84" s="41"/>
      <c r="AS84" s="41"/>
      <c r="AT84" s="41"/>
      <c r="AU84" s="41"/>
    </row>
    <row r="85" spans="1:47" ht="15.75" outlineLevel="1">
      <c r="A85" s="559">
        <v>2025</v>
      </c>
      <c r="B85" s="583">
        <v>50</v>
      </c>
      <c r="C85" s="583"/>
      <c r="D85" s="583">
        <v>278.2473</v>
      </c>
      <c r="E85" s="583"/>
      <c r="F85" s="583"/>
      <c r="G85" s="583"/>
      <c r="H85" s="583">
        <v>0</v>
      </c>
      <c r="I85" s="583">
        <v>0</v>
      </c>
      <c r="J85" s="583"/>
      <c r="K85" s="583"/>
      <c r="L85" s="583"/>
      <c r="M85" s="583">
        <v>1.0452999999999999</v>
      </c>
      <c r="N85" s="583"/>
      <c r="O85" s="583">
        <v>19.0608</v>
      </c>
      <c r="P85" s="583"/>
      <c r="Q85" s="583"/>
      <c r="R85" s="583"/>
      <c r="S85" s="583">
        <v>29.242000000000001</v>
      </c>
      <c r="T85" s="583">
        <v>191.74850000000001</v>
      </c>
      <c r="U85" s="583"/>
      <c r="V85" s="583"/>
      <c r="W85" s="583"/>
      <c r="X85" s="583"/>
      <c r="Y85" s="583"/>
      <c r="Z85" s="583"/>
      <c r="AA85" s="584"/>
      <c r="AB85" s="584"/>
      <c r="AC85" s="584"/>
      <c r="AD85" s="584"/>
      <c r="AE85" s="584"/>
      <c r="AF85" s="584"/>
      <c r="AG85" s="584"/>
      <c r="AH85" s="584"/>
      <c r="AI85" s="113"/>
      <c r="AJ85" s="583">
        <v>0.24529999999999999</v>
      </c>
      <c r="AK85" s="583">
        <v>0</v>
      </c>
      <c r="AL85" s="583">
        <v>44.804900000000004</v>
      </c>
      <c r="AM85" s="583">
        <v>0</v>
      </c>
      <c r="AN85" s="114">
        <f t="shared" si="3"/>
        <v>45.050200000000004</v>
      </c>
      <c r="AP85" s="41"/>
      <c r="AQ85" s="41"/>
      <c r="AR85" s="41"/>
      <c r="AS85" s="41"/>
      <c r="AT85" s="41"/>
      <c r="AU85" s="41"/>
    </row>
    <row r="86" spans="1:47" ht="15.75" outlineLevel="1">
      <c r="A86" s="559">
        <v>2026</v>
      </c>
      <c r="B86" s="583">
        <v>25</v>
      </c>
      <c r="C86" s="583"/>
      <c r="D86" s="583">
        <v>544.25279999999998</v>
      </c>
      <c r="E86" s="583"/>
      <c r="F86" s="583"/>
      <c r="G86" s="583"/>
      <c r="H86" s="583">
        <v>0</v>
      </c>
      <c r="I86" s="583">
        <v>41.154000000000003</v>
      </c>
      <c r="J86" s="583"/>
      <c r="K86" s="583"/>
      <c r="L86" s="583"/>
      <c r="M86" s="583">
        <v>86.409599999999998</v>
      </c>
      <c r="N86" s="583"/>
      <c r="O86" s="583">
        <v>86.871499999999997</v>
      </c>
      <c r="P86" s="583"/>
      <c r="Q86" s="583"/>
      <c r="R86" s="583"/>
      <c r="S86" s="583">
        <v>25.7349</v>
      </c>
      <c r="T86" s="583">
        <v>168.75149999999999</v>
      </c>
      <c r="U86" s="583"/>
      <c r="V86" s="583"/>
      <c r="W86" s="583"/>
      <c r="X86" s="583"/>
      <c r="Y86" s="583"/>
      <c r="Z86" s="583"/>
      <c r="AA86" s="584"/>
      <c r="AB86" s="584"/>
      <c r="AC86" s="584"/>
      <c r="AD86" s="584"/>
      <c r="AE86" s="584"/>
      <c r="AF86" s="584"/>
      <c r="AG86" s="584"/>
      <c r="AH86" s="584"/>
      <c r="AI86" s="113"/>
      <c r="AJ86" s="583">
        <v>0.9667</v>
      </c>
      <c r="AK86" s="583">
        <v>0</v>
      </c>
      <c r="AL86" s="583">
        <v>6.9344999999999999</v>
      </c>
      <c r="AM86" s="583">
        <v>0</v>
      </c>
      <c r="AN86" s="114">
        <f t="shared" si="3"/>
        <v>7.9012000000000002</v>
      </c>
      <c r="AP86" s="41"/>
      <c r="AQ86" s="41"/>
      <c r="AR86" s="41"/>
      <c r="AS86" s="41"/>
      <c r="AT86" s="41"/>
      <c r="AU86" s="41"/>
    </row>
    <row r="87" spans="1:47" ht="15.75" outlineLevel="1">
      <c r="A87" s="559">
        <v>2027</v>
      </c>
      <c r="B87" s="583">
        <v>0</v>
      </c>
      <c r="C87" s="583"/>
      <c r="D87" s="583">
        <v>403.99560000000002</v>
      </c>
      <c r="E87" s="583"/>
      <c r="F87" s="583"/>
      <c r="G87" s="583"/>
      <c r="H87" s="583">
        <v>50.550600000000003</v>
      </c>
      <c r="I87" s="583">
        <v>0</v>
      </c>
      <c r="J87" s="583"/>
      <c r="K87" s="583"/>
      <c r="L87" s="583"/>
      <c r="M87" s="583">
        <v>38.326900000000002</v>
      </c>
      <c r="N87" s="583"/>
      <c r="O87" s="583">
        <v>225.8115</v>
      </c>
      <c r="P87" s="583"/>
      <c r="Q87" s="583"/>
      <c r="R87" s="583"/>
      <c r="S87" s="583">
        <v>48.560299999999998</v>
      </c>
      <c r="T87" s="583">
        <v>318.42430000000002</v>
      </c>
      <c r="U87" s="583"/>
      <c r="V87" s="583"/>
      <c r="W87" s="583"/>
      <c r="X87" s="583"/>
      <c r="Y87" s="583"/>
      <c r="Z87" s="583"/>
      <c r="AA87" s="584"/>
      <c r="AB87" s="584"/>
      <c r="AC87" s="584"/>
      <c r="AD87" s="584"/>
      <c r="AE87" s="584"/>
      <c r="AF87" s="584"/>
      <c r="AG87" s="584"/>
      <c r="AH87" s="584"/>
      <c r="AI87" s="113"/>
      <c r="AJ87" s="583">
        <v>0.9667</v>
      </c>
      <c r="AK87" s="583">
        <v>0</v>
      </c>
      <c r="AL87" s="583">
        <v>11.676599999999999</v>
      </c>
      <c r="AM87" s="583">
        <v>0</v>
      </c>
      <c r="AN87" s="114">
        <f t="shared" si="3"/>
        <v>12.643299999999998</v>
      </c>
      <c r="AP87" s="41"/>
      <c r="AQ87" s="41"/>
      <c r="AR87" s="41"/>
      <c r="AS87" s="41"/>
      <c r="AT87" s="41"/>
      <c r="AU87" s="41"/>
    </row>
    <row r="88" spans="1:47" ht="15.75" outlineLevel="1">
      <c r="A88" s="559">
        <v>2028</v>
      </c>
      <c r="B88" s="583">
        <v>20</v>
      </c>
      <c r="C88" s="583"/>
      <c r="D88" s="583">
        <v>331.83539999999999</v>
      </c>
      <c r="E88" s="583"/>
      <c r="F88" s="583"/>
      <c r="G88" s="583"/>
      <c r="H88" s="583">
        <v>19.853100000000001</v>
      </c>
      <c r="I88" s="583">
        <v>0</v>
      </c>
      <c r="J88" s="583"/>
      <c r="K88" s="583"/>
      <c r="L88" s="583"/>
      <c r="M88" s="583">
        <v>10.8012</v>
      </c>
      <c r="N88" s="583"/>
      <c r="O88" s="583">
        <v>170.52600000000001</v>
      </c>
      <c r="P88" s="583"/>
      <c r="Q88" s="583"/>
      <c r="R88" s="583"/>
      <c r="S88" s="583">
        <v>53.113199999999999</v>
      </c>
      <c r="T88" s="583">
        <v>348.27910000000003</v>
      </c>
      <c r="U88" s="583"/>
      <c r="V88" s="583"/>
      <c r="W88" s="583"/>
      <c r="X88" s="583"/>
      <c r="Y88" s="583"/>
      <c r="Z88" s="583"/>
      <c r="AA88" s="584"/>
      <c r="AB88" s="584"/>
      <c r="AC88" s="584"/>
      <c r="AD88" s="584"/>
      <c r="AE88" s="584"/>
      <c r="AF88" s="584"/>
      <c r="AG88" s="584"/>
      <c r="AH88" s="584"/>
      <c r="AI88" s="113"/>
      <c r="AJ88" s="583">
        <v>1.5438000000000001</v>
      </c>
      <c r="AK88" s="583">
        <v>0</v>
      </c>
      <c r="AL88" s="583">
        <v>13.588699999999999</v>
      </c>
      <c r="AM88" s="583">
        <v>0</v>
      </c>
      <c r="AN88" s="114">
        <f t="shared" si="3"/>
        <v>15.1325</v>
      </c>
      <c r="AP88" s="41"/>
      <c r="AQ88" s="41"/>
      <c r="AR88" s="41"/>
      <c r="AS88" s="41"/>
      <c r="AT88" s="41"/>
      <c r="AU88" s="41"/>
    </row>
    <row r="89" spans="1:47" ht="15.75" outlineLevel="1">
      <c r="A89" s="559">
        <v>2029</v>
      </c>
      <c r="B89" s="583">
        <v>0</v>
      </c>
      <c r="C89" s="583"/>
      <c r="D89" s="583">
        <v>1158.2438999999999</v>
      </c>
      <c r="E89" s="583"/>
      <c r="F89" s="583"/>
      <c r="G89" s="583"/>
      <c r="H89" s="583">
        <v>0</v>
      </c>
      <c r="I89" s="583">
        <v>0</v>
      </c>
      <c r="J89" s="583"/>
      <c r="K89" s="583"/>
      <c r="L89" s="583"/>
      <c r="M89" s="583">
        <v>25.7835</v>
      </c>
      <c r="N89" s="583"/>
      <c r="O89" s="583">
        <v>0</v>
      </c>
      <c r="P89" s="583"/>
      <c r="Q89" s="583"/>
      <c r="R89" s="583"/>
      <c r="S89" s="583">
        <v>59.975700000000003</v>
      </c>
      <c r="T89" s="583">
        <v>393.27809999999999</v>
      </c>
      <c r="U89" s="583"/>
      <c r="V89" s="583"/>
      <c r="W89" s="583"/>
      <c r="X89" s="583"/>
      <c r="Y89" s="583"/>
      <c r="Z89" s="583"/>
      <c r="AA89" s="584"/>
      <c r="AB89" s="584"/>
      <c r="AC89" s="584"/>
      <c r="AD89" s="584"/>
      <c r="AE89" s="584"/>
      <c r="AF89" s="584"/>
      <c r="AG89" s="584"/>
      <c r="AH89" s="584"/>
      <c r="AI89" s="113"/>
      <c r="AJ89" s="583">
        <v>1.5438000000000001</v>
      </c>
      <c r="AK89" s="583">
        <v>0</v>
      </c>
      <c r="AL89" s="583">
        <v>10.5913</v>
      </c>
      <c r="AM89" s="583">
        <v>0</v>
      </c>
      <c r="AN89" s="114">
        <f t="shared" si="3"/>
        <v>12.135100000000001</v>
      </c>
      <c r="AP89" s="41"/>
      <c r="AQ89" s="41"/>
      <c r="AR89" s="41"/>
      <c r="AS89" s="41"/>
      <c r="AT89" s="41"/>
      <c r="AU89" s="41"/>
    </row>
    <row r="90" spans="1:47" ht="15.75" outlineLevel="1">
      <c r="A90" s="559">
        <v>2030</v>
      </c>
      <c r="B90" s="583">
        <v>120.5</v>
      </c>
      <c r="C90" s="583"/>
      <c r="D90" s="583">
        <v>217.36670000000001</v>
      </c>
      <c r="E90" s="583"/>
      <c r="F90" s="583"/>
      <c r="G90" s="583"/>
      <c r="H90" s="583">
        <v>114.6921</v>
      </c>
      <c r="I90" s="583">
        <v>0</v>
      </c>
      <c r="J90" s="583"/>
      <c r="K90" s="583"/>
      <c r="L90" s="583"/>
      <c r="M90" s="583">
        <v>127.5239</v>
      </c>
      <c r="N90" s="583"/>
      <c r="O90" s="583">
        <v>165.63650000000001</v>
      </c>
      <c r="P90" s="583"/>
      <c r="Q90" s="583"/>
      <c r="R90" s="583"/>
      <c r="S90" s="583">
        <v>58.653599999999997</v>
      </c>
      <c r="T90" s="583">
        <v>384.60899999999998</v>
      </c>
      <c r="U90" s="583"/>
      <c r="V90" s="583"/>
      <c r="W90" s="583"/>
      <c r="X90" s="583"/>
      <c r="Y90" s="583"/>
      <c r="Z90" s="583"/>
      <c r="AA90" s="584"/>
      <c r="AB90" s="584"/>
      <c r="AC90" s="584"/>
      <c r="AD90" s="584"/>
      <c r="AE90" s="584"/>
      <c r="AF90" s="584"/>
      <c r="AG90" s="584"/>
      <c r="AH90" s="584"/>
      <c r="AI90" s="113"/>
      <c r="AJ90" s="583">
        <v>5.0209000000000001</v>
      </c>
      <c r="AK90" s="583">
        <v>0</v>
      </c>
      <c r="AL90" s="583">
        <v>16.0609</v>
      </c>
      <c r="AM90" s="583">
        <v>0</v>
      </c>
      <c r="AN90" s="114">
        <f t="shared" si="3"/>
        <v>21.081800000000001</v>
      </c>
      <c r="AP90" s="41"/>
      <c r="AQ90" s="41"/>
      <c r="AR90" s="41"/>
      <c r="AS90" s="41"/>
      <c r="AT90" s="41"/>
      <c r="AU90" s="41"/>
    </row>
    <row r="91" spans="1:47" ht="15.75" outlineLevel="1">
      <c r="A91" s="559">
        <v>2031</v>
      </c>
      <c r="B91" s="583">
        <v>50</v>
      </c>
      <c r="C91" s="583"/>
      <c r="D91" s="583">
        <v>578.79539999999997</v>
      </c>
      <c r="E91" s="583"/>
      <c r="F91" s="583"/>
      <c r="G91" s="583"/>
      <c r="H91" s="583">
        <v>115.5132</v>
      </c>
      <c r="I91" s="583">
        <v>0</v>
      </c>
      <c r="J91" s="583"/>
      <c r="K91" s="583"/>
      <c r="L91" s="583"/>
      <c r="M91" s="583">
        <v>97.907700000000006</v>
      </c>
      <c r="N91" s="583"/>
      <c r="O91" s="583">
        <v>0</v>
      </c>
      <c r="P91" s="583"/>
      <c r="Q91" s="583"/>
      <c r="R91" s="583"/>
      <c r="S91" s="583">
        <v>56.011000000000003</v>
      </c>
      <c r="T91" s="583">
        <v>367.28100000000001</v>
      </c>
      <c r="U91" s="583"/>
      <c r="V91" s="583"/>
      <c r="W91" s="583"/>
      <c r="X91" s="583"/>
      <c r="Y91" s="583"/>
      <c r="Z91" s="583"/>
      <c r="AA91" s="584"/>
      <c r="AB91" s="584"/>
      <c r="AC91" s="584"/>
      <c r="AD91" s="584"/>
      <c r="AE91" s="584"/>
      <c r="AF91" s="584"/>
      <c r="AG91" s="584"/>
      <c r="AH91" s="584"/>
      <c r="AI91" s="113"/>
      <c r="AJ91" s="583">
        <v>6.4637000000000002</v>
      </c>
      <c r="AK91" s="583">
        <v>0</v>
      </c>
      <c r="AL91" s="583">
        <v>17.769500000000001</v>
      </c>
      <c r="AM91" s="583">
        <v>9.7100000000000006E-2</v>
      </c>
      <c r="AN91" s="114">
        <f t="shared" si="3"/>
        <v>24.330300000000001</v>
      </c>
      <c r="AP91" s="41"/>
      <c r="AQ91" s="41"/>
      <c r="AR91" s="41"/>
      <c r="AS91" s="41"/>
      <c r="AT91" s="41"/>
      <c r="AU91" s="41"/>
    </row>
    <row r="92" spans="1:47" ht="15.75" outlineLevel="1">
      <c r="A92" s="559">
        <v>2032</v>
      </c>
      <c r="B92" s="583">
        <v>27</v>
      </c>
      <c r="C92" s="583"/>
      <c r="D92" s="583">
        <v>163.4556</v>
      </c>
      <c r="E92" s="583"/>
      <c r="F92" s="583"/>
      <c r="G92" s="583"/>
      <c r="H92" s="583">
        <v>25.967300000000002</v>
      </c>
      <c r="I92" s="583">
        <v>0</v>
      </c>
      <c r="J92" s="583"/>
      <c r="K92" s="583"/>
      <c r="L92" s="583"/>
      <c r="M92" s="583">
        <v>63.413499999999999</v>
      </c>
      <c r="N92" s="583"/>
      <c r="O92" s="583">
        <v>480.786</v>
      </c>
      <c r="P92" s="583"/>
      <c r="Q92" s="583"/>
      <c r="R92" s="583"/>
      <c r="S92" s="583">
        <v>64.762</v>
      </c>
      <c r="T92" s="583">
        <v>424.66340000000002</v>
      </c>
      <c r="U92" s="583"/>
      <c r="V92" s="583"/>
      <c r="W92" s="583"/>
      <c r="X92" s="583"/>
      <c r="Y92" s="583"/>
      <c r="Z92" s="583"/>
      <c r="AA92" s="584"/>
      <c r="AB92" s="584"/>
      <c r="AC92" s="584"/>
      <c r="AD92" s="584"/>
      <c r="AE92" s="584"/>
      <c r="AF92" s="584"/>
      <c r="AG92" s="584"/>
      <c r="AH92" s="584"/>
      <c r="AI92" s="113"/>
      <c r="AJ92" s="583">
        <v>7.2427999999999999</v>
      </c>
      <c r="AK92" s="583">
        <v>0</v>
      </c>
      <c r="AL92" s="583">
        <v>19.541</v>
      </c>
      <c r="AM92" s="583">
        <v>0.35589999999999999</v>
      </c>
      <c r="AN92" s="114">
        <f t="shared" si="3"/>
        <v>27.139699999999998</v>
      </c>
      <c r="AP92" s="41"/>
      <c r="AQ92" s="41"/>
      <c r="AR92" s="41"/>
      <c r="AS92" s="41"/>
      <c r="AT92" s="41"/>
      <c r="AU92" s="41"/>
    </row>
    <row r="93" spans="1:47" ht="15.75" outlineLevel="1">
      <c r="A93" s="559">
        <v>2033</v>
      </c>
      <c r="B93" s="583">
        <v>7.5</v>
      </c>
      <c r="C93" s="583"/>
      <c r="D93" s="583">
        <v>163.4556</v>
      </c>
      <c r="E93" s="583"/>
      <c r="F93" s="583"/>
      <c r="G93" s="583"/>
      <c r="H93" s="583">
        <v>28.8673</v>
      </c>
      <c r="I93" s="583">
        <v>0</v>
      </c>
      <c r="J93" s="583"/>
      <c r="K93" s="583"/>
      <c r="L93" s="583"/>
      <c r="M93" s="583">
        <v>112.1932</v>
      </c>
      <c r="N93" s="583"/>
      <c r="O93" s="583">
        <v>475.0684</v>
      </c>
      <c r="P93" s="583"/>
      <c r="Q93" s="583"/>
      <c r="R93" s="583"/>
      <c r="S93" s="583">
        <v>62.931399999999996</v>
      </c>
      <c r="T93" s="583">
        <v>412.65969999999999</v>
      </c>
      <c r="U93" s="583"/>
      <c r="V93" s="583"/>
      <c r="W93" s="583"/>
      <c r="X93" s="583"/>
      <c r="Y93" s="583"/>
      <c r="Z93" s="583"/>
      <c r="AA93" s="584"/>
      <c r="AB93" s="584"/>
      <c r="AC93" s="584"/>
      <c r="AD93" s="584"/>
      <c r="AE93" s="584"/>
      <c r="AF93" s="584"/>
      <c r="AG93" s="584"/>
      <c r="AH93" s="584"/>
      <c r="AI93" s="113"/>
      <c r="AJ93" s="583">
        <v>7.4592999999999998</v>
      </c>
      <c r="AK93" s="583">
        <v>0</v>
      </c>
      <c r="AL93" s="583">
        <v>21.908899999999999</v>
      </c>
      <c r="AM93" s="583">
        <v>0.61619999999999997</v>
      </c>
      <c r="AN93" s="114">
        <f t="shared" si="3"/>
        <v>29.984399999999997</v>
      </c>
      <c r="AP93" s="41"/>
      <c r="AQ93" s="41"/>
      <c r="AR93" s="41"/>
      <c r="AS93" s="41"/>
      <c r="AT93" s="41"/>
      <c r="AU93" s="41"/>
    </row>
    <row r="94" spans="1:47" ht="15.75" outlineLevel="1">
      <c r="A94" s="559">
        <v>2034</v>
      </c>
      <c r="B94" s="583">
        <v>15</v>
      </c>
      <c r="C94" s="583"/>
      <c r="D94" s="583">
        <v>695.12519999999995</v>
      </c>
      <c r="E94" s="583"/>
      <c r="F94" s="583"/>
      <c r="G94" s="583"/>
      <c r="H94" s="583">
        <v>10.184799999999999</v>
      </c>
      <c r="I94" s="583">
        <v>0</v>
      </c>
      <c r="J94" s="583"/>
      <c r="K94" s="583"/>
      <c r="L94" s="583"/>
      <c r="M94" s="583">
        <v>87.454899999999995</v>
      </c>
      <c r="N94" s="583"/>
      <c r="O94" s="583">
        <v>62.561799999999998</v>
      </c>
      <c r="P94" s="583"/>
      <c r="Q94" s="583"/>
      <c r="R94" s="583"/>
      <c r="S94" s="583">
        <v>68.7988</v>
      </c>
      <c r="T94" s="583">
        <v>451.13389999999998</v>
      </c>
      <c r="U94" s="583"/>
      <c r="V94" s="583"/>
      <c r="W94" s="583"/>
      <c r="X94" s="583"/>
      <c r="Y94" s="583"/>
      <c r="Z94" s="583"/>
      <c r="AA94" s="584"/>
      <c r="AB94" s="584"/>
      <c r="AC94" s="584"/>
      <c r="AD94" s="584"/>
      <c r="AE94" s="584"/>
      <c r="AF94" s="584"/>
      <c r="AG94" s="584"/>
      <c r="AH94" s="584"/>
      <c r="AI94" s="113"/>
      <c r="AJ94" s="583">
        <v>7.8921000000000001</v>
      </c>
      <c r="AK94" s="583">
        <v>0</v>
      </c>
      <c r="AL94" s="583">
        <v>3.2412000000000001</v>
      </c>
      <c r="AM94" s="583">
        <v>0.58330000000000004</v>
      </c>
      <c r="AN94" s="114">
        <f t="shared" si="3"/>
        <v>11.7166</v>
      </c>
      <c r="AP94" s="41"/>
      <c r="AQ94" s="41"/>
      <c r="AR94" s="41"/>
      <c r="AS94" s="41"/>
      <c r="AT94" s="41"/>
      <c r="AU94" s="41"/>
    </row>
    <row r="95" spans="1:47" ht="15.75" outlineLevel="1">
      <c r="A95" s="559">
        <v>2035</v>
      </c>
      <c r="B95" s="583">
        <v>0.75</v>
      </c>
      <c r="C95" s="583"/>
      <c r="D95" s="583">
        <v>217.9408</v>
      </c>
      <c r="E95" s="583"/>
      <c r="F95" s="583"/>
      <c r="G95" s="583"/>
      <c r="H95" s="583">
        <v>109.11669999999999</v>
      </c>
      <c r="I95" s="583">
        <v>0</v>
      </c>
      <c r="J95" s="583"/>
      <c r="K95" s="583"/>
      <c r="L95" s="583"/>
      <c r="M95" s="583">
        <v>110.45099999999999</v>
      </c>
      <c r="N95" s="583"/>
      <c r="O95" s="583">
        <v>602.62620000000004</v>
      </c>
      <c r="P95" s="583"/>
      <c r="Q95" s="583"/>
      <c r="R95" s="583"/>
      <c r="S95" s="583">
        <v>71.349999999999994</v>
      </c>
      <c r="T95" s="583">
        <v>467.86290000000002</v>
      </c>
      <c r="U95" s="583"/>
      <c r="V95" s="583"/>
      <c r="W95" s="583"/>
      <c r="X95" s="583"/>
      <c r="Y95" s="583"/>
      <c r="Z95" s="583"/>
      <c r="AA95" s="584"/>
      <c r="AB95" s="584"/>
      <c r="AC95" s="584"/>
      <c r="AD95" s="584"/>
      <c r="AE95" s="584"/>
      <c r="AF95" s="584"/>
      <c r="AG95" s="584"/>
      <c r="AH95" s="584"/>
      <c r="AI95" s="113"/>
      <c r="AJ95" s="583">
        <v>7.9138000000000002</v>
      </c>
      <c r="AK95" s="583">
        <v>0</v>
      </c>
      <c r="AL95" s="583">
        <v>4.2149000000000001</v>
      </c>
      <c r="AM95" s="583">
        <v>3.6842999999999999</v>
      </c>
      <c r="AN95" s="114">
        <f t="shared" si="3"/>
        <v>15.813000000000001</v>
      </c>
      <c r="AP95" s="41"/>
      <c r="AQ95" s="41"/>
      <c r="AR95" s="41"/>
      <c r="AS95" s="41"/>
      <c r="AT95" s="41"/>
      <c r="AU95" s="41"/>
    </row>
    <row r="96" spans="1:47" ht="15.75" outlineLevel="1">
      <c r="A96" s="559">
        <v>2036</v>
      </c>
      <c r="B96" s="583">
        <v>0</v>
      </c>
      <c r="C96" s="583"/>
      <c r="D96" s="583">
        <v>749.61040000000003</v>
      </c>
      <c r="E96" s="583"/>
      <c r="F96" s="583"/>
      <c r="G96" s="583"/>
      <c r="H96" s="583">
        <v>22.480599999999999</v>
      </c>
      <c r="I96" s="583">
        <v>0</v>
      </c>
      <c r="J96" s="583"/>
      <c r="K96" s="583"/>
      <c r="L96" s="583"/>
      <c r="M96" s="583">
        <v>97.210899999999995</v>
      </c>
      <c r="N96" s="583"/>
      <c r="O96" s="583">
        <v>0</v>
      </c>
      <c r="P96" s="583"/>
      <c r="Q96" s="583"/>
      <c r="R96" s="583"/>
      <c r="S96" s="583">
        <v>73.215599999999995</v>
      </c>
      <c r="T96" s="583">
        <v>480.09649999999999</v>
      </c>
      <c r="U96" s="583"/>
      <c r="V96" s="583"/>
      <c r="W96" s="583"/>
      <c r="X96" s="583"/>
      <c r="Y96" s="583"/>
      <c r="Z96" s="583"/>
      <c r="AA96" s="584"/>
      <c r="AB96" s="584"/>
      <c r="AC96" s="584"/>
      <c r="AD96" s="584"/>
      <c r="AE96" s="584"/>
      <c r="AF96" s="584"/>
      <c r="AG96" s="584"/>
      <c r="AH96" s="584"/>
      <c r="AI96" s="113"/>
      <c r="AJ96" s="583">
        <v>7.9138000000000002</v>
      </c>
      <c r="AK96" s="583">
        <v>0</v>
      </c>
      <c r="AL96" s="583">
        <v>0</v>
      </c>
      <c r="AM96" s="583">
        <v>4.5391000000000004</v>
      </c>
      <c r="AN96" s="114">
        <f t="shared" si="3"/>
        <v>12.4529</v>
      </c>
      <c r="AP96" s="41"/>
      <c r="AQ96" s="41"/>
      <c r="AR96" s="41"/>
      <c r="AS96" s="41"/>
      <c r="AT96" s="41"/>
      <c r="AU96" s="41"/>
    </row>
    <row r="97" spans="1:47" ht="15.75" outlineLevel="1">
      <c r="A97" s="559">
        <v>2037</v>
      </c>
      <c r="B97" s="583">
        <v>44.5</v>
      </c>
      <c r="C97" s="583"/>
      <c r="D97" s="583">
        <v>616.32600000000002</v>
      </c>
      <c r="E97" s="583"/>
      <c r="F97" s="583"/>
      <c r="G97" s="583"/>
      <c r="H97" s="583">
        <v>50.414299999999997</v>
      </c>
      <c r="I97" s="583">
        <v>0</v>
      </c>
      <c r="J97" s="583"/>
      <c r="K97" s="583"/>
      <c r="L97" s="583"/>
      <c r="M97" s="583">
        <v>12.5433</v>
      </c>
      <c r="N97" s="583"/>
      <c r="O97" s="583">
        <v>138.78319999999999</v>
      </c>
      <c r="P97" s="583"/>
      <c r="Q97" s="583"/>
      <c r="R97" s="583"/>
      <c r="S97" s="583">
        <v>87.906400000000005</v>
      </c>
      <c r="T97" s="583">
        <v>576.42809999999997</v>
      </c>
      <c r="U97" s="583"/>
      <c r="V97" s="583"/>
      <c r="W97" s="583"/>
      <c r="X97" s="583"/>
      <c r="Y97" s="583"/>
      <c r="Z97" s="583"/>
      <c r="AA97" s="584"/>
      <c r="AB97" s="584"/>
      <c r="AC97" s="584"/>
      <c r="AD97" s="584"/>
      <c r="AE97" s="584"/>
      <c r="AF97" s="584"/>
      <c r="AG97" s="584"/>
      <c r="AH97" s="584"/>
      <c r="AI97" s="113"/>
      <c r="AJ97" s="583">
        <v>9.1978000000000009</v>
      </c>
      <c r="AK97" s="583">
        <v>0</v>
      </c>
      <c r="AL97" s="583">
        <v>0</v>
      </c>
      <c r="AM97" s="583">
        <v>6.1292</v>
      </c>
      <c r="AN97" s="114">
        <f t="shared" si="3"/>
        <v>15.327000000000002</v>
      </c>
      <c r="AP97" s="41"/>
      <c r="AQ97" s="41"/>
      <c r="AR97" s="41"/>
      <c r="AS97" s="41"/>
      <c r="AT97" s="41"/>
      <c r="AU97" s="41"/>
    </row>
    <row r="98" spans="1:47" ht="15.75" outlineLevel="1">
      <c r="A98" s="559">
        <v>2038</v>
      </c>
      <c r="B98" s="583">
        <v>22.25</v>
      </c>
      <c r="C98" s="583"/>
      <c r="D98" s="583">
        <v>561.84079999999994</v>
      </c>
      <c r="E98" s="583"/>
      <c r="F98" s="583"/>
      <c r="G98" s="583"/>
      <c r="H98" s="583">
        <v>0</v>
      </c>
      <c r="I98" s="583">
        <v>48.6462</v>
      </c>
      <c r="J98" s="583"/>
      <c r="K98" s="583"/>
      <c r="L98" s="583"/>
      <c r="M98" s="583">
        <v>13.5886</v>
      </c>
      <c r="N98" s="583"/>
      <c r="O98" s="583">
        <v>970.18200000000002</v>
      </c>
      <c r="P98" s="583"/>
      <c r="Q98" s="583"/>
      <c r="R98" s="583"/>
      <c r="S98" s="583">
        <v>91.569699999999997</v>
      </c>
      <c r="T98" s="583">
        <v>600.44949999999994</v>
      </c>
      <c r="U98" s="583"/>
      <c r="V98" s="583"/>
      <c r="W98" s="583"/>
      <c r="X98" s="583"/>
      <c r="Y98" s="583"/>
      <c r="Z98" s="583"/>
      <c r="AA98" s="584"/>
      <c r="AB98" s="584"/>
      <c r="AC98" s="584"/>
      <c r="AD98" s="584"/>
      <c r="AE98" s="584"/>
      <c r="AF98" s="584"/>
      <c r="AG98" s="584"/>
      <c r="AH98" s="584"/>
      <c r="AI98" s="113"/>
      <c r="AJ98" s="583">
        <v>9.8399000000000001</v>
      </c>
      <c r="AK98" s="583">
        <v>0</v>
      </c>
      <c r="AL98" s="583">
        <v>0</v>
      </c>
      <c r="AM98" s="583">
        <v>6.0228999999999999</v>
      </c>
      <c r="AN98" s="114">
        <f t="shared" si="3"/>
        <v>15.8628</v>
      </c>
      <c r="AP98" s="41"/>
      <c r="AQ98" s="41"/>
      <c r="AR98" s="41"/>
      <c r="AS98" s="41"/>
      <c r="AT98" s="41"/>
      <c r="AU98" s="41"/>
    </row>
    <row r="99" spans="1:47" ht="15.75" outlineLevel="1">
      <c r="A99" s="559">
        <v>2039</v>
      </c>
      <c r="B99" s="583">
        <v>0</v>
      </c>
      <c r="C99" s="583"/>
      <c r="D99" s="583">
        <v>1012.8712</v>
      </c>
      <c r="E99" s="583"/>
      <c r="F99" s="583"/>
      <c r="G99" s="583"/>
      <c r="H99" s="583">
        <v>0</v>
      </c>
      <c r="I99" s="583">
        <v>0</v>
      </c>
      <c r="J99" s="583"/>
      <c r="K99" s="583"/>
      <c r="L99" s="583"/>
      <c r="M99" s="583">
        <v>14.633900000000001</v>
      </c>
      <c r="N99" s="583"/>
      <c r="O99" s="583">
        <v>0</v>
      </c>
      <c r="P99" s="583"/>
      <c r="Q99" s="583"/>
      <c r="R99" s="583"/>
      <c r="S99" s="583">
        <v>96.819100000000006</v>
      </c>
      <c r="T99" s="583">
        <v>634.87180000000001</v>
      </c>
      <c r="U99" s="583"/>
      <c r="V99" s="583"/>
      <c r="W99" s="583"/>
      <c r="X99" s="583"/>
      <c r="Y99" s="583"/>
      <c r="Z99" s="583"/>
      <c r="AA99" s="584"/>
      <c r="AB99" s="584"/>
      <c r="AC99" s="584"/>
      <c r="AD99" s="584"/>
      <c r="AE99" s="584"/>
      <c r="AF99" s="584"/>
      <c r="AG99" s="584"/>
      <c r="AH99" s="584"/>
      <c r="AI99" s="113"/>
      <c r="AJ99" s="583">
        <v>9.8399000000000001</v>
      </c>
      <c r="AK99" s="583">
        <v>0</v>
      </c>
      <c r="AL99" s="583">
        <v>0</v>
      </c>
      <c r="AM99" s="583">
        <v>7.1981999999999999</v>
      </c>
      <c r="AN99" s="114">
        <f t="shared" si="3"/>
        <v>17.0381</v>
      </c>
      <c r="AP99" s="41"/>
      <c r="AQ99" s="41"/>
      <c r="AR99" s="41"/>
      <c r="AS99" s="41"/>
      <c r="AT99" s="41"/>
      <c r="AU99" s="41"/>
    </row>
    <row r="100" spans="1:47" ht="15.75" outlineLevel="1">
      <c r="A100" s="559">
        <v>2040</v>
      </c>
      <c r="B100" s="583">
        <v>0</v>
      </c>
      <c r="C100" s="583"/>
      <c r="D100" s="583">
        <v>1402.0608999999999</v>
      </c>
      <c r="E100" s="583"/>
      <c r="F100" s="583"/>
      <c r="G100" s="583"/>
      <c r="H100" s="583">
        <v>0</v>
      </c>
      <c r="I100" s="583">
        <v>0</v>
      </c>
      <c r="J100" s="583"/>
      <c r="K100" s="583"/>
      <c r="L100" s="583"/>
      <c r="M100" s="583">
        <v>16.376000000000001</v>
      </c>
      <c r="N100" s="583"/>
      <c r="O100" s="583">
        <v>0</v>
      </c>
      <c r="P100" s="583"/>
      <c r="Q100" s="583"/>
      <c r="R100" s="583"/>
      <c r="S100" s="583">
        <v>102.651</v>
      </c>
      <c r="T100" s="583">
        <v>673.11329999999998</v>
      </c>
      <c r="U100" s="583"/>
      <c r="V100" s="583"/>
      <c r="W100" s="583"/>
      <c r="X100" s="583"/>
      <c r="Y100" s="583"/>
      <c r="Z100" s="583"/>
      <c r="AA100" s="584"/>
      <c r="AB100" s="584"/>
      <c r="AC100" s="584"/>
      <c r="AD100" s="584"/>
      <c r="AE100" s="584"/>
      <c r="AF100" s="584"/>
      <c r="AG100" s="584"/>
      <c r="AH100" s="584"/>
      <c r="AI100" s="113"/>
      <c r="AJ100" s="583">
        <v>9.8399000000000001</v>
      </c>
      <c r="AK100" s="583">
        <v>0</v>
      </c>
      <c r="AL100" s="583">
        <v>0</v>
      </c>
      <c r="AM100" s="583">
        <v>3.6023999999999998</v>
      </c>
      <c r="AN100" s="114">
        <f t="shared" si="3"/>
        <v>13.442299999999999</v>
      </c>
      <c r="AP100" s="41"/>
      <c r="AQ100" s="41"/>
      <c r="AR100" s="41"/>
      <c r="AS100" s="41"/>
      <c r="AT100" s="41"/>
      <c r="AU100" s="41"/>
    </row>
    <row r="101" spans="1:47" ht="15.75" outlineLevel="1">
      <c r="A101" s="559">
        <v>2041</v>
      </c>
      <c r="B101" s="583">
        <v>0</v>
      </c>
      <c r="C101" s="583"/>
      <c r="D101" s="583">
        <v>1097.1865</v>
      </c>
      <c r="E101" s="583"/>
      <c r="F101" s="583"/>
      <c r="G101" s="583"/>
      <c r="H101" s="583">
        <v>2.8954</v>
      </c>
      <c r="I101" s="583">
        <v>37.075699999999998</v>
      </c>
      <c r="J101" s="583"/>
      <c r="K101" s="583"/>
      <c r="L101" s="583"/>
      <c r="M101" s="583">
        <v>17.7697</v>
      </c>
      <c r="N101" s="583"/>
      <c r="O101" s="583">
        <v>945.56010000000003</v>
      </c>
      <c r="P101" s="583"/>
      <c r="Q101" s="583"/>
      <c r="R101" s="583"/>
      <c r="S101" s="583">
        <v>108.1555</v>
      </c>
      <c r="T101" s="583">
        <v>709.20740000000001</v>
      </c>
      <c r="U101" s="583"/>
      <c r="V101" s="583"/>
      <c r="W101" s="583"/>
      <c r="X101" s="583"/>
      <c r="Y101" s="583"/>
      <c r="Z101" s="583"/>
      <c r="AA101" s="584"/>
      <c r="AB101" s="584"/>
      <c r="AC101" s="584"/>
      <c r="AD101" s="584"/>
      <c r="AE101" s="584"/>
      <c r="AF101" s="584"/>
      <c r="AG101" s="584"/>
      <c r="AH101" s="584"/>
      <c r="AI101" s="113"/>
      <c r="AJ101" s="583">
        <v>9.8399000000000001</v>
      </c>
      <c r="AK101" s="583">
        <v>0</v>
      </c>
      <c r="AL101" s="583">
        <v>0</v>
      </c>
      <c r="AM101" s="583">
        <v>4.7519</v>
      </c>
      <c r="AN101" s="114">
        <f t="shared" si="3"/>
        <v>14.591799999999999</v>
      </c>
      <c r="AP101" s="41"/>
      <c r="AQ101" s="41"/>
      <c r="AR101" s="41"/>
      <c r="AS101" s="41"/>
      <c r="AT101" s="41"/>
      <c r="AU101" s="41"/>
    </row>
    <row r="102" spans="1:47" ht="15.75" outlineLevel="1">
      <c r="A102" s="559">
        <v>2042</v>
      </c>
      <c r="B102" s="583">
        <v>0</v>
      </c>
      <c r="C102" s="583"/>
      <c r="D102" s="583">
        <v>435.88159999999999</v>
      </c>
      <c r="E102" s="583"/>
      <c r="F102" s="583"/>
      <c r="G102" s="583"/>
      <c r="H102" s="583">
        <v>0</v>
      </c>
      <c r="I102" s="583">
        <v>27.1585</v>
      </c>
      <c r="J102" s="583"/>
      <c r="K102" s="583"/>
      <c r="L102" s="583"/>
      <c r="M102" s="583">
        <v>19.511900000000001</v>
      </c>
      <c r="N102" s="583"/>
      <c r="O102" s="583">
        <v>973.28359999999998</v>
      </c>
      <c r="P102" s="583"/>
      <c r="Q102" s="583"/>
      <c r="R102" s="583"/>
      <c r="S102" s="583">
        <v>111.93980000000001</v>
      </c>
      <c r="T102" s="583">
        <v>734.02239999999995</v>
      </c>
      <c r="U102" s="583"/>
      <c r="V102" s="583"/>
      <c r="W102" s="583"/>
      <c r="X102" s="583"/>
      <c r="Y102" s="583"/>
      <c r="Z102" s="583"/>
      <c r="AA102" s="584"/>
      <c r="AB102" s="584"/>
      <c r="AC102" s="584"/>
      <c r="AD102" s="584"/>
      <c r="AE102" s="584"/>
      <c r="AF102" s="584"/>
      <c r="AG102" s="584"/>
      <c r="AH102" s="584"/>
      <c r="AI102" s="113"/>
      <c r="AJ102" s="583">
        <v>9.8399000000000001</v>
      </c>
      <c r="AK102" s="583">
        <v>0</v>
      </c>
      <c r="AL102" s="583">
        <v>0</v>
      </c>
      <c r="AM102" s="583">
        <v>6.9250999999999996</v>
      </c>
      <c r="AN102" s="114">
        <f t="shared" si="3"/>
        <v>16.765000000000001</v>
      </c>
      <c r="AP102" s="41"/>
      <c r="AQ102" s="41"/>
      <c r="AR102" s="41"/>
      <c r="AS102" s="41"/>
      <c r="AT102" s="41"/>
      <c r="AU102" s="41"/>
    </row>
    <row r="103" spans="1:47" ht="15.75" outlineLevel="1">
      <c r="A103" s="559">
        <v>2043</v>
      </c>
      <c r="B103" s="583">
        <v>0</v>
      </c>
      <c r="C103" s="583"/>
      <c r="D103" s="583">
        <v>435.88159999999999</v>
      </c>
      <c r="E103" s="583"/>
      <c r="F103" s="583"/>
      <c r="G103" s="583"/>
      <c r="H103" s="583">
        <v>0</v>
      </c>
      <c r="I103" s="583">
        <v>0</v>
      </c>
      <c r="J103" s="583"/>
      <c r="K103" s="583"/>
      <c r="L103" s="583"/>
      <c r="M103" s="583">
        <v>21.254000000000001</v>
      </c>
      <c r="N103" s="583"/>
      <c r="O103" s="583">
        <v>1189.5337999999999</v>
      </c>
      <c r="P103" s="583"/>
      <c r="Q103" s="583"/>
      <c r="R103" s="583"/>
      <c r="S103" s="583">
        <v>119.3841</v>
      </c>
      <c r="T103" s="583">
        <v>782.83709999999996</v>
      </c>
      <c r="U103" s="583"/>
      <c r="V103" s="583"/>
      <c r="W103" s="583"/>
      <c r="X103" s="583"/>
      <c r="Y103" s="583"/>
      <c r="Z103" s="583"/>
      <c r="AA103" s="584"/>
      <c r="AB103" s="584"/>
      <c r="AC103" s="584"/>
      <c r="AD103" s="584"/>
      <c r="AE103" s="584"/>
      <c r="AF103" s="584"/>
      <c r="AG103" s="584"/>
      <c r="AH103" s="584"/>
      <c r="AI103" s="113"/>
      <c r="AJ103" s="583">
        <v>9.6956000000000007</v>
      </c>
      <c r="AK103" s="583">
        <v>0</v>
      </c>
      <c r="AL103" s="583">
        <v>0</v>
      </c>
      <c r="AM103" s="583">
        <v>6.0483000000000002</v>
      </c>
      <c r="AN103" s="114">
        <f t="shared" si="3"/>
        <v>15.7439</v>
      </c>
      <c r="AP103" s="41"/>
      <c r="AQ103" s="41"/>
      <c r="AR103" s="41"/>
      <c r="AS103" s="41"/>
      <c r="AT103" s="41"/>
      <c r="AU103" s="41"/>
    </row>
    <row r="104" spans="1:47" ht="15.75" outlineLevel="1">
      <c r="A104" s="559">
        <v>2044</v>
      </c>
      <c r="B104" s="583">
        <v>0</v>
      </c>
      <c r="C104" s="583"/>
      <c r="D104" s="583">
        <v>490.36680000000001</v>
      </c>
      <c r="E104" s="583"/>
      <c r="F104" s="583"/>
      <c r="G104" s="583"/>
      <c r="H104" s="583">
        <v>0</v>
      </c>
      <c r="I104" s="583">
        <v>0</v>
      </c>
      <c r="J104" s="583"/>
      <c r="K104" s="583"/>
      <c r="L104" s="583"/>
      <c r="M104" s="583">
        <v>22.996099999999998</v>
      </c>
      <c r="N104" s="583"/>
      <c r="O104" s="583">
        <v>892.03549999999996</v>
      </c>
      <c r="P104" s="583"/>
      <c r="Q104" s="583"/>
      <c r="R104" s="583"/>
      <c r="S104" s="583">
        <v>125.7539</v>
      </c>
      <c r="T104" s="583">
        <v>824.60590000000002</v>
      </c>
      <c r="U104" s="583"/>
      <c r="V104" s="583"/>
      <c r="W104" s="583"/>
      <c r="X104" s="583"/>
      <c r="Y104" s="583"/>
      <c r="Z104" s="583"/>
      <c r="AA104" s="584"/>
      <c r="AB104" s="584"/>
      <c r="AC104" s="584"/>
      <c r="AD104" s="584"/>
      <c r="AE104" s="584"/>
      <c r="AF104" s="584"/>
      <c r="AG104" s="584"/>
      <c r="AH104" s="584"/>
      <c r="AI104" s="113"/>
      <c r="AJ104" s="583">
        <v>9.6956000000000007</v>
      </c>
      <c r="AK104" s="583">
        <v>0</v>
      </c>
      <c r="AL104" s="583">
        <v>0</v>
      </c>
      <c r="AM104" s="583">
        <v>6.0655000000000001</v>
      </c>
      <c r="AN104" s="114">
        <f t="shared" si="3"/>
        <v>15.761100000000001</v>
      </c>
      <c r="AP104" s="41"/>
      <c r="AQ104" s="41"/>
      <c r="AR104" s="41"/>
      <c r="AS104" s="41"/>
      <c r="AT104" s="41"/>
      <c r="AU104" s="41"/>
    </row>
    <row r="105" spans="1:47" ht="15.75" outlineLevel="1">
      <c r="A105" s="559">
        <v>2045</v>
      </c>
      <c r="B105" s="583">
        <v>0</v>
      </c>
      <c r="C105" s="583"/>
      <c r="D105" s="583">
        <v>544.85199999999998</v>
      </c>
      <c r="E105" s="583"/>
      <c r="F105" s="583"/>
      <c r="G105" s="583"/>
      <c r="H105" s="583">
        <v>0</v>
      </c>
      <c r="I105" s="583">
        <v>0</v>
      </c>
      <c r="J105" s="583"/>
      <c r="K105" s="583"/>
      <c r="L105" s="583"/>
      <c r="M105" s="583">
        <v>25.435099999999998</v>
      </c>
      <c r="N105" s="583"/>
      <c r="O105" s="583">
        <v>1584.1860999999999</v>
      </c>
      <c r="P105" s="583"/>
      <c r="Q105" s="583"/>
      <c r="R105" s="583"/>
      <c r="S105" s="583">
        <v>132.95140000000001</v>
      </c>
      <c r="T105" s="583">
        <v>871.80160000000001</v>
      </c>
      <c r="U105" s="583"/>
      <c r="V105" s="583"/>
      <c r="W105" s="583"/>
      <c r="X105" s="583"/>
      <c r="Y105" s="583"/>
      <c r="Z105" s="583"/>
      <c r="AA105" s="584"/>
      <c r="AB105" s="584"/>
      <c r="AC105" s="584"/>
      <c r="AD105" s="584"/>
      <c r="AE105" s="584"/>
      <c r="AF105" s="584"/>
      <c r="AG105" s="584"/>
      <c r="AH105" s="584"/>
      <c r="AI105" s="113"/>
      <c r="AJ105" s="583">
        <v>9.6956000000000007</v>
      </c>
      <c r="AK105" s="583">
        <v>0</v>
      </c>
      <c r="AL105" s="583">
        <v>0</v>
      </c>
      <c r="AM105" s="583">
        <v>6.8986000000000001</v>
      </c>
      <c r="AN105" s="114">
        <f t="shared" si="3"/>
        <v>16.594200000000001</v>
      </c>
      <c r="AP105" s="41"/>
      <c r="AQ105" s="41"/>
      <c r="AR105" s="41"/>
      <c r="AS105" s="41"/>
      <c r="AT105" s="41"/>
      <c r="AU105" s="41"/>
    </row>
    <row r="106" spans="1:47" ht="15.75" outlineLevel="1">
      <c r="A106" s="559">
        <v>2046</v>
      </c>
      <c r="B106" s="583">
        <v>0</v>
      </c>
      <c r="C106" s="583"/>
      <c r="D106" s="583">
        <v>599.33720000000005</v>
      </c>
      <c r="E106" s="583"/>
      <c r="F106" s="583"/>
      <c r="G106" s="583"/>
      <c r="H106" s="583">
        <v>0</v>
      </c>
      <c r="I106" s="583">
        <v>0</v>
      </c>
      <c r="J106" s="583"/>
      <c r="K106" s="583"/>
      <c r="L106" s="583"/>
      <c r="M106" s="583">
        <v>27.874099999999999</v>
      </c>
      <c r="N106" s="583"/>
      <c r="O106" s="583">
        <v>1028.9697000000001</v>
      </c>
      <c r="P106" s="583"/>
      <c r="Q106" s="583"/>
      <c r="R106" s="583"/>
      <c r="S106" s="583">
        <v>140.30500000000001</v>
      </c>
      <c r="T106" s="583">
        <v>920.02179999999998</v>
      </c>
      <c r="U106" s="583"/>
      <c r="V106" s="583"/>
      <c r="W106" s="583"/>
      <c r="X106" s="583"/>
      <c r="Y106" s="583"/>
      <c r="Z106" s="583"/>
      <c r="AA106" s="584"/>
      <c r="AB106" s="584"/>
      <c r="AC106" s="584"/>
      <c r="AD106" s="584"/>
      <c r="AE106" s="584"/>
      <c r="AF106" s="584"/>
      <c r="AG106" s="584"/>
      <c r="AH106" s="584"/>
      <c r="AI106" s="113"/>
      <c r="AJ106" s="583">
        <v>9.6956000000000007</v>
      </c>
      <c r="AK106" s="583">
        <v>0</v>
      </c>
      <c r="AL106" s="583">
        <v>0</v>
      </c>
      <c r="AM106" s="583">
        <v>6.4817</v>
      </c>
      <c r="AN106" s="114">
        <f t="shared" si="3"/>
        <v>16.177300000000002</v>
      </c>
      <c r="AP106" s="41"/>
      <c r="AQ106" s="41"/>
      <c r="AR106" s="41"/>
      <c r="AS106" s="41"/>
      <c r="AT106" s="41"/>
      <c r="AU106" s="41"/>
    </row>
    <row r="107" spans="1:47" ht="15.75" outlineLevel="1">
      <c r="A107" s="559">
        <v>2047</v>
      </c>
      <c r="B107" s="583">
        <v>0</v>
      </c>
      <c r="C107" s="583"/>
      <c r="D107" s="583">
        <v>653.82240000000002</v>
      </c>
      <c r="E107" s="583"/>
      <c r="F107" s="583"/>
      <c r="G107" s="583"/>
      <c r="H107" s="583">
        <v>44.284100000000002</v>
      </c>
      <c r="I107" s="583">
        <v>0</v>
      </c>
      <c r="J107" s="583"/>
      <c r="K107" s="583"/>
      <c r="L107" s="583"/>
      <c r="M107" s="583">
        <v>30.313099999999999</v>
      </c>
      <c r="N107" s="583"/>
      <c r="O107" s="583">
        <v>1514.9012</v>
      </c>
      <c r="P107" s="583"/>
      <c r="Q107" s="583"/>
      <c r="R107" s="583"/>
      <c r="S107" s="583">
        <v>147.78460000000001</v>
      </c>
      <c r="T107" s="583">
        <v>969.0675</v>
      </c>
      <c r="U107" s="583"/>
      <c r="V107" s="583"/>
      <c r="W107" s="583"/>
      <c r="X107" s="583"/>
      <c r="Y107" s="583"/>
      <c r="Z107" s="583"/>
      <c r="AA107" s="584"/>
      <c r="AB107" s="584"/>
      <c r="AC107" s="584"/>
      <c r="AD107" s="584"/>
      <c r="AE107" s="584"/>
      <c r="AF107" s="584"/>
      <c r="AG107" s="584"/>
      <c r="AH107" s="584"/>
      <c r="AI107" s="113"/>
      <c r="AJ107" s="583">
        <v>9.6956000000000007</v>
      </c>
      <c r="AK107" s="583">
        <v>0</v>
      </c>
      <c r="AL107" s="583">
        <v>0</v>
      </c>
      <c r="AM107" s="583">
        <v>5.0194999999999999</v>
      </c>
      <c r="AN107" s="114">
        <f t="shared" si="3"/>
        <v>14.7151</v>
      </c>
      <c r="AP107" s="41"/>
      <c r="AQ107" s="41"/>
      <c r="AR107" s="41"/>
      <c r="AS107" s="41"/>
      <c r="AT107" s="41"/>
      <c r="AU107" s="41"/>
    </row>
    <row r="108" spans="1:47" ht="15.75" outlineLevel="1">
      <c r="A108" s="559">
        <v>2048</v>
      </c>
      <c r="B108" s="583">
        <v>176.5478</v>
      </c>
      <c r="C108" s="583"/>
      <c r="D108" s="583">
        <v>708.30759999999998</v>
      </c>
      <c r="E108" s="583"/>
      <c r="F108" s="583"/>
      <c r="G108" s="583"/>
      <c r="H108" s="583">
        <v>26.119599999999998</v>
      </c>
      <c r="I108" s="583">
        <v>0</v>
      </c>
      <c r="J108" s="583"/>
      <c r="K108" s="583"/>
      <c r="L108" s="583"/>
      <c r="M108" s="583">
        <v>33.100499999999997</v>
      </c>
      <c r="N108" s="583"/>
      <c r="O108" s="583">
        <v>1084.9802</v>
      </c>
      <c r="P108" s="583"/>
      <c r="Q108" s="583"/>
      <c r="R108" s="583"/>
      <c r="S108" s="583">
        <v>156.25720000000001</v>
      </c>
      <c r="T108" s="583">
        <v>1024.625</v>
      </c>
      <c r="U108" s="583"/>
      <c r="V108" s="583"/>
      <c r="W108" s="583"/>
      <c r="X108" s="583"/>
      <c r="Y108" s="583"/>
      <c r="Z108" s="583"/>
      <c r="AA108" s="584"/>
      <c r="AB108" s="584"/>
      <c r="AC108" s="584"/>
      <c r="AD108" s="584"/>
      <c r="AE108" s="584"/>
      <c r="AF108" s="584"/>
      <c r="AG108" s="584"/>
      <c r="AH108" s="584"/>
      <c r="AI108" s="113"/>
      <c r="AJ108" s="583">
        <v>14.790100000000001</v>
      </c>
      <c r="AK108" s="583">
        <v>0</v>
      </c>
      <c r="AL108" s="583">
        <v>0</v>
      </c>
      <c r="AM108" s="583">
        <v>5.4252000000000002</v>
      </c>
      <c r="AN108" s="114">
        <f t="shared" si="3"/>
        <v>20.215299999999999</v>
      </c>
      <c r="AP108" s="41"/>
      <c r="AQ108" s="41"/>
      <c r="AR108" s="41"/>
      <c r="AS108" s="41"/>
      <c r="AT108" s="41"/>
      <c r="AU108" s="41"/>
    </row>
    <row r="109" spans="1:47" ht="15.75" outlineLevel="1">
      <c r="A109" s="559">
        <v>2049</v>
      </c>
      <c r="B109" s="583">
        <v>73.202200000000005</v>
      </c>
      <c r="C109" s="583"/>
      <c r="D109" s="583">
        <v>817.27800000000002</v>
      </c>
      <c r="E109" s="583"/>
      <c r="F109" s="583"/>
      <c r="G109" s="583"/>
      <c r="H109" s="583">
        <v>25.4953</v>
      </c>
      <c r="I109" s="583">
        <v>0</v>
      </c>
      <c r="J109" s="583"/>
      <c r="K109" s="583"/>
      <c r="L109" s="583"/>
      <c r="M109" s="583">
        <v>36.2363</v>
      </c>
      <c r="N109" s="583"/>
      <c r="O109" s="583">
        <v>838.73590000000002</v>
      </c>
      <c r="P109" s="583"/>
      <c r="Q109" s="583"/>
      <c r="R109" s="583"/>
      <c r="S109" s="583">
        <v>164.8982</v>
      </c>
      <c r="T109" s="583">
        <v>1081.2863</v>
      </c>
      <c r="U109" s="583"/>
      <c r="V109" s="583"/>
      <c r="W109" s="583"/>
      <c r="X109" s="583"/>
      <c r="Y109" s="583"/>
      <c r="Z109" s="583"/>
      <c r="AA109" s="584"/>
      <c r="AB109" s="584"/>
      <c r="AC109" s="584"/>
      <c r="AD109" s="584"/>
      <c r="AE109" s="584"/>
      <c r="AF109" s="584"/>
      <c r="AG109" s="584"/>
      <c r="AH109" s="584"/>
      <c r="AI109" s="113"/>
      <c r="AJ109" s="583">
        <v>16.9024</v>
      </c>
      <c r="AK109" s="583">
        <v>0</v>
      </c>
      <c r="AL109" s="583">
        <v>0</v>
      </c>
      <c r="AM109" s="583">
        <v>5.5400999999999998</v>
      </c>
      <c r="AN109" s="114">
        <f t="shared" si="3"/>
        <v>22.442499999999999</v>
      </c>
      <c r="AP109" s="41"/>
      <c r="AQ109" s="41"/>
      <c r="AR109" s="41"/>
      <c r="AS109" s="41"/>
      <c r="AT109" s="41"/>
      <c r="AU109" s="41"/>
    </row>
    <row r="110" spans="1:47" ht="15.75" outlineLevel="1">
      <c r="A110" s="559">
        <v>2050</v>
      </c>
      <c r="B110" s="583">
        <v>22.25</v>
      </c>
      <c r="C110" s="583"/>
      <c r="D110" s="583">
        <v>1007.6455</v>
      </c>
      <c r="E110" s="583"/>
      <c r="F110" s="583"/>
      <c r="G110" s="583"/>
      <c r="H110" s="583">
        <v>132.2576</v>
      </c>
      <c r="I110" s="583">
        <v>0</v>
      </c>
      <c r="J110" s="583"/>
      <c r="K110" s="583"/>
      <c r="L110" s="583"/>
      <c r="M110" s="583">
        <v>39.720599999999997</v>
      </c>
      <c r="N110" s="583"/>
      <c r="O110" s="583">
        <v>1280.9717000000001</v>
      </c>
      <c r="P110" s="583"/>
      <c r="Q110" s="583"/>
      <c r="R110" s="583"/>
      <c r="S110" s="583">
        <v>173.66370000000001</v>
      </c>
      <c r="T110" s="583">
        <v>1138.7645</v>
      </c>
      <c r="U110" s="583"/>
      <c r="V110" s="583"/>
      <c r="W110" s="583"/>
      <c r="X110" s="583"/>
      <c r="Y110" s="583"/>
      <c r="Z110" s="583"/>
      <c r="AA110" s="584"/>
      <c r="AB110" s="584"/>
      <c r="AC110" s="584"/>
      <c r="AD110" s="584"/>
      <c r="AE110" s="584"/>
      <c r="AF110" s="584"/>
      <c r="AG110" s="584"/>
      <c r="AH110" s="584"/>
      <c r="AI110" s="113"/>
      <c r="AJ110" s="583">
        <v>17.5444</v>
      </c>
      <c r="AK110" s="583">
        <v>0</v>
      </c>
      <c r="AL110" s="583">
        <v>0</v>
      </c>
      <c r="AM110" s="583">
        <v>8.0827000000000009</v>
      </c>
      <c r="AN110" s="114">
        <f t="shared" si="3"/>
        <v>25.627099999999999</v>
      </c>
      <c r="AP110" s="41"/>
      <c r="AQ110" s="41"/>
      <c r="AR110" s="41"/>
      <c r="AS110" s="41"/>
      <c r="AT110" s="41"/>
      <c r="AU110" s="41"/>
    </row>
    <row r="111" spans="1:47" ht="15.75" outlineLevel="1">
      <c r="A111" s="559">
        <v>2051</v>
      </c>
      <c r="B111" s="583">
        <v>22.25</v>
      </c>
      <c r="C111" s="583"/>
      <c r="D111" s="583">
        <v>1089.1048000000001</v>
      </c>
      <c r="E111" s="583"/>
      <c r="F111" s="583"/>
      <c r="G111" s="583"/>
      <c r="H111" s="583">
        <v>130.1395</v>
      </c>
      <c r="I111" s="583">
        <v>462.4633</v>
      </c>
      <c r="J111" s="583"/>
      <c r="K111" s="583"/>
      <c r="L111" s="583"/>
      <c r="M111" s="583">
        <v>26.480399999999999</v>
      </c>
      <c r="N111" s="583"/>
      <c r="O111" s="583">
        <v>362.7912</v>
      </c>
      <c r="P111" s="583"/>
      <c r="Q111" s="583"/>
      <c r="R111" s="583"/>
      <c r="S111" s="583">
        <v>136.8356</v>
      </c>
      <c r="T111" s="583">
        <v>897.2713</v>
      </c>
      <c r="U111" s="583"/>
      <c r="V111" s="583"/>
      <c r="W111" s="583"/>
      <c r="X111" s="583"/>
      <c r="Y111" s="583"/>
      <c r="Z111" s="583"/>
      <c r="AA111" s="584"/>
      <c r="AB111" s="584"/>
      <c r="AC111" s="584"/>
      <c r="AD111" s="584"/>
      <c r="AE111" s="584"/>
      <c r="AF111" s="584"/>
      <c r="AG111" s="584"/>
      <c r="AH111" s="584"/>
      <c r="AI111" s="113"/>
      <c r="AJ111" s="583">
        <v>18.186499999999999</v>
      </c>
      <c r="AK111" s="583">
        <v>0</v>
      </c>
      <c r="AL111" s="583">
        <v>0</v>
      </c>
      <c r="AM111" s="583">
        <v>3.1680000000000001</v>
      </c>
      <c r="AN111" s="114">
        <f t="shared" si="3"/>
        <v>21.354499999999998</v>
      </c>
      <c r="AP111" s="41"/>
      <c r="AQ111" s="41"/>
      <c r="AR111" s="41"/>
      <c r="AS111" s="41"/>
      <c r="AT111" s="41"/>
      <c r="AU111" s="41"/>
    </row>
    <row r="112" spans="1:47" ht="15.75" outlineLevel="1">
      <c r="A112" s="559">
        <v>2052</v>
      </c>
      <c r="B112" s="583">
        <v>22.25</v>
      </c>
      <c r="C112" s="583"/>
      <c r="D112" s="583">
        <v>948.84760000000006</v>
      </c>
      <c r="E112" s="583"/>
      <c r="F112" s="583"/>
      <c r="G112" s="583"/>
      <c r="H112" s="583">
        <v>38.973599999999998</v>
      </c>
      <c r="I112" s="583">
        <v>95.450800000000001</v>
      </c>
      <c r="J112" s="583"/>
      <c r="K112" s="583"/>
      <c r="L112" s="583"/>
      <c r="M112" s="583">
        <v>26.480399999999999</v>
      </c>
      <c r="N112" s="583"/>
      <c r="O112" s="583">
        <v>1238.9149</v>
      </c>
      <c r="P112" s="583"/>
      <c r="Q112" s="583"/>
      <c r="R112" s="583"/>
      <c r="S112" s="583">
        <v>136.8356</v>
      </c>
      <c r="T112" s="583">
        <v>897.2713</v>
      </c>
      <c r="U112" s="583"/>
      <c r="V112" s="583"/>
      <c r="W112" s="583"/>
      <c r="X112" s="583"/>
      <c r="Y112" s="583"/>
      <c r="Z112" s="583"/>
      <c r="AA112" s="584"/>
      <c r="AB112" s="584"/>
      <c r="AC112" s="584"/>
      <c r="AD112" s="584"/>
      <c r="AE112" s="584"/>
      <c r="AF112" s="584"/>
      <c r="AG112" s="584"/>
      <c r="AH112" s="584"/>
      <c r="AI112" s="113"/>
      <c r="AJ112" s="583">
        <v>18.828499999999998</v>
      </c>
      <c r="AK112" s="583">
        <v>0</v>
      </c>
      <c r="AL112" s="583">
        <v>0</v>
      </c>
      <c r="AM112" s="583">
        <v>3.8475000000000001</v>
      </c>
      <c r="AN112" s="114">
        <f t="shared" si="3"/>
        <v>22.675999999999998</v>
      </c>
      <c r="AP112" s="41"/>
      <c r="AQ112" s="41"/>
      <c r="AR112" s="41"/>
      <c r="AS112" s="41"/>
      <c r="AT112" s="41"/>
      <c r="AU112" s="41"/>
    </row>
    <row r="113" spans="1:47" ht="15.75" outlineLevel="1">
      <c r="A113" s="559">
        <v>2053</v>
      </c>
      <c r="B113" s="583">
        <v>25.75</v>
      </c>
      <c r="C113" s="583"/>
      <c r="D113" s="583">
        <v>876.68740000000003</v>
      </c>
      <c r="E113" s="583"/>
      <c r="F113" s="583"/>
      <c r="G113" s="583"/>
      <c r="H113" s="583">
        <v>63.901400000000002</v>
      </c>
      <c r="I113" s="583">
        <v>0</v>
      </c>
      <c r="J113" s="583"/>
      <c r="K113" s="583"/>
      <c r="L113" s="583"/>
      <c r="M113" s="583">
        <v>26.480399999999999</v>
      </c>
      <c r="N113" s="583"/>
      <c r="O113" s="583">
        <v>1312.47</v>
      </c>
      <c r="P113" s="583"/>
      <c r="Q113" s="583"/>
      <c r="R113" s="583"/>
      <c r="S113" s="583">
        <v>136.8356</v>
      </c>
      <c r="T113" s="583">
        <v>897.2713</v>
      </c>
      <c r="U113" s="583"/>
      <c r="V113" s="583"/>
      <c r="W113" s="583"/>
      <c r="X113" s="583"/>
      <c r="Y113" s="583"/>
      <c r="Z113" s="583"/>
      <c r="AA113" s="584"/>
      <c r="AB113" s="584"/>
      <c r="AC113" s="584"/>
      <c r="AD113" s="584"/>
      <c r="AE113" s="584"/>
      <c r="AF113" s="584"/>
      <c r="AG113" s="584"/>
      <c r="AH113" s="584"/>
      <c r="AI113" s="113"/>
      <c r="AJ113" s="583">
        <v>19.470600000000001</v>
      </c>
      <c r="AK113" s="583">
        <v>0</v>
      </c>
      <c r="AL113" s="583">
        <v>0</v>
      </c>
      <c r="AM113" s="583">
        <v>6.5640999999999998</v>
      </c>
      <c r="AN113" s="114">
        <f t="shared" si="3"/>
        <v>26.034700000000001</v>
      </c>
      <c r="AP113" s="41"/>
      <c r="AQ113" s="41"/>
      <c r="AR113" s="41"/>
      <c r="AS113" s="41"/>
      <c r="AT113" s="41"/>
      <c r="AU113" s="41"/>
    </row>
    <row r="114" spans="1:47" ht="15.75" outlineLevel="1">
      <c r="A114" s="559">
        <v>2054</v>
      </c>
      <c r="B114" s="583">
        <v>22.25</v>
      </c>
      <c r="C114" s="583"/>
      <c r="D114" s="583">
        <v>1703.0959</v>
      </c>
      <c r="E114" s="583"/>
      <c r="F114" s="583"/>
      <c r="G114" s="583"/>
      <c r="H114" s="583">
        <v>17.945599999999999</v>
      </c>
      <c r="I114" s="583">
        <v>0</v>
      </c>
      <c r="J114" s="583"/>
      <c r="K114" s="583"/>
      <c r="L114" s="583"/>
      <c r="M114" s="583">
        <v>26.480399999999999</v>
      </c>
      <c r="N114" s="583"/>
      <c r="O114" s="583">
        <v>884.95669999999996</v>
      </c>
      <c r="P114" s="583"/>
      <c r="Q114" s="583"/>
      <c r="R114" s="583"/>
      <c r="S114" s="583">
        <v>136.8356</v>
      </c>
      <c r="T114" s="583">
        <v>897.2713</v>
      </c>
      <c r="U114" s="583"/>
      <c r="V114" s="583"/>
      <c r="W114" s="583"/>
      <c r="X114" s="583"/>
      <c r="Y114" s="583"/>
      <c r="Z114" s="583"/>
      <c r="AA114" s="584"/>
      <c r="AB114" s="584"/>
      <c r="AC114" s="584"/>
      <c r="AD114" s="584"/>
      <c r="AE114" s="584"/>
      <c r="AF114" s="584"/>
      <c r="AG114" s="584"/>
      <c r="AH114" s="584"/>
      <c r="AI114" s="113"/>
      <c r="AJ114" s="583">
        <v>20.1126</v>
      </c>
      <c r="AK114" s="583">
        <v>0</v>
      </c>
      <c r="AL114" s="583">
        <v>0</v>
      </c>
      <c r="AM114" s="583">
        <v>10.326499999999999</v>
      </c>
      <c r="AN114" s="114">
        <f t="shared" si="3"/>
        <v>30.4391</v>
      </c>
      <c r="AP114" s="41"/>
      <c r="AQ114" s="41"/>
      <c r="AR114" s="41"/>
      <c r="AS114" s="41"/>
      <c r="AT114" s="41"/>
      <c r="AU114" s="41"/>
    </row>
    <row r="115" spans="1:47" ht="15.75" outlineLevel="1">
      <c r="A115" s="559">
        <v>2055</v>
      </c>
      <c r="B115" s="583">
        <v>22.25</v>
      </c>
      <c r="C115" s="583"/>
      <c r="D115" s="583">
        <v>762.21870000000001</v>
      </c>
      <c r="E115" s="583"/>
      <c r="F115" s="583"/>
      <c r="G115" s="583"/>
      <c r="H115" s="583">
        <v>110.1789</v>
      </c>
      <c r="I115" s="583">
        <v>0</v>
      </c>
      <c r="J115" s="583"/>
      <c r="K115" s="583"/>
      <c r="L115" s="583"/>
      <c r="M115" s="583">
        <v>26.480399999999999</v>
      </c>
      <c r="N115" s="583"/>
      <c r="O115" s="583">
        <v>1417.8958</v>
      </c>
      <c r="P115" s="583"/>
      <c r="Q115" s="583"/>
      <c r="R115" s="583"/>
      <c r="S115" s="583">
        <v>136.8356</v>
      </c>
      <c r="T115" s="583">
        <v>897.2713</v>
      </c>
      <c r="U115" s="583"/>
      <c r="V115" s="583"/>
      <c r="W115" s="583"/>
      <c r="X115" s="583"/>
      <c r="Y115" s="583"/>
      <c r="Z115" s="583"/>
      <c r="AA115" s="584"/>
      <c r="AB115" s="584"/>
      <c r="AC115" s="584"/>
      <c r="AD115" s="584"/>
      <c r="AE115" s="584"/>
      <c r="AF115" s="584"/>
      <c r="AG115" s="584"/>
      <c r="AH115" s="584"/>
      <c r="AI115" s="113"/>
      <c r="AJ115" s="583">
        <v>20.7547</v>
      </c>
      <c r="AK115" s="583">
        <v>0</v>
      </c>
      <c r="AL115" s="583">
        <v>0</v>
      </c>
      <c r="AM115" s="583">
        <v>14.186400000000001</v>
      </c>
      <c r="AN115" s="114">
        <f t="shared" si="3"/>
        <v>34.941099999999999</v>
      </c>
      <c r="AP115" s="41"/>
      <c r="AQ115" s="41"/>
      <c r="AR115" s="41"/>
      <c r="AS115" s="41"/>
      <c r="AT115" s="41"/>
      <c r="AU115" s="41"/>
    </row>
    <row r="116" spans="1:47" ht="15.75" outlineLevel="1">
      <c r="A116" s="559">
        <v>2056</v>
      </c>
      <c r="B116" s="583">
        <v>47.25</v>
      </c>
      <c r="C116" s="583"/>
      <c r="D116" s="583">
        <v>1123.6474000000001</v>
      </c>
      <c r="E116" s="583"/>
      <c r="F116" s="583"/>
      <c r="G116" s="583"/>
      <c r="H116" s="583">
        <v>87.442999999999998</v>
      </c>
      <c r="I116" s="583">
        <v>21.005600000000001</v>
      </c>
      <c r="J116" s="583"/>
      <c r="K116" s="583"/>
      <c r="L116" s="583"/>
      <c r="M116" s="583">
        <v>26.480399999999999</v>
      </c>
      <c r="N116" s="583"/>
      <c r="O116" s="583">
        <v>810.32119999999998</v>
      </c>
      <c r="P116" s="583"/>
      <c r="Q116" s="583"/>
      <c r="R116" s="583"/>
      <c r="S116" s="583">
        <v>136.8356</v>
      </c>
      <c r="T116" s="583">
        <v>897.2713</v>
      </c>
      <c r="U116" s="583"/>
      <c r="V116" s="583"/>
      <c r="W116" s="583"/>
      <c r="X116" s="583"/>
      <c r="Y116" s="583"/>
      <c r="Z116" s="583"/>
      <c r="AA116" s="584"/>
      <c r="AB116" s="584"/>
      <c r="AC116" s="584"/>
      <c r="AD116" s="584"/>
      <c r="AE116" s="584"/>
      <c r="AF116" s="584"/>
      <c r="AG116" s="584"/>
      <c r="AH116" s="584"/>
      <c r="AI116" s="113"/>
      <c r="AJ116" s="583">
        <v>21.396699999999999</v>
      </c>
      <c r="AK116" s="583">
        <v>0</v>
      </c>
      <c r="AL116" s="583">
        <v>0</v>
      </c>
      <c r="AM116" s="583">
        <v>21.9848</v>
      </c>
      <c r="AN116" s="114">
        <f t="shared" si="3"/>
        <v>43.381500000000003</v>
      </c>
      <c r="AP116" s="41"/>
      <c r="AQ116" s="41"/>
      <c r="AR116" s="41"/>
      <c r="AS116" s="41"/>
      <c r="AT116" s="41"/>
      <c r="AU116" s="41"/>
    </row>
    <row r="117" spans="1:47" ht="15.75" outlineLevel="1">
      <c r="A117" s="559">
        <v>2057</v>
      </c>
      <c r="B117" s="583">
        <v>22.25</v>
      </c>
      <c r="C117" s="583"/>
      <c r="D117" s="583">
        <v>708.30759999999998</v>
      </c>
      <c r="E117" s="583"/>
      <c r="F117" s="583"/>
      <c r="G117" s="583"/>
      <c r="H117" s="583">
        <v>95.853300000000004</v>
      </c>
      <c r="I117" s="583">
        <v>0.24579999999999999</v>
      </c>
      <c r="J117" s="583"/>
      <c r="K117" s="583"/>
      <c r="L117" s="583"/>
      <c r="M117" s="583">
        <v>26.480399999999999</v>
      </c>
      <c r="N117" s="583"/>
      <c r="O117" s="583">
        <v>969.7192</v>
      </c>
      <c r="P117" s="583"/>
      <c r="Q117" s="583"/>
      <c r="R117" s="583"/>
      <c r="S117" s="583">
        <v>136.8356</v>
      </c>
      <c r="T117" s="583">
        <v>897.2713</v>
      </c>
      <c r="U117" s="583"/>
      <c r="V117" s="583"/>
      <c r="W117" s="583"/>
      <c r="X117" s="583"/>
      <c r="Y117" s="583"/>
      <c r="Z117" s="583"/>
      <c r="AA117" s="584"/>
      <c r="AB117" s="584"/>
      <c r="AC117" s="584"/>
      <c r="AD117" s="584"/>
      <c r="AE117" s="584"/>
      <c r="AF117" s="584"/>
      <c r="AG117" s="584"/>
      <c r="AH117" s="584"/>
      <c r="AI117" s="113"/>
      <c r="AJ117" s="583">
        <v>22.038799999999998</v>
      </c>
      <c r="AK117" s="583">
        <v>0</v>
      </c>
      <c r="AL117" s="583">
        <v>0</v>
      </c>
      <c r="AM117" s="583">
        <v>30.5627</v>
      </c>
      <c r="AN117" s="114">
        <f t="shared" si="3"/>
        <v>52.601500000000001</v>
      </c>
      <c r="AP117" s="41"/>
      <c r="AQ117" s="41"/>
      <c r="AR117" s="41"/>
      <c r="AS117" s="41"/>
      <c r="AT117" s="41"/>
      <c r="AU117" s="41"/>
    </row>
    <row r="118" spans="1:47" ht="15.75" outlineLevel="1">
      <c r="A118" s="559">
        <v>2058</v>
      </c>
      <c r="B118" s="583">
        <v>42.25</v>
      </c>
      <c r="C118" s="583"/>
      <c r="D118" s="583">
        <v>708.30759999999998</v>
      </c>
      <c r="E118" s="583"/>
      <c r="F118" s="583"/>
      <c r="G118" s="583"/>
      <c r="H118" s="583">
        <v>76.391800000000003</v>
      </c>
      <c r="I118" s="583">
        <v>81.759200000000007</v>
      </c>
      <c r="J118" s="583"/>
      <c r="K118" s="583"/>
      <c r="L118" s="583"/>
      <c r="M118" s="583">
        <v>26.480399999999999</v>
      </c>
      <c r="N118" s="583"/>
      <c r="O118" s="583">
        <v>1772.7402</v>
      </c>
      <c r="P118" s="583"/>
      <c r="Q118" s="583"/>
      <c r="R118" s="583"/>
      <c r="S118" s="583">
        <v>136.8356</v>
      </c>
      <c r="T118" s="583">
        <v>897.2713</v>
      </c>
      <c r="U118" s="583"/>
      <c r="V118" s="583"/>
      <c r="W118" s="583"/>
      <c r="X118" s="583"/>
      <c r="Y118" s="583"/>
      <c r="Z118" s="583"/>
      <c r="AA118" s="584"/>
      <c r="AB118" s="584"/>
      <c r="AC118" s="584"/>
      <c r="AD118" s="584"/>
      <c r="AE118" s="584"/>
      <c r="AF118" s="584"/>
      <c r="AG118" s="584"/>
      <c r="AH118" s="584"/>
      <c r="AI118" s="113"/>
      <c r="AJ118" s="583">
        <v>22.680800000000001</v>
      </c>
      <c r="AK118" s="583">
        <v>0</v>
      </c>
      <c r="AL118" s="583">
        <v>0</v>
      </c>
      <c r="AM118" s="583">
        <v>36.878999999999998</v>
      </c>
      <c r="AN118" s="114">
        <f t="shared" si="3"/>
        <v>59.559799999999996</v>
      </c>
      <c r="AP118" s="41"/>
      <c r="AQ118" s="41"/>
      <c r="AR118" s="41"/>
      <c r="AS118" s="41"/>
      <c r="AT118" s="41"/>
      <c r="AU118" s="41"/>
    </row>
    <row r="119" spans="1:47" ht="15.75" outlineLevel="1">
      <c r="A119" s="559">
        <v>2059</v>
      </c>
      <c r="B119" s="583">
        <v>22.25</v>
      </c>
      <c r="C119" s="583"/>
      <c r="D119" s="583">
        <v>1239.9772</v>
      </c>
      <c r="E119" s="583"/>
      <c r="F119" s="583"/>
      <c r="G119" s="583"/>
      <c r="H119" s="583">
        <v>72.769000000000005</v>
      </c>
      <c r="I119" s="583">
        <v>0</v>
      </c>
      <c r="J119" s="583"/>
      <c r="K119" s="583"/>
      <c r="L119" s="583"/>
      <c r="M119" s="583">
        <v>26.480399999999999</v>
      </c>
      <c r="N119" s="583"/>
      <c r="O119" s="583">
        <v>839.55840000000001</v>
      </c>
      <c r="P119" s="583"/>
      <c r="Q119" s="583"/>
      <c r="R119" s="583"/>
      <c r="S119" s="583">
        <v>136.8356</v>
      </c>
      <c r="T119" s="583">
        <v>897.2713</v>
      </c>
      <c r="U119" s="583"/>
      <c r="V119" s="583"/>
      <c r="W119" s="583"/>
      <c r="X119" s="583"/>
      <c r="Y119" s="583"/>
      <c r="Z119" s="583"/>
      <c r="AA119" s="584"/>
      <c r="AB119" s="584"/>
      <c r="AC119" s="584"/>
      <c r="AD119" s="584"/>
      <c r="AE119" s="584"/>
      <c r="AF119" s="584"/>
      <c r="AG119" s="584"/>
      <c r="AH119" s="584"/>
      <c r="AI119" s="113"/>
      <c r="AJ119" s="583">
        <v>23.322800000000001</v>
      </c>
      <c r="AK119" s="583">
        <v>0</v>
      </c>
      <c r="AL119" s="583">
        <v>0</v>
      </c>
      <c r="AM119" s="583">
        <v>44.171700000000001</v>
      </c>
      <c r="AN119" s="114">
        <f t="shared" si="3"/>
        <v>67.494500000000002</v>
      </c>
      <c r="AP119" s="41"/>
      <c r="AQ119" s="41"/>
      <c r="AR119" s="41"/>
      <c r="AS119" s="41"/>
      <c r="AT119" s="41"/>
      <c r="AU119" s="41"/>
    </row>
    <row r="120" spans="1:47" ht="15.75" outlineLevel="1">
      <c r="A120" s="559">
        <v>2060</v>
      </c>
      <c r="B120" s="583">
        <v>142.75</v>
      </c>
      <c r="C120" s="583"/>
      <c r="D120" s="583">
        <v>762.79280000000006</v>
      </c>
      <c r="E120" s="583"/>
      <c r="F120" s="583"/>
      <c r="G120" s="583"/>
      <c r="H120" s="583">
        <v>64.082999999999998</v>
      </c>
      <c r="I120" s="583">
        <v>0</v>
      </c>
      <c r="J120" s="583"/>
      <c r="K120" s="583"/>
      <c r="L120" s="583"/>
      <c r="M120" s="583">
        <v>26.480399999999999</v>
      </c>
      <c r="N120" s="583"/>
      <c r="O120" s="583">
        <v>839.55840000000001</v>
      </c>
      <c r="P120" s="583"/>
      <c r="Q120" s="583"/>
      <c r="R120" s="583"/>
      <c r="S120" s="583">
        <v>136.8356</v>
      </c>
      <c r="T120" s="583">
        <v>897.2713</v>
      </c>
      <c r="U120" s="583"/>
      <c r="V120" s="583"/>
      <c r="W120" s="583"/>
      <c r="X120" s="583"/>
      <c r="Y120" s="583"/>
      <c r="Z120" s="583"/>
      <c r="AA120" s="584"/>
      <c r="AB120" s="584"/>
      <c r="AC120" s="584"/>
      <c r="AD120" s="584"/>
      <c r="AE120" s="584"/>
      <c r="AF120" s="584"/>
      <c r="AG120" s="584"/>
      <c r="AH120" s="584"/>
      <c r="AI120" s="113"/>
      <c r="AJ120" s="583">
        <v>23.9649</v>
      </c>
      <c r="AK120" s="583">
        <v>0</v>
      </c>
      <c r="AL120" s="583">
        <v>0</v>
      </c>
      <c r="AM120" s="583">
        <v>52.280099999999997</v>
      </c>
      <c r="AN120" s="114">
        <f t="shared" si="3"/>
        <v>76.245000000000005</v>
      </c>
      <c r="AP120" s="41"/>
      <c r="AQ120" s="41"/>
      <c r="AR120" s="41"/>
      <c r="AS120" s="41"/>
      <c r="AT120" s="41"/>
      <c r="AU120" s="41"/>
    </row>
    <row r="121" spans="1:47" ht="15.75" outlineLevel="1">
      <c r="A121" s="559">
        <v>2061</v>
      </c>
      <c r="B121" s="583">
        <v>72.25</v>
      </c>
      <c r="C121" s="583"/>
      <c r="D121" s="583">
        <v>1294.4623999999999</v>
      </c>
      <c r="E121" s="583"/>
      <c r="F121" s="583"/>
      <c r="G121" s="583"/>
      <c r="H121" s="583">
        <v>49.0471</v>
      </c>
      <c r="I121" s="583">
        <v>37.075699999999998</v>
      </c>
      <c r="J121" s="583"/>
      <c r="K121" s="583"/>
      <c r="L121" s="583"/>
      <c r="M121" s="583">
        <v>26.480399999999999</v>
      </c>
      <c r="N121" s="583"/>
      <c r="O121" s="583">
        <v>1820.3912</v>
      </c>
      <c r="P121" s="583"/>
      <c r="Q121" s="583"/>
      <c r="R121" s="583"/>
      <c r="S121" s="583">
        <v>136.8356</v>
      </c>
      <c r="T121" s="583">
        <v>897.2713</v>
      </c>
      <c r="U121" s="583"/>
      <c r="V121" s="583"/>
      <c r="W121" s="583"/>
      <c r="X121" s="583"/>
      <c r="Y121" s="583"/>
      <c r="Z121" s="583"/>
      <c r="AA121" s="584"/>
      <c r="AB121" s="584"/>
      <c r="AC121" s="584"/>
      <c r="AD121" s="584"/>
      <c r="AE121" s="584"/>
      <c r="AF121" s="584"/>
      <c r="AG121" s="584"/>
      <c r="AH121" s="584"/>
      <c r="AI121" s="113"/>
      <c r="AJ121" s="583">
        <v>24.6069</v>
      </c>
      <c r="AK121" s="583">
        <v>0</v>
      </c>
      <c r="AL121" s="583">
        <v>0</v>
      </c>
      <c r="AM121" s="583">
        <v>59.864400000000003</v>
      </c>
      <c r="AN121" s="114">
        <f t="shared" si="3"/>
        <v>84.471299999999999</v>
      </c>
      <c r="AP121" s="41"/>
      <c r="AQ121" s="41"/>
      <c r="AR121" s="41"/>
      <c r="AS121" s="41"/>
      <c r="AT121" s="41"/>
      <c r="AU121" s="41"/>
    </row>
    <row r="122" spans="1:47" ht="15.75" outlineLevel="1">
      <c r="A122" s="559">
        <v>2062</v>
      </c>
      <c r="B122" s="583">
        <v>49.25</v>
      </c>
      <c r="C122" s="583"/>
      <c r="D122" s="583">
        <v>1161.1780000000001</v>
      </c>
      <c r="E122" s="583"/>
      <c r="F122" s="583"/>
      <c r="G122" s="583"/>
      <c r="H122" s="583">
        <v>57.1053</v>
      </c>
      <c r="I122" s="583">
        <v>27.1585</v>
      </c>
      <c r="J122" s="583"/>
      <c r="K122" s="583"/>
      <c r="L122" s="583"/>
      <c r="M122" s="583">
        <v>26.480399999999999</v>
      </c>
      <c r="N122" s="583"/>
      <c r="O122" s="583">
        <v>1826.5678</v>
      </c>
      <c r="P122" s="583"/>
      <c r="Q122" s="583"/>
      <c r="R122" s="583"/>
      <c r="S122" s="583">
        <v>136.8356</v>
      </c>
      <c r="T122" s="583">
        <v>897.2713</v>
      </c>
      <c r="U122" s="583"/>
      <c r="V122" s="583"/>
      <c r="W122" s="583"/>
      <c r="X122" s="583"/>
      <c r="Y122" s="583"/>
      <c r="Z122" s="583"/>
      <c r="AA122" s="584"/>
      <c r="AB122" s="584"/>
      <c r="AC122" s="584"/>
      <c r="AD122" s="584"/>
      <c r="AE122" s="584"/>
      <c r="AF122" s="584"/>
      <c r="AG122" s="584"/>
      <c r="AH122" s="584"/>
      <c r="AI122" s="113"/>
      <c r="AJ122" s="583">
        <v>25.248999999999999</v>
      </c>
      <c r="AK122" s="583">
        <v>0</v>
      </c>
      <c r="AL122" s="583">
        <v>0</v>
      </c>
      <c r="AM122" s="583">
        <v>68.351799999999997</v>
      </c>
      <c r="AN122" s="114">
        <f t="shared" si="3"/>
        <v>93.600799999999992</v>
      </c>
      <c r="AP122" s="41"/>
      <c r="AQ122" s="41"/>
      <c r="AR122" s="41"/>
      <c r="AS122" s="41"/>
      <c r="AT122" s="41"/>
      <c r="AU122" s="41"/>
    </row>
    <row r="123" spans="1:47" ht="15.75" outlineLevel="1">
      <c r="A123" s="559">
        <v>2063</v>
      </c>
      <c r="B123" s="583">
        <v>29.75</v>
      </c>
      <c r="C123" s="583"/>
      <c r="D123" s="583">
        <v>1106.6928</v>
      </c>
      <c r="E123" s="583"/>
      <c r="F123" s="583"/>
      <c r="G123" s="583"/>
      <c r="H123" s="583">
        <v>63.950400000000002</v>
      </c>
      <c r="I123" s="583">
        <v>0</v>
      </c>
      <c r="J123" s="583"/>
      <c r="K123" s="583"/>
      <c r="L123" s="583"/>
      <c r="M123" s="583">
        <v>51.915500000000002</v>
      </c>
      <c r="N123" s="583"/>
      <c r="O123" s="583">
        <v>2029.3530000000001</v>
      </c>
      <c r="P123" s="583"/>
      <c r="Q123" s="583"/>
      <c r="R123" s="583"/>
      <c r="S123" s="583">
        <v>136.8356</v>
      </c>
      <c r="T123" s="583">
        <v>897.2713</v>
      </c>
      <c r="U123" s="583"/>
      <c r="V123" s="583"/>
      <c r="W123" s="583"/>
      <c r="X123" s="583"/>
      <c r="Y123" s="583"/>
      <c r="Z123" s="583"/>
      <c r="AA123" s="584"/>
      <c r="AB123" s="584"/>
      <c r="AC123" s="584"/>
      <c r="AD123" s="584"/>
      <c r="AE123" s="584"/>
      <c r="AF123" s="584"/>
      <c r="AG123" s="584"/>
      <c r="AH123" s="584"/>
      <c r="AI123" s="113"/>
      <c r="AJ123" s="583">
        <v>25.890999999999998</v>
      </c>
      <c r="AK123" s="583">
        <v>0</v>
      </c>
      <c r="AL123" s="583">
        <v>0</v>
      </c>
      <c r="AM123" s="583">
        <v>77.299199999999999</v>
      </c>
      <c r="AN123" s="114">
        <f t="shared" si="3"/>
        <v>103.1902</v>
      </c>
      <c r="AP123" s="41"/>
      <c r="AQ123" s="41"/>
      <c r="AR123" s="41"/>
      <c r="AS123" s="41"/>
      <c r="AT123" s="41"/>
      <c r="AU123" s="41"/>
    </row>
    <row r="124" spans="1:47" ht="15.75" outlineLevel="1">
      <c r="A124" s="559">
        <v>2064</v>
      </c>
      <c r="B124" s="583">
        <v>37.25</v>
      </c>
      <c r="C124" s="583"/>
      <c r="D124" s="583">
        <v>1557.7231999999999</v>
      </c>
      <c r="E124" s="583"/>
      <c r="F124" s="583"/>
      <c r="G124" s="583"/>
      <c r="H124" s="583">
        <v>54.073500000000003</v>
      </c>
      <c r="I124" s="583">
        <v>0</v>
      </c>
      <c r="J124" s="583"/>
      <c r="K124" s="583"/>
      <c r="L124" s="583"/>
      <c r="M124" s="583">
        <v>35.191000000000003</v>
      </c>
      <c r="N124" s="583"/>
      <c r="O124" s="583">
        <v>1751.2837</v>
      </c>
      <c r="P124" s="583"/>
      <c r="Q124" s="583"/>
      <c r="R124" s="583"/>
      <c r="S124" s="583">
        <v>136.8356</v>
      </c>
      <c r="T124" s="583">
        <v>897.2713</v>
      </c>
      <c r="U124" s="583"/>
      <c r="V124" s="583"/>
      <c r="W124" s="583"/>
      <c r="X124" s="583"/>
      <c r="Y124" s="583"/>
      <c r="Z124" s="583"/>
      <c r="AA124" s="584"/>
      <c r="AB124" s="584"/>
      <c r="AC124" s="584"/>
      <c r="AD124" s="584"/>
      <c r="AE124" s="584"/>
      <c r="AF124" s="584"/>
      <c r="AG124" s="584"/>
      <c r="AH124" s="584"/>
      <c r="AI124" s="113"/>
      <c r="AJ124" s="583">
        <v>26.533100000000001</v>
      </c>
      <c r="AK124" s="583">
        <v>0</v>
      </c>
      <c r="AL124" s="583">
        <v>0</v>
      </c>
      <c r="AM124" s="583">
        <v>84.740700000000004</v>
      </c>
      <c r="AN124" s="114">
        <f t="shared" si="3"/>
        <v>111.27380000000001</v>
      </c>
      <c r="AP124" s="41"/>
      <c r="AQ124" s="41"/>
      <c r="AR124" s="41"/>
      <c r="AS124" s="41"/>
      <c r="AT124" s="41"/>
      <c r="AU124" s="41"/>
    </row>
    <row r="125" spans="1:47" ht="15.75" outlineLevel="1">
      <c r="A125" s="559">
        <v>2065</v>
      </c>
      <c r="B125" s="583">
        <v>23</v>
      </c>
      <c r="C125" s="583"/>
      <c r="D125" s="583">
        <v>1946.9129</v>
      </c>
      <c r="E125" s="583"/>
      <c r="F125" s="583"/>
      <c r="G125" s="583"/>
      <c r="H125" s="583">
        <v>38.101700000000001</v>
      </c>
      <c r="I125" s="583">
        <v>6.3342000000000001</v>
      </c>
      <c r="J125" s="583"/>
      <c r="K125" s="583"/>
      <c r="L125" s="583"/>
      <c r="M125" s="583">
        <v>27.525700000000001</v>
      </c>
      <c r="N125" s="583"/>
      <c r="O125" s="583">
        <v>2473.1568000000002</v>
      </c>
      <c r="P125" s="583"/>
      <c r="Q125" s="583"/>
      <c r="R125" s="583"/>
      <c r="S125" s="583">
        <v>136.8356</v>
      </c>
      <c r="T125" s="583">
        <v>897.2713</v>
      </c>
      <c r="U125" s="583"/>
      <c r="V125" s="583"/>
      <c r="W125" s="583"/>
      <c r="X125" s="583"/>
      <c r="Y125" s="583"/>
      <c r="Z125" s="583"/>
      <c r="AA125" s="584"/>
      <c r="AB125" s="584"/>
      <c r="AC125" s="584"/>
      <c r="AD125" s="584"/>
      <c r="AE125" s="584"/>
      <c r="AF125" s="584"/>
      <c r="AG125" s="584"/>
      <c r="AH125" s="584"/>
      <c r="AI125" s="113"/>
      <c r="AJ125" s="583">
        <v>26.34</v>
      </c>
      <c r="AK125" s="583">
        <v>0</v>
      </c>
      <c r="AL125" s="583">
        <v>0</v>
      </c>
      <c r="AM125" s="583">
        <v>89.7624</v>
      </c>
      <c r="AN125" s="114">
        <f t="shared" si="3"/>
        <v>116.1024</v>
      </c>
      <c r="AP125" s="41"/>
      <c r="AQ125" s="41"/>
      <c r="AR125" s="41"/>
      <c r="AS125" s="41"/>
      <c r="AT125" s="41"/>
      <c r="AU125" s="41"/>
    </row>
    <row r="126" spans="1:47" ht="15.75" outlineLevel="1">
      <c r="A126" s="559">
        <v>2066</v>
      </c>
      <c r="B126" s="583">
        <v>22.25</v>
      </c>
      <c r="C126" s="583"/>
      <c r="D126" s="583">
        <v>1642.0385000000001</v>
      </c>
      <c r="E126" s="583"/>
      <c r="F126" s="583"/>
      <c r="G126" s="583"/>
      <c r="H126" s="583">
        <v>41.825899999999997</v>
      </c>
      <c r="I126" s="583">
        <v>0</v>
      </c>
      <c r="J126" s="583"/>
      <c r="K126" s="583"/>
      <c r="L126" s="583"/>
      <c r="M126" s="583">
        <v>112.89</v>
      </c>
      <c r="N126" s="583"/>
      <c r="O126" s="583">
        <v>1918.4347</v>
      </c>
      <c r="P126" s="583"/>
      <c r="Q126" s="583"/>
      <c r="R126" s="583"/>
      <c r="S126" s="583">
        <v>136.8356</v>
      </c>
      <c r="T126" s="583">
        <v>897.2713</v>
      </c>
      <c r="U126" s="583"/>
      <c r="V126" s="583"/>
      <c r="W126" s="583"/>
      <c r="X126" s="583"/>
      <c r="Y126" s="583"/>
      <c r="Z126" s="583"/>
      <c r="AA126" s="584"/>
      <c r="AB126" s="584"/>
      <c r="AC126" s="584"/>
      <c r="AD126" s="584"/>
      <c r="AE126" s="584"/>
      <c r="AF126" s="584"/>
      <c r="AG126" s="584"/>
      <c r="AH126" s="584"/>
      <c r="AI126" s="113"/>
      <c r="AJ126" s="583">
        <v>26.230599999999999</v>
      </c>
      <c r="AK126" s="583">
        <v>0</v>
      </c>
      <c r="AL126" s="583">
        <v>0</v>
      </c>
      <c r="AM126" s="583">
        <v>95.261300000000006</v>
      </c>
      <c r="AN126" s="114">
        <f t="shared" si="3"/>
        <v>121.4919</v>
      </c>
      <c r="AP126" s="41"/>
      <c r="AQ126" s="41"/>
      <c r="AR126" s="41"/>
      <c r="AS126" s="41"/>
      <c r="AT126" s="41"/>
      <c r="AU126" s="41"/>
    </row>
    <row r="127" spans="1:47" ht="15.75" outlineLevel="1">
      <c r="A127" s="559">
        <v>2067</v>
      </c>
      <c r="B127" s="583">
        <v>66.75</v>
      </c>
      <c r="C127" s="583"/>
      <c r="D127" s="583">
        <v>980.73360000000002</v>
      </c>
      <c r="E127" s="583"/>
      <c r="F127" s="583"/>
      <c r="G127" s="583"/>
      <c r="H127" s="583">
        <v>92.534199999999998</v>
      </c>
      <c r="I127" s="583">
        <v>0</v>
      </c>
      <c r="J127" s="583"/>
      <c r="K127" s="583"/>
      <c r="L127" s="583"/>
      <c r="M127" s="583">
        <v>64.807199999999995</v>
      </c>
      <c r="N127" s="583"/>
      <c r="O127" s="583">
        <v>2377.8526000000002</v>
      </c>
      <c r="P127" s="583"/>
      <c r="Q127" s="583"/>
      <c r="R127" s="583"/>
      <c r="S127" s="583">
        <v>136.8356</v>
      </c>
      <c r="T127" s="583">
        <v>897.2713</v>
      </c>
      <c r="U127" s="583"/>
      <c r="V127" s="583"/>
      <c r="W127" s="583"/>
      <c r="X127" s="583"/>
      <c r="Y127" s="583"/>
      <c r="Z127" s="583"/>
      <c r="AA127" s="584"/>
      <c r="AB127" s="584"/>
      <c r="AC127" s="584"/>
      <c r="AD127" s="584"/>
      <c r="AE127" s="584"/>
      <c r="AF127" s="584"/>
      <c r="AG127" s="584"/>
      <c r="AH127" s="584"/>
      <c r="AI127" s="113"/>
      <c r="AJ127" s="583">
        <v>26.485099999999999</v>
      </c>
      <c r="AK127" s="583">
        <v>0</v>
      </c>
      <c r="AL127" s="583">
        <v>0</v>
      </c>
      <c r="AM127" s="583">
        <v>102.52419999999999</v>
      </c>
      <c r="AN127" s="114">
        <f t="shared" si="3"/>
        <v>129.0093</v>
      </c>
      <c r="AP127" s="41"/>
      <c r="AQ127" s="41"/>
      <c r="AR127" s="41"/>
      <c r="AS127" s="41"/>
      <c r="AT127" s="41"/>
      <c r="AU127" s="41"/>
    </row>
    <row r="128" spans="1:47" ht="15.75" outlineLevel="1">
      <c r="A128" s="559">
        <v>2068</v>
      </c>
      <c r="B128" s="583">
        <v>44.5</v>
      </c>
      <c r="C128" s="583"/>
      <c r="D128" s="583">
        <v>980.73360000000002</v>
      </c>
      <c r="E128" s="583"/>
      <c r="F128" s="583"/>
      <c r="G128" s="583"/>
      <c r="H128" s="583">
        <v>71.157200000000003</v>
      </c>
      <c r="I128" s="583">
        <v>0</v>
      </c>
      <c r="J128" s="583"/>
      <c r="K128" s="583"/>
      <c r="L128" s="583"/>
      <c r="M128" s="583">
        <v>37.281599999999997</v>
      </c>
      <c r="N128" s="583"/>
      <c r="O128" s="583">
        <v>1961.1902</v>
      </c>
      <c r="P128" s="583"/>
      <c r="Q128" s="583"/>
      <c r="R128" s="583"/>
      <c r="S128" s="583">
        <v>136.8356</v>
      </c>
      <c r="T128" s="583">
        <v>897.2713</v>
      </c>
      <c r="U128" s="583"/>
      <c r="V128" s="583"/>
      <c r="W128" s="583"/>
      <c r="X128" s="583"/>
      <c r="Y128" s="583"/>
      <c r="Z128" s="583"/>
      <c r="AA128" s="584"/>
      <c r="AB128" s="584"/>
      <c r="AC128" s="584"/>
      <c r="AD128" s="584"/>
      <c r="AE128" s="584"/>
      <c r="AF128" s="584"/>
      <c r="AG128" s="584"/>
      <c r="AH128" s="584"/>
      <c r="AI128" s="113"/>
      <c r="AJ128" s="583">
        <v>26.509499999999999</v>
      </c>
      <c r="AK128" s="583">
        <v>0</v>
      </c>
      <c r="AL128" s="583">
        <v>0</v>
      </c>
      <c r="AM128" s="583">
        <v>108.9229</v>
      </c>
      <c r="AN128" s="114">
        <f t="shared" si="3"/>
        <v>135.4324</v>
      </c>
      <c r="AP128" s="41"/>
      <c r="AQ128" s="41"/>
      <c r="AR128" s="41"/>
      <c r="AS128" s="41"/>
      <c r="AT128" s="41"/>
      <c r="AU128" s="41"/>
    </row>
    <row r="129" spans="1:49" ht="15.75" outlineLevel="1">
      <c r="A129" s="559">
        <v>2069</v>
      </c>
      <c r="B129" s="583">
        <v>22.25</v>
      </c>
      <c r="C129" s="583"/>
      <c r="D129" s="583">
        <v>1035.2188000000001</v>
      </c>
      <c r="E129" s="583"/>
      <c r="F129" s="583"/>
      <c r="G129" s="583"/>
      <c r="H129" s="583">
        <v>82.443700000000007</v>
      </c>
      <c r="I129" s="583">
        <v>0</v>
      </c>
      <c r="J129" s="583"/>
      <c r="K129" s="583"/>
      <c r="L129" s="583"/>
      <c r="M129" s="583">
        <v>52.2639</v>
      </c>
      <c r="N129" s="583"/>
      <c r="O129" s="583">
        <v>1692.329</v>
      </c>
      <c r="P129" s="583"/>
      <c r="Q129" s="583"/>
      <c r="R129" s="583"/>
      <c r="S129" s="583">
        <v>274.9511</v>
      </c>
      <c r="T129" s="583">
        <v>897.2713</v>
      </c>
      <c r="U129" s="583"/>
      <c r="V129" s="583"/>
      <c r="W129" s="583"/>
      <c r="X129" s="583"/>
      <c r="Y129" s="583"/>
      <c r="Z129" s="583"/>
      <c r="AA129" s="584"/>
      <c r="AB129" s="584"/>
      <c r="AC129" s="584"/>
      <c r="AD129" s="584"/>
      <c r="AE129" s="584"/>
      <c r="AF129" s="584"/>
      <c r="AG129" s="584"/>
      <c r="AH129" s="584"/>
      <c r="AI129" s="113"/>
      <c r="AJ129" s="583">
        <v>26.900200000000002</v>
      </c>
      <c r="AK129" s="583">
        <v>0</v>
      </c>
      <c r="AL129" s="583">
        <v>0</v>
      </c>
      <c r="AM129" s="583">
        <v>117.08799999999999</v>
      </c>
      <c r="AN129" s="114">
        <f t="shared" si="3"/>
        <v>143.98820000000001</v>
      </c>
      <c r="AP129" s="41"/>
      <c r="AQ129" s="41"/>
      <c r="AR129" s="41"/>
      <c r="AS129" s="41"/>
      <c r="AT129" s="41"/>
      <c r="AU129" s="41"/>
    </row>
    <row r="130" spans="1:49" ht="15.75" outlineLevel="1">
      <c r="A130" s="559">
        <v>2070</v>
      </c>
      <c r="B130" s="583">
        <v>22.25</v>
      </c>
      <c r="C130" s="583"/>
      <c r="D130" s="583">
        <v>1089.704</v>
      </c>
      <c r="E130" s="583"/>
      <c r="F130" s="583"/>
      <c r="G130" s="583"/>
      <c r="H130" s="583">
        <v>189.20580000000001</v>
      </c>
      <c r="I130" s="583">
        <v>0</v>
      </c>
      <c r="J130" s="583"/>
      <c r="K130" s="583"/>
      <c r="L130" s="583"/>
      <c r="M130" s="583">
        <v>154.0043</v>
      </c>
      <c r="N130" s="583"/>
      <c r="O130" s="583">
        <v>2134.5646999999999</v>
      </c>
      <c r="P130" s="583"/>
      <c r="Q130" s="583"/>
      <c r="R130" s="583"/>
      <c r="S130" s="583">
        <v>149.38999999999999</v>
      </c>
      <c r="T130" s="583">
        <v>897.2713</v>
      </c>
      <c r="U130" s="583"/>
      <c r="V130" s="583"/>
      <c r="W130" s="583"/>
      <c r="X130" s="583"/>
      <c r="Y130" s="583"/>
      <c r="Z130" s="583"/>
      <c r="AA130" s="584"/>
      <c r="AB130" s="584"/>
      <c r="AC130" s="584"/>
      <c r="AD130" s="584"/>
      <c r="AE130" s="584"/>
      <c r="AF130" s="584"/>
      <c r="AG130" s="584"/>
      <c r="AH130" s="584"/>
      <c r="AI130" s="113"/>
      <c r="AJ130" s="583">
        <v>27.291</v>
      </c>
      <c r="AK130" s="583">
        <v>0</v>
      </c>
      <c r="AL130" s="583">
        <v>0</v>
      </c>
      <c r="AM130" s="583">
        <v>125.2531</v>
      </c>
      <c r="AN130" s="114">
        <f t="shared" si="3"/>
        <v>152.54410000000001</v>
      </c>
      <c r="AP130" s="41"/>
      <c r="AQ130" s="41"/>
      <c r="AR130" s="41"/>
      <c r="AS130" s="41"/>
      <c r="AT130" s="41"/>
      <c r="AU130" s="41"/>
    </row>
    <row r="131" spans="1:49">
      <c r="A131" s="117" t="s">
        <v>290</v>
      </c>
      <c r="B131" s="585">
        <f>SUM(B75:B130)</f>
        <v>1439</v>
      </c>
      <c r="C131" s="585">
        <f t="shared" ref="C131:AN131" si="4">SUM(C75:C130)</f>
        <v>0</v>
      </c>
      <c r="D131" s="585">
        <f t="shared" si="4"/>
        <v>39005.037100000009</v>
      </c>
      <c r="E131" s="585">
        <f t="shared" si="4"/>
        <v>0</v>
      </c>
      <c r="F131" s="585">
        <f t="shared" si="4"/>
        <v>0</v>
      </c>
      <c r="G131" s="585">
        <f t="shared" si="4"/>
        <v>0</v>
      </c>
      <c r="H131" s="585">
        <f t="shared" si="4"/>
        <v>2275.8159000000005</v>
      </c>
      <c r="I131" s="585">
        <f t="shared" si="4"/>
        <v>1127.6574000000001</v>
      </c>
      <c r="J131" s="585">
        <f t="shared" si="4"/>
        <v>0</v>
      </c>
      <c r="K131" s="585">
        <f t="shared" si="4"/>
        <v>0</v>
      </c>
      <c r="L131" s="585">
        <f t="shared" si="4"/>
        <v>0</v>
      </c>
      <c r="M131" s="585">
        <f t="shared" si="4"/>
        <v>2077.6644999999994</v>
      </c>
      <c r="N131" s="585">
        <f t="shared" si="4"/>
        <v>0</v>
      </c>
      <c r="O131" s="585">
        <f t="shared" si="4"/>
        <v>45343.387399999992</v>
      </c>
      <c r="P131" s="585">
        <f t="shared" si="4"/>
        <v>0</v>
      </c>
      <c r="Q131" s="585">
        <f t="shared" si="4"/>
        <v>0</v>
      </c>
      <c r="R131" s="585">
        <f t="shared" si="4"/>
        <v>0</v>
      </c>
      <c r="S131" s="585">
        <f t="shared" si="4"/>
        <v>5575.4116000000022</v>
      </c>
      <c r="T131" s="585">
        <f t="shared" si="4"/>
        <v>35400.283700000007</v>
      </c>
      <c r="U131" s="585">
        <f t="shared" si="4"/>
        <v>0</v>
      </c>
      <c r="V131" s="585">
        <f t="shared" si="4"/>
        <v>0</v>
      </c>
      <c r="W131" s="585">
        <f t="shared" si="4"/>
        <v>0</v>
      </c>
      <c r="X131" s="585">
        <f t="shared" si="4"/>
        <v>0</v>
      </c>
      <c r="Y131" s="585">
        <f t="shared" si="4"/>
        <v>0</v>
      </c>
      <c r="Z131" s="585">
        <f t="shared" si="4"/>
        <v>0</v>
      </c>
      <c r="AA131" s="585">
        <f t="shared" si="4"/>
        <v>0</v>
      </c>
      <c r="AB131" s="585">
        <f t="shared" si="4"/>
        <v>0</v>
      </c>
      <c r="AC131" s="585">
        <f t="shared" si="4"/>
        <v>0</v>
      </c>
      <c r="AD131" s="585">
        <f t="shared" si="4"/>
        <v>0</v>
      </c>
      <c r="AE131" s="585">
        <f t="shared" si="4"/>
        <v>0</v>
      </c>
      <c r="AF131" s="585">
        <f t="shared" si="4"/>
        <v>0</v>
      </c>
      <c r="AG131" s="585">
        <f t="shared" si="4"/>
        <v>0</v>
      </c>
      <c r="AH131" s="585">
        <f t="shared" si="4"/>
        <v>0</v>
      </c>
      <c r="AI131" s="586"/>
      <c r="AJ131" s="585">
        <f t="shared" si="4"/>
        <v>685.14600000000007</v>
      </c>
      <c r="AK131" s="585">
        <f t="shared" si="4"/>
        <v>0</v>
      </c>
      <c r="AL131" s="585">
        <f t="shared" si="4"/>
        <v>614.39920000000006</v>
      </c>
      <c r="AM131" s="585">
        <f t="shared" si="4"/>
        <v>1247.106</v>
      </c>
      <c r="AN131" s="585">
        <f t="shared" si="4"/>
        <v>2546.6512000000002</v>
      </c>
      <c r="AQ131" s="41"/>
      <c r="AR131" s="41"/>
      <c r="AS131" s="41"/>
      <c r="AT131" s="41"/>
      <c r="AU131" s="41"/>
      <c r="AV131" s="41"/>
      <c r="AW131" s="41"/>
    </row>
    <row r="132" spans="1:49">
      <c r="A132" s="2"/>
      <c r="AQ132" s="41"/>
      <c r="AR132" s="41"/>
      <c r="AS132" s="41"/>
      <c r="AT132" s="41"/>
      <c r="AU132" s="41"/>
      <c r="AV132" s="41"/>
      <c r="AW132" s="41"/>
    </row>
    <row r="133" spans="1:49">
      <c r="A133" s="2"/>
      <c r="AQ133" s="41"/>
      <c r="AR133" s="41"/>
      <c r="AS133" s="41"/>
      <c r="AT133" s="41"/>
      <c r="AU133" s="41"/>
      <c r="AV133" s="41"/>
      <c r="AW133" s="41"/>
    </row>
    <row r="134" spans="1:49">
      <c r="A134" s="2"/>
      <c r="AQ134" s="41"/>
      <c r="AR134" s="41"/>
      <c r="AS134" s="41"/>
      <c r="AT134" s="41"/>
      <c r="AU134" s="41"/>
      <c r="AV134" s="41"/>
      <c r="AW134" s="41"/>
    </row>
    <row r="135" spans="1:49" ht="42" customHeight="1">
      <c r="A135" s="764" t="s">
        <v>644</v>
      </c>
      <c r="B135" s="764"/>
      <c r="C135" s="764"/>
      <c r="D135" s="764"/>
      <c r="E135" s="764"/>
      <c r="F135" s="764"/>
      <c r="G135" s="764"/>
      <c r="H135" s="764"/>
      <c r="I135" s="764"/>
      <c r="J135" s="764"/>
      <c r="K135" s="764"/>
      <c r="L135" s="764"/>
      <c r="M135" s="764"/>
      <c r="N135" s="764"/>
      <c r="O135" s="764"/>
      <c r="P135" s="764"/>
      <c r="Q135" s="764"/>
      <c r="R135" s="764"/>
      <c r="S135" s="764"/>
      <c r="T135" s="764"/>
      <c r="U135" s="764"/>
      <c r="V135" s="764"/>
      <c r="W135" s="764"/>
      <c r="X135" s="764"/>
      <c r="Y135" s="764"/>
      <c r="Z135" s="764"/>
      <c r="AA135" s="764"/>
      <c r="AB135" s="764"/>
      <c r="AC135" s="764"/>
      <c r="AD135" s="764"/>
      <c r="AE135" s="764"/>
      <c r="AF135" s="764"/>
      <c r="AG135" s="764"/>
      <c r="AH135" s="764"/>
      <c r="AI135" s="764"/>
      <c r="AJ135" s="764"/>
      <c r="AK135" s="764"/>
      <c r="AL135" s="764"/>
      <c r="AM135" s="764"/>
      <c r="AN135" s="764"/>
      <c r="AQ135" s="41"/>
    </row>
    <row r="136" spans="1:49" ht="28.05" customHeight="1" thickBot="1">
      <c r="A136" s="103" t="s">
        <v>645</v>
      </c>
      <c r="AQ136" s="41"/>
      <c r="AU136" s="41"/>
    </row>
    <row r="137" spans="1:49" ht="42.75">
      <c r="A137" s="93"/>
      <c r="B137" s="767" t="s">
        <v>646</v>
      </c>
      <c r="C137" s="768"/>
      <c r="D137" s="767" t="s">
        <v>647</v>
      </c>
      <c r="E137" s="768"/>
      <c r="F137" s="769" t="s">
        <v>648</v>
      </c>
      <c r="G137" s="768"/>
      <c r="H137" s="767" t="s">
        <v>649</v>
      </c>
      <c r="I137" s="768"/>
      <c r="J137" s="767" t="s">
        <v>650</v>
      </c>
      <c r="K137" s="768"/>
      <c r="L137" s="767" t="s">
        <v>651</v>
      </c>
      <c r="M137" s="768"/>
      <c r="N137" s="767" t="s">
        <v>652</v>
      </c>
      <c r="O137" s="777"/>
      <c r="Q137" s="774" t="s">
        <v>219</v>
      </c>
      <c r="R137" s="767" t="s">
        <v>653</v>
      </c>
      <c r="S137" s="768"/>
      <c r="T137" s="767" t="s">
        <v>654</v>
      </c>
      <c r="U137" s="772" t="s">
        <v>326</v>
      </c>
      <c r="W137" s="100" t="s">
        <v>655</v>
      </c>
      <c r="X137" s="90" t="s">
        <v>646</v>
      </c>
      <c r="Y137" s="90" t="s">
        <v>647</v>
      </c>
      <c r="Z137" s="90" t="s">
        <v>648</v>
      </c>
      <c r="AA137" s="86" t="s">
        <v>290</v>
      </c>
      <c r="AQ137" s="41"/>
      <c r="AU137" s="41"/>
    </row>
    <row r="138" spans="1:49" ht="18">
      <c r="A138" s="95"/>
      <c r="B138" s="104" t="str">
        <f>$C$4</f>
        <v>NetZero</v>
      </c>
      <c r="C138" s="105" t="str">
        <f>$C$5</f>
        <v>LeastCost</v>
      </c>
      <c r="D138" s="104" t="str">
        <f>$C$4</f>
        <v>NetZero</v>
      </c>
      <c r="E138" s="105" t="str">
        <f>$C$5</f>
        <v>LeastCost</v>
      </c>
      <c r="F138" s="508" t="str">
        <f>$C$4</f>
        <v>NetZero</v>
      </c>
      <c r="G138" s="105" t="str">
        <f>$C$5</f>
        <v>LeastCost</v>
      </c>
      <c r="H138" s="104" t="str">
        <f>$C$4</f>
        <v>NetZero</v>
      </c>
      <c r="I138" s="105" t="str">
        <f>$C$5</f>
        <v>LeastCost</v>
      </c>
      <c r="J138" s="104" t="str">
        <f>C4</f>
        <v>NetZero</v>
      </c>
      <c r="K138" s="105" t="s">
        <v>656</v>
      </c>
      <c r="L138" s="104" t="str">
        <f>$C$4</f>
        <v>NetZero</v>
      </c>
      <c r="M138" s="105" t="str">
        <f>$C$5</f>
        <v>LeastCost</v>
      </c>
      <c r="N138" s="104" t="str">
        <f>$C$4</f>
        <v>NetZero</v>
      </c>
      <c r="O138" s="505" t="str">
        <f>$C$5</f>
        <v>LeastCost</v>
      </c>
      <c r="Q138" s="775"/>
      <c r="R138" s="503" t="str">
        <f>$C$4</f>
        <v>NetZero</v>
      </c>
      <c r="S138" s="504" t="str">
        <f>$C$5</f>
        <v>LeastCost</v>
      </c>
      <c r="T138" s="776"/>
      <c r="U138" s="773"/>
      <c r="W138" s="91" t="str">
        <f>$C$4</f>
        <v>NetZero</v>
      </c>
      <c r="X138" s="45">
        <f>B185</f>
        <v>131149.56749999998</v>
      </c>
      <c r="Y138" s="45">
        <f>D185</f>
        <v>5254.9279000000006</v>
      </c>
      <c r="Z138" s="45">
        <f>F185</f>
        <v>42852.253700000001</v>
      </c>
      <c r="AA138" s="101">
        <f>SUM(X138:Z138)</f>
        <v>179256.74909999999</v>
      </c>
      <c r="AQ138" s="41"/>
      <c r="AU138" s="41"/>
    </row>
    <row r="139" spans="1:49" ht="16.149999999999999" thickBot="1">
      <c r="A139" s="95">
        <v>2025</v>
      </c>
      <c r="B139" s="106">
        <f>SUM(B21:AH21)</f>
        <v>869.34389999999996</v>
      </c>
      <c r="C139" s="107">
        <f>SUM(B85:AH85)</f>
        <v>569.34389999999996</v>
      </c>
      <c r="D139" s="510">
        <v>139.30779999999996</v>
      </c>
      <c r="E139" s="511">
        <v>139.30779999999996</v>
      </c>
      <c r="F139" s="506">
        <v>224.81200000000004</v>
      </c>
      <c r="G139" s="506">
        <v>224.81200000000001</v>
      </c>
      <c r="H139" s="106">
        <f>SUM(B139,D139,F139)</f>
        <v>1233.4637</v>
      </c>
      <c r="I139" s="107">
        <f>SUM(C139,E139,G139)</f>
        <v>933.4636999999999</v>
      </c>
      <c r="J139" s="507">
        <v>335.71369999999985</v>
      </c>
      <c r="K139" s="507">
        <v>335.71379999999982</v>
      </c>
      <c r="L139" s="106">
        <f t="shared" ref="L139:L184" si="5">IFERROR(H139/J139, 0)</f>
        <v>3.6741536017147962</v>
      </c>
      <c r="M139" s="107">
        <f t="shared" ref="M139:M184" si="6">IFERROR(I139/K139, 0)</f>
        <v>2.7805341931133021</v>
      </c>
      <c r="N139" s="108">
        <f t="shared" ref="N139:N184" si="7">L139*3.6</f>
        <v>13.226952966173267</v>
      </c>
      <c r="O139" s="109">
        <f t="shared" ref="O139:O184" si="8">M139*3.6</f>
        <v>10.009923095207888</v>
      </c>
      <c r="P139" s="112"/>
      <c r="Q139" s="110">
        <v>67.060661607708965</v>
      </c>
      <c r="R139" s="547">
        <v>0.43909999999999999</v>
      </c>
      <c r="S139" s="548">
        <v>0.43909999999999999</v>
      </c>
      <c r="T139" s="108">
        <f t="shared" ref="T139:T184" si="9">(S139-R139)*Q139</f>
        <v>0</v>
      </c>
      <c r="U139" s="111"/>
      <c r="W139" s="92" t="str">
        <f>$C$5</f>
        <v>LeastCost</v>
      </c>
      <c r="X139" s="46">
        <f>C185</f>
        <v>129624.93729999999</v>
      </c>
      <c r="Y139" s="46">
        <f>E185</f>
        <v>6543.0711000000047</v>
      </c>
      <c r="Z139" s="46">
        <f>G185</f>
        <v>42995.592699999994</v>
      </c>
      <c r="AA139" s="102">
        <f>SUM(X139:Z139)</f>
        <v>179163.60109999997</v>
      </c>
      <c r="AQ139" s="41"/>
      <c r="AU139" s="41"/>
    </row>
    <row r="140" spans="1:49" ht="16.149999999999999" thickBot="1">
      <c r="A140" s="95">
        <v>2026</v>
      </c>
      <c r="B140" s="106">
        <f t="shared" ref="B140:B184" si="10">SUM(B22:AH22)</f>
        <v>978.1742999999999</v>
      </c>
      <c r="C140" s="107">
        <f t="shared" ref="C140:C184" si="11">SUM(B86:AH86)</f>
        <v>978.1742999999999</v>
      </c>
      <c r="D140" s="510">
        <v>83.78250000000007</v>
      </c>
      <c r="E140" s="511">
        <v>83.78250000000007</v>
      </c>
      <c r="F140" s="506">
        <v>237.14750000000009</v>
      </c>
      <c r="G140" s="506">
        <v>237.14750000000001</v>
      </c>
      <c r="H140" s="106">
        <f t="shared" ref="H140:H184" si="12">SUM(B140,D140,F140)</f>
        <v>1299.1043</v>
      </c>
      <c r="I140" s="107">
        <f>SUM(C140,E140,G140)</f>
        <v>1299.1043</v>
      </c>
      <c r="J140" s="507">
        <v>349.89889999999991</v>
      </c>
      <c r="K140" s="507">
        <v>349.89889999999991</v>
      </c>
      <c r="L140" s="106">
        <f t="shared" si="5"/>
        <v>3.7127990399512552</v>
      </c>
      <c r="M140" s="107">
        <f>IFERROR(I140/K140, 0)</f>
        <v>3.7127990399512552</v>
      </c>
      <c r="N140" s="108">
        <f>L140*3.6</f>
        <v>13.366076543824519</v>
      </c>
      <c r="O140" s="109">
        <f t="shared" si="8"/>
        <v>13.366076543824519</v>
      </c>
      <c r="P140" s="112"/>
      <c r="Q140" s="110">
        <v>68.569526493882407</v>
      </c>
      <c r="R140" s="547">
        <v>0.1041</v>
      </c>
      <c r="S140" s="548">
        <v>0.1041</v>
      </c>
      <c r="T140" s="108">
        <f>(S140-R140)*Q140</f>
        <v>0</v>
      </c>
      <c r="U140" s="111"/>
      <c r="W140" s="2"/>
      <c r="AQ140" s="41"/>
      <c r="AU140" s="41"/>
    </row>
    <row r="141" spans="1:49" ht="15.75">
      <c r="A141" s="95">
        <v>2027</v>
      </c>
      <c r="B141" s="106">
        <f t="shared" si="10"/>
        <v>966.77909999999997</v>
      </c>
      <c r="C141" s="107">
        <f t="shared" si="11"/>
        <v>1085.6692</v>
      </c>
      <c r="D141" s="510">
        <v>118.25830000000006</v>
      </c>
      <c r="E141" s="511">
        <v>100.45430000000009</v>
      </c>
      <c r="F141" s="506">
        <v>239.72430000000008</v>
      </c>
      <c r="G141" s="506">
        <v>244.54409999999999</v>
      </c>
      <c r="H141" s="106">
        <f>SUM(B141,D141,F141)</f>
        <v>1324.7617</v>
      </c>
      <c r="I141" s="107">
        <f t="shared" ref="I141:I184" si="13">SUM(C141,E141,G141)</f>
        <v>1430.6676000000002</v>
      </c>
      <c r="J141" s="507">
        <v>367.12259999999992</v>
      </c>
      <c r="K141" s="507">
        <v>367.54269999999997</v>
      </c>
      <c r="L141" s="106">
        <f>IFERROR(H141/J141, 0)</f>
        <v>3.608499449502701</v>
      </c>
      <c r="M141" s="107">
        <f t="shared" si="6"/>
        <v>3.8925207873806236</v>
      </c>
      <c r="N141" s="108">
        <f t="shared" si="7"/>
        <v>12.990598018209724</v>
      </c>
      <c r="O141" s="109">
        <f t="shared" si="8"/>
        <v>14.013074834570245</v>
      </c>
      <c r="P141" s="44"/>
      <c r="Q141" s="110">
        <v>70.112340839994772</v>
      </c>
      <c r="R141" s="547">
        <v>0.19819999999999999</v>
      </c>
      <c r="S141" s="548">
        <v>0.1522</v>
      </c>
      <c r="T141" s="108">
        <f t="shared" si="9"/>
        <v>-3.2251676786397585</v>
      </c>
      <c r="U141" s="111"/>
      <c r="W141" s="770" t="s">
        <v>657</v>
      </c>
      <c r="X141" s="780" t="s">
        <v>646</v>
      </c>
      <c r="Y141" s="781"/>
      <c r="Z141" s="782"/>
      <c r="AA141" s="780" t="s">
        <v>647</v>
      </c>
      <c r="AB141" s="781"/>
      <c r="AC141" s="782"/>
      <c r="AD141" s="780" t="s">
        <v>648</v>
      </c>
      <c r="AE141" s="781"/>
      <c r="AF141" s="782"/>
      <c r="AG141" s="778" t="s">
        <v>658</v>
      </c>
      <c r="AQ141" s="41"/>
      <c r="AU141" s="41"/>
    </row>
    <row r="142" spans="1:49" ht="15.75">
      <c r="A142" s="95">
        <v>2028</v>
      </c>
      <c r="B142" s="106">
        <f t="shared" si="10"/>
        <v>954.4079999999999</v>
      </c>
      <c r="C142" s="107">
        <f t="shared" si="11"/>
        <v>954.4079999999999</v>
      </c>
      <c r="D142" s="510">
        <v>115.92710000000005</v>
      </c>
      <c r="E142" s="511">
        <v>98.123200000000054</v>
      </c>
      <c r="F142" s="506">
        <v>258.19459999999998</v>
      </c>
      <c r="G142" s="506">
        <v>262.99549999999999</v>
      </c>
      <c r="H142" s="106">
        <f>SUM(B142,D142,F142)</f>
        <v>1328.5297</v>
      </c>
      <c r="I142" s="107">
        <f t="shared" si="13"/>
        <v>1315.5266999999999</v>
      </c>
      <c r="J142" s="507">
        <v>389.71309999999994</v>
      </c>
      <c r="K142" s="507">
        <v>390.12569999999999</v>
      </c>
      <c r="L142" s="106">
        <f t="shared" si="5"/>
        <v>3.4089942062507013</v>
      </c>
      <c r="M142" s="107">
        <f t="shared" si="6"/>
        <v>3.3720585442076745</v>
      </c>
      <c r="N142" s="108">
        <f t="shared" si="7"/>
        <v>12.272379142502524</v>
      </c>
      <c r="O142" s="109">
        <f t="shared" si="8"/>
        <v>12.139410759147628</v>
      </c>
      <c r="P142" s="44"/>
      <c r="Q142" s="110">
        <v>71.689868508894648</v>
      </c>
      <c r="R142" s="547">
        <v>0.23780000000000001</v>
      </c>
      <c r="S142" s="548">
        <v>0.1928</v>
      </c>
      <c r="T142" s="108">
        <f t="shared" si="9"/>
        <v>-3.2260440829002599</v>
      </c>
      <c r="U142" s="111"/>
      <c r="W142" s="771"/>
      <c r="X142" s="509" t="str">
        <f>$C$4</f>
        <v>NetZero</v>
      </c>
      <c r="Y142" s="508" t="str">
        <f>$C$5</f>
        <v>LeastCost</v>
      </c>
      <c r="Z142" s="515" t="s">
        <v>659</v>
      </c>
      <c r="AA142" s="509" t="str">
        <f>$C$4</f>
        <v>NetZero</v>
      </c>
      <c r="AB142" s="508" t="str">
        <f>$C$5</f>
        <v>LeastCost</v>
      </c>
      <c r="AC142" s="515" t="s">
        <v>659</v>
      </c>
      <c r="AD142" s="509" t="str">
        <f>$C$4</f>
        <v>NetZero</v>
      </c>
      <c r="AE142" s="508" t="str">
        <f>$C$5</f>
        <v>LeastCost</v>
      </c>
      <c r="AF142" s="515" t="s">
        <v>659</v>
      </c>
      <c r="AG142" s="779"/>
      <c r="AQ142" s="41"/>
      <c r="AU142" s="41"/>
    </row>
    <row r="143" spans="1:49" ht="15.75">
      <c r="A143" s="95">
        <v>2029</v>
      </c>
      <c r="B143" s="106">
        <f t="shared" si="10"/>
        <v>1637.2811999999999</v>
      </c>
      <c r="C143" s="107">
        <f t="shared" si="11"/>
        <v>1637.2811999999999</v>
      </c>
      <c r="D143" s="510">
        <v>91.844800000000035</v>
      </c>
      <c r="E143" s="511">
        <v>74.187800000000038</v>
      </c>
      <c r="F143" s="506">
        <v>285.06119999999999</v>
      </c>
      <c r="G143" s="506">
        <v>289.84320000000002</v>
      </c>
      <c r="H143" s="106">
        <f>SUM(B143,D143,F143)</f>
        <v>2014.1871999999998</v>
      </c>
      <c r="I143" s="107">
        <f t="shared" si="13"/>
        <v>2001.3122000000001</v>
      </c>
      <c r="J143" s="507">
        <v>420.6769000000001</v>
      </c>
      <c r="K143" s="507">
        <v>421.2278</v>
      </c>
      <c r="L143" s="106">
        <f t="shared" si="5"/>
        <v>4.7879672023826343</v>
      </c>
      <c r="M143" s="107">
        <f t="shared" si="6"/>
        <v>4.7511398820305786</v>
      </c>
      <c r="N143" s="108">
        <f t="shared" si="7"/>
        <v>17.236681928577482</v>
      </c>
      <c r="O143" s="109">
        <f t="shared" si="8"/>
        <v>17.104103575310084</v>
      </c>
      <c r="P143" s="44"/>
      <c r="Q143" s="110">
        <v>73.30289055034477</v>
      </c>
      <c r="R143" s="547">
        <v>0.19839999999999999</v>
      </c>
      <c r="S143" s="548">
        <v>0.16259999999999999</v>
      </c>
      <c r="T143" s="108">
        <f t="shared" si="9"/>
        <v>-2.6242434817023428</v>
      </c>
      <c r="U143" s="111"/>
      <c r="W143" s="91">
        <v>2025</v>
      </c>
      <c r="X143" s="516" cm="1">
        <f t="array" ref="X143">SUM(B139:B143/5/5)</f>
        <v>216.23946000000001</v>
      </c>
      <c r="Y143" s="45" cm="1">
        <f t="array" ref="Y143">SUM(C139:C143/5/5)</f>
        <v>208.99506400000001</v>
      </c>
      <c r="Z143" s="101">
        <f>Y143-X143</f>
        <v>-7.2443959999999947</v>
      </c>
      <c r="AA143" s="516" cm="1">
        <f t="array" ref="AA143">SUM(D139:D143/5/5)</f>
        <v>21.96482000000001</v>
      </c>
      <c r="AB143" s="45" cm="1">
        <f t="array" ref="AB143">SUM(E139:E143/5/5)</f>
        <v>19.83422400000001</v>
      </c>
      <c r="AC143" s="101">
        <f>AB143-AA143</f>
        <v>-2.1305960000000006</v>
      </c>
      <c r="AD143" s="516" cm="1">
        <f t="array" ref="AD143">SUM(F139:F143/5/5)</f>
        <v>49.797584000000015</v>
      </c>
      <c r="AE143" s="45" cm="1">
        <f t="array" ref="AE143">SUM(G139:G143/5/5)</f>
        <v>50.373692000000005</v>
      </c>
      <c r="AF143" s="101">
        <f>AE143-AD143</f>
        <v>0.57610799999999074</v>
      </c>
      <c r="AG143" s="101" cm="1">
        <f t="array" ref="AG143">SUM(T139:T143/5/5)</f>
        <v>-0.36301820972969445</v>
      </c>
      <c r="AQ143" s="41"/>
      <c r="AU143" s="41"/>
    </row>
    <row r="144" spans="1:49" ht="15.75">
      <c r="A144" s="95">
        <v>2030</v>
      </c>
      <c r="B144" s="106">
        <f t="shared" si="10"/>
        <v>1393.0034000000001</v>
      </c>
      <c r="C144" s="107">
        <f t="shared" si="11"/>
        <v>1188.9818</v>
      </c>
      <c r="D144" s="510">
        <v>80.950400000000059</v>
      </c>
      <c r="E144" s="511">
        <v>94.02990000000004</v>
      </c>
      <c r="F144" s="506">
        <v>306.12410000000017</v>
      </c>
      <c r="G144" s="506">
        <v>302.608</v>
      </c>
      <c r="H144" s="106">
        <f t="shared" si="12"/>
        <v>1780.0779000000005</v>
      </c>
      <c r="I144" s="107">
        <f t="shared" si="13"/>
        <v>1585.6197</v>
      </c>
      <c r="J144" s="507">
        <v>445.27019999999999</v>
      </c>
      <c r="K144" s="507">
        <v>444.92070000000007</v>
      </c>
      <c r="L144" s="106">
        <f t="shared" si="5"/>
        <v>3.9977476597355954</v>
      </c>
      <c r="M144" s="107">
        <f t="shared" si="6"/>
        <v>3.5638254187768736</v>
      </c>
      <c r="N144" s="108">
        <f t="shared" si="7"/>
        <v>14.391891575048144</v>
      </c>
      <c r="O144" s="109">
        <f t="shared" si="8"/>
        <v>12.829771507596746</v>
      </c>
      <c r="P144" s="44"/>
      <c r="Q144" s="110">
        <v>75</v>
      </c>
      <c r="R144" s="547">
        <v>0.31319999999999998</v>
      </c>
      <c r="S144" s="548">
        <v>0.33929999999999999</v>
      </c>
      <c r="T144" s="108">
        <f t="shared" si="9"/>
        <v>1.9575000000000009</v>
      </c>
      <c r="U144" s="111"/>
      <c r="W144" s="91">
        <v>2030</v>
      </c>
      <c r="X144" s="516" cm="1">
        <f t="array" ref="X144">SUM(B144:B148/5)</f>
        <v>1261.2883599999998</v>
      </c>
      <c r="Y144" s="45" cm="1">
        <f t="array" ref="Y144">SUM(C144:C148/5)</f>
        <v>1271.4945799999998</v>
      </c>
      <c r="Z144" s="101">
        <f t="shared" ref="Z144:Z151" si="14">Y144-X144</f>
        <v>10.20622000000003</v>
      </c>
      <c r="AA144" s="516" cm="1">
        <f t="array" ref="AA144">SUM(D144:D148/5)</f>
        <v>79.130080000000049</v>
      </c>
      <c r="AB144" s="45" cm="1">
        <f t="array" ref="AB144">SUM(E144:E148/5)</f>
        <v>90.10292000000004</v>
      </c>
      <c r="AC144" s="101">
        <f>AB144-AA144</f>
        <v>10.972839999999991</v>
      </c>
      <c r="AD144" s="516" cm="1">
        <f t="array" ref="AD144">SUM(F144:F148/5)</f>
        <v>348.24074000000007</v>
      </c>
      <c r="AE144" s="45" cm="1">
        <f t="array" ref="AE144">SUM(G144:G148/5)</f>
        <v>343.6103</v>
      </c>
      <c r="AF144" s="101">
        <f t="shared" ref="AF144:AF151" si="15">AE144-AD144</f>
        <v>-4.6304400000000783</v>
      </c>
      <c r="AG144" s="101" cm="1">
        <f t="array" ref="AG144">SUM(T144:T148/5)</f>
        <v>3.8632656438737096</v>
      </c>
      <c r="AQ144" s="41"/>
      <c r="AU144" s="41"/>
    </row>
    <row r="145" spans="1:47" ht="15.75">
      <c r="A145" s="95">
        <v>2031</v>
      </c>
      <c r="B145" s="106">
        <f t="shared" si="10"/>
        <v>1100.6995999999999</v>
      </c>
      <c r="C145" s="107">
        <f t="shared" si="11"/>
        <v>1265.5083</v>
      </c>
      <c r="D145" s="510">
        <v>81.781300000000044</v>
      </c>
      <c r="E145" s="511">
        <v>90.215400000000031</v>
      </c>
      <c r="F145" s="506">
        <v>325.90819999999991</v>
      </c>
      <c r="G145" s="506">
        <v>321.73430000000002</v>
      </c>
      <c r="H145" s="106">
        <f t="shared" si="12"/>
        <v>1508.3890999999999</v>
      </c>
      <c r="I145" s="107">
        <f t="shared" si="13"/>
        <v>1677.4580000000001</v>
      </c>
      <c r="J145" s="507">
        <v>473.04200000000014</v>
      </c>
      <c r="K145" s="507">
        <v>472.33630000000016</v>
      </c>
      <c r="L145" s="106">
        <f t="shared" si="5"/>
        <v>3.1887001577026974</v>
      </c>
      <c r="M145" s="107">
        <f t="shared" si="6"/>
        <v>3.5514060638574665</v>
      </c>
      <c r="N145" s="108">
        <f t="shared" si="7"/>
        <v>11.479320567729712</v>
      </c>
      <c r="O145" s="109">
        <f t="shared" si="8"/>
        <v>12.78506182988688</v>
      </c>
      <c r="P145" s="44"/>
      <c r="Q145" s="110">
        <v>76.6875</v>
      </c>
      <c r="R145" s="547">
        <v>0.37069999999999997</v>
      </c>
      <c r="S145" s="548">
        <v>0.38719999999999999</v>
      </c>
      <c r="T145" s="108">
        <f t="shared" si="9"/>
        <v>1.2653437500000011</v>
      </c>
      <c r="U145" s="111"/>
      <c r="W145" s="91">
        <v>2035</v>
      </c>
      <c r="X145" s="516" cm="1">
        <f t="array" ref="X145">SUM(B149:B153/5)</f>
        <v>1665.83412</v>
      </c>
      <c r="Y145" s="45" cm="1">
        <f t="array" ref="Y145">SUM(C149:C153/5)</f>
        <v>1719.4671399999997</v>
      </c>
      <c r="Z145" s="101">
        <f t="shared" si="14"/>
        <v>53.63301999999976</v>
      </c>
      <c r="AA145" s="516" cm="1">
        <f t="array" ref="AA145">SUM(D149:D153/5)</f>
        <v>75.382720000000035</v>
      </c>
      <c r="AB145" s="45" cm="1">
        <f t="array" ref="AB145">SUM(E149:E153/5)</f>
        <v>72.279260000000036</v>
      </c>
      <c r="AC145" s="101">
        <f t="shared" ref="AC145:AC150" si="16">AB145-AA145</f>
        <v>-3.1034599999999983</v>
      </c>
      <c r="AD145" s="516" cm="1">
        <f t="array" ref="AD145">SUM(F149:F153/5)</f>
        <v>462.64224000000024</v>
      </c>
      <c r="AE145" s="45" cm="1">
        <f t="array" ref="AE145">SUM(G149:G153/5)</f>
        <v>464.05672000000004</v>
      </c>
      <c r="AF145" s="101">
        <f t="shared" si="15"/>
        <v>1.4144799999997986</v>
      </c>
      <c r="AG145" s="101" cm="1">
        <f t="array" ref="AG145">SUM(T149:T153/5)</f>
        <v>5.9990352621002501</v>
      </c>
      <c r="AQ145" s="41"/>
      <c r="AU145" s="41"/>
    </row>
    <row r="146" spans="1:47" ht="16.05" customHeight="1">
      <c r="A146" s="95">
        <v>2032</v>
      </c>
      <c r="B146" s="106">
        <f t="shared" si="10"/>
        <v>1235.2891</v>
      </c>
      <c r="C146" s="107">
        <f t="shared" si="11"/>
        <v>1250.0477999999998</v>
      </c>
      <c r="D146" s="510">
        <v>84.647700000000043</v>
      </c>
      <c r="E146" s="511">
        <v>93.699000000000041</v>
      </c>
      <c r="F146" s="506">
        <v>346.42169999999993</v>
      </c>
      <c r="G146" s="506">
        <v>342.93200000000002</v>
      </c>
      <c r="H146" s="106">
        <f t="shared" si="12"/>
        <v>1666.3584999999998</v>
      </c>
      <c r="I146" s="107">
        <f t="shared" si="13"/>
        <v>1686.6787999999999</v>
      </c>
      <c r="J146" s="507">
        <v>497.54300000000018</v>
      </c>
      <c r="K146" s="507">
        <v>495.95790000000011</v>
      </c>
      <c r="L146" s="106">
        <f t="shared" si="5"/>
        <v>3.3491748451892587</v>
      </c>
      <c r="M146" s="107">
        <f t="shared" si="6"/>
        <v>3.4008507576953599</v>
      </c>
      <c r="N146" s="108">
        <f t="shared" si="7"/>
        <v>12.057029442681332</v>
      </c>
      <c r="O146" s="109">
        <f t="shared" si="8"/>
        <v>12.243062727703297</v>
      </c>
      <c r="P146" s="44"/>
      <c r="Q146" s="110">
        <v>78.41296874999999</v>
      </c>
      <c r="R146" s="547">
        <v>0.41170000000000001</v>
      </c>
      <c r="S146" s="548">
        <v>0.432</v>
      </c>
      <c r="T146" s="108">
        <f t="shared" si="9"/>
        <v>1.5917832656249986</v>
      </c>
      <c r="U146" s="111"/>
      <c r="W146" s="91">
        <v>2040</v>
      </c>
      <c r="X146" s="516" cm="1">
        <f t="array" ref="X146">SUM(B154:B158/5)</f>
        <v>2474.19112</v>
      </c>
      <c r="Y146" s="45" cm="1">
        <f t="array" ref="Y146">SUM(C154:C158/5)</f>
        <v>2463.6996199999999</v>
      </c>
      <c r="Z146" s="101">
        <f>Y146-X146</f>
        <v>-10.491500000000087</v>
      </c>
      <c r="AA146" s="516" cm="1">
        <f t="array" ref="AA146">SUM(D154:D158/5)</f>
        <v>59.444280000000028</v>
      </c>
      <c r="AB146" s="45" cm="1">
        <f t="array" ref="AB146">SUM(E154:E158/5)</f>
        <v>68.754640000000066</v>
      </c>
      <c r="AC146" s="101">
        <f t="shared" si="16"/>
        <v>9.3103600000000384</v>
      </c>
      <c r="AD146" s="516" cm="1">
        <f t="array" ref="AD146">SUM(F154:F158/5)</f>
        <v>670.69191999999998</v>
      </c>
      <c r="AE146" s="45" cm="1">
        <f t="array" ref="AE146">SUM(G154:G158/5)</f>
        <v>668.82898</v>
      </c>
      <c r="AF146" s="101">
        <f t="shared" si="15"/>
        <v>-1.8629399999999805</v>
      </c>
      <c r="AG146" s="101" cm="1">
        <f t="array" ref="AG146">SUM(T154:T158/5)</f>
        <v>10.109944256142612</v>
      </c>
      <c r="AQ146" s="41"/>
      <c r="AU146" s="41"/>
    </row>
    <row r="147" spans="1:47" ht="15.75">
      <c r="A147" s="95">
        <v>2033</v>
      </c>
      <c r="B147" s="106">
        <f t="shared" si="10"/>
        <v>1355.3974999999998</v>
      </c>
      <c r="C147" s="107">
        <f t="shared" si="11"/>
        <v>1262.6755999999998</v>
      </c>
      <c r="D147" s="510">
        <v>80.067700000000031</v>
      </c>
      <c r="E147" s="511">
        <v>97.230800000000045</v>
      </c>
      <c r="F147" s="506">
        <v>371.22560000000016</v>
      </c>
      <c r="G147" s="506">
        <v>363.67849999999999</v>
      </c>
      <c r="H147" s="106">
        <f t="shared" si="12"/>
        <v>1806.6908000000001</v>
      </c>
      <c r="I147" s="107">
        <f t="shared" si="13"/>
        <v>1723.5848999999998</v>
      </c>
      <c r="J147" s="507">
        <v>519.50340000000006</v>
      </c>
      <c r="K147" s="507">
        <v>519.27740000000017</v>
      </c>
      <c r="L147" s="106">
        <f t="shared" si="5"/>
        <v>3.4777266135313067</v>
      </c>
      <c r="M147" s="107">
        <f t="shared" si="6"/>
        <v>3.3191987558095137</v>
      </c>
      <c r="N147" s="108">
        <f t="shared" si="7"/>
        <v>12.519815808712705</v>
      </c>
      <c r="O147" s="109">
        <f t="shared" si="8"/>
        <v>11.949115520914249</v>
      </c>
      <c r="P147" s="44"/>
      <c r="Q147" s="110">
        <v>80.17726054687499</v>
      </c>
      <c r="R147" s="547">
        <v>0.307</v>
      </c>
      <c r="S147" s="548">
        <v>0.45739999999999997</v>
      </c>
      <c r="T147" s="108">
        <f t="shared" si="9"/>
        <v>12.058659986249996</v>
      </c>
      <c r="U147" s="111"/>
      <c r="W147" s="91">
        <v>2045</v>
      </c>
      <c r="X147" s="516" cm="1">
        <f t="array" ref="X147">SUM(B159:B164/5)</f>
        <v>3928.7228999999998</v>
      </c>
      <c r="Y147" s="45" cm="1">
        <f t="array" ref="Y147">SUM(C159:C164/5)</f>
        <v>3855.6501200000002</v>
      </c>
      <c r="Z147" s="101">
        <f t="shared" si="14"/>
        <v>-73.072779999999511</v>
      </c>
      <c r="AA147" s="516" cm="1">
        <f t="array" ref="AA147">SUM(D159:D164/5)</f>
        <v>83.970800000000054</v>
      </c>
      <c r="AB147" s="45" cm="1">
        <f t="array" ref="AB147">SUM(E159:E164/5)</f>
        <v>108.07002000000003</v>
      </c>
      <c r="AC147" s="101">
        <f t="shared" si="16"/>
        <v>24.099219999999974</v>
      </c>
      <c r="AD147" s="516" cm="1">
        <f t="array" ref="AD147">SUM(F159:F164/5)</f>
        <v>1106.1924199999999</v>
      </c>
      <c r="AE147" s="45" cm="1">
        <f t="array" ref="AE147">SUM(G159:G164/5)</f>
        <v>1100.7878799999999</v>
      </c>
      <c r="AF147" s="101">
        <f t="shared" si="15"/>
        <v>-5.4045399999999972</v>
      </c>
      <c r="AG147" s="101" cm="1">
        <f t="array" ref="AG147">SUM(T159:T164/5)</f>
        <v>37.446832714265994</v>
      </c>
      <c r="AQ147" s="41"/>
      <c r="AU147" s="41"/>
    </row>
    <row r="148" spans="1:47" ht="15.75">
      <c r="A148" s="95">
        <v>2034</v>
      </c>
      <c r="B148" s="106">
        <f t="shared" si="10"/>
        <v>1222.0521999999999</v>
      </c>
      <c r="C148" s="107">
        <f t="shared" si="11"/>
        <v>1390.2593999999999</v>
      </c>
      <c r="D148" s="510">
        <v>68.203300000000041</v>
      </c>
      <c r="E148" s="511">
        <v>75.339500000000044</v>
      </c>
      <c r="F148" s="506">
        <v>391.5241000000002</v>
      </c>
      <c r="G148" s="506">
        <v>387.09870000000001</v>
      </c>
      <c r="H148" s="106">
        <f t="shared" si="12"/>
        <v>1681.7796000000003</v>
      </c>
      <c r="I148" s="107">
        <f t="shared" si="13"/>
        <v>1852.6976</v>
      </c>
      <c r="J148" s="507">
        <v>554.63110000000017</v>
      </c>
      <c r="K148" s="507">
        <v>553.59680000000003</v>
      </c>
      <c r="L148" s="106">
        <f t="shared" si="5"/>
        <v>3.0322490029859481</v>
      </c>
      <c r="M148" s="107">
        <f t="shared" si="6"/>
        <v>3.3466551829779361</v>
      </c>
      <c r="N148" s="108">
        <f t="shared" si="7"/>
        <v>10.916096410749413</v>
      </c>
      <c r="O148" s="109">
        <f t="shared" si="8"/>
        <v>12.047958658720571</v>
      </c>
      <c r="P148" s="44"/>
      <c r="Q148" s="110">
        <v>81.981248909179669</v>
      </c>
      <c r="R148" s="547">
        <v>0.28660000000000002</v>
      </c>
      <c r="S148" s="548">
        <v>0.31640000000000001</v>
      </c>
      <c r="T148" s="108">
        <f t="shared" si="9"/>
        <v>2.4430412174935534</v>
      </c>
      <c r="U148" s="111"/>
      <c r="W148" s="91">
        <v>2050</v>
      </c>
      <c r="X148" s="516" cm="1">
        <f t="array" ref="X148">SUM(B164:B168/5)</f>
        <v>3518.2865599999996</v>
      </c>
      <c r="Y148" s="45" cm="1">
        <f t="array" ref="Y148">SUM(C164:C168/5)</f>
        <v>3471.1731</v>
      </c>
      <c r="Z148" s="101">
        <f t="shared" si="14"/>
        <v>-47.113459999999577</v>
      </c>
      <c r="AA148" s="516" cm="1">
        <f t="array" ref="AA148">SUM(D164:D168/5)</f>
        <v>91.290920000000014</v>
      </c>
      <c r="AB148" s="45" cm="1">
        <f t="array" ref="AB148">SUM(E164:E168/5)</f>
        <v>129.31019999999995</v>
      </c>
      <c r="AC148" s="101">
        <f t="shared" si="16"/>
        <v>38.019279999999938</v>
      </c>
      <c r="AD148" s="516" cm="1">
        <f t="array" ref="AD148">SUM(F164:F168/5)</f>
        <v>1115.3405599999999</v>
      </c>
      <c r="AE148" s="45" cm="1">
        <f t="array" ref="AE148">SUM(G164:G168/5)</f>
        <v>1102.9494999999999</v>
      </c>
      <c r="AF148" s="101">
        <f t="shared" si="15"/>
        <v>-12.391059999999925</v>
      </c>
      <c r="AG148" s="101" cm="1">
        <f t="array" ref="AG148">SUM(T164:T168/5)</f>
        <v>88.182873633365205</v>
      </c>
      <c r="AN148" s="16"/>
      <c r="AQ148" s="41"/>
      <c r="AU148" s="41"/>
    </row>
    <row r="149" spans="1:47" ht="15.75">
      <c r="A149" s="95">
        <v>2035</v>
      </c>
      <c r="B149" s="106">
        <f t="shared" si="10"/>
        <v>1399.2402</v>
      </c>
      <c r="C149" s="107">
        <f t="shared" si="11"/>
        <v>1580.0976000000001</v>
      </c>
      <c r="D149" s="510">
        <v>75.530900000000017</v>
      </c>
      <c r="E149" s="511">
        <v>73.722300000000047</v>
      </c>
      <c r="F149" s="506">
        <v>409.02190000000024</v>
      </c>
      <c r="G149" s="506">
        <v>410.20949999999999</v>
      </c>
      <c r="H149" s="106">
        <f t="shared" si="12"/>
        <v>1883.7930000000001</v>
      </c>
      <c r="I149" s="107">
        <f t="shared" si="13"/>
        <v>2064.0294000000004</v>
      </c>
      <c r="J149" s="507">
        <v>581.25</v>
      </c>
      <c r="K149" s="507">
        <v>579.67930000000001</v>
      </c>
      <c r="L149" s="106">
        <f t="shared" si="5"/>
        <v>3.2409341935483873</v>
      </c>
      <c r="M149" s="107">
        <f t="shared" si="6"/>
        <v>3.5606401677617265</v>
      </c>
      <c r="N149" s="108">
        <f t="shared" si="7"/>
        <v>11.667363096774194</v>
      </c>
      <c r="O149" s="109">
        <f t="shared" si="8"/>
        <v>12.818304603942217</v>
      </c>
      <c r="P149" s="44"/>
      <c r="Q149" s="110">
        <v>83.825827009636214</v>
      </c>
      <c r="R149" s="547">
        <v>0.30020000000000002</v>
      </c>
      <c r="S149" s="548">
        <v>0.34350000000000003</v>
      </c>
      <c r="T149" s="108">
        <f t="shared" si="9"/>
        <v>3.6296583095172483</v>
      </c>
      <c r="U149" s="111"/>
      <c r="W149" s="91">
        <v>2055</v>
      </c>
      <c r="X149" s="516" cm="1">
        <f t="array" ref="X149">SUM(B169:B173/5)</f>
        <v>3275.1658200000002</v>
      </c>
      <c r="Y149" s="45" cm="1">
        <f t="array" ref="Y149">SUM(C169:C173/5)</f>
        <v>3271.5052800000003</v>
      </c>
      <c r="Z149" s="101">
        <f t="shared" si="14"/>
        <v>-3.6605399999998554</v>
      </c>
      <c r="AA149" s="516" cm="1">
        <f t="array" ref="AA149">SUM(D169:D173/5)</f>
        <v>146.53176000000002</v>
      </c>
      <c r="AB149" s="45" cm="1">
        <f t="array" ref="AB149">SUM(E169:E173/5)</f>
        <v>184.3283800000001</v>
      </c>
      <c r="AC149" s="101">
        <f t="shared" si="16"/>
        <v>37.796620000000075</v>
      </c>
      <c r="AD149" s="516" cm="1">
        <f t="array" ref="AD149">SUM(F169:F173/5)</f>
        <v>1296.3940399999999</v>
      </c>
      <c r="AE149" s="45" cm="1">
        <f t="array" ref="AE149">SUM(G169:G173/5)</f>
        <v>1298.9933599999999</v>
      </c>
      <c r="AF149" s="101">
        <f t="shared" si="15"/>
        <v>2.5993200000000343</v>
      </c>
      <c r="AG149" s="101" cm="1">
        <f t="array" ref="AG149">SUM(T169:T173/5)</f>
        <v>134.14080083744804</v>
      </c>
      <c r="AN149" s="16"/>
      <c r="AQ149" s="41"/>
      <c r="AU149" s="41"/>
    </row>
    <row r="150" spans="1:47" ht="15.75">
      <c r="A150" s="95">
        <v>2036</v>
      </c>
      <c r="B150" s="106">
        <f t="shared" si="10"/>
        <v>1388.3742999999999</v>
      </c>
      <c r="C150" s="107">
        <f t="shared" si="11"/>
        <v>1422.614</v>
      </c>
      <c r="D150" s="510">
        <v>67.666100000000014</v>
      </c>
      <c r="E150" s="511">
        <v>64.17110000000001</v>
      </c>
      <c r="F150" s="506">
        <v>431.95600000000002</v>
      </c>
      <c r="G150" s="506">
        <v>433.48930000000001</v>
      </c>
      <c r="H150" s="106">
        <f t="shared" si="12"/>
        <v>1887.9964</v>
      </c>
      <c r="I150" s="107">
        <f t="shared" si="13"/>
        <v>1920.2744</v>
      </c>
      <c r="J150" s="507">
        <v>616.95190000000002</v>
      </c>
      <c r="K150" s="507">
        <v>615.98060000000009</v>
      </c>
      <c r="L150" s="106">
        <f t="shared" si="5"/>
        <v>3.0602003170749614</v>
      </c>
      <c r="M150" s="107">
        <f t="shared" si="6"/>
        <v>3.1174267501281689</v>
      </c>
      <c r="N150" s="108">
        <f t="shared" si="7"/>
        <v>11.016721141469862</v>
      </c>
      <c r="O150" s="109">
        <f t="shared" si="8"/>
        <v>11.222736300461408</v>
      </c>
      <c r="P150" s="44"/>
      <c r="Q150" s="110">
        <v>85.711908117353019</v>
      </c>
      <c r="R150" s="547">
        <v>0.2918</v>
      </c>
      <c r="S150" s="548">
        <v>0.31509999999999999</v>
      </c>
      <c r="T150" s="108">
        <f t="shared" si="9"/>
        <v>1.9970874591343242</v>
      </c>
      <c r="U150" s="111"/>
      <c r="W150" s="91">
        <v>2060</v>
      </c>
      <c r="X150" s="516" cm="1">
        <f t="array" ref="X150">SUM(B174:B178/5)</f>
        <v>4107.4438600000003</v>
      </c>
      <c r="Y150" s="45" cm="1">
        <f t="array" ref="Y150">SUM(C174:C178/5)</f>
        <v>4034.1657999999998</v>
      </c>
      <c r="Z150" s="101">
        <f t="shared" si="14"/>
        <v>-73.278060000000551</v>
      </c>
      <c r="AA150" s="516" cm="1">
        <f t="array" ref="AA150">SUM(D174:D178/5)</f>
        <v>173.74395999999996</v>
      </c>
      <c r="AB150" s="45" cm="1">
        <f t="array" ref="AB150">SUM(E174:E178/5)</f>
        <v>237.80420000000009</v>
      </c>
      <c r="AC150" s="101">
        <f t="shared" si="16"/>
        <v>64.060240000000135</v>
      </c>
      <c r="AD150" s="516" cm="1">
        <f t="array" ref="AD150">SUM(F174:F178/5)</f>
        <v>1488.4946400000001</v>
      </c>
      <c r="AE150" s="45" cm="1">
        <f t="array" ref="AE150">SUM(G174:G178/5)</f>
        <v>1501.0932</v>
      </c>
      <c r="AF150" s="101">
        <f t="shared" si="15"/>
        <v>12.598559999999907</v>
      </c>
      <c r="AG150" s="101" cm="1">
        <f t="array" ref="AG150">SUM(T174:T178/5)</f>
        <v>211.79823058892271</v>
      </c>
      <c r="AN150" s="16"/>
      <c r="AQ150" s="41"/>
      <c r="AU150" s="41"/>
    </row>
    <row r="151" spans="1:47" ht="16.149999999999999" thickBot="1">
      <c r="A151" s="95">
        <v>2037</v>
      </c>
      <c r="B151" s="106">
        <f t="shared" si="10"/>
        <v>1462.7921000000001</v>
      </c>
      <c r="C151" s="107">
        <f t="shared" si="11"/>
        <v>1526.9013</v>
      </c>
      <c r="D151" s="510">
        <v>74.016700000000043</v>
      </c>
      <c r="E151" s="511">
        <v>70.246200000000044</v>
      </c>
      <c r="F151" s="506">
        <v>456.76390000000032</v>
      </c>
      <c r="G151" s="506">
        <v>459.0883</v>
      </c>
      <c r="H151" s="106">
        <f t="shared" si="12"/>
        <v>1993.5727000000006</v>
      </c>
      <c r="I151" s="107">
        <f t="shared" si="13"/>
        <v>2056.2357999999999</v>
      </c>
      <c r="J151" s="507">
        <v>654.75380000000041</v>
      </c>
      <c r="K151" s="507">
        <v>653.92930000000024</v>
      </c>
      <c r="L151" s="106">
        <f t="shared" si="5"/>
        <v>3.0447669032237759</v>
      </c>
      <c r="M151" s="107">
        <f t="shared" si="6"/>
        <v>3.1444313628399878</v>
      </c>
      <c r="N151" s="108">
        <f t="shared" si="7"/>
        <v>10.961160851605593</v>
      </c>
      <c r="O151" s="109">
        <f t="shared" si="8"/>
        <v>11.319952906223957</v>
      </c>
      <c r="P151" s="44"/>
      <c r="Q151" s="110">
        <v>87.640426049993465</v>
      </c>
      <c r="R151" s="547">
        <v>0.3004</v>
      </c>
      <c r="S151" s="548">
        <v>0.37140000000000001</v>
      </c>
      <c r="T151" s="108">
        <f t="shared" si="9"/>
        <v>6.222470249549537</v>
      </c>
      <c r="U151" s="111"/>
      <c r="W151" s="92">
        <v>2065</v>
      </c>
      <c r="X151" s="517" cm="1">
        <f t="array" ref="X151">SUM(B179:B183/5)</f>
        <v>4716.9761600000002</v>
      </c>
      <c r="Y151" s="46" cm="1">
        <f t="array" ref="Y151">SUM(C179:C183/5)</f>
        <v>4624.6332000000002</v>
      </c>
      <c r="Z151" s="102">
        <f t="shared" si="14"/>
        <v>-92.342959999999948</v>
      </c>
      <c r="AA151" s="517" cm="1">
        <f t="array" ref="AA151">SUM(D179:D183/5)</f>
        <v>201.33937999999998</v>
      </c>
      <c r="AB151" s="46" cm="1">
        <f t="array" ref="AB151">SUM(E179:E183/5)</f>
        <v>280.67728000000011</v>
      </c>
      <c r="AC151" s="102">
        <f>AB151-AA151</f>
        <v>79.337900000000133</v>
      </c>
      <c r="AD151" s="517" cm="1">
        <f t="array" ref="AD151">SUM(F179:F183/5)</f>
        <v>1682.8087800000001</v>
      </c>
      <c r="AE151" s="46" cm="1">
        <f t="array" ref="AE151">SUM(G179:G183/5)</f>
        <v>1706.9843799999999</v>
      </c>
      <c r="AF151" s="102">
        <f t="shared" si="15"/>
        <v>24.175599999999804</v>
      </c>
      <c r="AG151" s="102" cm="1">
        <f t="array" ref="AG151">SUM(T179:T183/5)</f>
        <v>289.02661953449649</v>
      </c>
      <c r="AN151" s="16"/>
      <c r="AQ151" s="41"/>
      <c r="AU151" s="41"/>
    </row>
    <row r="152" spans="1:47" ht="15.75">
      <c r="A152" s="95">
        <v>2038</v>
      </c>
      <c r="B152" s="106">
        <f t="shared" si="10"/>
        <v>2319.5680000000002</v>
      </c>
      <c r="C152" s="107">
        <f t="shared" si="11"/>
        <v>2308.5267999999996</v>
      </c>
      <c r="D152" s="510">
        <v>73.640100000000061</v>
      </c>
      <c r="E152" s="511">
        <v>69.88280000000006</v>
      </c>
      <c r="F152" s="506">
        <v>493.69840000000033</v>
      </c>
      <c r="G152" s="506">
        <v>495.05329999999998</v>
      </c>
      <c r="H152" s="106">
        <f t="shared" si="12"/>
        <v>2886.9065000000005</v>
      </c>
      <c r="I152" s="107">
        <f t="shared" si="13"/>
        <v>2873.4628999999995</v>
      </c>
      <c r="J152" s="507">
        <v>689.62890000000016</v>
      </c>
      <c r="K152" s="507">
        <v>690.04380000000026</v>
      </c>
      <c r="L152" s="106">
        <f t="shared" si="5"/>
        <v>4.1861738972946174</v>
      </c>
      <c r="M152" s="107">
        <f t="shared" si="6"/>
        <v>4.1641746509424449</v>
      </c>
      <c r="N152" s="108">
        <f t="shared" si="7"/>
        <v>15.070226030260622</v>
      </c>
      <c r="O152" s="109">
        <f t="shared" si="8"/>
        <v>14.991028743392802</v>
      </c>
      <c r="P152" s="44"/>
      <c r="Q152" s="110">
        <v>89.612335636118317</v>
      </c>
      <c r="R152" s="547">
        <v>0.30020000000000002</v>
      </c>
      <c r="S152" s="548">
        <v>0.39389999999999997</v>
      </c>
      <c r="T152" s="108">
        <f t="shared" si="9"/>
        <v>8.3966758491042821</v>
      </c>
      <c r="U152" s="111"/>
      <c r="AN152" s="16"/>
      <c r="AQ152" s="41"/>
      <c r="AU152" s="41"/>
    </row>
    <row r="153" spans="1:47" ht="15.75">
      <c r="A153" s="95">
        <v>2039</v>
      </c>
      <c r="B153" s="106">
        <f t="shared" si="10"/>
        <v>1759.1959999999999</v>
      </c>
      <c r="C153" s="107">
        <f t="shared" si="11"/>
        <v>1759.1959999999999</v>
      </c>
      <c r="D153" s="510">
        <v>86.059799999999981</v>
      </c>
      <c r="E153" s="511">
        <v>83.373900000000049</v>
      </c>
      <c r="F153" s="506">
        <v>521.77100000000007</v>
      </c>
      <c r="G153" s="506">
        <v>522.44320000000005</v>
      </c>
      <c r="H153" s="106">
        <f t="shared" si="12"/>
        <v>2367.0268000000001</v>
      </c>
      <c r="I153" s="107">
        <f t="shared" si="13"/>
        <v>2365.0131000000001</v>
      </c>
      <c r="J153" s="507">
        <v>736.56949999999961</v>
      </c>
      <c r="K153" s="507">
        <v>735.39929999999981</v>
      </c>
      <c r="L153" s="106">
        <f t="shared" si="5"/>
        <v>3.2135824250121696</v>
      </c>
      <c r="M153" s="107">
        <f t="shared" si="6"/>
        <v>3.2159577796715344</v>
      </c>
      <c r="N153" s="108">
        <f t="shared" si="7"/>
        <v>11.568896730043811</v>
      </c>
      <c r="O153" s="109">
        <f t="shared" si="8"/>
        <v>11.577448006817525</v>
      </c>
      <c r="P153" s="44"/>
      <c r="Q153" s="110">
        <v>91.628613187930981</v>
      </c>
      <c r="R153" s="547">
        <v>0.29449999999999998</v>
      </c>
      <c r="S153" s="548">
        <v>0.40089999999999998</v>
      </c>
      <c r="T153" s="108">
        <f t="shared" si="9"/>
        <v>9.7492844431958563</v>
      </c>
      <c r="U153" s="111"/>
      <c r="AN153" s="16"/>
      <c r="AQ153" s="41"/>
      <c r="AU153" s="41"/>
    </row>
    <row r="154" spans="1:47" ht="15.75">
      <c r="A154" s="95">
        <v>2040</v>
      </c>
      <c r="B154" s="106">
        <f t="shared" si="10"/>
        <v>2280.2152000000001</v>
      </c>
      <c r="C154" s="107">
        <f t="shared" si="11"/>
        <v>2194.2012</v>
      </c>
      <c r="D154" s="510">
        <v>52.738900000000008</v>
      </c>
      <c r="E154" s="511">
        <v>62.07200000000001</v>
      </c>
      <c r="F154" s="506">
        <v>576.28720000000021</v>
      </c>
      <c r="G154" s="506">
        <v>573.53319999999997</v>
      </c>
      <c r="H154" s="106">
        <f t="shared" si="12"/>
        <v>2909.2413000000001</v>
      </c>
      <c r="I154" s="107">
        <f t="shared" si="13"/>
        <v>2829.8063999999999</v>
      </c>
      <c r="J154" s="507">
        <v>790.7977999999996</v>
      </c>
      <c r="K154" s="507">
        <v>787.07649999999956</v>
      </c>
      <c r="L154" s="106">
        <f t="shared" si="5"/>
        <v>3.6788687323105878</v>
      </c>
      <c r="M154" s="107">
        <f t="shared" si="6"/>
        <v>3.5953384455005346</v>
      </c>
      <c r="N154" s="108">
        <f t="shared" si="7"/>
        <v>13.243927436318117</v>
      </c>
      <c r="O154" s="109">
        <f t="shared" si="8"/>
        <v>12.943218403801925</v>
      </c>
      <c r="P154" s="44"/>
      <c r="Q154" s="110">
        <v>93.690256984659428</v>
      </c>
      <c r="R154" s="547">
        <v>0.28710000000000002</v>
      </c>
      <c r="S154" s="548">
        <v>0.37890000000000001</v>
      </c>
      <c r="T154" s="108">
        <f t="shared" si="9"/>
        <v>8.6007655911917347</v>
      </c>
      <c r="U154" s="111"/>
      <c r="AN154" s="16"/>
      <c r="AQ154" s="41"/>
      <c r="AU154" s="41"/>
    </row>
    <row r="155" spans="1:47" ht="15.75">
      <c r="A155" s="95">
        <v>2041</v>
      </c>
      <c r="B155" s="106">
        <f t="shared" si="10"/>
        <v>2912.7730000000001</v>
      </c>
      <c r="C155" s="107">
        <f t="shared" si="11"/>
        <v>2917.8503000000001</v>
      </c>
      <c r="D155" s="510">
        <v>56.619100000000017</v>
      </c>
      <c r="E155" s="511">
        <v>66.60900000000008</v>
      </c>
      <c r="F155" s="506">
        <v>595.46190000000013</v>
      </c>
      <c r="G155" s="506">
        <v>593.77350000000001</v>
      </c>
      <c r="H155" s="106">
        <f t="shared" si="12"/>
        <v>3564.8540000000003</v>
      </c>
      <c r="I155" s="107">
        <f t="shared" si="13"/>
        <v>3578.2327999999998</v>
      </c>
      <c r="J155" s="507">
        <v>829.98379999999952</v>
      </c>
      <c r="K155" s="507">
        <v>826.8334999999995</v>
      </c>
      <c r="L155" s="106">
        <f t="shared" si="5"/>
        <v>4.2950886511278927</v>
      </c>
      <c r="M155" s="107">
        <f t="shared" si="6"/>
        <v>4.3276340399850781</v>
      </c>
      <c r="N155" s="108">
        <f t="shared" si="7"/>
        <v>15.462319144060414</v>
      </c>
      <c r="O155" s="109">
        <f t="shared" si="8"/>
        <v>15.579482543946282</v>
      </c>
      <c r="P155" s="44"/>
      <c r="Q155" s="110">
        <v>95.798287766814255</v>
      </c>
      <c r="R155" s="547">
        <v>0.28710000000000002</v>
      </c>
      <c r="S155" s="548">
        <v>0.38590000000000002</v>
      </c>
      <c r="T155" s="108">
        <f t="shared" si="9"/>
        <v>9.4648708313612477</v>
      </c>
      <c r="U155" s="111"/>
      <c r="AQ155" s="41"/>
      <c r="AU155" s="41"/>
    </row>
    <row r="156" spans="1:47" ht="15.75">
      <c r="A156" s="95">
        <v>2042</v>
      </c>
      <c r="B156" s="106">
        <f t="shared" si="10"/>
        <v>2324.5971</v>
      </c>
      <c r="C156" s="107">
        <f t="shared" si="11"/>
        <v>2301.7977999999998</v>
      </c>
      <c r="D156" s="510">
        <v>60.704500000000031</v>
      </c>
      <c r="E156" s="511">
        <v>73.527500000000117</v>
      </c>
      <c r="F156" s="506">
        <v>686.8703999999999</v>
      </c>
      <c r="G156" s="506">
        <v>684.36739999999998</v>
      </c>
      <c r="H156" s="106">
        <f t="shared" si="12"/>
        <v>3072.1719999999996</v>
      </c>
      <c r="I156" s="107">
        <f t="shared" si="13"/>
        <v>3059.6927000000001</v>
      </c>
      <c r="J156" s="507">
        <v>871.35619999999949</v>
      </c>
      <c r="K156" s="507">
        <v>867.8013999999996</v>
      </c>
      <c r="L156" s="106">
        <f t="shared" si="5"/>
        <v>3.5257360881807021</v>
      </c>
      <c r="M156" s="107">
        <f t="shared" si="6"/>
        <v>3.525798299011734</v>
      </c>
      <c r="N156" s="108">
        <f t="shared" si="7"/>
        <v>12.692649917450527</v>
      </c>
      <c r="O156" s="109">
        <f t="shared" si="8"/>
        <v>12.692873876442242</v>
      </c>
      <c r="P156" s="44"/>
      <c r="Q156" s="110">
        <v>97.953749241567579</v>
      </c>
      <c r="R156" s="547">
        <v>0.28710000000000002</v>
      </c>
      <c r="S156" s="548">
        <v>0.39889999999999998</v>
      </c>
      <c r="T156" s="108">
        <f t="shared" si="9"/>
        <v>10.95122916520725</v>
      </c>
      <c r="U156" s="111"/>
      <c r="AQ156" s="41"/>
      <c r="AU156" s="41"/>
    </row>
    <row r="157" spans="1:47" ht="15.75">
      <c r="A157" s="95">
        <v>2043</v>
      </c>
      <c r="B157" s="106">
        <f t="shared" si="10"/>
        <v>2512.7969000000003</v>
      </c>
      <c r="C157" s="107">
        <f t="shared" si="11"/>
        <v>2548.8905999999997</v>
      </c>
      <c r="D157" s="510">
        <v>62.364200000000018</v>
      </c>
      <c r="E157" s="511">
        <v>70.456300000000084</v>
      </c>
      <c r="F157" s="506">
        <v>728.06769999999995</v>
      </c>
      <c r="G157" s="506">
        <v>726.6567</v>
      </c>
      <c r="H157" s="106">
        <f t="shared" si="12"/>
        <v>3303.2288000000003</v>
      </c>
      <c r="I157" s="107">
        <f t="shared" si="13"/>
        <v>3346.0036</v>
      </c>
      <c r="J157" s="507">
        <v>911.84489999999948</v>
      </c>
      <c r="K157" s="507">
        <v>907.95309999999938</v>
      </c>
      <c r="L157" s="106">
        <f t="shared" si="5"/>
        <v>3.6225774800078416</v>
      </c>
      <c r="M157" s="107">
        <f t="shared" si="6"/>
        <v>3.6852163399188815</v>
      </c>
      <c r="N157" s="108">
        <f t="shared" si="7"/>
        <v>13.04127892802823</v>
      </c>
      <c r="O157" s="109">
        <f t="shared" si="8"/>
        <v>13.266778823707973</v>
      </c>
      <c r="P157" s="44"/>
      <c r="Q157" s="110">
        <v>100.15770859950284</v>
      </c>
      <c r="R157" s="547">
        <v>0.28179999999999999</v>
      </c>
      <c r="S157" s="548">
        <v>0.38819999999999999</v>
      </c>
      <c r="T157" s="108">
        <f t="shared" si="9"/>
        <v>10.656780194987101</v>
      </c>
      <c r="U157" s="111"/>
      <c r="AQ157" s="41"/>
      <c r="AU157" s="41"/>
    </row>
    <row r="158" spans="1:47" ht="15.75">
      <c r="A158" s="95">
        <v>2044</v>
      </c>
      <c r="B158" s="106">
        <f t="shared" si="10"/>
        <v>2340.5734000000002</v>
      </c>
      <c r="C158" s="107">
        <f t="shared" si="11"/>
        <v>2355.7582000000002</v>
      </c>
      <c r="D158" s="510">
        <v>64.794700000000063</v>
      </c>
      <c r="E158" s="511">
        <v>71.108400000000046</v>
      </c>
      <c r="F158" s="506">
        <v>766.77239999999995</v>
      </c>
      <c r="G158" s="506">
        <v>765.81410000000005</v>
      </c>
      <c r="H158" s="106">
        <f t="shared" si="12"/>
        <v>3172.1405</v>
      </c>
      <c r="I158" s="107">
        <f t="shared" si="13"/>
        <v>3192.6807000000003</v>
      </c>
      <c r="J158" s="507">
        <v>959.08849999999939</v>
      </c>
      <c r="K158" s="507">
        <v>954.80889999999954</v>
      </c>
      <c r="L158" s="106">
        <f t="shared" si="5"/>
        <v>3.3074533789113332</v>
      </c>
      <c r="M158" s="107">
        <f t="shared" si="6"/>
        <v>3.3437902600195724</v>
      </c>
      <c r="N158" s="108">
        <f t="shared" si="7"/>
        <v>11.9068321640808</v>
      </c>
      <c r="O158" s="109">
        <f t="shared" si="8"/>
        <v>12.03764493607046</v>
      </c>
      <c r="P158" s="44"/>
      <c r="Q158" s="110">
        <v>102.41125704299165</v>
      </c>
      <c r="R158" s="547">
        <v>0.28179999999999999</v>
      </c>
      <c r="S158" s="548">
        <v>0.38800000000000001</v>
      </c>
      <c r="T158" s="108">
        <f t="shared" si="9"/>
        <v>10.876075497965715</v>
      </c>
      <c r="U158" s="111"/>
      <c r="AQ158" s="41"/>
      <c r="AU158" s="41"/>
    </row>
    <row r="159" spans="1:47" ht="15.75">
      <c r="A159" s="95">
        <v>2045</v>
      </c>
      <c r="B159" s="106">
        <f t="shared" si="10"/>
        <v>3156.0230000000001</v>
      </c>
      <c r="C159" s="107">
        <f t="shared" si="11"/>
        <v>3159.2262000000001</v>
      </c>
      <c r="D159" s="510">
        <v>68.251400000000061</v>
      </c>
      <c r="E159" s="511">
        <v>74.680700000000087</v>
      </c>
      <c r="F159" s="506">
        <v>807.81059999999991</v>
      </c>
      <c r="G159" s="506">
        <v>807.12099999999998</v>
      </c>
      <c r="H159" s="106">
        <f t="shared" si="12"/>
        <v>4032.085</v>
      </c>
      <c r="I159" s="107">
        <f t="shared" si="13"/>
        <v>4041.0279</v>
      </c>
      <c r="J159" s="507">
        <v>999.84059999999931</v>
      </c>
      <c r="K159" s="507">
        <v>995.56279999999936</v>
      </c>
      <c r="L159" s="106">
        <f t="shared" si="5"/>
        <v>4.0327278168140026</v>
      </c>
      <c r="M159" s="107">
        <f t="shared" si="6"/>
        <v>4.0590386663704212</v>
      </c>
      <c r="N159" s="108">
        <f t="shared" si="7"/>
        <v>14.517820140530409</v>
      </c>
      <c r="O159" s="109">
        <f t="shared" si="8"/>
        <v>14.612539198933517</v>
      </c>
      <c r="P159" s="44"/>
      <c r="Q159" s="110">
        <v>104.71551032645895</v>
      </c>
      <c r="R159" s="547">
        <v>0.28179999999999999</v>
      </c>
      <c r="S159" s="548">
        <v>0.39229999999999998</v>
      </c>
      <c r="T159" s="108">
        <f t="shared" si="9"/>
        <v>11.571063891073713</v>
      </c>
      <c r="U159" s="111"/>
      <c r="AQ159" s="41"/>
      <c r="AU159" s="41"/>
    </row>
    <row r="160" spans="1:47" ht="15.75">
      <c r="A160" s="95">
        <v>2046</v>
      </c>
      <c r="B160" s="106">
        <f t="shared" si="10"/>
        <v>2700.3806999999997</v>
      </c>
      <c r="C160" s="107">
        <f t="shared" si="11"/>
        <v>2716.5078000000003</v>
      </c>
      <c r="D160" s="510">
        <v>72.585700000000031</v>
      </c>
      <c r="E160" s="511">
        <v>76.899700000000038</v>
      </c>
      <c r="F160" s="506">
        <v>849.44699999999989</v>
      </c>
      <c r="G160" s="506">
        <v>849.39970000000005</v>
      </c>
      <c r="H160" s="106">
        <f t="shared" si="12"/>
        <v>3622.4133999999995</v>
      </c>
      <c r="I160" s="107">
        <f t="shared" si="13"/>
        <v>3642.8072000000002</v>
      </c>
      <c r="J160" s="507">
        <v>1052.9905999999996</v>
      </c>
      <c r="K160" s="507">
        <v>1048.7812999999994</v>
      </c>
      <c r="L160" s="106">
        <f t="shared" si="5"/>
        <v>3.4401194084733526</v>
      </c>
      <c r="M160" s="107">
        <f t="shared" si="6"/>
        <v>3.4733716171331452</v>
      </c>
      <c r="N160" s="108">
        <f t="shared" si="7"/>
        <v>12.38442987050407</v>
      </c>
      <c r="O160" s="109">
        <f t="shared" si="8"/>
        <v>12.504137821679324</v>
      </c>
      <c r="P160" s="44"/>
      <c r="Q160" s="110">
        <v>107.07160930880428</v>
      </c>
      <c r="R160" s="547">
        <v>0.28179999999999999</v>
      </c>
      <c r="S160" s="548">
        <v>0.38950000000000001</v>
      </c>
      <c r="T160" s="108">
        <f t="shared" si="9"/>
        <v>11.531612322558223</v>
      </c>
      <c r="U160" s="111"/>
      <c r="AQ160" s="41"/>
      <c r="AU160" s="41"/>
    </row>
    <row r="161" spans="1:47" ht="15.75">
      <c r="A161" s="95">
        <v>2047</v>
      </c>
      <c r="B161" s="106">
        <f t="shared" si="10"/>
        <v>3222.1208000000001</v>
      </c>
      <c r="C161" s="107">
        <f t="shared" si="11"/>
        <v>3360.1729</v>
      </c>
      <c r="D161" s="510">
        <v>68.838000000000036</v>
      </c>
      <c r="E161" s="511">
        <v>78.350500000000054</v>
      </c>
      <c r="F161" s="506">
        <v>895.24409999999989</v>
      </c>
      <c r="G161" s="506">
        <v>894.21910000000003</v>
      </c>
      <c r="H161" s="106">
        <f t="shared" si="12"/>
        <v>4186.2029000000002</v>
      </c>
      <c r="I161" s="107">
        <f t="shared" si="13"/>
        <v>4332.7425000000003</v>
      </c>
      <c r="J161" s="507">
        <v>1104.7222999999994</v>
      </c>
      <c r="K161" s="507">
        <v>1100.2882999999995</v>
      </c>
      <c r="L161" s="106">
        <f t="shared" si="5"/>
        <v>3.7893712293125632</v>
      </c>
      <c r="M161" s="107">
        <f t="shared" si="6"/>
        <v>3.9378247501132226</v>
      </c>
      <c r="N161" s="108">
        <f t="shared" si="7"/>
        <v>13.641736425525227</v>
      </c>
      <c r="O161" s="109">
        <f t="shared" si="8"/>
        <v>14.176169100407602</v>
      </c>
      <c r="P161" s="44"/>
      <c r="Q161" s="110">
        <v>109.48072051825238</v>
      </c>
      <c r="R161" s="547">
        <v>0.28179999999999999</v>
      </c>
      <c r="S161" s="548">
        <v>0.38069999999999998</v>
      </c>
      <c r="T161" s="108">
        <f t="shared" si="9"/>
        <v>10.82764325925516</v>
      </c>
      <c r="U161" s="111"/>
      <c r="AQ161" s="41"/>
      <c r="AU161" s="41"/>
    </row>
    <row r="162" spans="1:47" ht="15.75">
      <c r="A162" s="95">
        <v>2048</v>
      </c>
      <c r="B162" s="106">
        <f t="shared" si="10"/>
        <v>3231.7494999999999</v>
      </c>
      <c r="C162" s="107">
        <f t="shared" si="11"/>
        <v>3209.9378999999999</v>
      </c>
      <c r="D162" s="510">
        <v>68.55540000000002</v>
      </c>
      <c r="E162" s="511">
        <v>90.059599999999989</v>
      </c>
      <c r="F162" s="506">
        <v>943.22669999999994</v>
      </c>
      <c r="G162" s="506">
        <v>939.23469999999998</v>
      </c>
      <c r="H162" s="106">
        <f t="shared" si="12"/>
        <v>4243.5316000000003</v>
      </c>
      <c r="I162" s="107">
        <f t="shared" si="13"/>
        <v>4239.2322000000004</v>
      </c>
      <c r="J162" s="507">
        <v>1161.9680999999994</v>
      </c>
      <c r="K162" s="507">
        <v>1159.6257999999993</v>
      </c>
      <c r="L162" s="106">
        <f t="shared" si="5"/>
        <v>3.6520207396399287</v>
      </c>
      <c r="M162" s="107">
        <f t="shared" si="6"/>
        <v>3.6556897923450848</v>
      </c>
      <c r="N162" s="108">
        <f t="shared" si="7"/>
        <v>13.147274662703744</v>
      </c>
      <c r="O162" s="109">
        <f t="shared" si="8"/>
        <v>13.160483252442306</v>
      </c>
      <c r="P162" s="44"/>
      <c r="Q162" s="110">
        <v>111.94403672991305</v>
      </c>
      <c r="R162" s="547">
        <v>0.28179999999999999</v>
      </c>
      <c r="S162" s="548">
        <v>0.56779999999999997</v>
      </c>
      <c r="T162" s="108">
        <f t="shared" si="9"/>
        <v>32.015994504755128</v>
      </c>
      <c r="U162" s="111"/>
      <c r="AQ162" s="41"/>
      <c r="AU162" s="41"/>
    </row>
    <row r="163" spans="1:47" ht="15.75">
      <c r="A163" s="95">
        <v>2049</v>
      </c>
      <c r="B163" s="106">
        <f t="shared" si="10"/>
        <v>3032.5613000000003</v>
      </c>
      <c r="C163" s="107">
        <f t="shared" si="11"/>
        <v>3037.1322</v>
      </c>
      <c r="D163" s="510">
        <v>74.713200000000043</v>
      </c>
      <c r="E163" s="511">
        <v>101.30109999999999</v>
      </c>
      <c r="F163" s="506">
        <v>988.99399999999991</v>
      </c>
      <c r="G163" s="506">
        <v>983.90269999999998</v>
      </c>
      <c r="H163" s="106">
        <f t="shared" si="12"/>
        <v>4096.2685000000001</v>
      </c>
      <c r="I163" s="107">
        <f t="shared" si="13"/>
        <v>4122.3360000000002</v>
      </c>
      <c r="J163" s="507">
        <v>1225.3116999999995</v>
      </c>
      <c r="K163" s="507">
        <v>1224.1073999999994</v>
      </c>
      <c r="L163" s="106">
        <f t="shared" si="5"/>
        <v>3.3430420194306492</v>
      </c>
      <c r="M163" s="107">
        <f t="shared" si="6"/>
        <v>3.3676260759472592</v>
      </c>
      <c r="N163" s="108">
        <f t="shared" si="7"/>
        <v>12.034951269950337</v>
      </c>
      <c r="O163" s="109">
        <f t="shared" si="8"/>
        <v>12.123453873410133</v>
      </c>
      <c r="P163" s="44"/>
      <c r="Q163" s="110">
        <v>114.46277755633609</v>
      </c>
      <c r="R163" s="547">
        <v>0.28179999999999999</v>
      </c>
      <c r="S163" s="548">
        <v>0.64490000000000003</v>
      </c>
      <c r="T163" s="108">
        <f t="shared" si="9"/>
        <v>41.56143453070564</v>
      </c>
      <c r="U163" s="111"/>
      <c r="AQ163" s="41"/>
      <c r="AU163" s="41"/>
    </row>
    <row r="164" spans="1:47" ht="15.75">
      <c r="A164" s="95">
        <v>2050</v>
      </c>
      <c r="B164" s="106">
        <f t="shared" si="10"/>
        <v>4300.7791999999999</v>
      </c>
      <c r="C164" s="107">
        <f t="shared" si="11"/>
        <v>3795.2736000000004</v>
      </c>
      <c r="D164" s="510">
        <v>66.910300000000021</v>
      </c>
      <c r="E164" s="511">
        <v>119.05849999999998</v>
      </c>
      <c r="F164" s="506">
        <v>1046.2397000000001</v>
      </c>
      <c r="G164" s="506">
        <v>1030.0622000000001</v>
      </c>
      <c r="H164" s="106">
        <f t="shared" si="12"/>
        <v>5413.9292000000005</v>
      </c>
      <c r="I164" s="107">
        <f t="shared" si="13"/>
        <v>4944.3943000000008</v>
      </c>
      <c r="J164" s="507">
        <v>1288.0599999999995</v>
      </c>
      <c r="K164" s="507">
        <v>1288.4402999999995</v>
      </c>
      <c r="L164" s="106">
        <f t="shared" si="5"/>
        <v>4.2031653804946991</v>
      </c>
      <c r="M164" s="107">
        <f t="shared" si="6"/>
        <v>3.8375036080445502</v>
      </c>
      <c r="N164" s="108">
        <f t="shared" si="7"/>
        <v>15.131395369780916</v>
      </c>
      <c r="O164" s="109">
        <f t="shared" si="8"/>
        <v>13.815012988960381</v>
      </c>
      <c r="P164" s="44"/>
      <c r="Q164" s="110">
        <v>117.03819005135365</v>
      </c>
      <c r="R164" s="547">
        <v>0</v>
      </c>
      <c r="S164" s="548">
        <v>0.68120000000000003</v>
      </c>
      <c r="T164" s="108">
        <f t="shared" si="9"/>
        <v>79.726415062982113</v>
      </c>
      <c r="U164" s="111"/>
      <c r="AQ164" s="41"/>
      <c r="AU164" s="41"/>
    </row>
    <row r="165" spans="1:47" ht="15.75">
      <c r="A165" s="95">
        <v>2051</v>
      </c>
      <c r="B165" s="106">
        <f t="shared" si="10"/>
        <v>3000.1952999999999</v>
      </c>
      <c r="C165" s="107">
        <f t="shared" si="11"/>
        <v>3127.3361</v>
      </c>
      <c r="D165" s="510">
        <v>72.66430000000004</v>
      </c>
      <c r="E165" s="511">
        <v>120.8177</v>
      </c>
      <c r="F165" s="506">
        <v>1082.3464999999999</v>
      </c>
      <c r="G165" s="506">
        <v>1061.9829999999999</v>
      </c>
      <c r="H165" s="106">
        <f t="shared" si="12"/>
        <v>4155.2060999999994</v>
      </c>
      <c r="I165" s="107">
        <f t="shared" si="13"/>
        <v>4310.1368000000002</v>
      </c>
      <c r="J165" s="507">
        <v>1338.5678999999993</v>
      </c>
      <c r="K165" s="507">
        <v>1341.9486999999995</v>
      </c>
      <c r="L165" s="106">
        <f t="shared" si="5"/>
        <v>3.1042176493250744</v>
      </c>
      <c r="M165" s="107">
        <f t="shared" si="6"/>
        <v>3.2118491563798242</v>
      </c>
      <c r="N165" s="108">
        <f t="shared" si="7"/>
        <v>11.175183537570268</v>
      </c>
      <c r="O165" s="109">
        <f t="shared" si="8"/>
        <v>11.562656962967367</v>
      </c>
      <c r="P165" s="44"/>
      <c r="Q165" s="110">
        <v>119.67154932750911</v>
      </c>
      <c r="R165" s="547">
        <v>0</v>
      </c>
      <c r="S165" s="548">
        <v>0.67900000000000005</v>
      </c>
      <c r="T165" s="108">
        <f t="shared" si="9"/>
        <v>81.256981993378687</v>
      </c>
      <c r="U165" s="111"/>
      <c r="AQ165" s="41"/>
      <c r="AU165" s="41"/>
    </row>
    <row r="166" spans="1:47" ht="15.75">
      <c r="A166" s="95">
        <v>2052</v>
      </c>
      <c r="B166" s="106">
        <f t="shared" si="10"/>
        <v>3232.7716</v>
      </c>
      <c r="C166" s="107">
        <f t="shared" si="11"/>
        <v>3405.0241999999998</v>
      </c>
      <c r="D166" s="510">
        <v>86.271599999999992</v>
      </c>
      <c r="E166" s="511">
        <v>125.34729999999996</v>
      </c>
      <c r="F166" s="506">
        <v>1116.8887999999999</v>
      </c>
      <c r="G166" s="506">
        <v>1101.0884000000001</v>
      </c>
      <c r="H166" s="106">
        <f t="shared" si="12"/>
        <v>4435.9319999999998</v>
      </c>
      <c r="I166" s="107">
        <f t="shared" si="13"/>
        <v>4631.4598999999998</v>
      </c>
      <c r="J166" s="507">
        <v>1389.1911999999993</v>
      </c>
      <c r="K166" s="507">
        <v>1393.9218999999994</v>
      </c>
      <c r="L166" s="106">
        <f t="shared" si="5"/>
        <v>3.1931760005390202</v>
      </c>
      <c r="M166" s="107">
        <f t="shared" si="6"/>
        <v>3.3226107574606596</v>
      </c>
      <c r="N166" s="108">
        <f t="shared" si="7"/>
        <v>11.495433601940473</v>
      </c>
      <c r="O166" s="109">
        <f t="shared" si="8"/>
        <v>11.961398726858375</v>
      </c>
      <c r="P166" s="44"/>
      <c r="Q166" s="110">
        <v>122.36415918737806</v>
      </c>
      <c r="R166" s="547">
        <v>0</v>
      </c>
      <c r="S166" s="548">
        <v>0.70599999999999996</v>
      </c>
      <c r="T166" s="108">
        <f t="shared" si="9"/>
        <v>86.389096386288912</v>
      </c>
      <c r="U166" s="111"/>
      <c r="AQ166" s="41"/>
      <c r="AU166" s="41"/>
    </row>
    <row r="167" spans="1:47" ht="15.75">
      <c r="A167" s="95">
        <v>2053</v>
      </c>
      <c r="B167" s="106">
        <f t="shared" si="10"/>
        <v>3283.3761999999997</v>
      </c>
      <c r="C167" s="107">
        <f t="shared" si="11"/>
        <v>3339.3960999999999</v>
      </c>
      <c r="D167" s="510">
        <v>110.696</v>
      </c>
      <c r="E167" s="511">
        <v>134.37189999999998</v>
      </c>
      <c r="F167" s="506">
        <v>1147.3280999999997</v>
      </c>
      <c r="G167" s="506">
        <v>1141.1946</v>
      </c>
      <c r="H167" s="106">
        <f t="shared" si="12"/>
        <v>4541.4002999999993</v>
      </c>
      <c r="I167" s="107">
        <f t="shared" si="13"/>
        <v>4614.9625999999998</v>
      </c>
      <c r="J167" s="507">
        <v>1441.0929999999994</v>
      </c>
      <c r="K167" s="507">
        <v>1445.2356999999995</v>
      </c>
      <c r="L167" s="106">
        <f t="shared" si="5"/>
        <v>3.1513582398915276</v>
      </c>
      <c r="M167" s="107">
        <f t="shared" si="6"/>
        <v>3.1932248836643056</v>
      </c>
      <c r="N167" s="108">
        <f t="shared" si="7"/>
        <v>11.3448896636095</v>
      </c>
      <c r="O167" s="109">
        <f t="shared" si="8"/>
        <v>11.4956095811915</v>
      </c>
      <c r="P167" s="44"/>
      <c r="Q167" s="110">
        <v>125.11735276909407</v>
      </c>
      <c r="R167" s="547">
        <v>0</v>
      </c>
      <c r="S167" s="548">
        <v>0.74329999999999996</v>
      </c>
      <c r="T167" s="108">
        <f t="shared" si="9"/>
        <v>92.99972831326761</v>
      </c>
      <c r="U167" s="111"/>
      <c r="AQ167" s="41"/>
      <c r="AU167" s="41"/>
    </row>
    <row r="168" spans="1:47" ht="15.75">
      <c r="A168" s="95">
        <v>2054</v>
      </c>
      <c r="B168" s="106">
        <f t="shared" si="10"/>
        <v>3774.3104999999996</v>
      </c>
      <c r="C168" s="107">
        <f t="shared" si="11"/>
        <v>3688.8354999999997</v>
      </c>
      <c r="D168" s="510">
        <v>119.91239999999996</v>
      </c>
      <c r="E168" s="511">
        <v>146.95559999999992</v>
      </c>
      <c r="F168" s="506">
        <v>1183.8996999999997</v>
      </c>
      <c r="G168" s="506">
        <v>1180.4193</v>
      </c>
      <c r="H168" s="106">
        <f t="shared" si="12"/>
        <v>5078.1225999999997</v>
      </c>
      <c r="I168" s="107">
        <f t="shared" si="13"/>
        <v>5016.2103999999999</v>
      </c>
      <c r="J168" s="507">
        <v>1493.7874999999997</v>
      </c>
      <c r="K168" s="507">
        <v>1496.4995999999996</v>
      </c>
      <c r="L168" s="106">
        <f t="shared" si="5"/>
        <v>3.3994946403019175</v>
      </c>
      <c r="M168" s="107">
        <f t="shared" si="6"/>
        <v>3.3519624061376301</v>
      </c>
      <c r="N168" s="108">
        <f t="shared" si="7"/>
        <v>12.238180705086902</v>
      </c>
      <c r="O168" s="109">
        <f t="shared" si="8"/>
        <v>12.067064662095468</v>
      </c>
      <c r="P168" s="44"/>
      <c r="Q168" s="110">
        <v>127.93249320639868</v>
      </c>
      <c r="R168" s="547">
        <v>0</v>
      </c>
      <c r="S168" s="548">
        <v>0.78590000000000004</v>
      </c>
      <c r="T168" s="108">
        <f t="shared" si="9"/>
        <v>100.54214641090873</v>
      </c>
      <c r="U168" s="111"/>
      <c r="AQ168" s="41"/>
      <c r="AU168" s="41"/>
    </row>
    <row r="169" spans="1:47" ht="15.75">
      <c r="A169" s="95">
        <v>2055</v>
      </c>
      <c r="B169" s="106">
        <f t="shared" si="10"/>
        <v>3212.1869999999999</v>
      </c>
      <c r="C169" s="107">
        <f t="shared" si="11"/>
        <v>3373.1306999999997</v>
      </c>
      <c r="D169" s="510">
        <v>133.11500000000001</v>
      </c>
      <c r="E169" s="511">
        <v>159.40160000000009</v>
      </c>
      <c r="F169" s="506">
        <v>1219.0704000000001</v>
      </c>
      <c r="G169" s="506">
        <v>1219.6756</v>
      </c>
      <c r="H169" s="106">
        <f t="shared" si="12"/>
        <v>4564.3724000000002</v>
      </c>
      <c r="I169" s="107">
        <f t="shared" si="13"/>
        <v>4752.2078999999994</v>
      </c>
      <c r="J169" s="507">
        <v>1546.2382000000002</v>
      </c>
      <c r="K169" s="507">
        <v>1547.8313999999998</v>
      </c>
      <c r="L169" s="106">
        <f t="shared" si="5"/>
        <v>2.9519206031774403</v>
      </c>
      <c r="M169" s="107">
        <f t="shared" si="6"/>
        <v>3.0702361381220205</v>
      </c>
      <c r="N169" s="108">
        <f t="shared" si="7"/>
        <v>10.626914171438786</v>
      </c>
      <c r="O169" s="109">
        <f t="shared" si="8"/>
        <v>11.052850097239274</v>
      </c>
      <c r="P169" s="44"/>
      <c r="Q169" s="110">
        <v>130.81097430354265</v>
      </c>
      <c r="R169" s="547">
        <v>0</v>
      </c>
      <c r="S169" s="548">
        <v>0.82899999999999996</v>
      </c>
      <c r="T169" s="108">
        <f t="shared" si="9"/>
        <v>108.44229769763685</v>
      </c>
      <c r="U169" s="111"/>
      <c r="AQ169" s="41"/>
      <c r="AU169" s="41"/>
    </row>
    <row r="170" spans="1:47" ht="15.75">
      <c r="A170" s="95">
        <v>2056</v>
      </c>
      <c r="B170" s="106">
        <f t="shared" si="10"/>
        <v>3075.7915999999996</v>
      </c>
      <c r="C170" s="107">
        <f t="shared" si="11"/>
        <v>3150.2544999999996</v>
      </c>
      <c r="D170" s="510">
        <v>141.90500000000003</v>
      </c>
      <c r="E170" s="511">
        <v>172.80230000000014</v>
      </c>
      <c r="F170" s="506">
        <v>1257.4980999999998</v>
      </c>
      <c r="G170" s="506">
        <v>1258.9897000000001</v>
      </c>
      <c r="H170" s="106">
        <f t="shared" si="12"/>
        <v>4475.1947</v>
      </c>
      <c r="I170" s="107">
        <f t="shared" si="13"/>
        <v>4582.0465000000004</v>
      </c>
      <c r="J170" s="507">
        <v>1597.2520999999997</v>
      </c>
      <c r="K170" s="507">
        <v>1599.0011000000002</v>
      </c>
      <c r="L170" s="106">
        <f t="shared" si="5"/>
        <v>2.8018086186895612</v>
      </c>
      <c r="M170" s="107">
        <f t="shared" si="6"/>
        <v>2.8655680724672421</v>
      </c>
      <c r="N170" s="108">
        <f t="shared" si="7"/>
        <v>10.086511027282421</v>
      </c>
      <c r="O170" s="109">
        <f t="shared" si="8"/>
        <v>10.316045060882072</v>
      </c>
      <c r="P170" s="44"/>
      <c r="Q170" s="110">
        <v>133.75422122537236</v>
      </c>
      <c r="R170" s="547">
        <v>0</v>
      </c>
      <c r="S170" s="548">
        <v>0.89749999999999996</v>
      </c>
      <c r="T170" s="108">
        <f t="shared" si="9"/>
        <v>120.04441354977169</v>
      </c>
      <c r="U170" s="111"/>
      <c r="AQ170" s="41"/>
      <c r="AU170" s="41"/>
    </row>
    <row r="171" spans="1:47" ht="15.75">
      <c r="A171" s="95">
        <v>2057</v>
      </c>
      <c r="B171" s="106">
        <f t="shared" si="10"/>
        <v>3009.4551000000001</v>
      </c>
      <c r="C171" s="107">
        <f t="shared" si="11"/>
        <v>2856.9631999999997</v>
      </c>
      <c r="D171" s="510">
        <v>147.12299999999999</v>
      </c>
      <c r="E171" s="511">
        <v>186.60670000000013</v>
      </c>
      <c r="F171" s="506">
        <v>1296.4481999999998</v>
      </c>
      <c r="G171" s="506">
        <v>1298.6132</v>
      </c>
      <c r="H171" s="106">
        <f t="shared" si="12"/>
        <v>4453.0262999999995</v>
      </c>
      <c r="I171" s="107">
        <f t="shared" si="13"/>
        <v>4342.1831000000002</v>
      </c>
      <c r="J171" s="507">
        <v>1649.4319000000003</v>
      </c>
      <c r="K171" s="507">
        <v>1650.0117</v>
      </c>
      <c r="L171" s="106">
        <f t="shared" si="5"/>
        <v>2.6997333445533571</v>
      </c>
      <c r="M171" s="107">
        <f t="shared" si="6"/>
        <v>2.6316074607228543</v>
      </c>
      <c r="N171" s="108">
        <f t="shared" si="7"/>
        <v>9.7190400403920858</v>
      </c>
      <c r="O171" s="109">
        <f t="shared" si="8"/>
        <v>9.473786858602276</v>
      </c>
      <c r="P171" s="44"/>
      <c r="Q171" s="110">
        <v>136.76369120294325</v>
      </c>
      <c r="R171" s="547">
        <v>0</v>
      </c>
      <c r="S171" s="548">
        <v>0.97199999999999998</v>
      </c>
      <c r="T171" s="108">
        <f t="shared" si="9"/>
        <v>132.93430784926085</v>
      </c>
      <c r="U171" s="111"/>
      <c r="AQ171" s="41"/>
      <c r="AU171" s="41"/>
    </row>
    <row r="172" spans="1:47" ht="15.75">
      <c r="A172" s="95">
        <v>2058</v>
      </c>
      <c r="B172" s="106">
        <f t="shared" si="10"/>
        <v>3845.5776999999998</v>
      </c>
      <c r="C172" s="107">
        <f t="shared" si="11"/>
        <v>3742.0360999999998</v>
      </c>
      <c r="D172" s="510">
        <v>152.47310000000002</v>
      </c>
      <c r="E172" s="511">
        <v>196.08170000000018</v>
      </c>
      <c r="F172" s="506">
        <v>1335.0029</v>
      </c>
      <c r="G172" s="506">
        <v>1338.6102000000001</v>
      </c>
      <c r="H172" s="106">
        <f t="shared" si="12"/>
        <v>5333.0537000000004</v>
      </c>
      <c r="I172" s="107">
        <f t="shared" si="13"/>
        <v>5276.7280000000001</v>
      </c>
      <c r="J172" s="507">
        <v>1701.5344000000002</v>
      </c>
      <c r="K172" s="507">
        <v>1701.1524999999999</v>
      </c>
      <c r="L172" s="106">
        <f t="shared" si="5"/>
        <v>3.1342614642407463</v>
      </c>
      <c r="M172" s="107">
        <f t="shared" si="6"/>
        <v>3.101854771985463</v>
      </c>
      <c r="N172" s="108">
        <f t="shared" si="7"/>
        <v>11.283341271266687</v>
      </c>
      <c r="O172" s="109">
        <f t="shared" si="8"/>
        <v>11.166677179147667</v>
      </c>
      <c r="P172" s="44"/>
      <c r="Q172" s="110">
        <v>139.84087425500948</v>
      </c>
      <c r="R172" s="547">
        <v>0</v>
      </c>
      <c r="S172" s="548">
        <v>1.0492999999999999</v>
      </c>
      <c r="T172" s="108">
        <f t="shared" si="9"/>
        <v>146.73502935578142</v>
      </c>
      <c r="U172" s="111"/>
      <c r="AQ172" s="41"/>
      <c r="AU172" s="41"/>
    </row>
    <row r="173" spans="1:47" ht="15.75">
      <c r="A173" s="95">
        <v>2059</v>
      </c>
      <c r="B173" s="106">
        <f t="shared" si="10"/>
        <v>3232.8176999999996</v>
      </c>
      <c r="C173" s="107">
        <f t="shared" si="11"/>
        <v>3235.1418999999996</v>
      </c>
      <c r="D173" s="510">
        <v>158.04269999999997</v>
      </c>
      <c r="E173" s="511">
        <v>206.74960000000007</v>
      </c>
      <c r="F173" s="506">
        <v>1373.9506000000001</v>
      </c>
      <c r="G173" s="506">
        <v>1379.0780999999999</v>
      </c>
      <c r="H173" s="106">
        <f t="shared" si="12"/>
        <v>4764.8109999999997</v>
      </c>
      <c r="I173" s="107">
        <f t="shared" si="13"/>
        <v>4820.9695999999994</v>
      </c>
      <c r="J173" s="507">
        <v>1753.4523999999997</v>
      </c>
      <c r="K173" s="507">
        <v>1752.1444999999999</v>
      </c>
      <c r="L173" s="106">
        <f t="shared" si="5"/>
        <v>2.7173882792598194</v>
      </c>
      <c r="M173" s="107">
        <f t="shared" si="6"/>
        <v>2.7514680438742349</v>
      </c>
      <c r="N173" s="108">
        <f t="shared" si="7"/>
        <v>9.7825978053353495</v>
      </c>
      <c r="O173" s="109">
        <f t="shared" si="8"/>
        <v>9.9052849579472468</v>
      </c>
      <c r="P173" s="44"/>
      <c r="Q173" s="110">
        <v>142.9872939257472</v>
      </c>
      <c r="R173" s="547">
        <v>0</v>
      </c>
      <c r="S173" s="548">
        <v>1.1368</v>
      </c>
      <c r="T173" s="108">
        <f t="shared" si="9"/>
        <v>162.54795573478941</v>
      </c>
      <c r="U173" s="111"/>
      <c r="AQ173" s="41"/>
      <c r="AU173" s="41"/>
    </row>
    <row r="174" spans="1:47" ht="15.75">
      <c r="A174" s="95">
        <v>2060</v>
      </c>
      <c r="B174" s="106">
        <f t="shared" si="10"/>
        <v>2942.6376999999998</v>
      </c>
      <c r="C174" s="107">
        <f t="shared" si="11"/>
        <v>2869.7714999999998</v>
      </c>
      <c r="D174" s="510">
        <v>163.59880000000001</v>
      </c>
      <c r="E174" s="511">
        <v>218.58830000000009</v>
      </c>
      <c r="F174" s="506">
        <v>1410.5222000000001</v>
      </c>
      <c r="G174" s="506">
        <v>1419.3415</v>
      </c>
      <c r="H174" s="106">
        <f t="shared" si="12"/>
        <v>4516.7587000000003</v>
      </c>
      <c r="I174" s="107">
        <f t="shared" si="13"/>
        <v>4507.7012999999997</v>
      </c>
      <c r="J174" s="507">
        <v>1805.4590000000001</v>
      </c>
      <c r="K174" s="507">
        <v>1803.2864999999997</v>
      </c>
      <c r="L174" s="106">
        <f t="shared" si="5"/>
        <v>2.501723218306259</v>
      </c>
      <c r="M174" s="107">
        <f t="shared" si="6"/>
        <v>2.4997144380551846</v>
      </c>
      <c r="N174" s="108">
        <f t="shared" si="7"/>
        <v>9.0062035859025329</v>
      </c>
      <c r="O174" s="109">
        <f t="shared" si="8"/>
        <v>8.9989719769986642</v>
      </c>
      <c r="P174" s="44"/>
      <c r="Q174" s="110">
        <v>146.2045080390765</v>
      </c>
      <c r="R174" s="547">
        <v>0</v>
      </c>
      <c r="S174" s="548">
        <v>1.2198</v>
      </c>
      <c r="T174" s="108">
        <f t="shared" si="9"/>
        <v>178.34025890606551</v>
      </c>
      <c r="U174" s="111"/>
      <c r="AQ174" s="41"/>
      <c r="AU174" s="41"/>
    </row>
    <row r="175" spans="1:47" ht="15.75">
      <c r="A175" s="95">
        <v>2061</v>
      </c>
      <c r="B175" s="106">
        <f t="shared" si="10"/>
        <v>4406.2563999999993</v>
      </c>
      <c r="C175" s="107">
        <f t="shared" si="11"/>
        <v>4333.8136999999997</v>
      </c>
      <c r="D175" s="510">
        <v>167.92989999999998</v>
      </c>
      <c r="E175" s="511">
        <v>226.4438000000001</v>
      </c>
      <c r="F175" s="506">
        <v>1450.1134000000002</v>
      </c>
      <c r="G175" s="506">
        <v>1460.672</v>
      </c>
      <c r="H175" s="106">
        <f t="shared" si="12"/>
        <v>6024.2996999999996</v>
      </c>
      <c r="I175" s="107">
        <f t="shared" si="13"/>
        <v>6020.9295000000002</v>
      </c>
      <c r="J175" s="507">
        <v>1856.6116999999999</v>
      </c>
      <c r="K175" s="507">
        <v>1854.6127999999997</v>
      </c>
      <c r="L175" s="106">
        <f t="shared" si="5"/>
        <v>3.2447817171463478</v>
      </c>
      <c r="M175" s="107">
        <f t="shared" si="6"/>
        <v>3.2464617412324563</v>
      </c>
      <c r="N175" s="108">
        <f t="shared" si="7"/>
        <v>11.681214181726853</v>
      </c>
      <c r="O175" s="109">
        <f t="shared" si="8"/>
        <v>11.687262268436843</v>
      </c>
      <c r="P175" s="44"/>
      <c r="Q175" s="110">
        <v>149.4941094699557</v>
      </c>
      <c r="R175" s="547">
        <v>0</v>
      </c>
      <c r="S175" s="548">
        <v>1.2932999999999999</v>
      </c>
      <c r="T175" s="108">
        <f t="shared" si="9"/>
        <v>193.34073177749369</v>
      </c>
      <c r="U175" s="111"/>
      <c r="AQ175" s="41"/>
      <c r="AU175" s="41"/>
    </row>
    <row r="176" spans="1:47" ht="15.75">
      <c r="A176" s="95">
        <v>2062</v>
      </c>
      <c r="B176" s="106">
        <f t="shared" si="10"/>
        <v>4283.6018999999997</v>
      </c>
      <c r="C176" s="107">
        <f t="shared" si="11"/>
        <v>4181.8468999999996</v>
      </c>
      <c r="D176" s="510">
        <v>173.49559999999997</v>
      </c>
      <c r="E176" s="511">
        <v>236.80550000000011</v>
      </c>
      <c r="F176" s="506">
        <v>1488.5286999999998</v>
      </c>
      <c r="G176" s="506">
        <v>1501.3504</v>
      </c>
      <c r="H176" s="106">
        <f t="shared" si="12"/>
        <v>5945.6261999999997</v>
      </c>
      <c r="I176" s="107">
        <f t="shared" si="13"/>
        <v>5920.0028000000002</v>
      </c>
      <c r="J176" s="507">
        <v>1908.6034999999999</v>
      </c>
      <c r="K176" s="507">
        <v>1905.9129999999996</v>
      </c>
      <c r="L176" s="106">
        <f t="shared" si="5"/>
        <v>3.1151709613861653</v>
      </c>
      <c r="M176" s="107">
        <f t="shared" si="6"/>
        <v>3.1061243613953007</v>
      </c>
      <c r="N176" s="108">
        <f t="shared" si="7"/>
        <v>11.214615460990196</v>
      </c>
      <c r="O176" s="109">
        <f t="shared" si="8"/>
        <v>11.182047701023082</v>
      </c>
      <c r="P176" s="44"/>
      <c r="Q176" s="110">
        <v>152.85772693302971</v>
      </c>
      <c r="R176" s="547">
        <v>0</v>
      </c>
      <c r="S176" s="548">
        <v>1.3791</v>
      </c>
      <c r="T176" s="108">
        <f t="shared" si="9"/>
        <v>210.80609121334126</v>
      </c>
      <c r="U176" s="111"/>
      <c r="AQ176" s="41"/>
      <c r="AU176" s="41"/>
    </row>
    <row r="177" spans="1:47" ht="15.75">
      <c r="A177" s="95">
        <v>2063</v>
      </c>
      <c r="B177" s="106">
        <f t="shared" si="10"/>
        <v>4373.6252999999997</v>
      </c>
      <c r="C177" s="107">
        <f t="shared" si="11"/>
        <v>4315.7686000000003</v>
      </c>
      <c r="D177" s="510">
        <v>179.0641</v>
      </c>
      <c r="E177" s="511">
        <v>248.72240000000011</v>
      </c>
      <c r="F177" s="506">
        <v>1527.3285000000001</v>
      </c>
      <c r="G177" s="506">
        <v>1541.6215</v>
      </c>
      <c r="H177" s="106">
        <f t="shared" si="12"/>
        <v>6080.0178999999989</v>
      </c>
      <c r="I177" s="107">
        <f t="shared" si="13"/>
        <v>6106.1125000000002</v>
      </c>
      <c r="J177" s="507">
        <v>1960.5944000000002</v>
      </c>
      <c r="K177" s="507">
        <v>1957.1296999999995</v>
      </c>
      <c r="L177" s="106">
        <f t="shared" si="5"/>
        <v>3.1011094900607685</v>
      </c>
      <c r="M177" s="107">
        <f t="shared" si="6"/>
        <v>3.1199324704949301</v>
      </c>
      <c r="N177" s="108">
        <f t="shared" si="7"/>
        <v>11.163994164218767</v>
      </c>
      <c r="O177" s="109">
        <f t="shared" si="8"/>
        <v>11.231756893781748</v>
      </c>
      <c r="P177" s="44"/>
      <c r="Q177" s="110">
        <v>156.29702578902288</v>
      </c>
      <c r="R177" s="547">
        <v>0</v>
      </c>
      <c r="S177" s="548">
        <v>1.4714</v>
      </c>
      <c r="T177" s="108">
        <f t="shared" si="9"/>
        <v>229.97544374596828</v>
      </c>
      <c r="U177" s="111"/>
      <c r="AQ177" s="41"/>
      <c r="AU177" s="41"/>
    </row>
    <row r="178" spans="1:47" ht="15.75">
      <c r="A178" s="95">
        <v>2064</v>
      </c>
      <c r="B178" s="106">
        <f t="shared" si="10"/>
        <v>4531.098</v>
      </c>
      <c r="C178" s="107">
        <f t="shared" si="11"/>
        <v>4469.6282999999994</v>
      </c>
      <c r="D178" s="510">
        <v>184.6313999999999</v>
      </c>
      <c r="E178" s="511">
        <v>258.46100000000007</v>
      </c>
      <c r="F178" s="506">
        <v>1565.9803999999999</v>
      </c>
      <c r="G178" s="506">
        <v>1582.4806000000001</v>
      </c>
      <c r="H178" s="106">
        <f t="shared" si="12"/>
        <v>6281.7098000000005</v>
      </c>
      <c r="I178" s="107">
        <f t="shared" si="13"/>
        <v>6310.5698999999995</v>
      </c>
      <c r="J178" s="507">
        <v>2012.5987</v>
      </c>
      <c r="K178" s="507">
        <v>2008.3901999999996</v>
      </c>
      <c r="L178" s="106">
        <f t="shared" si="5"/>
        <v>3.1211934102908843</v>
      </c>
      <c r="M178" s="107">
        <f t="shared" si="6"/>
        <v>3.1421035115586609</v>
      </c>
      <c r="N178" s="108">
        <f t="shared" si="7"/>
        <v>11.236296277047183</v>
      </c>
      <c r="O178" s="109">
        <f t="shared" si="8"/>
        <v>11.31157264161118</v>
      </c>
      <c r="P178" s="44"/>
      <c r="Q178" s="110">
        <v>159.8137088692759</v>
      </c>
      <c r="R178" s="547">
        <v>0</v>
      </c>
      <c r="S178" s="548">
        <v>1.5426</v>
      </c>
      <c r="T178" s="108">
        <f t="shared" si="9"/>
        <v>246.52862730174499</v>
      </c>
      <c r="U178" s="111"/>
      <c r="AQ178" s="41"/>
      <c r="AU178" s="41"/>
    </row>
    <row r="179" spans="1:47" ht="15.75">
      <c r="A179" s="95">
        <v>2065</v>
      </c>
      <c r="B179" s="106">
        <f t="shared" si="10"/>
        <v>5703.2318000000005</v>
      </c>
      <c r="C179" s="107">
        <f t="shared" si="11"/>
        <v>5549.1382000000012</v>
      </c>
      <c r="D179" s="510">
        <v>190.20079999999999</v>
      </c>
      <c r="E179" s="511">
        <v>264.43950000000007</v>
      </c>
      <c r="F179" s="506">
        <v>1604.9134000000001</v>
      </c>
      <c r="G179" s="506">
        <v>1624.2969000000001</v>
      </c>
      <c r="H179" s="106">
        <f t="shared" si="12"/>
        <v>7498.3460000000005</v>
      </c>
      <c r="I179" s="107">
        <f t="shared" si="13"/>
        <v>7437.8746000000019</v>
      </c>
      <c r="J179" s="507">
        <v>2064.6378</v>
      </c>
      <c r="K179" s="507">
        <v>2059.2628999999997</v>
      </c>
      <c r="L179" s="106">
        <f t="shared" si="5"/>
        <v>3.6317973060456419</v>
      </c>
      <c r="M179" s="107">
        <f t="shared" si="6"/>
        <v>3.6119111357758173</v>
      </c>
      <c r="N179" s="108">
        <f t="shared" si="7"/>
        <v>13.074470301764311</v>
      </c>
      <c r="O179" s="109">
        <f t="shared" si="8"/>
        <v>13.002880088792942</v>
      </c>
      <c r="P179" s="44"/>
      <c r="Q179" s="110">
        <v>163.40951731883459</v>
      </c>
      <c r="R179" s="547">
        <v>0</v>
      </c>
      <c r="S179" s="548">
        <v>1.5763</v>
      </c>
      <c r="T179" s="108">
        <f t="shared" si="9"/>
        <v>257.58242214967896</v>
      </c>
      <c r="U179" s="111"/>
      <c r="AQ179" s="41"/>
      <c r="AU179" s="41"/>
    </row>
    <row r="180" spans="1:47" ht="15.75">
      <c r="A180" s="95">
        <v>2066</v>
      </c>
      <c r="B180" s="106">
        <f t="shared" si="10"/>
        <v>4743.5778</v>
      </c>
      <c r="C180" s="107">
        <f t="shared" si="11"/>
        <v>4771.5460000000003</v>
      </c>
      <c r="D180" s="510">
        <v>195.76999999999995</v>
      </c>
      <c r="E180" s="511">
        <v>271.10000000000014</v>
      </c>
      <c r="F180" s="506">
        <v>1643.8611000000001</v>
      </c>
      <c r="G180" s="506">
        <v>1666.0640000000001</v>
      </c>
      <c r="H180" s="106">
        <f t="shared" si="12"/>
        <v>6583.2088999999996</v>
      </c>
      <c r="I180" s="107">
        <f t="shared" si="13"/>
        <v>6708.7100000000009</v>
      </c>
      <c r="J180" s="507">
        <v>2116.6761000000006</v>
      </c>
      <c r="K180" s="507">
        <v>2110.15</v>
      </c>
      <c r="L180" s="106">
        <f t="shared" si="5"/>
        <v>3.1101635720269143</v>
      </c>
      <c r="M180" s="107">
        <f t="shared" si="6"/>
        <v>3.1792573987631214</v>
      </c>
      <c r="N180" s="108">
        <f t="shared" si="7"/>
        <v>11.196588859296892</v>
      </c>
      <c r="O180" s="109">
        <f t="shared" si="8"/>
        <v>11.445326635547238</v>
      </c>
      <c r="P180" s="44"/>
      <c r="Q180" s="110">
        <v>167.08623145850837</v>
      </c>
      <c r="R180" s="547">
        <v>0</v>
      </c>
      <c r="S180" s="548">
        <v>1.617</v>
      </c>
      <c r="T180" s="108">
        <f t="shared" si="9"/>
        <v>270.17843626840801</v>
      </c>
      <c r="U180" s="111"/>
      <c r="AQ180" s="41"/>
      <c r="AU180" s="41"/>
    </row>
    <row r="181" spans="1:47" ht="15.75">
      <c r="A181" s="95">
        <v>2067</v>
      </c>
      <c r="B181" s="106">
        <f t="shared" si="10"/>
        <v>4528.4947000000002</v>
      </c>
      <c r="C181" s="107">
        <f t="shared" si="11"/>
        <v>4616.7844999999998</v>
      </c>
      <c r="D181" s="510">
        <v>201.33949999999999</v>
      </c>
      <c r="E181" s="511">
        <v>280.41109999999998</v>
      </c>
      <c r="F181" s="506">
        <v>1682.8087</v>
      </c>
      <c r="G181" s="506">
        <v>1707.0425</v>
      </c>
      <c r="H181" s="106">
        <f t="shared" si="12"/>
        <v>6412.6429000000007</v>
      </c>
      <c r="I181" s="107">
        <f t="shared" si="13"/>
        <v>6604.2381000000005</v>
      </c>
      <c r="J181" s="507">
        <v>2168.7144000000008</v>
      </c>
      <c r="K181" s="507">
        <v>2161.2293</v>
      </c>
      <c r="L181" s="106">
        <f t="shared" si="5"/>
        <v>2.9568867620374535</v>
      </c>
      <c r="M181" s="107">
        <f t="shared" si="6"/>
        <v>3.0557785330783735</v>
      </c>
      <c r="N181" s="108">
        <f t="shared" si="7"/>
        <v>10.644792343334833</v>
      </c>
      <c r="O181" s="109">
        <f t="shared" si="8"/>
        <v>11.000802719082145</v>
      </c>
      <c r="P181" s="44"/>
      <c r="Q181" s="110">
        <v>170.84567166632479</v>
      </c>
      <c r="R181" s="547">
        <v>0</v>
      </c>
      <c r="S181" s="548">
        <v>1.6862999999999999</v>
      </c>
      <c r="T181" s="108">
        <f t="shared" si="9"/>
        <v>288.09705613092348</v>
      </c>
      <c r="U181" s="111"/>
      <c r="AQ181" s="41"/>
      <c r="AU181" s="41"/>
    </row>
    <row r="182" spans="1:47" ht="15.75">
      <c r="A182" s="95">
        <v>2068</v>
      </c>
      <c r="B182" s="106">
        <f t="shared" si="10"/>
        <v>4389.2950999999994</v>
      </c>
      <c r="C182" s="107">
        <f t="shared" si="11"/>
        <v>4128.9695000000002</v>
      </c>
      <c r="D182" s="510">
        <v>206.90860000000001</v>
      </c>
      <c r="E182" s="511">
        <v>288.41060000000016</v>
      </c>
      <c r="F182" s="506">
        <v>1721.7565</v>
      </c>
      <c r="G182" s="506">
        <v>1748.4152999999999</v>
      </c>
      <c r="H182" s="106">
        <f t="shared" si="12"/>
        <v>6317.9601999999995</v>
      </c>
      <c r="I182" s="107">
        <f t="shared" si="13"/>
        <v>6165.7954</v>
      </c>
      <c r="J182" s="507">
        <v>2220.7805000000008</v>
      </c>
      <c r="K182" s="507">
        <v>2212.2011000000002</v>
      </c>
      <c r="L182" s="106">
        <f t="shared" si="5"/>
        <v>2.8449278080386593</v>
      </c>
      <c r="M182" s="107">
        <f t="shared" si="6"/>
        <v>2.7871767173427404</v>
      </c>
      <c r="N182" s="108">
        <f t="shared" si="7"/>
        <v>10.241740108939174</v>
      </c>
      <c r="O182" s="109">
        <f t="shared" si="8"/>
        <v>10.033836182433866</v>
      </c>
      <c r="P182" s="44"/>
      <c r="Q182" s="110">
        <v>174.6896992788171</v>
      </c>
      <c r="R182" s="547">
        <v>0</v>
      </c>
      <c r="S182" s="548">
        <v>1.7415</v>
      </c>
      <c r="T182" s="108">
        <f t="shared" si="9"/>
        <v>304.22211129405997</v>
      </c>
      <c r="U182" s="111"/>
      <c r="AU182" s="41"/>
    </row>
    <row r="183" spans="1:47" ht="15.75">
      <c r="A183" s="95">
        <v>2069</v>
      </c>
      <c r="B183" s="106">
        <f t="shared" si="10"/>
        <v>4220.2814000000008</v>
      </c>
      <c r="C183" s="107">
        <f t="shared" si="11"/>
        <v>4056.7278000000001</v>
      </c>
      <c r="D183" s="510">
        <v>212.47799999999998</v>
      </c>
      <c r="E183" s="511">
        <v>299.0252000000001</v>
      </c>
      <c r="F183" s="506">
        <v>1760.7042000000001</v>
      </c>
      <c r="G183" s="506">
        <v>1789.1032</v>
      </c>
      <c r="H183" s="106">
        <f t="shared" si="12"/>
        <v>6193.463600000001</v>
      </c>
      <c r="I183" s="107">
        <f t="shared" si="13"/>
        <v>6144.8562000000002</v>
      </c>
      <c r="J183" s="507">
        <v>2272.8551000000007</v>
      </c>
      <c r="K183" s="507">
        <v>2263.3268000000003</v>
      </c>
      <c r="L183" s="106">
        <f t="shared" si="5"/>
        <v>2.7249707207467821</v>
      </c>
      <c r="M183" s="107">
        <f t="shared" si="6"/>
        <v>2.7149663937174249</v>
      </c>
      <c r="N183" s="108">
        <f t="shared" si="7"/>
        <v>9.8098945946884157</v>
      </c>
      <c r="O183" s="109">
        <f t="shared" si="8"/>
        <v>9.773879017382729</v>
      </c>
      <c r="P183" s="44"/>
      <c r="Q183" s="110">
        <v>178.62021751259047</v>
      </c>
      <c r="R183" s="547">
        <v>0</v>
      </c>
      <c r="S183" s="548">
        <v>1.8198000000000001</v>
      </c>
      <c r="T183" s="108">
        <f t="shared" si="9"/>
        <v>325.05307182941215</v>
      </c>
      <c r="U183" s="111"/>
      <c r="AU183" s="41"/>
    </row>
    <row r="184" spans="1:47" ht="15.75">
      <c r="A184" s="95">
        <v>2070</v>
      </c>
      <c r="B184" s="106">
        <f t="shared" si="10"/>
        <v>5304.8157000000001</v>
      </c>
      <c r="C184" s="107">
        <f t="shared" si="11"/>
        <v>4636.3900999999996</v>
      </c>
      <c r="D184" s="512">
        <v>218.54819999999998</v>
      </c>
      <c r="E184" s="513">
        <v>309.63950000000011</v>
      </c>
      <c r="F184" s="506">
        <v>1799.5271</v>
      </c>
      <c r="G184" s="506">
        <v>1829.7909999999999</v>
      </c>
      <c r="H184" s="106">
        <f t="shared" si="12"/>
        <v>7322.8910000000005</v>
      </c>
      <c r="I184" s="107">
        <f t="shared" si="13"/>
        <v>6775.8206</v>
      </c>
      <c r="J184" s="507">
        <v>2324.8395000000005</v>
      </c>
      <c r="K184" s="507">
        <v>2314.4567999999999</v>
      </c>
      <c r="L184" s="106">
        <f t="shared" si="5"/>
        <v>3.1498479787529412</v>
      </c>
      <c r="M184" s="107">
        <f t="shared" si="6"/>
        <v>2.9276072899697243</v>
      </c>
      <c r="N184" s="108">
        <f t="shared" si="7"/>
        <v>11.339452723510588</v>
      </c>
      <c r="O184" s="109">
        <f t="shared" si="8"/>
        <v>10.539386243891007</v>
      </c>
      <c r="P184" s="44"/>
      <c r="Q184" s="110">
        <v>182.63917240662374</v>
      </c>
      <c r="R184" s="547">
        <v>0</v>
      </c>
      <c r="S184" s="548">
        <v>1.8980999999999999</v>
      </c>
      <c r="T184" s="108">
        <f t="shared" si="9"/>
        <v>346.66741314501252</v>
      </c>
      <c r="U184" s="111"/>
      <c r="AU184" s="41"/>
    </row>
    <row r="185" spans="1:47" ht="14.65" thickBot="1">
      <c r="A185" s="96" t="s">
        <v>290</v>
      </c>
      <c r="B185" s="97">
        <f t="shared" ref="B185:O185" si="17">SUM(B139:B184)</f>
        <v>131149.56749999998</v>
      </c>
      <c r="C185" s="97">
        <f t="shared" si="17"/>
        <v>129624.93729999999</v>
      </c>
      <c r="D185" s="97">
        <f t="shared" si="17"/>
        <v>5254.9279000000006</v>
      </c>
      <c r="E185" s="97">
        <f t="shared" si="17"/>
        <v>6543.0711000000047</v>
      </c>
      <c r="F185" s="97">
        <f t="shared" si="17"/>
        <v>42852.253700000001</v>
      </c>
      <c r="G185" s="97">
        <f t="shared" si="17"/>
        <v>42995.592699999994</v>
      </c>
      <c r="H185" s="97">
        <f t="shared" si="17"/>
        <v>179256.74910000002</v>
      </c>
      <c r="I185" s="97">
        <f t="shared" si="17"/>
        <v>179163.6011</v>
      </c>
      <c r="J185" s="97">
        <f t="shared" si="17"/>
        <v>55451.152799999989</v>
      </c>
      <c r="K185" s="97">
        <f t="shared" si="17"/>
        <v>55364.6158</v>
      </c>
      <c r="L185" s="97">
        <f t="shared" si="17"/>
        <v>154.52977222462167</v>
      </c>
      <c r="M185" s="97">
        <f t="shared" si="17"/>
        <v>154.59386691373189</v>
      </c>
      <c r="N185" s="97">
        <f t="shared" si="17"/>
        <v>556.30718000863806</v>
      </c>
      <c r="O185" s="98">
        <f t="shared" si="17"/>
        <v>556.53792088943476</v>
      </c>
      <c r="Q185" s="96" t="s">
        <v>290</v>
      </c>
      <c r="R185" s="97">
        <f>SUM(R139:R184)</f>
        <v>7.1877999999999966</v>
      </c>
      <c r="S185" s="97">
        <f>SUM(S139:S184)</f>
        <v>34.848199999999999</v>
      </c>
      <c r="T185" s="97">
        <f>SUM(T139:T184)</f>
        <v>4160.7035551918634</v>
      </c>
      <c r="U185" s="99">
        <f>SUM(U139:U184)</f>
        <v>0</v>
      </c>
      <c r="AU185" s="41"/>
    </row>
    <row r="186" spans="1:47">
      <c r="B186" s="16"/>
      <c r="C186" s="16"/>
      <c r="D186" s="16"/>
      <c r="AU186" s="41"/>
    </row>
    <row r="187" spans="1:47">
      <c r="C187" s="16"/>
      <c r="AU187" s="41"/>
    </row>
    <row r="189" spans="1:47">
      <c r="D189" s="54"/>
    </row>
    <row r="198" spans="14:14" ht="15" customHeight="1"/>
    <row r="200" spans="14:14">
      <c r="N200" s="16"/>
    </row>
    <row r="202" spans="14:14">
      <c r="N202" s="16"/>
    </row>
    <row r="203" spans="14:14">
      <c r="N203" s="16"/>
    </row>
    <row r="209" spans="4:4">
      <c r="D209" s="16"/>
    </row>
    <row r="210" spans="4:4">
      <c r="D210" s="16"/>
    </row>
    <row r="211" spans="4:4">
      <c r="D211" s="16"/>
    </row>
    <row r="213" spans="4:4">
      <c r="D213" s="16"/>
    </row>
  </sheetData>
  <mergeCells count="25">
    <mergeCell ref="AG141:AG142"/>
    <mergeCell ref="X141:Z141"/>
    <mergeCell ref="AA141:AC141"/>
    <mergeCell ref="AD141:AF141"/>
    <mergeCell ref="L137:M137"/>
    <mergeCell ref="B137:C137"/>
    <mergeCell ref="D137:E137"/>
    <mergeCell ref="F137:G137"/>
    <mergeCell ref="W141:W142"/>
    <mergeCell ref="H137:I137"/>
    <mergeCell ref="J137:K137"/>
    <mergeCell ref="U137:U138"/>
    <mergeCell ref="R137:S137"/>
    <mergeCell ref="Q137:Q138"/>
    <mergeCell ref="T137:T138"/>
    <mergeCell ref="N137:O137"/>
    <mergeCell ref="A4:B4"/>
    <mergeCell ref="A5:B5"/>
    <mergeCell ref="A7:AN7"/>
    <mergeCell ref="A71:AN71"/>
    <mergeCell ref="A135:AN135"/>
    <mergeCell ref="AJ9:AM9"/>
    <mergeCell ref="AJ73:AM73"/>
    <mergeCell ref="B9:AG9"/>
    <mergeCell ref="B73:AG73"/>
  </mergeCells>
  <phoneticPr fontId="24"/>
  <pageMargins left="0.7" right="0.7" top="0.75" bottom="0.75" header="0.3" footer="0.3"/>
  <pageSetup paperSize="9" orientation="portrait" r:id="rId1"/>
  <ignoredErrors>
    <ignoredError sqref="H138 M138 C138 E138 D140:F184 B138 F138 D138 D139:F139" formula="1"/>
  </ignoredError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70C9DA-14FA-4292-A50A-80C432516BD8}">
  <sheetPr codeName="Sheet8">
    <tabColor theme="0" tint="-0.499984740745262"/>
  </sheetPr>
  <dimension ref="A1:AV55"/>
  <sheetViews>
    <sheetView showGridLines="0" topLeftCell="A18" zoomScale="75" zoomScaleNormal="115" workbookViewId="0">
      <selection activeCell="O55" sqref="O55"/>
    </sheetView>
  </sheetViews>
  <sheetFormatPr defaultColWidth="8.796875" defaultRowHeight="14.25"/>
  <cols>
    <col min="1" max="1" width="35.19921875" customWidth="1"/>
    <col min="2" max="2" width="12.46484375" bestFit="1" customWidth="1"/>
    <col min="3" max="3" width="15" bestFit="1" customWidth="1"/>
    <col min="4" max="4" width="25.53125" bestFit="1" customWidth="1"/>
    <col min="5" max="5" width="12.796875" bestFit="1" customWidth="1"/>
    <col min="6" max="6" width="16.46484375" bestFit="1" customWidth="1"/>
    <col min="7" max="7" width="25.53125" bestFit="1" customWidth="1"/>
    <col min="8" max="8" width="12.796875" bestFit="1" customWidth="1"/>
    <col min="9" max="9" width="16.46484375" customWidth="1"/>
    <col min="10" max="10" width="25.53125" customWidth="1"/>
    <col min="17" max="18" width="8.46484375" customWidth="1"/>
    <col min="20" max="20" width="11.46484375" customWidth="1"/>
    <col min="21" max="21" width="8.46484375" customWidth="1"/>
  </cols>
  <sheetData>
    <row r="1" spans="1:48" ht="46.9">
      <c r="A1" s="498" t="s">
        <v>0</v>
      </c>
      <c r="B1" s="497"/>
      <c r="C1" s="497"/>
      <c r="D1" s="497"/>
      <c r="E1" s="497"/>
      <c r="F1" s="481"/>
      <c r="G1" s="481"/>
      <c r="H1" s="481"/>
      <c r="I1" s="481"/>
      <c r="J1" s="481"/>
      <c r="K1" s="481"/>
      <c r="L1" s="481"/>
      <c r="M1" s="481"/>
      <c r="N1" s="481"/>
      <c r="O1" s="481"/>
      <c r="P1" s="481"/>
      <c r="Q1" s="481"/>
      <c r="R1" s="481"/>
      <c r="S1" s="481"/>
      <c r="T1" s="481"/>
      <c r="U1" s="481"/>
      <c r="V1" s="481"/>
      <c r="W1" s="481"/>
      <c r="X1" s="481"/>
      <c r="Y1" s="481"/>
      <c r="Z1" s="481"/>
      <c r="AA1" s="481"/>
      <c r="AB1" s="481"/>
      <c r="AC1" s="481"/>
      <c r="AD1" s="481"/>
      <c r="AE1" s="481"/>
      <c r="AF1" s="481"/>
      <c r="AG1" s="481"/>
      <c r="AH1" s="481"/>
      <c r="AI1" s="481"/>
      <c r="AJ1" s="481"/>
      <c r="AK1" s="481"/>
      <c r="AL1" s="481"/>
      <c r="AM1" s="481"/>
      <c r="AN1" s="481"/>
      <c r="AO1" s="481"/>
      <c r="AP1" s="481"/>
      <c r="AQ1" s="481"/>
      <c r="AR1" s="481"/>
      <c r="AS1" s="481"/>
      <c r="AT1" s="481"/>
      <c r="AU1" s="481"/>
      <c r="AV1" s="481"/>
    </row>
    <row r="2" spans="1:48" ht="25.5">
      <c r="A2" s="499" t="s">
        <v>660</v>
      </c>
      <c r="B2" s="497"/>
      <c r="C2" s="497"/>
      <c r="D2" s="497"/>
      <c r="E2" s="497"/>
      <c r="F2" s="481"/>
      <c r="G2" s="481"/>
      <c r="H2" s="481"/>
      <c r="I2" s="481"/>
      <c r="J2" s="481"/>
      <c r="K2" s="481"/>
      <c r="L2" s="481"/>
      <c r="M2" s="481"/>
      <c r="N2" s="481"/>
      <c r="O2" s="481"/>
      <c r="P2" s="481"/>
      <c r="Q2" s="481"/>
      <c r="R2" s="481"/>
      <c r="S2" s="481"/>
      <c r="T2" s="481"/>
      <c r="U2" s="481"/>
      <c r="V2" s="481"/>
      <c r="W2" s="481"/>
      <c r="X2" s="481"/>
      <c r="Y2" s="481"/>
      <c r="Z2" s="481"/>
      <c r="AA2" s="481"/>
      <c r="AB2" s="481"/>
      <c r="AC2" s="481"/>
      <c r="AD2" s="481"/>
      <c r="AE2" s="481"/>
      <c r="AF2" s="481"/>
      <c r="AG2" s="481"/>
      <c r="AH2" s="481"/>
      <c r="AI2" s="481"/>
      <c r="AJ2" s="481"/>
      <c r="AK2" s="481"/>
      <c r="AL2" s="481"/>
      <c r="AM2" s="481"/>
      <c r="AN2" s="481"/>
      <c r="AO2" s="481"/>
      <c r="AP2" s="481"/>
      <c r="AQ2" s="481"/>
      <c r="AR2" s="481"/>
      <c r="AS2" s="481"/>
      <c r="AT2" s="481"/>
      <c r="AU2" s="481"/>
      <c r="AV2" s="481"/>
    </row>
    <row r="3" spans="1:48" ht="14.65" thickBot="1"/>
    <row r="4" spans="1:48" ht="15" customHeight="1">
      <c r="A4" s="789" t="s">
        <v>661</v>
      </c>
      <c r="B4" s="783" t="s">
        <v>662</v>
      </c>
      <c r="C4" s="784"/>
      <c r="D4" s="785"/>
      <c r="E4" s="783" t="s">
        <v>663</v>
      </c>
      <c r="F4" s="784"/>
      <c r="G4" s="785"/>
      <c r="H4" s="783" t="s">
        <v>664</v>
      </c>
      <c r="I4" s="784"/>
      <c r="J4" s="785"/>
    </row>
    <row r="5" spans="1:48" ht="15" customHeight="1">
      <c r="A5" s="790"/>
      <c r="B5" s="786"/>
      <c r="C5" s="787"/>
      <c r="D5" s="788"/>
      <c r="E5" s="786"/>
      <c r="F5" s="787"/>
      <c r="G5" s="788"/>
      <c r="H5" s="786"/>
      <c r="I5" s="787"/>
      <c r="J5" s="788"/>
    </row>
    <row r="6" spans="1:48">
      <c r="A6" s="43"/>
      <c r="B6" s="518" t="str">
        <f>'OSeMOSYS (Input)'!C4</f>
        <v>NetZero</v>
      </c>
      <c r="C6" s="519" t="str">
        <f>'OSeMOSYS (Input)'!C5</f>
        <v>LeastCost</v>
      </c>
      <c r="D6" s="520" t="s">
        <v>665</v>
      </c>
      <c r="E6" s="519" t="str">
        <f>'OSeMOSYS (Input)'!C4</f>
        <v>NetZero</v>
      </c>
      <c r="F6" s="519" t="str">
        <f>'OSeMOSYS (Input)'!C5</f>
        <v>LeastCost</v>
      </c>
      <c r="G6" s="520" t="s">
        <v>665</v>
      </c>
      <c r="H6" s="519" t="str">
        <f>'OSeMOSYS (Input)'!C4</f>
        <v>NetZero</v>
      </c>
      <c r="I6" s="519" t="str">
        <f>'OSeMOSYS (Input)'!C5</f>
        <v>LeastCost</v>
      </c>
      <c r="J6" s="521" t="s">
        <v>665</v>
      </c>
    </row>
    <row r="7" spans="1:48">
      <c r="A7" s="84">
        <v>2023</v>
      </c>
      <c r="B7" s="85"/>
      <c r="C7" s="47"/>
      <c r="D7" s="56">
        <f>B7-C7</f>
        <v>0</v>
      </c>
      <c r="E7" s="47"/>
      <c r="F7" s="47"/>
      <c r="G7" s="56">
        <f>F7-E7</f>
        <v>0</v>
      </c>
      <c r="H7" s="47"/>
      <c r="I7" s="47"/>
      <c r="J7" s="57">
        <f>I7-H7</f>
        <v>0</v>
      </c>
    </row>
    <row r="8" spans="1:48">
      <c r="A8" s="84">
        <v>2024</v>
      </c>
      <c r="B8" s="85"/>
      <c r="C8" s="47"/>
      <c r="D8" s="56">
        <f t="shared" ref="D8:D54" si="0">C8-B8</f>
        <v>0</v>
      </c>
      <c r="E8" s="47"/>
      <c r="F8" s="47"/>
      <c r="G8" s="56">
        <f t="shared" ref="G8:G54" si="1">F8-E8</f>
        <v>0</v>
      </c>
      <c r="H8" s="47"/>
      <c r="I8" s="47"/>
      <c r="J8" s="57">
        <f t="shared" ref="J8:J54" si="2">I8-H8</f>
        <v>0</v>
      </c>
    </row>
    <row r="9" spans="1:48">
      <c r="A9" s="84">
        <v>2025</v>
      </c>
      <c r="B9" s="85"/>
      <c r="C9" s="47"/>
      <c r="D9" s="56">
        <f t="shared" si="0"/>
        <v>0</v>
      </c>
      <c r="E9" s="47"/>
      <c r="F9" s="47"/>
      <c r="G9" s="56">
        <f t="shared" si="1"/>
        <v>0</v>
      </c>
      <c r="H9" s="47"/>
      <c r="I9" s="47"/>
      <c r="J9" s="57">
        <f t="shared" si="2"/>
        <v>0</v>
      </c>
    </row>
    <row r="10" spans="1:48">
      <c r="A10" s="84">
        <v>2026</v>
      </c>
      <c r="B10" s="85"/>
      <c r="C10" s="47"/>
      <c r="D10" s="56">
        <f t="shared" si="0"/>
        <v>0</v>
      </c>
      <c r="E10" s="47"/>
      <c r="F10" s="47"/>
      <c r="G10" s="56">
        <f t="shared" si="1"/>
        <v>0</v>
      </c>
      <c r="H10" s="47"/>
      <c r="I10" s="47"/>
      <c r="J10" s="57">
        <f t="shared" si="2"/>
        <v>0</v>
      </c>
    </row>
    <row r="11" spans="1:48">
      <c r="A11" s="84">
        <v>2027</v>
      </c>
      <c r="B11" s="85"/>
      <c r="C11" s="47"/>
      <c r="D11" s="56">
        <f t="shared" si="0"/>
        <v>0</v>
      </c>
      <c r="E11" s="47"/>
      <c r="F11" s="47"/>
      <c r="G11" s="56">
        <f t="shared" si="1"/>
        <v>0</v>
      </c>
      <c r="H11" s="47"/>
      <c r="I11" s="47"/>
      <c r="J11" s="57">
        <f t="shared" si="2"/>
        <v>0</v>
      </c>
    </row>
    <row r="12" spans="1:48">
      <c r="A12" s="84">
        <v>2028</v>
      </c>
      <c r="B12" s="85"/>
      <c r="C12" s="47"/>
      <c r="D12" s="56">
        <f t="shared" si="0"/>
        <v>0</v>
      </c>
      <c r="E12" s="47"/>
      <c r="F12" s="47"/>
      <c r="G12" s="56">
        <f t="shared" si="1"/>
        <v>0</v>
      </c>
      <c r="H12" s="47"/>
      <c r="I12" s="47"/>
      <c r="J12" s="57">
        <f t="shared" si="2"/>
        <v>0</v>
      </c>
    </row>
    <row r="13" spans="1:48">
      <c r="A13" s="84">
        <v>2029</v>
      </c>
      <c r="B13" s="85"/>
      <c r="C13" s="47"/>
      <c r="D13" s="56">
        <f t="shared" si="0"/>
        <v>0</v>
      </c>
      <c r="E13" s="47"/>
      <c r="F13" s="47"/>
      <c r="G13" s="56">
        <f t="shared" si="1"/>
        <v>0</v>
      </c>
      <c r="H13" s="47"/>
      <c r="I13" s="47"/>
      <c r="J13" s="57">
        <f t="shared" si="2"/>
        <v>0</v>
      </c>
    </row>
    <row r="14" spans="1:48">
      <c r="A14" s="84">
        <v>2030</v>
      </c>
      <c r="B14" s="85"/>
      <c r="C14" s="47"/>
      <c r="D14" s="56">
        <f t="shared" si="0"/>
        <v>0</v>
      </c>
      <c r="E14" s="47"/>
      <c r="F14" s="47"/>
      <c r="G14" s="56">
        <f t="shared" si="1"/>
        <v>0</v>
      </c>
      <c r="H14" s="47"/>
      <c r="I14" s="47"/>
      <c r="J14" s="57">
        <f t="shared" si="2"/>
        <v>0</v>
      </c>
    </row>
    <row r="15" spans="1:48">
      <c r="A15" s="84">
        <v>2031</v>
      </c>
      <c r="B15" s="85"/>
      <c r="C15" s="47"/>
      <c r="D15" s="56">
        <f t="shared" si="0"/>
        <v>0</v>
      </c>
      <c r="E15" s="47"/>
      <c r="F15" s="47"/>
      <c r="G15" s="56">
        <f t="shared" si="1"/>
        <v>0</v>
      </c>
      <c r="H15" s="47"/>
      <c r="I15" s="47"/>
      <c r="J15" s="57">
        <f t="shared" si="2"/>
        <v>0</v>
      </c>
    </row>
    <row r="16" spans="1:48">
      <c r="A16" s="84">
        <v>2032</v>
      </c>
      <c r="B16" s="85"/>
      <c r="C16" s="47"/>
      <c r="D16" s="56">
        <f t="shared" si="0"/>
        <v>0</v>
      </c>
      <c r="E16" s="47"/>
      <c r="F16" s="47"/>
      <c r="G16" s="56">
        <f t="shared" si="1"/>
        <v>0</v>
      </c>
      <c r="H16" s="47"/>
      <c r="I16" s="47"/>
      <c r="J16" s="57">
        <f t="shared" si="2"/>
        <v>0</v>
      </c>
    </row>
    <row r="17" spans="1:10">
      <c r="A17" s="84">
        <v>2033</v>
      </c>
      <c r="B17" s="85"/>
      <c r="C17" s="47"/>
      <c r="D17" s="56">
        <f t="shared" si="0"/>
        <v>0</v>
      </c>
      <c r="E17" s="47"/>
      <c r="F17" s="47"/>
      <c r="G17" s="56">
        <f t="shared" si="1"/>
        <v>0</v>
      </c>
      <c r="H17" s="47"/>
      <c r="I17" s="47"/>
      <c r="J17" s="57">
        <f t="shared" si="2"/>
        <v>0</v>
      </c>
    </row>
    <row r="18" spans="1:10">
      <c r="A18" s="84">
        <v>2034</v>
      </c>
      <c r="B18" s="85"/>
      <c r="C18" s="47"/>
      <c r="D18" s="56">
        <f t="shared" si="0"/>
        <v>0</v>
      </c>
      <c r="E18" s="47"/>
      <c r="F18" s="47"/>
      <c r="G18" s="56">
        <f t="shared" si="1"/>
        <v>0</v>
      </c>
      <c r="H18" s="47"/>
      <c r="I18" s="47"/>
      <c r="J18" s="57">
        <f t="shared" si="2"/>
        <v>0</v>
      </c>
    </row>
    <row r="19" spans="1:10">
      <c r="A19" s="84">
        <v>2035</v>
      </c>
      <c r="B19" s="85"/>
      <c r="C19" s="47"/>
      <c r="D19" s="56">
        <f t="shared" si="0"/>
        <v>0</v>
      </c>
      <c r="E19" s="47"/>
      <c r="F19" s="47"/>
      <c r="G19" s="56">
        <f t="shared" si="1"/>
        <v>0</v>
      </c>
      <c r="H19" s="47"/>
      <c r="I19" s="47"/>
      <c r="J19" s="57">
        <f t="shared" si="2"/>
        <v>0</v>
      </c>
    </row>
    <row r="20" spans="1:10">
      <c r="A20" s="84">
        <v>2036</v>
      </c>
      <c r="B20" s="85"/>
      <c r="C20" s="47"/>
      <c r="D20" s="56">
        <f t="shared" si="0"/>
        <v>0</v>
      </c>
      <c r="E20" s="47"/>
      <c r="F20" s="47"/>
      <c r="G20" s="56">
        <f t="shared" si="1"/>
        <v>0</v>
      </c>
      <c r="H20" s="47"/>
      <c r="I20" s="47"/>
      <c r="J20" s="57">
        <f t="shared" si="2"/>
        <v>0</v>
      </c>
    </row>
    <row r="21" spans="1:10">
      <c r="A21" s="84">
        <v>2037</v>
      </c>
      <c r="B21" s="85"/>
      <c r="C21" s="47"/>
      <c r="D21" s="56">
        <f t="shared" si="0"/>
        <v>0</v>
      </c>
      <c r="E21" s="47"/>
      <c r="F21" s="47"/>
      <c r="G21" s="56">
        <f t="shared" si="1"/>
        <v>0</v>
      </c>
      <c r="H21" s="47"/>
      <c r="I21" s="47"/>
      <c r="J21" s="57">
        <f t="shared" si="2"/>
        <v>0</v>
      </c>
    </row>
    <row r="22" spans="1:10">
      <c r="A22" s="84">
        <v>2038</v>
      </c>
      <c r="B22" s="85"/>
      <c r="C22" s="47"/>
      <c r="D22" s="56">
        <f t="shared" si="0"/>
        <v>0</v>
      </c>
      <c r="E22" s="47"/>
      <c r="F22" s="47"/>
      <c r="G22" s="56">
        <f t="shared" si="1"/>
        <v>0</v>
      </c>
      <c r="H22" s="47"/>
      <c r="I22" s="47"/>
      <c r="J22" s="57">
        <f t="shared" si="2"/>
        <v>0</v>
      </c>
    </row>
    <row r="23" spans="1:10">
      <c r="A23" s="84">
        <v>2039</v>
      </c>
      <c r="B23" s="85"/>
      <c r="C23" s="47"/>
      <c r="D23" s="56">
        <f t="shared" si="0"/>
        <v>0</v>
      </c>
      <c r="E23" s="47"/>
      <c r="F23" s="47"/>
      <c r="G23" s="56">
        <f t="shared" si="1"/>
        <v>0</v>
      </c>
      <c r="H23" s="47"/>
      <c r="I23" s="47"/>
      <c r="J23" s="57">
        <f t="shared" si="2"/>
        <v>0</v>
      </c>
    </row>
    <row r="24" spans="1:10">
      <c r="A24" s="84">
        <v>2040</v>
      </c>
      <c r="B24" s="85"/>
      <c r="C24" s="47"/>
      <c r="D24" s="56">
        <f t="shared" si="0"/>
        <v>0</v>
      </c>
      <c r="E24" s="47"/>
      <c r="F24" s="47"/>
      <c r="G24" s="56">
        <f t="shared" si="1"/>
        <v>0</v>
      </c>
      <c r="H24" s="47"/>
      <c r="I24" s="47"/>
      <c r="J24" s="57">
        <f t="shared" si="2"/>
        <v>0</v>
      </c>
    </row>
    <row r="25" spans="1:10">
      <c r="A25" s="84">
        <v>2041</v>
      </c>
      <c r="B25" s="85"/>
      <c r="C25" s="47"/>
      <c r="D25" s="56">
        <f t="shared" si="0"/>
        <v>0</v>
      </c>
      <c r="E25" s="47"/>
      <c r="F25" s="47"/>
      <c r="G25" s="56">
        <f t="shared" si="1"/>
        <v>0</v>
      </c>
      <c r="H25" s="47"/>
      <c r="I25" s="47"/>
      <c r="J25" s="57">
        <f t="shared" si="2"/>
        <v>0</v>
      </c>
    </row>
    <row r="26" spans="1:10">
      <c r="A26" s="84">
        <v>2042</v>
      </c>
      <c r="B26" s="85"/>
      <c r="C26" s="47"/>
      <c r="D26" s="56">
        <f t="shared" si="0"/>
        <v>0</v>
      </c>
      <c r="E26" s="47"/>
      <c r="F26" s="47"/>
      <c r="G26" s="56">
        <f t="shared" si="1"/>
        <v>0</v>
      </c>
      <c r="H26" s="47"/>
      <c r="I26" s="47"/>
      <c r="J26" s="57">
        <f t="shared" si="2"/>
        <v>0</v>
      </c>
    </row>
    <row r="27" spans="1:10">
      <c r="A27" s="84">
        <v>2043</v>
      </c>
      <c r="B27" s="85"/>
      <c r="C27" s="47"/>
      <c r="D27" s="56">
        <f t="shared" si="0"/>
        <v>0</v>
      </c>
      <c r="E27" s="47"/>
      <c r="F27" s="47"/>
      <c r="G27" s="56">
        <f t="shared" si="1"/>
        <v>0</v>
      </c>
      <c r="H27" s="47"/>
      <c r="I27" s="47"/>
      <c r="J27" s="57">
        <f t="shared" si="2"/>
        <v>0</v>
      </c>
    </row>
    <row r="28" spans="1:10">
      <c r="A28" s="84">
        <v>2044</v>
      </c>
      <c r="B28" s="85"/>
      <c r="C28" s="47"/>
      <c r="D28" s="56">
        <f t="shared" si="0"/>
        <v>0</v>
      </c>
      <c r="E28" s="47"/>
      <c r="F28" s="47"/>
      <c r="G28" s="56">
        <f t="shared" si="1"/>
        <v>0</v>
      </c>
      <c r="H28" s="47"/>
      <c r="I28" s="47"/>
      <c r="J28" s="57">
        <f t="shared" si="2"/>
        <v>0</v>
      </c>
    </row>
    <row r="29" spans="1:10">
      <c r="A29" s="84">
        <v>2045</v>
      </c>
      <c r="B29" s="85"/>
      <c r="C29" s="47"/>
      <c r="D29" s="56">
        <f t="shared" si="0"/>
        <v>0</v>
      </c>
      <c r="E29" s="47"/>
      <c r="F29" s="47"/>
      <c r="G29" s="56">
        <f t="shared" si="1"/>
        <v>0</v>
      </c>
      <c r="H29" s="47"/>
      <c r="I29" s="47"/>
      <c r="J29" s="57">
        <f t="shared" si="2"/>
        <v>0</v>
      </c>
    </row>
    <row r="30" spans="1:10">
      <c r="A30" s="84">
        <v>2046</v>
      </c>
      <c r="B30" s="85"/>
      <c r="C30" s="47"/>
      <c r="D30" s="56">
        <f t="shared" si="0"/>
        <v>0</v>
      </c>
      <c r="E30" s="47"/>
      <c r="F30" s="47"/>
      <c r="G30" s="56">
        <f t="shared" si="1"/>
        <v>0</v>
      </c>
      <c r="H30" s="47"/>
      <c r="I30" s="47"/>
      <c r="J30" s="57">
        <f t="shared" si="2"/>
        <v>0</v>
      </c>
    </row>
    <row r="31" spans="1:10">
      <c r="A31" s="84">
        <v>2047</v>
      </c>
      <c r="B31" s="85"/>
      <c r="C31" s="47"/>
      <c r="D31" s="56">
        <f t="shared" si="0"/>
        <v>0</v>
      </c>
      <c r="E31" s="47"/>
      <c r="F31" s="47"/>
      <c r="G31" s="56">
        <f t="shared" si="1"/>
        <v>0</v>
      </c>
      <c r="H31" s="47"/>
      <c r="I31" s="47"/>
      <c r="J31" s="57">
        <f t="shared" si="2"/>
        <v>0</v>
      </c>
    </row>
    <row r="32" spans="1:10">
      <c r="A32" s="84">
        <v>2048</v>
      </c>
      <c r="B32" s="85"/>
      <c r="C32" s="47"/>
      <c r="D32" s="56">
        <f t="shared" si="0"/>
        <v>0</v>
      </c>
      <c r="E32" s="47"/>
      <c r="F32" s="47"/>
      <c r="G32" s="56">
        <f t="shared" si="1"/>
        <v>0</v>
      </c>
      <c r="H32" s="47"/>
      <c r="I32" s="47"/>
      <c r="J32" s="57">
        <f t="shared" si="2"/>
        <v>0</v>
      </c>
    </row>
    <row r="33" spans="1:10">
      <c r="A33" s="84">
        <v>2049</v>
      </c>
      <c r="B33" s="85"/>
      <c r="C33" s="47"/>
      <c r="D33" s="56">
        <f t="shared" si="0"/>
        <v>0</v>
      </c>
      <c r="E33" s="47"/>
      <c r="F33" s="47"/>
      <c r="G33" s="56">
        <f t="shared" si="1"/>
        <v>0</v>
      </c>
      <c r="H33" s="47"/>
      <c r="I33" s="47"/>
      <c r="J33" s="57">
        <f t="shared" si="2"/>
        <v>0</v>
      </c>
    </row>
    <row r="34" spans="1:10">
      <c r="A34" s="84">
        <v>2050</v>
      </c>
      <c r="B34" s="85"/>
      <c r="C34" s="47"/>
      <c r="D34" s="56">
        <f t="shared" si="0"/>
        <v>0</v>
      </c>
      <c r="E34" s="47"/>
      <c r="F34" s="47"/>
      <c r="G34" s="56">
        <f t="shared" si="1"/>
        <v>0</v>
      </c>
      <c r="H34" s="47"/>
      <c r="I34" s="47"/>
      <c r="J34" s="57">
        <f t="shared" si="2"/>
        <v>0</v>
      </c>
    </row>
    <row r="35" spans="1:10">
      <c r="A35" s="84">
        <v>2051</v>
      </c>
      <c r="B35" s="85"/>
      <c r="C35" s="47"/>
      <c r="D35" s="56">
        <f t="shared" si="0"/>
        <v>0</v>
      </c>
      <c r="E35" s="47"/>
      <c r="F35" s="47"/>
      <c r="G35" s="56">
        <f t="shared" si="1"/>
        <v>0</v>
      </c>
      <c r="H35" s="47"/>
      <c r="I35" s="47"/>
      <c r="J35" s="57">
        <f t="shared" si="2"/>
        <v>0</v>
      </c>
    </row>
    <row r="36" spans="1:10">
      <c r="A36" s="84">
        <v>2052</v>
      </c>
      <c r="B36" s="85"/>
      <c r="C36" s="47"/>
      <c r="D36" s="56">
        <f t="shared" si="0"/>
        <v>0</v>
      </c>
      <c r="E36" s="47"/>
      <c r="F36" s="47"/>
      <c r="G36" s="56">
        <f t="shared" si="1"/>
        <v>0</v>
      </c>
      <c r="H36" s="47"/>
      <c r="I36" s="47"/>
      <c r="J36" s="57">
        <f t="shared" si="2"/>
        <v>0</v>
      </c>
    </row>
    <row r="37" spans="1:10">
      <c r="A37" s="84">
        <v>2053</v>
      </c>
      <c r="B37" s="85"/>
      <c r="C37" s="47"/>
      <c r="D37" s="56">
        <f t="shared" si="0"/>
        <v>0</v>
      </c>
      <c r="E37" s="47"/>
      <c r="F37" s="47"/>
      <c r="G37" s="56">
        <f t="shared" si="1"/>
        <v>0</v>
      </c>
      <c r="H37" s="47"/>
      <c r="I37" s="47"/>
      <c r="J37" s="57">
        <f t="shared" si="2"/>
        <v>0</v>
      </c>
    </row>
    <row r="38" spans="1:10">
      <c r="A38" s="84">
        <v>2054</v>
      </c>
      <c r="B38" s="85"/>
      <c r="C38" s="47"/>
      <c r="D38" s="56">
        <f t="shared" si="0"/>
        <v>0</v>
      </c>
      <c r="E38" s="47"/>
      <c r="F38" s="47"/>
      <c r="G38" s="56">
        <f t="shared" si="1"/>
        <v>0</v>
      </c>
      <c r="H38" s="47"/>
      <c r="I38" s="47"/>
      <c r="J38" s="57">
        <f t="shared" si="2"/>
        <v>0</v>
      </c>
    </row>
    <row r="39" spans="1:10">
      <c r="A39" s="84">
        <v>2055</v>
      </c>
      <c r="B39" s="85"/>
      <c r="C39" s="47"/>
      <c r="D39" s="56">
        <f t="shared" si="0"/>
        <v>0</v>
      </c>
      <c r="E39" s="47"/>
      <c r="F39" s="47"/>
      <c r="G39" s="56">
        <f t="shared" si="1"/>
        <v>0</v>
      </c>
      <c r="H39" s="47"/>
      <c r="I39" s="47"/>
      <c r="J39" s="57">
        <f t="shared" si="2"/>
        <v>0</v>
      </c>
    </row>
    <row r="40" spans="1:10">
      <c r="A40" s="84">
        <v>2056</v>
      </c>
      <c r="B40" s="85"/>
      <c r="C40" s="47"/>
      <c r="D40" s="56">
        <f t="shared" si="0"/>
        <v>0</v>
      </c>
      <c r="E40" s="47"/>
      <c r="F40" s="47"/>
      <c r="G40" s="56">
        <f t="shared" si="1"/>
        <v>0</v>
      </c>
      <c r="H40" s="47"/>
      <c r="I40" s="47"/>
      <c r="J40" s="57">
        <f t="shared" si="2"/>
        <v>0</v>
      </c>
    </row>
    <row r="41" spans="1:10">
      <c r="A41" s="84">
        <v>2057</v>
      </c>
      <c r="B41" s="85"/>
      <c r="C41" s="47"/>
      <c r="D41" s="56">
        <f t="shared" si="0"/>
        <v>0</v>
      </c>
      <c r="E41" s="47"/>
      <c r="F41" s="47"/>
      <c r="G41" s="56">
        <f t="shared" si="1"/>
        <v>0</v>
      </c>
      <c r="H41" s="47"/>
      <c r="I41" s="47"/>
      <c r="J41" s="57">
        <f t="shared" si="2"/>
        <v>0</v>
      </c>
    </row>
    <row r="42" spans="1:10">
      <c r="A42" s="84">
        <v>2058</v>
      </c>
      <c r="B42" s="85"/>
      <c r="C42" s="47"/>
      <c r="D42" s="56">
        <f t="shared" si="0"/>
        <v>0</v>
      </c>
      <c r="E42" s="47"/>
      <c r="F42" s="47"/>
      <c r="G42" s="56">
        <f t="shared" si="1"/>
        <v>0</v>
      </c>
      <c r="H42" s="47"/>
      <c r="I42" s="47"/>
      <c r="J42" s="57">
        <f t="shared" si="2"/>
        <v>0</v>
      </c>
    </row>
    <row r="43" spans="1:10">
      <c r="A43" s="84">
        <v>2059</v>
      </c>
      <c r="B43" s="85"/>
      <c r="C43" s="47"/>
      <c r="D43" s="56">
        <f t="shared" si="0"/>
        <v>0</v>
      </c>
      <c r="E43" s="47"/>
      <c r="F43" s="47"/>
      <c r="G43" s="56">
        <f t="shared" si="1"/>
        <v>0</v>
      </c>
      <c r="H43" s="47"/>
      <c r="I43" s="47"/>
      <c r="J43" s="57">
        <f t="shared" si="2"/>
        <v>0</v>
      </c>
    </row>
    <row r="44" spans="1:10">
      <c r="A44" s="84">
        <v>2060</v>
      </c>
      <c r="B44" s="85"/>
      <c r="C44" s="47"/>
      <c r="D44" s="56">
        <f t="shared" si="0"/>
        <v>0</v>
      </c>
      <c r="E44" s="47"/>
      <c r="F44" s="47"/>
      <c r="G44" s="56">
        <f t="shared" si="1"/>
        <v>0</v>
      </c>
      <c r="H44" s="47"/>
      <c r="I44" s="47"/>
      <c r="J44" s="57">
        <f t="shared" si="2"/>
        <v>0</v>
      </c>
    </row>
    <row r="45" spans="1:10">
      <c r="A45" s="84">
        <v>2061</v>
      </c>
      <c r="B45" s="85"/>
      <c r="C45" s="47"/>
      <c r="D45" s="56">
        <f t="shared" si="0"/>
        <v>0</v>
      </c>
      <c r="E45" s="47"/>
      <c r="F45" s="47"/>
      <c r="G45" s="56">
        <f t="shared" si="1"/>
        <v>0</v>
      </c>
      <c r="H45" s="47"/>
      <c r="I45" s="47"/>
      <c r="J45" s="57">
        <f t="shared" si="2"/>
        <v>0</v>
      </c>
    </row>
    <row r="46" spans="1:10">
      <c r="A46" s="84">
        <v>2062</v>
      </c>
      <c r="B46" s="85"/>
      <c r="C46" s="47"/>
      <c r="D46" s="56">
        <f t="shared" si="0"/>
        <v>0</v>
      </c>
      <c r="E46" s="47"/>
      <c r="F46" s="47"/>
      <c r="G46" s="56">
        <f t="shared" si="1"/>
        <v>0</v>
      </c>
      <c r="H46" s="47"/>
      <c r="I46" s="47"/>
      <c r="J46" s="57">
        <f t="shared" si="2"/>
        <v>0</v>
      </c>
    </row>
    <row r="47" spans="1:10">
      <c r="A47" s="84">
        <v>2063</v>
      </c>
      <c r="B47" s="85"/>
      <c r="C47" s="47"/>
      <c r="D47" s="56">
        <f t="shared" si="0"/>
        <v>0</v>
      </c>
      <c r="E47" s="47"/>
      <c r="F47" s="47"/>
      <c r="G47" s="56">
        <f t="shared" si="1"/>
        <v>0</v>
      </c>
      <c r="H47" s="47"/>
      <c r="I47" s="47"/>
      <c r="J47" s="57">
        <f t="shared" si="2"/>
        <v>0</v>
      </c>
    </row>
    <row r="48" spans="1:10">
      <c r="A48" s="84">
        <v>2064</v>
      </c>
      <c r="B48" s="85"/>
      <c r="C48" s="47"/>
      <c r="D48" s="56">
        <f t="shared" si="0"/>
        <v>0</v>
      </c>
      <c r="E48" s="47"/>
      <c r="F48" s="47"/>
      <c r="G48" s="56">
        <f t="shared" si="1"/>
        <v>0</v>
      </c>
      <c r="H48" s="47"/>
      <c r="I48" s="47"/>
      <c r="J48" s="57">
        <f t="shared" si="2"/>
        <v>0</v>
      </c>
    </row>
    <row r="49" spans="1:10">
      <c r="A49" s="84">
        <v>2065</v>
      </c>
      <c r="B49" s="85"/>
      <c r="C49" s="47"/>
      <c r="D49" s="56">
        <f t="shared" si="0"/>
        <v>0</v>
      </c>
      <c r="E49" s="47"/>
      <c r="F49" s="47"/>
      <c r="G49" s="56">
        <f t="shared" si="1"/>
        <v>0</v>
      </c>
      <c r="H49" s="47"/>
      <c r="I49" s="47"/>
      <c r="J49" s="57">
        <f t="shared" si="2"/>
        <v>0</v>
      </c>
    </row>
    <row r="50" spans="1:10">
      <c r="A50" s="84">
        <v>2066</v>
      </c>
      <c r="B50" s="85"/>
      <c r="C50" s="47"/>
      <c r="D50" s="56">
        <f t="shared" si="0"/>
        <v>0</v>
      </c>
      <c r="E50" s="47"/>
      <c r="F50" s="47"/>
      <c r="G50" s="56">
        <f t="shared" si="1"/>
        <v>0</v>
      </c>
      <c r="H50" s="47"/>
      <c r="I50" s="47"/>
      <c r="J50" s="57">
        <f t="shared" si="2"/>
        <v>0</v>
      </c>
    </row>
    <row r="51" spans="1:10">
      <c r="A51" s="84">
        <v>2067</v>
      </c>
      <c r="B51" s="85"/>
      <c r="C51" s="47"/>
      <c r="D51" s="56">
        <f t="shared" si="0"/>
        <v>0</v>
      </c>
      <c r="E51" s="47"/>
      <c r="F51" s="47"/>
      <c r="G51" s="56">
        <f t="shared" si="1"/>
        <v>0</v>
      </c>
      <c r="H51" s="47"/>
      <c r="I51" s="47"/>
      <c r="J51" s="57">
        <f t="shared" si="2"/>
        <v>0</v>
      </c>
    </row>
    <row r="52" spans="1:10">
      <c r="A52" s="84">
        <v>2068</v>
      </c>
      <c r="B52" s="85"/>
      <c r="C52" s="47"/>
      <c r="D52" s="56">
        <f t="shared" si="0"/>
        <v>0</v>
      </c>
      <c r="E52" s="47"/>
      <c r="F52" s="47"/>
      <c r="G52" s="56">
        <f t="shared" si="1"/>
        <v>0</v>
      </c>
      <c r="H52" s="47"/>
      <c r="I52" s="47"/>
      <c r="J52" s="57">
        <f t="shared" si="2"/>
        <v>0</v>
      </c>
    </row>
    <row r="53" spans="1:10">
      <c r="A53" s="84">
        <v>2069</v>
      </c>
      <c r="B53" s="85"/>
      <c r="C53" s="47"/>
      <c r="D53" s="56">
        <f t="shared" si="0"/>
        <v>0</v>
      </c>
      <c r="E53" s="47"/>
      <c r="F53" s="47"/>
      <c r="G53" s="56">
        <f t="shared" si="1"/>
        <v>0</v>
      </c>
      <c r="H53" s="47"/>
      <c r="I53" s="47"/>
      <c r="J53" s="57">
        <f t="shared" si="2"/>
        <v>0</v>
      </c>
    </row>
    <row r="54" spans="1:10" ht="14.65" thickBot="1">
      <c r="A54" s="84">
        <v>2070</v>
      </c>
      <c r="B54" s="85"/>
      <c r="C54" s="47"/>
      <c r="D54" s="56">
        <f t="shared" si="0"/>
        <v>0</v>
      </c>
      <c r="E54" s="47"/>
      <c r="F54" s="47"/>
      <c r="G54" s="56">
        <f t="shared" si="1"/>
        <v>0</v>
      </c>
      <c r="H54" s="47"/>
      <c r="I54" s="47"/>
      <c r="J54" s="57">
        <f t="shared" si="2"/>
        <v>0</v>
      </c>
    </row>
    <row r="55" spans="1:10" ht="14.65" thickBot="1">
      <c r="A55" s="87" t="s">
        <v>290</v>
      </c>
      <c r="B55" s="88">
        <f t="shared" ref="B55:H55" si="3">SUM(B7:B54)</f>
        <v>0</v>
      </c>
      <c r="C55" s="88">
        <f t="shared" si="3"/>
        <v>0</v>
      </c>
      <c r="D55" s="88">
        <f t="shared" si="3"/>
        <v>0</v>
      </c>
      <c r="E55" s="88">
        <f t="shared" si="3"/>
        <v>0</v>
      </c>
      <c r="F55" s="88">
        <f t="shared" si="3"/>
        <v>0</v>
      </c>
      <c r="G55" s="88">
        <f t="shared" si="3"/>
        <v>0</v>
      </c>
      <c r="H55" s="88">
        <f t="shared" si="3"/>
        <v>0</v>
      </c>
      <c r="I55" s="88">
        <f>SUM(I7:I54)</f>
        <v>0</v>
      </c>
      <c r="J55" s="89">
        <f>SUM(J7:J54)</f>
        <v>0</v>
      </c>
    </row>
  </sheetData>
  <mergeCells count="4">
    <mergeCell ref="B4:D5"/>
    <mergeCell ref="E4:G5"/>
    <mergeCell ref="H4:J5"/>
    <mergeCell ref="A4:A5"/>
  </mergeCells>
  <phoneticPr fontId="24"/>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33F727AA7180443A862CD9A25741398" ma:contentTypeVersion="18" ma:contentTypeDescription="Create a new document." ma:contentTypeScope="" ma:versionID="a15470f3de19f5213b20cf20a4995d57">
  <xsd:schema xmlns:xsd="http://www.w3.org/2001/XMLSchema" xmlns:xs="http://www.w3.org/2001/XMLSchema" xmlns:p="http://schemas.microsoft.com/office/2006/metadata/properties" xmlns:ns2="35b8b66e-5759-43c1-a138-f967a8bf5a20" xmlns:ns3="0b696a8a-ab1a-459b-a09e-44df7cbe9330" targetNamespace="http://schemas.microsoft.com/office/2006/metadata/properties" ma:root="true" ma:fieldsID="a0986734c870a0a15ed8795bbdb10adf" ns2:_="" ns3:_="">
    <xsd:import namespace="35b8b66e-5759-43c1-a138-f967a8bf5a20"/>
    <xsd:import namespace="0b696a8a-ab1a-459b-a09e-44df7cbe9330"/>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AutoKeyPoints" minOccurs="0"/>
                <xsd:element ref="ns3:MediaServiceKeyPoints" minOccurs="0"/>
                <xsd:element ref="ns3:MediaServiceAutoTags" minOccurs="0"/>
                <xsd:element ref="ns3:MediaServiceOCR" minOccurs="0"/>
                <xsd:element ref="ns3:MediaServiceGenerationTime" minOccurs="0"/>
                <xsd:element ref="ns3:MediaServiceEventHashCode" minOccurs="0"/>
                <xsd:element ref="ns3:MediaServiceDateTaken" minOccurs="0"/>
                <xsd:element ref="ns3:MediaServiceLocation" minOccurs="0"/>
                <xsd:element ref="ns3:MediaLengthInSeconds" minOccurs="0"/>
                <xsd:element ref="ns3:lcf76f155ced4ddcb4097134ff3c332f" minOccurs="0"/>
                <xsd:element ref="ns2:TaxCatchAll" minOccurs="0"/>
                <xsd:element ref="ns3:MediaServiceObjectDetectorVersions"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5b8b66e-5759-43c1-a138-f967a8bf5a20"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9581a30b-7206-4dc0-86e4-cd83cec9bd9f}" ma:internalName="TaxCatchAll" ma:showField="CatchAllData" ma:web="35b8b66e-5759-43c1-a138-f967a8bf5a20">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0b696a8a-ab1a-459b-a09e-44df7cbe9330"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element name="MediaServiceLocation" ma:index="19" nillable="true" ma:displayName="Location" ma:internalName="MediaServiceLocation"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a3b1f9f8-f5cc-49a8-8ca6-8016371bfcc4"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0b696a8a-ab1a-459b-a09e-44df7cbe9330">
      <Terms xmlns="http://schemas.microsoft.com/office/infopath/2007/PartnerControls"/>
    </lcf76f155ced4ddcb4097134ff3c332f>
    <TaxCatchAll xmlns="35b8b66e-5759-43c1-a138-f967a8bf5a20" xsi:nil="true"/>
  </documentManagement>
</p:properties>
</file>

<file path=customXml/itemProps1.xml><?xml version="1.0" encoding="utf-8"?>
<ds:datastoreItem xmlns:ds="http://schemas.openxmlformats.org/officeDocument/2006/customXml" ds:itemID="{39C8DE41-47D4-4F66-AE1C-AA3A236B5E4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5b8b66e-5759-43c1-a138-f967a8bf5a20"/>
    <ds:schemaRef ds:uri="0b696a8a-ab1a-459b-a09e-44df7cbe933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9D9A5E42-F740-40F1-BC2B-926E415949E9}">
  <ds:schemaRefs>
    <ds:schemaRef ds:uri="http://schemas.microsoft.com/sharepoint/v3/contenttype/forms"/>
  </ds:schemaRefs>
</ds:datastoreItem>
</file>

<file path=customXml/itemProps3.xml><?xml version="1.0" encoding="utf-8"?>
<ds:datastoreItem xmlns:ds="http://schemas.openxmlformats.org/officeDocument/2006/customXml" ds:itemID="{D3E61AC9-511C-4564-9AF5-A5AE6DB66963}">
  <ds:schemaRefs>
    <ds:schemaRef ds:uri="http://purl.org/dc/terms/"/>
    <ds:schemaRef ds:uri="http://schemas.microsoft.com/office/2006/metadata/properties"/>
    <ds:schemaRef ds:uri="http://schemas.openxmlformats.org/package/2006/metadata/core-properties"/>
    <ds:schemaRef ds:uri="http://purl.org/dc/elements/1.1/"/>
    <ds:schemaRef ds:uri="http://purl.org/dc/dcmitype/"/>
    <ds:schemaRef ds:uri="http://schemas.microsoft.com/office/2006/documentManagement/types"/>
    <ds:schemaRef ds:uri="35b8b66e-5759-43c1-a138-f967a8bf5a20"/>
    <ds:schemaRef ds:uri="http://schemas.microsoft.com/office/infopath/2007/PartnerControls"/>
    <ds:schemaRef ds:uri="0b696a8a-ab1a-459b-a09e-44df7cbe9330"/>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9</vt:i4>
      </vt:variant>
    </vt:vector>
  </HeadingPairs>
  <TitlesOfParts>
    <vt:vector size="9" baseType="lpstr">
      <vt:lpstr>Definitions</vt:lpstr>
      <vt:lpstr>Visualisation Dashboard</vt:lpstr>
      <vt:lpstr>Financial Instruments</vt:lpstr>
      <vt:lpstr>High Level Dashboard</vt:lpstr>
      <vt:lpstr>Financing Baseline</vt:lpstr>
      <vt:lpstr>Funding Baseline</vt:lpstr>
      <vt:lpstr>Investment Needs</vt:lpstr>
      <vt:lpstr>OSeMOSYS (Input)</vt:lpstr>
      <vt:lpstr>FFRM (Input)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Vivien Foster</dc:creator>
  <cp:keywords/>
  <dc:description/>
  <cp:lastModifiedBy>Zixuan Liu</cp:lastModifiedBy>
  <cp:revision/>
  <dcterms:created xsi:type="dcterms:W3CDTF">2023-04-26T07:12:09Z</dcterms:created>
  <dcterms:modified xsi:type="dcterms:W3CDTF">2025-03-12T17:09:17Z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0x010100633F727AA7180443A862CD9A25741398</vt:lpwstr>
  </property>
  <property fmtid="{D5CDD505-2E9C-101B-9397-08002B2CF9AE}" pid="3" name="MediaServiceImageTags">
    <vt:lpwstr/>
  </property>
</Properties>
</file>